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omments3.xml" ContentType="application/vnd.openxmlformats-officedocument.spreadsheetml.comments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defaultThemeVersion="166925"/>
  <mc:AlternateContent xmlns:mc="http://schemas.openxmlformats.org/markup-compatibility/2006">
    <mc:Choice Requires="x15">
      <x15ac:absPath xmlns:x15ac="http://schemas.microsoft.com/office/spreadsheetml/2010/11/ac" url="R:\InterimCommittee\2017\"/>
    </mc:Choice>
  </mc:AlternateContent>
  <workbookProtection workbookAlgorithmName="SHA-512" workbookHashValue="9I41TUTYpTMuljVijbBq0OoztUWp8ZQxlptzmj33sjTmjtdBqr2fCMbIWbb6ypxuZO9eo9qsgQuzr8rSzfM+FA==" workbookSaltValue="j4XVtkUt+HGpQ6uobodPJA==" workbookSpinCount="100000" lockStructure="1"/>
  <bookViews>
    <workbookView xWindow="0" yWindow="0" windowWidth="25200" windowHeight="10275" tabRatio="943"/>
  </bookViews>
  <sheets>
    <sheet name="Foundation Program Calculations" sheetId="1" r:id="rId1"/>
    <sheet name="Model Data Inputs" sheetId="2" r:id="rId2"/>
    <sheet name="Elementary Size Adjustment" sheetId="3" r:id="rId3"/>
    <sheet name="Secondary Size Adjustment" sheetId="4" r:id="rId4"/>
    <sheet name="Supplies, Materials Adjustment" sheetId="5" r:id="rId5"/>
    <sheet name="Central Office and O&amp;M Comp." sheetId="6" r:id="rId6"/>
    <sheet name="Central Office Resources" sheetId="7" r:id="rId7"/>
    <sheet name="School Level Inst. Resources" sheetId="8" r:id="rId8"/>
    <sheet name="Student Activities MS&amp;HS Tables" sheetId="9" r:id="rId9"/>
    <sheet name="Utilities" sheetId="10" r:id="rId10"/>
    <sheet name="Total O &amp; M Resources" sheetId="11" r:id="rId11"/>
    <sheet name="School Level O &amp; M Resources" sheetId="12" r:id="rId12"/>
    <sheet name="SFD Allowable GSF Calculation" sheetId="13" r:id="rId13"/>
    <sheet name="Site Level Groundskeepers" sheetId="14" r:id="rId14"/>
    <sheet name="District Level ADM" sheetId="15" r:id="rId15"/>
    <sheet name="School Level ADM" sheetId="16" r:id="rId16"/>
    <sheet name="Student At-Risk and ELL Proxy" sheetId="17" r:id="rId17"/>
    <sheet name="Health Insurance Composite" sheetId="18" r:id="rId18"/>
    <sheet name="Regional Cost Adjustment" sheetId="19" r:id="rId19"/>
    <sheet name="Tranportation &amp; Other Reim." sheetId="20" r:id="rId20"/>
    <sheet name="Charter School Adjustment" sheetId="21" r:id="rId21"/>
  </sheets>
  <definedNames>
    <definedName name="_xlnm._FilterDatabase" localSheetId="7" hidden="1">'School Level Inst. Resources'!$A$4:$AR$359</definedName>
    <definedName name="_xlnm.Print_Area" localSheetId="6">'Central Office Resources'!$A$4:$J$54</definedName>
    <definedName name="_xlnm.Print_Area" localSheetId="20">'Charter School Adjustment'!$A$4:$H$54</definedName>
    <definedName name="_xlnm.Print_Area" localSheetId="0">'Foundation Program Calculations'!$A$4:$M$54</definedName>
    <definedName name="_xlnm.Print_Area" localSheetId="17">'Health Insurance Composite'!$A$3:$X$54</definedName>
    <definedName name="_xlnm.Print_Area" localSheetId="18">'Regional Cost Adjustment'!$A$4:$B$52</definedName>
    <definedName name="_xlnm.Print_Area" localSheetId="15">'School Level ADM'!$A$4:$BW$361</definedName>
    <definedName name="_xlnm.Print_Area" localSheetId="7">'School Level Inst. Resources'!$A$3:$AQ$361</definedName>
    <definedName name="_xlnm.Print_Area" localSheetId="11">'School Level O &amp; M Resources'!$A$4:$AR$361</definedName>
    <definedName name="_xlnm.Print_Area" localSheetId="12">'SFD Allowable GSF Calculation'!$A$4:$Q$361</definedName>
    <definedName name="_xlnm.Print_Area" localSheetId="13">'Site Level Groundskeepers'!$A$4:$O$559</definedName>
    <definedName name="_xlnm.Print_Area" localSheetId="8">'Student Activities MS&amp;HS Tables'!$A$5:$G$1906</definedName>
    <definedName name="_xlnm.Print_Area" localSheetId="16">'Student At-Risk and ELL Proxy'!$A$4:$AH$361</definedName>
    <definedName name="_xlnm.Print_Area" localSheetId="10">'Total O &amp; M Resources'!$A$4:$K$54</definedName>
    <definedName name="_xlnm.Print_Area" localSheetId="19">'Tranportation &amp; Other Reim.'!$A$4:$U$54</definedName>
    <definedName name="_xlnm.Print_Area" localSheetId="9">Utilities!$A$4:$T$54</definedName>
    <definedName name="_xlnm.Print_Titles" localSheetId="20">'Charter School Adjustment'!$A:$C</definedName>
    <definedName name="_xlnm.Print_Titles" localSheetId="2">'Elementary Size Adjustment'!$1:$2</definedName>
    <definedName name="_xlnm.Print_Titles" localSheetId="0">'Foundation Program Calculations'!$A:$C</definedName>
    <definedName name="_xlnm.Print_Titles" localSheetId="1">'Model Data Inputs'!$1:$1</definedName>
    <definedName name="_xlnm.Print_Titles" localSheetId="15">'School Level ADM'!$A:$D,'School Level ADM'!$4:$4</definedName>
    <definedName name="_xlnm.Print_Titles" localSheetId="7">'School Level Inst. Resources'!$A:$D,'School Level Inst. Resources'!$3:$4</definedName>
    <definedName name="_xlnm.Print_Titles" localSheetId="11">'School Level O &amp; M Resources'!$A:$D,'School Level O &amp; M Resources'!$4:$4</definedName>
    <definedName name="_xlnm.Print_Titles" localSheetId="3">'Secondary Size Adjustment'!$1:$2</definedName>
    <definedName name="_xlnm.Print_Titles" localSheetId="12">'SFD Allowable GSF Calculation'!$A:$D,'SFD Allowable GSF Calculation'!$4:$4</definedName>
    <definedName name="_xlnm.Print_Titles" localSheetId="13">'Site Level Groundskeepers'!$4:$4</definedName>
    <definedName name="_xlnm.Print_Titles" localSheetId="8">'Student Activities MS&amp;HS Tables'!$1:$6</definedName>
    <definedName name="_xlnm.Print_Titles" localSheetId="16">'Student At-Risk and ELL Proxy'!$A:$D,'Student At-Risk and ELL Proxy'!$4:$4</definedName>
    <definedName name="_xlnm.Print_Titles" localSheetId="4">'Supplies, Materials Adjustment'!$1:$1</definedName>
    <definedName name="_xlnm.Print_Titles" localSheetId="19">'Tranportation &amp; Other Reim.'!$A:$B</definedName>
    <definedName name="_xlnm.Print_Titles" localSheetId="9">Utilities!$A:$B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52" i="1" l="1"/>
  <c r="P51" i="1"/>
  <c r="O50" i="1"/>
  <c r="P50" i="1"/>
  <c r="O49" i="1"/>
  <c r="O48" i="1"/>
  <c r="P48" i="1"/>
  <c r="P47" i="1"/>
  <c r="P46" i="1"/>
  <c r="O46" i="1"/>
  <c r="P45" i="1"/>
  <c r="O45" i="1"/>
  <c r="P44" i="1"/>
  <c r="P43" i="1"/>
  <c r="O43" i="1"/>
  <c r="O42" i="1"/>
  <c r="P42" i="1"/>
  <c r="O41" i="1"/>
  <c r="O40" i="1"/>
  <c r="P40" i="1"/>
  <c r="P39" i="1"/>
  <c r="P38" i="1"/>
  <c r="O38" i="1"/>
  <c r="P37" i="1"/>
  <c r="O37" i="1"/>
  <c r="P36" i="1"/>
  <c r="P35" i="1"/>
  <c r="O35" i="1"/>
  <c r="O34" i="1"/>
  <c r="P34" i="1"/>
  <c r="O33" i="1"/>
  <c r="O32" i="1"/>
  <c r="P32" i="1"/>
  <c r="P31" i="1"/>
  <c r="P30" i="1"/>
  <c r="O30" i="1"/>
  <c r="P29" i="1"/>
  <c r="O29" i="1"/>
  <c r="P28" i="1"/>
  <c r="P27" i="1"/>
  <c r="O27" i="1"/>
  <c r="O26" i="1"/>
  <c r="P26" i="1"/>
  <c r="O25" i="1"/>
  <c r="O24" i="1"/>
  <c r="P24" i="1"/>
  <c r="P23" i="1"/>
  <c r="P22" i="1"/>
  <c r="O22" i="1"/>
  <c r="P21" i="1"/>
  <c r="O21" i="1"/>
  <c r="P20" i="1"/>
  <c r="P19" i="1"/>
  <c r="O19" i="1"/>
  <c r="O18" i="1"/>
  <c r="P18" i="1"/>
  <c r="O17" i="1"/>
  <c r="O16" i="1"/>
  <c r="P16" i="1"/>
  <c r="P15" i="1"/>
  <c r="P14" i="1"/>
  <c r="O14" i="1"/>
  <c r="P13" i="1"/>
  <c r="O13" i="1"/>
  <c r="P12" i="1"/>
  <c r="P11" i="1"/>
  <c r="O11" i="1"/>
  <c r="O10" i="1"/>
  <c r="P10" i="1"/>
  <c r="O9" i="1"/>
  <c r="O8" i="1"/>
  <c r="P8" i="1"/>
  <c r="P7" i="1"/>
  <c r="P6" i="1"/>
  <c r="O6" i="1"/>
  <c r="P5" i="1"/>
  <c r="O5" i="1"/>
  <c r="P9" i="1" l="1"/>
  <c r="O12" i="1"/>
  <c r="P17" i="1"/>
  <c r="O20" i="1"/>
  <c r="P25" i="1"/>
  <c r="O28" i="1"/>
  <c r="P33" i="1"/>
  <c r="O36" i="1"/>
  <c r="P41" i="1"/>
  <c r="O44" i="1"/>
  <c r="P49" i="1"/>
  <c r="O52" i="1"/>
  <c r="O7" i="1"/>
  <c r="O15" i="1"/>
  <c r="O23" i="1"/>
  <c r="O31" i="1"/>
  <c r="O39" i="1"/>
  <c r="O47" i="1"/>
  <c r="N54" i="1"/>
  <c r="O51" i="1"/>
  <c r="O54" i="1" l="1"/>
  <c r="P54" i="1"/>
  <c r="F54" i="21" l="1"/>
  <c r="E54" i="21"/>
  <c r="D54" i="21"/>
  <c r="H52" i="21"/>
  <c r="G52" i="21"/>
  <c r="H51" i="21"/>
  <c r="K51" i="1" s="1"/>
  <c r="G51" i="21"/>
  <c r="H50" i="21"/>
  <c r="K50" i="1" s="1"/>
  <c r="G50" i="21"/>
  <c r="H49" i="21"/>
  <c r="G49" i="21"/>
  <c r="H48" i="21"/>
  <c r="G48" i="21"/>
  <c r="H47" i="21"/>
  <c r="K47" i="1" s="1"/>
  <c r="G47" i="21"/>
  <c r="H46" i="21"/>
  <c r="K46" i="1" s="1"/>
  <c r="G46" i="21"/>
  <c r="H45" i="21"/>
  <c r="G45" i="21"/>
  <c r="H44" i="21"/>
  <c r="G44" i="21"/>
  <c r="H43" i="21"/>
  <c r="K43" i="1" s="1"/>
  <c r="G43" i="21"/>
  <c r="H42" i="21"/>
  <c r="G42" i="21"/>
  <c r="H41" i="21"/>
  <c r="G41" i="21"/>
  <c r="H40" i="21"/>
  <c r="G40" i="21"/>
  <c r="H39" i="21"/>
  <c r="K39" i="1" s="1"/>
  <c r="G39" i="21"/>
  <c r="H38" i="21"/>
  <c r="K38" i="1" s="1"/>
  <c r="G38" i="21"/>
  <c r="H37" i="21"/>
  <c r="G37" i="21"/>
  <c r="H36" i="21"/>
  <c r="G36" i="21"/>
  <c r="H35" i="21"/>
  <c r="K35" i="1" s="1"/>
  <c r="G35" i="21"/>
  <c r="H34" i="21"/>
  <c r="K34" i="1" s="1"/>
  <c r="G34" i="21"/>
  <c r="H33" i="21"/>
  <c r="G33" i="21"/>
  <c r="H32" i="21"/>
  <c r="G32" i="21"/>
  <c r="H31" i="21"/>
  <c r="K31" i="1" s="1"/>
  <c r="G31" i="21"/>
  <c r="H30" i="21"/>
  <c r="K30" i="1" s="1"/>
  <c r="G30" i="21"/>
  <c r="H29" i="21"/>
  <c r="G29" i="21"/>
  <c r="H28" i="21"/>
  <c r="G28" i="21"/>
  <c r="G27" i="21"/>
  <c r="H26" i="21"/>
  <c r="G26" i="21"/>
  <c r="H25" i="21"/>
  <c r="G25" i="21"/>
  <c r="H24" i="21"/>
  <c r="G24" i="21"/>
  <c r="H23" i="21"/>
  <c r="G23" i="21"/>
  <c r="H22" i="21"/>
  <c r="G22" i="21"/>
  <c r="H21" i="21"/>
  <c r="G21" i="21"/>
  <c r="H20" i="21"/>
  <c r="G20" i="21"/>
  <c r="H19" i="21"/>
  <c r="G19" i="21"/>
  <c r="H18" i="21"/>
  <c r="G18" i="21"/>
  <c r="H17" i="21"/>
  <c r="G17" i="21"/>
  <c r="H16" i="21"/>
  <c r="G16" i="21"/>
  <c r="H15" i="21"/>
  <c r="G15" i="21"/>
  <c r="H14" i="21"/>
  <c r="G14" i="21"/>
  <c r="H13" i="21"/>
  <c r="G13" i="21"/>
  <c r="H12" i="21"/>
  <c r="G12" i="21"/>
  <c r="H11" i="21"/>
  <c r="G11" i="21"/>
  <c r="H10" i="21"/>
  <c r="G10" i="21"/>
  <c r="H9" i="21"/>
  <c r="G9" i="21"/>
  <c r="G8" i="21"/>
  <c r="H7" i="21"/>
  <c r="G7" i="21"/>
  <c r="H6" i="21"/>
  <c r="G6" i="21"/>
  <c r="H5" i="21"/>
  <c r="K5" i="1" s="1"/>
  <c r="G5" i="21"/>
  <c r="G54" i="21" s="1"/>
  <c r="W54" i="20"/>
  <c r="T54" i="20"/>
  <c r="S54" i="20"/>
  <c r="R54" i="20"/>
  <c r="Q54" i="20"/>
  <c r="P54" i="20"/>
  <c r="O54" i="20"/>
  <c r="O55" i="20" s="1"/>
  <c r="M54" i="20"/>
  <c r="L54" i="20"/>
  <c r="J54" i="20"/>
  <c r="G54" i="20"/>
  <c r="F54" i="20"/>
  <c r="E54" i="20"/>
  <c r="D54" i="20"/>
  <c r="C54" i="20"/>
  <c r="U52" i="20"/>
  <c r="S52" i="20"/>
  <c r="N52" i="20"/>
  <c r="H52" i="20"/>
  <c r="I52" i="20" s="1"/>
  <c r="K52" i="20" s="1"/>
  <c r="V52" i="20" s="1"/>
  <c r="X52" i="20" s="1"/>
  <c r="U51" i="20"/>
  <c r="S51" i="20"/>
  <c r="N51" i="20"/>
  <c r="H51" i="20"/>
  <c r="I51" i="20" s="1"/>
  <c r="K51" i="20" s="1"/>
  <c r="V51" i="20" s="1"/>
  <c r="X51" i="20" s="1"/>
  <c r="U50" i="20"/>
  <c r="S50" i="20"/>
  <c r="N50" i="20"/>
  <c r="H50" i="20"/>
  <c r="I50" i="20" s="1"/>
  <c r="K50" i="20" s="1"/>
  <c r="V50" i="20" s="1"/>
  <c r="X50" i="20" s="1"/>
  <c r="U49" i="20"/>
  <c r="S49" i="20"/>
  <c r="N49" i="20"/>
  <c r="H49" i="20"/>
  <c r="I49" i="20" s="1"/>
  <c r="K49" i="20" s="1"/>
  <c r="V49" i="20" s="1"/>
  <c r="X49" i="20" s="1"/>
  <c r="U48" i="20"/>
  <c r="S48" i="20"/>
  <c r="N48" i="20"/>
  <c r="H48" i="20"/>
  <c r="I48" i="20" s="1"/>
  <c r="K48" i="20" s="1"/>
  <c r="V48" i="20" s="1"/>
  <c r="X48" i="20" s="1"/>
  <c r="U47" i="20"/>
  <c r="S47" i="20"/>
  <c r="N47" i="20"/>
  <c r="H47" i="20"/>
  <c r="I47" i="20" s="1"/>
  <c r="K47" i="20" s="1"/>
  <c r="V47" i="20" s="1"/>
  <c r="X47" i="20" s="1"/>
  <c r="U46" i="20"/>
  <c r="S46" i="20"/>
  <c r="N46" i="20"/>
  <c r="H46" i="20"/>
  <c r="I46" i="20" s="1"/>
  <c r="K46" i="20" s="1"/>
  <c r="V46" i="20" s="1"/>
  <c r="X46" i="20" s="1"/>
  <c r="U45" i="20"/>
  <c r="S45" i="20"/>
  <c r="N45" i="20"/>
  <c r="H45" i="20"/>
  <c r="I45" i="20" s="1"/>
  <c r="K45" i="20" s="1"/>
  <c r="X44" i="20"/>
  <c r="V44" i="20"/>
  <c r="S44" i="20"/>
  <c r="N44" i="20"/>
  <c r="K44" i="20"/>
  <c r="I44" i="20"/>
  <c r="H44" i="20"/>
  <c r="X43" i="20"/>
  <c r="V43" i="20"/>
  <c r="U43" i="20"/>
  <c r="S43" i="20"/>
  <c r="N43" i="20"/>
  <c r="K43" i="20"/>
  <c r="I43" i="20"/>
  <c r="H43" i="20"/>
  <c r="X42" i="20"/>
  <c r="V42" i="20"/>
  <c r="U42" i="20"/>
  <c r="S42" i="20"/>
  <c r="N42" i="20"/>
  <c r="K42" i="20"/>
  <c r="I42" i="20"/>
  <c r="H42" i="20"/>
  <c r="X41" i="20"/>
  <c r="V41" i="20"/>
  <c r="U41" i="20"/>
  <c r="S41" i="20"/>
  <c r="N41" i="20"/>
  <c r="K41" i="20"/>
  <c r="I41" i="20"/>
  <c r="H41" i="20"/>
  <c r="X40" i="20"/>
  <c r="V40" i="20"/>
  <c r="U40" i="20"/>
  <c r="S40" i="20"/>
  <c r="N40" i="20"/>
  <c r="K40" i="20"/>
  <c r="I40" i="20"/>
  <c r="H40" i="20"/>
  <c r="X39" i="20"/>
  <c r="V39" i="20"/>
  <c r="U39" i="20"/>
  <c r="S39" i="20"/>
  <c r="N39" i="20"/>
  <c r="K39" i="20"/>
  <c r="I39" i="20"/>
  <c r="H39" i="20"/>
  <c r="X38" i="20"/>
  <c r="V38" i="20"/>
  <c r="U38" i="20"/>
  <c r="S38" i="20"/>
  <c r="N38" i="20"/>
  <c r="K38" i="20"/>
  <c r="I38" i="20"/>
  <c r="H38" i="20"/>
  <c r="X37" i="20"/>
  <c r="V37" i="20"/>
  <c r="U37" i="20"/>
  <c r="S37" i="20"/>
  <c r="N37" i="20"/>
  <c r="K37" i="20"/>
  <c r="I37" i="20"/>
  <c r="H37" i="20"/>
  <c r="X36" i="20"/>
  <c r="V36" i="20"/>
  <c r="U36" i="20"/>
  <c r="S36" i="20"/>
  <c r="N36" i="20"/>
  <c r="K36" i="20"/>
  <c r="I36" i="20"/>
  <c r="H36" i="20"/>
  <c r="X35" i="20"/>
  <c r="V35" i="20"/>
  <c r="U35" i="20"/>
  <c r="S35" i="20"/>
  <c r="N35" i="20"/>
  <c r="K35" i="20"/>
  <c r="I35" i="20"/>
  <c r="H35" i="20"/>
  <c r="X34" i="20"/>
  <c r="V34" i="20"/>
  <c r="U34" i="20"/>
  <c r="S34" i="20"/>
  <c r="N34" i="20"/>
  <c r="K34" i="20"/>
  <c r="I34" i="20"/>
  <c r="H34" i="20"/>
  <c r="X33" i="20"/>
  <c r="V33" i="20"/>
  <c r="U33" i="20"/>
  <c r="S33" i="20"/>
  <c r="N33" i="20"/>
  <c r="K33" i="20"/>
  <c r="I33" i="20"/>
  <c r="H33" i="20"/>
  <c r="X32" i="20"/>
  <c r="V32" i="20"/>
  <c r="U32" i="20"/>
  <c r="S32" i="20"/>
  <c r="N32" i="20"/>
  <c r="K32" i="20"/>
  <c r="I32" i="20"/>
  <c r="H32" i="20"/>
  <c r="X31" i="20"/>
  <c r="V31" i="20"/>
  <c r="U31" i="20"/>
  <c r="S31" i="20"/>
  <c r="N31" i="20"/>
  <c r="K31" i="20"/>
  <c r="I31" i="20"/>
  <c r="H31" i="20"/>
  <c r="X30" i="20"/>
  <c r="V30" i="20"/>
  <c r="U30" i="20"/>
  <c r="S30" i="20"/>
  <c r="N30" i="20"/>
  <c r="K30" i="20"/>
  <c r="I30" i="20"/>
  <c r="H30" i="20"/>
  <c r="X29" i="20"/>
  <c r="V29" i="20"/>
  <c r="U29" i="20"/>
  <c r="S29" i="20"/>
  <c r="N29" i="20"/>
  <c r="K29" i="20"/>
  <c r="I29" i="20"/>
  <c r="H29" i="20"/>
  <c r="X28" i="20"/>
  <c r="V28" i="20"/>
  <c r="U28" i="20"/>
  <c r="S28" i="20"/>
  <c r="N28" i="20"/>
  <c r="K28" i="20"/>
  <c r="I28" i="20"/>
  <c r="H28" i="20"/>
  <c r="X27" i="20"/>
  <c r="V27" i="20"/>
  <c r="U27" i="20"/>
  <c r="S27" i="20"/>
  <c r="N27" i="20"/>
  <c r="K27" i="20"/>
  <c r="I27" i="20"/>
  <c r="H27" i="20"/>
  <c r="X26" i="20"/>
  <c r="V26" i="20"/>
  <c r="U26" i="20"/>
  <c r="S26" i="20"/>
  <c r="N26" i="20"/>
  <c r="K26" i="20"/>
  <c r="I26" i="20"/>
  <c r="H26" i="20"/>
  <c r="X25" i="20"/>
  <c r="V25" i="20"/>
  <c r="U25" i="20"/>
  <c r="S25" i="20"/>
  <c r="N25" i="20"/>
  <c r="K25" i="20"/>
  <c r="I25" i="20"/>
  <c r="H25" i="20"/>
  <c r="X24" i="20"/>
  <c r="V24" i="20"/>
  <c r="U24" i="20"/>
  <c r="S24" i="20"/>
  <c r="N24" i="20"/>
  <c r="K24" i="20"/>
  <c r="I24" i="20"/>
  <c r="H24" i="20"/>
  <c r="X23" i="20"/>
  <c r="V23" i="20"/>
  <c r="U23" i="20"/>
  <c r="S23" i="20"/>
  <c r="N23" i="20"/>
  <c r="K23" i="20"/>
  <c r="I23" i="20"/>
  <c r="H23" i="20"/>
  <c r="X22" i="20"/>
  <c r="V22" i="20"/>
  <c r="U22" i="20"/>
  <c r="S22" i="20"/>
  <c r="N22" i="20"/>
  <c r="K22" i="20"/>
  <c r="I22" i="20"/>
  <c r="H22" i="20"/>
  <c r="X21" i="20"/>
  <c r="V21" i="20"/>
  <c r="U21" i="20"/>
  <c r="S21" i="20"/>
  <c r="N21" i="20"/>
  <c r="K21" i="20"/>
  <c r="I21" i="20"/>
  <c r="H21" i="20"/>
  <c r="X20" i="20"/>
  <c r="V20" i="20"/>
  <c r="U20" i="20"/>
  <c r="S20" i="20"/>
  <c r="N20" i="20"/>
  <c r="K20" i="20"/>
  <c r="I20" i="20"/>
  <c r="H20" i="20"/>
  <c r="X19" i="20"/>
  <c r="V19" i="20"/>
  <c r="U19" i="20"/>
  <c r="S19" i="20"/>
  <c r="N19" i="20"/>
  <c r="K19" i="20"/>
  <c r="I19" i="20"/>
  <c r="H19" i="20"/>
  <c r="X18" i="20"/>
  <c r="V18" i="20"/>
  <c r="U18" i="20"/>
  <c r="S18" i="20"/>
  <c r="N18" i="20"/>
  <c r="K18" i="20"/>
  <c r="I18" i="20"/>
  <c r="H18" i="20"/>
  <c r="X17" i="20"/>
  <c r="V17" i="20"/>
  <c r="U17" i="20"/>
  <c r="S17" i="20"/>
  <c r="N17" i="20"/>
  <c r="K17" i="20"/>
  <c r="I17" i="20"/>
  <c r="H17" i="20"/>
  <c r="X16" i="20"/>
  <c r="V16" i="20"/>
  <c r="U16" i="20"/>
  <c r="S16" i="20"/>
  <c r="N16" i="20"/>
  <c r="K16" i="20"/>
  <c r="I16" i="20"/>
  <c r="H16" i="20"/>
  <c r="X15" i="20"/>
  <c r="V15" i="20"/>
  <c r="U15" i="20"/>
  <c r="S15" i="20"/>
  <c r="N15" i="20"/>
  <c r="K15" i="20"/>
  <c r="I15" i="20"/>
  <c r="H15" i="20"/>
  <c r="X14" i="20"/>
  <c r="V14" i="20"/>
  <c r="U14" i="20"/>
  <c r="S14" i="20"/>
  <c r="N14" i="20"/>
  <c r="K14" i="20"/>
  <c r="I14" i="20"/>
  <c r="H14" i="20"/>
  <c r="X13" i="20"/>
  <c r="V13" i="20"/>
  <c r="U13" i="20"/>
  <c r="S13" i="20"/>
  <c r="N13" i="20"/>
  <c r="K13" i="20"/>
  <c r="I13" i="20"/>
  <c r="H13" i="20"/>
  <c r="V12" i="20"/>
  <c r="X12" i="20" s="1"/>
  <c r="U12" i="20"/>
  <c r="S12" i="20"/>
  <c r="N12" i="20"/>
  <c r="K12" i="20"/>
  <c r="I12" i="20"/>
  <c r="H12" i="20"/>
  <c r="V11" i="20"/>
  <c r="X11" i="20" s="1"/>
  <c r="U11" i="20"/>
  <c r="S11" i="20"/>
  <c r="N11" i="20"/>
  <c r="K11" i="20"/>
  <c r="I11" i="20"/>
  <c r="H11" i="20"/>
  <c r="V10" i="20"/>
  <c r="X10" i="20" s="1"/>
  <c r="U10" i="20"/>
  <c r="S10" i="20"/>
  <c r="N10" i="20"/>
  <c r="K10" i="20"/>
  <c r="I10" i="20"/>
  <c r="H10" i="20"/>
  <c r="V9" i="20"/>
  <c r="X9" i="20" s="1"/>
  <c r="U9" i="20"/>
  <c r="S9" i="20"/>
  <c r="N9" i="20"/>
  <c r="K9" i="20"/>
  <c r="I9" i="20"/>
  <c r="H9" i="20"/>
  <c r="V8" i="20"/>
  <c r="X8" i="20" s="1"/>
  <c r="U8" i="20"/>
  <c r="S8" i="20"/>
  <c r="N8" i="20"/>
  <c r="K8" i="20"/>
  <c r="I8" i="20"/>
  <c r="H8" i="20"/>
  <c r="V7" i="20"/>
  <c r="X7" i="20" s="1"/>
  <c r="U7" i="20"/>
  <c r="S7" i="20"/>
  <c r="N7" i="20"/>
  <c r="K7" i="20"/>
  <c r="I7" i="20"/>
  <c r="H7" i="20"/>
  <c r="V6" i="20"/>
  <c r="X6" i="20" s="1"/>
  <c r="U6" i="20"/>
  <c r="S6" i="20"/>
  <c r="N6" i="20"/>
  <c r="K6" i="20"/>
  <c r="I6" i="20"/>
  <c r="H6" i="20"/>
  <c r="V5" i="20"/>
  <c r="U5" i="20"/>
  <c r="U54" i="20" s="1"/>
  <c r="S5" i="20"/>
  <c r="N5" i="20"/>
  <c r="N54" i="20" s="1"/>
  <c r="K5" i="20"/>
  <c r="I5" i="20"/>
  <c r="I54" i="20" s="1"/>
  <c r="H5" i="20"/>
  <c r="H54" i="20" s="1"/>
  <c r="H54" i="18"/>
  <c r="G54" i="18"/>
  <c r="N54" i="18" s="1"/>
  <c r="W6" i="18" s="1"/>
  <c r="F54" i="18"/>
  <c r="M54" i="18" s="1"/>
  <c r="V6" i="18" s="1"/>
  <c r="V8" i="18" s="1"/>
  <c r="E54" i="18"/>
  <c r="L54" i="18" s="1"/>
  <c r="U6" i="18" s="1"/>
  <c r="U8" i="18" s="1"/>
  <c r="D54" i="18"/>
  <c r="C54" i="18"/>
  <c r="K54" i="18" s="1"/>
  <c r="T6" i="18" s="1"/>
  <c r="N52" i="18"/>
  <c r="M52" i="18"/>
  <c r="L52" i="18"/>
  <c r="K52" i="18"/>
  <c r="J52" i="18"/>
  <c r="I52" i="18"/>
  <c r="P52" i="18" s="1"/>
  <c r="N51" i="18"/>
  <c r="M51" i="18"/>
  <c r="L51" i="18"/>
  <c r="K51" i="18"/>
  <c r="J51" i="18"/>
  <c r="I51" i="18"/>
  <c r="P51" i="18" s="1"/>
  <c r="N50" i="18"/>
  <c r="M50" i="18"/>
  <c r="L50" i="18"/>
  <c r="K50" i="18"/>
  <c r="J50" i="18"/>
  <c r="I50" i="18"/>
  <c r="P50" i="18" s="1"/>
  <c r="N49" i="18"/>
  <c r="M49" i="18"/>
  <c r="L49" i="18"/>
  <c r="K49" i="18"/>
  <c r="J49" i="18"/>
  <c r="I49" i="18"/>
  <c r="P49" i="18" s="1"/>
  <c r="N48" i="18"/>
  <c r="M48" i="18"/>
  <c r="L48" i="18"/>
  <c r="K48" i="18"/>
  <c r="J48" i="18"/>
  <c r="I48" i="18"/>
  <c r="P48" i="18" s="1"/>
  <c r="N47" i="18"/>
  <c r="M47" i="18"/>
  <c r="L47" i="18"/>
  <c r="K47" i="18"/>
  <c r="J47" i="18"/>
  <c r="I47" i="18"/>
  <c r="P47" i="18" s="1"/>
  <c r="N46" i="18"/>
  <c r="M46" i="18"/>
  <c r="L46" i="18"/>
  <c r="K46" i="18"/>
  <c r="J46" i="18"/>
  <c r="I46" i="18"/>
  <c r="P46" i="18" s="1"/>
  <c r="N45" i="18"/>
  <c r="M45" i="18"/>
  <c r="L45" i="18"/>
  <c r="K45" i="18"/>
  <c r="J45" i="18"/>
  <c r="I45" i="18"/>
  <c r="P45" i="18" s="1"/>
  <c r="N44" i="18"/>
  <c r="M44" i="18"/>
  <c r="L44" i="18"/>
  <c r="K44" i="18"/>
  <c r="J44" i="18"/>
  <c r="I44" i="18"/>
  <c r="P44" i="18" s="1"/>
  <c r="N43" i="18"/>
  <c r="M43" i="18"/>
  <c r="L43" i="18"/>
  <c r="K43" i="18"/>
  <c r="J43" i="18"/>
  <c r="I43" i="18"/>
  <c r="P43" i="18" s="1"/>
  <c r="N42" i="18"/>
  <c r="M42" i="18"/>
  <c r="L42" i="18"/>
  <c r="K42" i="18"/>
  <c r="J42" i="18"/>
  <c r="I42" i="18"/>
  <c r="P42" i="18" s="1"/>
  <c r="N41" i="18"/>
  <c r="M41" i="18"/>
  <c r="L41" i="18"/>
  <c r="K41" i="18"/>
  <c r="J41" i="18"/>
  <c r="I41" i="18"/>
  <c r="P41" i="18" s="1"/>
  <c r="N40" i="18"/>
  <c r="M40" i="18"/>
  <c r="L40" i="18"/>
  <c r="K40" i="18"/>
  <c r="J40" i="18"/>
  <c r="I40" i="18"/>
  <c r="P40" i="18" s="1"/>
  <c r="N39" i="18"/>
  <c r="M39" i="18"/>
  <c r="L39" i="18"/>
  <c r="K39" i="18"/>
  <c r="J39" i="18"/>
  <c r="I39" i="18"/>
  <c r="P39" i="18" s="1"/>
  <c r="N38" i="18"/>
  <c r="M38" i="18"/>
  <c r="L38" i="18"/>
  <c r="K38" i="18"/>
  <c r="J38" i="18"/>
  <c r="I38" i="18"/>
  <c r="P38" i="18" s="1"/>
  <c r="N37" i="18"/>
  <c r="M37" i="18"/>
  <c r="L37" i="18"/>
  <c r="K37" i="18"/>
  <c r="J37" i="18"/>
  <c r="I37" i="18"/>
  <c r="P37" i="18" s="1"/>
  <c r="N36" i="18"/>
  <c r="M36" i="18"/>
  <c r="L36" i="18"/>
  <c r="K36" i="18"/>
  <c r="J36" i="18"/>
  <c r="I36" i="18"/>
  <c r="P36" i="18" s="1"/>
  <c r="N35" i="18"/>
  <c r="M35" i="18"/>
  <c r="L35" i="18"/>
  <c r="K35" i="18"/>
  <c r="J35" i="18"/>
  <c r="I35" i="18"/>
  <c r="P35" i="18" s="1"/>
  <c r="N34" i="18"/>
  <c r="M34" i="18"/>
  <c r="L34" i="18"/>
  <c r="K34" i="18"/>
  <c r="J34" i="18"/>
  <c r="I34" i="18"/>
  <c r="P34" i="18" s="1"/>
  <c r="N33" i="18"/>
  <c r="M33" i="18"/>
  <c r="L33" i="18"/>
  <c r="K33" i="18"/>
  <c r="J33" i="18"/>
  <c r="I33" i="18"/>
  <c r="P33" i="18" s="1"/>
  <c r="N32" i="18"/>
  <c r="M32" i="18"/>
  <c r="L32" i="18"/>
  <c r="K32" i="18"/>
  <c r="J32" i="18"/>
  <c r="I32" i="18"/>
  <c r="P32" i="18" s="1"/>
  <c r="N31" i="18"/>
  <c r="M31" i="18"/>
  <c r="L31" i="18"/>
  <c r="K31" i="18"/>
  <c r="J31" i="18"/>
  <c r="I31" i="18"/>
  <c r="P31" i="18" s="1"/>
  <c r="N30" i="18"/>
  <c r="M30" i="18"/>
  <c r="L30" i="18"/>
  <c r="K30" i="18"/>
  <c r="J30" i="18"/>
  <c r="I30" i="18"/>
  <c r="P30" i="18" s="1"/>
  <c r="N29" i="18"/>
  <c r="M29" i="18"/>
  <c r="L29" i="18"/>
  <c r="K29" i="18"/>
  <c r="J29" i="18"/>
  <c r="I29" i="18"/>
  <c r="P29" i="18" s="1"/>
  <c r="N28" i="18"/>
  <c r="M28" i="18"/>
  <c r="L28" i="18"/>
  <c r="K28" i="18"/>
  <c r="J28" i="18"/>
  <c r="I28" i="18"/>
  <c r="P28" i="18" s="1"/>
  <c r="N27" i="18"/>
  <c r="M27" i="18"/>
  <c r="L27" i="18"/>
  <c r="K27" i="18"/>
  <c r="J27" i="18"/>
  <c r="I27" i="18"/>
  <c r="P27" i="18" s="1"/>
  <c r="N26" i="18"/>
  <c r="M26" i="18"/>
  <c r="L26" i="18"/>
  <c r="K26" i="18"/>
  <c r="J26" i="18"/>
  <c r="I26" i="18"/>
  <c r="P26" i="18" s="1"/>
  <c r="N25" i="18"/>
  <c r="M25" i="18"/>
  <c r="L25" i="18"/>
  <c r="K25" i="18"/>
  <c r="J25" i="18"/>
  <c r="I25" i="18"/>
  <c r="P25" i="18" s="1"/>
  <c r="N24" i="18"/>
  <c r="M24" i="18"/>
  <c r="L24" i="18"/>
  <c r="K24" i="18"/>
  <c r="J24" i="18"/>
  <c r="I24" i="18"/>
  <c r="P24" i="18" s="1"/>
  <c r="N23" i="18"/>
  <c r="M23" i="18"/>
  <c r="L23" i="18"/>
  <c r="K23" i="18"/>
  <c r="J23" i="18"/>
  <c r="I23" i="18"/>
  <c r="P23" i="18" s="1"/>
  <c r="N22" i="18"/>
  <c r="M22" i="18"/>
  <c r="L22" i="18"/>
  <c r="K22" i="18"/>
  <c r="J22" i="18"/>
  <c r="I22" i="18"/>
  <c r="P22" i="18" s="1"/>
  <c r="N21" i="18"/>
  <c r="M21" i="18"/>
  <c r="L21" i="18"/>
  <c r="K21" i="18"/>
  <c r="J21" i="18"/>
  <c r="I21" i="18"/>
  <c r="P21" i="18" s="1"/>
  <c r="N20" i="18"/>
  <c r="M20" i="18"/>
  <c r="L20" i="18"/>
  <c r="K20" i="18"/>
  <c r="J20" i="18"/>
  <c r="I20" i="18"/>
  <c r="P20" i="18" s="1"/>
  <c r="N19" i="18"/>
  <c r="M19" i="18"/>
  <c r="L19" i="18"/>
  <c r="K19" i="18"/>
  <c r="J19" i="18"/>
  <c r="I19" i="18"/>
  <c r="P19" i="18" s="1"/>
  <c r="N18" i="18"/>
  <c r="M18" i="18"/>
  <c r="L18" i="18"/>
  <c r="K18" i="18"/>
  <c r="J18" i="18"/>
  <c r="I18" i="18"/>
  <c r="P18" i="18" s="1"/>
  <c r="N17" i="18"/>
  <c r="M17" i="18"/>
  <c r="L17" i="18"/>
  <c r="K17" i="18"/>
  <c r="J17" i="18"/>
  <c r="I17" i="18"/>
  <c r="P17" i="18" s="1"/>
  <c r="N16" i="18"/>
  <c r="M16" i="18"/>
  <c r="L16" i="18"/>
  <c r="K16" i="18"/>
  <c r="J16" i="18"/>
  <c r="I16" i="18"/>
  <c r="P16" i="18" s="1"/>
  <c r="N15" i="18"/>
  <c r="M15" i="18"/>
  <c r="L15" i="18"/>
  <c r="K15" i="18"/>
  <c r="J15" i="18"/>
  <c r="I15" i="18"/>
  <c r="P15" i="18" s="1"/>
  <c r="N14" i="18"/>
  <c r="M14" i="18"/>
  <c r="L14" i="18"/>
  <c r="K14" i="18"/>
  <c r="J14" i="18"/>
  <c r="I14" i="18"/>
  <c r="P14" i="18" s="1"/>
  <c r="N13" i="18"/>
  <c r="M13" i="18"/>
  <c r="L13" i="18"/>
  <c r="K13" i="18"/>
  <c r="J13" i="18"/>
  <c r="I13" i="18"/>
  <c r="P13" i="18" s="1"/>
  <c r="N12" i="18"/>
  <c r="M12" i="18"/>
  <c r="L12" i="18"/>
  <c r="K12" i="18"/>
  <c r="J12" i="18"/>
  <c r="I12" i="18"/>
  <c r="P12" i="18" s="1"/>
  <c r="N11" i="18"/>
  <c r="M11" i="18"/>
  <c r="L11" i="18"/>
  <c r="K11" i="18"/>
  <c r="J11" i="18"/>
  <c r="I11" i="18"/>
  <c r="P11" i="18" s="1"/>
  <c r="N10" i="18"/>
  <c r="M10" i="18"/>
  <c r="L10" i="18"/>
  <c r="K10" i="18"/>
  <c r="J10" i="18"/>
  <c r="I10" i="18"/>
  <c r="P10" i="18" s="1"/>
  <c r="N9" i="18"/>
  <c r="M9" i="18"/>
  <c r="L9" i="18"/>
  <c r="K9" i="18"/>
  <c r="J9" i="18"/>
  <c r="I9" i="18"/>
  <c r="P9" i="18" s="1"/>
  <c r="N8" i="18"/>
  <c r="M8" i="18"/>
  <c r="L8" i="18"/>
  <c r="K8" i="18"/>
  <c r="J8" i="18"/>
  <c r="I8" i="18"/>
  <c r="P8" i="18" s="1"/>
  <c r="W7" i="18"/>
  <c r="V7" i="18"/>
  <c r="U7" i="18"/>
  <c r="T7" i="18"/>
  <c r="T8" i="18" s="1"/>
  <c r="S7" i="18"/>
  <c r="X7" i="18" s="1"/>
  <c r="N7" i="18"/>
  <c r="M7" i="18"/>
  <c r="L7" i="18"/>
  <c r="K7" i="18"/>
  <c r="J7" i="18"/>
  <c r="I7" i="18"/>
  <c r="P7" i="18" s="1"/>
  <c r="P6" i="18"/>
  <c r="O6" i="18"/>
  <c r="N6" i="18"/>
  <c r="M6" i="18"/>
  <c r="L6" i="18"/>
  <c r="K6" i="18"/>
  <c r="J6" i="18"/>
  <c r="I6" i="18"/>
  <c r="W5" i="18"/>
  <c r="X5" i="18" s="1"/>
  <c r="V5" i="18"/>
  <c r="U5" i="18"/>
  <c r="T5" i="18"/>
  <c r="S5" i="18"/>
  <c r="N5" i="18"/>
  <c r="M5" i="18"/>
  <c r="L5" i="18"/>
  <c r="K5" i="18"/>
  <c r="J5" i="18"/>
  <c r="I5" i="18"/>
  <c r="P5" i="18" s="1"/>
  <c r="AG361" i="17"/>
  <c r="AF361" i="17"/>
  <c r="AE361" i="17"/>
  <c r="AD361" i="17"/>
  <c r="AC361" i="17"/>
  <c r="AB361" i="17"/>
  <c r="AA361" i="17"/>
  <c r="Z361" i="17"/>
  <c r="Y361" i="17"/>
  <c r="X361" i="17"/>
  <c r="W361" i="17"/>
  <c r="V361" i="17"/>
  <c r="U361" i="17"/>
  <c r="R361" i="17"/>
  <c r="Q361" i="17"/>
  <c r="P361" i="17"/>
  <c r="O361" i="17"/>
  <c r="N361" i="17"/>
  <c r="M361" i="17"/>
  <c r="L361" i="17"/>
  <c r="K361" i="17"/>
  <c r="J361" i="17"/>
  <c r="I361" i="17"/>
  <c r="H361" i="17"/>
  <c r="G361" i="17"/>
  <c r="F361" i="17"/>
  <c r="AH359" i="17"/>
  <c r="S359" i="17"/>
  <c r="E359" i="17"/>
  <c r="D359" i="17"/>
  <c r="C359" i="17"/>
  <c r="B359" i="17"/>
  <c r="A359" i="17"/>
  <c r="AH358" i="17"/>
  <c r="S358" i="17"/>
  <c r="E358" i="17"/>
  <c r="D358" i="17"/>
  <c r="C358" i="17"/>
  <c r="B358" i="17"/>
  <c r="A358" i="17"/>
  <c r="AH357" i="17"/>
  <c r="S357" i="17"/>
  <c r="E357" i="17"/>
  <c r="D357" i="17"/>
  <c r="C357" i="17"/>
  <c r="B357" i="17"/>
  <c r="A357" i="17"/>
  <c r="AH356" i="17"/>
  <c r="S356" i="17"/>
  <c r="E356" i="17"/>
  <c r="D356" i="17"/>
  <c r="C356" i="17"/>
  <c r="B356" i="17"/>
  <c r="A356" i="17"/>
  <c r="AH355" i="17"/>
  <c r="S355" i="17"/>
  <c r="E355" i="17"/>
  <c r="D355" i="17"/>
  <c r="C355" i="17"/>
  <c r="B355" i="17"/>
  <c r="A355" i="17"/>
  <c r="AH354" i="17"/>
  <c r="S354" i="17"/>
  <c r="E354" i="17"/>
  <c r="D354" i="17"/>
  <c r="C354" i="17"/>
  <c r="B354" i="17"/>
  <c r="A354" i="17"/>
  <c r="AH353" i="17"/>
  <c r="S353" i="17"/>
  <c r="E353" i="17"/>
  <c r="D353" i="17"/>
  <c r="C353" i="17"/>
  <c r="B353" i="17"/>
  <c r="A353" i="17"/>
  <c r="AH352" i="17"/>
  <c r="S352" i="17"/>
  <c r="E352" i="17"/>
  <c r="D352" i="17"/>
  <c r="C352" i="17"/>
  <c r="B352" i="17"/>
  <c r="A352" i="17"/>
  <c r="AH351" i="17"/>
  <c r="S351" i="17"/>
  <c r="E351" i="17"/>
  <c r="D351" i="17"/>
  <c r="C351" i="17"/>
  <c r="B351" i="17"/>
  <c r="A351" i="17"/>
  <c r="AH350" i="17"/>
  <c r="S350" i="17"/>
  <c r="E350" i="17"/>
  <c r="D350" i="17"/>
  <c r="C350" i="17"/>
  <c r="B350" i="17"/>
  <c r="A350" i="17"/>
  <c r="AH349" i="17"/>
  <c r="S349" i="17"/>
  <c r="E349" i="17"/>
  <c r="D349" i="17"/>
  <c r="C349" i="17"/>
  <c r="B349" i="17"/>
  <c r="A349" i="17"/>
  <c r="AH348" i="17"/>
  <c r="S348" i="17"/>
  <c r="E348" i="17"/>
  <c r="D348" i="17"/>
  <c r="C348" i="17"/>
  <c r="B348" i="17"/>
  <c r="A348" i="17"/>
  <c r="AH347" i="17"/>
  <c r="S347" i="17"/>
  <c r="E347" i="17"/>
  <c r="D347" i="17"/>
  <c r="C347" i="17"/>
  <c r="B347" i="17"/>
  <c r="A347" i="17"/>
  <c r="AH346" i="17"/>
  <c r="S346" i="17"/>
  <c r="E346" i="17"/>
  <c r="D346" i="17"/>
  <c r="C346" i="17"/>
  <c r="B346" i="17"/>
  <c r="A346" i="17"/>
  <c r="AH345" i="17"/>
  <c r="S345" i="17"/>
  <c r="E345" i="17"/>
  <c r="D345" i="17"/>
  <c r="C345" i="17"/>
  <c r="B345" i="17"/>
  <c r="A345" i="17"/>
  <c r="AH344" i="17"/>
  <c r="S344" i="17"/>
  <c r="E344" i="17"/>
  <c r="D344" i="17"/>
  <c r="C344" i="17"/>
  <c r="B344" i="17"/>
  <c r="A344" i="17"/>
  <c r="AH343" i="17"/>
  <c r="S343" i="17"/>
  <c r="E343" i="17"/>
  <c r="D343" i="17"/>
  <c r="C343" i="17"/>
  <c r="B343" i="17"/>
  <c r="A343" i="17"/>
  <c r="AH342" i="17"/>
  <c r="S342" i="17"/>
  <c r="E342" i="17"/>
  <c r="D342" i="17"/>
  <c r="C342" i="17"/>
  <c r="B342" i="17"/>
  <c r="A342" i="17"/>
  <c r="AH341" i="17"/>
  <c r="S341" i="17"/>
  <c r="E341" i="17"/>
  <c r="D341" i="17"/>
  <c r="C341" i="17"/>
  <c r="B341" i="17"/>
  <c r="A341" i="17"/>
  <c r="AH340" i="17"/>
  <c r="S340" i="17"/>
  <c r="E340" i="17"/>
  <c r="D340" i="17"/>
  <c r="C340" i="17"/>
  <c r="B340" i="17"/>
  <c r="A340" i="17"/>
  <c r="AH339" i="17"/>
  <c r="S339" i="17"/>
  <c r="E339" i="17"/>
  <c r="D339" i="17"/>
  <c r="C339" i="17"/>
  <c r="B339" i="17"/>
  <c r="A339" i="17"/>
  <c r="AH338" i="17"/>
  <c r="S338" i="17"/>
  <c r="E338" i="17"/>
  <c r="D338" i="17"/>
  <c r="C338" i="17"/>
  <c r="B338" i="17"/>
  <c r="A338" i="17"/>
  <c r="AH337" i="17"/>
  <c r="S337" i="17"/>
  <c r="E337" i="17"/>
  <c r="D337" i="17"/>
  <c r="C337" i="17"/>
  <c r="B337" i="17"/>
  <c r="A337" i="17"/>
  <c r="AH336" i="17"/>
  <c r="S336" i="17"/>
  <c r="E336" i="17"/>
  <c r="D336" i="17"/>
  <c r="C336" i="17"/>
  <c r="B336" i="17"/>
  <c r="A336" i="17"/>
  <c r="AH335" i="17"/>
  <c r="S335" i="17"/>
  <c r="E335" i="17"/>
  <c r="D335" i="17"/>
  <c r="C335" i="17"/>
  <c r="B335" i="17"/>
  <c r="A335" i="17"/>
  <c r="AH334" i="17"/>
  <c r="S334" i="17"/>
  <c r="E334" i="17"/>
  <c r="D334" i="17"/>
  <c r="C334" i="17"/>
  <c r="B334" i="17"/>
  <c r="A334" i="17"/>
  <c r="AH333" i="17"/>
  <c r="S333" i="17"/>
  <c r="E333" i="17"/>
  <c r="D333" i="17"/>
  <c r="C333" i="17"/>
  <c r="B333" i="17"/>
  <c r="A333" i="17"/>
  <c r="AH332" i="17"/>
  <c r="S332" i="17"/>
  <c r="E332" i="17"/>
  <c r="D332" i="17"/>
  <c r="C332" i="17"/>
  <c r="B332" i="17"/>
  <c r="A332" i="17"/>
  <c r="AH331" i="17"/>
  <c r="S331" i="17"/>
  <c r="E331" i="17"/>
  <c r="D331" i="17"/>
  <c r="C331" i="17"/>
  <c r="B331" i="17"/>
  <c r="A331" i="17"/>
  <c r="AH330" i="17"/>
  <c r="S330" i="17"/>
  <c r="E330" i="17"/>
  <c r="D330" i="17"/>
  <c r="C330" i="17"/>
  <c r="B330" i="17"/>
  <c r="A330" i="17"/>
  <c r="AH329" i="17"/>
  <c r="S329" i="17"/>
  <c r="E329" i="17"/>
  <c r="D329" i="17"/>
  <c r="C329" i="17"/>
  <c r="B329" i="17"/>
  <c r="A329" i="17"/>
  <c r="AH328" i="17"/>
  <c r="S328" i="17"/>
  <c r="E328" i="17"/>
  <c r="D328" i="17"/>
  <c r="C328" i="17"/>
  <c r="B328" i="17"/>
  <c r="A328" i="17"/>
  <c r="AH327" i="17"/>
  <c r="S327" i="17"/>
  <c r="E327" i="17"/>
  <c r="D327" i="17"/>
  <c r="C327" i="17"/>
  <c r="B327" i="17"/>
  <c r="A327" i="17"/>
  <c r="AH326" i="17"/>
  <c r="S326" i="17"/>
  <c r="E326" i="17"/>
  <c r="D326" i="17"/>
  <c r="C326" i="17"/>
  <c r="B326" i="17"/>
  <c r="A326" i="17"/>
  <c r="AH325" i="17"/>
  <c r="S325" i="17"/>
  <c r="E325" i="17"/>
  <c r="D325" i="17"/>
  <c r="C325" i="17"/>
  <c r="B325" i="17"/>
  <c r="A325" i="17"/>
  <c r="AH324" i="17"/>
  <c r="S324" i="17"/>
  <c r="E324" i="17"/>
  <c r="D324" i="17"/>
  <c r="C324" i="17"/>
  <c r="B324" i="17"/>
  <c r="A324" i="17"/>
  <c r="AH323" i="17"/>
  <c r="S323" i="17"/>
  <c r="E323" i="17"/>
  <c r="D323" i="17"/>
  <c r="C323" i="17"/>
  <c r="B323" i="17"/>
  <c r="A323" i="17"/>
  <c r="AH322" i="17"/>
  <c r="S322" i="17"/>
  <c r="E322" i="17"/>
  <c r="D322" i="17"/>
  <c r="C322" i="17"/>
  <c r="B322" i="17"/>
  <c r="A322" i="17"/>
  <c r="AH321" i="17"/>
  <c r="S321" i="17"/>
  <c r="E321" i="17"/>
  <c r="D321" i="17"/>
  <c r="C321" i="17"/>
  <c r="B321" i="17"/>
  <c r="A321" i="17"/>
  <c r="AH320" i="17"/>
  <c r="S320" i="17"/>
  <c r="E320" i="17"/>
  <c r="D320" i="17"/>
  <c r="C320" i="17"/>
  <c r="B320" i="17"/>
  <c r="A320" i="17"/>
  <c r="AH319" i="17"/>
  <c r="S319" i="17"/>
  <c r="E319" i="17"/>
  <c r="D319" i="17"/>
  <c r="C319" i="17"/>
  <c r="B319" i="17"/>
  <c r="A319" i="17"/>
  <c r="AH318" i="17"/>
  <c r="S318" i="17"/>
  <c r="E318" i="17"/>
  <c r="D318" i="17"/>
  <c r="C318" i="17"/>
  <c r="B318" i="17"/>
  <c r="A318" i="17"/>
  <c r="AH317" i="17"/>
  <c r="S317" i="17"/>
  <c r="E317" i="17"/>
  <c r="D317" i="17"/>
  <c r="C317" i="17"/>
  <c r="B317" i="17"/>
  <c r="A317" i="17"/>
  <c r="AH316" i="17"/>
  <c r="S316" i="17"/>
  <c r="E316" i="17"/>
  <c r="D316" i="17"/>
  <c r="C316" i="17"/>
  <c r="B316" i="17"/>
  <c r="A316" i="17"/>
  <c r="AH315" i="17"/>
  <c r="S315" i="17"/>
  <c r="E315" i="17"/>
  <c r="D315" i="17"/>
  <c r="C315" i="17"/>
  <c r="B315" i="17"/>
  <c r="A315" i="17"/>
  <c r="AH314" i="17"/>
  <c r="S314" i="17"/>
  <c r="E314" i="17"/>
  <c r="D314" i="17"/>
  <c r="C314" i="17"/>
  <c r="B314" i="17"/>
  <c r="A314" i="17"/>
  <c r="AH313" i="17"/>
  <c r="S313" i="17"/>
  <c r="E313" i="17"/>
  <c r="D313" i="17"/>
  <c r="C313" i="17"/>
  <c r="B313" i="17"/>
  <c r="A313" i="17"/>
  <c r="AH312" i="17"/>
  <c r="S312" i="17"/>
  <c r="E312" i="17"/>
  <c r="D312" i="17"/>
  <c r="C312" i="17"/>
  <c r="B312" i="17"/>
  <c r="A312" i="17"/>
  <c r="AH311" i="17"/>
  <c r="S311" i="17"/>
  <c r="E311" i="17"/>
  <c r="D311" i="17"/>
  <c r="C311" i="17"/>
  <c r="B311" i="17"/>
  <c r="A311" i="17"/>
  <c r="AH310" i="17"/>
  <c r="S310" i="17"/>
  <c r="E310" i="17"/>
  <c r="D310" i="17"/>
  <c r="C310" i="17"/>
  <c r="B310" i="17"/>
  <c r="A310" i="17"/>
  <c r="AH309" i="17"/>
  <c r="S309" i="17"/>
  <c r="E309" i="17"/>
  <c r="D309" i="17"/>
  <c r="C309" i="17"/>
  <c r="B309" i="17"/>
  <c r="A309" i="17"/>
  <c r="AH308" i="17"/>
  <c r="S308" i="17"/>
  <c r="E308" i="17"/>
  <c r="D308" i="17"/>
  <c r="C308" i="17"/>
  <c r="B308" i="17"/>
  <c r="A308" i="17"/>
  <c r="AH307" i="17"/>
  <c r="S307" i="17"/>
  <c r="E307" i="17"/>
  <c r="D307" i="17"/>
  <c r="C307" i="17"/>
  <c r="B307" i="17"/>
  <c r="A307" i="17"/>
  <c r="AH306" i="17"/>
  <c r="S306" i="17"/>
  <c r="E306" i="17"/>
  <c r="D306" i="17"/>
  <c r="C306" i="17"/>
  <c r="B306" i="17"/>
  <c r="A306" i="17"/>
  <c r="AH305" i="17"/>
  <c r="S305" i="17"/>
  <c r="E305" i="17"/>
  <c r="D305" i="17"/>
  <c r="C305" i="17"/>
  <c r="B305" i="17"/>
  <c r="A305" i="17"/>
  <c r="AH304" i="17"/>
  <c r="S304" i="17"/>
  <c r="E304" i="17"/>
  <c r="D304" i="17"/>
  <c r="C304" i="17"/>
  <c r="B304" i="17"/>
  <c r="A304" i="17"/>
  <c r="AH303" i="17"/>
  <c r="S303" i="17"/>
  <c r="E303" i="17"/>
  <c r="D303" i="17"/>
  <c r="C303" i="17"/>
  <c r="B303" i="17"/>
  <c r="A303" i="17"/>
  <c r="AH302" i="17"/>
  <c r="S302" i="17"/>
  <c r="E302" i="17"/>
  <c r="D302" i="17"/>
  <c r="C302" i="17"/>
  <c r="B302" i="17"/>
  <c r="A302" i="17"/>
  <c r="AH301" i="17"/>
  <c r="S301" i="17"/>
  <c r="E301" i="17"/>
  <c r="D301" i="17"/>
  <c r="C301" i="17"/>
  <c r="B301" i="17"/>
  <c r="A301" i="17"/>
  <c r="AH300" i="17"/>
  <c r="S300" i="17"/>
  <c r="E300" i="17"/>
  <c r="D300" i="17"/>
  <c r="C300" i="17"/>
  <c r="B300" i="17"/>
  <c r="A300" i="17"/>
  <c r="AH299" i="17"/>
  <c r="S299" i="17"/>
  <c r="E299" i="17"/>
  <c r="D299" i="17"/>
  <c r="C299" i="17"/>
  <c r="B299" i="17"/>
  <c r="A299" i="17"/>
  <c r="AH298" i="17"/>
  <c r="S298" i="17"/>
  <c r="E298" i="17"/>
  <c r="D298" i="17"/>
  <c r="C298" i="17"/>
  <c r="B298" i="17"/>
  <c r="A298" i="17"/>
  <c r="AH297" i="17"/>
  <c r="S297" i="17"/>
  <c r="E297" i="17"/>
  <c r="D297" i="17"/>
  <c r="C297" i="17"/>
  <c r="B297" i="17"/>
  <c r="A297" i="17"/>
  <c r="AH296" i="17"/>
  <c r="S296" i="17"/>
  <c r="E296" i="17"/>
  <c r="D296" i="17"/>
  <c r="C296" i="17"/>
  <c r="B296" i="17"/>
  <c r="A296" i="17"/>
  <c r="AH295" i="17"/>
  <c r="S295" i="17"/>
  <c r="E295" i="17"/>
  <c r="D295" i="17"/>
  <c r="C295" i="17"/>
  <c r="B295" i="17"/>
  <c r="A295" i="17"/>
  <c r="AH294" i="17"/>
  <c r="S294" i="17"/>
  <c r="E294" i="17"/>
  <c r="D294" i="17"/>
  <c r="C294" i="17"/>
  <c r="B294" i="17"/>
  <c r="A294" i="17"/>
  <c r="AH293" i="17"/>
  <c r="S293" i="17"/>
  <c r="E293" i="17"/>
  <c r="D293" i="17"/>
  <c r="C293" i="17"/>
  <c r="B293" i="17"/>
  <c r="A293" i="17"/>
  <c r="AH292" i="17"/>
  <c r="S292" i="17"/>
  <c r="E292" i="17"/>
  <c r="D292" i="17"/>
  <c r="C292" i="17"/>
  <c r="B292" i="17"/>
  <c r="A292" i="17"/>
  <c r="AH291" i="17"/>
  <c r="S291" i="17"/>
  <c r="E291" i="17"/>
  <c r="D291" i="17"/>
  <c r="C291" i="17"/>
  <c r="B291" i="17"/>
  <c r="A291" i="17"/>
  <c r="AH290" i="17"/>
  <c r="S290" i="17"/>
  <c r="E290" i="17"/>
  <c r="D290" i="17"/>
  <c r="C290" i="17"/>
  <c r="B290" i="17"/>
  <c r="A290" i="17"/>
  <c r="AH289" i="17"/>
  <c r="S289" i="17"/>
  <c r="E289" i="17"/>
  <c r="D289" i="17"/>
  <c r="C289" i="17"/>
  <c r="B289" i="17"/>
  <c r="A289" i="17"/>
  <c r="AH288" i="17"/>
  <c r="S288" i="17"/>
  <c r="E288" i="17"/>
  <c r="D288" i="17"/>
  <c r="C288" i="17"/>
  <c r="B288" i="17"/>
  <c r="A288" i="17"/>
  <c r="AH287" i="17"/>
  <c r="S287" i="17"/>
  <c r="E287" i="17"/>
  <c r="D287" i="17"/>
  <c r="C287" i="17"/>
  <c r="B287" i="17"/>
  <c r="A287" i="17"/>
  <c r="AH286" i="17"/>
  <c r="S286" i="17"/>
  <c r="E286" i="17"/>
  <c r="D286" i="17"/>
  <c r="C286" i="17"/>
  <c r="B286" i="17"/>
  <c r="A286" i="17"/>
  <c r="AH285" i="17"/>
  <c r="S285" i="17"/>
  <c r="E285" i="17"/>
  <c r="D285" i="17"/>
  <c r="C285" i="17"/>
  <c r="B285" i="17"/>
  <c r="A285" i="17"/>
  <c r="AH284" i="17"/>
  <c r="S284" i="17"/>
  <c r="E284" i="17"/>
  <c r="D284" i="17"/>
  <c r="C284" i="17"/>
  <c r="B284" i="17"/>
  <c r="A284" i="17"/>
  <c r="AH283" i="17"/>
  <c r="S283" i="17"/>
  <c r="E283" i="17"/>
  <c r="D283" i="17"/>
  <c r="C283" i="17"/>
  <c r="B283" i="17"/>
  <c r="A283" i="17"/>
  <c r="AH282" i="17"/>
  <c r="S282" i="17"/>
  <c r="E282" i="17"/>
  <c r="D282" i="17"/>
  <c r="C282" i="17"/>
  <c r="B282" i="17"/>
  <c r="A282" i="17"/>
  <c r="AH281" i="17"/>
  <c r="S281" i="17"/>
  <c r="E281" i="17"/>
  <c r="D281" i="17"/>
  <c r="C281" i="17"/>
  <c r="B281" i="17"/>
  <c r="A281" i="17"/>
  <c r="AH280" i="17"/>
  <c r="S280" i="17"/>
  <c r="E280" i="17"/>
  <c r="D280" i="17"/>
  <c r="C280" i="17"/>
  <c r="B280" i="17"/>
  <c r="A280" i="17"/>
  <c r="AH279" i="17"/>
  <c r="S279" i="17"/>
  <c r="E279" i="17"/>
  <c r="D279" i="17"/>
  <c r="C279" i="17"/>
  <c r="B279" i="17"/>
  <c r="A279" i="17"/>
  <c r="AH278" i="17"/>
  <c r="S278" i="17"/>
  <c r="E278" i="17"/>
  <c r="D278" i="17"/>
  <c r="C278" i="17"/>
  <c r="B278" i="17"/>
  <c r="A278" i="17"/>
  <c r="AH277" i="17"/>
  <c r="S277" i="17"/>
  <c r="E277" i="17"/>
  <c r="D277" i="17"/>
  <c r="C277" i="17"/>
  <c r="B277" i="17"/>
  <c r="A277" i="17"/>
  <c r="AH276" i="17"/>
  <c r="S276" i="17"/>
  <c r="E276" i="17"/>
  <c r="D276" i="17"/>
  <c r="C276" i="17"/>
  <c r="B276" i="17"/>
  <c r="A276" i="17"/>
  <c r="AH275" i="17"/>
  <c r="S275" i="17"/>
  <c r="E275" i="17"/>
  <c r="D275" i="17"/>
  <c r="C275" i="17"/>
  <c r="B275" i="17"/>
  <c r="A275" i="17"/>
  <c r="AH274" i="17"/>
  <c r="S274" i="17"/>
  <c r="E274" i="17"/>
  <c r="D274" i="17"/>
  <c r="C274" i="17"/>
  <c r="B274" i="17"/>
  <c r="A274" i="17"/>
  <c r="AH273" i="17"/>
  <c r="S273" i="17"/>
  <c r="E273" i="17"/>
  <c r="D273" i="17"/>
  <c r="C273" i="17"/>
  <c r="B273" i="17"/>
  <c r="A273" i="17"/>
  <c r="AH272" i="17"/>
  <c r="S272" i="17"/>
  <c r="E272" i="17"/>
  <c r="D272" i="17"/>
  <c r="C272" i="17"/>
  <c r="B272" i="17"/>
  <c r="A272" i="17"/>
  <c r="AH271" i="17"/>
  <c r="S271" i="17"/>
  <c r="E271" i="17"/>
  <c r="D271" i="17"/>
  <c r="C271" i="17"/>
  <c r="B271" i="17"/>
  <c r="A271" i="17"/>
  <c r="AH270" i="17"/>
  <c r="S270" i="17"/>
  <c r="E270" i="17"/>
  <c r="D270" i="17"/>
  <c r="C270" i="17"/>
  <c r="B270" i="17"/>
  <c r="A270" i="17"/>
  <c r="AH269" i="17"/>
  <c r="S269" i="17"/>
  <c r="E269" i="17"/>
  <c r="D269" i="17"/>
  <c r="C269" i="17"/>
  <c r="B269" i="17"/>
  <c r="A269" i="17"/>
  <c r="AH268" i="17"/>
  <c r="S268" i="17"/>
  <c r="E268" i="17"/>
  <c r="D268" i="17"/>
  <c r="C268" i="17"/>
  <c r="B268" i="17"/>
  <c r="A268" i="17"/>
  <c r="AH267" i="17"/>
  <c r="S267" i="17"/>
  <c r="E267" i="17"/>
  <c r="D267" i="17"/>
  <c r="C267" i="17"/>
  <c r="B267" i="17"/>
  <c r="A267" i="17"/>
  <c r="AH266" i="17"/>
  <c r="S266" i="17"/>
  <c r="E266" i="17"/>
  <c r="D266" i="17"/>
  <c r="C266" i="17"/>
  <c r="B266" i="17"/>
  <c r="A266" i="17"/>
  <c r="AH265" i="17"/>
  <c r="S265" i="17"/>
  <c r="E265" i="17"/>
  <c r="D265" i="17"/>
  <c r="C265" i="17"/>
  <c r="B265" i="17"/>
  <c r="A265" i="17"/>
  <c r="AH264" i="17"/>
  <c r="S264" i="17"/>
  <c r="E264" i="17"/>
  <c r="D264" i="17"/>
  <c r="C264" i="17"/>
  <c r="B264" i="17"/>
  <c r="A264" i="17"/>
  <c r="AH263" i="17"/>
  <c r="S263" i="17"/>
  <c r="E263" i="17"/>
  <c r="D263" i="17"/>
  <c r="C263" i="17"/>
  <c r="B263" i="17"/>
  <c r="A263" i="17"/>
  <c r="AH262" i="17"/>
  <c r="S262" i="17"/>
  <c r="E262" i="17"/>
  <c r="D262" i="17"/>
  <c r="C262" i="17"/>
  <c r="B262" i="17"/>
  <c r="A262" i="17"/>
  <c r="AH261" i="17"/>
  <c r="S261" i="17"/>
  <c r="E261" i="17"/>
  <c r="D261" i="17"/>
  <c r="C261" i="17"/>
  <c r="B261" i="17"/>
  <c r="A261" i="17"/>
  <c r="AH260" i="17"/>
  <c r="S260" i="17"/>
  <c r="E260" i="17"/>
  <c r="D260" i="17"/>
  <c r="C260" i="17"/>
  <c r="B260" i="17"/>
  <c r="A260" i="17"/>
  <c r="AH259" i="17"/>
  <c r="S259" i="17"/>
  <c r="E259" i="17"/>
  <c r="D259" i="17"/>
  <c r="C259" i="17"/>
  <c r="B259" i="17"/>
  <c r="A259" i="17"/>
  <c r="AH258" i="17"/>
  <c r="S258" i="17"/>
  <c r="E258" i="17"/>
  <c r="D258" i="17"/>
  <c r="C258" i="17"/>
  <c r="B258" i="17"/>
  <c r="A258" i="17"/>
  <c r="AH257" i="17"/>
  <c r="S257" i="17"/>
  <c r="E257" i="17"/>
  <c r="D257" i="17"/>
  <c r="C257" i="17"/>
  <c r="B257" i="17"/>
  <c r="A257" i="17"/>
  <c r="AH256" i="17"/>
  <c r="S256" i="17"/>
  <c r="E256" i="17"/>
  <c r="D256" i="17"/>
  <c r="C256" i="17"/>
  <c r="B256" i="17"/>
  <c r="A256" i="17"/>
  <c r="AH255" i="17"/>
  <c r="S255" i="17"/>
  <c r="E255" i="17"/>
  <c r="D255" i="17"/>
  <c r="C255" i="17"/>
  <c r="B255" i="17"/>
  <c r="A255" i="17"/>
  <c r="AH254" i="17"/>
  <c r="S254" i="17"/>
  <c r="E254" i="17"/>
  <c r="D254" i="17"/>
  <c r="C254" i="17"/>
  <c r="B254" i="17"/>
  <c r="A254" i="17"/>
  <c r="AH253" i="17"/>
  <c r="S253" i="17"/>
  <c r="E253" i="17"/>
  <c r="D253" i="17"/>
  <c r="C253" i="17"/>
  <c r="B253" i="17"/>
  <c r="A253" i="17"/>
  <c r="AH252" i="17"/>
  <c r="S252" i="17"/>
  <c r="E252" i="17"/>
  <c r="D252" i="17"/>
  <c r="C252" i="17"/>
  <c r="B252" i="17"/>
  <c r="A252" i="17"/>
  <c r="AH251" i="17"/>
  <c r="S251" i="17"/>
  <c r="E251" i="17"/>
  <c r="D251" i="17"/>
  <c r="C251" i="17"/>
  <c r="B251" i="17"/>
  <c r="A251" i="17"/>
  <c r="AH250" i="17"/>
  <c r="S250" i="17"/>
  <c r="E250" i="17"/>
  <c r="D250" i="17"/>
  <c r="C250" i="17"/>
  <c r="B250" i="17"/>
  <c r="A250" i="17"/>
  <c r="AH249" i="17"/>
  <c r="S249" i="17"/>
  <c r="E249" i="17"/>
  <c r="D249" i="17"/>
  <c r="C249" i="17"/>
  <c r="B249" i="17"/>
  <c r="A249" i="17"/>
  <c r="AH248" i="17"/>
  <c r="S248" i="17"/>
  <c r="E248" i="17"/>
  <c r="D248" i="17"/>
  <c r="C248" i="17"/>
  <c r="B248" i="17"/>
  <c r="A248" i="17"/>
  <c r="AH247" i="17"/>
  <c r="S247" i="17"/>
  <c r="E247" i="17"/>
  <c r="D247" i="17"/>
  <c r="C247" i="17"/>
  <c r="B247" i="17"/>
  <c r="A247" i="17"/>
  <c r="AH246" i="17"/>
  <c r="S246" i="17"/>
  <c r="E246" i="17"/>
  <c r="D246" i="17"/>
  <c r="C246" i="17"/>
  <c r="B246" i="17"/>
  <c r="A246" i="17"/>
  <c r="AH245" i="17"/>
  <c r="S245" i="17"/>
  <c r="E245" i="17"/>
  <c r="D245" i="17"/>
  <c r="C245" i="17"/>
  <c r="B245" i="17"/>
  <c r="A245" i="17"/>
  <c r="AH244" i="17"/>
  <c r="S244" i="17"/>
  <c r="E244" i="17"/>
  <c r="D244" i="17"/>
  <c r="C244" i="17"/>
  <c r="B244" i="17"/>
  <c r="A244" i="17"/>
  <c r="AH243" i="17"/>
  <c r="S243" i="17"/>
  <c r="E243" i="17"/>
  <c r="D243" i="17"/>
  <c r="C243" i="17"/>
  <c r="B243" i="17"/>
  <c r="A243" i="17"/>
  <c r="AH242" i="17"/>
  <c r="S242" i="17"/>
  <c r="E242" i="17"/>
  <c r="D242" i="17"/>
  <c r="C242" i="17"/>
  <c r="B242" i="17"/>
  <c r="A242" i="17"/>
  <c r="AH241" i="17"/>
  <c r="S241" i="17"/>
  <c r="E241" i="17"/>
  <c r="D241" i="17"/>
  <c r="C241" i="17"/>
  <c r="B241" i="17"/>
  <c r="A241" i="17"/>
  <c r="AH240" i="17"/>
  <c r="S240" i="17"/>
  <c r="E240" i="17"/>
  <c r="D240" i="17"/>
  <c r="C240" i="17"/>
  <c r="B240" i="17"/>
  <c r="A240" i="17"/>
  <c r="AH239" i="17"/>
  <c r="S239" i="17"/>
  <c r="E239" i="17"/>
  <c r="D239" i="17"/>
  <c r="C239" i="17"/>
  <c r="B239" i="17"/>
  <c r="A239" i="17"/>
  <c r="AH238" i="17"/>
  <c r="S238" i="17"/>
  <c r="E238" i="17"/>
  <c r="D238" i="17"/>
  <c r="C238" i="17"/>
  <c r="B238" i="17"/>
  <c r="A238" i="17"/>
  <c r="AH237" i="17"/>
  <c r="S237" i="17"/>
  <c r="E237" i="17"/>
  <c r="D237" i="17"/>
  <c r="C237" i="17"/>
  <c r="B237" i="17"/>
  <c r="A237" i="17"/>
  <c r="AH236" i="17"/>
  <c r="S236" i="17"/>
  <c r="E236" i="17"/>
  <c r="D236" i="17"/>
  <c r="C236" i="17"/>
  <c r="B236" i="17"/>
  <c r="A236" i="17"/>
  <c r="AH235" i="17"/>
  <c r="S235" i="17"/>
  <c r="E235" i="17"/>
  <c r="D235" i="17"/>
  <c r="C235" i="17"/>
  <c r="B235" i="17"/>
  <c r="A235" i="17"/>
  <c r="AH234" i="17"/>
  <c r="S234" i="17"/>
  <c r="E234" i="17"/>
  <c r="D234" i="17"/>
  <c r="C234" i="17"/>
  <c r="B234" i="17"/>
  <c r="A234" i="17"/>
  <c r="AH233" i="17"/>
  <c r="S233" i="17"/>
  <c r="E233" i="17"/>
  <c r="D233" i="17"/>
  <c r="C233" i="17"/>
  <c r="B233" i="17"/>
  <c r="A233" i="17"/>
  <c r="AH232" i="17"/>
  <c r="S232" i="17"/>
  <c r="E232" i="17"/>
  <c r="D232" i="17"/>
  <c r="C232" i="17"/>
  <c r="B232" i="17"/>
  <c r="A232" i="17"/>
  <c r="AH231" i="17"/>
  <c r="S231" i="17"/>
  <c r="E231" i="17"/>
  <c r="D231" i="17"/>
  <c r="C231" i="17"/>
  <c r="B231" i="17"/>
  <c r="A231" i="17"/>
  <c r="AH230" i="17"/>
  <c r="S230" i="17"/>
  <c r="E230" i="17"/>
  <c r="D230" i="17"/>
  <c r="C230" i="17"/>
  <c r="B230" i="17"/>
  <c r="A230" i="17"/>
  <c r="AH229" i="17"/>
  <c r="S229" i="17"/>
  <c r="E229" i="17"/>
  <c r="D229" i="17"/>
  <c r="C229" i="17"/>
  <c r="B229" i="17"/>
  <c r="A229" i="17"/>
  <c r="AH228" i="17"/>
  <c r="S228" i="17"/>
  <c r="E228" i="17"/>
  <c r="D228" i="17"/>
  <c r="C228" i="17"/>
  <c r="B228" i="17"/>
  <c r="A228" i="17"/>
  <c r="AH227" i="17"/>
  <c r="S227" i="17"/>
  <c r="E227" i="17"/>
  <c r="D227" i="17"/>
  <c r="C227" i="17"/>
  <c r="B227" i="17"/>
  <c r="A227" i="17"/>
  <c r="AH226" i="17"/>
  <c r="S226" i="17"/>
  <c r="E226" i="17"/>
  <c r="D226" i="17"/>
  <c r="C226" i="17"/>
  <c r="B226" i="17"/>
  <c r="A226" i="17"/>
  <c r="AH225" i="17"/>
  <c r="S225" i="17"/>
  <c r="E225" i="17"/>
  <c r="D225" i="17"/>
  <c r="C225" i="17"/>
  <c r="B225" i="17"/>
  <c r="A225" i="17"/>
  <c r="AH224" i="17"/>
  <c r="S224" i="17"/>
  <c r="E224" i="17"/>
  <c r="D224" i="17"/>
  <c r="C224" i="17"/>
  <c r="B224" i="17"/>
  <c r="A224" i="17"/>
  <c r="AH223" i="17"/>
  <c r="S223" i="17"/>
  <c r="E223" i="17"/>
  <c r="D223" i="17"/>
  <c r="C223" i="17"/>
  <c r="B223" i="17"/>
  <c r="A223" i="17"/>
  <c r="AH222" i="17"/>
  <c r="S222" i="17"/>
  <c r="E222" i="17"/>
  <c r="D222" i="17"/>
  <c r="C222" i="17"/>
  <c r="B222" i="17"/>
  <c r="A222" i="17"/>
  <c r="AH221" i="17"/>
  <c r="S221" i="17"/>
  <c r="E221" i="17"/>
  <c r="D221" i="17"/>
  <c r="C221" i="17"/>
  <c r="B221" i="17"/>
  <c r="A221" i="17"/>
  <c r="AH220" i="17"/>
  <c r="S220" i="17"/>
  <c r="E220" i="17"/>
  <c r="D220" i="17"/>
  <c r="C220" i="17"/>
  <c r="B220" i="17"/>
  <c r="A220" i="17"/>
  <c r="AH219" i="17"/>
  <c r="S219" i="17"/>
  <c r="E219" i="17"/>
  <c r="D219" i="17"/>
  <c r="C219" i="17"/>
  <c r="B219" i="17"/>
  <c r="A219" i="17"/>
  <c r="AH218" i="17"/>
  <c r="S218" i="17"/>
  <c r="E218" i="17"/>
  <c r="D218" i="17"/>
  <c r="C218" i="17"/>
  <c r="B218" i="17"/>
  <c r="A218" i="17"/>
  <c r="AH217" i="17"/>
  <c r="S217" i="17"/>
  <c r="E217" i="17"/>
  <c r="D217" i="17"/>
  <c r="C217" i="17"/>
  <c r="B217" i="17"/>
  <c r="A217" i="17"/>
  <c r="AH216" i="17"/>
  <c r="S216" i="17"/>
  <c r="E216" i="17"/>
  <c r="D216" i="17"/>
  <c r="C216" i="17"/>
  <c r="B216" i="17"/>
  <c r="A216" i="17"/>
  <c r="AH215" i="17"/>
  <c r="S215" i="17"/>
  <c r="E215" i="17"/>
  <c r="D215" i="17"/>
  <c r="C215" i="17"/>
  <c r="B215" i="17"/>
  <c r="A215" i="17"/>
  <c r="AH214" i="17"/>
  <c r="S214" i="17"/>
  <c r="E214" i="17"/>
  <c r="D214" i="17"/>
  <c r="C214" i="17"/>
  <c r="B214" i="17"/>
  <c r="A214" i="17"/>
  <c r="AH213" i="17"/>
  <c r="S213" i="17"/>
  <c r="E213" i="17"/>
  <c r="D213" i="17"/>
  <c r="C213" i="17"/>
  <c r="B213" i="17"/>
  <c r="A213" i="17"/>
  <c r="AH212" i="17"/>
  <c r="S212" i="17"/>
  <c r="E212" i="17"/>
  <c r="D212" i="17"/>
  <c r="C212" i="17"/>
  <c r="B212" i="17"/>
  <c r="A212" i="17"/>
  <c r="AH211" i="17"/>
  <c r="S211" i="17"/>
  <c r="E211" i="17"/>
  <c r="D211" i="17"/>
  <c r="C211" i="17"/>
  <c r="B211" i="17"/>
  <c r="A211" i="17"/>
  <c r="AH210" i="17"/>
  <c r="S210" i="17"/>
  <c r="E210" i="17"/>
  <c r="D210" i="17"/>
  <c r="C210" i="17"/>
  <c r="B210" i="17"/>
  <c r="A210" i="17"/>
  <c r="AH209" i="17"/>
  <c r="S209" i="17"/>
  <c r="E209" i="17"/>
  <c r="D209" i="17"/>
  <c r="C209" i="17"/>
  <c r="B209" i="17"/>
  <c r="A209" i="17"/>
  <c r="AH208" i="17"/>
  <c r="S208" i="17"/>
  <c r="E208" i="17"/>
  <c r="D208" i="17"/>
  <c r="C208" i="17"/>
  <c r="B208" i="17"/>
  <c r="A208" i="17"/>
  <c r="AH207" i="17"/>
  <c r="S207" i="17"/>
  <c r="E207" i="17"/>
  <c r="D207" i="17"/>
  <c r="C207" i="17"/>
  <c r="B207" i="17"/>
  <c r="A207" i="17"/>
  <c r="AH206" i="17"/>
  <c r="S206" i="17"/>
  <c r="E206" i="17"/>
  <c r="D206" i="17"/>
  <c r="C206" i="17"/>
  <c r="B206" i="17"/>
  <c r="A206" i="17"/>
  <c r="AH205" i="17"/>
  <c r="S205" i="17"/>
  <c r="E205" i="17"/>
  <c r="D205" i="17"/>
  <c r="C205" i="17"/>
  <c r="B205" i="17"/>
  <c r="A205" i="17"/>
  <c r="AH204" i="17"/>
  <c r="S204" i="17"/>
  <c r="E204" i="17"/>
  <c r="D204" i="17"/>
  <c r="C204" i="17"/>
  <c r="B204" i="17"/>
  <c r="A204" i="17"/>
  <c r="AH203" i="17"/>
  <c r="S203" i="17"/>
  <c r="E203" i="17"/>
  <c r="D203" i="17"/>
  <c r="C203" i="17"/>
  <c r="B203" i="17"/>
  <c r="A203" i="17"/>
  <c r="AH202" i="17"/>
  <c r="S202" i="17"/>
  <c r="E202" i="17"/>
  <c r="D202" i="17"/>
  <c r="C202" i="17"/>
  <c r="B202" i="17"/>
  <c r="A202" i="17"/>
  <c r="AH201" i="17"/>
  <c r="S201" i="17"/>
  <c r="E201" i="17"/>
  <c r="D201" i="17"/>
  <c r="C201" i="17"/>
  <c r="B201" i="17"/>
  <c r="A201" i="17"/>
  <c r="AH200" i="17"/>
  <c r="S200" i="17"/>
  <c r="E200" i="17"/>
  <c r="D200" i="17"/>
  <c r="C200" i="17"/>
  <c r="B200" i="17"/>
  <c r="A200" i="17"/>
  <c r="AH199" i="17"/>
  <c r="S199" i="17"/>
  <c r="E199" i="17"/>
  <c r="D199" i="17"/>
  <c r="C199" i="17"/>
  <c r="B199" i="17"/>
  <c r="A199" i="17"/>
  <c r="AH198" i="17"/>
  <c r="S198" i="17"/>
  <c r="E198" i="17"/>
  <c r="D198" i="17"/>
  <c r="C198" i="17"/>
  <c r="B198" i="17"/>
  <c r="A198" i="17"/>
  <c r="AH197" i="17"/>
  <c r="S197" i="17"/>
  <c r="E197" i="17"/>
  <c r="D197" i="17"/>
  <c r="C197" i="17"/>
  <c r="B197" i="17"/>
  <c r="A197" i="17"/>
  <c r="AH196" i="17"/>
  <c r="S196" i="17"/>
  <c r="E196" i="17"/>
  <c r="D196" i="17"/>
  <c r="C196" i="17"/>
  <c r="B196" i="17"/>
  <c r="A196" i="17"/>
  <c r="AH195" i="17"/>
  <c r="S195" i="17"/>
  <c r="E195" i="17"/>
  <c r="D195" i="17"/>
  <c r="C195" i="17"/>
  <c r="B195" i="17"/>
  <c r="A195" i="17"/>
  <c r="AH194" i="17"/>
  <c r="S194" i="17"/>
  <c r="E194" i="17"/>
  <c r="D194" i="17"/>
  <c r="C194" i="17"/>
  <c r="B194" i="17"/>
  <c r="A194" i="17"/>
  <c r="AH193" i="17"/>
  <c r="S193" i="17"/>
  <c r="E193" i="17"/>
  <c r="D193" i="17"/>
  <c r="C193" i="17"/>
  <c r="B193" i="17"/>
  <c r="A193" i="17"/>
  <c r="AH192" i="17"/>
  <c r="S192" i="17"/>
  <c r="E192" i="17"/>
  <c r="D192" i="17"/>
  <c r="C192" i="17"/>
  <c r="B192" i="17"/>
  <c r="A192" i="17"/>
  <c r="AH191" i="17"/>
  <c r="S191" i="17"/>
  <c r="E191" i="17"/>
  <c r="D191" i="17"/>
  <c r="C191" i="17"/>
  <c r="B191" i="17"/>
  <c r="A191" i="17"/>
  <c r="AH190" i="17"/>
  <c r="S190" i="17"/>
  <c r="E190" i="17"/>
  <c r="D190" i="17"/>
  <c r="C190" i="17"/>
  <c r="B190" i="17"/>
  <c r="A190" i="17"/>
  <c r="AH189" i="17"/>
  <c r="S189" i="17"/>
  <c r="E189" i="17"/>
  <c r="D189" i="17"/>
  <c r="C189" i="17"/>
  <c r="B189" i="17"/>
  <c r="A189" i="17"/>
  <c r="AH188" i="17"/>
  <c r="S188" i="17"/>
  <c r="E188" i="17"/>
  <c r="D188" i="17"/>
  <c r="C188" i="17"/>
  <c r="B188" i="17"/>
  <c r="A188" i="17"/>
  <c r="AH187" i="17"/>
  <c r="S187" i="17"/>
  <c r="E187" i="17"/>
  <c r="D187" i="17"/>
  <c r="C187" i="17"/>
  <c r="B187" i="17"/>
  <c r="A187" i="17"/>
  <c r="AH186" i="17"/>
  <c r="S186" i="17"/>
  <c r="E186" i="17"/>
  <c r="D186" i="17"/>
  <c r="C186" i="17"/>
  <c r="B186" i="17"/>
  <c r="A186" i="17"/>
  <c r="AH185" i="17"/>
  <c r="S185" i="17"/>
  <c r="E185" i="17"/>
  <c r="D185" i="17"/>
  <c r="C185" i="17"/>
  <c r="B185" i="17"/>
  <c r="A185" i="17"/>
  <c r="AH184" i="17"/>
  <c r="S184" i="17"/>
  <c r="E184" i="17"/>
  <c r="D184" i="17"/>
  <c r="C184" i="17"/>
  <c r="B184" i="17"/>
  <c r="A184" i="17"/>
  <c r="AH183" i="17"/>
  <c r="S183" i="17"/>
  <c r="E183" i="17"/>
  <c r="D183" i="17"/>
  <c r="C183" i="17"/>
  <c r="B183" i="17"/>
  <c r="A183" i="17"/>
  <c r="AH182" i="17"/>
  <c r="S182" i="17"/>
  <c r="E182" i="17"/>
  <c r="D182" i="17"/>
  <c r="C182" i="17"/>
  <c r="B182" i="17"/>
  <c r="A182" i="17"/>
  <c r="AH181" i="17"/>
  <c r="S181" i="17"/>
  <c r="E181" i="17"/>
  <c r="D181" i="17"/>
  <c r="C181" i="17"/>
  <c r="B181" i="17"/>
  <c r="A181" i="17"/>
  <c r="AH180" i="17"/>
  <c r="S180" i="17"/>
  <c r="E180" i="17"/>
  <c r="D180" i="17"/>
  <c r="C180" i="17"/>
  <c r="B180" i="17"/>
  <c r="A180" i="17"/>
  <c r="AH179" i="17"/>
  <c r="S179" i="17"/>
  <c r="E179" i="17"/>
  <c r="D179" i="17"/>
  <c r="C179" i="17"/>
  <c r="B179" i="17"/>
  <c r="A179" i="17"/>
  <c r="AH178" i="17"/>
  <c r="S178" i="17"/>
  <c r="E178" i="17"/>
  <c r="D178" i="17"/>
  <c r="C178" i="17"/>
  <c r="B178" i="17"/>
  <c r="A178" i="17"/>
  <c r="AH177" i="17"/>
  <c r="S177" i="17"/>
  <c r="E177" i="17"/>
  <c r="D177" i="17"/>
  <c r="C177" i="17"/>
  <c r="B177" i="17"/>
  <c r="A177" i="17"/>
  <c r="AH176" i="17"/>
  <c r="S176" i="17"/>
  <c r="E176" i="17"/>
  <c r="D176" i="17"/>
  <c r="C176" i="17"/>
  <c r="B176" i="17"/>
  <c r="A176" i="17"/>
  <c r="AH175" i="17"/>
  <c r="S175" i="17"/>
  <c r="E175" i="17"/>
  <c r="D175" i="17"/>
  <c r="C175" i="17"/>
  <c r="B175" i="17"/>
  <c r="A175" i="17"/>
  <c r="AH174" i="17"/>
  <c r="S174" i="17"/>
  <c r="E174" i="17"/>
  <c r="D174" i="17"/>
  <c r="C174" i="17"/>
  <c r="B174" i="17"/>
  <c r="A174" i="17"/>
  <c r="AH173" i="17"/>
  <c r="S173" i="17"/>
  <c r="E173" i="17"/>
  <c r="D173" i="17"/>
  <c r="C173" i="17"/>
  <c r="B173" i="17"/>
  <c r="A173" i="17"/>
  <c r="AH172" i="17"/>
  <c r="S172" i="17"/>
  <c r="E172" i="17"/>
  <c r="D172" i="17"/>
  <c r="C172" i="17"/>
  <c r="B172" i="17"/>
  <c r="A172" i="17"/>
  <c r="AH171" i="17"/>
  <c r="S171" i="17"/>
  <c r="E171" i="17"/>
  <c r="D171" i="17"/>
  <c r="C171" i="17"/>
  <c r="B171" i="17"/>
  <c r="A171" i="17"/>
  <c r="AH170" i="17"/>
  <c r="S170" i="17"/>
  <c r="E170" i="17"/>
  <c r="D170" i="17"/>
  <c r="C170" i="17"/>
  <c r="B170" i="17"/>
  <c r="A170" i="17"/>
  <c r="AH169" i="17"/>
  <c r="S169" i="17"/>
  <c r="E169" i="17"/>
  <c r="D169" i="17"/>
  <c r="C169" i="17"/>
  <c r="B169" i="17"/>
  <c r="A169" i="17"/>
  <c r="AH168" i="17"/>
  <c r="S168" i="17"/>
  <c r="E168" i="17"/>
  <c r="D168" i="17"/>
  <c r="C168" i="17"/>
  <c r="B168" i="17"/>
  <c r="A168" i="17"/>
  <c r="AH167" i="17"/>
  <c r="S167" i="17"/>
  <c r="E167" i="17"/>
  <c r="D167" i="17"/>
  <c r="C167" i="17"/>
  <c r="B167" i="17"/>
  <c r="A167" i="17"/>
  <c r="AH166" i="17"/>
  <c r="S166" i="17"/>
  <c r="E166" i="17"/>
  <c r="D166" i="17"/>
  <c r="C166" i="17"/>
  <c r="B166" i="17"/>
  <c r="A166" i="17"/>
  <c r="AH165" i="17"/>
  <c r="S165" i="17"/>
  <c r="E165" i="17"/>
  <c r="D165" i="17"/>
  <c r="C165" i="17"/>
  <c r="B165" i="17"/>
  <c r="A165" i="17"/>
  <c r="AH164" i="17"/>
  <c r="S164" i="17"/>
  <c r="E164" i="17"/>
  <c r="D164" i="17"/>
  <c r="C164" i="17"/>
  <c r="B164" i="17"/>
  <c r="A164" i="17"/>
  <c r="AH163" i="17"/>
  <c r="S163" i="17"/>
  <c r="E163" i="17"/>
  <c r="D163" i="17"/>
  <c r="C163" i="17"/>
  <c r="B163" i="17"/>
  <c r="A163" i="17"/>
  <c r="AH162" i="17"/>
  <c r="S162" i="17"/>
  <c r="E162" i="17"/>
  <c r="D162" i="17"/>
  <c r="C162" i="17"/>
  <c r="B162" i="17"/>
  <c r="A162" i="17"/>
  <c r="AH161" i="17"/>
  <c r="S161" i="17"/>
  <c r="E161" i="17"/>
  <c r="D161" i="17"/>
  <c r="C161" i="17"/>
  <c r="B161" i="17"/>
  <c r="A161" i="17"/>
  <c r="AH160" i="17"/>
  <c r="S160" i="17"/>
  <c r="E160" i="17"/>
  <c r="D160" i="17"/>
  <c r="C160" i="17"/>
  <c r="B160" i="17"/>
  <c r="A160" i="17"/>
  <c r="AH159" i="17"/>
  <c r="S159" i="17"/>
  <c r="E159" i="17"/>
  <c r="D159" i="17"/>
  <c r="C159" i="17"/>
  <c r="B159" i="17"/>
  <c r="A159" i="17"/>
  <c r="AH158" i="17"/>
  <c r="S158" i="17"/>
  <c r="E158" i="17"/>
  <c r="D158" i="17"/>
  <c r="C158" i="17"/>
  <c r="B158" i="17"/>
  <c r="A158" i="17"/>
  <c r="AH157" i="17"/>
  <c r="S157" i="17"/>
  <c r="E157" i="17"/>
  <c r="D157" i="17"/>
  <c r="C157" i="17"/>
  <c r="B157" i="17"/>
  <c r="A157" i="17"/>
  <c r="AH156" i="17"/>
  <c r="S156" i="17"/>
  <c r="E156" i="17"/>
  <c r="D156" i="17"/>
  <c r="C156" i="17"/>
  <c r="B156" i="17"/>
  <c r="A156" i="17"/>
  <c r="AH155" i="17"/>
  <c r="S155" i="17"/>
  <c r="E155" i="17"/>
  <c r="D155" i="17"/>
  <c r="C155" i="17"/>
  <c r="B155" i="17"/>
  <c r="A155" i="17"/>
  <c r="AH154" i="17"/>
  <c r="S154" i="17"/>
  <c r="E154" i="17"/>
  <c r="D154" i="17"/>
  <c r="C154" i="17"/>
  <c r="B154" i="17"/>
  <c r="A154" i="17"/>
  <c r="AH153" i="17"/>
  <c r="S153" i="17"/>
  <c r="E153" i="17"/>
  <c r="D153" i="17"/>
  <c r="C153" i="17"/>
  <c r="B153" i="17"/>
  <c r="A153" i="17"/>
  <c r="AH152" i="17"/>
  <c r="S152" i="17"/>
  <c r="E152" i="17"/>
  <c r="D152" i="17"/>
  <c r="C152" i="17"/>
  <c r="B152" i="17"/>
  <c r="A152" i="17"/>
  <c r="AH151" i="17"/>
  <c r="S151" i="17"/>
  <c r="E151" i="17"/>
  <c r="D151" i="17"/>
  <c r="C151" i="17"/>
  <c r="B151" i="17"/>
  <c r="A151" i="17"/>
  <c r="AH150" i="17"/>
  <c r="S150" i="17"/>
  <c r="E150" i="17"/>
  <c r="D150" i="17"/>
  <c r="C150" i="17"/>
  <c r="B150" i="17"/>
  <c r="A150" i="17"/>
  <c r="AH149" i="17"/>
  <c r="S149" i="17"/>
  <c r="E149" i="17"/>
  <c r="D149" i="17"/>
  <c r="C149" i="17"/>
  <c r="B149" i="17"/>
  <c r="A149" i="17"/>
  <c r="AH148" i="17"/>
  <c r="S148" i="17"/>
  <c r="E148" i="17"/>
  <c r="D148" i="17"/>
  <c r="C148" i="17"/>
  <c r="B148" i="17"/>
  <c r="A148" i="17"/>
  <c r="AH147" i="17"/>
  <c r="S147" i="17"/>
  <c r="E147" i="17"/>
  <c r="D147" i="17"/>
  <c r="C147" i="17"/>
  <c r="B147" i="17"/>
  <c r="A147" i="17"/>
  <c r="AH146" i="17"/>
  <c r="S146" i="17"/>
  <c r="E146" i="17"/>
  <c r="D146" i="17"/>
  <c r="C146" i="17"/>
  <c r="B146" i="17"/>
  <c r="A146" i="17"/>
  <c r="AH145" i="17"/>
  <c r="S145" i="17"/>
  <c r="E145" i="17"/>
  <c r="D145" i="17"/>
  <c r="C145" i="17"/>
  <c r="B145" i="17"/>
  <c r="A145" i="17"/>
  <c r="AH144" i="17"/>
  <c r="S144" i="17"/>
  <c r="E144" i="17"/>
  <c r="D144" i="17"/>
  <c r="C144" i="17"/>
  <c r="B144" i="17"/>
  <c r="A144" i="17"/>
  <c r="AH143" i="17"/>
  <c r="S143" i="17"/>
  <c r="E143" i="17"/>
  <c r="D143" i="17"/>
  <c r="C143" i="17"/>
  <c r="B143" i="17"/>
  <c r="A143" i="17"/>
  <c r="AH142" i="17"/>
  <c r="S142" i="17"/>
  <c r="E142" i="17"/>
  <c r="D142" i="17"/>
  <c r="C142" i="17"/>
  <c r="B142" i="17"/>
  <c r="A142" i="17"/>
  <c r="AH141" i="17"/>
  <c r="S141" i="17"/>
  <c r="E141" i="17"/>
  <c r="D141" i="17"/>
  <c r="C141" i="17"/>
  <c r="B141" i="17"/>
  <c r="A141" i="17"/>
  <c r="AH140" i="17"/>
  <c r="S140" i="17"/>
  <c r="E140" i="17"/>
  <c r="D140" i="17"/>
  <c r="C140" i="17"/>
  <c r="B140" i="17"/>
  <c r="A140" i="17"/>
  <c r="AH139" i="17"/>
  <c r="S139" i="17"/>
  <c r="E139" i="17"/>
  <c r="D139" i="17"/>
  <c r="C139" i="17"/>
  <c r="B139" i="17"/>
  <c r="A139" i="17"/>
  <c r="AH138" i="17"/>
  <c r="S138" i="17"/>
  <c r="E138" i="17"/>
  <c r="D138" i="17"/>
  <c r="C138" i="17"/>
  <c r="B138" i="17"/>
  <c r="A138" i="17"/>
  <c r="AH137" i="17"/>
  <c r="S137" i="17"/>
  <c r="E137" i="17"/>
  <c r="D137" i="17"/>
  <c r="C137" i="17"/>
  <c r="B137" i="17"/>
  <c r="A137" i="17"/>
  <c r="AH136" i="17"/>
  <c r="S136" i="17"/>
  <c r="E136" i="17"/>
  <c r="D136" i="17"/>
  <c r="C136" i="17"/>
  <c r="B136" i="17"/>
  <c r="A136" i="17"/>
  <c r="AH135" i="17"/>
  <c r="S135" i="17"/>
  <c r="E135" i="17"/>
  <c r="D135" i="17"/>
  <c r="C135" i="17"/>
  <c r="B135" i="17"/>
  <c r="A135" i="17"/>
  <c r="AH134" i="17"/>
  <c r="S134" i="17"/>
  <c r="E134" i="17"/>
  <c r="D134" i="17"/>
  <c r="C134" i="17"/>
  <c r="B134" i="17"/>
  <c r="A134" i="17"/>
  <c r="AH133" i="17"/>
  <c r="S133" i="17"/>
  <c r="E133" i="17"/>
  <c r="D133" i="17"/>
  <c r="C133" i="17"/>
  <c r="B133" i="17"/>
  <c r="A133" i="17"/>
  <c r="AH132" i="17"/>
  <c r="S132" i="17"/>
  <c r="E132" i="17"/>
  <c r="D132" i="17"/>
  <c r="C132" i="17"/>
  <c r="B132" i="17"/>
  <c r="A132" i="17"/>
  <c r="AH131" i="17"/>
  <c r="S131" i="17"/>
  <c r="E131" i="17"/>
  <c r="D131" i="17"/>
  <c r="C131" i="17"/>
  <c r="B131" i="17"/>
  <c r="A131" i="17"/>
  <c r="AH130" i="17"/>
  <c r="S130" i="17"/>
  <c r="E130" i="17"/>
  <c r="D130" i="17"/>
  <c r="C130" i="17"/>
  <c r="B130" i="17"/>
  <c r="A130" i="17"/>
  <c r="AH129" i="17"/>
  <c r="S129" i="17"/>
  <c r="E129" i="17"/>
  <c r="D129" i="17"/>
  <c r="C129" i="17"/>
  <c r="B129" i="17"/>
  <c r="A129" i="17"/>
  <c r="AH128" i="17"/>
  <c r="S128" i="17"/>
  <c r="E128" i="17"/>
  <c r="D128" i="17"/>
  <c r="C128" i="17"/>
  <c r="B128" i="17"/>
  <c r="A128" i="17"/>
  <c r="AH127" i="17"/>
  <c r="S127" i="17"/>
  <c r="E127" i="17"/>
  <c r="D127" i="17"/>
  <c r="C127" i="17"/>
  <c r="B127" i="17"/>
  <c r="A127" i="17"/>
  <c r="AH126" i="17"/>
  <c r="S126" i="17"/>
  <c r="E126" i="17"/>
  <c r="D126" i="17"/>
  <c r="C126" i="17"/>
  <c r="B126" i="17"/>
  <c r="A126" i="17"/>
  <c r="AH125" i="17"/>
  <c r="S125" i="17"/>
  <c r="E125" i="17"/>
  <c r="D125" i="17"/>
  <c r="C125" i="17"/>
  <c r="B125" i="17"/>
  <c r="A125" i="17"/>
  <c r="AH124" i="17"/>
  <c r="S124" i="17"/>
  <c r="E124" i="17"/>
  <c r="D124" i="17"/>
  <c r="C124" i="17"/>
  <c r="B124" i="17"/>
  <c r="A124" i="17"/>
  <c r="AH123" i="17"/>
  <c r="S123" i="17"/>
  <c r="E123" i="17"/>
  <c r="D123" i="17"/>
  <c r="C123" i="17"/>
  <c r="B123" i="17"/>
  <c r="A123" i="17"/>
  <c r="AH122" i="17"/>
  <c r="S122" i="17"/>
  <c r="E122" i="17"/>
  <c r="D122" i="17"/>
  <c r="C122" i="17"/>
  <c r="B122" i="17"/>
  <c r="A122" i="17"/>
  <c r="AH121" i="17"/>
  <c r="S121" i="17"/>
  <c r="E121" i="17"/>
  <c r="D121" i="17"/>
  <c r="C121" i="17"/>
  <c r="B121" i="17"/>
  <c r="A121" i="17"/>
  <c r="AH120" i="17"/>
  <c r="S120" i="17"/>
  <c r="E120" i="17"/>
  <c r="D120" i="17"/>
  <c r="C120" i="17"/>
  <c r="B120" i="17"/>
  <c r="A120" i="17"/>
  <c r="AH119" i="17"/>
  <c r="S119" i="17"/>
  <c r="E119" i="17"/>
  <c r="D119" i="17"/>
  <c r="C119" i="17"/>
  <c r="B119" i="17"/>
  <c r="A119" i="17"/>
  <c r="AH118" i="17"/>
  <c r="S118" i="17"/>
  <c r="E118" i="17"/>
  <c r="D118" i="17"/>
  <c r="C118" i="17"/>
  <c r="B118" i="17"/>
  <c r="A118" i="17"/>
  <c r="AH117" i="17"/>
  <c r="S117" i="17"/>
  <c r="E117" i="17"/>
  <c r="D117" i="17"/>
  <c r="C117" i="17"/>
  <c r="B117" i="17"/>
  <c r="A117" i="17"/>
  <c r="AH116" i="17"/>
  <c r="S116" i="17"/>
  <c r="E116" i="17"/>
  <c r="D116" i="17"/>
  <c r="C116" i="17"/>
  <c r="B116" i="17"/>
  <c r="A116" i="17"/>
  <c r="AH115" i="17"/>
  <c r="S115" i="17"/>
  <c r="E115" i="17"/>
  <c r="D115" i="17"/>
  <c r="C115" i="17"/>
  <c r="B115" i="17"/>
  <c r="A115" i="17"/>
  <c r="AH114" i="17"/>
  <c r="S114" i="17"/>
  <c r="E114" i="17"/>
  <c r="D114" i="17"/>
  <c r="C114" i="17"/>
  <c r="B114" i="17"/>
  <c r="A114" i="17"/>
  <c r="AH113" i="17"/>
  <c r="S113" i="17"/>
  <c r="E113" i="17"/>
  <c r="D113" i="17"/>
  <c r="C113" i="17"/>
  <c r="B113" i="17"/>
  <c r="A113" i="17"/>
  <c r="AH112" i="17"/>
  <c r="S112" i="17"/>
  <c r="E112" i="17"/>
  <c r="D112" i="17"/>
  <c r="C112" i="17"/>
  <c r="B112" i="17"/>
  <c r="A112" i="17"/>
  <c r="AH111" i="17"/>
  <c r="S111" i="17"/>
  <c r="E111" i="17"/>
  <c r="D111" i="17"/>
  <c r="C111" i="17"/>
  <c r="B111" i="17"/>
  <c r="A111" i="17"/>
  <c r="AH110" i="17"/>
  <c r="S110" i="17"/>
  <c r="E110" i="17"/>
  <c r="D110" i="17"/>
  <c r="C110" i="17"/>
  <c r="B110" i="17"/>
  <c r="A110" i="17"/>
  <c r="AH109" i="17"/>
  <c r="S109" i="17"/>
  <c r="E109" i="17"/>
  <c r="D109" i="17"/>
  <c r="C109" i="17"/>
  <c r="B109" i="17"/>
  <c r="A109" i="17"/>
  <c r="AH108" i="17"/>
  <c r="S108" i="17"/>
  <c r="E108" i="17"/>
  <c r="D108" i="17"/>
  <c r="C108" i="17"/>
  <c r="B108" i="17"/>
  <c r="A108" i="17"/>
  <c r="AH107" i="17"/>
  <c r="S107" i="17"/>
  <c r="E107" i="17"/>
  <c r="D107" i="17"/>
  <c r="C107" i="17"/>
  <c r="B107" i="17"/>
  <c r="A107" i="17"/>
  <c r="AH106" i="17"/>
  <c r="S106" i="17"/>
  <c r="E106" i="17"/>
  <c r="D106" i="17"/>
  <c r="C106" i="17"/>
  <c r="B106" i="17"/>
  <c r="A106" i="17"/>
  <c r="AH105" i="17"/>
  <c r="S105" i="17"/>
  <c r="E105" i="17"/>
  <c r="D105" i="17"/>
  <c r="C105" i="17"/>
  <c r="B105" i="17"/>
  <c r="A105" i="17"/>
  <c r="AH104" i="17"/>
  <c r="S104" i="17"/>
  <c r="E104" i="17"/>
  <c r="D104" i="17"/>
  <c r="C104" i="17"/>
  <c r="B104" i="17"/>
  <c r="A104" i="17"/>
  <c r="AH103" i="17"/>
  <c r="S103" i="17"/>
  <c r="E103" i="17"/>
  <c r="D103" i="17"/>
  <c r="C103" i="17"/>
  <c r="B103" i="17"/>
  <c r="A103" i="17"/>
  <c r="AH102" i="17"/>
  <c r="S102" i="17"/>
  <c r="E102" i="17"/>
  <c r="D102" i="17"/>
  <c r="C102" i="17"/>
  <c r="B102" i="17"/>
  <c r="A102" i="17"/>
  <c r="AH101" i="17"/>
  <c r="S101" i="17"/>
  <c r="E101" i="17"/>
  <c r="D101" i="17"/>
  <c r="C101" i="17"/>
  <c r="B101" i="17"/>
  <c r="A101" i="17"/>
  <c r="AH100" i="17"/>
  <c r="S100" i="17"/>
  <c r="E100" i="17"/>
  <c r="D100" i="17"/>
  <c r="C100" i="17"/>
  <c r="B100" i="17"/>
  <c r="A100" i="17"/>
  <c r="AH99" i="17"/>
  <c r="S99" i="17"/>
  <c r="E99" i="17"/>
  <c r="D99" i="17"/>
  <c r="C99" i="17"/>
  <c r="B99" i="17"/>
  <c r="A99" i="17"/>
  <c r="AH98" i="17"/>
  <c r="S98" i="17"/>
  <c r="E98" i="17"/>
  <c r="D98" i="17"/>
  <c r="C98" i="17"/>
  <c r="B98" i="17"/>
  <c r="A98" i="17"/>
  <c r="AH97" i="17"/>
  <c r="S97" i="17"/>
  <c r="E97" i="17"/>
  <c r="D97" i="17"/>
  <c r="C97" i="17"/>
  <c r="B97" i="17"/>
  <c r="A97" i="17"/>
  <c r="AH96" i="17"/>
  <c r="S96" i="17"/>
  <c r="E96" i="17"/>
  <c r="D96" i="17"/>
  <c r="C96" i="17"/>
  <c r="B96" i="17"/>
  <c r="A96" i="17"/>
  <c r="AH95" i="17"/>
  <c r="S95" i="17"/>
  <c r="E95" i="17"/>
  <c r="D95" i="17"/>
  <c r="C95" i="17"/>
  <c r="B95" i="17"/>
  <c r="A95" i="17"/>
  <c r="AH94" i="17"/>
  <c r="S94" i="17"/>
  <c r="E94" i="17"/>
  <c r="D94" i="17"/>
  <c r="C94" i="17"/>
  <c r="B94" i="17"/>
  <c r="A94" i="17"/>
  <c r="AH93" i="17"/>
  <c r="S93" i="17"/>
  <c r="E93" i="17"/>
  <c r="D93" i="17"/>
  <c r="C93" i="17"/>
  <c r="B93" i="17"/>
  <c r="A93" i="17"/>
  <c r="AH92" i="17"/>
  <c r="S92" i="17"/>
  <c r="E92" i="17"/>
  <c r="D92" i="17"/>
  <c r="C92" i="17"/>
  <c r="B92" i="17"/>
  <c r="A92" i="17"/>
  <c r="AH91" i="17"/>
  <c r="S91" i="17"/>
  <c r="E91" i="17"/>
  <c r="D91" i="17"/>
  <c r="C91" i="17"/>
  <c r="B91" i="17"/>
  <c r="A91" i="17"/>
  <c r="AH90" i="17"/>
  <c r="S90" i="17"/>
  <c r="E90" i="17"/>
  <c r="D90" i="17"/>
  <c r="C90" i="17"/>
  <c r="B90" i="17"/>
  <c r="A90" i="17"/>
  <c r="AH89" i="17"/>
  <c r="S89" i="17"/>
  <c r="E89" i="17"/>
  <c r="D89" i="17"/>
  <c r="C89" i="17"/>
  <c r="B89" i="17"/>
  <c r="A89" i="17"/>
  <c r="AH88" i="17"/>
  <c r="S88" i="17"/>
  <c r="E88" i="17"/>
  <c r="D88" i="17"/>
  <c r="C88" i="17"/>
  <c r="B88" i="17"/>
  <c r="A88" i="17"/>
  <c r="AH87" i="17"/>
  <c r="S87" i="17"/>
  <c r="E87" i="17"/>
  <c r="D87" i="17"/>
  <c r="C87" i="17"/>
  <c r="B87" i="17"/>
  <c r="A87" i="17"/>
  <c r="AH86" i="17"/>
  <c r="S86" i="17"/>
  <c r="E86" i="17"/>
  <c r="D86" i="17"/>
  <c r="C86" i="17"/>
  <c r="B86" i="17"/>
  <c r="A86" i="17"/>
  <c r="AH85" i="17"/>
  <c r="S85" i="17"/>
  <c r="E85" i="17"/>
  <c r="D85" i="17"/>
  <c r="C85" i="17"/>
  <c r="B85" i="17"/>
  <c r="A85" i="17"/>
  <c r="AH84" i="17"/>
  <c r="S84" i="17"/>
  <c r="E84" i="17"/>
  <c r="D84" i="17"/>
  <c r="C84" i="17"/>
  <c r="B84" i="17"/>
  <c r="A84" i="17"/>
  <c r="AH83" i="17"/>
  <c r="S83" i="17"/>
  <c r="E83" i="17"/>
  <c r="D83" i="17"/>
  <c r="C83" i="17"/>
  <c r="B83" i="17"/>
  <c r="A83" i="17"/>
  <c r="AH82" i="17"/>
  <c r="S82" i="17"/>
  <c r="E82" i="17"/>
  <c r="D82" i="17"/>
  <c r="C82" i="17"/>
  <c r="B82" i="17"/>
  <c r="A82" i="17"/>
  <c r="AH81" i="17"/>
  <c r="S81" i="17"/>
  <c r="E81" i="17"/>
  <c r="D81" i="17"/>
  <c r="C81" i="17"/>
  <c r="B81" i="17"/>
  <c r="A81" i="17"/>
  <c r="AH80" i="17"/>
  <c r="S80" i="17"/>
  <c r="E80" i="17"/>
  <c r="D80" i="17"/>
  <c r="C80" i="17"/>
  <c r="B80" i="17"/>
  <c r="A80" i="17"/>
  <c r="AH79" i="17"/>
  <c r="S79" i="17"/>
  <c r="E79" i="17"/>
  <c r="D79" i="17"/>
  <c r="C79" i="17"/>
  <c r="B79" i="17"/>
  <c r="A79" i="17"/>
  <c r="AH78" i="17"/>
  <c r="S78" i="17"/>
  <c r="E78" i="17"/>
  <c r="D78" i="17"/>
  <c r="C78" i="17"/>
  <c r="B78" i="17"/>
  <c r="A78" i="17"/>
  <c r="AH77" i="17"/>
  <c r="S77" i="17"/>
  <c r="E77" i="17"/>
  <c r="D77" i="17"/>
  <c r="C77" i="17"/>
  <c r="B77" i="17"/>
  <c r="A77" i="17"/>
  <c r="AH76" i="17"/>
  <c r="S76" i="17"/>
  <c r="E76" i="17"/>
  <c r="D76" i="17"/>
  <c r="C76" i="17"/>
  <c r="B76" i="17"/>
  <c r="A76" i="17"/>
  <c r="AH75" i="17"/>
  <c r="S75" i="17"/>
  <c r="E75" i="17"/>
  <c r="D75" i="17"/>
  <c r="C75" i="17"/>
  <c r="B75" i="17"/>
  <c r="A75" i="17"/>
  <c r="AH74" i="17"/>
  <c r="S74" i="17"/>
  <c r="E74" i="17"/>
  <c r="D74" i="17"/>
  <c r="C74" i="17"/>
  <c r="B74" i="17"/>
  <c r="A74" i="17"/>
  <c r="AH73" i="17"/>
  <c r="S73" i="17"/>
  <c r="E73" i="17"/>
  <c r="D73" i="17"/>
  <c r="C73" i="17"/>
  <c r="B73" i="17"/>
  <c r="A73" i="17"/>
  <c r="AH72" i="17"/>
  <c r="S72" i="17"/>
  <c r="E72" i="17"/>
  <c r="D72" i="17"/>
  <c r="C72" i="17"/>
  <c r="B72" i="17"/>
  <c r="A72" i="17"/>
  <c r="AH71" i="17"/>
  <c r="S71" i="17"/>
  <c r="E71" i="17"/>
  <c r="D71" i="17"/>
  <c r="C71" i="17"/>
  <c r="B71" i="17"/>
  <c r="A71" i="17"/>
  <c r="AH70" i="17"/>
  <c r="S70" i="17"/>
  <c r="E70" i="17"/>
  <c r="D70" i="17"/>
  <c r="C70" i="17"/>
  <c r="B70" i="17"/>
  <c r="A70" i="17"/>
  <c r="AH69" i="17"/>
  <c r="S69" i="17"/>
  <c r="E69" i="17"/>
  <c r="D69" i="17"/>
  <c r="C69" i="17"/>
  <c r="B69" i="17"/>
  <c r="A69" i="17"/>
  <c r="AH68" i="17"/>
  <c r="S68" i="17"/>
  <c r="E68" i="17"/>
  <c r="D68" i="17"/>
  <c r="C68" i="17"/>
  <c r="B68" i="17"/>
  <c r="A68" i="17"/>
  <c r="AH67" i="17"/>
  <c r="S67" i="17"/>
  <c r="E67" i="17"/>
  <c r="D67" i="17"/>
  <c r="C67" i="17"/>
  <c r="B67" i="17"/>
  <c r="A67" i="17"/>
  <c r="AH66" i="17"/>
  <c r="S66" i="17"/>
  <c r="E66" i="17"/>
  <c r="D66" i="17"/>
  <c r="C66" i="17"/>
  <c r="B66" i="17"/>
  <c r="A66" i="17"/>
  <c r="AH65" i="17"/>
  <c r="S65" i="17"/>
  <c r="E65" i="17"/>
  <c r="D65" i="17"/>
  <c r="C65" i="17"/>
  <c r="B65" i="17"/>
  <c r="A65" i="17"/>
  <c r="AH64" i="17"/>
  <c r="S64" i="17"/>
  <c r="E64" i="17"/>
  <c r="D64" i="17"/>
  <c r="C64" i="17"/>
  <c r="B64" i="17"/>
  <c r="A64" i="17"/>
  <c r="AH63" i="17"/>
  <c r="S63" i="17"/>
  <c r="E63" i="17"/>
  <c r="D63" i="17"/>
  <c r="C63" i="17"/>
  <c r="B63" i="17"/>
  <c r="A63" i="17"/>
  <c r="AH62" i="17"/>
  <c r="S62" i="17"/>
  <c r="E62" i="17"/>
  <c r="D62" i="17"/>
  <c r="C62" i="17"/>
  <c r="B62" i="17"/>
  <c r="A62" i="17"/>
  <c r="AH61" i="17"/>
  <c r="S61" i="17"/>
  <c r="E61" i="17"/>
  <c r="D61" i="17"/>
  <c r="C61" i="17"/>
  <c r="B61" i="17"/>
  <c r="A61" i="17"/>
  <c r="AH60" i="17"/>
  <c r="S60" i="17"/>
  <c r="E60" i="17"/>
  <c r="D60" i="17"/>
  <c r="C60" i="17"/>
  <c r="B60" i="17"/>
  <c r="A60" i="17"/>
  <c r="AH59" i="17"/>
  <c r="S59" i="17"/>
  <c r="E59" i="17"/>
  <c r="D59" i="17"/>
  <c r="C59" i="17"/>
  <c r="B59" i="17"/>
  <c r="A59" i="17"/>
  <c r="AH58" i="17"/>
  <c r="S58" i="17"/>
  <c r="E58" i="17"/>
  <c r="D58" i="17"/>
  <c r="C58" i="17"/>
  <c r="B58" i="17"/>
  <c r="A58" i="17"/>
  <c r="AH57" i="17"/>
  <c r="S57" i="17"/>
  <c r="E57" i="17"/>
  <c r="D57" i="17"/>
  <c r="C57" i="17"/>
  <c r="B57" i="17"/>
  <c r="A57" i="17"/>
  <c r="AH56" i="17"/>
  <c r="S56" i="17"/>
  <c r="E56" i="17"/>
  <c r="D56" i="17"/>
  <c r="C56" i="17"/>
  <c r="B56" i="17"/>
  <c r="A56" i="17"/>
  <c r="AH55" i="17"/>
  <c r="S55" i="17"/>
  <c r="E55" i="17"/>
  <c r="D55" i="17"/>
  <c r="C55" i="17"/>
  <c r="B55" i="17"/>
  <c r="A55" i="17"/>
  <c r="AH54" i="17"/>
  <c r="S54" i="17"/>
  <c r="E54" i="17"/>
  <c r="D54" i="17"/>
  <c r="C54" i="17"/>
  <c r="B54" i="17"/>
  <c r="A54" i="17"/>
  <c r="AH53" i="17"/>
  <c r="S53" i="17"/>
  <c r="E53" i="17"/>
  <c r="D53" i="17"/>
  <c r="C53" i="17"/>
  <c r="B53" i="17"/>
  <c r="A53" i="17"/>
  <c r="AH52" i="17"/>
  <c r="S52" i="17"/>
  <c r="E52" i="17"/>
  <c r="D52" i="17"/>
  <c r="C52" i="17"/>
  <c r="B52" i="17"/>
  <c r="A52" i="17"/>
  <c r="AH51" i="17"/>
  <c r="S51" i="17"/>
  <c r="E51" i="17"/>
  <c r="D51" i="17"/>
  <c r="C51" i="17"/>
  <c r="B51" i="17"/>
  <c r="A51" i="17"/>
  <c r="AH50" i="17"/>
  <c r="S50" i="17"/>
  <c r="E50" i="17"/>
  <c r="D50" i="17"/>
  <c r="C50" i="17"/>
  <c r="B50" i="17"/>
  <c r="A50" i="17"/>
  <c r="AH49" i="17"/>
  <c r="S49" i="17"/>
  <c r="E49" i="17"/>
  <c r="D49" i="17"/>
  <c r="C49" i="17"/>
  <c r="B49" i="17"/>
  <c r="A49" i="17"/>
  <c r="AH48" i="17"/>
  <c r="S48" i="17"/>
  <c r="E48" i="17"/>
  <c r="D48" i="17"/>
  <c r="C48" i="17"/>
  <c r="B48" i="17"/>
  <c r="A48" i="17"/>
  <c r="AH47" i="17"/>
  <c r="S47" i="17"/>
  <c r="E47" i="17"/>
  <c r="D47" i="17"/>
  <c r="C47" i="17"/>
  <c r="B47" i="17"/>
  <c r="A47" i="17"/>
  <c r="AH46" i="17"/>
  <c r="S46" i="17"/>
  <c r="E46" i="17"/>
  <c r="D46" i="17"/>
  <c r="C46" i="17"/>
  <c r="B46" i="17"/>
  <c r="A46" i="17"/>
  <c r="AH45" i="17"/>
  <c r="S45" i="17"/>
  <c r="E45" i="17"/>
  <c r="D45" i="17"/>
  <c r="C45" i="17"/>
  <c r="B45" i="17"/>
  <c r="A45" i="17"/>
  <c r="AH44" i="17"/>
  <c r="S44" i="17"/>
  <c r="E44" i="17"/>
  <c r="D44" i="17"/>
  <c r="C44" i="17"/>
  <c r="B44" i="17"/>
  <c r="A44" i="17"/>
  <c r="AH43" i="17"/>
  <c r="S43" i="17"/>
  <c r="E43" i="17"/>
  <c r="D43" i="17"/>
  <c r="C43" i="17"/>
  <c r="B43" i="17"/>
  <c r="A43" i="17"/>
  <c r="AH42" i="17"/>
  <c r="S42" i="17"/>
  <c r="E42" i="17"/>
  <c r="D42" i="17"/>
  <c r="C42" i="17"/>
  <c r="B42" i="17"/>
  <c r="A42" i="17"/>
  <c r="AH41" i="17"/>
  <c r="S41" i="17"/>
  <c r="E41" i="17"/>
  <c r="D41" i="17"/>
  <c r="C41" i="17"/>
  <c r="B41" i="17"/>
  <c r="A41" i="17"/>
  <c r="AH40" i="17"/>
  <c r="S40" i="17"/>
  <c r="E40" i="17"/>
  <c r="D40" i="17"/>
  <c r="C40" i="17"/>
  <c r="B40" i="17"/>
  <c r="A40" i="17"/>
  <c r="AH39" i="17"/>
  <c r="S39" i="17"/>
  <c r="E39" i="17"/>
  <c r="D39" i="17"/>
  <c r="C39" i="17"/>
  <c r="B39" i="17"/>
  <c r="A39" i="17"/>
  <c r="AH38" i="17"/>
  <c r="S38" i="17"/>
  <c r="E38" i="17"/>
  <c r="D38" i="17"/>
  <c r="C38" i="17"/>
  <c r="B38" i="17"/>
  <c r="A38" i="17"/>
  <c r="AH37" i="17"/>
  <c r="S37" i="17"/>
  <c r="E37" i="17"/>
  <c r="D37" i="17"/>
  <c r="C37" i="17"/>
  <c r="B37" i="17"/>
  <c r="A37" i="17"/>
  <c r="AH36" i="17"/>
  <c r="S36" i="17"/>
  <c r="E36" i="17"/>
  <c r="D36" i="17"/>
  <c r="C36" i="17"/>
  <c r="B36" i="17"/>
  <c r="A36" i="17"/>
  <c r="AH35" i="17"/>
  <c r="S35" i="17"/>
  <c r="E35" i="17"/>
  <c r="D35" i="17"/>
  <c r="C35" i="17"/>
  <c r="B35" i="17"/>
  <c r="A35" i="17"/>
  <c r="AH34" i="17"/>
  <c r="S34" i="17"/>
  <c r="E34" i="17"/>
  <c r="D34" i="17"/>
  <c r="C34" i="17"/>
  <c r="B34" i="17"/>
  <c r="A34" i="17"/>
  <c r="AH33" i="17"/>
  <c r="S33" i="17"/>
  <c r="E33" i="17"/>
  <c r="D33" i="17"/>
  <c r="C33" i="17"/>
  <c r="B33" i="17"/>
  <c r="A33" i="17"/>
  <c r="AH32" i="17"/>
  <c r="S32" i="17"/>
  <c r="E32" i="17"/>
  <c r="D32" i="17"/>
  <c r="C32" i="17"/>
  <c r="B32" i="17"/>
  <c r="A32" i="17"/>
  <c r="AH31" i="17"/>
  <c r="S31" i="17"/>
  <c r="E31" i="17"/>
  <c r="D31" i="17"/>
  <c r="C31" i="17"/>
  <c r="B31" i="17"/>
  <c r="A31" i="17"/>
  <c r="AH30" i="17"/>
  <c r="S30" i="17"/>
  <c r="E30" i="17"/>
  <c r="D30" i="17"/>
  <c r="C30" i="17"/>
  <c r="B30" i="17"/>
  <c r="A30" i="17"/>
  <c r="AH29" i="17"/>
  <c r="S29" i="17"/>
  <c r="E29" i="17"/>
  <c r="D29" i="17"/>
  <c r="C29" i="17"/>
  <c r="B29" i="17"/>
  <c r="A29" i="17"/>
  <c r="AH28" i="17"/>
  <c r="S28" i="17"/>
  <c r="E28" i="17"/>
  <c r="D28" i="17"/>
  <c r="C28" i="17"/>
  <c r="B28" i="17"/>
  <c r="A28" i="17"/>
  <c r="AH27" i="17"/>
  <c r="S27" i="17"/>
  <c r="E27" i="17"/>
  <c r="D27" i="17"/>
  <c r="C27" i="17"/>
  <c r="B27" i="17"/>
  <c r="A27" i="17"/>
  <c r="AH26" i="17"/>
  <c r="S26" i="17"/>
  <c r="E26" i="17"/>
  <c r="D26" i="17"/>
  <c r="C26" i="17"/>
  <c r="B26" i="17"/>
  <c r="A26" i="17"/>
  <c r="AH25" i="17"/>
  <c r="S25" i="17"/>
  <c r="E25" i="17"/>
  <c r="D25" i="17"/>
  <c r="C25" i="17"/>
  <c r="B25" i="17"/>
  <c r="A25" i="17"/>
  <c r="AH24" i="17"/>
  <c r="S24" i="17"/>
  <c r="E24" i="17"/>
  <c r="D24" i="17"/>
  <c r="C24" i="17"/>
  <c r="B24" i="17"/>
  <c r="A24" i="17"/>
  <c r="AH23" i="17"/>
  <c r="S23" i="17"/>
  <c r="E23" i="17"/>
  <c r="D23" i="17"/>
  <c r="C23" i="17"/>
  <c r="B23" i="17"/>
  <c r="A23" i="17"/>
  <c r="AH22" i="17"/>
  <c r="S22" i="17"/>
  <c r="E22" i="17"/>
  <c r="D22" i="17"/>
  <c r="C22" i="17"/>
  <c r="B22" i="17"/>
  <c r="A22" i="17"/>
  <c r="AH21" i="17"/>
  <c r="S21" i="17"/>
  <c r="E21" i="17"/>
  <c r="D21" i="17"/>
  <c r="C21" i="17"/>
  <c r="B21" i="17"/>
  <c r="A21" i="17"/>
  <c r="AH20" i="17"/>
  <c r="S20" i="17"/>
  <c r="E20" i="17"/>
  <c r="D20" i="17"/>
  <c r="C20" i="17"/>
  <c r="B20" i="17"/>
  <c r="A20" i="17"/>
  <c r="AH19" i="17"/>
  <c r="S19" i="17"/>
  <c r="E19" i="17"/>
  <c r="D19" i="17"/>
  <c r="C19" i="17"/>
  <c r="B19" i="17"/>
  <c r="A19" i="17"/>
  <c r="AH18" i="17"/>
  <c r="S18" i="17"/>
  <c r="E18" i="17"/>
  <c r="D18" i="17"/>
  <c r="C18" i="17"/>
  <c r="B18" i="17"/>
  <c r="A18" i="17"/>
  <c r="AH17" i="17"/>
  <c r="S17" i="17"/>
  <c r="E17" i="17"/>
  <c r="D17" i="17"/>
  <c r="C17" i="17"/>
  <c r="B17" i="17"/>
  <c r="A17" i="17"/>
  <c r="AH16" i="17"/>
  <c r="S16" i="17"/>
  <c r="E16" i="17"/>
  <c r="D16" i="17"/>
  <c r="C16" i="17"/>
  <c r="B16" i="17"/>
  <c r="A16" i="17"/>
  <c r="AH15" i="17"/>
  <c r="S15" i="17"/>
  <c r="E15" i="17"/>
  <c r="D15" i="17"/>
  <c r="C15" i="17"/>
  <c r="B15" i="17"/>
  <c r="A15" i="17"/>
  <c r="AH14" i="17"/>
  <c r="S14" i="17"/>
  <c r="E14" i="17"/>
  <c r="D14" i="17"/>
  <c r="C14" i="17"/>
  <c r="B14" i="17"/>
  <c r="A14" i="17"/>
  <c r="AH13" i="17"/>
  <c r="S13" i="17"/>
  <c r="E13" i="17"/>
  <c r="D13" i="17"/>
  <c r="C13" i="17"/>
  <c r="B13" i="17"/>
  <c r="A13" i="17"/>
  <c r="AH12" i="17"/>
  <c r="S12" i="17"/>
  <c r="E12" i="17"/>
  <c r="D12" i="17"/>
  <c r="C12" i="17"/>
  <c r="B12" i="17"/>
  <c r="A12" i="17"/>
  <c r="AH11" i="17"/>
  <c r="S11" i="17"/>
  <c r="E11" i="17"/>
  <c r="D11" i="17"/>
  <c r="C11" i="17"/>
  <c r="B11" i="17"/>
  <c r="A11" i="17"/>
  <c r="AH10" i="17"/>
  <c r="S10" i="17"/>
  <c r="E10" i="17"/>
  <c r="D10" i="17"/>
  <c r="C10" i="17"/>
  <c r="B10" i="17"/>
  <c r="A10" i="17"/>
  <c r="AH9" i="17"/>
  <c r="S9" i="17"/>
  <c r="E9" i="17"/>
  <c r="D9" i="17"/>
  <c r="C9" i="17"/>
  <c r="B9" i="17"/>
  <c r="A9" i="17"/>
  <c r="AH8" i="17"/>
  <c r="S8" i="17"/>
  <c r="E8" i="17"/>
  <c r="D8" i="17"/>
  <c r="C8" i="17"/>
  <c r="B8" i="17"/>
  <c r="A8" i="17"/>
  <c r="AH7" i="17"/>
  <c r="S7" i="17"/>
  <c r="E7" i="17"/>
  <c r="D7" i="17"/>
  <c r="C7" i="17"/>
  <c r="B7" i="17"/>
  <c r="A7" i="17"/>
  <c r="AH6" i="17"/>
  <c r="S6" i="17"/>
  <c r="E6" i="17"/>
  <c r="D6" i="17"/>
  <c r="C6" i="17"/>
  <c r="B6" i="17"/>
  <c r="A6" i="17"/>
  <c r="AH5" i="17"/>
  <c r="AH361" i="17" s="1"/>
  <c r="S5" i="17"/>
  <c r="S361" i="17" s="1"/>
  <c r="E5" i="17"/>
  <c r="D5" i="17"/>
  <c r="C5" i="17"/>
  <c r="B5" i="17"/>
  <c r="A5" i="17"/>
  <c r="BX364" i="16"/>
  <c r="BX363" i="16"/>
  <c r="BV361" i="16"/>
  <c r="BU361" i="16"/>
  <c r="BT361" i="16"/>
  <c r="BS361" i="16"/>
  <c r="BR361" i="16"/>
  <c r="BQ361" i="16"/>
  <c r="BP361" i="16"/>
  <c r="BO361" i="16"/>
  <c r="BN361" i="16"/>
  <c r="BM361" i="16"/>
  <c r="BL361" i="16"/>
  <c r="BK361" i="16"/>
  <c r="BJ361" i="16"/>
  <c r="BH361" i="16"/>
  <c r="BG361" i="16"/>
  <c r="BF361" i="16"/>
  <c r="BE361" i="16"/>
  <c r="BD361" i="16"/>
  <c r="BC361" i="16"/>
  <c r="BB361" i="16"/>
  <c r="BA361" i="16"/>
  <c r="AZ361" i="16"/>
  <c r="AY361" i="16"/>
  <c r="AX361" i="16"/>
  <c r="AW361" i="16"/>
  <c r="AV361" i="16"/>
  <c r="AT361" i="16"/>
  <c r="AS361" i="16"/>
  <c r="AR361" i="16"/>
  <c r="AQ361" i="16"/>
  <c r="AP361" i="16"/>
  <c r="AO361" i="16"/>
  <c r="AN361" i="16"/>
  <c r="AM361" i="16"/>
  <c r="AL361" i="16"/>
  <c r="AK361" i="16"/>
  <c r="AJ361" i="16"/>
  <c r="AI361" i="16"/>
  <c r="AH361" i="16"/>
  <c r="BW359" i="16"/>
  <c r="BI359" i="16"/>
  <c r="AU359" i="16"/>
  <c r="AF359" i="16"/>
  <c r="AE359" i="16"/>
  <c r="AD359" i="16"/>
  <c r="AC359" i="16"/>
  <c r="AB359" i="16"/>
  <c r="AA359" i="16"/>
  <c r="Z359" i="16"/>
  <c r="Y359" i="16"/>
  <c r="AG359" i="16" s="1"/>
  <c r="X359" i="16"/>
  <c r="W359" i="16"/>
  <c r="V359" i="16"/>
  <c r="U359" i="16"/>
  <c r="T359" i="16"/>
  <c r="E359" i="16"/>
  <c r="D359" i="16"/>
  <c r="C359" i="16"/>
  <c r="B359" i="16"/>
  <c r="A359" i="16"/>
  <c r="BW358" i="16"/>
  <c r="BI358" i="16"/>
  <c r="AU358" i="16"/>
  <c r="AF358" i="16"/>
  <c r="AE358" i="16"/>
  <c r="AD358" i="16"/>
  <c r="AC358" i="16"/>
  <c r="AB358" i="16"/>
  <c r="AA358" i="16"/>
  <c r="Z358" i="16"/>
  <c r="Y358" i="16"/>
  <c r="X358" i="16"/>
  <c r="W358" i="16"/>
  <c r="V358" i="16"/>
  <c r="U358" i="16"/>
  <c r="AG358" i="16" s="1"/>
  <c r="T358" i="16"/>
  <c r="E358" i="16"/>
  <c r="D358" i="16"/>
  <c r="C358" i="16"/>
  <c r="B358" i="16"/>
  <c r="A358" i="16"/>
  <c r="BW357" i="16"/>
  <c r="BI357" i="16"/>
  <c r="AU357" i="16"/>
  <c r="AF357" i="16"/>
  <c r="AE357" i="16"/>
  <c r="AD357" i="16"/>
  <c r="AC357" i="16"/>
  <c r="AB357" i="16"/>
  <c r="AA357" i="16"/>
  <c r="Z357" i="16"/>
  <c r="Y357" i="16"/>
  <c r="AG357" i="16" s="1"/>
  <c r="X357" i="16"/>
  <c r="W357" i="16"/>
  <c r="V357" i="16"/>
  <c r="U357" i="16"/>
  <c r="T357" i="16"/>
  <c r="E357" i="16"/>
  <c r="D357" i="16"/>
  <c r="C357" i="16"/>
  <c r="B357" i="16"/>
  <c r="A357" i="16"/>
  <c r="BW356" i="16"/>
  <c r="BI356" i="16"/>
  <c r="AU356" i="16"/>
  <c r="AF356" i="16"/>
  <c r="AE356" i="16"/>
  <c r="AD356" i="16"/>
  <c r="AC356" i="16"/>
  <c r="AB356" i="16"/>
  <c r="AA356" i="16"/>
  <c r="Z356" i="16"/>
  <c r="Y356" i="16"/>
  <c r="X356" i="16"/>
  <c r="W356" i="16"/>
  <c r="V356" i="16"/>
  <c r="U356" i="16"/>
  <c r="T356" i="16"/>
  <c r="E356" i="16"/>
  <c r="D356" i="16"/>
  <c r="C356" i="16"/>
  <c r="B356" i="16"/>
  <c r="A356" i="16"/>
  <c r="BW355" i="16"/>
  <c r="BI355" i="16"/>
  <c r="AU355" i="16"/>
  <c r="AF355" i="16"/>
  <c r="AE355" i="16"/>
  <c r="AD355" i="16"/>
  <c r="AC355" i="16"/>
  <c r="AB355" i="16"/>
  <c r="AA355" i="16"/>
  <c r="Z355" i="16"/>
  <c r="Y355" i="16"/>
  <c r="AG355" i="16" s="1"/>
  <c r="X355" i="16"/>
  <c r="W355" i="16"/>
  <c r="V355" i="16"/>
  <c r="U355" i="16"/>
  <c r="T355" i="16"/>
  <c r="E355" i="16"/>
  <c r="D355" i="16"/>
  <c r="C355" i="16"/>
  <c r="B355" i="16"/>
  <c r="A355" i="16"/>
  <c r="BW354" i="16"/>
  <c r="BI354" i="16"/>
  <c r="AU354" i="16"/>
  <c r="AF354" i="16"/>
  <c r="AE354" i="16"/>
  <c r="AD354" i="16"/>
  <c r="AC354" i="16"/>
  <c r="AB354" i="16"/>
  <c r="AA354" i="16"/>
  <c r="Z354" i="16"/>
  <c r="Y354" i="16"/>
  <c r="X354" i="16"/>
  <c r="W354" i="16"/>
  <c r="V354" i="16"/>
  <c r="U354" i="16"/>
  <c r="AG354" i="16" s="1"/>
  <c r="T354" i="16"/>
  <c r="E354" i="16"/>
  <c r="D354" i="16"/>
  <c r="C354" i="16"/>
  <c r="B354" i="16"/>
  <c r="A354" i="16"/>
  <c r="BW353" i="16"/>
  <c r="BI353" i="16"/>
  <c r="AU353" i="16"/>
  <c r="AF353" i="16"/>
  <c r="AE353" i="16"/>
  <c r="AD353" i="16"/>
  <c r="AC353" i="16"/>
  <c r="AB353" i="16"/>
  <c r="AA353" i="16"/>
  <c r="Z353" i="16"/>
  <c r="Y353" i="16"/>
  <c r="AG353" i="16" s="1"/>
  <c r="X353" i="16"/>
  <c r="W353" i="16"/>
  <c r="V353" i="16"/>
  <c r="U353" i="16"/>
  <c r="T353" i="16"/>
  <c r="E353" i="16"/>
  <c r="D353" i="16"/>
  <c r="C353" i="16"/>
  <c r="B353" i="16"/>
  <c r="A353" i="16"/>
  <c r="BW352" i="16"/>
  <c r="BI352" i="16"/>
  <c r="AU352" i="16"/>
  <c r="AF352" i="16"/>
  <c r="AE352" i="16"/>
  <c r="AD352" i="16"/>
  <c r="AC352" i="16"/>
  <c r="AB352" i="16"/>
  <c r="AA352" i="16"/>
  <c r="Z352" i="16"/>
  <c r="Y352" i="16"/>
  <c r="X352" i="16"/>
  <c r="W352" i="16"/>
  <c r="V352" i="16"/>
  <c r="U352" i="16"/>
  <c r="T352" i="16"/>
  <c r="E352" i="16"/>
  <c r="D352" i="16"/>
  <c r="C352" i="16"/>
  <c r="B352" i="16"/>
  <c r="A352" i="16"/>
  <c r="BW351" i="16"/>
  <c r="BI351" i="16"/>
  <c r="AU351" i="16"/>
  <c r="AF351" i="16"/>
  <c r="AE351" i="16"/>
  <c r="AD351" i="16"/>
  <c r="AC351" i="16"/>
  <c r="AB351" i="16"/>
  <c r="AA351" i="16"/>
  <c r="Z351" i="16"/>
  <c r="Y351" i="16"/>
  <c r="AG351" i="16" s="1"/>
  <c r="X351" i="16"/>
  <c r="W351" i="16"/>
  <c r="V351" i="16"/>
  <c r="U351" i="16"/>
  <c r="T351" i="16"/>
  <c r="E351" i="16"/>
  <c r="D351" i="16"/>
  <c r="C351" i="16"/>
  <c r="B351" i="16"/>
  <c r="A351" i="16"/>
  <c r="BW350" i="16"/>
  <c r="BI350" i="16"/>
  <c r="AU350" i="16"/>
  <c r="AF350" i="16"/>
  <c r="AE350" i="16"/>
  <c r="AD350" i="16"/>
  <c r="AC350" i="16"/>
  <c r="AB350" i="16"/>
  <c r="AA350" i="16"/>
  <c r="Z350" i="16"/>
  <c r="Y350" i="16"/>
  <c r="X350" i="16"/>
  <c r="W350" i="16"/>
  <c r="V350" i="16"/>
  <c r="U350" i="16"/>
  <c r="T350" i="16"/>
  <c r="AG350" i="16" s="1"/>
  <c r="E350" i="16"/>
  <c r="D350" i="16"/>
  <c r="C350" i="16"/>
  <c r="B350" i="16"/>
  <c r="A350" i="16"/>
  <c r="BW349" i="16"/>
  <c r="BI349" i="16"/>
  <c r="AU349" i="16"/>
  <c r="AF349" i="16"/>
  <c r="AE349" i="16"/>
  <c r="AD349" i="16"/>
  <c r="AC349" i="16"/>
  <c r="AB349" i="16"/>
  <c r="AA349" i="16"/>
  <c r="Z349" i="16"/>
  <c r="Y349" i="16"/>
  <c r="X349" i="16"/>
  <c r="W349" i="16"/>
  <c r="V349" i="16"/>
  <c r="U349" i="16"/>
  <c r="T349" i="16"/>
  <c r="AG349" i="16" s="1"/>
  <c r="E349" i="16"/>
  <c r="D349" i="16"/>
  <c r="C349" i="16"/>
  <c r="B349" i="16"/>
  <c r="A349" i="16"/>
  <c r="BW348" i="16"/>
  <c r="BI348" i="16"/>
  <c r="AU348" i="16"/>
  <c r="AF348" i="16"/>
  <c r="AE348" i="16"/>
  <c r="AD348" i="16"/>
  <c r="AC348" i="16"/>
  <c r="AB348" i="16"/>
  <c r="AA348" i="16"/>
  <c r="Z348" i="16"/>
  <c r="Y348" i="16"/>
  <c r="X348" i="16"/>
  <c r="W348" i="16"/>
  <c r="V348" i="16"/>
  <c r="U348" i="16"/>
  <c r="T348" i="16"/>
  <c r="AG348" i="16" s="1"/>
  <c r="E348" i="16"/>
  <c r="D348" i="16"/>
  <c r="C348" i="16"/>
  <c r="B348" i="16"/>
  <c r="A348" i="16"/>
  <c r="BW347" i="16"/>
  <c r="BI347" i="16"/>
  <c r="AU347" i="16"/>
  <c r="AF347" i="16"/>
  <c r="AE347" i="16"/>
  <c r="AD347" i="16"/>
  <c r="AC347" i="16"/>
  <c r="AB347" i="16"/>
  <c r="AA347" i="16"/>
  <c r="Z347" i="16"/>
  <c r="Y347" i="16"/>
  <c r="X347" i="16"/>
  <c r="W347" i="16"/>
  <c r="V347" i="16"/>
  <c r="U347" i="16"/>
  <c r="T347" i="16"/>
  <c r="AG347" i="16" s="1"/>
  <c r="E347" i="16"/>
  <c r="D347" i="16"/>
  <c r="C347" i="16"/>
  <c r="B347" i="16"/>
  <c r="A347" i="16"/>
  <c r="BW346" i="16"/>
  <c r="BI346" i="16"/>
  <c r="AU346" i="16"/>
  <c r="AF346" i="16"/>
  <c r="AE346" i="16"/>
  <c r="AD346" i="16"/>
  <c r="AC346" i="16"/>
  <c r="AB346" i="16"/>
  <c r="AA346" i="16"/>
  <c r="Z346" i="16"/>
  <c r="Y346" i="16"/>
  <c r="X346" i="16"/>
  <c r="W346" i="16"/>
  <c r="V346" i="16"/>
  <c r="U346" i="16"/>
  <c r="T346" i="16"/>
  <c r="AG346" i="16" s="1"/>
  <c r="E346" i="16"/>
  <c r="D346" i="16"/>
  <c r="C346" i="16"/>
  <c r="B346" i="16"/>
  <c r="A346" i="16"/>
  <c r="BW345" i="16"/>
  <c r="BI345" i="16"/>
  <c r="AU345" i="16"/>
  <c r="AF345" i="16"/>
  <c r="AE345" i="16"/>
  <c r="AD345" i="16"/>
  <c r="AC345" i="16"/>
  <c r="AB345" i="16"/>
  <c r="AA345" i="16"/>
  <c r="Z345" i="16"/>
  <c r="Y345" i="16"/>
  <c r="X345" i="16"/>
  <c r="W345" i="16"/>
  <c r="V345" i="16"/>
  <c r="U345" i="16"/>
  <c r="T345" i="16"/>
  <c r="AG345" i="16" s="1"/>
  <c r="E345" i="16"/>
  <c r="D345" i="16"/>
  <c r="C345" i="16"/>
  <c r="B345" i="16"/>
  <c r="A345" i="16"/>
  <c r="BW344" i="16"/>
  <c r="BI344" i="16"/>
  <c r="AU344" i="16"/>
  <c r="AF344" i="16"/>
  <c r="AE344" i="16"/>
  <c r="AD344" i="16"/>
  <c r="AC344" i="16"/>
  <c r="AB344" i="16"/>
  <c r="AA344" i="16"/>
  <c r="Z344" i="16"/>
  <c r="Y344" i="16"/>
  <c r="X344" i="16"/>
  <c r="W344" i="16"/>
  <c r="V344" i="16"/>
  <c r="U344" i="16"/>
  <c r="T344" i="16"/>
  <c r="AG344" i="16" s="1"/>
  <c r="E344" i="16"/>
  <c r="D344" i="16"/>
  <c r="C344" i="16"/>
  <c r="B344" i="16"/>
  <c r="A344" i="16"/>
  <c r="BW343" i="16"/>
  <c r="BI343" i="16"/>
  <c r="AU343" i="16"/>
  <c r="AF343" i="16"/>
  <c r="AE343" i="16"/>
  <c r="AD343" i="16"/>
  <c r="AC343" i="16"/>
  <c r="AB343" i="16"/>
  <c r="AA343" i="16"/>
  <c r="Z343" i="16"/>
  <c r="Y343" i="16"/>
  <c r="X343" i="16"/>
  <c r="W343" i="16"/>
  <c r="V343" i="16"/>
  <c r="U343" i="16"/>
  <c r="T343" i="16"/>
  <c r="AG343" i="16" s="1"/>
  <c r="E343" i="16"/>
  <c r="D343" i="16"/>
  <c r="C343" i="16"/>
  <c r="B343" i="16"/>
  <c r="A343" i="16"/>
  <c r="BW342" i="16"/>
  <c r="BI342" i="16"/>
  <c r="AU342" i="16"/>
  <c r="AF342" i="16"/>
  <c r="AE342" i="16"/>
  <c r="AD342" i="16"/>
  <c r="AC342" i="16"/>
  <c r="AB342" i="16"/>
  <c r="AA342" i="16"/>
  <c r="Z342" i="16"/>
  <c r="Y342" i="16"/>
  <c r="X342" i="16"/>
  <c r="W342" i="16"/>
  <c r="V342" i="16"/>
  <c r="U342" i="16"/>
  <c r="T342" i="16"/>
  <c r="AG342" i="16" s="1"/>
  <c r="E342" i="16"/>
  <c r="D342" i="16"/>
  <c r="C342" i="16"/>
  <c r="B342" i="16"/>
  <c r="A342" i="16"/>
  <c r="BW341" i="16"/>
  <c r="BI341" i="16"/>
  <c r="AU341" i="16"/>
  <c r="AF341" i="16"/>
  <c r="AE341" i="16"/>
  <c r="AD341" i="16"/>
  <c r="AC341" i="16"/>
  <c r="AB341" i="16"/>
  <c r="AA341" i="16"/>
  <c r="Z341" i="16"/>
  <c r="Y341" i="16"/>
  <c r="X341" i="16"/>
  <c r="W341" i="16"/>
  <c r="V341" i="16"/>
  <c r="U341" i="16"/>
  <c r="T341" i="16"/>
  <c r="AG341" i="16" s="1"/>
  <c r="E341" i="16"/>
  <c r="D341" i="16"/>
  <c r="C341" i="16"/>
  <c r="B341" i="16"/>
  <c r="A341" i="16"/>
  <c r="BW340" i="16"/>
  <c r="BI340" i="16"/>
  <c r="AU340" i="16"/>
  <c r="AF340" i="16"/>
  <c r="AE340" i="16"/>
  <c r="AD340" i="16"/>
  <c r="AC340" i="16"/>
  <c r="AB340" i="16"/>
  <c r="AA340" i="16"/>
  <c r="Z340" i="16"/>
  <c r="Y340" i="16"/>
  <c r="X340" i="16"/>
  <c r="W340" i="16"/>
  <c r="V340" i="16"/>
  <c r="U340" i="16"/>
  <c r="T340" i="16"/>
  <c r="AG340" i="16" s="1"/>
  <c r="E340" i="16"/>
  <c r="D340" i="16"/>
  <c r="C340" i="16"/>
  <c r="B340" i="16"/>
  <c r="A340" i="16"/>
  <c r="BW339" i="16"/>
  <c r="BI339" i="16"/>
  <c r="AU339" i="16"/>
  <c r="AF339" i="16"/>
  <c r="AE339" i="16"/>
  <c r="AD339" i="16"/>
  <c r="AC339" i="16"/>
  <c r="AB339" i="16"/>
  <c r="AA339" i="16"/>
  <c r="Z339" i="16"/>
  <c r="Y339" i="16"/>
  <c r="X339" i="16"/>
  <c r="W339" i="16"/>
  <c r="V339" i="16"/>
  <c r="U339" i="16"/>
  <c r="T339" i="16"/>
  <c r="AG339" i="16" s="1"/>
  <c r="E339" i="16"/>
  <c r="D339" i="16"/>
  <c r="C339" i="16"/>
  <c r="B339" i="16"/>
  <c r="A339" i="16"/>
  <c r="BW338" i="16"/>
  <c r="BI338" i="16"/>
  <c r="AU338" i="16"/>
  <c r="AF338" i="16"/>
  <c r="AE338" i="16"/>
  <c r="AD338" i="16"/>
  <c r="AC338" i="16"/>
  <c r="AB338" i="16"/>
  <c r="AA338" i="16"/>
  <c r="Z338" i="16"/>
  <c r="Y338" i="16"/>
  <c r="X338" i="16"/>
  <c r="W338" i="16"/>
  <c r="V338" i="16"/>
  <c r="U338" i="16"/>
  <c r="T338" i="16"/>
  <c r="AG338" i="16" s="1"/>
  <c r="E338" i="16"/>
  <c r="D338" i="16"/>
  <c r="C338" i="16"/>
  <c r="B338" i="16"/>
  <c r="A338" i="16"/>
  <c r="BW337" i="16"/>
  <c r="BI337" i="16"/>
  <c r="AU337" i="16"/>
  <c r="AF337" i="16"/>
  <c r="AE337" i="16"/>
  <c r="AD337" i="16"/>
  <c r="AC337" i="16"/>
  <c r="AB337" i="16"/>
  <c r="AA337" i="16"/>
  <c r="Z337" i="16"/>
  <c r="Y337" i="16"/>
  <c r="X337" i="16"/>
  <c r="W337" i="16"/>
  <c r="V337" i="16"/>
  <c r="U337" i="16"/>
  <c r="T337" i="16"/>
  <c r="AG337" i="16" s="1"/>
  <c r="E337" i="16"/>
  <c r="D337" i="16"/>
  <c r="C337" i="16"/>
  <c r="B337" i="16"/>
  <c r="A337" i="16"/>
  <c r="BW336" i="16"/>
  <c r="BI336" i="16"/>
  <c r="AU336" i="16"/>
  <c r="AF336" i="16"/>
  <c r="AE336" i="16"/>
  <c r="AD336" i="16"/>
  <c r="AC336" i="16"/>
  <c r="AB336" i="16"/>
  <c r="AA336" i="16"/>
  <c r="Z336" i="16"/>
  <c r="Y336" i="16"/>
  <c r="X336" i="16"/>
  <c r="W336" i="16"/>
  <c r="V336" i="16"/>
  <c r="U336" i="16"/>
  <c r="T336" i="16"/>
  <c r="AG336" i="16" s="1"/>
  <c r="E336" i="16"/>
  <c r="D336" i="16"/>
  <c r="C336" i="16"/>
  <c r="B336" i="16"/>
  <c r="A336" i="16"/>
  <c r="BW335" i="16"/>
  <c r="BI335" i="16"/>
  <c r="AU335" i="16"/>
  <c r="AF335" i="16"/>
  <c r="AE335" i="16"/>
  <c r="AD335" i="16"/>
  <c r="AC335" i="16"/>
  <c r="AB335" i="16"/>
  <c r="AA335" i="16"/>
  <c r="Z335" i="16"/>
  <c r="Y335" i="16"/>
  <c r="X335" i="16"/>
  <c r="W335" i="16"/>
  <c r="V335" i="16"/>
  <c r="U335" i="16"/>
  <c r="T335" i="16"/>
  <c r="AG335" i="16" s="1"/>
  <c r="E335" i="16"/>
  <c r="D335" i="16"/>
  <c r="C335" i="16"/>
  <c r="B335" i="16"/>
  <c r="A335" i="16"/>
  <c r="BW334" i="16"/>
  <c r="BI334" i="16"/>
  <c r="AU334" i="16"/>
  <c r="AF334" i="16"/>
  <c r="AE334" i="16"/>
  <c r="AD334" i="16"/>
  <c r="AC334" i="16"/>
  <c r="AB334" i="16"/>
  <c r="AA334" i="16"/>
  <c r="Z334" i="16"/>
  <c r="Y334" i="16"/>
  <c r="X334" i="16"/>
  <c r="W334" i="16"/>
  <c r="V334" i="16"/>
  <c r="U334" i="16"/>
  <c r="T334" i="16"/>
  <c r="AG334" i="16" s="1"/>
  <c r="E334" i="16"/>
  <c r="D334" i="16"/>
  <c r="C334" i="16"/>
  <c r="B334" i="16"/>
  <c r="A334" i="16"/>
  <c r="BW333" i="16"/>
  <c r="BI333" i="16"/>
  <c r="AU333" i="16"/>
  <c r="AF333" i="16"/>
  <c r="AE333" i="16"/>
  <c r="AD333" i="16"/>
  <c r="AC333" i="16"/>
  <c r="AB333" i="16"/>
  <c r="AA333" i="16"/>
  <c r="Z333" i="16"/>
  <c r="Y333" i="16"/>
  <c r="X333" i="16"/>
  <c r="W333" i="16"/>
  <c r="V333" i="16"/>
  <c r="U333" i="16"/>
  <c r="T333" i="16"/>
  <c r="AG333" i="16" s="1"/>
  <c r="E333" i="16"/>
  <c r="D333" i="16"/>
  <c r="C333" i="16"/>
  <c r="B333" i="16"/>
  <c r="A333" i="16"/>
  <c r="BW332" i="16"/>
  <c r="BI332" i="16"/>
  <c r="AU332" i="16"/>
  <c r="AF332" i="16"/>
  <c r="AE332" i="16"/>
  <c r="AD332" i="16"/>
  <c r="AC332" i="16"/>
  <c r="AB332" i="16"/>
  <c r="AA332" i="16"/>
  <c r="Z332" i="16"/>
  <c r="Y332" i="16"/>
  <c r="X332" i="16"/>
  <c r="W332" i="16"/>
  <c r="V332" i="16"/>
  <c r="U332" i="16"/>
  <c r="T332" i="16"/>
  <c r="AG332" i="16" s="1"/>
  <c r="E332" i="16"/>
  <c r="D332" i="16"/>
  <c r="C332" i="16"/>
  <c r="B332" i="16"/>
  <c r="A332" i="16"/>
  <c r="BW331" i="16"/>
  <c r="BI331" i="16"/>
  <c r="AU331" i="16"/>
  <c r="AF331" i="16"/>
  <c r="AE331" i="16"/>
  <c r="AD331" i="16"/>
  <c r="AC331" i="16"/>
  <c r="AB331" i="16"/>
  <c r="AA331" i="16"/>
  <c r="Z331" i="16"/>
  <c r="Y331" i="16"/>
  <c r="X331" i="16"/>
  <c r="W331" i="16"/>
  <c r="V331" i="16"/>
  <c r="U331" i="16"/>
  <c r="T331" i="16"/>
  <c r="AG331" i="16" s="1"/>
  <c r="E331" i="16"/>
  <c r="D331" i="16"/>
  <c r="C331" i="16"/>
  <c r="B331" i="16"/>
  <c r="A331" i="16"/>
  <c r="BW330" i="16"/>
  <c r="BI330" i="16"/>
  <c r="AU330" i="16"/>
  <c r="AF330" i="16"/>
  <c r="AE330" i="16"/>
  <c r="AD330" i="16"/>
  <c r="AC330" i="16"/>
  <c r="AB330" i="16"/>
  <c r="AA330" i="16"/>
  <c r="Z330" i="16"/>
  <c r="Y330" i="16"/>
  <c r="X330" i="16"/>
  <c r="W330" i="16"/>
  <c r="V330" i="16"/>
  <c r="U330" i="16"/>
  <c r="T330" i="16"/>
  <c r="E330" i="16"/>
  <c r="D330" i="16"/>
  <c r="C330" i="16"/>
  <c r="B330" i="16"/>
  <c r="A330" i="16"/>
  <c r="BW329" i="16"/>
  <c r="BI329" i="16"/>
  <c r="AU329" i="16"/>
  <c r="AF329" i="16"/>
  <c r="AE329" i="16"/>
  <c r="AD329" i="16"/>
  <c r="AC329" i="16"/>
  <c r="AB329" i="16"/>
  <c r="AA329" i="16"/>
  <c r="Z329" i="16"/>
  <c r="Y329" i="16"/>
  <c r="AG329" i="16" s="1"/>
  <c r="X329" i="16"/>
  <c r="W329" i="16"/>
  <c r="V329" i="16"/>
  <c r="U329" i="16"/>
  <c r="T329" i="16"/>
  <c r="E329" i="16"/>
  <c r="D329" i="16"/>
  <c r="C329" i="16"/>
  <c r="B329" i="16"/>
  <c r="A329" i="16"/>
  <c r="BW328" i="16"/>
  <c r="BI328" i="16"/>
  <c r="AU328" i="16"/>
  <c r="AF328" i="16"/>
  <c r="AE328" i="16"/>
  <c r="AD328" i="16"/>
  <c r="AC328" i="16"/>
  <c r="AB328" i="16"/>
  <c r="AA328" i="16"/>
  <c r="Z328" i="16"/>
  <c r="Y328" i="16"/>
  <c r="X328" i="16"/>
  <c r="W328" i="16"/>
  <c r="V328" i="16"/>
  <c r="U328" i="16"/>
  <c r="T328" i="16"/>
  <c r="E328" i="16"/>
  <c r="D328" i="16"/>
  <c r="C328" i="16"/>
  <c r="B328" i="16"/>
  <c r="A328" i="16"/>
  <c r="BW327" i="16"/>
  <c r="BI327" i="16"/>
  <c r="AU327" i="16"/>
  <c r="AF327" i="16"/>
  <c r="AE327" i="16"/>
  <c r="AD327" i="16"/>
  <c r="AC327" i="16"/>
  <c r="AB327" i="16"/>
  <c r="AA327" i="16"/>
  <c r="Z327" i="16"/>
  <c r="Y327" i="16"/>
  <c r="X327" i="16"/>
  <c r="W327" i="16"/>
  <c r="V327" i="16"/>
  <c r="U327" i="16"/>
  <c r="T327" i="16"/>
  <c r="AG327" i="16" s="1"/>
  <c r="E327" i="16"/>
  <c r="D327" i="16"/>
  <c r="C327" i="16"/>
  <c r="B327" i="16"/>
  <c r="A327" i="16"/>
  <c r="BW326" i="16"/>
  <c r="BI326" i="16"/>
  <c r="AU326" i="16"/>
  <c r="AF326" i="16"/>
  <c r="AE326" i="16"/>
  <c r="AD326" i="16"/>
  <c r="AC326" i="16"/>
  <c r="AB326" i="16"/>
  <c r="AA326" i="16"/>
  <c r="Z326" i="16"/>
  <c r="Y326" i="16"/>
  <c r="X326" i="16"/>
  <c r="W326" i="16"/>
  <c r="V326" i="16"/>
  <c r="U326" i="16"/>
  <c r="T326" i="16"/>
  <c r="E326" i="16"/>
  <c r="D326" i="16"/>
  <c r="C326" i="16"/>
  <c r="B326" i="16"/>
  <c r="A326" i="16"/>
  <c r="BW325" i="16"/>
  <c r="BI325" i="16"/>
  <c r="AU325" i="16"/>
  <c r="AF325" i="16"/>
  <c r="AE325" i="16"/>
  <c r="AD325" i="16"/>
  <c r="AC325" i="16"/>
  <c r="AB325" i="16"/>
  <c r="AA325" i="16"/>
  <c r="Z325" i="16"/>
  <c r="Y325" i="16"/>
  <c r="AG325" i="16" s="1"/>
  <c r="X325" i="16"/>
  <c r="W325" i="16"/>
  <c r="V325" i="16"/>
  <c r="U325" i="16"/>
  <c r="T325" i="16"/>
  <c r="E325" i="16"/>
  <c r="D325" i="16"/>
  <c r="C325" i="16"/>
  <c r="B325" i="16"/>
  <c r="A325" i="16"/>
  <c r="BW324" i="16"/>
  <c r="BI324" i="16"/>
  <c r="AU324" i="16"/>
  <c r="AF324" i="16"/>
  <c r="AE324" i="16"/>
  <c r="AD324" i="16"/>
  <c r="AC324" i="16"/>
  <c r="AB324" i="16"/>
  <c r="AA324" i="16"/>
  <c r="Z324" i="16"/>
  <c r="Y324" i="16"/>
  <c r="X324" i="16"/>
  <c r="W324" i="16"/>
  <c r="V324" i="16"/>
  <c r="U324" i="16"/>
  <c r="T324" i="16"/>
  <c r="E324" i="16"/>
  <c r="D324" i="16"/>
  <c r="C324" i="16"/>
  <c r="B324" i="16"/>
  <c r="A324" i="16"/>
  <c r="BW323" i="16"/>
  <c r="BI323" i="16"/>
  <c r="AU323" i="16"/>
  <c r="AF323" i="16"/>
  <c r="AE323" i="16"/>
  <c r="AD323" i="16"/>
  <c r="AC323" i="16"/>
  <c r="AB323" i="16"/>
  <c r="AA323" i="16"/>
  <c r="Z323" i="16"/>
  <c r="Y323" i="16"/>
  <c r="X323" i="16"/>
  <c r="W323" i="16"/>
  <c r="V323" i="16"/>
  <c r="U323" i="16"/>
  <c r="T323" i="16"/>
  <c r="AG323" i="16" s="1"/>
  <c r="E323" i="16"/>
  <c r="D323" i="16"/>
  <c r="C323" i="16"/>
  <c r="B323" i="16"/>
  <c r="A323" i="16"/>
  <c r="BW322" i="16"/>
  <c r="BI322" i="16"/>
  <c r="AU322" i="16"/>
  <c r="AF322" i="16"/>
  <c r="AE322" i="16"/>
  <c r="AD322" i="16"/>
  <c r="AC322" i="16"/>
  <c r="AB322" i="16"/>
  <c r="AA322" i="16"/>
  <c r="Z322" i="16"/>
  <c r="Y322" i="16"/>
  <c r="X322" i="16"/>
  <c r="W322" i="16"/>
  <c r="V322" i="16"/>
  <c r="U322" i="16"/>
  <c r="T322" i="16"/>
  <c r="E322" i="16"/>
  <c r="D322" i="16"/>
  <c r="C322" i="16"/>
  <c r="B322" i="16"/>
  <c r="A322" i="16"/>
  <c r="BW321" i="16"/>
  <c r="BI321" i="16"/>
  <c r="AU321" i="16"/>
  <c r="AF321" i="16"/>
  <c r="AE321" i="16"/>
  <c r="AD321" i="16"/>
  <c r="AC321" i="16"/>
  <c r="AB321" i="16"/>
  <c r="AA321" i="16"/>
  <c r="Z321" i="16"/>
  <c r="Y321" i="16"/>
  <c r="AG321" i="16" s="1"/>
  <c r="X321" i="16"/>
  <c r="W321" i="16"/>
  <c r="V321" i="16"/>
  <c r="U321" i="16"/>
  <c r="T321" i="16"/>
  <c r="E321" i="16"/>
  <c r="D321" i="16"/>
  <c r="C321" i="16"/>
  <c r="B321" i="16"/>
  <c r="A321" i="16"/>
  <c r="BW320" i="16"/>
  <c r="BI320" i="16"/>
  <c r="AU320" i="16"/>
  <c r="AF320" i="16"/>
  <c r="AE320" i="16"/>
  <c r="AD320" i="16"/>
  <c r="AC320" i="16"/>
  <c r="AB320" i="16"/>
  <c r="AA320" i="16"/>
  <c r="Z320" i="16"/>
  <c r="Y320" i="16"/>
  <c r="X320" i="16"/>
  <c r="W320" i="16"/>
  <c r="V320" i="16"/>
  <c r="U320" i="16"/>
  <c r="T320" i="16"/>
  <c r="E320" i="16"/>
  <c r="D320" i="16"/>
  <c r="C320" i="16"/>
  <c r="B320" i="16"/>
  <c r="A320" i="16"/>
  <c r="BW319" i="16"/>
  <c r="BI319" i="16"/>
  <c r="AU319" i="16"/>
  <c r="AF319" i="16"/>
  <c r="AE319" i="16"/>
  <c r="AD319" i="16"/>
  <c r="AC319" i="16"/>
  <c r="AB319" i="16"/>
  <c r="AA319" i="16"/>
  <c r="Z319" i="16"/>
  <c r="Y319" i="16"/>
  <c r="X319" i="16"/>
  <c r="W319" i="16"/>
  <c r="V319" i="16"/>
  <c r="U319" i="16"/>
  <c r="T319" i="16"/>
  <c r="AG319" i="16" s="1"/>
  <c r="E319" i="16"/>
  <c r="D319" i="16"/>
  <c r="C319" i="16"/>
  <c r="B319" i="16"/>
  <c r="A319" i="16"/>
  <c r="BW318" i="16"/>
  <c r="BI318" i="16"/>
  <c r="AU318" i="16"/>
  <c r="AF318" i="16"/>
  <c r="AE318" i="16"/>
  <c r="AD318" i="16"/>
  <c r="AC318" i="16"/>
  <c r="AB318" i="16"/>
  <c r="AA318" i="16"/>
  <c r="Z318" i="16"/>
  <c r="Y318" i="16"/>
  <c r="X318" i="16"/>
  <c r="W318" i="16"/>
  <c r="V318" i="16"/>
  <c r="U318" i="16"/>
  <c r="T318" i="16"/>
  <c r="E318" i="16"/>
  <c r="D318" i="16"/>
  <c r="C318" i="16"/>
  <c r="B318" i="16"/>
  <c r="A318" i="16"/>
  <c r="BW317" i="16"/>
  <c r="BI317" i="16"/>
  <c r="AU317" i="16"/>
  <c r="AF317" i="16"/>
  <c r="AE317" i="16"/>
  <c r="AD317" i="16"/>
  <c r="AC317" i="16"/>
  <c r="AB317" i="16"/>
  <c r="AA317" i="16"/>
  <c r="Z317" i="16"/>
  <c r="Y317" i="16"/>
  <c r="AG317" i="16" s="1"/>
  <c r="X317" i="16"/>
  <c r="W317" i="16"/>
  <c r="V317" i="16"/>
  <c r="U317" i="16"/>
  <c r="T317" i="16"/>
  <c r="E317" i="16"/>
  <c r="D317" i="16"/>
  <c r="C317" i="16"/>
  <c r="B317" i="16"/>
  <c r="A317" i="16"/>
  <c r="BW316" i="16"/>
  <c r="BI316" i="16"/>
  <c r="AU316" i="16"/>
  <c r="AF316" i="16"/>
  <c r="AE316" i="16"/>
  <c r="AD316" i="16"/>
  <c r="AC316" i="16"/>
  <c r="AB316" i="16"/>
  <c r="AA316" i="16"/>
  <c r="Z316" i="16"/>
  <c r="Y316" i="16"/>
  <c r="X316" i="16"/>
  <c r="W316" i="16"/>
  <c r="V316" i="16"/>
  <c r="U316" i="16"/>
  <c r="T316" i="16"/>
  <c r="E316" i="16"/>
  <c r="D316" i="16"/>
  <c r="C316" i="16"/>
  <c r="B316" i="16"/>
  <c r="A316" i="16"/>
  <c r="BW315" i="16"/>
  <c r="BI315" i="16"/>
  <c r="AU315" i="16"/>
  <c r="AF315" i="16"/>
  <c r="AE315" i="16"/>
  <c r="AD315" i="16"/>
  <c r="AC315" i="16"/>
  <c r="AB315" i="16"/>
  <c r="AA315" i="16"/>
  <c r="Z315" i="16"/>
  <c r="Y315" i="16"/>
  <c r="X315" i="16"/>
  <c r="W315" i="16"/>
  <c r="V315" i="16"/>
  <c r="U315" i="16"/>
  <c r="T315" i="16"/>
  <c r="AG315" i="16" s="1"/>
  <c r="E315" i="16"/>
  <c r="D315" i="16"/>
  <c r="C315" i="16"/>
  <c r="B315" i="16"/>
  <c r="A315" i="16"/>
  <c r="BW314" i="16"/>
  <c r="BI314" i="16"/>
  <c r="AU314" i="16"/>
  <c r="AF314" i="16"/>
  <c r="AE314" i="16"/>
  <c r="AD314" i="16"/>
  <c r="AC314" i="16"/>
  <c r="AB314" i="16"/>
  <c r="AA314" i="16"/>
  <c r="Z314" i="16"/>
  <c r="Y314" i="16"/>
  <c r="AG314" i="16" s="1"/>
  <c r="X314" i="16"/>
  <c r="W314" i="16"/>
  <c r="V314" i="16"/>
  <c r="U314" i="16"/>
  <c r="T314" i="16"/>
  <c r="E314" i="16"/>
  <c r="D314" i="16"/>
  <c r="C314" i="16"/>
  <c r="B314" i="16"/>
  <c r="A314" i="16"/>
  <c r="BW313" i="16"/>
  <c r="BI313" i="16"/>
  <c r="AU313" i="16"/>
  <c r="AF313" i="16"/>
  <c r="AE313" i="16"/>
  <c r="AD313" i="16"/>
  <c r="AC313" i="16"/>
  <c r="AB313" i="16"/>
  <c r="AA313" i="16"/>
  <c r="Z313" i="16"/>
  <c r="Y313" i="16"/>
  <c r="X313" i="16"/>
  <c r="W313" i="16"/>
  <c r="V313" i="16"/>
  <c r="U313" i="16"/>
  <c r="T313" i="16"/>
  <c r="AG313" i="16" s="1"/>
  <c r="E313" i="16"/>
  <c r="D313" i="16"/>
  <c r="C313" i="16"/>
  <c r="B313" i="16"/>
  <c r="A313" i="16"/>
  <c r="BW312" i="16"/>
  <c r="BI312" i="16"/>
  <c r="AU312" i="16"/>
  <c r="AF312" i="16"/>
  <c r="AE312" i="16"/>
  <c r="AD312" i="16"/>
  <c r="AC312" i="16"/>
  <c r="AB312" i="16"/>
  <c r="AA312" i="16"/>
  <c r="Z312" i="16"/>
  <c r="Y312" i="16"/>
  <c r="AG312" i="16" s="1"/>
  <c r="X312" i="16"/>
  <c r="W312" i="16"/>
  <c r="V312" i="16"/>
  <c r="U312" i="16"/>
  <c r="T312" i="16"/>
  <c r="E312" i="16"/>
  <c r="D312" i="16"/>
  <c r="C312" i="16"/>
  <c r="B312" i="16"/>
  <c r="A312" i="16"/>
  <c r="BW311" i="16"/>
  <c r="BI311" i="16"/>
  <c r="AU311" i="16"/>
  <c r="AF311" i="16"/>
  <c r="AE311" i="16"/>
  <c r="AD311" i="16"/>
  <c r="AC311" i="16"/>
  <c r="AB311" i="16"/>
  <c r="AA311" i="16"/>
  <c r="Z311" i="16"/>
  <c r="Y311" i="16"/>
  <c r="X311" i="16"/>
  <c r="W311" i="16"/>
  <c r="V311" i="16"/>
  <c r="U311" i="16"/>
  <c r="T311" i="16"/>
  <c r="AG311" i="16" s="1"/>
  <c r="E311" i="16"/>
  <c r="D311" i="16"/>
  <c r="C311" i="16"/>
  <c r="B311" i="16"/>
  <c r="A311" i="16"/>
  <c r="BW310" i="16"/>
  <c r="BI310" i="16"/>
  <c r="AU310" i="16"/>
  <c r="AF310" i="16"/>
  <c r="AE310" i="16"/>
  <c r="AD310" i="16"/>
  <c r="AC310" i="16"/>
  <c r="AB310" i="16"/>
  <c r="AA310" i="16"/>
  <c r="Z310" i="16"/>
  <c r="Y310" i="16"/>
  <c r="X310" i="16"/>
  <c r="W310" i="16"/>
  <c r="V310" i="16"/>
  <c r="U310" i="16"/>
  <c r="T310" i="16"/>
  <c r="E310" i="16"/>
  <c r="D310" i="16"/>
  <c r="C310" i="16"/>
  <c r="B310" i="16"/>
  <c r="A310" i="16"/>
  <c r="BW309" i="16"/>
  <c r="BI309" i="16"/>
  <c r="AU309" i="16"/>
  <c r="AF309" i="16"/>
  <c r="AE309" i="16"/>
  <c r="AD309" i="16"/>
  <c r="AC309" i="16"/>
  <c r="AB309" i="16"/>
  <c r="AA309" i="16"/>
  <c r="Z309" i="16"/>
  <c r="Y309" i="16"/>
  <c r="X309" i="16"/>
  <c r="W309" i="16"/>
  <c r="V309" i="16"/>
  <c r="U309" i="16"/>
  <c r="T309" i="16"/>
  <c r="E309" i="16"/>
  <c r="D309" i="16"/>
  <c r="C309" i="16"/>
  <c r="B309" i="16"/>
  <c r="A309" i="16"/>
  <c r="BW308" i="16"/>
  <c r="BI308" i="16"/>
  <c r="AU308" i="16"/>
  <c r="AF308" i="16"/>
  <c r="AE308" i="16"/>
  <c r="AD308" i="16"/>
  <c r="AC308" i="16"/>
  <c r="AB308" i="16"/>
  <c r="AA308" i="16"/>
  <c r="Z308" i="16"/>
  <c r="Y308" i="16"/>
  <c r="AG308" i="16" s="1"/>
  <c r="X308" i="16"/>
  <c r="W308" i="16"/>
  <c r="V308" i="16"/>
  <c r="U308" i="16"/>
  <c r="T308" i="16"/>
  <c r="E308" i="16"/>
  <c r="D308" i="16"/>
  <c r="C308" i="16"/>
  <c r="B308" i="16"/>
  <c r="A308" i="16"/>
  <c r="BW307" i="16"/>
  <c r="BI307" i="16"/>
  <c r="AU307" i="16"/>
  <c r="AF307" i="16"/>
  <c r="AE307" i="16"/>
  <c r="AD307" i="16"/>
  <c r="AC307" i="16"/>
  <c r="AB307" i="16"/>
  <c r="AA307" i="16"/>
  <c r="Z307" i="16"/>
  <c r="Y307" i="16"/>
  <c r="X307" i="16"/>
  <c r="W307" i="16"/>
  <c r="V307" i="16"/>
  <c r="U307" i="16"/>
  <c r="T307" i="16"/>
  <c r="E307" i="16"/>
  <c r="D307" i="16"/>
  <c r="C307" i="16"/>
  <c r="B307" i="16"/>
  <c r="A307" i="16"/>
  <c r="BW306" i="16"/>
  <c r="BI306" i="16"/>
  <c r="AU306" i="16"/>
  <c r="AF306" i="16"/>
  <c r="AE306" i="16"/>
  <c r="AD306" i="16"/>
  <c r="AC306" i="16"/>
  <c r="AB306" i="16"/>
  <c r="AA306" i="16"/>
  <c r="Z306" i="16"/>
  <c r="Y306" i="16"/>
  <c r="X306" i="16"/>
  <c r="W306" i="16"/>
  <c r="V306" i="16"/>
  <c r="U306" i="16"/>
  <c r="T306" i="16"/>
  <c r="E306" i="16"/>
  <c r="D306" i="16"/>
  <c r="C306" i="16"/>
  <c r="B306" i="16"/>
  <c r="A306" i="16"/>
  <c r="BW305" i="16"/>
  <c r="BI305" i="16"/>
  <c r="AU305" i="16"/>
  <c r="AF305" i="16"/>
  <c r="AE305" i="16"/>
  <c r="AD305" i="16"/>
  <c r="AC305" i="16"/>
  <c r="AB305" i="16"/>
  <c r="AA305" i="16"/>
  <c r="Z305" i="16"/>
  <c r="Y305" i="16"/>
  <c r="X305" i="16"/>
  <c r="W305" i="16"/>
  <c r="V305" i="16"/>
  <c r="U305" i="16"/>
  <c r="T305" i="16"/>
  <c r="AG305" i="16" s="1"/>
  <c r="E305" i="16"/>
  <c r="D305" i="16"/>
  <c r="C305" i="16"/>
  <c r="B305" i="16"/>
  <c r="A305" i="16"/>
  <c r="BW304" i="16"/>
  <c r="BI304" i="16"/>
  <c r="AU304" i="16"/>
  <c r="AF304" i="16"/>
  <c r="AE304" i="16"/>
  <c r="AD304" i="16"/>
  <c r="AC304" i="16"/>
  <c r="AB304" i="16"/>
  <c r="AA304" i="16"/>
  <c r="Z304" i="16"/>
  <c r="Y304" i="16"/>
  <c r="AG304" i="16" s="1"/>
  <c r="X304" i="16"/>
  <c r="W304" i="16"/>
  <c r="V304" i="16"/>
  <c r="U304" i="16"/>
  <c r="T304" i="16"/>
  <c r="E304" i="16"/>
  <c r="D304" i="16"/>
  <c r="C304" i="16"/>
  <c r="B304" i="16"/>
  <c r="A304" i="16"/>
  <c r="BW303" i="16"/>
  <c r="BI303" i="16"/>
  <c r="AU303" i="16"/>
  <c r="AF303" i="16"/>
  <c r="AE303" i="16"/>
  <c r="AD303" i="16"/>
  <c r="AC303" i="16"/>
  <c r="AB303" i="16"/>
  <c r="AA303" i="16"/>
  <c r="Z303" i="16"/>
  <c r="Y303" i="16"/>
  <c r="X303" i="16"/>
  <c r="W303" i="16"/>
  <c r="V303" i="16"/>
  <c r="U303" i="16"/>
  <c r="T303" i="16"/>
  <c r="E303" i="16"/>
  <c r="D303" i="16"/>
  <c r="C303" i="16"/>
  <c r="B303" i="16"/>
  <c r="A303" i="16"/>
  <c r="BW302" i="16"/>
  <c r="BI302" i="16"/>
  <c r="AU302" i="16"/>
  <c r="AF302" i="16"/>
  <c r="AE302" i="16"/>
  <c r="AD302" i="16"/>
  <c r="AC302" i="16"/>
  <c r="AB302" i="16"/>
  <c r="AA302" i="16"/>
  <c r="Z302" i="16"/>
  <c r="Y302" i="16"/>
  <c r="AG302" i="16" s="1"/>
  <c r="X302" i="16"/>
  <c r="W302" i="16"/>
  <c r="V302" i="16"/>
  <c r="U302" i="16"/>
  <c r="T302" i="16"/>
  <c r="E302" i="16"/>
  <c r="D302" i="16"/>
  <c r="C302" i="16"/>
  <c r="B302" i="16"/>
  <c r="A302" i="16"/>
  <c r="BW301" i="16"/>
  <c r="BI301" i="16"/>
  <c r="AU301" i="16"/>
  <c r="AF301" i="16"/>
  <c r="AE301" i="16"/>
  <c r="AD301" i="16"/>
  <c r="AC301" i="16"/>
  <c r="AB301" i="16"/>
  <c r="AA301" i="16"/>
  <c r="Z301" i="16"/>
  <c r="Y301" i="16"/>
  <c r="X301" i="16"/>
  <c r="W301" i="16"/>
  <c r="V301" i="16"/>
  <c r="U301" i="16"/>
  <c r="T301" i="16"/>
  <c r="E301" i="16"/>
  <c r="D301" i="16"/>
  <c r="C301" i="16"/>
  <c r="B301" i="16"/>
  <c r="A301" i="16"/>
  <c r="BW300" i="16"/>
  <c r="BI300" i="16"/>
  <c r="AU300" i="16"/>
  <c r="AF300" i="16"/>
  <c r="AE300" i="16"/>
  <c r="AD300" i="16"/>
  <c r="AC300" i="16"/>
  <c r="AB300" i="16"/>
  <c r="AA300" i="16"/>
  <c r="Z300" i="16"/>
  <c r="Y300" i="16"/>
  <c r="AG300" i="16" s="1"/>
  <c r="X300" i="16"/>
  <c r="W300" i="16"/>
  <c r="V300" i="16"/>
  <c r="U300" i="16"/>
  <c r="T300" i="16"/>
  <c r="E300" i="16"/>
  <c r="D300" i="16"/>
  <c r="C300" i="16"/>
  <c r="B300" i="16"/>
  <c r="A300" i="16"/>
  <c r="BW299" i="16"/>
  <c r="BI299" i="16"/>
  <c r="AU299" i="16"/>
  <c r="AF299" i="16"/>
  <c r="AE299" i="16"/>
  <c r="AD299" i="16"/>
  <c r="AC299" i="16"/>
  <c r="AB299" i="16"/>
  <c r="AA299" i="16"/>
  <c r="Z299" i="16"/>
  <c r="Y299" i="16"/>
  <c r="X299" i="16"/>
  <c r="W299" i="16"/>
  <c r="V299" i="16"/>
  <c r="U299" i="16"/>
  <c r="T299" i="16"/>
  <c r="E299" i="16"/>
  <c r="D299" i="16"/>
  <c r="C299" i="16"/>
  <c r="B299" i="16"/>
  <c r="A299" i="16"/>
  <c r="BW298" i="16"/>
  <c r="BI298" i="16"/>
  <c r="AU298" i="16"/>
  <c r="AF298" i="16"/>
  <c r="AE298" i="16"/>
  <c r="AD298" i="16"/>
  <c r="AC298" i="16"/>
  <c r="AB298" i="16"/>
  <c r="AA298" i="16"/>
  <c r="Z298" i="16"/>
  <c r="Y298" i="16"/>
  <c r="AG298" i="16" s="1"/>
  <c r="X298" i="16"/>
  <c r="W298" i="16"/>
  <c r="V298" i="16"/>
  <c r="U298" i="16"/>
  <c r="T298" i="16"/>
  <c r="E298" i="16"/>
  <c r="D298" i="16"/>
  <c r="C298" i="16"/>
  <c r="B298" i="16"/>
  <c r="A298" i="16"/>
  <c r="BW297" i="16"/>
  <c r="BI297" i="16"/>
  <c r="AU297" i="16"/>
  <c r="AF297" i="16"/>
  <c r="AE297" i="16"/>
  <c r="AD297" i="16"/>
  <c r="AC297" i="16"/>
  <c r="AB297" i="16"/>
  <c r="AA297" i="16"/>
  <c r="Z297" i="16"/>
  <c r="Y297" i="16"/>
  <c r="X297" i="16"/>
  <c r="W297" i="16"/>
  <c r="V297" i="16"/>
  <c r="U297" i="16"/>
  <c r="T297" i="16"/>
  <c r="AG297" i="16" s="1"/>
  <c r="E297" i="16"/>
  <c r="D297" i="16"/>
  <c r="C297" i="16"/>
  <c r="B297" i="16"/>
  <c r="A297" i="16"/>
  <c r="BW296" i="16"/>
  <c r="BI296" i="16"/>
  <c r="AU296" i="16"/>
  <c r="AF296" i="16"/>
  <c r="AE296" i="16"/>
  <c r="AD296" i="16"/>
  <c r="AC296" i="16"/>
  <c r="AB296" i="16"/>
  <c r="AA296" i="16"/>
  <c r="Z296" i="16"/>
  <c r="Y296" i="16"/>
  <c r="X296" i="16"/>
  <c r="W296" i="16"/>
  <c r="AG296" i="16" s="1"/>
  <c r="V296" i="16"/>
  <c r="U296" i="16"/>
  <c r="T296" i="16"/>
  <c r="E296" i="16"/>
  <c r="D296" i="16"/>
  <c r="C296" i="16"/>
  <c r="B296" i="16"/>
  <c r="A296" i="16"/>
  <c r="BW295" i="16"/>
  <c r="BI295" i="16"/>
  <c r="AU295" i="16"/>
  <c r="AF295" i="16"/>
  <c r="AE295" i="16"/>
  <c r="AD295" i="16"/>
  <c r="AC295" i="16"/>
  <c r="AB295" i="16"/>
  <c r="AA295" i="16"/>
  <c r="Z295" i="16"/>
  <c r="Y295" i="16"/>
  <c r="X295" i="16"/>
  <c r="W295" i="16"/>
  <c r="V295" i="16"/>
  <c r="U295" i="16"/>
  <c r="T295" i="16"/>
  <c r="AG295" i="16" s="1"/>
  <c r="E295" i="16"/>
  <c r="D295" i="16"/>
  <c r="C295" i="16"/>
  <c r="B295" i="16"/>
  <c r="A295" i="16"/>
  <c r="BW294" i="16"/>
  <c r="BI294" i="16"/>
  <c r="AU294" i="16"/>
  <c r="AF294" i="16"/>
  <c r="AE294" i="16"/>
  <c r="AD294" i="16"/>
  <c r="AC294" i="16"/>
  <c r="AB294" i="16"/>
  <c r="AA294" i="16"/>
  <c r="Z294" i="16"/>
  <c r="Y294" i="16"/>
  <c r="AG294" i="16" s="1"/>
  <c r="X294" i="16"/>
  <c r="W294" i="16"/>
  <c r="V294" i="16"/>
  <c r="U294" i="16"/>
  <c r="T294" i="16"/>
  <c r="E294" i="16"/>
  <c r="D294" i="16"/>
  <c r="C294" i="16"/>
  <c r="B294" i="16"/>
  <c r="A294" i="16"/>
  <c r="BW293" i="16"/>
  <c r="BI293" i="16"/>
  <c r="AU293" i="16"/>
  <c r="AF293" i="16"/>
  <c r="AE293" i="16"/>
  <c r="AD293" i="16"/>
  <c r="AC293" i="16"/>
  <c r="AB293" i="16"/>
  <c r="AA293" i="16"/>
  <c r="Z293" i="16"/>
  <c r="Y293" i="16"/>
  <c r="X293" i="16"/>
  <c r="W293" i="16"/>
  <c r="V293" i="16"/>
  <c r="U293" i="16"/>
  <c r="T293" i="16"/>
  <c r="E293" i="16"/>
  <c r="D293" i="16"/>
  <c r="C293" i="16"/>
  <c r="B293" i="16"/>
  <c r="A293" i="16"/>
  <c r="BW292" i="16"/>
  <c r="BI292" i="16"/>
  <c r="AU292" i="16"/>
  <c r="AF292" i="16"/>
  <c r="AE292" i="16"/>
  <c r="AD292" i="16"/>
  <c r="AC292" i="16"/>
  <c r="AB292" i="16"/>
  <c r="AA292" i="16"/>
  <c r="Z292" i="16"/>
  <c r="Y292" i="16"/>
  <c r="X292" i="16"/>
  <c r="W292" i="16"/>
  <c r="AG292" i="16" s="1"/>
  <c r="V292" i="16"/>
  <c r="U292" i="16"/>
  <c r="T292" i="16"/>
  <c r="E292" i="16"/>
  <c r="D292" i="16"/>
  <c r="C292" i="16"/>
  <c r="B292" i="16"/>
  <c r="A292" i="16"/>
  <c r="BW291" i="16"/>
  <c r="BI291" i="16"/>
  <c r="AU291" i="16"/>
  <c r="AF291" i="16"/>
  <c r="AE291" i="16"/>
  <c r="AD291" i="16"/>
  <c r="AC291" i="16"/>
  <c r="AB291" i="16"/>
  <c r="AA291" i="16"/>
  <c r="Z291" i="16"/>
  <c r="Y291" i="16"/>
  <c r="X291" i="16"/>
  <c r="W291" i="16"/>
  <c r="V291" i="16"/>
  <c r="U291" i="16"/>
  <c r="T291" i="16"/>
  <c r="E291" i="16"/>
  <c r="D291" i="16"/>
  <c r="C291" i="16"/>
  <c r="B291" i="16"/>
  <c r="A291" i="16"/>
  <c r="BW290" i="16"/>
  <c r="BI290" i="16"/>
  <c r="AU290" i="16"/>
  <c r="AF290" i="16"/>
  <c r="AE290" i="16"/>
  <c r="AD290" i="16"/>
  <c r="AC290" i="16"/>
  <c r="AB290" i="16"/>
  <c r="AA290" i="16"/>
  <c r="Z290" i="16"/>
  <c r="Y290" i="16"/>
  <c r="X290" i="16"/>
  <c r="W290" i="16"/>
  <c r="AG290" i="16" s="1"/>
  <c r="V290" i="16"/>
  <c r="U290" i="16"/>
  <c r="T290" i="16"/>
  <c r="E290" i="16"/>
  <c r="D290" i="16"/>
  <c r="C290" i="16"/>
  <c r="B290" i="16"/>
  <c r="A290" i="16"/>
  <c r="BW289" i="16"/>
  <c r="BI289" i="16"/>
  <c r="AU289" i="16"/>
  <c r="AF289" i="16"/>
  <c r="AE289" i="16"/>
  <c r="AD289" i="16"/>
  <c r="AC289" i="16"/>
  <c r="AB289" i="16"/>
  <c r="AA289" i="16"/>
  <c r="Z289" i="16"/>
  <c r="Y289" i="16"/>
  <c r="X289" i="16"/>
  <c r="W289" i="16"/>
  <c r="V289" i="16"/>
  <c r="U289" i="16"/>
  <c r="T289" i="16"/>
  <c r="E289" i="16"/>
  <c r="D289" i="16"/>
  <c r="C289" i="16"/>
  <c r="B289" i="16"/>
  <c r="A289" i="16"/>
  <c r="BW288" i="16"/>
  <c r="BI288" i="16"/>
  <c r="AU288" i="16"/>
  <c r="AF288" i="16"/>
  <c r="AE288" i="16"/>
  <c r="AD288" i="16"/>
  <c r="AC288" i="16"/>
  <c r="AB288" i="16"/>
  <c r="AA288" i="16"/>
  <c r="Z288" i="16"/>
  <c r="Y288" i="16"/>
  <c r="AG288" i="16" s="1"/>
  <c r="X288" i="16"/>
  <c r="W288" i="16"/>
  <c r="V288" i="16"/>
  <c r="U288" i="16"/>
  <c r="T288" i="16"/>
  <c r="E288" i="16"/>
  <c r="D288" i="16"/>
  <c r="C288" i="16"/>
  <c r="B288" i="16"/>
  <c r="A288" i="16"/>
  <c r="BW287" i="16"/>
  <c r="BI287" i="16"/>
  <c r="AU287" i="16"/>
  <c r="AF287" i="16"/>
  <c r="AE287" i="16"/>
  <c r="AD287" i="16"/>
  <c r="AC287" i="16"/>
  <c r="AB287" i="16"/>
  <c r="AA287" i="16"/>
  <c r="Z287" i="16"/>
  <c r="Y287" i="16"/>
  <c r="X287" i="16"/>
  <c r="W287" i="16"/>
  <c r="V287" i="16"/>
  <c r="U287" i="16"/>
  <c r="T287" i="16"/>
  <c r="E287" i="16"/>
  <c r="D287" i="16"/>
  <c r="C287" i="16"/>
  <c r="B287" i="16"/>
  <c r="A287" i="16"/>
  <c r="BW286" i="16"/>
  <c r="BI286" i="16"/>
  <c r="AU286" i="16"/>
  <c r="AF286" i="16"/>
  <c r="AE286" i="16"/>
  <c r="AD286" i="16"/>
  <c r="AC286" i="16"/>
  <c r="AB286" i="16"/>
  <c r="AA286" i="16"/>
  <c r="Z286" i="16"/>
  <c r="Y286" i="16"/>
  <c r="AG286" i="16" s="1"/>
  <c r="X286" i="16"/>
  <c r="W286" i="16"/>
  <c r="V286" i="16"/>
  <c r="U286" i="16"/>
  <c r="T286" i="16"/>
  <c r="E286" i="16"/>
  <c r="D286" i="16"/>
  <c r="C286" i="16"/>
  <c r="B286" i="16"/>
  <c r="A286" i="16"/>
  <c r="BW285" i="16"/>
  <c r="BI285" i="16"/>
  <c r="AU285" i="16"/>
  <c r="AF285" i="16"/>
  <c r="AE285" i="16"/>
  <c r="AD285" i="16"/>
  <c r="AC285" i="16"/>
  <c r="AB285" i="16"/>
  <c r="AA285" i="16"/>
  <c r="Z285" i="16"/>
  <c r="Y285" i="16"/>
  <c r="X285" i="16"/>
  <c r="W285" i="16"/>
  <c r="V285" i="16"/>
  <c r="U285" i="16"/>
  <c r="T285" i="16"/>
  <c r="AG285" i="16" s="1"/>
  <c r="E285" i="16"/>
  <c r="D285" i="16"/>
  <c r="C285" i="16"/>
  <c r="B285" i="16"/>
  <c r="A285" i="16"/>
  <c r="BW284" i="16"/>
  <c r="BI284" i="16"/>
  <c r="AU284" i="16"/>
  <c r="AF284" i="16"/>
  <c r="AE284" i="16"/>
  <c r="AD284" i="16"/>
  <c r="AC284" i="16"/>
  <c r="AB284" i="16"/>
  <c r="AA284" i="16"/>
  <c r="Z284" i="16"/>
  <c r="Y284" i="16"/>
  <c r="AG284" i="16" s="1"/>
  <c r="X284" i="16"/>
  <c r="W284" i="16"/>
  <c r="V284" i="16"/>
  <c r="U284" i="16"/>
  <c r="T284" i="16"/>
  <c r="E284" i="16"/>
  <c r="D284" i="16"/>
  <c r="C284" i="16"/>
  <c r="B284" i="16"/>
  <c r="A284" i="16"/>
  <c r="BW283" i="16"/>
  <c r="BI283" i="16"/>
  <c r="AU283" i="16"/>
  <c r="AF283" i="16"/>
  <c r="AE283" i="16"/>
  <c r="AD283" i="16"/>
  <c r="AC283" i="16"/>
  <c r="AB283" i="16"/>
  <c r="AA283" i="16"/>
  <c r="Z283" i="16"/>
  <c r="Y283" i="16"/>
  <c r="X283" i="16"/>
  <c r="W283" i="16"/>
  <c r="V283" i="16"/>
  <c r="U283" i="16"/>
  <c r="T283" i="16"/>
  <c r="E283" i="16"/>
  <c r="D283" i="16"/>
  <c r="C283" i="16"/>
  <c r="B283" i="16"/>
  <c r="A283" i="16"/>
  <c r="BW282" i="16"/>
  <c r="BI282" i="16"/>
  <c r="AU282" i="16"/>
  <c r="AF282" i="16"/>
  <c r="AE282" i="16"/>
  <c r="AD282" i="16"/>
  <c r="AC282" i="16"/>
  <c r="AB282" i="16"/>
  <c r="AA282" i="16"/>
  <c r="Z282" i="16"/>
  <c r="Y282" i="16"/>
  <c r="X282" i="16"/>
  <c r="AG282" i="16" s="1"/>
  <c r="W282" i="16"/>
  <c r="V282" i="16"/>
  <c r="U282" i="16"/>
  <c r="T282" i="16"/>
  <c r="E282" i="16"/>
  <c r="D282" i="16"/>
  <c r="C282" i="16"/>
  <c r="B282" i="16"/>
  <c r="A282" i="16"/>
  <c r="BW281" i="16"/>
  <c r="BI281" i="16"/>
  <c r="AU281" i="16"/>
  <c r="AF281" i="16"/>
  <c r="AE281" i="16"/>
  <c r="AD281" i="16"/>
  <c r="AC281" i="16"/>
  <c r="AB281" i="16"/>
  <c r="AA281" i="16"/>
  <c r="Z281" i="16"/>
  <c r="Y281" i="16"/>
  <c r="AG281" i="16" s="1"/>
  <c r="X281" i="16"/>
  <c r="W281" i="16"/>
  <c r="V281" i="16"/>
  <c r="U281" i="16"/>
  <c r="T281" i="16"/>
  <c r="E281" i="16"/>
  <c r="D281" i="16"/>
  <c r="C281" i="16"/>
  <c r="B281" i="16"/>
  <c r="A281" i="16"/>
  <c r="BW280" i="16"/>
  <c r="BI280" i="16"/>
  <c r="AU280" i="16"/>
  <c r="AF280" i="16"/>
  <c r="AE280" i="16"/>
  <c r="AD280" i="16"/>
  <c r="AC280" i="16"/>
  <c r="AB280" i="16"/>
  <c r="AA280" i="16"/>
  <c r="Z280" i="16"/>
  <c r="Y280" i="16"/>
  <c r="AG280" i="16" s="1"/>
  <c r="X280" i="16"/>
  <c r="W280" i="16"/>
  <c r="V280" i="16"/>
  <c r="U280" i="16"/>
  <c r="T280" i="16"/>
  <c r="E280" i="16"/>
  <c r="D280" i="16"/>
  <c r="C280" i="16"/>
  <c r="B280" i="16"/>
  <c r="A280" i="16"/>
  <c r="BW279" i="16"/>
  <c r="BI279" i="16"/>
  <c r="AU279" i="16"/>
  <c r="AF279" i="16"/>
  <c r="AE279" i="16"/>
  <c r="AD279" i="16"/>
  <c r="AC279" i="16"/>
  <c r="AB279" i="16"/>
  <c r="AA279" i="16"/>
  <c r="Z279" i="16"/>
  <c r="Y279" i="16"/>
  <c r="X279" i="16"/>
  <c r="W279" i="16"/>
  <c r="V279" i="16"/>
  <c r="U279" i="16"/>
  <c r="T279" i="16"/>
  <c r="E279" i="16"/>
  <c r="D279" i="16"/>
  <c r="C279" i="16"/>
  <c r="B279" i="16"/>
  <c r="A279" i="16"/>
  <c r="BW278" i="16"/>
  <c r="BI278" i="16"/>
  <c r="AU278" i="16"/>
  <c r="AF278" i="16"/>
  <c r="AE278" i="16"/>
  <c r="AD278" i="16"/>
  <c r="AC278" i="16"/>
  <c r="AB278" i="16"/>
  <c r="AA278" i="16"/>
  <c r="Z278" i="16"/>
  <c r="Y278" i="16"/>
  <c r="X278" i="16"/>
  <c r="W278" i="16"/>
  <c r="V278" i="16"/>
  <c r="U278" i="16"/>
  <c r="T278" i="16"/>
  <c r="E278" i="16"/>
  <c r="D278" i="16"/>
  <c r="C278" i="16"/>
  <c r="B278" i="16"/>
  <c r="A278" i="16"/>
  <c r="BW277" i="16"/>
  <c r="BI277" i="16"/>
  <c r="AU277" i="16"/>
  <c r="AF277" i="16"/>
  <c r="AE277" i="16"/>
  <c r="AD277" i="16"/>
  <c r="AC277" i="16"/>
  <c r="AB277" i="16"/>
  <c r="AA277" i="16"/>
  <c r="Z277" i="16"/>
  <c r="Y277" i="16"/>
  <c r="X277" i="16"/>
  <c r="W277" i="16"/>
  <c r="V277" i="16"/>
  <c r="U277" i="16"/>
  <c r="T277" i="16"/>
  <c r="AG277" i="16" s="1"/>
  <c r="E277" i="16"/>
  <c r="D277" i="16"/>
  <c r="C277" i="16"/>
  <c r="B277" i="16"/>
  <c r="A277" i="16"/>
  <c r="BW276" i="16"/>
  <c r="BI276" i="16"/>
  <c r="AU276" i="16"/>
  <c r="AF276" i="16"/>
  <c r="AE276" i="16"/>
  <c r="AD276" i="16"/>
  <c r="AC276" i="16"/>
  <c r="AB276" i="16"/>
  <c r="AA276" i="16"/>
  <c r="Z276" i="16"/>
  <c r="Y276" i="16"/>
  <c r="X276" i="16"/>
  <c r="W276" i="16"/>
  <c r="V276" i="16"/>
  <c r="U276" i="16"/>
  <c r="T276" i="16"/>
  <c r="E276" i="16"/>
  <c r="D276" i="16"/>
  <c r="C276" i="16"/>
  <c r="B276" i="16"/>
  <c r="A276" i="16"/>
  <c r="BW275" i="16"/>
  <c r="BI275" i="16"/>
  <c r="AU275" i="16"/>
  <c r="AF275" i="16"/>
  <c r="AE275" i="16"/>
  <c r="AD275" i="16"/>
  <c r="AC275" i="16"/>
  <c r="AB275" i="16"/>
  <c r="AA275" i="16"/>
  <c r="Z275" i="16"/>
  <c r="Y275" i="16"/>
  <c r="X275" i="16"/>
  <c r="W275" i="16"/>
  <c r="V275" i="16"/>
  <c r="U275" i="16"/>
  <c r="T275" i="16"/>
  <c r="AG275" i="16" s="1"/>
  <c r="E275" i="16"/>
  <c r="D275" i="16"/>
  <c r="C275" i="16"/>
  <c r="B275" i="16"/>
  <c r="A275" i="16"/>
  <c r="BW274" i="16"/>
  <c r="BI274" i="16"/>
  <c r="AU274" i="16"/>
  <c r="AF274" i="16"/>
  <c r="AE274" i="16"/>
  <c r="AD274" i="16"/>
  <c r="AC274" i="16"/>
  <c r="AB274" i="16"/>
  <c r="AA274" i="16"/>
  <c r="Z274" i="16"/>
  <c r="Y274" i="16"/>
  <c r="X274" i="16"/>
  <c r="W274" i="16"/>
  <c r="V274" i="16"/>
  <c r="U274" i="16"/>
  <c r="T274" i="16"/>
  <c r="E274" i="16"/>
  <c r="D274" i="16"/>
  <c r="C274" i="16"/>
  <c r="B274" i="16"/>
  <c r="A274" i="16"/>
  <c r="BW273" i="16"/>
  <c r="BI273" i="16"/>
  <c r="AU273" i="16"/>
  <c r="AF273" i="16"/>
  <c r="AE273" i="16"/>
  <c r="AD273" i="16"/>
  <c r="AC273" i="16"/>
  <c r="AB273" i="16"/>
  <c r="AA273" i="16"/>
  <c r="Z273" i="16"/>
  <c r="Y273" i="16"/>
  <c r="X273" i="16"/>
  <c r="W273" i="16"/>
  <c r="V273" i="16"/>
  <c r="U273" i="16"/>
  <c r="T273" i="16"/>
  <c r="AG273" i="16" s="1"/>
  <c r="E273" i="16"/>
  <c r="D273" i="16"/>
  <c r="C273" i="16"/>
  <c r="B273" i="16"/>
  <c r="A273" i="16"/>
  <c r="BW272" i="16"/>
  <c r="BI272" i="16"/>
  <c r="AU272" i="16"/>
  <c r="AF272" i="16"/>
  <c r="AE272" i="16"/>
  <c r="AD272" i="16"/>
  <c r="AC272" i="16"/>
  <c r="AB272" i="16"/>
  <c r="AA272" i="16"/>
  <c r="Z272" i="16"/>
  <c r="Y272" i="16"/>
  <c r="X272" i="16"/>
  <c r="W272" i="16"/>
  <c r="V272" i="16"/>
  <c r="U272" i="16"/>
  <c r="T272" i="16"/>
  <c r="E272" i="16"/>
  <c r="D272" i="16"/>
  <c r="C272" i="16"/>
  <c r="B272" i="16"/>
  <c r="A272" i="16"/>
  <c r="BW271" i="16"/>
  <c r="BI271" i="16"/>
  <c r="AU271" i="16"/>
  <c r="AF271" i="16"/>
  <c r="AE271" i="16"/>
  <c r="AD271" i="16"/>
  <c r="AC271" i="16"/>
  <c r="AB271" i="16"/>
  <c r="AA271" i="16"/>
  <c r="Z271" i="16"/>
  <c r="Y271" i="16"/>
  <c r="X271" i="16"/>
  <c r="W271" i="16"/>
  <c r="V271" i="16"/>
  <c r="U271" i="16"/>
  <c r="T271" i="16"/>
  <c r="E271" i="16"/>
  <c r="D271" i="16"/>
  <c r="C271" i="16"/>
  <c r="B271" i="16"/>
  <c r="A271" i="16"/>
  <c r="BW270" i="16"/>
  <c r="BI270" i="16"/>
  <c r="AU270" i="16"/>
  <c r="AF270" i="16"/>
  <c r="AE270" i="16"/>
  <c r="AD270" i="16"/>
  <c r="AC270" i="16"/>
  <c r="AB270" i="16"/>
  <c r="AA270" i="16"/>
  <c r="Z270" i="16"/>
  <c r="Y270" i="16"/>
  <c r="X270" i="16"/>
  <c r="W270" i="16"/>
  <c r="AG270" i="16" s="1"/>
  <c r="V270" i="16"/>
  <c r="U270" i="16"/>
  <c r="T270" i="16"/>
  <c r="E270" i="16"/>
  <c r="D270" i="16"/>
  <c r="C270" i="16"/>
  <c r="B270" i="16"/>
  <c r="A270" i="16"/>
  <c r="BW269" i="16"/>
  <c r="BI269" i="16"/>
  <c r="AU269" i="16"/>
  <c r="AF269" i="16"/>
  <c r="AE269" i="16"/>
  <c r="AD269" i="16"/>
  <c r="AC269" i="16"/>
  <c r="AB269" i="16"/>
  <c r="AA269" i="16"/>
  <c r="Z269" i="16"/>
  <c r="Y269" i="16"/>
  <c r="X269" i="16"/>
  <c r="W269" i="16"/>
  <c r="V269" i="16"/>
  <c r="U269" i="16"/>
  <c r="T269" i="16"/>
  <c r="E269" i="16"/>
  <c r="D269" i="16"/>
  <c r="C269" i="16"/>
  <c r="B269" i="16"/>
  <c r="A269" i="16"/>
  <c r="BW268" i="16"/>
  <c r="BI268" i="16"/>
  <c r="AU268" i="16"/>
  <c r="AF268" i="16"/>
  <c r="AE268" i="16"/>
  <c r="AD268" i="16"/>
  <c r="AC268" i="16"/>
  <c r="AB268" i="16"/>
  <c r="AA268" i="16"/>
  <c r="Z268" i="16"/>
  <c r="Y268" i="16"/>
  <c r="X268" i="16"/>
  <c r="W268" i="16"/>
  <c r="AG268" i="16" s="1"/>
  <c r="V268" i="16"/>
  <c r="U268" i="16"/>
  <c r="T268" i="16"/>
  <c r="E268" i="16"/>
  <c r="D268" i="16"/>
  <c r="C268" i="16"/>
  <c r="B268" i="16"/>
  <c r="A268" i="16"/>
  <c r="BW267" i="16"/>
  <c r="BI267" i="16"/>
  <c r="AU267" i="16"/>
  <c r="AF267" i="16"/>
  <c r="AE267" i="16"/>
  <c r="AD267" i="16"/>
  <c r="AC267" i="16"/>
  <c r="AB267" i="16"/>
  <c r="AA267" i="16"/>
  <c r="Z267" i="16"/>
  <c r="Y267" i="16"/>
  <c r="X267" i="16"/>
  <c r="W267" i="16"/>
  <c r="V267" i="16"/>
  <c r="U267" i="16"/>
  <c r="T267" i="16"/>
  <c r="E267" i="16"/>
  <c r="D267" i="16"/>
  <c r="C267" i="16"/>
  <c r="B267" i="16"/>
  <c r="A267" i="16"/>
  <c r="BW266" i="16"/>
  <c r="BI266" i="16"/>
  <c r="AU266" i="16"/>
  <c r="AF266" i="16"/>
  <c r="AE266" i="16"/>
  <c r="AD266" i="16"/>
  <c r="AC266" i="16"/>
  <c r="AB266" i="16"/>
  <c r="AA266" i="16"/>
  <c r="Z266" i="16"/>
  <c r="Y266" i="16"/>
  <c r="X266" i="16"/>
  <c r="W266" i="16"/>
  <c r="AG266" i="16" s="1"/>
  <c r="V266" i="16"/>
  <c r="U266" i="16"/>
  <c r="T266" i="16"/>
  <c r="E266" i="16"/>
  <c r="D266" i="16"/>
  <c r="C266" i="16"/>
  <c r="B266" i="16"/>
  <c r="A266" i="16"/>
  <c r="BW265" i="16"/>
  <c r="BI265" i="16"/>
  <c r="AU265" i="16"/>
  <c r="AF265" i="16"/>
  <c r="AE265" i="16"/>
  <c r="AD265" i="16"/>
  <c r="AC265" i="16"/>
  <c r="AB265" i="16"/>
  <c r="AA265" i="16"/>
  <c r="Z265" i="16"/>
  <c r="Y265" i="16"/>
  <c r="X265" i="16"/>
  <c r="W265" i="16"/>
  <c r="V265" i="16"/>
  <c r="U265" i="16"/>
  <c r="T265" i="16"/>
  <c r="E265" i="16"/>
  <c r="D265" i="16"/>
  <c r="C265" i="16"/>
  <c r="B265" i="16"/>
  <c r="A265" i="16"/>
  <c r="BW264" i="16"/>
  <c r="BI264" i="16"/>
  <c r="AU264" i="16"/>
  <c r="AF264" i="16"/>
  <c r="AE264" i="16"/>
  <c r="AD264" i="16"/>
  <c r="AC264" i="16"/>
  <c r="AB264" i="16"/>
  <c r="AA264" i="16"/>
  <c r="Z264" i="16"/>
  <c r="Y264" i="16"/>
  <c r="AG264" i="16" s="1"/>
  <c r="X264" i="16"/>
  <c r="W264" i="16"/>
  <c r="V264" i="16"/>
  <c r="U264" i="16"/>
  <c r="T264" i="16"/>
  <c r="E264" i="16"/>
  <c r="D264" i="16"/>
  <c r="C264" i="16"/>
  <c r="B264" i="16"/>
  <c r="A264" i="16"/>
  <c r="BW263" i="16"/>
  <c r="BI263" i="16"/>
  <c r="AU263" i="16"/>
  <c r="AF263" i="16"/>
  <c r="AE263" i="16"/>
  <c r="AD263" i="16"/>
  <c r="AC263" i="16"/>
  <c r="AB263" i="16"/>
  <c r="AA263" i="16"/>
  <c r="Z263" i="16"/>
  <c r="Y263" i="16"/>
  <c r="X263" i="16"/>
  <c r="W263" i="16"/>
  <c r="V263" i="16"/>
  <c r="U263" i="16"/>
  <c r="T263" i="16"/>
  <c r="E263" i="16"/>
  <c r="D263" i="16"/>
  <c r="C263" i="16"/>
  <c r="B263" i="16"/>
  <c r="A263" i="16"/>
  <c r="BW262" i="16"/>
  <c r="BI262" i="16"/>
  <c r="AU262" i="16"/>
  <c r="AF262" i="16"/>
  <c r="AE262" i="16"/>
  <c r="AD262" i="16"/>
  <c r="AC262" i="16"/>
  <c r="AB262" i="16"/>
  <c r="AA262" i="16"/>
  <c r="Z262" i="16"/>
  <c r="Y262" i="16"/>
  <c r="AG262" i="16" s="1"/>
  <c r="X262" i="16"/>
  <c r="W262" i="16"/>
  <c r="V262" i="16"/>
  <c r="U262" i="16"/>
  <c r="T262" i="16"/>
  <c r="E262" i="16"/>
  <c r="D262" i="16"/>
  <c r="C262" i="16"/>
  <c r="B262" i="16"/>
  <c r="A262" i="16"/>
  <c r="BW261" i="16"/>
  <c r="BI261" i="16"/>
  <c r="AU261" i="16"/>
  <c r="AF261" i="16"/>
  <c r="AE261" i="16"/>
  <c r="AD261" i="16"/>
  <c r="AC261" i="16"/>
  <c r="AB261" i="16"/>
  <c r="AA261" i="16"/>
  <c r="Z261" i="16"/>
  <c r="Y261" i="16"/>
  <c r="X261" i="16"/>
  <c r="W261" i="16"/>
  <c r="V261" i="16"/>
  <c r="U261" i="16"/>
  <c r="T261" i="16"/>
  <c r="E261" i="16"/>
  <c r="D261" i="16"/>
  <c r="C261" i="16"/>
  <c r="B261" i="16"/>
  <c r="A261" i="16"/>
  <c r="BW260" i="16"/>
  <c r="BI260" i="16"/>
  <c r="AU260" i="16"/>
  <c r="AF260" i="16"/>
  <c r="AE260" i="16"/>
  <c r="AD260" i="16"/>
  <c r="AC260" i="16"/>
  <c r="AB260" i="16"/>
  <c r="AA260" i="16"/>
  <c r="Z260" i="16"/>
  <c r="Y260" i="16"/>
  <c r="X260" i="16"/>
  <c r="W260" i="16"/>
  <c r="V260" i="16"/>
  <c r="U260" i="16"/>
  <c r="AG260" i="16" s="1"/>
  <c r="T260" i="16"/>
  <c r="E260" i="16"/>
  <c r="D260" i="16"/>
  <c r="C260" i="16"/>
  <c r="B260" i="16"/>
  <c r="A260" i="16"/>
  <c r="BW259" i="16"/>
  <c r="BI259" i="16"/>
  <c r="AU259" i="16"/>
  <c r="AF259" i="16"/>
  <c r="AE259" i="16"/>
  <c r="AD259" i="16"/>
  <c r="AC259" i="16"/>
  <c r="AB259" i="16"/>
  <c r="AA259" i="16"/>
  <c r="Z259" i="16"/>
  <c r="Y259" i="16"/>
  <c r="X259" i="16"/>
  <c r="W259" i="16"/>
  <c r="V259" i="16"/>
  <c r="U259" i="16"/>
  <c r="T259" i="16"/>
  <c r="AG259" i="16" s="1"/>
  <c r="E259" i="16"/>
  <c r="D259" i="16"/>
  <c r="C259" i="16"/>
  <c r="B259" i="16"/>
  <c r="A259" i="16"/>
  <c r="BW258" i="16"/>
  <c r="BI258" i="16"/>
  <c r="AU258" i="16"/>
  <c r="AF258" i="16"/>
  <c r="AE258" i="16"/>
  <c r="AD258" i="16"/>
  <c r="AC258" i="16"/>
  <c r="AB258" i="16"/>
  <c r="AA258" i="16"/>
  <c r="Z258" i="16"/>
  <c r="Y258" i="16"/>
  <c r="AG258" i="16" s="1"/>
  <c r="X258" i="16"/>
  <c r="W258" i="16"/>
  <c r="V258" i="16"/>
  <c r="U258" i="16"/>
  <c r="T258" i="16"/>
  <c r="E258" i="16"/>
  <c r="D258" i="16"/>
  <c r="C258" i="16"/>
  <c r="B258" i="16"/>
  <c r="A258" i="16"/>
  <c r="BW257" i="16"/>
  <c r="BI257" i="16"/>
  <c r="AU257" i="16"/>
  <c r="AF257" i="16"/>
  <c r="AE257" i="16"/>
  <c r="AD257" i="16"/>
  <c r="AC257" i="16"/>
  <c r="AB257" i="16"/>
  <c r="AA257" i="16"/>
  <c r="Z257" i="16"/>
  <c r="Y257" i="16"/>
  <c r="X257" i="16"/>
  <c r="W257" i="16"/>
  <c r="V257" i="16"/>
  <c r="U257" i="16"/>
  <c r="AG257" i="16" s="1"/>
  <c r="T257" i="16"/>
  <c r="E257" i="16"/>
  <c r="D257" i="16"/>
  <c r="C257" i="16"/>
  <c r="B257" i="16"/>
  <c r="A257" i="16"/>
  <c r="BW256" i="16"/>
  <c r="BI256" i="16"/>
  <c r="AU256" i="16"/>
  <c r="AF256" i="16"/>
  <c r="AE256" i="16"/>
  <c r="AD256" i="16"/>
  <c r="AC256" i="16"/>
  <c r="AB256" i="16"/>
  <c r="AA256" i="16"/>
  <c r="Z256" i="16"/>
  <c r="Y256" i="16"/>
  <c r="X256" i="16"/>
  <c r="W256" i="16"/>
  <c r="V256" i="16"/>
  <c r="U256" i="16"/>
  <c r="AG256" i="16" s="1"/>
  <c r="T256" i="16"/>
  <c r="E256" i="16"/>
  <c r="D256" i="16"/>
  <c r="C256" i="16"/>
  <c r="B256" i="16"/>
  <c r="A256" i="16"/>
  <c r="BW255" i="16"/>
  <c r="BI255" i="16"/>
  <c r="AU255" i="16"/>
  <c r="AF255" i="16"/>
  <c r="AE255" i="16"/>
  <c r="AD255" i="16"/>
  <c r="AC255" i="16"/>
  <c r="AB255" i="16"/>
  <c r="AA255" i="16"/>
  <c r="Z255" i="16"/>
  <c r="Y255" i="16"/>
  <c r="X255" i="16"/>
  <c r="W255" i="16"/>
  <c r="V255" i="16"/>
  <c r="U255" i="16"/>
  <c r="T255" i="16"/>
  <c r="AG255" i="16" s="1"/>
  <c r="E255" i="16"/>
  <c r="D255" i="16"/>
  <c r="C255" i="16"/>
  <c r="B255" i="16"/>
  <c r="A255" i="16"/>
  <c r="BW254" i="16"/>
  <c r="BI254" i="16"/>
  <c r="AU254" i="16"/>
  <c r="AF254" i="16"/>
  <c r="AE254" i="16"/>
  <c r="AD254" i="16"/>
  <c r="AC254" i="16"/>
  <c r="AB254" i="16"/>
  <c r="AA254" i="16"/>
  <c r="Z254" i="16"/>
  <c r="Y254" i="16"/>
  <c r="AG254" i="16" s="1"/>
  <c r="X254" i="16"/>
  <c r="W254" i="16"/>
  <c r="V254" i="16"/>
  <c r="U254" i="16"/>
  <c r="T254" i="16"/>
  <c r="E254" i="16"/>
  <c r="D254" i="16"/>
  <c r="C254" i="16"/>
  <c r="B254" i="16"/>
  <c r="A254" i="16"/>
  <c r="BW253" i="16"/>
  <c r="BI253" i="16"/>
  <c r="AU253" i="16"/>
  <c r="AF253" i="16"/>
  <c r="AE253" i="16"/>
  <c r="AD253" i="16"/>
  <c r="AC253" i="16"/>
  <c r="AB253" i="16"/>
  <c r="AA253" i="16"/>
  <c r="Z253" i="16"/>
  <c r="Y253" i="16"/>
  <c r="X253" i="16"/>
  <c r="W253" i="16"/>
  <c r="V253" i="16"/>
  <c r="U253" i="16"/>
  <c r="AG253" i="16" s="1"/>
  <c r="T253" i="16"/>
  <c r="E253" i="16"/>
  <c r="D253" i="16"/>
  <c r="C253" i="16"/>
  <c r="B253" i="16"/>
  <c r="A253" i="16"/>
  <c r="BW252" i="16"/>
  <c r="BI252" i="16"/>
  <c r="AU252" i="16"/>
  <c r="AF252" i="16"/>
  <c r="AE252" i="16"/>
  <c r="AD252" i="16"/>
  <c r="AC252" i="16"/>
  <c r="AB252" i="16"/>
  <c r="AA252" i="16"/>
  <c r="Z252" i="16"/>
  <c r="Y252" i="16"/>
  <c r="AG252" i="16" s="1"/>
  <c r="X252" i="16"/>
  <c r="W252" i="16"/>
  <c r="V252" i="16"/>
  <c r="U252" i="16"/>
  <c r="T252" i="16"/>
  <c r="E252" i="16"/>
  <c r="D252" i="16"/>
  <c r="C252" i="16"/>
  <c r="B252" i="16"/>
  <c r="A252" i="16"/>
  <c r="BW251" i="16"/>
  <c r="BI251" i="16"/>
  <c r="AU251" i="16"/>
  <c r="AF251" i="16"/>
  <c r="AE251" i="16"/>
  <c r="AD251" i="16"/>
  <c r="AC251" i="16"/>
  <c r="AB251" i="16"/>
  <c r="AA251" i="16"/>
  <c r="Z251" i="16"/>
  <c r="Y251" i="16"/>
  <c r="X251" i="16"/>
  <c r="W251" i="16"/>
  <c r="V251" i="16"/>
  <c r="U251" i="16"/>
  <c r="AG251" i="16" s="1"/>
  <c r="T251" i="16"/>
  <c r="E251" i="16"/>
  <c r="D251" i="16"/>
  <c r="C251" i="16"/>
  <c r="B251" i="16"/>
  <c r="A251" i="16"/>
  <c r="BW250" i="16"/>
  <c r="BI250" i="16"/>
  <c r="AU250" i="16"/>
  <c r="AF250" i="16"/>
  <c r="AE250" i="16"/>
  <c r="AD250" i="16"/>
  <c r="AC250" i="16"/>
  <c r="AB250" i="16"/>
  <c r="AA250" i="16"/>
  <c r="Z250" i="16"/>
  <c r="Y250" i="16"/>
  <c r="AG250" i="16" s="1"/>
  <c r="X250" i="16"/>
  <c r="W250" i="16"/>
  <c r="V250" i="16"/>
  <c r="U250" i="16"/>
  <c r="T250" i="16"/>
  <c r="E250" i="16"/>
  <c r="D250" i="16"/>
  <c r="C250" i="16"/>
  <c r="B250" i="16"/>
  <c r="A250" i="16"/>
  <c r="BW249" i="16"/>
  <c r="BI249" i="16"/>
  <c r="AU249" i="16"/>
  <c r="AF249" i="16"/>
  <c r="AE249" i="16"/>
  <c r="AD249" i="16"/>
  <c r="AC249" i="16"/>
  <c r="AB249" i="16"/>
  <c r="AA249" i="16"/>
  <c r="Z249" i="16"/>
  <c r="Y249" i="16"/>
  <c r="X249" i="16"/>
  <c r="W249" i="16"/>
  <c r="V249" i="16"/>
  <c r="U249" i="16"/>
  <c r="AG249" i="16" s="1"/>
  <c r="T249" i="16"/>
  <c r="E249" i="16"/>
  <c r="D249" i="16"/>
  <c r="C249" i="16"/>
  <c r="B249" i="16"/>
  <c r="A249" i="16"/>
  <c r="BW248" i="16"/>
  <c r="BI248" i="16"/>
  <c r="AU248" i="16"/>
  <c r="AF248" i="16"/>
  <c r="AE248" i="16"/>
  <c r="AD248" i="16"/>
  <c r="AC248" i="16"/>
  <c r="AB248" i="16"/>
  <c r="AA248" i="16"/>
  <c r="Z248" i="16"/>
  <c r="Y248" i="16"/>
  <c r="AG248" i="16" s="1"/>
  <c r="X248" i="16"/>
  <c r="W248" i="16"/>
  <c r="V248" i="16"/>
  <c r="U248" i="16"/>
  <c r="T248" i="16"/>
  <c r="E248" i="16"/>
  <c r="D248" i="16"/>
  <c r="C248" i="16"/>
  <c r="B248" i="16"/>
  <c r="A248" i="16"/>
  <c r="BW247" i="16"/>
  <c r="BI247" i="16"/>
  <c r="AU247" i="16"/>
  <c r="AF247" i="16"/>
  <c r="AE247" i="16"/>
  <c r="AD247" i="16"/>
  <c r="AC247" i="16"/>
  <c r="AB247" i="16"/>
  <c r="AA247" i="16"/>
  <c r="Z247" i="16"/>
  <c r="Y247" i="16"/>
  <c r="X247" i="16"/>
  <c r="W247" i="16"/>
  <c r="V247" i="16"/>
  <c r="U247" i="16"/>
  <c r="AG247" i="16" s="1"/>
  <c r="T247" i="16"/>
  <c r="E247" i="16"/>
  <c r="D247" i="16"/>
  <c r="C247" i="16"/>
  <c r="B247" i="16"/>
  <c r="A247" i="16"/>
  <c r="BW246" i="16"/>
  <c r="BI246" i="16"/>
  <c r="AU246" i="16"/>
  <c r="AF246" i="16"/>
  <c r="AE246" i="16"/>
  <c r="AD246" i="16"/>
  <c r="AC246" i="16"/>
  <c r="AB246" i="16"/>
  <c r="AA246" i="16"/>
  <c r="Z246" i="16"/>
  <c r="Y246" i="16"/>
  <c r="AG246" i="16" s="1"/>
  <c r="X246" i="16"/>
  <c r="W246" i="16"/>
  <c r="V246" i="16"/>
  <c r="U246" i="16"/>
  <c r="T246" i="16"/>
  <c r="E246" i="16"/>
  <c r="D246" i="16"/>
  <c r="C246" i="16"/>
  <c r="B246" i="16"/>
  <c r="A246" i="16"/>
  <c r="BW245" i="16"/>
  <c r="BI245" i="16"/>
  <c r="AU245" i="16"/>
  <c r="AF245" i="16"/>
  <c r="AE245" i="16"/>
  <c r="AD245" i="16"/>
  <c r="AC245" i="16"/>
  <c r="AB245" i="16"/>
  <c r="AA245" i="16"/>
  <c r="Z245" i="16"/>
  <c r="Y245" i="16"/>
  <c r="X245" i="16"/>
  <c r="W245" i="16"/>
  <c r="V245" i="16"/>
  <c r="U245" i="16"/>
  <c r="AG245" i="16" s="1"/>
  <c r="T245" i="16"/>
  <c r="E245" i="16"/>
  <c r="D245" i="16"/>
  <c r="C245" i="16"/>
  <c r="B245" i="16"/>
  <c r="A245" i="16"/>
  <c r="BW244" i="16"/>
  <c r="BI244" i="16"/>
  <c r="AU244" i="16"/>
  <c r="AF244" i="16"/>
  <c r="AE244" i="16"/>
  <c r="AD244" i="16"/>
  <c r="AC244" i="16"/>
  <c r="AB244" i="16"/>
  <c r="AA244" i="16"/>
  <c r="Z244" i="16"/>
  <c r="Y244" i="16"/>
  <c r="AG244" i="16" s="1"/>
  <c r="X244" i="16"/>
  <c r="W244" i="16"/>
  <c r="V244" i="16"/>
  <c r="U244" i="16"/>
  <c r="T244" i="16"/>
  <c r="E244" i="16"/>
  <c r="D244" i="16"/>
  <c r="C244" i="16"/>
  <c r="B244" i="16"/>
  <c r="A244" i="16"/>
  <c r="BW243" i="16"/>
  <c r="BI243" i="16"/>
  <c r="AU243" i="16"/>
  <c r="AF243" i="16"/>
  <c r="AE243" i="16"/>
  <c r="AD243" i="16"/>
  <c r="AC243" i="16"/>
  <c r="AB243" i="16"/>
  <c r="AA243" i="16"/>
  <c r="Z243" i="16"/>
  <c r="Y243" i="16"/>
  <c r="AG243" i="16" s="1"/>
  <c r="X243" i="16"/>
  <c r="W243" i="16"/>
  <c r="V243" i="16"/>
  <c r="U243" i="16"/>
  <c r="T243" i="16"/>
  <c r="E243" i="16"/>
  <c r="D243" i="16"/>
  <c r="C243" i="16"/>
  <c r="B243" i="16"/>
  <c r="A243" i="16"/>
  <c r="BW242" i="16"/>
  <c r="BI242" i="16"/>
  <c r="AU242" i="16"/>
  <c r="AF242" i="16"/>
  <c r="AE242" i="16"/>
  <c r="AD242" i="16"/>
  <c r="AC242" i="16"/>
  <c r="AB242" i="16"/>
  <c r="AA242" i="16"/>
  <c r="Z242" i="16"/>
  <c r="Y242" i="16"/>
  <c r="AG242" i="16" s="1"/>
  <c r="X242" i="16"/>
  <c r="W242" i="16"/>
  <c r="V242" i="16"/>
  <c r="U242" i="16"/>
  <c r="T242" i="16"/>
  <c r="E242" i="16"/>
  <c r="D242" i="16"/>
  <c r="C242" i="16"/>
  <c r="B242" i="16"/>
  <c r="A242" i="16"/>
  <c r="BW241" i="16"/>
  <c r="BI241" i="16"/>
  <c r="AU241" i="16"/>
  <c r="AF241" i="16"/>
  <c r="AE241" i="16"/>
  <c r="AD241" i="16"/>
  <c r="AC241" i="16"/>
  <c r="AB241" i="16"/>
  <c r="AA241" i="16"/>
  <c r="Z241" i="16"/>
  <c r="Y241" i="16"/>
  <c r="X241" i="16"/>
  <c r="W241" i="16"/>
  <c r="V241" i="16"/>
  <c r="U241" i="16"/>
  <c r="AG241" i="16" s="1"/>
  <c r="T241" i="16"/>
  <c r="E241" i="16"/>
  <c r="D241" i="16"/>
  <c r="C241" i="16"/>
  <c r="B241" i="16"/>
  <c r="A241" i="16"/>
  <c r="BW240" i="16"/>
  <c r="BI240" i="16"/>
  <c r="AU240" i="16"/>
  <c r="AF240" i="16"/>
  <c r="AE240" i="16"/>
  <c r="AD240" i="16"/>
  <c r="AC240" i="16"/>
  <c r="AB240" i="16"/>
  <c r="AA240" i="16"/>
  <c r="Z240" i="16"/>
  <c r="Y240" i="16"/>
  <c r="X240" i="16"/>
  <c r="W240" i="16"/>
  <c r="V240" i="16"/>
  <c r="U240" i="16"/>
  <c r="AG240" i="16" s="1"/>
  <c r="T240" i="16"/>
  <c r="E240" i="16"/>
  <c r="D240" i="16"/>
  <c r="C240" i="16"/>
  <c r="B240" i="16"/>
  <c r="A240" i="16"/>
  <c r="BW239" i="16"/>
  <c r="BI239" i="16"/>
  <c r="AU239" i="16"/>
  <c r="AF239" i="16"/>
  <c r="AE239" i="16"/>
  <c r="AD239" i="16"/>
  <c r="AC239" i="16"/>
  <c r="AB239" i="16"/>
  <c r="AA239" i="16"/>
  <c r="Z239" i="16"/>
  <c r="Y239" i="16"/>
  <c r="X239" i="16"/>
  <c r="W239" i="16"/>
  <c r="V239" i="16"/>
  <c r="U239" i="16"/>
  <c r="AG239" i="16" s="1"/>
  <c r="T239" i="16"/>
  <c r="E239" i="16"/>
  <c r="D239" i="16"/>
  <c r="C239" i="16"/>
  <c r="B239" i="16"/>
  <c r="A239" i="16"/>
  <c r="BW238" i="16"/>
  <c r="BI238" i="16"/>
  <c r="AU238" i="16"/>
  <c r="AF238" i="16"/>
  <c r="AE238" i="16"/>
  <c r="AD238" i="16"/>
  <c r="AC238" i="16"/>
  <c r="AB238" i="16"/>
  <c r="AA238" i="16"/>
  <c r="Z238" i="16"/>
  <c r="Y238" i="16"/>
  <c r="X238" i="16"/>
  <c r="W238" i="16"/>
  <c r="V238" i="16"/>
  <c r="U238" i="16"/>
  <c r="AG238" i="16" s="1"/>
  <c r="T238" i="16"/>
  <c r="E238" i="16"/>
  <c r="D238" i="16"/>
  <c r="C238" i="16"/>
  <c r="B238" i="16"/>
  <c r="A238" i="16"/>
  <c r="BW237" i="16"/>
  <c r="BI237" i="16"/>
  <c r="AU237" i="16"/>
  <c r="AF237" i="16"/>
  <c r="AE237" i="16"/>
  <c r="AD237" i="16"/>
  <c r="AC237" i="16"/>
  <c r="AB237" i="16"/>
  <c r="AA237" i="16"/>
  <c r="Z237" i="16"/>
  <c r="Y237" i="16"/>
  <c r="AG237" i="16" s="1"/>
  <c r="X237" i="16"/>
  <c r="W237" i="16"/>
  <c r="V237" i="16"/>
  <c r="U237" i="16"/>
  <c r="T237" i="16"/>
  <c r="E237" i="16"/>
  <c r="D237" i="16"/>
  <c r="C237" i="16"/>
  <c r="B237" i="16"/>
  <c r="A237" i="16"/>
  <c r="BW236" i="16"/>
  <c r="BI236" i="16"/>
  <c r="AU236" i="16"/>
  <c r="AF236" i="16"/>
  <c r="AE236" i="16"/>
  <c r="AD236" i="16"/>
  <c r="AC236" i="16"/>
  <c r="AB236" i="16"/>
  <c r="AA236" i="16"/>
  <c r="Z236" i="16"/>
  <c r="Y236" i="16"/>
  <c r="X236" i="16"/>
  <c r="W236" i="16"/>
  <c r="V236" i="16"/>
  <c r="U236" i="16"/>
  <c r="AG236" i="16" s="1"/>
  <c r="T236" i="16"/>
  <c r="E236" i="16"/>
  <c r="D236" i="16"/>
  <c r="C236" i="16"/>
  <c r="B236" i="16"/>
  <c r="A236" i="16"/>
  <c r="BW235" i="16"/>
  <c r="BI235" i="16"/>
  <c r="AU235" i="16"/>
  <c r="AF235" i="16"/>
  <c r="AE235" i="16"/>
  <c r="AD235" i="16"/>
  <c r="AC235" i="16"/>
  <c r="AB235" i="16"/>
  <c r="AA235" i="16"/>
  <c r="Z235" i="16"/>
  <c r="Y235" i="16"/>
  <c r="X235" i="16"/>
  <c r="W235" i="16"/>
  <c r="V235" i="16"/>
  <c r="U235" i="16"/>
  <c r="AG235" i="16" s="1"/>
  <c r="T235" i="16"/>
  <c r="E235" i="16"/>
  <c r="D235" i="16"/>
  <c r="C235" i="16"/>
  <c r="B235" i="16"/>
  <c r="A235" i="16"/>
  <c r="BW234" i="16"/>
  <c r="BI234" i="16"/>
  <c r="AU234" i="16"/>
  <c r="AF234" i="16"/>
  <c r="AE234" i="16"/>
  <c r="AD234" i="16"/>
  <c r="AC234" i="16"/>
  <c r="AB234" i="16"/>
  <c r="AA234" i="16"/>
  <c r="Z234" i="16"/>
  <c r="Y234" i="16"/>
  <c r="AG234" i="16" s="1"/>
  <c r="X234" i="16"/>
  <c r="W234" i="16"/>
  <c r="V234" i="16"/>
  <c r="U234" i="16"/>
  <c r="T234" i="16"/>
  <c r="E234" i="16"/>
  <c r="D234" i="16"/>
  <c r="C234" i="16"/>
  <c r="B234" i="16"/>
  <c r="A234" i="16"/>
  <c r="BW233" i="16"/>
  <c r="BI233" i="16"/>
  <c r="AU233" i="16"/>
  <c r="AF233" i="16"/>
  <c r="AE233" i="16"/>
  <c r="AD233" i="16"/>
  <c r="AC233" i="16"/>
  <c r="AB233" i="16"/>
  <c r="AA233" i="16"/>
  <c r="Z233" i="16"/>
  <c r="Y233" i="16"/>
  <c r="X233" i="16"/>
  <c r="W233" i="16"/>
  <c r="V233" i="16"/>
  <c r="U233" i="16"/>
  <c r="AG233" i="16" s="1"/>
  <c r="T233" i="16"/>
  <c r="E233" i="16"/>
  <c r="D233" i="16"/>
  <c r="C233" i="16"/>
  <c r="B233" i="16"/>
  <c r="A233" i="16"/>
  <c r="BW232" i="16"/>
  <c r="BI232" i="16"/>
  <c r="AU232" i="16"/>
  <c r="AF232" i="16"/>
  <c r="AE232" i="16"/>
  <c r="AD232" i="16"/>
  <c r="AC232" i="16"/>
  <c r="AB232" i="16"/>
  <c r="AA232" i="16"/>
  <c r="Z232" i="16"/>
  <c r="Y232" i="16"/>
  <c r="X232" i="16"/>
  <c r="W232" i="16"/>
  <c r="V232" i="16"/>
  <c r="U232" i="16"/>
  <c r="AG232" i="16" s="1"/>
  <c r="T232" i="16"/>
  <c r="E232" i="16"/>
  <c r="D232" i="16"/>
  <c r="C232" i="16"/>
  <c r="B232" i="16"/>
  <c r="A232" i="16"/>
  <c r="BW231" i="16"/>
  <c r="BI231" i="16"/>
  <c r="AU231" i="16"/>
  <c r="AF231" i="16"/>
  <c r="AE231" i="16"/>
  <c r="AD231" i="16"/>
  <c r="AC231" i="16"/>
  <c r="AB231" i="16"/>
  <c r="AA231" i="16"/>
  <c r="Z231" i="16"/>
  <c r="Y231" i="16"/>
  <c r="X231" i="16"/>
  <c r="W231" i="16"/>
  <c r="V231" i="16"/>
  <c r="U231" i="16"/>
  <c r="AG231" i="16" s="1"/>
  <c r="T231" i="16"/>
  <c r="E231" i="16"/>
  <c r="D231" i="16"/>
  <c r="C231" i="16"/>
  <c r="B231" i="16"/>
  <c r="A231" i="16"/>
  <c r="BW230" i="16"/>
  <c r="BI230" i="16"/>
  <c r="AU230" i="16"/>
  <c r="AF230" i="16"/>
  <c r="AE230" i="16"/>
  <c r="AD230" i="16"/>
  <c r="AC230" i="16"/>
  <c r="AB230" i="16"/>
  <c r="AA230" i="16"/>
  <c r="Z230" i="16"/>
  <c r="Y230" i="16"/>
  <c r="AG230" i="16" s="1"/>
  <c r="X230" i="16"/>
  <c r="W230" i="16"/>
  <c r="V230" i="16"/>
  <c r="U230" i="16"/>
  <c r="T230" i="16"/>
  <c r="E230" i="16"/>
  <c r="D230" i="16"/>
  <c r="C230" i="16"/>
  <c r="B230" i="16"/>
  <c r="A230" i="16"/>
  <c r="BW229" i="16"/>
  <c r="BI229" i="16"/>
  <c r="AU229" i="16"/>
  <c r="AF229" i="16"/>
  <c r="AE229" i="16"/>
  <c r="AD229" i="16"/>
  <c r="AC229" i="16"/>
  <c r="AB229" i="16"/>
  <c r="AA229" i="16"/>
  <c r="Z229" i="16"/>
  <c r="Y229" i="16"/>
  <c r="X229" i="16"/>
  <c r="W229" i="16"/>
  <c r="V229" i="16"/>
  <c r="U229" i="16"/>
  <c r="T229" i="16"/>
  <c r="E229" i="16"/>
  <c r="D229" i="16"/>
  <c r="C229" i="16"/>
  <c r="B229" i="16"/>
  <c r="A229" i="16"/>
  <c r="BW228" i="16"/>
  <c r="BI228" i="16"/>
  <c r="AU228" i="16"/>
  <c r="AF228" i="16"/>
  <c r="AE228" i="16"/>
  <c r="AD228" i="16"/>
  <c r="AC228" i="16"/>
  <c r="AB228" i="16"/>
  <c r="AA228" i="16"/>
  <c r="Z228" i="16"/>
  <c r="Y228" i="16"/>
  <c r="AG228" i="16" s="1"/>
  <c r="X228" i="16"/>
  <c r="W228" i="16"/>
  <c r="V228" i="16"/>
  <c r="U228" i="16"/>
  <c r="T228" i="16"/>
  <c r="E228" i="16"/>
  <c r="D228" i="16"/>
  <c r="C228" i="16"/>
  <c r="B228" i="16"/>
  <c r="A228" i="16"/>
  <c r="BW227" i="16"/>
  <c r="BI227" i="16"/>
  <c r="AU227" i="16"/>
  <c r="AF227" i="16"/>
  <c r="AE227" i="16"/>
  <c r="AD227" i="16"/>
  <c r="AC227" i="16"/>
  <c r="AB227" i="16"/>
  <c r="AA227" i="16"/>
  <c r="Z227" i="16"/>
  <c r="Y227" i="16"/>
  <c r="X227" i="16"/>
  <c r="W227" i="16"/>
  <c r="V227" i="16"/>
  <c r="U227" i="16"/>
  <c r="AG227" i="16" s="1"/>
  <c r="T227" i="16"/>
  <c r="E227" i="16"/>
  <c r="D227" i="16"/>
  <c r="C227" i="16"/>
  <c r="B227" i="16"/>
  <c r="A227" i="16"/>
  <c r="BW226" i="16"/>
  <c r="BI226" i="16"/>
  <c r="AU226" i="16"/>
  <c r="AF226" i="16"/>
  <c r="AE226" i="16"/>
  <c r="AD226" i="16"/>
  <c r="AC226" i="16"/>
  <c r="AB226" i="16"/>
  <c r="AA226" i="16"/>
  <c r="Z226" i="16"/>
  <c r="Y226" i="16"/>
  <c r="AG226" i="16" s="1"/>
  <c r="X226" i="16"/>
  <c r="W226" i="16"/>
  <c r="V226" i="16"/>
  <c r="U226" i="16"/>
  <c r="T226" i="16"/>
  <c r="E226" i="16"/>
  <c r="D226" i="16"/>
  <c r="C226" i="16"/>
  <c r="B226" i="16"/>
  <c r="A226" i="16"/>
  <c r="BW225" i="16"/>
  <c r="BI225" i="16"/>
  <c r="AU225" i="16"/>
  <c r="AF225" i="16"/>
  <c r="AE225" i="16"/>
  <c r="AD225" i="16"/>
  <c r="AC225" i="16"/>
  <c r="AB225" i="16"/>
  <c r="AA225" i="16"/>
  <c r="Z225" i="16"/>
  <c r="Y225" i="16"/>
  <c r="X225" i="16"/>
  <c r="W225" i="16"/>
  <c r="V225" i="16"/>
  <c r="U225" i="16"/>
  <c r="T225" i="16"/>
  <c r="E225" i="16"/>
  <c r="D225" i="16"/>
  <c r="C225" i="16"/>
  <c r="B225" i="16"/>
  <c r="A225" i="16"/>
  <c r="BW224" i="16"/>
  <c r="BI224" i="16"/>
  <c r="AU224" i="16"/>
  <c r="AF224" i="16"/>
  <c r="AE224" i="16"/>
  <c r="AD224" i="16"/>
  <c r="AC224" i="16"/>
  <c r="AB224" i="16"/>
  <c r="AA224" i="16"/>
  <c r="Z224" i="16"/>
  <c r="Y224" i="16"/>
  <c r="AG224" i="16" s="1"/>
  <c r="X224" i="16"/>
  <c r="W224" i="16"/>
  <c r="V224" i="16"/>
  <c r="U224" i="16"/>
  <c r="T224" i="16"/>
  <c r="E224" i="16"/>
  <c r="D224" i="16"/>
  <c r="C224" i="16"/>
  <c r="B224" i="16"/>
  <c r="A224" i="16"/>
  <c r="BW223" i="16"/>
  <c r="BI223" i="16"/>
  <c r="AU223" i="16"/>
  <c r="AF223" i="16"/>
  <c r="AE223" i="16"/>
  <c r="AD223" i="16"/>
  <c r="AC223" i="16"/>
  <c r="AB223" i="16"/>
  <c r="AA223" i="16"/>
  <c r="Z223" i="16"/>
  <c r="Y223" i="16"/>
  <c r="X223" i="16"/>
  <c r="W223" i="16"/>
  <c r="V223" i="16"/>
  <c r="U223" i="16"/>
  <c r="AG223" i="16" s="1"/>
  <c r="T223" i="16"/>
  <c r="E223" i="16"/>
  <c r="D223" i="16"/>
  <c r="C223" i="16"/>
  <c r="B223" i="16"/>
  <c r="A223" i="16"/>
  <c r="BW222" i="16"/>
  <c r="BI222" i="16"/>
  <c r="AU222" i="16"/>
  <c r="AF222" i="16"/>
  <c r="AE222" i="16"/>
  <c r="AD222" i="16"/>
  <c r="AC222" i="16"/>
  <c r="AB222" i="16"/>
  <c r="AA222" i="16"/>
  <c r="Z222" i="16"/>
  <c r="Y222" i="16"/>
  <c r="X222" i="16"/>
  <c r="W222" i="16"/>
  <c r="V222" i="16"/>
  <c r="U222" i="16"/>
  <c r="T222" i="16"/>
  <c r="E222" i="16"/>
  <c r="D222" i="16"/>
  <c r="C222" i="16"/>
  <c r="B222" i="16"/>
  <c r="A222" i="16"/>
  <c r="BW221" i="16"/>
  <c r="BI221" i="16"/>
  <c r="AU221" i="16"/>
  <c r="AF221" i="16"/>
  <c r="AE221" i="16"/>
  <c r="AD221" i="16"/>
  <c r="AC221" i="16"/>
  <c r="AB221" i="16"/>
  <c r="AA221" i="16"/>
  <c r="Z221" i="16"/>
  <c r="Y221" i="16"/>
  <c r="X221" i="16"/>
  <c r="W221" i="16"/>
  <c r="V221" i="16"/>
  <c r="U221" i="16"/>
  <c r="T221" i="16"/>
  <c r="E221" i="16"/>
  <c r="D221" i="16"/>
  <c r="C221" i="16"/>
  <c r="B221" i="16"/>
  <c r="A221" i="16"/>
  <c r="BW220" i="16"/>
  <c r="BI220" i="16"/>
  <c r="AU220" i="16"/>
  <c r="AF220" i="16"/>
  <c r="AE220" i="16"/>
  <c r="AD220" i="16"/>
  <c r="AC220" i="16"/>
  <c r="AB220" i="16"/>
  <c r="AA220" i="16"/>
  <c r="Z220" i="16"/>
  <c r="Y220" i="16"/>
  <c r="X220" i="16"/>
  <c r="W220" i="16"/>
  <c r="V220" i="16"/>
  <c r="U220" i="16"/>
  <c r="T220" i="16"/>
  <c r="E220" i="16"/>
  <c r="D220" i="16"/>
  <c r="C220" i="16"/>
  <c r="B220" i="16"/>
  <c r="A220" i="16"/>
  <c r="BW219" i="16"/>
  <c r="BI219" i="16"/>
  <c r="AU219" i="16"/>
  <c r="AF219" i="16"/>
  <c r="AE219" i="16"/>
  <c r="AD219" i="16"/>
  <c r="AC219" i="16"/>
  <c r="AB219" i="16"/>
  <c r="AA219" i="16"/>
  <c r="Z219" i="16"/>
  <c r="Y219" i="16"/>
  <c r="X219" i="16"/>
  <c r="W219" i="16"/>
  <c r="V219" i="16"/>
  <c r="U219" i="16"/>
  <c r="AG219" i="16" s="1"/>
  <c r="T219" i="16"/>
  <c r="E219" i="16"/>
  <c r="D219" i="16"/>
  <c r="C219" i="16"/>
  <c r="B219" i="16"/>
  <c r="A219" i="16"/>
  <c r="BW218" i="16"/>
  <c r="BI218" i="16"/>
  <c r="AU218" i="16"/>
  <c r="AF218" i="16"/>
  <c r="AE218" i="16"/>
  <c r="AD218" i="16"/>
  <c r="AC218" i="16"/>
  <c r="AB218" i="16"/>
  <c r="AA218" i="16"/>
  <c r="Z218" i="16"/>
  <c r="Y218" i="16"/>
  <c r="X218" i="16"/>
  <c r="W218" i="16"/>
  <c r="V218" i="16"/>
  <c r="U218" i="16"/>
  <c r="T218" i="16"/>
  <c r="E218" i="16"/>
  <c r="D218" i="16"/>
  <c r="C218" i="16"/>
  <c r="B218" i="16"/>
  <c r="A218" i="16"/>
  <c r="BW217" i="16"/>
  <c r="BI217" i="16"/>
  <c r="AU217" i="16"/>
  <c r="AF217" i="16"/>
  <c r="AE217" i="16"/>
  <c r="AD217" i="16"/>
  <c r="AC217" i="16"/>
  <c r="AB217" i="16"/>
  <c r="AA217" i="16"/>
  <c r="Z217" i="16"/>
  <c r="Y217" i="16"/>
  <c r="X217" i="16"/>
  <c r="W217" i="16"/>
  <c r="V217" i="16"/>
  <c r="U217" i="16"/>
  <c r="T217" i="16"/>
  <c r="E217" i="16"/>
  <c r="D217" i="16"/>
  <c r="C217" i="16"/>
  <c r="B217" i="16"/>
  <c r="A217" i="16"/>
  <c r="BW216" i="16"/>
  <c r="BI216" i="16"/>
  <c r="AU216" i="16"/>
  <c r="AF216" i="16"/>
  <c r="AE216" i="16"/>
  <c r="AD216" i="16"/>
  <c r="AC216" i="16"/>
  <c r="AB216" i="16"/>
  <c r="AA216" i="16"/>
  <c r="Z216" i="16"/>
  <c r="Y216" i="16"/>
  <c r="AG216" i="16" s="1"/>
  <c r="X216" i="16"/>
  <c r="W216" i="16"/>
  <c r="V216" i="16"/>
  <c r="U216" i="16"/>
  <c r="T216" i="16"/>
  <c r="E216" i="16"/>
  <c r="D216" i="16"/>
  <c r="C216" i="16"/>
  <c r="B216" i="16"/>
  <c r="A216" i="16"/>
  <c r="BW215" i="16"/>
  <c r="BI215" i="16"/>
  <c r="AU215" i="16"/>
  <c r="AF215" i="16"/>
  <c r="AE215" i="16"/>
  <c r="AD215" i="16"/>
  <c r="AC215" i="16"/>
  <c r="AB215" i="16"/>
  <c r="AA215" i="16"/>
  <c r="Z215" i="16"/>
  <c r="Y215" i="16"/>
  <c r="X215" i="16"/>
  <c r="W215" i="16"/>
  <c r="V215" i="16"/>
  <c r="U215" i="16"/>
  <c r="AG215" i="16" s="1"/>
  <c r="T215" i="16"/>
  <c r="E215" i="16"/>
  <c r="D215" i="16"/>
  <c r="C215" i="16"/>
  <c r="B215" i="16"/>
  <c r="A215" i="16"/>
  <c r="BW214" i="16"/>
  <c r="BI214" i="16"/>
  <c r="AU214" i="16"/>
  <c r="AF214" i="16"/>
  <c r="AE214" i="16"/>
  <c r="AD214" i="16"/>
  <c r="AC214" i="16"/>
  <c r="AB214" i="16"/>
  <c r="AA214" i="16"/>
  <c r="Z214" i="16"/>
  <c r="Y214" i="16"/>
  <c r="AG214" i="16" s="1"/>
  <c r="X214" i="16"/>
  <c r="W214" i="16"/>
  <c r="V214" i="16"/>
  <c r="U214" i="16"/>
  <c r="T214" i="16"/>
  <c r="E214" i="16"/>
  <c r="D214" i="16"/>
  <c r="C214" i="16"/>
  <c r="B214" i="16"/>
  <c r="A214" i="16"/>
  <c r="BW213" i="16"/>
  <c r="BI213" i="16"/>
  <c r="AU213" i="16"/>
  <c r="AF213" i="16"/>
  <c r="AE213" i="16"/>
  <c r="AD213" i="16"/>
  <c r="AC213" i="16"/>
  <c r="AB213" i="16"/>
  <c r="AA213" i="16"/>
  <c r="Z213" i="16"/>
  <c r="Y213" i="16"/>
  <c r="X213" i="16"/>
  <c r="W213" i="16"/>
  <c r="V213" i="16"/>
  <c r="U213" i="16"/>
  <c r="T213" i="16"/>
  <c r="E213" i="16"/>
  <c r="D213" i="16"/>
  <c r="C213" i="16"/>
  <c r="B213" i="16"/>
  <c r="A213" i="16"/>
  <c r="BW212" i="16"/>
  <c r="BI212" i="16"/>
  <c r="AU212" i="16"/>
  <c r="AF212" i="16"/>
  <c r="AE212" i="16"/>
  <c r="AD212" i="16"/>
  <c r="AC212" i="16"/>
  <c r="AB212" i="16"/>
  <c r="AA212" i="16"/>
  <c r="Z212" i="16"/>
  <c r="Y212" i="16"/>
  <c r="AG212" i="16" s="1"/>
  <c r="X212" i="16"/>
  <c r="W212" i="16"/>
  <c r="V212" i="16"/>
  <c r="U212" i="16"/>
  <c r="T212" i="16"/>
  <c r="E212" i="16"/>
  <c r="D212" i="16"/>
  <c r="C212" i="16"/>
  <c r="B212" i="16"/>
  <c r="A212" i="16"/>
  <c r="BW211" i="16"/>
  <c r="BI211" i="16"/>
  <c r="AU211" i="16"/>
  <c r="AF211" i="16"/>
  <c r="AE211" i="16"/>
  <c r="AD211" i="16"/>
  <c r="AC211" i="16"/>
  <c r="AB211" i="16"/>
  <c r="AA211" i="16"/>
  <c r="Z211" i="16"/>
  <c r="Y211" i="16"/>
  <c r="X211" i="16"/>
  <c r="W211" i="16"/>
  <c r="V211" i="16"/>
  <c r="U211" i="16"/>
  <c r="T211" i="16"/>
  <c r="E211" i="16"/>
  <c r="D211" i="16"/>
  <c r="C211" i="16"/>
  <c r="B211" i="16"/>
  <c r="A211" i="16"/>
  <c r="BW210" i="16"/>
  <c r="BI210" i="16"/>
  <c r="AU210" i="16"/>
  <c r="AF210" i="16"/>
  <c r="AE210" i="16"/>
  <c r="AD210" i="16"/>
  <c r="AC210" i="16"/>
  <c r="AB210" i="16"/>
  <c r="AA210" i="16"/>
  <c r="Z210" i="16"/>
  <c r="Y210" i="16"/>
  <c r="AG210" i="16" s="1"/>
  <c r="X210" i="16"/>
  <c r="W210" i="16"/>
  <c r="V210" i="16"/>
  <c r="U210" i="16"/>
  <c r="T210" i="16"/>
  <c r="E210" i="16"/>
  <c r="D210" i="16"/>
  <c r="C210" i="16"/>
  <c r="B210" i="16"/>
  <c r="A210" i="16"/>
  <c r="BW209" i="16"/>
  <c r="BI209" i="16"/>
  <c r="AU209" i="16"/>
  <c r="AF209" i="16"/>
  <c r="AE209" i="16"/>
  <c r="AD209" i="16"/>
  <c r="AC209" i="16"/>
  <c r="AB209" i="16"/>
  <c r="AA209" i="16"/>
  <c r="Z209" i="16"/>
  <c r="Y209" i="16"/>
  <c r="X209" i="16"/>
  <c r="W209" i="16"/>
  <c r="V209" i="16"/>
  <c r="U209" i="16"/>
  <c r="AG209" i="16" s="1"/>
  <c r="T209" i="16"/>
  <c r="E209" i="16"/>
  <c r="D209" i="16"/>
  <c r="C209" i="16"/>
  <c r="B209" i="16"/>
  <c r="A209" i="16"/>
  <c r="BW208" i="16"/>
  <c r="BI208" i="16"/>
  <c r="AU208" i="16"/>
  <c r="AF208" i="16"/>
  <c r="AE208" i="16"/>
  <c r="AD208" i="16"/>
  <c r="AC208" i="16"/>
  <c r="AB208" i="16"/>
  <c r="AA208" i="16"/>
  <c r="Z208" i="16"/>
  <c r="Y208" i="16"/>
  <c r="AG208" i="16" s="1"/>
  <c r="X208" i="16"/>
  <c r="W208" i="16"/>
  <c r="V208" i="16"/>
  <c r="U208" i="16"/>
  <c r="T208" i="16"/>
  <c r="E208" i="16"/>
  <c r="D208" i="16"/>
  <c r="C208" i="16"/>
  <c r="B208" i="16"/>
  <c r="A208" i="16"/>
  <c r="BW207" i="16"/>
  <c r="BI207" i="16"/>
  <c r="AU207" i="16"/>
  <c r="AF207" i="16"/>
  <c r="AE207" i="16"/>
  <c r="AD207" i="16"/>
  <c r="AC207" i="16"/>
  <c r="AB207" i="16"/>
  <c r="AA207" i="16"/>
  <c r="Z207" i="16"/>
  <c r="Y207" i="16"/>
  <c r="X207" i="16"/>
  <c r="W207" i="16"/>
  <c r="V207" i="16"/>
  <c r="U207" i="16"/>
  <c r="T207" i="16"/>
  <c r="E207" i="16"/>
  <c r="D207" i="16"/>
  <c r="C207" i="16"/>
  <c r="B207" i="16"/>
  <c r="A207" i="16"/>
  <c r="BW206" i="16"/>
  <c r="BI206" i="16"/>
  <c r="AU206" i="16"/>
  <c r="AF206" i="16"/>
  <c r="AE206" i="16"/>
  <c r="AD206" i="16"/>
  <c r="AC206" i="16"/>
  <c r="AB206" i="16"/>
  <c r="AA206" i="16"/>
  <c r="Z206" i="16"/>
  <c r="Y206" i="16"/>
  <c r="X206" i="16"/>
  <c r="W206" i="16"/>
  <c r="AG206" i="16" s="1"/>
  <c r="V206" i="16"/>
  <c r="U206" i="16"/>
  <c r="T206" i="16"/>
  <c r="E206" i="16"/>
  <c r="D206" i="16"/>
  <c r="C206" i="16"/>
  <c r="B206" i="16"/>
  <c r="A206" i="16"/>
  <c r="BW205" i="16"/>
  <c r="BI205" i="16"/>
  <c r="AU205" i="16"/>
  <c r="AF205" i="16"/>
  <c r="AE205" i="16"/>
  <c r="AD205" i="16"/>
  <c r="AC205" i="16"/>
  <c r="AB205" i="16"/>
  <c r="AA205" i="16"/>
  <c r="Z205" i="16"/>
  <c r="Y205" i="16"/>
  <c r="X205" i="16"/>
  <c r="W205" i="16"/>
  <c r="V205" i="16"/>
  <c r="U205" i="16"/>
  <c r="T205" i="16"/>
  <c r="E205" i="16"/>
  <c r="D205" i="16"/>
  <c r="C205" i="16"/>
  <c r="B205" i="16"/>
  <c r="A205" i="16"/>
  <c r="BW204" i="16"/>
  <c r="BI204" i="16"/>
  <c r="AU204" i="16"/>
  <c r="AF204" i="16"/>
  <c r="AE204" i="16"/>
  <c r="AD204" i="16"/>
  <c r="AC204" i="16"/>
  <c r="AB204" i="16"/>
  <c r="AA204" i="16"/>
  <c r="Z204" i="16"/>
  <c r="Y204" i="16"/>
  <c r="X204" i="16"/>
  <c r="W204" i="16"/>
  <c r="AG204" i="16" s="1"/>
  <c r="V204" i="16"/>
  <c r="U204" i="16"/>
  <c r="T204" i="16"/>
  <c r="E204" i="16"/>
  <c r="D204" i="16"/>
  <c r="C204" i="16"/>
  <c r="B204" i="16"/>
  <c r="A204" i="16"/>
  <c r="BW203" i="16"/>
  <c r="BI203" i="16"/>
  <c r="AU203" i="16"/>
  <c r="AF203" i="16"/>
  <c r="AE203" i="16"/>
  <c r="AD203" i="16"/>
  <c r="AC203" i="16"/>
  <c r="AB203" i="16"/>
  <c r="AA203" i="16"/>
  <c r="Z203" i="16"/>
  <c r="Y203" i="16"/>
  <c r="X203" i="16"/>
  <c r="W203" i="16"/>
  <c r="V203" i="16"/>
  <c r="U203" i="16"/>
  <c r="AG203" i="16" s="1"/>
  <c r="T203" i="16"/>
  <c r="E203" i="16"/>
  <c r="D203" i="16"/>
  <c r="C203" i="16"/>
  <c r="B203" i="16"/>
  <c r="A203" i="16"/>
  <c r="BW202" i="16"/>
  <c r="BI202" i="16"/>
  <c r="AU202" i="16"/>
  <c r="AF202" i="16"/>
  <c r="AE202" i="16"/>
  <c r="AD202" i="16"/>
  <c r="AC202" i="16"/>
  <c r="AB202" i="16"/>
  <c r="AA202" i="16"/>
  <c r="Z202" i="16"/>
  <c r="Y202" i="16"/>
  <c r="AG202" i="16" s="1"/>
  <c r="X202" i="16"/>
  <c r="W202" i="16"/>
  <c r="V202" i="16"/>
  <c r="U202" i="16"/>
  <c r="T202" i="16"/>
  <c r="E202" i="16"/>
  <c r="D202" i="16"/>
  <c r="C202" i="16"/>
  <c r="B202" i="16"/>
  <c r="A202" i="16"/>
  <c r="BW201" i="16"/>
  <c r="BI201" i="16"/>
  <c r="AU201" i="16"/>
  <c r="AF201" i="16"/>
  <c r="AE201" i="16"/>
  <c r="AD201" i="16"/>
  <c r="AC201" i="16"/>
  <c r="AB201" i="16"/>
  <c r="AA201" i="16"/>
  <c r="Z201" i="16"/>
  <c r="Y201" i="16"/>
  <c r="X201" i="16"/>
  <c r="W201" i="16"/>
  <c r="V201" i="16"/>
  <c r="U201" i="16"/>
  <c r="T201" i="16"/>
  <c r="E201" i="16"/>
  <c r="D201" i="16"/>
  <c r="C201" i="16"/>
  <c r="B201" i="16"/>
  <c r="A201" i="16"/>
  <c r="BW200" i="16"/>
  <c r="BI200" i="16"/>
  <c r="AU200" i="16"/>
  <c r="AF200" i="16"/>
  <c r="AE200" i="16"/>
  <c r="AD200" i="16"/>
  <c r="AC200" i="16"/>
  <c r="AB200" i="16"/>
  <c r="AA200" i="16"/>
  <c r="Z200" i="16"/>
  <c r="Y200" i="16"/>
  <c r="X200" i="16"/>
  <c r="W200" i="16"/>
  <c r="AG200" i="16" s="1"/>
  <c r="V200" i="16"/>
  <c r="U200" i="16"/>
  <c r="T200" i="16"/>
  <c r="E200" i="16"/>
  <c r="D200" i="16"/>
  <c r="C200" i="16"/>
  <c r="B200" i="16"/>
  <c r="A200" i="16"/>
  <c r="BW199" i="16"/>
  <c r="BI199" i="16"/>
  <c r="AU199" i="16"/>
  <c r="AF199" i="16"/>
  <c r="AE199" i="16"/>
  <c r="AD199" i="16"/>
  <c r="AC199" i="16"/>
  <c r="AB199" i="16"/>
  <c r="AA199" i="16"/>
  <c r="Z199" i="16"/>
  <c r="Y199" i="16"/>
  <c r="X199" i="16"/>
  <c r="W199" i="16"/>
  <c r="V199" i="16"/>
  <c r="U199" i="16"/>
  <c r="AG199" i="16" s="1"/>
  <c r="T199" i="16"/>
  <c r="E199" i="16"/>
  <c r="D199" i="16"/>
  <c r="C199" i="16"/>
  <c r="B199" i="16"/>
  <c r="A199" i="16"/>
  <c r="BW198" i="16"/>
  <c r="BI198" i="16"/>
  <c r="AU198" i="16"/>
  <c r="AF198" i="16"/>
  <c r="AE198" i="16"/>
  <c r="AD198" i="16"/>
  <c r="AC198" i="16"/>
  <c r="AB198" i="16"/>
  <c r="AA198" i="16"/>
  <c r="Z198" i="16"/>
  <c r="Y198" i="16"/>
  <c r="X198" i="16"/>
  <c r="W198" i="16"/>
  <c r="AG198" i="16" s="1"/>
  <c r="V198" i="16"/>
  <c r="U198" i="16"/>
  <c r="T198" i="16"/>
  <c r="E198" i="16"/>
  <c r="D198" i="16"/>
  <c r="C198" i="16"/>
  <c r="B198" i="16"/>
  <c r="A198" i="16"/>
  <c r="BW197" i="16"/>
  <c r="BI197" i="16"/>
  <c r="AU197" i="16"/>
  <c r="AF197" i="16"/>
  <c r="AE197" i="16"/>
  <c r="AD197" i="16"/>
  <c r="AC197" i="16"/>
  <c r="AB197" i="16"/>
  <c r="AA197" i="16"/>
  <c r="Z197" i="16"/>
  <c r="Y197" i="16"/>
  <c r="X197" i="16"/>
  <c r="W197" i="16"/>
  <c r="V197" i="16"/>
  <c r="U197" i="16"/>
  <c r="T197" i="16"/>
  <c r="E197" i="16"/>
  <c r="D197" i="16"/>
  <c r="C197" i="16"/>
  <c r="B197" i="16"/>
  <c r="A197" i="16"/>
  <c r="BW196" i="16"/>
  <c r="BI196" i="16"/>
  <c r="AU196" i="16"/>
  <c r="AF196" i="16"/>
  <c r="AE196" i="16"/>
  <c r="AD196" i="16"/>
  <c r="AC196" i="16"/>
  <c r="AB196" i="16"/>
  <c r="AA196" i="16"/>
  <c r="Z196" i="16"/>
  <c r="Y196" i="16"/>
  <c r="X196" i="16"/>
  <c r="W196" i="16"/>
  <c r="AG196" i="16" s="1"/>
  <c r="V196" i="16"/>
  <c r="U196" i="16"/>
  <c r="T196" i="16"/>
  <c r="E196" i="16"/>
  <c r="D196" i="16"/>
  <c r="C196" i="16"/>
  <c r="B196" i="16"/>
  <c r="A196" i="16"/>
  <c r="BW195" i="16"/>
  <c r="BI195" i="16"/>
  <c r="AU195" i="16"/>
  <c r="AF195" i="16"/>
  <c r="AE195" i="16"/>
  <c r="AD195" i="16"/>
  <c r="AC195" i="16"/>
  <c r="AB195" i="16"/>
  <c r="AA195" i="16"/>
  <c r="Z195" i="16"/>
  <c r="Y195" i="16"/>
  <c r="X195" i="16"/>
  <c r="W195" i="16"/>
  <c r="V195" i="16"/>
  <c r="U195" i="16"/>
  <c r="AG195" i="16" s="1"/>
  <c r="T195" i="16"/>
  <c r="E195" i="16"/>
  <c r="D195" i="16"/>
  <c r="C195" i="16"/>
  <c r="B195" i="16"/>
  <c r="A195" i="16"/>
  <c r="BW194" i="16"/>
  <c r="BI194" i="16"/>
  <c r="AU194" i="16"/>
  <c r="AF194" i="16"/>
  <c r="AE194" i="16"/>
  <c r="AD194" i="16"/>
  <c r="AC194" i="16"/>
  <c r="AB194" i="16"/>
  <c r="AA194" i="16"/>
  <c r="Z194" i="16"/>
  <c r="Y194" i="16"/>
  <c r="AG194" i="16" s="1"/>
  <c r="X194" i="16"/>
  <c r="W194" i="16"/>
  <c r="V194" i="16"/>
  <c r="U194" i="16"/>
  <c r="T194" i="16"/>
  <c r="E194" i="16"/>
  <c r="D194" i="16"/>
  <c r="C194" i="16"/>
  <c r="B194" i="16"/>
  <c r="A194" i="16"/>
  <c r="BW193" i="16"/>
  <c r="BI193" i="16"/>
  <c r="AU193" i="16"/>
  <c r="AF193" i="16"/>
  <c r="AE193" i="16"/>
  <c r="AD193" i="16"/>
  <c r="AC193" i="16"/>
  <c r="AB193" i="16"/>
  <c r="AA193" i="16"/>
  <c r="Z193" i="16"/>
  <c r="Y193" i="16"/>
  <c r="X193" i="16"/>
  <c r="W193" i="16"/>
  <c r="V193" i="16"/>
  <c r="U193" i="16"/>
  <c r="T193" i="16"/>
  <c r="E193" i="16"/>
  <c r="D193" i="16"/>
  <c r="C193" i="16"/>
  <c r="B193" i="16"/>
  <c r="A193" i="16"/>
  <c r="BW192" i="16"/>
  <c r="BI192" i="16"/>
  <c r="AU192" i="16"/>
  <c r="AF192" i="16"/>
  <c r="AE192" i="16"/>
  <c r="AD192" i="16"/>
  <c r="AC192" i="16"/>
  <c r="AB192" i="16"/>
  <c r="AA192" i="16"/>
  <c r="Z192" i="16"/>
  <c r="Y192" i="16"/>
  <c r="X192" i="16"/>
  <c r="W192" i="16"/>
  <c r="V192" i="16"/>
  <c r="U192" i="16"/>
  <c r="AG192" i="16" s="1"/>
  <c r="T192" i="16"/>
  <c r="E192" i="16"/>
  <c r="D192" i="16"/>
  <c r="C192" i="16"/>
  <c r="B192" i="16"/>
  <c r="A192" i="16"/>
  <c r="BW191" i="16"/>
  <c r="BI191" i="16"/>
  <c r="AU191" i="16"/>
  <c r="AF191" i="16"/>
  <c r="AE191" i="16"/>
  <c r="AD191" i="16"/>
  <c r="AC191" i="16"/>
  <c r="AB191" i="16"/>
  <c r="AA191" i="16"/>
  <c r="Z191" i="16"/>
  <c r="Y191" i="16"/>
  <c r="AG191" i="16" s="1"/>
  <c r="X191" i="16"/>
  <c r="W191" i="16"/>
  <c r="V191" i="16"/>
  <c r="U191" i="16"/>
  <c r="T191" i="16"/>
  <c r="E191" i="16"/>
  <c r="D191" i="16"/>
  <c r="C191" i="16"/>
  <c r="B191" i="16"/>
  <c r="A191" i="16"/>
  <c r="BW190" i="16"/>
  <c r="BI190" i="16"/>
  <c r="AU190" i="16"/>
  <c r="AF190" i="16"/>
  <c r="AE190" i="16"/>
  <c r="AD190" i="16"/>
  <c r="AC190" i="16"/>
  <c r="AB190" i="16"/>
  <c r="AA190" i="16"/>
  <c r="Z190" i="16"/>
  <c r="Y190" i="16"/>
  <c r="AG190" i="16" s="1"/>
  <c r="X190" i="16"/>
  <c r="W190" i="16"/>
  <c r="V190" i="16"/>
  <c r="U190" i="16"/>
  <c r="T190" i="16"/>
  <c r="E190" i="16"/>
  <c r="D190" i="16"/>
  <c r="C190" i="16"/>
  <c r="B190" i="16"/>
  <c r="A190" i="16"/>
  <c r="BW189" i="16"/>
  <c r="BI189" i="16"/>
  <c r="AU189" i="16"/>
  <c r="AF189" i="16"/>
  <c r="AE189" i="16"/>
  <c r="AD189" i="16"/>
  <c r="AC189" i="16"/>
  <c r="AB189" i="16"/>
  <c r="AA189" i="16"/>
  <c r="Z189" i="16"/>
  <c r="Y189" i="16"/>
  <c r="X189" i="16"/>
  <c r="W189" i="16"/>
  <c r="V189" i="16"/>
  <c r="U189" i="16"/>
  <c r="AG189" i="16" s="1"/>
  <c r="T189" i="16"/>
  <c r="E189" i="16"/>
  <c r="D189" i="16"/>
  <c r="C189" i="16"/>
  <c r="B189" i="16"/>
  <c r="A189" i="16"/>
  <c r="BW188" i="16"/>
  <c r="BI188" i="16"/>
  <c r="AU188" i="16"/>
  <c r="AF188" i="16"/>
  <c r="AE188" i="16"/>
  <c r="AD188" i="16"/>
  <c r="AC188" i="16"/>
  <c r="AB188" i="16"/>
  <c r="AA188" i="16"/>
  <c r="Z188" i="16"/>
  <c r="Y188" i="16"/>
  <c r="X188" i="16"/>
  <c r="W188" i="16"/>
  <c r="V188" i="16"/>
  <c r="AG188" i="16" s="1"/>
  <c r="U188" i="16"/>
  <c r="T188" i="16"/>
  <c r="E188" i="16"/>
  <c r="D188" i="16"/>
  <c r="C188" i="16"/>
  <c r="B188" i="16"/>
  <c r="A188" i="16"/>
  <c r="BW187" i="16"/>
  <c r="BI187" i="16"/>
  <c r="AU187" i="16"/>
  <c r="AF187" i="16"/>
  <c r="AE187" i="16"/>
  <c r="AD187" i="16"/>
  <c r="AC187" i="16"/>
  <c r="AB187" i="16"/>
  <c r="AA187" i="16"/>
  <c r="Z187" i="16"/>
  <c r="Y187" i="16"/>
  <c r="X187" i="16"/>
  <c r="W187" i="16"/>
  <c r="V187" i="16"/>
  <c r="U187" i="16"/>
  <c r="AG187" i="16" s="1"/>
  <c r="T187" i="16"/>
  <c r="E187" i="16"/>
  <c r="D187" i="16"/>
  <c r="C187" i="16"/>
  <c r="B187" i="16"/>
  <c r="A187" i="16"/>
  <c r="BW186" i="16"/>
  <c r="BI186" i="16"/>
  <c r="AU186" i="16"/>
  <c r="AF186" i="16"/>
  <c r="AE186" i="16"/>
  <c r="AD186" i="16"/>
  <c r="AC186" i="16"/>
  <c r="AB186" i="16"/>
  <c r="AA186" i="16"/>
  <c r="Z186" i="16"/>
  <c r="Y186" i="16"/>
  <c r="AG186" i="16" s="1"/>
  <c r="X186" i="16"/>
  <c r="W186" i="16"/>
  <c r="V186" i="16"/>
  <c r="U186" i="16"/>
  <c r="T186" i="16"/>
  <c r="E186" i="16"/>
  <c r="D186" i="16"/>
  <c r="C186" i="16"/>
  <c r="B186" i="16"/>
  <c r="A186" i="16"/>
  <c r="BW185" i="16"/>
  <c r="BI185" i="16"/>
  <c r="AU185" i="16"/>
  <c r="AF185" i="16"/>
  <c r="AE185" i="16"/>
  <c r="AD185" i="16"/>
  <c r="AC185" i="16"/>
  <c r="AB185" i="16"/>
  <c r="AA185" i="16"/>
  <c r="Z185" i="16"/>
  <c r="Y185" i="16"/>
  <c r="X185" i="16"/>
  <c r="W185" i="16"/>
  <c r="V185" i="16"/>
  <c r="U185" i="16"/>
  <c r="T185" i="16"/>
  <c r="AG185" i="16" s="1"/>
  <c r="E185" i="16"/>
  <c r="D185" i="16"/>
  <c r="C185" i="16"/>
  <c r="B185" i="16"/>
  <c r="A185" i="16"/>
  <c r="BW184" i="16"/>
  <c r="BI184" i="16"/>
  <c r="AU184" i="16"/>
  <c r="AF184" i="16"/>
  <c r="AE184" i="16"/>
  <c r="AD184" i="16"/>
  <c r="AC184" i="16"/>
  <c r="AB184" i="16"/>
  <c r="AA184" i="16"/>
  <c r="Z184" i="16"/>
  <c r="Y184" i="16"/>
  <c r="X184" i="16"/>
  <c r="W184" i="16"/>
  <c r="V184" i="16"/>
  <c r="AG184" i="16" s="1"/>
  <c r="U184" i="16"/>
  <c r="T184" i="16"/>
  <c r="E184" i="16"/>
  <c r="D184" i="16"/>
  <c r="C184" i="16"/>
  <c r="B184" i="16"/>
  <c r="A184" i="16"/>
  <c r="BW183" i="16"/>
  <c r="BI183" i="16"/>
  <c r="AU183" i="16"/>
  <c r="AF183" i="16"/>
  <c r="AE183" i="16"/>
  <c r="AD183" i="16"/>
  <c r="AC183" i="16"/>
  <c r="AB183" i="16"/>
  <c r="AA183" i="16"/>
  <c r="Z183" i="16"/>
  <c r="Y183" i="16"/>
  <c r="X183" i="16"/>
  <c r="W183" i="16"/>
  <c r="V183" i="16"/>
  <c r="U183" i="16"/>
  <c r="T183" i="16"/>
  <c r="AG183" i="16" s="1"/>
  <c r="E183" i="16"/>
  <c r="D183" i="16"/>
  <c r="C183" i="16"/>
  <c r="B183" i="16"/>
  <c r="A183" i="16"/>
  <c r="BW182" i="16"/>
  <c r="BI182" i="16"/>
  <c r="AU182" i="16"/>
  <c r="AF182" i="16"/>
  <c r="AE182" i="16"/>
  <c r="AD182" i="16"/>
  <c r="AC182" i="16"/>
  <c r="AB182" i="16"/>
  <c r="AA182" i="16"/>
  <c r="Z182" i="16"/>
  <c r="Y182" i="16"/>
  <c r="X182" i="16"/>
  <c r="W182" i="16"/>
  <c r="V182" i="16"/>
  <c r="AG182" i="16" s="1"/>
  <c r="U182" i="16"/>
  <c r="T182" i="16"/>
  <c r="E182" i="16"/>
  <c r="D182" i="16"/>
  <c r="C182" i="16"/>
  <c r="B182" i="16"/>
  <c r="A182" i="16"/>
  <c r="BW181" i="16"/>
  <c r="BI181" i="16"/>
  <c r="AU181" i="16"/>
  <c r="AF181" i="16"/>
  <c r="AE181" i="16"/>
  <c r="AD181" i="16"/>
  <c r="AC181" i="16"/>
  <c r="AB181" i="16"/>
  <c r="AA181" i="16"/>
  <c r="Z181" i="16"/>
  <c r="Y181" i="16"/>
  <c r="X181" i="16"/>
  <c r="W181" i="16"/>
  <c r="V181" i="16"/>
  <c r="U181" i="16"/>
  <c r="T181" i="16"/>
  <c r="AG181" i="16" s="1"/>
  <c r="E181" i="16"/>
  <c r="D181" i="16"/>
  <c r="C181" i="16"/>
  <c r="B181" i="16"/>
  <c r="A181" i="16"/>
  <c r="BW180" i="16"/>
  <c r="BI180" i="16"/>
  <c r="AU180" i="16"/>
  <c r="AF180" i="16"/>
  <c r="AE180" i="16"/>
  <c r="AD180" i="16"/>
  <c r="AC180" i="16"/>
  <c r="AB180" i="16"/>
  <c r="AA180" i="16"/>
  <c r="Z180" i="16"/>
  <c r="Y180" i="16"/>
  <c r="X180" i="16"/>
  <c r="W180" i="16"/>
  <c r="V180" i="16"/>
  <c r="AG180" i="16" s="1"/>
  <c r="U180" i="16"/>
  <c r="T180" i="16"/>
  <c r="E180" i="16"/>
  <c r="D180" i="16"/>
  <c r="C180" i="16"/>
  <c r="B180" i="16"/>
  <c r="A180" i="16"/>
  <c r="BW179" i="16"/>
  <c r="BI179" i="16"/>
  <c r="AU179" i="16"/>
  <c r="AF179" i="16"/>
  <c r="AE179" i="16"/>
  <c r="AD179" i="16"/>
  <c r="AC179" i="16"/>
  <c r="AB179" i="16"/>
  <c r="AA179" i="16"/>
  <c r="Z179" i="16"/>
  <c r="Y179" i="16"/>
  <c r="X179" i="16"/>
  <c r="W179" i="16"/>
  <c r="V179" i="16"/>
  <c r="U179" i="16"/>
  <c r="T179" i="16"/>
  <c r="AG179" i="16" s="1"/>
  <c r="E179" i="16"/>
  <c r="D179" i="16"/>
  <c r="C179" i="16"/>
  <c r="B179" i="16"/>
  <c r="A179" i="16"/>
  <c r="BW178" i="16"/>
  <c r="BI178" i="16"/>
  <c r="AU178" i="16"/>
  <c r="AF178" i="16"/>
  <c r="AE178" i="16"/>
  <c r="AD178" i="16"/>
  <c r="AC178" i="16"/>
  <c r="AB178" i="16"/>
  <c r="AA178" i="16"/>
  <c r="Z178" i="16"/>
  <c r="Y178" i="16"/>
  <c r="X178" i="16"/>
  <c r="W178" i="16"/>
  <c r="V178" i="16"/>
  <c r="AG178" i="16" s="1"/>
  <c r="U178" i="16"/>
  <c r="T178" i="16"/>
  <c r="E178" i="16"/>
  <c r="D178" i="16"/>
  <c r="C178" i="16"/>
  <c r="B178" i="16"/>
  <c r="A178" i="16"/>
  <c r="BW177" i="16"/>
  <c r="BI177" i="16"/>
  <c r="AU177" i="16"/>
  <c r="AF177" i="16"/>
  <c r="AE177" i="16"/>
  <c r="AD177" i="16"/>
  <c r="AC177" i="16"/>
  <c r="AB177" i="16"/>
  <c r="AA177" i="16"/>
  <c r="Z177" i="16"/>
  <c r="Y177" i="16"/>
  <c r="X177" i="16"/>
  <c r="W177" i="16"/>
  <c r="V177" i="16"/>
  <c r="U177" i="16"/>
  <c r="T177" i="16"/>
  <c r="E177" i="16"/>
  <c r="D177" i="16"/>
  <c r="C177" i="16"/>
  <c r="B177" i="16"/>
  <c r="A177" i="16"/>
  <c r="BW176" i="16"/>
  <c r="BI176" i="16"/>
  <c r="AU176" i="16"/>
  <c r="AF176" i="16"/>
  <c r="AE176" i="16"/>
  <c r="AD176" i="16"/>
  <c r="AC176" i="16"/>
  <c r="AB176" i="16"/>
  <c r="AA176" i="16"/>
  <c r="Z176" i="16"/>
  <c r="Y176" i="16"/>
  <c r="X176" i="16"/>
  <c r="W176" i="16"/>
  <c r="V176" i="16"/>
  <c r="AG176" i="16" s="1"/>
  <c r="U176" i="16"/>
  <c r="T176" i="16"/>
  <c r="E176" i="16"/>
  <c r="D176" i="16"/>
  <c r="C176" i="16"/>
  <c r="B176" i="16"/>
  <c r="A176" i="16"/>
  <c r="BW175" i="16"/>
  <c r="BI175" i="16"/>
  <c r="AU175" i="16"/>
  <c r="AF175" i="16"/>
  <c r="AE175" i="16"/>
  <c r="AD175" i="16"/>
  <c r="AC175" i="16"/>
  <c r="AB175" i="16"/>
  <c r="AA175" i="16"/>
  <c r="Z175" i="16"/>
  <c r="Y175" i="16"/>
  <c r="X175" i="16"/>
  <c r="W175" i="16"/>
  <c r="V175" i="16"/>
  <c r="U175" i="16"/>
  <c r="T175" i="16"/>
  <c r="E175" i="16"/>
  <c r="D175" i="16"/>
  <c r="C175" i="16"/>
  <c r="B175" i="16"/>
  <c r="A175" i="16"/>
  <c r="BW174" i="16"/>
  <c r="BI174" i="16"/>
  <c r="AU174" i="16"/>
  <c r="AF174" i="16"/>
  <c r="AE174" i="16"/>
  <c r="AD174" i="16"/>
  <c r="AC174" i="16"/>
  <c r="AB174" i="16"/>
  <c r="AA174" i="16"/>
  <c r="Z174" i="16"/>
  <c r="Y174" i="16"/>
  <c r="X174" i="16"/>
  <c r="W174" i="16"/>
  <c r="V174" i="16"/>
  <c r="U174" i="16"/>
  <c r="T174" i="16"/>
  <c r="AG174" i="16" s="1"/>
  <c r="E174" i="16"/>
  <c r="D174" i="16"/>
  <c r="C174" i="16"/>
  <c r="B174" i="16"/>
  <c r="A174" i="16"/>
  <c r="BW173" i="16"/>
  <c r="BI173" i="16"/>
  <c r="AU173" i="16"/>
  <c r="AF173" i="16"/>
  <c r="AE173" i="16"/>
  <c r="AD173" i="16"/>
  <c r="AC173" i="16"/>
  <c r="AB173" i="16"/>
  <c r="AA173" i="16"/>
  <c r="Z173" i="16"/>
  <c r="Y173" i="16"/>
  <c r="X173" i="16"/>
  <c r="W173" i="16"/>
  <c r="V173" i="16"/>
  <c r="U173" i="16"/>
  <c r="T173" i="16"/>
  <c r="E173" i="16"/>
  <c r="D173" i="16"/>
  <c r="C173" i="16"/>
  <c r="B173" i="16"/>
  <c r="A173" i="16"/>
  <c r="BW172" i="16"/>
  <c r="BI172" i="16"/>
  <c r="AU172" i="16"/>
  <c r="AF172" i="16"/>
  <c r="AE172" i="16"/>
  <c r="AD172" i="16"/>
  <c r="AC172" i="16"/>
  <c r="AB172" i="16"/>
  <c r="AA172" i="16"/>
  <c r="Z172" i="16"/>
  <c r="Y172" i="16"/>
  <c r="X172" i="16"/>
  <c r="W172" i="16"/>
  <c r="V172" i="16"/>
  <c r="AG172" i="16" s="1"/>
  <c r="U172" i="16"/>
  <c r="T172" i="16"/>
  <c r="E172" i="16"/>
  <c r="D172" i="16"/>
  <c r="C172" i="16"/>
  <c r="B172" i="16"/>
  <c r="A172" i="16"/>
  <c r="BW171" i="16"/>
  <c r="BI171" i="16"/>
  <c r="AU171" i="16"/>
  <c r="AF171" i="16"/>
  <c r="AE171" i="16"/>
  <c r="AD171" i="16"/>
  <c r="AC171" i="16"/>
  <c r="AB171" i="16"/>
  <c r="AA171" i="16"/>
  <c r="Z171" i="16"/>
  <c r="Y171" i="16"/>
  <c r="X171" i="16"/>
  <c r="W171" i="16"/>
  <c r="V171" i="16"/>
  <c r="U171" i="16"/>
  <c r="T171" i="16"/>
  <c r="E171" i="16"/>
  <c r="D171" i="16"/>
  <c r="C171" i="16"/>
  <c r="B171" i="16"/>
  <c r="A171" i="16"/>
  <c r="BW170" i="16"/>
  <c r="BI170" i="16"/>
  <c r="AU170" i="16"/>
  <c r="AF170" i="16"/>
  <c r="AE170" i="16"/>
  <c r="AD170" i="16"/>
  <c r="AC170" i="16"/>
  <c r="AB170" i="16"/>
  <c r="AA170" i="16"/>
  <c r="Z170" i="16"/>
  <c r="Y170" i="16"/>
  <c r="X170" i="16"/>
  <c r="W170" i="16"/>
  <c r="V170" i="16"/>
  <c r="U170" i="16"/>
  <c r="T170" i="16"/>
  <c r="AG170" i="16" s="1"/>
  <c r="E170" i="16"/>
  <c r="D170" i="16"/>
  <c r="C170" i="16"/>
  <c r="B170" i="16"/>
  <c r="A170" i="16"/>
  <c r="BW169" i="16"/>
  <c r="BI169" i="16"/>
  <c r="AU169" i="16"/>
  <c r="AF169" i="16"/>
  <c r="AE169" i="16"/>
  <c r="AD169" i="16"/>
  <c r="AC169" i="16"/>
  <c r="AB169" i="16"/>
  <c r="AA169" i="16"/>
  <c r="Z169" i="16"/>
  <c r="Y169" i="16"/>
  <c r="X169" i="16"/>
  <c r="W169" i="16"/>
  <c r="V169" i="16"/>
  <c r="U169" i="16"/>
  <c r="T169" i="16"/>
  <c r="AG169" i="16" s="1"/>
  <c r="E169" i="16"/>
  <c r="D169" i="16"/>
  <c r="C169" i="16"/>
  <c r="B169" i="16"/>
  <c r="A169" i="16"/>
  <c r="BW168" i="16"/>
  <c r="BI168" i="16"/>
  <c r="AU168" i="16"/>
  <c r="AF168" i="16"/>
  <c r="AE168" i="16"/>
  <c r="AD168" i="16"/>
  <c r="AC168" i="16"/>
  <c r="AB168" i="16"/>
  <c r="AA168" i="16"/>
  <c r="Z168" i="16"/>
  <c r="Y168" i="16"/>
  <c r="AG168" i="16" s="1"/>
  <c r="X168" i="16"/>
  <c r="W168" i="16"/>
  <c r="V168" i="16"/>
  <c r="U168" i="16"/>
  <c r="T168" i="16"/>
  <c r="E168" i="16"/>
  <c r="D168" i="16"/>
  <c r="C168" i="16"/>
  <c r="B168" i="16"/>
  <c r="A168" i="16"/>
  <c r="BW167" i="16"/>
  <c r="BI167" i="16"/>
  <c r="AU167" i="16"/>
  <c r="AF167" i="16"/>
  <c r="AE167" i="16"/>
  <c r="AD167" i="16"/>
  <c r="AC167" i="16"/>
  <c r="AB167" i="16"/>
  <c r="AA167" i="16"/>
  <c r="Z167" i="16"/>
  <c r="Y167" i="16"/>
  <c r="X167" i="16"/>
  <c r="W167" i="16"/>
  <c r="V167" i="16"/>
  <c r="U167" i="16"/>
  <c r="T167" i="16"/>
  <c r="AG167" i="16" s="1"/>
  <c r="E167" i="16"/>
  <c r="D167" i="16"/>
  <c r="C167" i="16"/>
  <c r="B167" i="16"/>
  <c r="A167" i="16"/>
  <c r="BW166" i="16"/>
  <c r="BI166" i="16"/>
  <c r="AU166" i="16"/>
  <c r="AF166" i="16"/>
  <c r="AE166" i="16"/>
  <c r="AD166" i="16"/>
  <c r="AC166" i="16"/>
  <c r="AB166" i="16"/>
  <c r="AA166" i="16"/>
  <c r="Z166" i="16"/>
  <c r="Y166" i="16"/>
  <c r="AG166" i="16" s="1"/>
  <c r="X166" i="16"/>
  <c r="W166" i="16"/>
  <c r="V166" i="16"/>
  <c r="U166" i="16"/>
  <c r="T166" i="16"/>
  <c r="E166" i="16"/>
  <c r="D166" i="16"/>
  <c r="C166" i="16"/>
  <c r="B166" i="16"/>
  <c r="A166" i="16"/>
  <c r="BW165" i="16"/>
  <c r="BI165" i="16"/>
  <c r="AU165" i="16"/>
  <c r="AF165" i="16"/>
  <c r="AE165" i="16"/>
  <c r="AD165" i="16"/>
  <c r="AC165" i="16"/>
  <c r="AB165" i="16"/>
  <c r="AA165" i="16"/>
  <c r="Z165" i="16"/>
  <c r="Y165" i="16"/>
  <c r="X165" i="16"/>
  <c r="W165" i="16"/>
  <c r="V165" i="16"/>
  <c r="U165" i="16"/>
  <c r="T165" i="16"/>
  <c r="E165" i="16"/>
  <c r="D165" i="16"/>
  <c r="C165" i="16"/>
  <c r="B165" i="16"/>
  <c r="A165" i="16"/>
  <c r="BW164" i="16"/>
  <c r="BI164" i="16"/>
  <c r="AU164" i="16"/>
  <c r="AF164" i="16"/>
  <c r="AE164" i="16"/>
  <c r="AD164" i="16"/>
  <c r="AC164" i="16"/>
  <c r="AB164" i="16"/>
  <c r="AA164" i="16"/>
  <c r="Z164" i="16"/>
  <c r="Y164" i="16"/>
  <c r="X164" i="16"/>
  <c r="W164" i="16"/>
  <c r="V164" i="16"/>
  <c r="U164" i="16"/>
  <c r="T164" i="16"/>
  <c r="AG164" i="16" s="1"/>
  <c r="E164" i="16"/>
  <c r="D164" i="16"/>
  <c r="C164" i="16"/>
  <c r="B164" i="16"/>
  <c r="A164" i="16"/>
  <c r="BW163" i="16"/>
  <c r="BI163" i="16"/>
  <c r="AU163" i="16"/>
  <c r="AF163" i="16"/>
  <c r="AE163" i="16"/>
  <c r="AD163" i="16"/>
  <c r="AC163" i="16"/>
  <c r="AB163" i="16"/>
  <c r="AA163" i="16"/>
  <c r="Z163" i="16"/>
  <c r="Y163" i="16"/>
  <c r="X163" i="16"/>
  <c r="W163" i="16"/>
  <c r="V163" i="16"/>
  <c r="U163" i="16"/>
  <c r="T163" i="16"/>
  <c r="E163" i="16"/>
  <c r="D163" i="16"/>
  <c r="C163" i="16"/>
  <c r="B163" i="16"/>
  <c r="A163" i="16"/>
  <c r="BW162" i="16"/>
  <c r="BI162" i="16"/>
  <c r="AU162" i="16"/>
  <c r="AF162" i="16"/>
  <c r="AE162" i="16"/>
  <c r="AD162" i="16"/>
  <c r="AC162" i="16"/>
  <c r="AB162" i="16"/>
  <c r="AA162" i="16"/>
  <c r="Z162" i="16"/>
  <c r="Y162" i="16"/>
  <c r="X162" i="16"/>
  <c r="W162" i="16"/>
  <c r="V162" i="16"/>
  <c r="U162" i="16"/>
  <c r="T162" i="16"/>
  <c r="AG162" i="16" s="1"/>
  <c r="E162" i="16"/>
  <c r="D162" i="16"/>
  <c r="C162" i="16"/>
  <c r="B162" i="16"/>
  <c r="A162" i="16"/>
  <c r="BW161" i="16"/>
  <c r="BI161" i="16"/>
  <c r="AU161" i="16"/>
  <c r="AF161" i="16"/>
  <c r="AE161" i="16"/>
  <c r="AD161" i="16"/>
  <c r="AC161" i="16"/>
  <c r="AB161" i="16"/>
  <c r="AA161" i="16"/>
  <c r="Z161" i="16"/>
  <c r="Y161" i="16"/>
  <c r="X161" i="16"/>
  <c r="W161" i="16"/>
  <c r="V161" i="16"/>
  <c r="U161" i="16"/>
  <c r="T161" i="16"/>
  <c r="E161" i="16"/>
  <c r="D161" i="16"/>
  <c r="C161" i="16"/>
  <c r="B161" i="16"/>
  <c r="A161" i="16"/>
  <c r="BW160" i="16"/>
  <c r="BI160" i="16"/>
  <c r="AU160" i="16"/>
  <c r="AF160" i="16"/>
  <c r="AE160" i="16"/>
  <c r="AD160" i="16"/>
  <c r="AC160" i="16"/>
  <c r="AB160" i="16"/>
  <c r="AA160" i="16"/>
  <c r="Z160" i="16"/>
  <c r="Y160" i="16"/>
  <c r="X160" i="16"/>
  <c r="W160" i="16"/>
  <c r="V160" i="16"/>
  <c r="U160" i="16"/>
  <c r="T160" i="16"/>
  <c r="AG160" i="16" s="1"/>
  <c r="E160" i="16"/>
  <c r="D160" i="16"/>
  <c r="C160" i="16"/>
  <c r="B160" i="16"/>
  <c r="A160" i="16"/>
  <c r="BW159" i="16"/>
  <c r="BI159" i="16"/>
  <c r="AU159" i="16"/>
  <c r="AF159" i="16"/>
  <c r="AE159" i="16"/>
  <c r="AD159" i="16"/>
  <c r="AC159" i="16"/>
  <c r="AB159" i="16"/>
  <c r="AA159" i="16"/>
  <c r="Z159" i="16"/>
  <c r="Y159" i="16"/>
  <c r="X159" i="16"/>
  <c r="W159" i="16"/>
  <c r="V159" i="16"/>
  <c r="U159" i="16"/>
  <c r="T159" i="16"/>
  <c r="E159" i="16"/>
  <c r="D159" i="16"/>
  <c r="C159" i="16"/>
  <c r="B159" i="16"/>
  <c r="A159" i="16"/>
  <c r="BW158" i="16"/>
  <c r="BI158" i="16"/>
  <c r="AU158" i="16"/>
  <c r="AF158" i="16"/>
  <c r="AE158" i="16"/>
  <c r="AD158" i="16"/>
  <c r="AC158" i="16"/>
  <c r="AB158" i="16"/>
  <c r="AA158" i="16"/>
  <c r="Z158" i="16"/>
  <c r="Y158" i="16"/>
  <c r="X158" i="16"/>
  <c r="W158" i="16"/>
  <c r="V158" i="16"/>
  <c r="U158" i="16"/>
  <c r="T158" i="16"/>
  <c r="AG158" i="16" s="1"/>
  <c r="E158" i="16"/>
  <c r="D158" i="16"/>
  <c r="C158" i="16"/>
  <c r="B158" i="16"/>
  <c r="A158" i="16"/>
  <c r="BW157" i="16"/>
  <c r="BI157" i="16"/>
  <c r="AU157" i="16"/>
  <c r="AF157" i="16"/>
  <c r="AE157" i="16"/>
  <c r="AD157" i="16"/>
  <c r="AC157" i="16"/>
  <c r="AB157" i="16"/>
  <c r="AA157" i="16"/>
  <c r="Z157" i="16"/>
  <c r="Y157" i="16"/>
  <c r="X157" i="16"/>
  <c r="W157" i="16"/>
  <c r="V157" i="16"/>
  <c r="U157" i="16"/>
  <c r="T157" i="16"/>
  <c r="E157" i="16"/>
  <c r="D157" i="16"/>
  <c r="C157" i="16"/>
  <c r="B157" i="16"/>
  <c r="A157" i="16"/>
  <c r="BW156" i="16"/>
  <c r="BI156" i="16"/>
  <c r="AU156" i="16"/>
  <c r="AF156" i="16"/>
  <c r="AE156" i="16"/>
  <c r="AD156" i="16"/>
  <c r="AC156" i="16"/>
  <c r="AB156" i="16"/>
  <c r="AA156" i="16"/>
  <c r="Z156" i="16"/>
  <c r="Y156" i="16"/>
  <c r="X156" i="16"/>
  <c r="W156" i="16"/>
  <c r="V156" i="16"/>
  <c r="U156" i="16"/>
  <c r="T156" i="16"/>
  <c r="AG156" i="16" s="1"/>
  <c r="E156" i="16"/>
  <c r="D156" i="16"/>
  <c r="C156" i="16"/>
  <c r="B156" i="16"/>
  <c r="A156" i="16"/>
  <c r="BW155" i="16"/>
  <c r="BI155" i="16"/>
  <c r="AU155" i="16"/>
  <c r="AF155" i="16"/>
  <c r="AE155" i="16"/>
  <c r="AD155" i="16"/>
  <c r="AC155" i="16"/>
  <c r="AB155" i="16"/>
  <c r="AA155" i="16"/>
  <c r="Z155" i="16"/>
  <c r="Y155" i="16"/>
  <c r="X155" i="16"/>
  <c r="W155" i="16"/>
  <c r="V155" i="16"/>
  <c r="U155" i="16"/>
  <c r="T155" i="16"/>
  <c r="E155" i="16"/>
  <c r="D155" i="16"/>
  <c r="C155" i="16"/>
  <c r="B155" i="16"/>
  <c r="A155" i="16"/>
  <c r="BW154" i="16"/>
  <c r="BI154" i="16"/>
  <c r="AU154" i="16"/>
  <c r="AF154" i="16"/>
  <c r="AE154" i="16"/>
  <c r="AD154" i="16"/>
  <c r="AC154" i="16"/>
  <c r="AB154" i="16"/>
  <c r="AA154" i="16"/>
  <c r="Z154" i="16"/>
  <c r="Y154" i="16"/>
  <c r="X154" i="16"/>
  <c r="AG154" i="16" s="1"/>
  <c r="W154" i="16"/>
  <c r="V154" i="16"/>
  <c r="U154" i="16"/>
  <c r="T154" i="16"/>
  <c r="E154" i="16"/>
  <c r="D154" i="16"/>
  <c r="C154" i="16"/>
  <c r="B154" i="16"/>
  <c r="A154" i="16"/>
  <c r="BW153" i="16"/>
  <c r="BI153" i="16"/>
  <c r="AU153" i="16"/>
  <c r="AF153" i="16"/>
  <c r="AE153" i="16"/>
  <c r="AD153" i="16"/>
  <c r="AC153" i="16"/>
  <c r="AB153" i="16"/>
  <c r="AA153" i="16"/>
  <c r="Z153" i="16"/>
  <c r="Y153" i="16"/>
  <c r="X153" i="16"/>
  <c r="W153" i="16"/>
  <c r="V153" i="16"/>
  <c r="U153" i="16"/>
  <c r="T153" i="16"/>
  <c r="AG153" i="16" s="1"/>
  <c r="E153" i="16"/>
  <c r="D153" i="16"/>
  <c r="C153" i="16"/>
  <c r="B153" i="16"/>
  <c r="A153" i="16"/>
  <c r="BW152" i="16"/>
  <c r="BI152" i="16"/>
  <c r="AU152" i="16"/>
  <c r="AF152" i="16"/>
  <c r="AE152" i="16"/>
  <c r="AD152" i="16"/>
  <c r="AC152" i="16"/>
  <c r="AB152" i="16"/>
  <c r="AA152" i="16"/>
  <c r="Z152" i="16"/>
  <c r="Y152" i="16"/>
  <c r="X152" i="16"/>
  <c r="AG152" i="16" s="1"/>
  <c r="W152" i="16"/>
  <c r="V152" i="16"/>
  <c r="U152" i="16"/>
  <c r="T152" i="16"/>
  <c r="E152" i="16"/>
  <c r="D152" i="16"/>
  <c r="C152" i="16"/>
  <c r="B152" i="16"/>
  <c r="A152" i="16"/>
  <c r="BW151" i="16"/>
  <c r="BI151" i="16"/>
  <c r="AU151" i="16"/>
  <c r="AF151" i="16"/>
  <c r="AE151" i="16"/>
  <c r="AD151" i="16"/>
  <c r="AC151" i="16"/>
  <c r="AB151" i="16"/>
  <c r="AA151" i="16"/>
  <c r="Z151" i="16"/>
  <c r="Y151" i="16"/>
  <c r="X151" i="16"/>
  <c r="W151" i="16"/>
  <c r="V151" i="16"/>
  <c r="U151" i="16"/>
  <c r="T151" i="16"/>
  <c r="AG151" i="16" s="1"/>
  <c r="E151" i="16"/>
  <c r="D151" i="16"/>
  <c r="C151" i="16"/>
  <c r="B151" i="16"/>
  <c r="A151" i="16"/>
  <c r="BW150" i="16"/>
  <c r="BI150" i="16"/>
  <c r="AU150" i="16"/>
  <c r="AF150" i="16"/>
  <c r="AE150" i="16"/>
  <c r="AD150" i="16"/>
  <c r="AC150" i="16"/>
  <c r="AB150" i="16"/>
  <c r="AA150" i="16"/>
  <c r="Z150" i="16"/>
  <c r="Y150" i="16"/>
  <c r="X150" i="16"/>
  <c r="AG150" i="16" s="1"/>
  <c r="W150" i="16"/>
  <c r="V150" i="16"/>
  <c r="U150" i="16"/>
  <c r="T150" i="16"/>
  <c r="E150" i="16"/>
  <c r="D150" i="16"/>
  <c r="C150" i="16"/>
  <c r="B150" i="16"/>
  <c r="A150" i="16"/>
  <c r="BW149" i="16"/>
  <c r="BI149" i="16"/>
  <c r="AU149" i="16"/>
  <c r="AF149" i="16"/>
  <c r="AE149" i="16"/>
  <c r="AD149" i="16"/>
  <c r="AC149" i="16"/>
  <c r="AB149" i="16"/>
  <c r="AA149" i="16"/>
  <c r="Z149" i="16"/>
  <c r="Y149" i="16"/>
  <c r="X149" i="16"/>
  <c r="W149" i="16"/>
  <c r="V149" i="16"/>
  <c r="U149" i="16"/>
  <c r="T149" i="16"/>
  <c r="AG149" i="16" s="1"/>
  <c r="E149" i="16"/>
  <c r="D149" i="16"/>
  <c r="C149" i="16"/>
  <c r="B149" i="16"/>
  <c r="A149" i="16"/>
  <c r="BW148" i="16"/>
  <c r="BI148" i="16"/>
  <c r="AU148" i="16"/>
  <c r="AF148" i="16"/>
  <c r="AE148" i="16"/>
  <c r="AD148" i="16"/>
  <c r="AC148" i="16"/>
  <c r="AB148" i="16"/>
  <c r="AA148" i="16"/>
  <c r="Z148" i="16"/>
  <c r="Y148" i="16"/>
  <c r="X148" i="16"/>
  <c r="AG148" i="16" s="1"/>
  <c r="W148" i="16"/>
  <c r="V148" i="16"/>
  <c r="U148" i="16"/>
  <c r="T148" i="16"/>
  <c r="E148" i="16"/>
  <c r="D148" i="16"/>
  <c r="C148" i="16"/>
  <c r="B148" i="16"/>
  <c r="A148" i="16"/>
  <c r="BW147" i="16"/>
  <c r="BI147" i="16"/>
  <c r="AU147" i="16"/>
  <c r="AF147" i="16"/>
  <c r="AE147" i="16"/>
  <c r="AD147" i="16"/>
  <c r="AC147" i="16"/>
  <c r="AB147" i="16"/>
  <c r="AA147" i="16"/>
  <c r="Z147" i="16"/>
  <c r="Y147" i="16"/>
  <c r="X147" i="16"/>
  <c r="W147" i="16"/>
  <c r="V147" i="16"/>
  <c r="U147" i="16"/>
  <c r="T147" i="16"/>
  <c r="AG147" i="16" s="1"/>
  <c r="E147" i="16"/>
  <c r="D147" i="16"/>
  <c r="C147" i="16"/>
  <c r="B147" i="16"/>
  <c r="A147" i="16"/>
  <c r="BW146" i="16"/>
  <c r="BI146" i="16"/>
  <c r="AU146" i="16"/>
  <c r="AF146" i="16"/>
  <c r="AE146" i="16"/>
  <c r="AD146" i="16"/>
  <c r="AC146" i="16"/>
  <c r="AB146" i="16"/>
  <c r="AA146" i="16"/>
  <c r="Z146" i="16"/>
  <c r="Y146" i="16"/>
  <c r="X146" i="16"/>
  <c r="AG146" i="16" s="1"/>
  <c r="W146" i="16"/>
  <c r="V146" i="16"/>
  <c r="U146" i="16"/>
  <c r="T146" i="16"/>
  <c r="E146" i="16"/>
  <c r="D146" i="16"/>
  <c r="C146" i="16"/>
  <c r="B146" i="16"/>
  <c r="A146" i="16"/>
  <c r="BW145" i="16"/>
  <c r="BI145" i="16"/>
  <c r="AU145" i="16"/>
  <c r="AF145" i="16"/>
  <c r="AE145" i="16"/>
  <c r="AD145" i="16"/>
  <c r="AC145" i="16"/>
  <c r="AB145" i="16"/>
  <c r="AA145" i="16"/>
  <c r="Z145" i="16"/>
  <c r="Y145" i="16"/>
  <c r="X145" i="16"/>
  <c r="W145" i="16"/>
  <c r="V145" i="16"/>
  <c r="U145" i="16"/>
  <c r="T145" i="16"/>
  <c r="AG145" i="16" s="1"/>
  <c r="E145" i="16"/>
  <c r="D145" i="16"/>
  <c r="C145" i="16"/>
  <c r="B145" i="16"/>
  <c r="A145" i="16"/>
  <c r="BW144" i="16"/>
  <c r="BI144" i="16"/>
  <c r="AU144" i="16"/>
  <c r="AF144" i="16"/>
  <c r="AE144" i="16"/>
  <c r="AD144" i="16"/>
  <c r="AC144" i="16"/>
  <c r="AB144" i="16"/>
  <c r="AA144" i="16"/>
  <c r="Z144" i="16"/>
  <c r="Y144" i="16"/>
  <c r="X144" i="16"/>
  <c r="AG144" i="16" s="1"/>
  <c r="W144" i="16"/>
  <c r="V144" i="16"/>
  <c r="U144" i="16"/>
  <c r="T144" i="16"/>
  <c r="E144" i="16"/>
  <c r="D144" i="16"/>
  <c r="C144" i="16"/>
  <c r="B144" i="16"/>
  <c r="A144" i="16"/>
  <c r="BW143" i="16"/>
  <c r="BI143" i="16"/>
  <c r="AU143" i="16"/>
  <c r="AF143" i="16"/>
  <c r="AE143" i="16"/>
  <c r="AD143" i="16"/>
  <c r="AC143" i="16"/>
  <c r="AB143" i="16"/>
  <c r="AA143" i="16"/>
  <c r="Z143" i="16"/>
  <c r="Y143" i="16"/>
  <c r="X143" i="16"/>
  <c r="W143" i="16"/>
  <c r="V143" i="16"/>
  <c r="U143" i="16"/>
  <c r="T143" i="16"/>
  <c r="AG143" i="16" s="1"/>
  <c r="E143" i="16"/>
  <c r="D143" i="16"/>
  <c r="C143" i="16"/>
  <c r="B143" i="16"/>
  <c r="A143" i="16"/>
  <c r="BW142" i="16"/>
  <c r="BI142" i="16"/>
  <c r="AU142" i="16"/>
  <c r="AF142" i="16"/>
  <c r="AE142" i="16"/>
  <c r="AD142" i="16"/>
  <c r="AC142" i="16"/>
  <c r="AB142" i="16"/>
  <c r="AA142" i="16"/>
  <c r="Z142" i="16"/>
  <c r="Y142" i="16"/>
  <c r="X142" i="16"/>
  <c r="AG142" i="16" s="1"/>
  <c r="W142" i="16"/>
  <c r="V142" i="16"/>
  <c r="U142" i="16"/>
  <c r="T142" i="16"/>
  <c r="E142" i="16"/>
  <c r="D142" i="16"/>
  <c r="C142" i="16"/>
  <c r="B142" i="16"/>
  <c r="A142" i="16"/>
  <c r="BW141" i="16"/>
  <c r="BI141" i="16"/>
  <c r="AU141" i="16"/>
  <c r="AF141" i="16"/>
  <c r="AE141" i="16"/>
  <c r="AD141" i="16"/>
  <c r="AC141" i="16"/>
  <c r="AB141" i="16"/>
  <c r="AA141" i="16"/>
  <c r="Z141" i="16"/>
  <c r="Y141" i="16"/>
  <c r="X141" i="16"/>
  <c r="W141" i="16"/>
  <c r="V141" i="16"/>
  <c r="U141" i="16"/>
  <c r="T141" i="16"/>
  <c r="AG141" i="16" s="1"/>
  <c r="E141" i="16"/>
  <c r="D141" i="16"/>
  <c r="C141" i="16"/>
  <c r="B141" i="16"/>
  <c r="A141" i="16"/>
  <c r="BW140" i="16"/>
  <c r="BI140" i="16"/>
  <c r="AU140" i="16"/>
  <c r="AF140" i="16"/>
  <c r="AE140" i="16"/>
  <c r="AD140" i="16"/>
  <c r="AC140" i="16"/>
  <c r="AB140" i="16"/>
  <c r="AA140" i="16"/>
  <c r="Z140" i="16"/>
  <c r="Y140" i="16"/>
  <c r="X140" i="16"/>
  <c r="AG140" i="16" s="1"/>
  <c r="W140" i="16"/>
  <c r="V140" i="16"/>
  <c r="U140" i="16"/>
  <c r="T140" i="16"/>
  <c r="E140" i="16"/>
  <c r="D140" i="16"/>
  <c r="C140" i="16"/>
  <c r="B140" i="16"/>
  <c r="A140" i="16"/>
  <c r="BW139" i="16"/>
  <c r="BI139" i="16"/>
  <c r="AU139" i="16"/>
  <c r="AF139" i="16"/>
  <c r="AE139" i="16"/>
  <c r="AD139" i="16"/>
  <c r="AC139" i="16"/>
  <c r="AB139" i="16"/>
  <c r="AA139" i="16"/>
  <c r="Z139" i="16"/>
  <c r="Y139" i="16"/>
  <c r="X139" i="16"/>
  <c r="W139" i="16"/>
  <c r="V139" i="16"/>
  <c r="U139" i="16"/>
  <c r="T139" i="16"/>
  <c r="AG139" i="16" s="1"/>
  <c r="E139" i="16"/>
  <c r="D139" i="16"/>
  <c r="C139" i="16"/>
  <c r="B139" i="16"/>
  <c r="A139" i="16"/>
  <c r="BW138" i="16"/>
  <c r="BI138" i="16"/>
  <c r="AU138" i="16"/>
  <c r="AF138" i="16"/>
  <c r="AE138" i="16"/>
  <c r="AD138" i="16"/>
  <c r="AC138" i="16"/>
  <c r="AB138" i="16"/>
  <c r="AA138" i="16"/>
  <c r="Z138" i="16"/>
  <c r="Y138" i="16"/>
  <c r="AG138" i="16" s="1"/>
  <c r="X138" i="16"/>
  <c r="W138" i="16"/>
  <c r="V138" i="16"/>
  <c r="U138" i="16"/>
  <c r="T138" i="16"/>
  <c r="E138" i="16"/>
  <c r="D138" i="16"/>
  <c r="C138" i="16"/>
  <c r="B138" i="16"/>
  <c r="A138" i="16"/>
  <c r="BW137" i="16"/>
  <c r="BI137" i="16"/>
  <c r="AU137" i="16"/>
  <c r="AF137" i="16"/>
  <c r="AE137" i="16"/>
  <c r="AD137" i="16"/>
  <c r="AC137" i="16"/>
  <c r="AB137" i="16"/>
  <c r="AA137" i="16"/>
  <c r="Z137" i="16"/>
  <c r="Y137" i="16"/>
  <c r="X137" i="16"/>
  <c r="W137" i="16"/>
  <c r="V137" i="16"/>
  <c r="U137" i="16"/>
  <c r="T137" i="16"/>
  <c r="AG137" i="16" s="1"/>
  <c r="E137" i="16"/>
  <c r="D137" i="16"/>
  <c r="C137" i="16"/>
  <c r="B137" i="16"/>
  <c r="A137" i="16"/>
  <c r="BW136" i="16"/>
  <c r="BI136" i="16"/>
  <c r="AU136" i="16"/>
  <c r="AF136" i="16"/>
  <c r="AE136" i="16"/>
  <c r="AD136" i="16"/>
  <c r="AC136" i="16"/>
  <c r="AB136" i="16"/>
  <c r="AA136" i="16"/>
  <c r="Z136" i="16"/>
  <c r="Y136" i="16"/>
  <c r="X136" i="16"/>
  <c r="AG136" i="16" s="1"/>
  <c r="W136" i="16"/>
  <c r="V136" i="16"/>
  <c r="U136" i="16"/>
  <c r="T136" i="16"/>
  <c r="E136" i="16"/>
  <c r="D136" i="16"/>
  <c r="C136" i="16"/>
  <c r="B136" i="16"/>
  <c r="A136" i="16"/>
  <c r="BW135" i="16"/>
  <c r="BI135" i="16"/>
  <c r="AU135" i="16"/>
  <c r="AF135" i="16"/>
  <c r="AE135" i="16"/>
  <c r="AD135" i="16"/>
  <c r="AC135" i="16"/>
  <c r="AB135" i="16"/>
  <c r="AA135" i="16"/>
  <c r="Z135" i="16"/>
  <c r="Y135" i="16"/>
  <c r="X135" i="16"/>
  <c r="W135" i="16"/>
  <c r="V135" i="16"/>
  <c r="U135" i="16"/>
  <c r="T135" i="16"/>
  <c r="E135" i="16"/>
  <c r="D135" i="16"/>
  <c r="C135" i="16"/>
  <c r="B135" i="16"/>
  <c r="A135" i="16"/>
  <c r="BW134" i="16"/>
  <c r="BI134" i="16"/>
  <c r="AU134" i="16"/>
  <c r="AF134" i="16"/>
  <c r="AE134" i="16"/>
  <c r="AD134" i="16"/>
  <c r="AC134" i="16"/>
  <c r="AB134" i="16"/>
  <c r="AA134" i="16"/>
  <c r="Z134" i="16"/>
  <c r="Y134" i="16"/>
  <c r="AG134" i="16" s="1"/>
  <c r="X134" i="16"/>
  <c r="W134" i="16"/>
  <c r="V134" i="16"/>
  <c r="U134" i="16"/>
  <c r="T134" i="16"/>
  <c r="E134" i="16"/>
  <c r="D134" i="16"/>
  <c r="C134" i="16"/>
  <c r="B134" i="16"/>
  <c r="A134" i="16"/>
  <c r="BW133" i="16"/>
  <c r="BI133" i="16"/>
  <c r="AU133" i="16"/>
  <c r="AF133" i="16"/>
  <c r="AE133" i="16"/>
  <c r="AD133" i="16"/>
  <c r="AC133" i="16"/>
  <c r="AB133" i="16"/>
  <c r="AA133" i="16"/>
  <c r="Z133" i="16"/>
  <c r="Y133" i="16"/>
  <c r="X133" i="16"/>
  <c r="W133" i="16"/>
  <c r="V133" i="16"/>
  <c r="U133" i="16"/>
  <c r="T133" i="16"/>
  <c r="AG133" i="16" s="1"/>
  <c r="E133" i="16"/>
  <c r="D133" i="16"/>
  <c r="C133" i="16"/>
  <c r="B133" i="16"/>
  <c r="A133" i="16"/>
  <c r="BW132" i="16"/>
  <c r="BI132" i="16"/>
  <c r="AU132" i="16"/>
  <c r="AF132" i="16"/>
  <c r="AE132" i="16"/>
  <c r="AD132" i="16"/>
  <c r="AC132" i="16"/>
  <c r="AB132" i="16"/>
  <c r="AA132" i="16"/>
  <c r="Z132" i="16"/>
  <c r="Y132" i="16"/>
  <c r="X132" i="16"/>
  <c r="AG132" i="16" s="1"/>
  <c r="W132" i="16"/>
  <c r="V132" i="16"/>
  <c r="U132" i="16"/>
  <c r="T132" i="16"/>
  <c r="E132" i="16"/>
  <c r="D132" i="16"/>
  <c r="C132" i="16"/>
  <c r="B132" i="16"/>
  <c r="A132" i="16"/>
  <c r="BW131" i="16"/>
  <c r="BI131" i="16"/>
  <c r="AU131" i="16"/>
  <c r="AF131" i="16"/>
  <c r="AE131" i="16"/>
  <c r="AD131" i="16"/>
  <c r="AC131" i="16"/>
  <c r="AB131" i="16"/>
  <c r="AA131" i="16"/>
  <c r="Z131" i="16"/>
  <c r="Y131" i="16"/>
  <c r="X131" i="16"/>
  <c r="W131" i="16"/>
  <c r="V131" i="16"/>
  <c r="U131" i="16"/>
  <c r="T131" i="16"/>
  <c r="E131" i="16"/>
  <c r="D131" i="16"/>
  <c r="C131" i="16"/>
  <c r="B131" i="16"/>
  <c r="A131" i="16"/>
  <c r="BW130" i="16"/>
  <c r="BI130" i="16"/>
  <c r="AU130" i="16"/>
  <c r="AF130" i="16"/>
  <c r="AE130" i="16"/>
  <c r="AD130" i="16"/>
  <c r="AC130" i="16"/>
  <c r="AB130" i="16"/>
  <c r="AA130" i="16"/>
  <c r="Z130" i="16"/>
  <c r="Y130" i="16"/>
  <c r="X130" i="16"/>
  <c r="W130" i="16"/>
  <c r="V130" i="16"/>
  <c r="U130" i="16"/>
  <c r="AG130" i="16" s="1"/>
  <c r="T130" i="16"/>
  <c r="E130" i="16"/>
  <c r="D130" i="16"/>
  <c r="C130" i="16"/>
  <c r="B130" i="16"/>
  <c r="A130" i="16"/>
  <c r="BW129" i="16"/>
  <c r="BI129" i="16"/>
  <c r="AU129" i="16"/>
  <c r="AF129" i="16"/>
  <c r="AE129" i="16"/>
  <c r="AD129" i="16"/>
  <c r="AC129" i="16"/>
  <c r="AB129" i="16"/>
  <c r="AA129" i="16"/>
  <c r="Z129" i="16"/>
  <c r="Y129" i="16"/>
  <c r="AG129" i="16" s="1"/>
  <c r="X129" i="16"/>
  <c r="W129" i="16"/>
  <c r="V129" i="16"/>
  <c r="U129" i="16"/>
  <c r="T129" i="16"/>
  <c r="E129" i="16"/>
  <c r="D129" i="16"/>
  <c r="C129" i="16"/>
  <c r="B129" i="16"/>
  <c r="A129" i="16"/>
  <c r="BW128" i="16"/>
  <c r="BI128" i="16"/>
  <c r="AU128" i="16"/>
  <c r="AF128" i="16"/>
  <c r="AE128" i="16"/>
  <c r="AD128" i="16"/>
  <c r="AC128" i="16"/>
  <c r="AB128" i="16"/>
  <c r="AA128" i="16"/>
  <c r="Z128" i="16"/>
  <c r="Y128" i="16"/>
  <c r="X128" i="16"/>
  <c r="W128" i="16"/>
  <c r="V128" i="16"/>
  <c r="U128" i="16"/>
  <c r="T128" i="16"/>
  <c r="AG128" i="16" s="1"/>
  <c r="E128" i="16"/>
  <c r="D128" i="16"/>
  <c r="C128" i="16"/>
  <c r="B128" i="16"/>
  <c r="A128" i="16"/>
  <c r="BW127" i="16"/>
  <c r="BI127" i="16"/>
  <c r="AU127" i="16"/>
  <c r="AF127" i="16"/>
  <c r="AE127" i="16"/>
  <c r="AD127" i="16"/>
  <c r="AC127" i="16"/>
  <c r="AB127" i="16"/>
  <c r="AA127" i="16"/>
  <c r="Z127" i="16"/>
  <c r="Y127" i="16"/>
  <c r="X127" i="16"/>
  <c r="AG127" i="16" s="1"/>
  <c r="W127" i="16"/>
  <c r="V127" i="16"/>
  <c r="U127" i="16"/>
  <c r="T127" i="16"/>
  <c r="E127" i="16"/>
  <c r="D127" i="16"/>
  <c r="C127" i="16"/>
  <c r="B127" i="16"/>
  <c r="A127" i="16"/>
  <c r="BW126" i="16"/>
  <c r="BI126" i="16"/>
  <c r="AU126" i="16"/>
  <c r="AF126" i="16"/>
  <c r="AE126" i="16"/>
  <c r="AD126" i="16"/>
  <c r="AC126" i="16"/>
  <c r="AB126" i="16"/>
  <c r="AA126" i="16"/>
  <c r="Z126" i="16"/>
  <c r="Y126" i="16"/>
  <c r="X126" i="16"/>
  <c r="W126" i="16"/>
  <c r="V126" i="16"/>
  <c r="U126" i="16"/>
  <c r="T126" i="16"/>
  <c r="AG126" i="16" s="1"/>
  <c r="E126" i="16"/>
  <c r="D126" i="16"/>
  <c r="C126" i="16"/>
  <c r="B126" i="16"/>
  <c r="A126" i="16"/>
  <c r="BW125" i="16"/>
  <c r="BI125" i="16"/>
  <c r="AU125" i="16"/>
  <c r="AF125" i="16"/>
  <c r="AE125" i="16"/>
  <c r="AD125" i="16"/>
  <c r="AC125" i="16"/>
  <c r="AB125" i="16"/>
  <c r="AA125" i="16"/>
  <c r="Z125" i="16"/>
  <c r="Y125" i="16"/>
  <c r="X125" i="16"/>
  <c r="W125" i="16"/>
  <c r="V125" i="16"/>
  <c r="U125" i="16"/>
  <c r="T125" i="16"/>
  <c r="AG125" i="16" s="1"/>
  <c r="E125" i="16"/>
  <c r="D125" i="16"/>
  <c r="C125" i="16"/>
  <c r="B125" i="16"/>
  <c r="A125" i="16"/>
  <c r="BW124" i="16"/>
  <c r="BI124" i="16"/>
  <c r="AU124" i="16"/>
  <c r="AF124" i="16"/>
  <c r="AE124" i="16"/>
  <c r="AD124" i="16"/>
  <c r="AC124" i="16"/>
  <c r="AB124" i="16"/>
  <c r="AA124" i="16"/>
  <c r="Z124" i="16"/>
  <c r="Y124" i="16"/>
  <c r="X124" i="16"/>
  <c r="W124" i="16"/>
  <c r="V124" i="16"/>
  <c r="U124" i="16"/>
  <c r="T124" i="16"/>
  <c r="AG124" i="16" s="1"/>
  <c r="E124" i="16"/>
  <c r="D124" i="16"/>
  <c r="C124" i="16"/>
  <c r="B124" i="16"/>
  <c r="A124" i="16"/>
  <c r="BW123" i="16"/>
  <c r="BI123" i="16"/>
  <c r="AU123" i="16"/>
  <c r="AF123" i="16"/>
  <c r="AE123" i="16"/>
  <c r="AD123" i="16"/>
  <c r="AC123" i="16"/>
  <c r="AB123" i="16"/>
  <c r="AA123" i="16"/>
  <c r="Z123" i="16"/>
  <c r="Y123" i="16"/>
  <c r="X123" i="16"/>
  <c r="W123" i="16"/>
  <c r="V123" i="16"/>
  <c r="U123" i="16"/>
  <c r="T123" i="16"/>
  <c r="AG123" i="16" s="1"/>
  <c r="E123" i="16"/>
  <c r="D123" i="16"/>
  <c r="C123" i="16"/>
  <c r="B123" i="16"/>
  <c r="A123" i="16"/>
  <c r="BW122" i="16"/>
  <c r="BI122" i="16"/>
  <c r="AU122" i="16"/>
  <c r="AF122" i="16"/>
  <c r="AE122" i="16"/>
  <c r="AD122" i="16"/>
  <c r="AC122" i="16"/>
  <c r="AB122" i="16"/>
  <c r="AA122" i="16"/>
  <c r="Z122" i="16"/>
  <c r="Y122" i="16"/>
  <c r="X122" i="16"/>
  <c r="W122" i="16"/>
  <c r="V122" i="16"/>
  <c r="U122" i="16"/>
  <c r="T122" i="16"/>
  <c r="AG122" i="16" s="1"/>
  <c r="E122" i="16"/>
  <c r="D122" i="16"/>
  <c r="C122" i="16"/>
  <c r="B122" i="16"/>
  <c r="A122" i="16"/>
  <c r="BW121" i="16"/>
  <c r="BI121" i="16"/>
  <c r="AU121" i="16"/>
  <c r="AF121" i="16"/>
  <c r="AE121" i="16"/>
  <c r="AD121" i="16"/>
  <c r="AC121" i="16"/>
  <c r="AB121" i="16"/>
  <c r="AA121" i="16"/>
  <c r="Z121" i="16"/>
  <c r="Y121" i="16"/>
  <c r="AG121" i="16" s="1"/>
  <c r="X121" i="16"/>
  <c r="W121" i="16"/>
  <c r="V121" i="16"/>
  <c r="U121" i="16"/>
  <c r="T121" i="16"/>
  <c r="E121" i="16"/>
  <c r="D121" i="16"/>
  <c r="C121" i="16"/>
  <c r="B121" i="16"/>
  <c r="A121" i="16"/>
  <c r="BW120" i="16"/>
  <c r="BI120" i="16"/>
  <c r="AU120" i="16"/>
  <c r="AF120" i="16"/>
  <c r="AE120" i="16"/>
  <c r="AD120" i="16"/>
  <c r="AC120" i="16"/>
  <c r="AB120" i="16"/>
  <c r="AA120" i="16"/>
  <c r="Z120" i="16"/>
  <c r="Y120" i="16"/>
  <c r="X120" i="16"/>
  <c r="W120" i="16"/>
  <c r="V120" i="16"/>
  <c r="U120" i="16"/>
  <c r="T120" i="16"/>
  <c r="AG120" i="16" s="1"/>
  <c r="E120" i="16"/>
  <c r="D120" i="16"/>
  <c r="C120" i="16"/>
  <c r="B120" i="16"/>
  <c r="A120" i="16"/>
  <c r="BW119" i="16"/>
  <c r="BI119" i="16"/>
  <c r="AU119" i="16"/>
  <c r="AF119" i="16"/>
  <c r="AE119" i="16"/>
  <c r="AD119" i="16"/>
  <c r="AC119" i="16"/>
  <c r="AB119" i="16"/>
  <c r="AA119" i="16"/>
  <c r="Z119" i="16"/>
  <c r="Y119" i="16"/>
  <c r="AG119" i="16" s="1"/>
  <c r="X119" i="16"/>
  <c r="W119" i="16"/>
  <c r="V119" i="16"/>
  <c r="U119" i="16"/>
  <c r="T119" i="16"/>
  <c r="E119" i="16"/>
  <c r="D119" i="16"/>
  <c r="C119" i="16"/>
  <c r="B119" i="16"/>
  <c r="A119" i="16"/>
  <c r="BW118" i="16"/>
  <c r="BI118" i="16"/>
  <c r="AU118" i="16"/>
  <c r="AF118" i="16"/>
  <c r="AE118" i="16"/>
  <c r="AD118" i="16"/>
  <c r="AC118" i="16"/>
  <c r="AB118" i="16"/>
  <c r="AA118" i="16"/>
  <c r="Z118" i="16"/>
  <c r="Y118" i="16"/>
  <c r="X118" i="16"/>
  <c r="W118" i="16"/>
  <c r="V118" i="16"/>
  <c r="U118" i="16"/>
  <c r="T118" i="16"/>
  <c r="AG118" i="16" s="1"/>
  <c r="E118" i="16"/>
  <c r="D118" i="16"/>
  <c r="C118" i="16"/>
  <c r="B118" i="16"/>
  <c r="A118" i="16"/>
  <c r="BW117" i="16"/>
  <c r="BI117" i="16"/>
  <c r="AU117" i="16"/>
  <c r="AF117" i="16"/>
  <c r="AE117" i="16"/>
  <c r="AD117" i="16"/>
  <c r="AC117" i="16"/>
  <c r="AB117" i="16"/>
  <c r="AA117" i="16"/>
  <c r="Z117" i="16"/>
  <c r="Y117" i="16"/>
  <c r="AG117" i="16" s="1"/>
  <c r="X117" i="16"/>
  <c r="W117" i="16"/>
  <c r="V117" i="16"/>
  <c r="U117" i="16"/>
  <c r="T117" i="16"/>
  <c r="E117" i="16"/>
  <c r="D117" i="16"/>
  <c r="C117" i="16"/>
  <c r="B117" i="16"/>
  <c r="A117" i="16"/>
  <c r="BW116" i="16"/>
  <c r="BI116" i="16"/>
  <c r="AU116" i="16"/>
  <c r="AF116" i="16"/>
  <c r="AE116" i="16"/>
  <c r="AD116" i="16"/>
  <c r="AC116" i="16"/>
  <c r="AB116" i="16"/>
  <c r="AA116" i="16"/>
  <c r="Z116" i="16"/>
  <c r="Y116" i="16"/>
  <c r="X116" i="16"/>
  <c r="W116" i="16"/>
  <c r="V116" i="16"/>
  <c r="U116" i="16"/>
  <c r="T116" i="16"/>
  <c r="AG116" i="16" s="1"/>
  <c r="E116" i="16"/>
  <c r="D116" i="16"/>
  <c r="C116" i="16"/>
  <c r="B116" i="16"/>
  <c r="A116" i="16"/>
  <c r="BW115" i="16"/>
  <c r="BI115" i="16"/>
  <c r="AU115" i="16"/>
  <c r="AF115" i="16"/>
  <c r="AE115" i="16"/>
  <c r="AD115" i="16"/>
  <c r="AC115" i="16"/>
  <c r="AB115" i="16"/>
  <c r="AA115" i="16"/>
  <c r="Z115" i="16"/>
  <c r="Y115" i="16"/>
  <c r="AG115" i="16" s="1"/>
  <c r="X115" i="16"/>
  <c r="W115" i="16"/>
  <c r="V115" i="16"/>
  <c r="U115" i="16"/>
  <c r="T115" i="16"/>
  <c r="E115" i="16"/>
  <c r="D115" i="16"/>
  <c r="C115" i="16"/>
  <c r="B115" i="16"/>
  <c r="A115" i="16"/>
  <c r="BW114" i="16"/>
  <c r="BI114" i="16"/>
  <c r="AU114" i="16"/>
  <c r="AF114" i="16"/>
  <c r="AE114" i="16"/>
  <c r="AD114" i="16"/>
  <c r="AC114" i="16"/>
  <c r="AB114" i="16"/>
  <c r="AA114" i="16"/>
  <c r="Z114" i="16"/>
  <c r="Y114" i="16"/>
  <c r="X114" i="16"/>
  <c r="W114" i="16"/>
  <c r="V114" i="16"/>
  <c r="U114" i="16"/>
  <c r="T114" i="16"/>
  <c r="AG114" i="16" s="1"/>
  <c r="E114" i="16"/>
  <c r="D114" i="16"/>
  <c r="C114" i="16"/>
  <c r="B114" i="16"/>
  <c r="A114" i="16"/>
  <c r="BW113" i="16"/>
  <c r="BI113" i="16"/>
  <c r="AU113" i="16"/>
  <c r="AF113" i="16"/>
  <c r="AE113" i="16"/>
  <c r="AD113" i="16"/>
  <c r="AC113" i="16"/>
  <c r="AB113" i="16"/>
  <c r="AA113" i="16"/>
  <c r="Z113" i="16"/>
  <c r="Y113" i="16"/>
  <c r="AG113" i="16" s="1"/>
  <c r="X113" i="16"/>
  <c r="W113" i="16"/>
  <c r="V113" i="16"/>
  <c r="U113" i="16"/>
  <c r="T113" i="16"/>
  <c r="E113" i="16"/>
  <c r="D113" i="16"/>
  <c r="C113" i="16"/>
  <c r="B113" i="16"/>
  <c r="A113" i="16"/>
  <c r="BW112" i="16"/>
  <c r="BI112" i="16"/>
  <c r="AU112" i="16"/>
  <c r="AF112" i="16"/>
  <c r="AE112" i="16"/>
  <c r="AD112" i="16"/>
  <c r="AC112" i="16"/>
  <c r="AB112" i="16"/>
  <c r="AA112" i="16"/>
  <c r="Z112" i="16"/>
  <c r="Y112" i="16"/>
  <c r="X112" i="16"/>
  <c r="W112" i="16"/>
  <c r="V112" i="16"/>
  <c r="U112" i="16"/>
  <c r="T112" i="16"/>
  <c r="AG112" i="16" s="1"/>
  <c r="E112" i="16"/>
  <c r="D112" i="16"/>
  <c r="C112" i="16"/>
  <c r="B112" i="16"/>
  <c r="A112" i="16"/>
  <c r="BW111" i="16"/>
  <c r="BI111" i="16"/>
  <c r="AU111" i="16"/>
  <c r="AF111" i="16"/>
  <c r="AE111" i="16"/>
  <c r="AD111" i="16"/>
  <c r="AC111" i="16"/>
  <c r="AB111" i="16"/>
  <c r="AA111" i="16"/>
  <c r="Z111" i="16"/>
  <c r="Y111" i="16"/>
  <c r="AG111" i="16" s="1"/>
  <c r="X111" i="16"/>
  <c r="W111" i="16"/>
  <c r="V111" i="16"/>
  <c r="U111" i="16"/>
  <c r="T111" i="16"/>
  <c r="E111" i="16"/>
  <c r="D111" i="16"/>
  <c r="C111" i="16"/>
  <c r="B111" i="16"/>
  <c r="A111" i="16"/>
  <c r="BW110" i="16"/>
  <c r="BI110" i="16"/>
  <c r="AU110" i="16"/>
  <c r="AF110" i="16"/>
  <c r="AE110" i="16"/>
  <c r="AD110" i="16"/>
  <c r="AC110" i="16"/>
  <c r="AB110" i="16"/>
  <c r="AA110" i="16"/>
  <c r="Z110" i="16"/>
  <c r="Y110" i="16"/>
  <c r="X110" i="16"/>
  <c r="W110" i="16"/>
  <c r="V110" i="16"/>
  <c r="U110" i="16"/>
  <c r="T110" i="16"/>
  <c r="AG110" i="16" s="1"/>
  <c r="E110" i="16"/>
  <c r="D110" i="16"/>
  <c r="C110" i="16"/>
  <c r="B110" i="16"/>
  <c r="A110" i="16"/>
  <c r="BW109" i="16"/>
  <c r="BI109" i="16"/>
  <c r="AU109" i="16"/>
  <c r="AF109" i="16"/>
  <c r="AE109" i="16"/>
  <c r="AD109" i="16"/>
  <c r="AC109" i="16"/>
  <c r="AB109" i="16"/>
  <c r="AA109" i="16"/>
  <c r="Z109" i="16"/>
  <c r="Y109" i="16"/>
  <c r="AG109" i="16" s="1"/>
  <c r="X109" i="16"/>
  <c r="W109" i="16"/>
  <c r="V109" i="16"/>
  <c r="U109" i="16"/>
  <c r="T109" i="16"/>
  <c r="E109" i="16"/>
  <c r="D109" i="16"/>
  <c r="C109" i="16"/>
  <c r="B109" i="16"/>
  <c r="A109" i="16"/>
  <c r="BW108" i="16"/>
  <c r="BI108" i="16"/>
  <c r="AU108" i="16"/>
  <c r="AF108" i="16"/>
  <c r="AE108" i="16"/>
  <c r="AD108" i="16"/>
  <c r="AC108" i="16"/>
  <c r="AB108" i="16"/>
  <c r="AA108" i="16"/>
  <c r="Z108" i="16"/>
  <c r="Y108" i="16"/>
  <c r="X108" i="16"/>
  <c r="W108" i="16"/>
  <c r="V108" i="16"/>
  <c r="U108" i="16"/>
  <c r="T108" i="16"/>
  <c r="AG108" i="16" s="1"/>
  <c r="E108" i="16"/>
  <c r="D108" i="16"/>
  <c r="C108" i="16"/>
  <c r="B108" i="16"/>
  <c r="A108" i="16"/>
  <c r="BW107" i="16"/>
  <c r="BI107" i="16"/>
  <c r="AU107" i="16"/>
  <c r="AF107" i="16"/>
  <c r="AE107" i="16"/>
  <c r="AD107" i="16"/>
  <c r="AC107" i="16"/>
  <c r="AB107" i="16"/>
  <c r="AA107" i="16"/>
  <c r="Z107" i="16"/>
  <c r="Y107" i="16"/>
  <c r="AG107" i="16" s="1"/>
  <c r="X107" i="16"/>
  <c r="W107" i="16"/>
  <c r="V107" i="16"/>
  <c r="U107" i="16"/>
  <c r="T107" i="16"/>
  <c r="E107" i="16"/>
  <c r="D107" i="16"/>
  <c r="C107" i="16"/>
  <c r="B107" i="16"/>
  <c r="A107" i="16"/>
  <c r="BW106" i="16"/>
  <c r="BI106" i="16"/>
  <c r="AU106" i="16"/>
  <c r="AF106" i="16"/>
  <c r="AE106" i="16"/>
  <c r="AD106" i="16"/>
  <c r="AC106" i="16"/>
  <c r="AB106" i="16"/>
  <c r="AA106" i="16"/>
  <c r="Z106" i="16"/>
  <c r="Y106" i="16"/>
  <c r="X106" i="16"/>
  <c r="W106" i="16"/>
  <c r="V106" i="16"/>
  <c r="U106" i="16"/>
  <c r="T106" i="16"/>
  <c r="AG106" i="16" s="1"/>
  <c r="E106" i="16"/>
  <c r="D106" i="16"/>
  <c r="C106" i="16"/>
  <c r="B106" i="16"/>
  <c r="A106" i="16"/>
  <c r="BW105" i="16"/>
  <c r="BI105" i="16"/>
  <c r="AU105" i="16"/>
  <c r="AF105" i="16"/>
  <c r="AE105" i="16"/>
  <c r="AD105" i="16"/>
  <c r="AC105" i="16"/>
  <c r="AB105" i="16"/>
  <c r="AA105" i="16"/>
  <c r="Z105" i="16"/>
  <c r="Y105" i="16"/>
  <c r="AG105" i="16" s="1"/>
  <c r="X105" i="16"/>
  <c r="W105" i="16"/>
  <c r="V105" i="16"/>
  <c r="U105" i="16"/>
  <c r="T105" i="16"/>
  <c r="E105" i="16"/>
  <c r="D105" i="16"/>
  <c r="C105" i="16"/>
  <c r="B105" i="16"/>
  <c r="A105" i="16"/>
  <c r="BW104" i="16"/>
  <c r="BI104" i="16"/>
  <c r="AU104" i="16"/>
  <c r="AF104" i="16"/>
  <c r="AE104" i="16"/>
  <c r="AD104" i="16"/>
  <c r="AC104" i="16"/>
  <c r="AB104" i="16"/>
  <c r="AA104" i="16"/>
  <c r="Z104" i="16"/>
  <c r="Y104" i="16"/>
  <c r="X104" i="16"/>
  <c r="W104" i="16"/>
  <c r="V104" i="16"/>
  <c r="U104" i="16"/>
  <c r="T104" i="16"/>
  <c r="AG104" i="16" s="1"/>
  <c r="E104" i="16"/>
  <c r="D104" i="16"/>
  <c r="C104" i="16"/>
  <c r="B104" i="16"/>
  <c r="A104" i="16"/>
  <c r="BW103" i="16"/>
  <c r="BI103" i="16"/>
  <c r="AU103" i="16"/>
  <c r="AF103" i="16"/>
  <c r="AE103" i="16"/>
  <c r="AD103" i="16"/>
  <c r="AC103" i="16"/>
  <c r="AB103" i="16"/>
  <c r="AA103" i="16"/>
  <c r="Z103" i="16"/>
  <c r="Y103" i="16"/>
  <c r="AG103" i="16" s="1"/>
  <c r="X103" i="16"/>
  <c r="W103" i="16"/>
  <c r="V103" i="16"/>
  <c r="U103" i="16"/>
  <c r="T103" i="16"/>
  <c r="E103" i="16"/>
  <c r="D103" i="16"/>
  <c r="C103" i="16"/>
  <c r="B103" i="16"/>
  <c r="A103" i="16"/>
  <c r="BW102" i="16"/>
  <c r="BI102" i="16"/>
  <c r="AU102" i="16"/>
  <c r="AF102" i="16"/>
  <c r="AE102" i="16"/>
  <c r="AD102" i="16"/>
  <c r="AC102" i="16"/>
  <c r="AB102" i="16"/>
  <c r="AA102" i="16"/>
  <c r="Z102" i="16"/>
  <c r="Y102" i="16"/>
  <c r="X102" i="16"/>
  <c r="W102" i="16"/>
  <c r="V102" i="16"/>
  <c r="U102" i="16"/>
  <c r="T102" i="16"/>
  <c r="AG102" i="16" s="1"/>
  <c r="E102" i="16"/>
  <c r="D102" i="16"/>
  <c r="C102" i="16"/>
  <c r="B102" i="16"/>
  <c r="A102" i="16"/>
  <c r="BW101" i="16"/>
  <c r="BI101" i="16"/>
  <c r="AU101" i="16"/>
  <c r="AF101" i="16"/>
  <c r="AE101" i="16"/>
  <c r="AD101" i="16"/>
  <c r="AC101" i="16"/>
  <c r="AB101" i="16"/>
  <c r="AA101" i="16"/>
  <c r="Z101" i="16"/>
  <c r="Y101" i="16"/>
  <c r="AG101" i="16" s="1"/>
  <c r="X101" i="16"/>
  <c r="W101" i="16"/>
  <c r="V101" i="16"/>
  <c r="U101" i="16"/>
  <c r="T101" i="16"/>
  <c r="E101" i="16"/>
  <c r="D101" i="16"/>
  <c r="C101" i="16"/>
  <c r="B101" i="16"/>
  <c r="A101" i="16"/>
  <c r="BW100" i="16"/>
  <c r="BI100" i="16"/>
  <c r="AU100" i="16"/>
  <c r="AF100" i="16"/>
  <c r="AE100" i="16"/>
  <c r="AD100" i="16"/>
  <c r="AC100" i="16"/>
  <c r="AB100" i="16"/>
  <c r="AA100" i="16"/>
  <c r="Z100" i="16"/>
  <c r="Y100" i="16"/>
  <c r="X100" i="16"/>
  <c r="W100" i="16"/>
  <c r="V100" i="16"/>
  <c r="U100" i="16"/>
  <c r="T100" i="16"/>
  <c r="AG100" i="16" s="1"/>
  <c r="E100" i="16"/>
  <c r="D100" i="16"/>
  <c r="C100" i="16"/>
  <c r="B100" i="16"/>
  <c r="A100" i="16"/>
  <c r="BW99" i="16"/>
  <c r="BI99" i="16"/>
  <c r="AU99" i="16"/>
  <c r="AF99" i="16"/>
  <c r="AE99" i="16"/>
  <c r="AD99" i="16"/>
  <c r="AC99" i="16"/>
  <c r="AB99" i="16"/>
  <c r="AA99" i="16"/>
  <c r="Z99" i="16"/>
  <c r="Y99" i="16"/>
  <c r="AG99" i="16" s="1"/>
  <c r="X99" i="16"/>
  <c r="W99" i="16"/>
  <c r="V99" i="16"/>
  <c r="U99" i="16"/>
  <c r="T99" i="16"/>
  <c r="E99" i="16"/>
  <c r="D99" i="16"/>
  <c r="C99" i="16"/>
  <c r="B99" i="16"/>
  <c r="A99" i="16"/>
  <c r="BW98" i="16"/>
  <c r="BI98" i="16"/>
  <c r="AU98" i="16"/>
  <c r="AF98" i="16"/>
  <c r="AE98" i="16"/>
  <c r="AD98" i="16"/>
  <c r="AC98" i="16"/>
  <c r="AB98" i="16"/>
  <c r="AA98" i="16"/>
  <c r="Z98" i="16"/>
  <c r="Y98" i="16"/>
  <c r="X98" i="16"/>
  <c r="W98" i="16"/>
  <c r="V98" i="16"/>
  <c r="U98" i="16"/>
  <c r="T98" i="16"/>
  <c r="AG98" i="16" s="1"/>
  <c r="E98" i="16"/>
  <c r="D98" i="16"/>
  <c r="C98" i="16"/>
  <c r="B98" i="16"/>
  <c r="A98" i="16"/>
  <c r="BW97" i="16"/>
  <c r="BI97" i="16"/>
  <c r="AU97" i="16"/>
  <c r="AF97" i="16"/>
  <c r="AE97" i="16"/>
  <c r="AD97" i="16"/>
  <c r="AC97" i="16"/>
  <c r="AB97" i="16"/>
  <c r="AA97" i="16"/>
  <c r="Z97" i="16"/>
  <c r="Y97" i="16"/>
  <c r="AG97" i="16" s="1"/>
  <c r="X97" i="16"/>
  <c r="W97" i="16"/>
  <c r="V97" i="16"/>
  <c r="U97" i="16"/>
  <c r="T97" i="16"/>
  <c r="E97" i="16"/>
  <c r="D97" i="16"/>
  <c r="C97" i="16"/>
  <c r="B97" i="16"/>
  <c r="A97" i="16"/>
  <c r="BW96" i="16"/>
  <c r="BI96" i="16"/>
  <c r="AU96" i="16"/>
  <c r="AF96" i="16"/>
  <c r="AE96" i="16"/>
  <c r="AD96" i="16"/>
  <c r="AC96" i="16"/>
  <c r="AB96" i="16"/>
  <c r="AA96" i="16"/>
  <c r="Z96" i="16"/>
  <c r="Y96" i="16"/>
  <c r="X96" i="16"/>
  <c r="W96" i="16"/>
  <c r="V96" i="16"/>
  <c r="U96" i="16"/>
  <c r="T96" i="16"/>
  <c r="AG96" i="16" s="1"/>
  <c r="E96" i="16"/>
  <c r="D96" i="16"/>
  <c r="C96" i="16"/>
  <c r="B96" i="16"/>
  <c r="A96" i="16"/>
  <c r="BW95" i="16"/>
  <c r="BI95" i="16"/>
  <c r="AU95" i="16"/>
  <c r="AF95" i="16"/>
  <c r="AE95" i="16"/>
  <c r="AD95" i="16"/>
  <c r="AC95" i="16"/>
  <c r="AB95" i="16"/>
  <c r="AA95" i="16"/>
  <c r="Z95" i="16"/>
  <c r="Y95" i="16"/>
  <c r="AG95" i="16" s="1"/>
  <c r="X95" i="16"/>
  <c r="W95" i="16"/>
  <c r="V95" i="16"/>
  <c r="U95" i="16"/>
  <c r="T95" i="16"/>
  <c r="E95" i="16"/>
  <c r="D95" i="16"/>
  <c r="C95" i="16"/>
  <c r="B95" i="16"/>
  <c r="A95" i="16"/>
  <c r="BW94" i="16"/>
  <c r="BI94" i="16"/>
  <c r="AU94" i="16"/>
  <c r="AF94" i="16"/>
  <c r="AE94" i="16"/>
  <c r="AD94" i="16"/>
  <c r="AC94" i="16"/>
  <c r="AB94" i="16"/>
  <c r="AA94" i="16"/>
  <c r="Z94" i="16"/>
  <c r="Y94" i="16"/>
  <c r="X94" i="16"/>
  <c r="W94" i="16"/>
  <c r="V94" i="16"/>
  <c r="U94" i="16"/>
  <c r="T94" i="16"/>
  <c r="AG94" i="16" s="1"/>
  <c r="E94" i="16"/>
  <c r="D94" i="16"/>
  <c r="C94" i="16"/>
  <c r="B94" i="16"/>
  <c r="A94" i="16"/>
  <c r="BW93" i="16"/>
  <c r="BI93" i="16"/>
  <c r="AU93" i="16"/>
  <c r="AF93" i="16"/>
  <c r="AE93" i="16"/>
  <c r="AD93" i="16"/>
  <c r="AC93" i="16"/>
  <c r="AB93" i="16"/>
  <c r="AA93" i="16"/>
  <c r="Z93" i="16"/>
  <c r="Y93" i="16"/>
  <c r="AG93" i="16" s="1"/>
  <c r="X93" i="16"/>
  <c r="W93" i="16"/>
  <c r="V93" i="16"/>
  <c r="U93" i="16"/>
  <c r="T93" i="16"/>
  <c r="E93" i="16"/>
  <c r="D93" i="16"/>
  <c r="C93" i="16"/>
  <c r="B93" i="16"/>
  <c r="A93" i="16"/>
  <c r="BW92" i="16"/>
  <c r="BI92" i="16"/>
  <c r="AU92" i="16"/>
  <c r="AF92" i="16"/>
  <c r="AE92" i="16"/>
  <c r="AD92" i="16"/>
  <c r="AC92" i="16"/>
  <c r="AB92" i="16"/>
  <c r="AA92" i="16"/>
  <c r="Z92" i="16"/>
  <c r="Y92" i="16"/>
  <c r="X92" i="16"/>
  <c r="W92" i="16"/>
  <c r="V92" i="16"/>
  <c r="U92" i="16"/>
  <c r="T92" i="16"/>
  <c r="AG92" i="16" s="1"/>
  <c r="E92" i="16"/>
  <c r="D92" i="16"/>
  <c r="C92" i="16"/>
  <c r="B92" i="16"/>
  <c r="A92" i="16"/>
  <c r="BW91" i="16"/>
  <c r="BI91" i="16"/>
  <c r="AU91" i="16"/>
  <c r="AF91" i="16"/>
  <c r="AE91" i="16"/>
  <c r="AD91" i="16"/>
  <c r="AC91" i="16"/>
  <c r="AB91" i="16"/>
  <c r="AA91" i="16"/>
  <c r="Z91" i="16"/>
  <c r="Y91" i="16"/>
  <c r="AG91" i="16" s="1"/>
  <c r="X91" i="16"/>
  <c r="W91" i="16"/>
  <c r="V91" i="16"/>
  <c r="U91" i="16"/>
  <c r="T91" i="16"/>
  <c r="E91" i="16"/>
  <c r="D91" i="16"/>
  <c r="C91" i="16"/>
  <c r="B91" i="16"/>
  <c r="A91" i="16"/>
  <c r="BW90" i="16"/>
  <c r="BI90" i="16"/>
  <c r="AU90" i="16"/>
  <c r="AF90" i="16"/>
  <c r="AE90" i="16"/>
  <c r="AD90" i="16"/>
  <c r="AC90" i="16"/>
  <c r="AB90" i="16"/>
  <c r="AA90" i="16"/>
  <c r="Z90" i="16"/>
  <c r="Y90" i="16"/>
  <c r="X90" i="16"/>
  <c r="W90" i="16"/>
  <c r="V90" i="16"/>
  <c r="U90" i="16"/>
  <c r="T90" i="16"/>
  <c r="AG90" i="16" s="1"/>
  <c r="E90" i="16"/>
  <c r="D90" i="16"/>
  <c r="C90" i="16"/>
  <c r="B90" i="16"/>
  <c r="A90" i="16"/>
  <c r="BW89" i="16"/>
  <c r="BI89" i="16"/>
  <c r="AU89" i="16"/>
  <c r="AF89" i="16"/>
  <c r="AE89" i="16"/>
  <c r="AD89" i="16"/>
  <c r="AC89" i="16"/>
  <c r="AB89" i="16"/>
  <c r="AA89" i="16"/>
  <c r="Z89" i="16"/>
  <c r="Y89" i="16"/>
  <c r="AG89" i="16" s="1"/>
  <c r="X89" i="16"/>
  <c r="W89" i="16"/>
  <c r="V89" i="16"/>
  <c r="U89" i="16"/>
  <c r="T89" i="16"/>
  <c r="E89" i="16"/>
  <c r="D89" i="16"/>
  <c r="C89" i="16"/>
  <c r="B89" i="16"/>
  <c r="A89" i="16"/>
  <c r="BW88" i="16"/>
  <c r="BI88" i="16"/>
  <c r="AU88" i="16"/>
  <c r="AF88" i="16"/>
  <c r="AE88" i="16"/>
  <c r="AD88" i="16"/>
  <c r="AC88" i="16"/>
  <c r="AB88" i="16"/>
  <c r="AA88" i="16"/>
  <c r="Z88" i="16"/>
  <c r="Y88" i="16"/>
  <c r="X88" i="16"/>
  <c r="W88" i="16"/>
  <c r="V88" i="16"/>
  <c r="U88" i="16"/>
  <c r="T88" i="16"/>
  <c r="AG88" i="16" s="1"/>
  <c r="E88" i="16"/>
  <c r="D88" i="16"/>
  <c r="C88" i="16"/>
  <c r="B88" i="16"/>
  <c r="A88" i="16"/>
  <c r="BW87" i="16"/>
  <c r="BI87" i="16"/>
  <c r="AU87" i="16"/>
  <c r="AF87" i="16"/>
  <c r="AE87" i="16"/>
  <c r="AD87" i="16"/>
  <c r="AC87" i="16"/>
  <c r="AB87" i="16"/>
  <c r="AA87" i="16"/>
  <c r="Z87" i="16"/>
  <c r="Y87" i="16"/>
  <c r="AG87" i="16" s="1"/>
  <c r="X87" i="16"/>
  <c r="W87" i="16"/>
  <c r="V87" i="16"/>
  <c r="U87" i="16"/>
  <c r="T87" i="16"/>
  <c r="E87" i="16"/>
  <c r="D87" i="16"/>
  <c r="C87" i="16"/>
  <c r="B87" i="16"/>
  <c r="A87" i="16"/>
  <c r="BW86" i="16"/>
  <c r="BI86" i="16"/>
  <c r="AU86" i="16"/>
  <c r="AF86" i="16"/>
  <c r="AE86" i="16"/>
  <c r="AD86" i="16"/>
  <c r="AC86" i="16"/>
  <c r="AB86" i="16"/>
  <c r="AA86" i="16"/>
  <c r="Z86" i="16"/>
  <c r="Y86" i="16"/>
  <c r="X86" i="16"/>
  <c r="W86" i="16"/>
  <c r="V86" i="16"/>
  <c r="U86" i="16"/>
  <c r="T86" i="16"/>
  <c r="AG86" i="16" s="1"/>
  <c r="E86" i="16"/>
  <c r="D86" i="16"/>
  <c r="C86" i="16"/>
  <c r="B86" i="16"/>
  <c r="A86" i="16"/>
  <c r="BW85" i="16"/>
  <c r="BI85" i="16"/>
  <c r="AU85" i="16"/>
  <c r="AF85" i="16"/>
  <c r="AE85" i="16"/>
  <c r="AD85" i="16"/>
  <c r="AC85" i="16"/>
  <c r="AB85" i="16"/>
  <c r="AA85" i="16"/>
  <c r="Z85" i="16"/>
  <c r="Y85" i="16"/>
  <c r="AG85" i="16" s="1"/>
  <c r="X85" i="16"/>
  <c r="W85" i="16"/>
  <c r="V85" i="16"/>
  <c r="U85" i="16"/>
  <c r="T85" i="16"/>
  <c r="E85" i="16"/>
  <c r="D85" i="16"/>
  <c r="C85" i="16"/>
  <c r="B85" i="16"/>
  <c r="A85" i="16"/>
  <c r="BW84" i="16"/>
  <c r="BI84" i="16"/>
  <c r="AU84" i="16"/>
  <c r="AF84" i="16"/>
  <c r="AE84" i="16"/>
  <c r="AD84" i="16"/>
  <c r="AC84" i="16"/>
  <c r="AB84" i="16"/>
  <c r="AA84" i="16"/>
  <c r="Z84" i="16"/>
  <c r="Y84" i="16"/>
  <c r="X84" i="16"/>
  <c r="W84" i="16"/>
  <c r="V84" i="16"/>
  <c r="U84" i="16"/>
  <c r="T84" i="16"/>
  <c r="AG84" i="16" s="1"/>
  <c r="E84" i="16"/>
  <c r="D84" i="16"/>
  <c r="C84" i="16"/>
  <c r="B84" i="16"/>
  <c r="A84" i="16"/>
  <c r="BW83" i="16"/>
  <c r="BI83" i="16"/>
  <c r="AU83" i="16"/>
  <c r="AF83" i="16"/>
  <c r="AE83" i="16"/>
  <c r="AD83" i="16"/>
  <c r="AC83" i="16"/>
  <c r="AB83" i="16"/>
  <c r="AA83" i="16"/>
  <c r="Z83" i="16"/>
  <c r="Y83" i="16"/>
  <c r="AG83" i="16" s="1"/>
  <c r="X83" i="16"/>
  <c r="W83" i="16"/>
  <c r="V83" i="16"/>
  <c r="U83" i="16"/>
  <c r="T83" i="16"/>
  <c r="E83" i="16"/>
  <c r="D83" i="16"/>
  <c r="C83" i="16"/>
  <c r="B83" i="16"/>
  <c r="A83" i="16"/>
  <c r="BW82" i="16"/>
  <c r="BI82" i="16"/>
  <c r="AU82" i="16"/>
  <c r="AF82" i="16"/>
  <c r="AE82" i="16"/>
  <c r="AD82" i="16"/>
  <c r="AC82" i="16"/>
  <c r="AB82" i="16"/>
  <c r="AA82" i="16"/>
  <c r="Z82" i="16"/>
  <c r="Y82" i="16"/>
  <c r="X82" i="16"/>
  <c r="W82" i="16"/>
  <c r="V82" i="16"/>
  <c r="U82" i="16"/>
  <c r="T82" i="16"/>
  <c r="AG82" i="16" s="1"/>
  <c r="E82" i="16"/>
  <c r="D82" i="16"/>
  <c r="C82" i="16"/>
  <c r="B82" i="16"/>
  <c r="A82" i="16"/>
  <c r="BW81" i="16"/>
  <c r="BI81" i="16"/>
  <c r="AU81" i="16"/>
  <c r="AF81" i="16"/>
  <c r="AE81" i="16"/>
  <c r="AD81" i="16"/>
  <c r="AC81" i="16"/>
  <c r="AB81" i="16"/>
  <c r="AA81" i="16"/>
  <c r="Z81" i="16"/>
  <c r="Y81" i="16"/>
  <c r="AG81" i="16" s="1"/>
  <c r="X81" i="16"/>
  <c r="W81" i="16"/>
  <c r="V81" i="16"/>
  <c r="U81" i="16"/>
  <c r="T81" i="16"/>
  <c r="E81" i="16"/>
  <c r="D81" i="16"/>
  <c r="C81" i="16"/>
  <c r="B81" i="16"/>
  <c r="A81" i="16"/>
  <c r="BW80" i="16"/>
  <c r="BI80" i="16"/>
  <c r="AU80" i="16"/>
  <c r="AF80" i="16"/>
  <c r="AE80" i="16"/>
  <c r="AD80" i="16"/>
  <c r="AC80" i="16"/>
  <c r="AB80" i="16"/>
  <c r="AA80" i="16"/>
  <c r="Z80" i="16"/>
  <c r="Y80" i="16"/>
  <c r="X80" i="16"/>
  <c r="W80" i="16"/>
  <c r="V80" i="16"/>
  <c r="U80" i="16"/>
  <c r="T80" i="16"/>
  <c r="AG80" i="16" s="1"/>
  <c r="E80" i="16"/>
  <c r="D80" i="16"/>
  <c r="C80" i="16"/>
  <c r="B80" i="16"/>
  <c r="A80" i="16"/>
  <c r="BW79" i="16"/>
  <c r="BI79" i="16"/>
  <c r="AU79" i="16"/>
  <c r="AF79" i="16"/>
  <c r="AE79" i="16"/>
  <c r="AD79" i="16"/>
  <c r="AC79" i="16"/>
  <c r="AB79" i="16"/>
  <c r="AA79" i="16"/>
  <c r="Z79" i="16"/>
  <c r="Y79" i="16"/>
  <c r="AG79" i="16" s="1"/>
  <c r="X79" i="16"/>
  <c r="W79" i="16"/>
  <c r="V79" i="16"/>
  <c r="U79" i="16"/>
  <c r="T79" i="16"/>
  <c r="E79" i="16"/>
  <c r="D79" i="16"/>
  <c r="C79" i="16"/>
  <c r="B79" i="16"/>
  <c r="A79" i="16"/>
  <c r="BW78" i="16"/>
  <c r="BI78" i="16"/>
  <c r="AU78" i="16"/>
  <c r="AF78" i="16"/>
  <c r="AE78" i="16"/>
  <c r="AD78" i="16"/>
  <c r="AC78" i="16"/>
  <c r="AB78" i="16"/>
  <c r="AA78" i="16"/>
  <c r="Z78" i="16"/>
  <c r="Y78" i="16"/>
  <c r="X78" i="16"/>
  <c r="W78" i="16"/>
  <c r="V78" i="16"/>
  <c r="U78" i="16"/>
  <c r="T78" i="16"/>
  <c r="AG78" i="16" s="1"/>
  <c r="E78" i="16"/>
  <c r="D78" i="16"/>
  <c r="C78" i="16"/>
  <c r="B78" i="16"/>
  <c r="A78" i="16"/>
  <c r="BW77" i="16"/>
  <c r="BI77" i="16"/>
  <c r="AU77" i="16"/>
  <c r="AF77" i="16"/>
  <c r="AE77" i="16"/>
  <c r="AD77" i="16"/>
  <c r="AC77" i="16"/>
  <c r="AB77" i="16"/>
  <c r="AA77" i="16"/>
  <c r="Z77" i="16"/>
  <c r="Y77" i="16"/>
  <c r="X77" i="16"/>
  <c r="W77" i="16"/>
  <c r="AG77" i="16" s="1"/>
  <c r="V77" i="16"/>
  <c r="U77" i="16"/>
  <c r="T77" i="16"/>
  <c r="E77" i="16"/>
  <c r="D77" i="16"/>
  <c r="C77" i="16"/>
  <c r="B77" i="16"/>
  <c r="A77" i="16"/>
  <c r="BW76" i="16"/>
  <c r="BI76" i="16"/>
  <c r="AU76" i="16"/>
  <c r="AF76" i="16"/>
  <c r="AE76" i="16"/>
  <c r="AD76" i="16"/>
  <c r="AC76" i="16"/>
  <c r="AB76" i="16"/>
  <c r="AA76" i="16"/>
  <c r="Z76" i="16"/>
  <c r="Y76" i="16"/>
  <c r="X76" i="16"/>
  <c r="W76" i="16"/>
  <c r="V76" i="16"/>
  <c r="U76" i="16"/>
  <c r="T76" i="16"/>
  <c r="AG76" i="16" s="1"/>
  <c r="E76" i="16"/>
  <c r="D76" i="16"/>
  <c r="C76" i="16"/>
  <c r="B76" i="16"/>
  <c r="A76" i="16"/>
  <c r="BW75" i="16"/>
  <c r="BI75" i="16"/>
  <c r="AU75" i="16"/>
  <c r="AF75" i="16"/>
  <c r="AE75" i="16"/>
  <c r="AD75" i="16"/>
  <c r="AC75" i="16"/>
  <c r="AB75" i="16"/>
  <c r="AA75" i="16"/>
  <c r="Z75" i="16"/>
  <c r="Y75" i="16"/>
  <c r="AG75" i="16" s="1"/>
  <c r="X75" i="16"/>
  <c r="W75" i="16"/>
  <c r="V75" i="16"/>
  <c r="U75" i="16"/>
  <c r="T75" i="16"/>
  <c r="E75" i="16"/>
  <c r="D75" i="16"/>
  <c r="C75" i="16"/>
  <c r="B75" i="16"/>
  <c r="A75" i="16"/>
  <c r="BW74" i="16"/>
  <c r="BI74" i="16"/>
  <c r="AU74" i="16"/>
  <c r="AF74" i="16"/>
  <c r="AE74" i="16"/>
  <c r="AD74" i="16"/>
  <c r="AC74" i="16"/>
  <c r="AB74" i="16"/>
  <c r="AA74" i="16"/>
  <c r="Z74" i="16"/>
  <c r="Y74" i="16"/>
  <c r="X74" i="16"/>
  <c r="W74" i="16"/>
  <c r="V74" i="16"/>
  <c r="U74" i="16"/>
  <c r="T74" i="16"/>
  <c r="AG74" i="16" s="1"/>
  <c r="E74" i="16"/>
  <c r="D74" i="16"/>
  <c r="C74" i="16"/>
  <c r="B74" i="16"/>
  <c r="A74" i="16"/>
  <c r="BW73" i="16"/>
  <c r="BI73" i="16"/>
  <c r="AU73" i="16"/>
  <c r="AF73" i="16"/>
  <c r="AE73" i="16"/>
  <c r="AD73" i="16"/>
  <c r="AC73" i="16"/>
  <c r="AB73" i="16"/>
  <c r="AA73" i="16"/>
  <c r="Z73" i="16"/>
  <c r="Y73" i="16"/>
  <c r="X73" i="16"/>
  <c r="W73" i="16"/>
  <c r="AG73" i="16" s="1"/>
  <c r="V73" i="16"/>
  <c r="U73" i="16"/>
  <c r="T73" i="16"/>
  <c r="E73" i="16"/>
  <c r="D73" i="16"/>
  <c r="C73" i="16"/>
  <c r="B73" i="16"/>
  <c r="A73" i="16"/>
  <c r="BW72" i="16"/>
  <c r="BI72" i="16"/>
  <c r="AU72" i="16"/>
  <c r="AF72" i="16"/>
  <c r="AE72" i="16"/>
  <c r="AD72" i="16"/>
  <c r="AC72" i="16"/>
  <c r="AB72" i="16"/>
  <c r="AA72" i="16"/>
  <c r="Z72" i="16"/>
  <c r="Y72" i="16"/>
  <c r="X72" i="16"/>
  <c r="W72" i="16"/>
  <c r="V72" i="16"/>
  <c r="U72" i="16"/>
  <c r="T72" i="16"/>
  <c r="AG72" i="16" s="1"/>
  <c r="E72" i="16"/>
  <c r="D72" i="16"/>
  <c r="C72" i="16"/>
  <c r="B72" i="16"/>
  <c r="A72" i="16"/>
  <c r="BW71" i="16"/>
  <c r="BI71" i="16"/>
  <c r="AU71" i="16"/>
  <c r="AF71" i="16"/>
  <c r="AE71" i="16"/>
  <c r="AD71" i="16"/>
  <c r="AC71" i="16"/>
  <c r="AB71" i="16"/>
  <c r="AA71" i="16"/>
  <c r="Z71" i="16"/>
  <c r="Y71" i="16"/>
  <c r="AG71" i="16" s="1"/>
  <c r="X71" i="16"/>
  <c r="W71" i="16"/>
  <c r="V71" i="16"/>
  <c r="U71" i="16"/>
  <c r="T71" i="16"/>
  <c r="E71" i="16"/>
  <c r="D71" i="16"/>
  <c r="C71" i="16"/>
  <c r="B71" i="16"/>
  <c r="A71" i="16"/>
  <c r="BW70" i="16"/>
  <c r="BI70" i="16"/>
  <c r="AU70" i="16"/>
  <c r="AF70" i="16"/>
  <c r="AE70" i="16"/>
  <c r="AD70" i="16"/>
  <c r="AC70" i="16"/>
  <c r="AB70" i="16"/>
  <c r="AA70" i="16"/>
  <c r="Z70" i="16"/>
  <c r="Y70" i="16"/>
  <c r="X70" i="16"/>
  <c r="W70" i="16"/>
  <c r="V70" i="16"/>
  <c r="U70" i="16"/>
  <c r="T70" i="16"/>
  <c r="AG70" i="16" s="1"/>
  <c r="E70" i="16"/>
  <c r="D70" i="16"/>
  <c r="C70" i="16"/>
  <c r="B70" i="16"/>
  <c r="A70" i="16"/>
  <c r="BW69" i="16"/>
  <c r="BI69" i="16"/>
  <c r="AU69" i="16"/>
  <c r="AF69" i="16"/>
  <c r="AE69" i="16"/>
  <c r="AD69" i="16"/>
  <c r="AC69" i="16"/>
  <c r="AB69" i="16"/>
  <c r="AA69" i="16"/>
  <c r="Z69" i="16"/>
  <c r="Y69" i="16"/>
  <c r="X69" i="16"/>
  <c r="W69" i="16"/>
  <c r="AG69" i="16" s="1"/>
  <c r="V69" i="16"/>
  <c r="U69" i="16"/>
  <c r="T69" i="16"/>
  <c r="E69" i="16"/>
  <c r="D69" i="16"/>
  <c r="C69" i="16"/>
  <c r="B69" i="16"/>
  <c r="A69" i="16"/>
  <c r="BW68" i="16"/>
  <c r="BI68" i="16"/>
  <c r="AU68" i="16"/>
  <c r="AF68" i="16"/>
  <c r="AE68" i="16"/>
  <c r="AD68" i="16"/>
  <c r="AC68" i="16"/>
  <c r="AB68" i="16"/>
  <c r="AA68" i="16"/>
  <c r="Z68" i="16"/>
  <c r="Y68" i="16"/>
  <c r="X68" i="16"/>
  <c r="W68" i="16"/>
  <c r="V68" i="16"/>
  <c r="U68" i="16"/>
  <c r="T68" i="16"/>
  <c r="AG68" i="16" s="1"/>
  <c r="E68" i="16"/>
  <c r="D68" i="16"/>
  <c r="C68" i="16"/>
  <c r="B68" i="16"/>
  <c r="A68" i="16"/>
  <c r="BW67" i="16"/>
  <c r="BI67" i="16"/>
  <c r="AU67" i="16"/>
  <c r="AF67" i="16"/>
  <c r="AE67" i="16"/>
  <c r="AD67" i="16"/>
  <c r="AC67" i="16"/>
  <c r="AB67" i="16"/>
  <c r="AA67" i="16"/>
  <c r="Z67" i="16"/>
  <c r="Y67" i="16"/>
  <c r="X67" i="16"/>
  <c r="W67" i="16"/>
  <c r="AG67" i="16" s="1"/>
  <c r="V67" i="16"/>
  <c r="U67" i="16"/>
  <c r="T67" i="16"/>
  <c r="E67" i="16"/>
  <c r="D67" i="16"/>
  <c r="C67" i="16"/>
  <c r="B67" i="16"/>
  <c r="A67" i="16"/>
  <c r="BW66" i="16"/>
  <c r="BI66" i="16"/>
  <c r="AU66" i="16"/>
  <c r="AF66" i="16"/>
  <c r="AE66" i="16"/>
  <c r="AD66" i="16"/>
  <c r="AC66" i="16"/>
  <c r="AB66" i="16"/>
  <c r="AA66" i="16"/>
  <c r="Z66" i="16"/>
  <c r="Y66" i="16"/>
  <c r="X66" i="16"/>
  <c r="W66" i="16"/>
  <c r="V66" i="16"/>
  <c r="U66" i="16"/>
  <c r="T66" i="16"/>
  <c r="E66" i="16"/>
  <c r="D66" i="16"/>
  <c r="C66" i="16"/>
  <c r="B66" i="16"/>
  <c r="A66" i="16"/>
  <c r="BW65" i="16"/>
  <c r="BI65" i="16"/>
  <c r="AU65" i="16"/>
  <c r="AF65" i="16"/>
  <c r="AE65" i="16"/>
  <c r="AD65" i="16"/>
  <c r="AC65" i="16"/>
  <c r="AB65" i="16"/>
  <c r="AA65" i="16"/>
  <c r="Z65" i="16"/>
  <c r="Y65" i="16"/>
  <c r="X65" i="16"/>
  <c r="W65" i="16"/>
  <c r="AG65" i="16" s="1"/>
  <c r="V65" i="16"/>
  <c r="U65" i="16"/>
  <c r="T65" i="16"/>
  <c r="E65" i="16"/>
  <c r="D65" i="16"/>
  <c r="C65" i="16"/>
  <c r="B65" i="16"/>
  <c r="A65" i="16"/>
  <c r="BW64" i="16"/>
  <c r="BI64" i="16"/>
  <c r="AU64" i="16"/>
  <c r="AF64" i="16"/>
  <c r="AE64" i="16"/>
  <c r="AD64" i="16"/>
  <c r="AC64" i="16"/>
  <c r="AB64" i="16"/>
  <c r="AA64" i="16"/>
  <c r="Z64" i="16"/>
  <c r="Y64" i="16"/>
  <c r="X64" i="16"/>
  <c r="W64" i="16"/>
  <c r="V64" i="16"/>
  <c r="U64" i="16"/>
  <c r="T64" i="16"/>
  <c r="AG64" i="16" s="1"/>
  <c r="E64" i="16"/>
  <c r="D64" i="16"/>
  <c r="C64" i="16"/>
  <c r="B64" i="16"/>
  <c r="A64" i="16"/>
  <c r="BW63" i="16"/>
  <c r="BI63" i="16"/>
  <c r="AU63" i="16"/>
  <c r="AF63" i="16"/>
  <c r="AE63" i="16"/>
  <c r="AD63" i="16"/>
  <c r="AC63" i="16"/>
  <c r="AB63" i="16"/>
  <c r="AA63" i="16"/>
  <c r="Z63" i="16"/>
  <c r="Y63" i="16"/>
  <c r="X63" i="16"/>
  <c r="AG63" i="16" s="1"/>
  <c r="W63" i="16"/>
  <c r="V63" i="16"/>
  <c r="U63" i="16"/>
  <c r="T63" i="16"/>
  <c r="E63" i="16"/>
  <c r="D63" i="16"/>
  <c r="C63" i="16"/>
  <c r="B63" i="16"/>
  <c r="A63" i="16"/>
  <c r="BW62" i="16"/>
  <c r="BI62" i="16"/>
  <c r="AU62" i="16"/>
  <c r="AF62" i="16"/>
  <c r="AE62" i="16"/>
  <c r="AD62" i="16"/>
  <c r="AC62" i="16"/>
  <c r="AB62" i="16"/>
  <c r="AA62" i="16"/>
  <c r="Z62" i="16"/>
  <c r="Y62" i="16"/>
  <c r="X62" i="16"/>
  <c r="W62" i="16"/>
  <c r="V62" i="16"/>
  <c r="U62" i="16"/>
  <c r="T62" i="16"/>
  <c r="E62" i="16"/>
  <c r="D62" i="16"/>
  <c r="C62" i="16"/>
  <c r="B62" i="16"/>
  <c r="A62" i="16"/>
  <c r="BW61" i="16"/>
  <c r="BI61" i="16"/>
  <c r="AU61" i="16"/>
  <c r="AF61" i="16"/>
  <c r="AE61" i="16"/>
  <c r="AD61" i="16"/>
  <c r="AC61" i="16"/>
  <c r="AB61" i="16"/>
  <c r="AA61" i="16"/>
  <c r="Z61" i="16"/>
  <c r="Y61" i="16"/>
  <c r="AG61" i="16" s="1"/>
  <c r="X61" i="16"/>
  <c r="W61" i="16"/>
  <c r="V61" i="16"/>
  <c r="U61" i="16"/>
  <c r="T61" i="16"/>
  <c r="E61" i="16"/>
  <c r="D61" i="16"/>
  <c r="C61" i="16"/>
  <c r="B61" i="16"/>
  <c r="A61" i="16"/>
  <c r="BW60" i="16"/>
  <c r="BI60" i="16"/>
  <c r="AU60" i="16"/>
  <c r="AF60" i="16"/>
  <c r="AE60" i="16"/>
  <c r="AD60" i="16"/>
  <c r="AC60" i="16"/>
  <c r="AB60" i="16"/>
  <c r="AA60" i="16"/>
  <c r="Z60" i="16"/>
  <c r="Y60" i="16"/>
  <c r="X60" i="16"/>
  <c r="W60" i="16"/>
  <c r="V60" i="16"/>
  <c r="U60" i="16"/>
  <c r="T60" i="16"/>
  <c r="AG60" i="16" s="1"/>
  <c r="E60" i="16"/>
  <c r="D60" i="16"/>
  <c r="C60" i="16"/>
  <c r="B60" i="16"/>
  <c r="A60" i="16"/>
  <c r="BW59" i="16"/>
  <c r="BI59" i="16"/>
  <c r="AU59" i="16"/>
  <c r="AF59" i="16"/>
  <c r="AE59" i="16"/>
  <c r="AD59" i="16"/>
  <c r="AC59" i="16"/>
  <c r="AB59" i="16"/>
  <c r="AA59" i="16"/>
  <c r="Z59" i="16"/>
  <c r="Y59" i="16"/>
  <c r="X59" i="16"/>
  <c r="W59" i="16"/>
  <c r="AG59" i="16" s="1"/>
  <c r="V59" i="16"/>
  <c r="U59" i="16"/>
  <c r="T59" i="16"/>
  <c r="E59" i="16"/>
  <c r="D59" i="16"/>
  <c r="C59" i="16"/>
  <c r="B59" i="16"/>
  <c r="A59" i="16"/>
  <c r="BW58" i="16"/>
  <c r="BI58" i="16"/>
  <c r="AU58" i="16"/>
  <c r="AF58" i="16"/>
  <c r="AE58" i="16"/>
  <c r="AD58" i="16"/>
  <c r="AC58" i="16"/>
  <c r="AB58" i="16"/>
  <c r="AA58" i="16"/>
  <c r="Z58" i="16"/>
  <c r="Y58" i="16"/>
  <c r="X58" i="16"/>
  <c r="W58" i="16"/>
  <c r="V58" i="16"/>
  <c r="U58" i="16"/>
  <c r="T58" i="16"/>
  <c r="E58" i="16"/>
  <c r="D58" i="16"/>
  <c r="C58" i="16"/>
  <c r="B58" i="16"/>
  <c r="A58" i="16"/>
  <c r="BW57" i="16"/>
  <c r="BI57" i="16"/>
  <c r="AU57" i="16"/>
  <c r="AF57" i="16"/>
  <c r="AE57" i="16"/>
  <c r="AD57" i="16"/>
  <c r="AC57" i="16"/>
  <c r="AB57" i="16"/>
  <c r="AA57" i="16"/>
  <c r="Z57" i="16"/>
  <c r="Y57" i="16"/>
  <c r="X57" i="16"/>
  <c r="W57" i="16"/>
  <c r="AG57" i="16" s="1"/>
  <c r="V57" i="16"/>
  <c r="U57" i="16"/>
  <c r="T57" i="16"/>
  <c r="E57" i="16"/>
  <c r="D57" i="16"/>
  <c r="C57" i="16"/>
  <c r="B57" i="16"/>
  <c r="A57" i="16"/>
  <c r="BW56" i="16"/>
  <c r="BI56" i="16"/>
  <c r="AU56" i="16"/>
  <c r="AF56" i="16"/>
  <c r="AE56" i="16"/>
  <c r="AD56" i="16"/>
  <c r="AC56" i="16"/>
  <c r="AB56" i="16"/>
  <c r="AA56" i="16"/>
  <c r="Z56" i="16"/>
  <c r="Y56" i="16"/>
  <c r="X56" i="16"/>
  <c r="W56" i="16"/>
  <c r="V56" i="16"/>
  <c r="U56" i="16"/>
  <c r="T56" i="16"/>
  <c r="AG56" i="16" s="1"/>
  <c r="E56" i="16"/>
  <c r="D56" i="16"/>
  <c r="C56" i="16"/>
  <c r="B56" i="16"/>
  <c r="A56" i="16"/>
  <c r="BW55" i="16"/>
  <c r="BI55" i="16"/>
  <c r="AU55" i="16"/>
  <c r="AF55" i="16"/>
  <c r="AE55" i="16"/>
  <c r="AD55" i="16"/>
  <c r="AC55" i="16"/>
  <c r="AB55" i="16"/>
  <c r="AA55" i="16"/>
  <c r="Z55" i="16"/>
  <c r="Y55" i="16"/>
  <c r="X55" i="16"/>
  <c r="AG55" i="16" s="1"/>
  <c r="W55" i="16"/>
  <c r="V55" i="16"/>
  <c r="U55" i="16"/>
  <c r="T55" i="16"/>
  <c r="E55" i="16"/>
  <c r="D55" i="16"/>
  <c r="C55" i="16"/>
  <c r="B55" i="16"/>
  <c r="A55" i="16"/>
  <c r="BW54" i="16"/>
  <c r="BI54" i="16"/>
  <c r="AU54" i="16"/>
  <c r="AF54" i="16"/>
  <c r="AE54" i="16"/>
  <c r="AD54" i="16"/>
  <c r="AC54" i="16"/>
  <c r="AB54" i="16"/>
  <c r="AA54" i="16"/>
  <c r="Z54" i="16"/>
  <c r="Y54" i="16"/>
  <c r="X54" i="16"/>
  <c r="W54" i="16"/>
  <c r="V54" i="16"/>
  <c r="U54" i="16"/>
  <c r="T54" i="16"/>
  <c r="E54" i="16"/>
  <c r="D54" i="16"/>
  <c r="C54" i="16"/>
  <c r="B54" i="16"/>
  <c r="A54" i="16"/>
  <c r="BW53" i="16"/>
  <c r="BI53" i="16"/>
  <c r="AU53" i="16"/>
  <c r="AF53" i="16"/>
  <c r="AE53" i="16"/>
  <c r="AD53" i="16"/>
  <c r="AC53" i="16"/>
  <c r="AB53" i="16"/>
  <c r="AA53" i="16"/>
  <c r="Z53" i="16"/>
  <c r="Y53" i="16"/>
  <c r="AG53" i="16" s="1"/>
  <c r="X53" i="16"/>
  <c r="W53" i="16"/>
  <c r="V53" i="16"/>
  <c r="U53" i="16"/>
  <c r="T53" i="16"/>
  <c r="E53" i="16"/>
  <c r="D53" i="16"/>
  <c r="C53" i="16"/>
  <c r="B53" i="16"/>
  <c r="A53" i="16"/>
  <c r="BW52" i="16"/>
  <c r="BI52" i="16"/>
  <c r="AU52" i="16"/>
  <c r="AF52" i="16"/>
  <c r="AE52" i="16"/>
  <c r="AD52" i="16"/>
  <c r="AC52" i="16"/>
  <c r="AB52" i="16"/>
  <c r="AA52" i="16"/>
  <c r="Z52" i="16"/>
  <c r="Y52" i="16"/>
  <c r="X52" i="16"/>
  <c r="W52" i="16"/>
  <c r="V52" i="16"/>
  <c r="U52" i="16"/>
  <c r="T52" i="16"/>
  <c r="AG52" i="16" s="1"/>
  <c r="E52" i="16"/>
  <c r="D52" i="16"/>
  <c r="C52" i="16"/>
  <c r="B52" i="16"/>
  <c r="A52" i="16"/>
  <c r="BW51" i="16"/>
  <c r="BI51" i="16"/>
  <c r="AU51" i="16"/>
  <c r="AF51" i="16"/>
  <c r="AE51" i="16"/>
  <c r="AD51" i="16"/>
  <c r="AC51" i="16"/>
  <c r="AB51" i="16"/>
  <c r="AA51" i="16"/>
  <c r="Z51" i="16"/>
  <c r="Y51" i="16"/>
  <c r="X51" i="16"/>
  <c r="W51" i="16"/>
  <c r="AG51" i="16" s="1"/>
  <c r="V51" i="16"/>
  <c r="U51" i="16"/>
  <c r="T51" i="16"/>
  <c r="E51" i="16"/>
  <c r="D51" i="16"/>
  <c r="C51" i="16"/>
  <c r="B51" i="16"/>
  <c r="A51" i="16"/>
  <c r="BW50" i="16"/>
  <c r="BI50" i="16"/>
  <c r="AU50" i="16"/>
  <c r="AF50" i="16"/>
  <c r="AE50" i="16"/>
  <c r="AD50" i="16"/>
  <c r="AC50" i="16"/>
  <c r="AB50" i="16"/>
  <c r="AA50" i="16"/>
  <c r="Z50" i="16"/>
  <c r="Y50" i="16"/>
  <c r="X50" i="16"/>
  <c r="W50" i="16"/>
  <c r="V50" i="16"/>
  <c r="U50" i="16"/>
  <c r="T50" i="16"/>
  <c r="E50" i="16"/>
  <c r="D50" i="16"/>
  <c r="C50" i="16"/>
  <c r="B50" i="16"/>
  <c r="A50" i="16"/>
  <c r="BW49" i="16"/>
  <c r="BI49" i="16"/>
  <c r="AU49" i="16"/>
  <c r="AF49" i="16"/>
  <c r="AE49" i="16"/>
  <c r="AD49" i="16"/>
  <c r="AC49" i="16"/>
  <c r="AB49" i="16"/>
  <c r="AA49" i="16"/>
  <c r="Z49" i="16"/>
  <c r="Y49" i="16"/>
  <c r="X49" i="16"/>
  <c r="W49" i="16"/>
  <c r="AG49" i="16" s="1"/>
  <c r="V49" i="16"/>
  <c r="U49" i="16"/>
  <c r="T49" i="16"/>
  <c r="E49" i="16"/>
  <c r="D49" i="16"/>
  <c r="C49" i="16"/>
  <c r="B49" i="16"/>
  <c r="A49" i="16"/>
  <c r="BW48" i="16"/>
  <c r="BI48" i="16"/>
  <c r="AU48" i="16"/>
  <c r="AF48" i="16"/>
  <c r="AE48" i="16"/>
  <c r="AD48" i="16"/>
  <c r="AC48" i="16"/>
  <c r="AB48" i="16"/>
  <c r="AA48" i="16"/>
  <c r="Z48" i="16"/>
  <c r="Y48" i="16"/>
  <c r="AG48" i="16" s="1"/>
  <c r="X48" i="16"/>
  <c r="W48" i="16"/>
  <c r="V48" i="16"/>
  <c r="U48" i="16"/>
  <c r="T48" i="16"/>
  <c r="E48" i="16"/>
  <c r="D48" i="16"/>
  <c r="C48" i="16"/>
  <c r="B48" i="16"/>
  <c r="A48" i="16"/>
  <c r="BW47" i="16"/>
  <c r="BI47" i="16"/>
  <c r="AU47" i="16"/>
  <c r="AF47" i="16"/>
  <c r="AE47" i="16"/>
  <c r="AD47" i="16"/>
  <c r="AC47" i="16"/>
  <c r="AB47" i="16"/>
  <c r="AA47" i="16"/>
  <c r="Z47" i="16"/>
  <c r="Y47" i="16"/>
  <c r="X47" i="16"/>
  <c r="W47" i="16"/>
  <c r="V47" i="16"/>
  <c r="U47" i="16"/>
  <c r="AG47" i="16" s="1"/>
  <c r="T47" i="16"/>
  <c r="E47" i="16"/>
  <c r="D47" i="16"/>
  <c r="C47" i="16"/>
  <c r="B47" i="16"/>
  <c r="A47" i="16"/>
  <c r="BW46" i="16"/>
  <c r="BI46" i="16"/>
  <c r="AU46" i="16"/>
  <c r="AF46" i="16"/>
  <c r="AE46" i="16"/>
  <c r="AD46" i="16"/>
  <c r="AC46" i="16"/>
  <c r="AB46" i="16"/>
  <c r="AA46" i="16"/>
  <c r="Z46" i="16"/>
  <c r="Y46" i="16"/>
  <c r="X46" i="16"/>
  <c r="W46" i="16"/>
  <c r="V46" i="16"/>
  <c r="U46" i="16"/>
  <c r="AG46" i="16" s="1"/>
  <c r="T46" i="16"/>
  <c r="E46" i="16"/>
  <c r="D46" i="16"/>
  <c r="C46" i="16"/>
  <c r="B46" i="16"/>
  <c r="A46" i="16"/>
  <c r="BW45" i="16"/>
  <c r="BI45" i="16"/>
  <c r="AU45" i="16"/>
  <c r="AF45" i="16"/>
  <c r="AE45" i="16"/>
  <c r="AD45" i="16"/>
  <c r="AC45" i="16"/>
  <c r="AB45" i="16"/>
  <c r="AA45" i="16"/>
  <c r="Z45" i="16"/>
  <c r="Y45" i="16"/>
  <c r="X45" i="16"/>
  <c r="W45" i="16"/>
  <c r="V45" i="16"/>
  <c r="U45" i="16"/>
  <c r="AG45" i="16" s="1"/>
  <c r="T45" i="16"/>
  <c r="E45" i="16"/>
  <c r="D45" i="16"/>
  <c r="C45" i="16"/>
  <c r="B45" i="16"/>
  <c r="A45" i="16"/>
  <c r="BW44" i="16"/>
  <c r="BI44" i="16"/>
  <c r="AU44" i="16"/>
  <c r="AF44" i="16"/>
  <c r="AE44" i="16"/>
  <c r="AD44" i="16"/>
  <c r="AC44" i="16"/>
  <c r="AB44" i="16"/>
  <c r="AA44" i="16"/>
  <c r="Z44" i="16"/>
  <c r="Y44" i="16"/>
  <c r="X44" i="16"/>
  <c r="W44" i="16"/>
  <c r="V44" i="16"/>
  <c r="U44" i="16"/>
  <c r="AG44" i="16" s="1"/>
  <c r="T44" i="16"/>
  <c r="E44" i="16"/>
  <c r="D44" i="16"/>
  <c r="C44" i="16"/>
  <c r="B44" i="16"/>
  <c r="A44" i="16"/>
  <c r="BW43" i="16"/>
  <c r="BI43" i="16"/>
  <c r="AU43" i="16"/>
  <c r="AF43" i="16"/>
  <c r="AE43" i="16"/>
  <c r="AD43" i="16"/>
  <c r="AC43" i="16"/>
  <c r="AB43" i="16"/>
  <c r="AA43" i="16"/>
  <c r="Z43" i="16"/>
  <c r="Y43" i="16"/>
  <c r="X43" i="16"/>
  <c r="W43" i="16"/>
  <c r="V43" i="16"/>
  <c r="U43" i="16"/>
  <c r="AG43" i="16" s="1"/>
  <c r="T43" i="16"/>
  <c r="E43" i="16"/>
  <c r="D43" i="16"/>
  <c r="C43" i="16"/>
  <c r="B43" i="16"/>
  <c r="A43" i="16"/>
  <c r="BW42" i="16"/>
  <c r="BI42" i="16"/>
  <c r="AU42" i="16"/>
  <c r="AF42" i="16"/>
  <c r="AE42" i="16"/>
  <c r="AD42" i="16"/>
  <c r="AC42" i="16"/>
  <c r="AB42" i="16"/>
  <c r="AA42" i="16"/>
  <c r="Z42" i="16"/>
  <c r="Y42" i="16"/>
  <c r="X42" i="16"/>
  <c r="W42" i="16"/>
  <c r="V42" i="16"/>
  <c r="U42" i="16"/>
  <c r="AG42" i="16" s="1"/>
  <c r="T42" i="16"/>
  <c r="E42" i="16"/>
  <c r="D42" i="16"/>
  <c r="C42" i="16"/>
  <c r="B42" i="16"/>
  <c r="A42" i="16"/>
  <c r="BW41" i="16"/>
  <c r="BI41" i="16"/>
  <c r="AU41" i="16"/>
  <c r="AF41" i="16"/>
  <c r="AE41" i="16"/>
  <c r="AD41" i="16"/>
  <c r="AC41" i="16"/>
  <c r="AB41" i="16"/>
  <c r="AA41" i="16"/>
  <c r="Z41" i="16"/>
  <c r="Y41" i="16"/>
  <c r="X41" i="16"/>
  <c r="W41" i="16"/>
  <c r="V41" i="16"/>
  <c r="U41" i="16"/>
  <c r="AG41" i="16" s="1"/>
  <c r="T41" i="16"/>
  <c r="E41" i="16"/>
  <c r="D41" i="16"/>
  <c r="C41" i="16"/>
  <c r="B41" i="16"/>
  <c r="A41" i="16"/>
  <c r="BW40" i="16"/>
  <c r="BI40" i="16"/>
  <c r="AU40" i="16"/>
  <c r="AF40" i="16"/>
  <c r="AE40" i="16"/>
  <c r="AD40" i="16"/>
  <c r="AC40" i="16"/>
  <c r="AB40" i="16"/>
  <c r="AA40" i="16"/>
  <c r="Z40" i="16"/>
  <c r="Y40" i="16"/>
  <c r="X40" i="16"/>
  <c r="W40" i="16"/>
  <c r="V40" i="16"/>
  <c r="U40" i="16"/>
  <c r="AG40" i="16" s="1"/>
  <c r="T40" i="16"/>
  <c r="E40" i="16"/>
  <c r="D40" i="16"/>
  <c r="C40" i="16"/>
  <c r="B40" i="16"/>
  <c r="A40" i="16"/>
  <c r="BW39" i="16"/>
  <c r="BI39" i="16"/>
  <c r="AU39" i="16"/>
  <c r="AF39" i="16"/>
  <c r="AE39" i="16"/>
  <c r="AD39" i="16"/>
  <c r="AC39" i="16"/>
  <c r="AB39" i="16"/>
  <c r="AA39" i="16"/>
  <c r="Z39" i="16"/>
  <c r="Y39" i="16"/>
  <c r="AG39" i="16" s="1"/>
  <c r="X39" i="16"/>
  <c r="W39" i="16"/>
  <c r="V39" i="16"/>
  <c r="U39" i="16"/>
  <c r="T39" i="16"/>
  <c r="E39" i="16"/>
  <c r="D39" i="16"/>
  <c r="C39" i="16"/>
  <c r="B39" i="16"/>
  <c r="A39" i="16"/>
  <c r="BW38" i="16"/>
  <c r="BI38" i="16"/>
  <c r="AU38" i="16"/>
  <c r="AF38" i="16"/>
  <c r="AE38" i="16"/>
  <c r="AD38" i="16"/>
  <c r="AC38" i="16"/>
  <c r="AB38" i="16"/>
  <c r="AA38" i="16"/>
  <c r="Z38" i="16"/>
  <c r="Y38" i="16"/>
  <c r="X38" i="16"/>
  <c r="W38" i="16"/>
  <c r="V38" i="16"/>
  <c r="U38" i="16"/>
  <c r="AG38" i="16" s="1"/>
  <c r="T38" i="16"/>
  <c r="E38" i="16"/>
  <c r="D38" i="16"/>
  <c r="C38" i="16"/>
  <c r="B38" i="16"/>
  <c r="A38" i="16"/>
  <c r="BW37" i="16"/>
  <c r="BI37" i="16"/>
  <c r="AU37" i="16"/>
  <c r="AF37" i="16"/>
  <c r="AE37" i="16"/>
  <c r="AD37" i="16"/>
  <c r="AC37" i="16"/>
  <c r="AB37" i="16"/>
  <c r="AA37" i="16"/>
  <c r="Z37" i="16"/>
  <c r="Y37" i="16"/>
  <c r="AG37" i="16" s="1"/>
  <c r="X37" i="16"/>
  <c r="W37" i="16"/>
  <c r="V37" i="16"/>
  <c r="U37" i="16"/>
  <c r="T37" i="16"/>
  <c r="E37" i="16"/>
  <c r="D37" i="16"/>
  <c r="C37" i="16"/>
  <c r="B37" i="16"/>
  <c r="A37" i="16"/>
  <c r="BW36" i="16"/>
  <c r="BI36" i="16"/>
  <c r="AU36" i="16"/>
  <c r="AF36" i="16"/>
  <c r="AE36" i="16"/>
  <c r="AD36" i="16"/>
  <c r="AC36" i="16"/>
  <c r="AB36" i="16"/>
  <c r="AA36" i="16"/>
  <c r="Z36" i="16"/>
  <c r="Y36" i="16"/>
  <c r="X36" i="16"/>
  <c r="W36" i="16"/>
  <c r="V36" i="16"/>
  <c r="U36" i="16"/>
  <c r="AG36" i="16" s="1"/>
  <c r="T36" i="16"/>
  <c r="E36" i="16"/>
  <c r="D36" i="16"/>
  <c r="C36" i="16"/>
  <c r="B36" i="16"/>
  <c r="A36" i="16"/>
  <c r="BW35" i="16"/>
  <c r="BI35" i="16"/>
  <c r="AU35" i="16"/>
  <c r="AF35" i="16"/>
  <c r="AE35" i="16"/>
  <c r="AD35" i="16"/>
  <c r="AC35" i="16"/>
  <c r="AB35" i="16"/>
  <c r="AA35" i="16"/>
  <c r="Z35" i="16"/>
  <c r="Y35" i="16"/>
  <c r="AG35" i="16" s="1"/>
  <c r="X35" i="16"/>
  <c r="W35" i="16"/>
  <c r="V35" i="16"/>
  <c r="U35" i="16"/>
  <c r="T35" i="16"/>
  <c r="E35" i="16"/>
  <c r="D35" i="16"/>
  <c r="C35" i="16"/>
  <c r="B35" i="16"/>
  <c r="A35" i="16"/>
  <c r="BW34" i="16"/>
  <c r="BI34" i="16"/>
  <c r="AU34" i="16"/>
  <c r="AF34" i="16"/>
  <c r="AE34" i="16"/>
  <c r="AD34" i="16"/>
  <c r="AC34" i="16"/>
  <c r="AB34" i="16"/>
  <c r="AA34" i="16"/>
  <c r="Z34" i="16"/>
  <c r="Y34" i="16"/>
  <c r="X34" i="16"/>
  <c r="W34" i="16"/>
  <c r="V34" i="16"/>
  <c r="U34" i="16"/>
  <c r="AG34" i="16" s="1"/>
  <c r="T34" i="16"/>
  <c r="E34" i="16"/>
  <c r="D34" i="16"/>
  <c r="C34" i="16"/>
  <c r="B34" i="16"/>
  <c r="A34" i="16"/>
  <c r="BW33" i="16"/>
  <c r="BI33" i="16"/>
  <c r="AU33" i="16"/>
  <c r="AF33" i="16"/>
  <c r="AE33" i="16"/>
  <c r="AD33" i="16"/>
  <c r="AC33" i="16"/>
  <c r="AB33" i="16"/>
  <c r="AA33" i="16"/>
  <c r="Z33" i="16"/>
  <c r="Y33" i="16"/>
  <c r="AG33" i="16" s="1"/>
  <c r="X33" i="16"/>
  <c r="W33" i="16"/>
  <c r="V33" i="16"/>
  <c r="U33" i="16"/>
  <c r="T33" i="16"/>
  <c r="E33" i="16"/>
  <c r="D33" i="16"/>
  <c r="C33" i="16"/>
  <c r="B33" i="16"/>
  <c r="A33" i="16"/>
  <c r="BW32" i="16"/>
  <c r="BI32" i="16"/>
  <c r="AU32" i="16"/>
  <c r="AF32" i="16"/>
  <c r="AE32" i="16"/>
  <c r="AD32" i="16"/>
  <c r="AC32" i="16"/>
  <c r="AB32" i="16"/>
  <c r="AA32" i="16"/>
  <c r="Z32" i="16"/>
  <c r="Y32" i="16"/>
  <c r="X32" i="16"/>
  <c r="W32" i="16"/>
  <c r="V32" i="16"/>
  <c r="U32" i="16"/>
  <c r="AG32" i="16" s="1"/>
  <c r="T32" i="16"/>
  <c r="E32" i="16"/>
  <c r="D32" i="16"/>
  <c r="C32" i="16"/>
  <c r="B32" i="16"/>
  <c r="A32" i="16"/>
  <c r="BW31" i="16"/>
  <c r="BI31" i="16"/>
  <c r="AU31" i="16"/>
  <c r="AF31" i="16"/>
  <c r="AE31" i="16"/>
  <c r="AD31" i="16"/>
  <c r="AC31" i="16"/>
  <c r="AB31" i="16"/>
  <c r="AA31" i="16"/>
  <c r="Z31" i="16"/>
  <c r="Y31" i="16"/>
  <c r="AG31" i="16" s="1"/>
  <c r="X31" i="16"/>
  <c r="W31" i="16"/>
  <c r="V31" i="16"/>
  <c r="U31" i="16"/>
  <c r="T31" i="16"/>
  <c r="E31" i="16"/>
  <c r="D31" i="16"/>
  <c r="C31" i="16"/>
  <c r="B31" i="16"/>
  <c r="A31" i="16"/>
  <c r="BW30" i="16"/>
  <c r="BI30" i="16"/>
  <c r="AU30" i="16"/>
  <c r="AF30" i="16"/>
  <c r="AE30" i="16"/>
  <c r="AD30" i="16"/>
  <c r="AC30" i="16"/>
  <c r="AB30" i="16"/>
  <c r="AA30" i="16"/>
  <c r="Z30" i="16"/>
  <c r="Y30" i="16"/>
  <c r="X30" i="16"/>
  <c r="W30" i="16"/>
  <c r="V30" i="16"/>
  <c r="U30" i="16"/>
  <c r="AG30" i="16" s="1"/>
  <c r="T30" i="16"/>
  <c r="E30" i="16"/>
  <c r="D30" i="16"/>
  <c r="C30" i="16"/>
  <c r="B30" i="16"/>
  <c r="A30" i="16"/>
  <c r="BW29" i="16"/>
  <c r="BI29" i="16"/>
  <c r="AU29" i="16"/>
  <c r="AF29" i="16"/>
  <c r="AE29" i="16"/>
  <c r="AD29" i="16"/>
  <c r="AC29" i="16"/>
  <c r="AB29" i="16"/>
  <c r="AA29" i="16"/>
  <c r="Z29" i="16"/>
  <c r="Y29" i="16"/>
  <c r="AG29" i="16" s="1"/>
  <c r="X29" i="16"/>
  <c r="W29" i="16"/>
  <c r="V29" i="16"/>
  <c r="U29" i="16"/>
  <c r="T29" i="16"/>
  <c r="E29" i="16"/>
  <c r="D29" i="16"/>
  <c r="C29" i="16"/>
  <c r="B29" i="16"/>
  <c r="A29" i="16"/>
  <c r="BW28" i="16"/>
  <c r="BI28" i="16"/>
  <c r="AU28" i="16"/>
  <c r="AF28" i="16"/>
  <c r="AE28" i="16"/>
  <c r="AD28" i="16"/>
  <c r="AC28" i="16"/>
  <c r="AB28" i="16"/>
  <c r="AA28" i="16"/>
  <c r="Z28" i="16"/>
  <c r="Y28" i="16"/>
  <c r="X28" i="16"/>
  <c r="W28" i="16"/>
  <c r="V28" i="16"/>
  <c r="U28" i="16"/>
  <c r="AG28" i="16" s="1"/>
  <c r="T28" i="16"/>
  <c r="E28" i="16"/>
  <c r="D28" i="16"/>
  <c r="C28" i="16"/>
  <c r="B28" i="16"/>
  <c r="A28" i="16"/>
  <c r="BW27" i="16"/>
  <c r="BI27" i="16"/>
  <c r="AU27" i="16"/>
  <c r="AF27" i="16"/>
  <c r="AE27" i="16"/>
  <c r="AD27" i="16"/>
  <c r="AC27" i="16"/>
  <c r="AB27" i="16"/>
  <c r="AA27" i="16"/>
  <c r="Z27" i="16"/>
  <c r="Y27" i="16"/>
  <c r="AG27" i="16" s="1"/>
  <c r="X27" i="16"/>
  <c r="W27" i="16"/>
  <c r="V27" i="16"/>
  <c r="U27" i="16"/>
  <c r="T27" i="16"/>
  <c r="E27" i="16"/>
  <c r="D27" i="16"/>
  <c r="C27" i="16"/>
  <c r="B27" i="16"/>
  <c r="A27" i="16"/>
  <c r="BW26" i="16"/>
  <c r="BI26" i="16"/>
  <c r="AU26" i="16"/>
  <c r="AF26" i="16"/>
  <c r="AE26" i="16"/>
  <c r="AD26" i="16"/>
  <c r="AC26" i="16"/>
  <c r="AB26" i="16"/>
  <c r="AA26" i="16"/>
  <c r="Z26" i="16"/>
  <c r="Y26" i="16"/>
  <c r="X26" i="16"/>
  <c r="W26" i="16"/>
  <c r="V26" i="16"/>
  <c r="U26" i="16"/>
  <c r="AG26" i="16" s="1"/>
  <c r="T26" i="16"/>
  <c r="E26" i="16"/>
  <c r="D26" i="16"/>
  <c r="C26" i="16"/>
  <c r="B26" i="16"/>
  <c r="A26" i="16"/>
  <c r="BW25" i="16"/>
  <c r="BI25" i="16"/>
  <c r="AU25" i="16"/>
  <c r="AF25" i="16"/>
  <c r="AE25" i="16"/>
  <c r="AD25" i="16"/>
  <c r="AC25" i="16"/>
  <c r="AB25" i="16"/>
  <c r="AA25" i="16"/>
  <c r="Z25" i="16"/>
  <c r="Y25" i="16"/>
  <c r="AG25" i="16" s="1"/>
  <c r="X25" i="16"/>
  <c r="W25" i="16"/>
  <c r="V25" i="16"/>
  <c r="U25" i="16"/>
  <c r="T25" i="16"/>
  <c r="E25" i="16"/>
  <c r="D25" i="16"/>
  <c r="C25" i="16"/>
  <c r="B25" i="16"/>
  <c r="A25" i="16"/>
  <c r="BW24" i="16"/>
  <c r="BI24" i="16"/>
  <c r="AU24" i="16"/>
  <c r="AF24" i="16"/>
  <c r="AE24" i="16"/>
  <c r="AD24" i="16"/>
  <c r="AC24" i="16"/>
  <c r="AB24" i="16"/>
  <c r="AA24" i="16"/>
  <c r="Z24" i="16"/>
  <c r="Y24" i="16"/>
  <c r="X24" i="16"/>
  <c r="W24" i="16"/>
  <c r="V24" i="16"/>
  <c r="U24" i="16"/>
  <c r="AG24" i="16" s="1"/>
  <c r="T24" i="16"/>
  <c r="E24" i="16"/>
  <c r="D24" i="16"/>
  <c r="C24" i="16"/>
  <c r="B24" i="16"/>
  <c r="A24" i="16"/>
  <c r="BW23" i="16"/>
  <c r="BI23" i="16"/>
  <c r="AU23" i="16"/>
  <c r="AF23" i="16"/>
  <c r="AE23" i="16"/>
  <c r="AD23" i="16"/>
  <c r="AC23" i="16"/>
  <c r="AB23" i="16"/>
  <c r="AA23" i="16"/>
  <c r="Z23" i="16"/>
  <c r="Y23" i="16"/>
  <c r="AG23" i="16" s="1"/>
  <c r="X23" i="16"/>
  <c r="W23" i="16"/>
  <c r="V23" i="16"/>
  <c r="U23" i="16"/>
  <c r="T23" i="16"/>
  <c r="E23" i="16"/>
  <c r="D23" i="16"/>
  <c r="C23" i="16"/>
  <c r="B23" i="16"/>
  <c r="A23" i="16"/>
  <c r="BW22" i="16"/>
  <c r="BI22" i="16"/>
  <c r="AU22" i="16"/>
  <c r="AF22" i="16"/>
  <c r="AE22" i="16"/>
  <c r="AD22" i="16"/>
  <c r="AC22" i="16"/>
  <c r="AB22" i="16"/>
  <c r="AA22" i="16"/>
  <c r="Z22" i="16"/>
  <c r="Y22" i="16"/>
  <c r="X22" i="16"/>
  <c r="W22" i="16"/>
  <c r="V22" i="16"/>
  <c r="U22" i="16"/>
  <c r="AG22" i="16" s="1"/>
  <c r="T22" i="16"/>
  <c r="E22" i="16"/>
  <c r="D22" i="16"/>
  <c r="C22" i="16"/>
  <c r="B22" i="16"/>
  <c r="A22" i="16"/>
  <c r="BW21" i="16"/>
  <c r="BI21" i="16"/>
  <c r="AU21" i="16"/>
  <c r="AF21" i="16"/>
  <c r="AE21" i="16"/>
  <c r="AD21" i="16"/>
  <c r="AC21" i="16"/>
  <c r="AB21" i="16"/>
  <c r="AA21" i="16"/>
  <c r="Z21" i="16"/>
  <c r="Y21" i="16"/>
  <c r="AG21" i="16" s="1"/>
  <c r="X21" i="16"/>
  <c r="W21" i="16"/>
  <c r="V21" i="16"/>
  <c r="U21" i="16"/>
  <c r="T21" i="16"/>
  <c r="E21" i="16"/>
  <c r="D21" i="16"/>
  <c r="C21" i="16"/>
  <c r="B21" i="16"/>
  <c r="A21" i="16"/>
  <c r="BW20" i="16"/>
  <c r="BI20" i="16"/>
  <c r="AU20" i="16"/>
  <c r="AF20" i="16"/>
  <c r="AE20" i="16"/>
  <c r="AD20" i="16"/>
  <c r="AC20" i="16"/>
  <c r="AB20" i="16"/>
  <c r="AA20" i="16"/>
  <c r="Z20" i="16"/>
  <c r="Y20" i="16"/>
  <c r="X20" i="16"/>
  <c r="W20" i="16"/>
  <c r="V20" i="16"/>
  <c r="U20" i="16"/>
  <c r="AG20" i="16" s="1"/>
  <c r="T20" i="16"/>
  <c r="E20" i="16"/>
  <c r="D20" i="16"/>
  <c r="C20" i="16"/>
  <c r="B20" i="16"/>
  <c r="A20" i="16"/>
  <c r="BW19" i="16"/>
  <c r="BI19" i="16"/>
  <c r="AU19" i="16"/>
  <c r="AF19" i="16"/>
  <c r="AE19" i="16"/>
  <c r="AD19" i="16"/>
  <c r="AC19" i="16"/>
  <c r="AB19" i="16"/>
  <c r="AA19" i="16"/>
  <c r="Z19" i="16"/>
  <c r="Y19" i="16"/>
  <c r="AG19" i="16" s="1"/>
  <c r="X19" i="16"/>
  <c r="W19" i="16"/>
  <c r="V19" i="16"/>
  <c r="U19" i="16"/>
  <c r="T19" i="16"/>
  <c r="E19" i="16"/>
  <c r="D19" i="16"/>
  <c r="C19" i="16"/>
  <c r="B19" i="16"/>
  <c r="A19" i="16"/>
  <c r="BW18" i="16"/>
  <c r="BI18" i="16"/>
  <c r="AU18" i="16"/>
  <c r="AF18" i="16"/>
  <c r="AE18" i="16"/>
  <c r="AD18" i="16"/>
  <c r="AC18" i="16"/>
  <c r="AB18" i="16"/>
  <c r="AA18" i="16"/>
  <c r="Z18" i="16"/>
  <c r="Y18" i="16"/>
  <c r="X18" i="16"/>
  <c r="W18" i="16"/>
  <c r="V18" i="16"/>
  <c r="U18" i="16"/>
  <c r="AG18" i="16" s="1"/>
  <c r="T18" i="16"/>
  <c r="E18" i="16"/>
  <c r="D18" i="16"/>
  <c r="C18" i="16"/>
  <c r="B18" i="16"/>
  <c r="A18" i="16"/>
  <c r="BW17" i="16"/>
  <c r="BI17" i="16"/>
  <c r="AU17" i="16"/>
  <c r="AF17" i="16"/>
  <c r="AE17" i="16"/>
  <c r="AD17" i="16"/>
  <c r="AC17" i="16"/>
  <c r="AB17" i="16"/>
  <c r="AA17" i="16"/>
  <c r="Z17" i="16"/>
  <c r="Y17" i="16"/>
  <c r="AG17" i="16" s="1"/>
  <c r="X17" i="16"/>
  <c r="W17" i="16"/>
  <c r="V17" i="16"/>
  <c r="U17" i="16"/>
  <c r="T17" i="16"/>
  <c r="E17" i="16"/>
  <c r="D17" i="16"/>
  <c r="C17" i="16"/>
  <c r="B17" i="16"/>
  <c r="A17" i="16"/>
  <c r="BW16" i="16"/>
  <c r="BI16" i="16"/>
  <c r="AU16" i="16"/>
  <c r="AF16" i="16"/>
  <c r="AE16" i="16"/>
  <c r="AD16" i="16"/>
  <c r="AC16" i="16"/>
  <c r="AB16" i="16"/>
  <c r="AA16" i="16"/>
  <c r="Z16" i="16"/>
  <c r="Y16" i="16"/>
  <c r="X16" i="16"/>
  <c r="W16" i="16"/>
  <c r="V16" i="16"/>
  <c r="U16" i="16"/>
  <c r="AG16" i="16" s="1"/>
  <c r="T16" i="16"/>
  <c r="E16" i="16"/>
  <c r="D16" i="16"/>
  <c r="C16" i="16"/>
  <c r="B16" i="16"/>
  <c r="A16" i="16"/>
  <c r="BW15" i="16"/>
  <c r="BI15" i="16"/>
  <c r="AU15" i="16"/>
  <c r="AF15" i="16"/>
  <c r="AE15" i="16"/>
  <c r="AD15" i="16"/>
  <c r="AC15" i="16"/>
  <c r="AB15" i="16"/>
  <c r="AA15" i="16"/>
  <c r="Z15" i="16"/>
  <c r="Y15" i="16"/>
  <c r="AG15" i="16" s="1"/>
  <c r="X15" i="16"/>
  <c r="W15" i="16"/>
  <c r="V15" i="16"/>
  <c r="U15" i="16"/>
  <c r="T15" i="16"/>
  <c r="E15" i="16"/>
  <c r="D15" i="16"/>
  <c r="C15" i="16"/>
  <c r="B15" i="16"/>
  <c r="A15" i="16"/>
  <c r="BW14" i="16"/>
  <c r="BI14" i="16"/>
  <c r="AU14" i="16"/>
  <c r="AF14" i="16"/>
  <c r="AE14" i="16"/>
  <c r="AD14" i="16"/>
  <c r="AC14" i="16"/>
  <c r="AB14" i="16"/>
  <c r="AA14" i="16"/>
  <c r="Z14" i="16"/>
  <c r="Y14" i="16"/>
  <c r="X14" i="16"/>
  <c r="W14" i="16"/>
  <c r="V14" i="16"/>
  <c r="U14" i="16"/>
  <c r="AG14" i="16" s="1"/>
  <c r="T14" i="16"/>
  <c r="E14" i="16"/>
  <c r="D14" i="16"/>
  <c r="C14" i="16"/>
  <c r="B14" i="16"/>
  <c r="A14" i="16"/>
  <c r="BW13" i="16"/>
  <c r="BI13" i="16"/>
  <c r="AU13" i="16"/>
  <c r="AF13" i="16"/>
  <c r="AE13" i="16"/>
  <c r="AD13" i="16"/>
  <c r="AC13" i="16"/>
  <c r="AB13" i="16"/>
  <c r="AA13" i="16"/>
  <c r="Z13" i="16"/>
  <c r="Y13" i="16"/>
  <c r="AG13" i="16" s="1"/>
  <c r="X13" i="16"/>
  <c r="W13" i="16"/>
  <c r="V13" i="16"/>
  <c r="U13" i="16"/>
  <c r="T13" i="16"/>
  <c r="E13" i="16"/>
  <c r="D13" i="16"/>
  <c r="C13" i="16"/>
  <c r="B13" i="16"/>
  <c r="A13" i="16"/>
  <c r="BW12" i="16"/>
  <c r="BI12" i="16"/>
  <c r="AU12" i="16"/>
  <c r="AF12" i="16"/>
  <c r="AE12" i="16"/>
  <c r="AD12" i="16"/>
  <c r="AC12" i="16"/>
  <c r="AB12" i="16"/>
  <c r="AA12" i="16"/>
  <c r="Z12" i="16"/>
  <c r="Y12" i="16"/>
  <c r="X12" i="16"/>
  <c r="W12" i="16"/>
  <c r="V12" i="16"/>
  <c r="U12" i="16"/>
  <c r="AG12" i="16" s="1"/>
  <c r="T12" i="16"/>
  <c r="E12" i="16"/>
  <c r="D12" i="16"/>
  <c r="C12" i="16"/>
  <c r="B12" i="16"/>
  <c r="A12" i="16"/>
  <c r="BW11" i="16"/>
  <c r="BI11" i="16"/>
  <c r="AU11" i="16"/>
  <c r="AF11" i="16"/>
  <c r="AE11" i="16"/>
  <c r="AD11" i="16"/>
  <c r="AC11" i="16"/>
  <c r="AB11" i="16"/>
  <c r="AA11" i="16"/>
  <c r="Z11" i="16"/>
  <c r="Y11" i="16"/>
  <c r="AG11" i="16" s="1"/>
  <c r="X11" i="16"/>
  <c r="W11" i="16"/>
  <c r="V11" i="16"/>
  <c r="U11" i="16"/>
  <c r="T11" i="16"/>
  <c r="E11" i="16"/>
  <c r="D11" i="16"/>
  <c r="C11" i="16"/>
  <c r="B11" i="16"/>
  <c r="A11" i="16"/>
  <c r="BW10" i="16"/>
  <c r="BI10" i="16"/>
  <c r="AU10" i="16"/>
  <c r="AF10" i="16"/>
  <c r="AE10" i="16"/>
  <c r="AD10" i="16"/>
  <c r="AC10" i="16"/>
  <c r="AB10" i="16"/>
  <c r="AA10" i="16"/>
  <c r="Z10" i="16"/>
  <c r="Y10" i="16"/>
  <c r="X10" i="16"/>
  <c r="W10" i="16"/>
  <c r="V10" i="16"/>
  <c r="U10" i="16"/>
  <c r="AG10" i="16" s="1"/>
  <c r="T10" i="16"/>
  <c r="E10" i="16"/>
  <c r="D10" i="16"/>
  <c r="C10" i="16"/>
  <c r="B10" i="16"/>
  <c r="A10" i="16"/>
  <c r="BW9" i="16"/>
  <c r="BI9" i="16"/>
  <c r="AU9" i="16"/>
  <c r="AF9" i="16"/>
  <c r="AE9" i="16"/>
  <c r="AD9" i="16"/>
  <c r="AC9" i="16"/>
  <c r="AB9" i="16"/>
  <c r="AA9" i="16"/>
  <c r="Z9" i="16"/>
  <c r="Y9" i="16"/>
  <c r="AG9" i="16" s="1"/>
  <c r="X9" i="16"/>
  <c r="W9" i="16"/>
  <c r="V9" i="16"/>
  <c r="U9" i="16"/>
  <c r="T9" i="16"/>
  <c r="E9" i="16"/>
  <c r="D9" i="16"/>
  <c r="C9" i="16"/>
  <c r="B9" i="16"/>
  <c r="A9" i="16"/>
  <c r="BW8" i="16"/>
  <c r="BI8" i="16"/>
  <c r="AU8" i="16"/>
  <c r="AF8" i="16"/>
  <c r="AE8" i="16"/>
  <c r="AD8" i="16"/>
  <c r="AC8" i="16"/>
  <c r="AB8" i="16"/>
  <c r="AA8" i="16"/>
  <c r="Z8" i="16"/>
  <c r="Y8" i="16"/>
  <c r="X8" i="16"/>
  <c r="W8" i="16"/>
  <c r="V8" i="16"/>
  <c r="U8" i="16"/>
  <c r="AG8" i="16" s="1"/>
  <c r="T8" i="16"/>
  <c r="E8" i="16"/>
  <c r="D8" i="16"/>
  <c r="C8" i="16"/>
  <c r="B8" i="16"/>
  <c r="A8" i="16"/>
  <c r="BW7" i="16"/>
  <c r="BI7" i="16"/>
  <c r="AU7" i="16"/>
  <c r="AF7" i="16"/>
  <c r="AE7" i="16"/>
  <c r="AD7" i="16"/>
  <c r="AC7" i="16"/>
  <c r="AB7" i="16"/>
  <c r="AA7" i="16"/>
  <c r="Z7" i="16"/>
  <c r="Y7" i="16"/>
  <c r="AG7" i="16" s="1"/>
  <c r="X7" i="16"/>
  <c r="W7" i="16"/>
  <c r="V7" i="16"/>
  <c r="U7" i="16"/>
  <c r="T7" i="16"/>
  <c r="E7" i="16"/>
  <c r="D7" i="16"/>
  <c r="C7" i="16"/>
  <c r="B7" i="16"/>
  <c r="A7" i="16"/>
  <c r="BW6" i="16"/>
  <c r="BI6" i="16"/>
  <c r="AU6" i="16"/>
  <c r="AF6" i="16"/>
  <c r="AE6" i="16"/>
  <c r="AD6" i="16"/>
  <c r="AC6" i="16"/>
  <c r="AB6" i="16"/>
  <c r="AA6" i="16"/>
  <c r="Z6" i="16"/>
  <c r="Y6" i="16"/>
  <c r="X6" i="16"/>
  <c r="W6" i="16"/>
  <c r="V6" i="16"/>
  <c r="U6" i="16"/>
  <c r="AG6" i="16" s="1"/>
  <c r="T6" i="16"/>
  <c r="E6" i="16"/>
  <c r="D6" i="16"/>
  <c r="C6" i="16"/>
  <c r="B6" i="16"/>
  <c r="A6" i="16"/>
  <c r="BW5" i="16"/>
  <c r="BI5" i="16"/>
  <c r="AU5" i="16"/>
  <c r="AF5" i="16"/>
  <c r="AF361" i="16" s="1"/>
  <c r="AE5" i="16"/>
  <c r="AE361" i="16" s="1"/>
  <c r="AD5" i="16"/>
  <c r="AD361" i="16" s="1"/>
  <c r="AC5" i="16"/>
  <c r="AB5" i="16"/>
  <c r="AA5" i="16"/>
  <c r="Z5" i="16"/>
  <c r="Y5" i="16"/>
  <c r="Y361" i="16" s="1"/>
  <c r="X5" i="16"/>
  <c r="X361" i="16" s="1"/>
  <c r="W5" i="16"/>
  <c r="W361" i="16" s="1"/>
  <c r="V5" i="16"/>
  <c r="V361" i="16" s="1"/>
  <c r="U5" i="16"/>
  <c r="T5" i="16"/>
  <c r="E5" i="16"/>
  <c r="D5" i="16"/>
  <c r="C5" i="16"/>
  <c r="B5" i="16"/>
  <c r="A5" i="16"/>
  <c r="D9" i="15" s="1"/>
  <c r="C5" i="15"/>
  <c r="D4" i="15"/>
  <c r="C4" i="15"/>
  <c r="I559" i="14"/>
  <c r="K557" i="14"/>
  <c r="L557" i="14" s="1"/>
  <c r="M557" i="14" s="1"/>
  <c r="J557" i="14"/>
  <c r="K556" i="14"/>
  <c r="L556" i="14" s="1"/>
  <c r="M556" i="14" s="1"/>
  <c r="N556" i="14" s="1"/>
  <c r="J556" i="14"/>
  <c r="K555" i="14"/>
  <c r="L555" i="14" s="1"/>
  <c r="M555" i="14" s="1"/>
  <c r="J555" i="14"/>
  <c r="K553" i="14"/>
  <c r="L553" i="14" s="1"/>
  <c r="M553" i="14" s="1"/>
  <c r="J553" i="14"/>
  <c r="M552" i="14"/>
  <c r="K552" i="14"/>
  <c r="L552" i="14" s="1"/>
  <c r="J552" i="14"/>
  <c r="K550" i="14"/>
  <c r="L550" i="14" s="1"/>
  <c r="M550" i="14" s="1"/>
  <c r="J550" i="14"/>
  <c r="L549" i="14"/>
  <c r="M549" i="14" s="1"/>
  <c r="J549" i="14"/>
  <c r="K549" i="14" s="1"/>
  <c r="K548" i="14"/>
  <c r="L548" i="14" s="1"/>
  <c r="M548" i="14" s="1"/>
  <c r="N548" i="14" s="1"/>
  <c r="J548" i="14"/>
  <c r="M547" i="14"/>
  <c r="K547" i="14"/>
  <c r="L547" i="14" s="1"/>
  <c r="J547" i="14"/>
  <c r="K546" i="14"/>
  <c r="L546" i="14" s="1"/>
  <c r="M546" i="14" s="1"/>
  <c r="N546" i="14" s="1"/>
  <c r="J546" i="14"/>
  <c r="K545" i="14"/>
  <c r="L545" i="14" s="1"/>
  <c r="M545" i="14" s="1"/>
  <c r="J545" i="14"/>
  <c r="J544" i="14"/>
  <c r="K544" i="14" s="1"/>
  <c r="L544" i="14" s="1"/>
  <c r="M544" i="14" s="1"/>
  <c r="K543" i="14"/>
  <c r="L543" i="14" s="1"/>
  <c r="M543" i="14" s="1"/>
  <c r="N543" i="14" s="1"/>
  <c r="J543" i="14"/>
  <c r="J542" i="14"/>
  <c r="K542" i="14" s="1"/>
  <c r="L542" i="14" s="1"/>
  <c r="M542" i="14" s="1"/>
  <c r="J541" i="14"/>
  <c r="K541" i="14" s="1"/>
  <c r="L541" i="14" s="1"/>
  <c r="M541" i="14" s="1"/>
  <c r="N541" i="14" s="1"/>
  <c r="O541" i="14" s="1"/>
  <c r="J540" i="14"/>
  <c r="K540" i="14" s="1"/>
  <c r="L540" i="14" s="1"/>
  <c r="M540" i="14" s="1"/>
  <c r="J539" i="14"/>
  <c r="K539" i="14" s="1"/>
  <c r="L539" i="14" s="1"/>
  <c r="M539" i="14" s="1"/>
  <c r="L538" i="14"/>
  <c r="M538" i="14" s="1"/>
  <c r="K538" i="14"/>
  <c r="J538" i="14"/>
  <c r="J537" i="14"/>
  <c r="K537" i="14" s="1"/>
  <c r="L537" i="14" s="1"/>
  <c r="M537" i="14" s="1"/>
  <c r="J536" i="14"/>
  <c r="K536" i="14" s="1"/>
  <c r="L536" i="14" s="1"/>
  <c r="M536" i="14" s="1"/>
  <c r="J535" i="14"/>
  <c r="K535" i="14" s="1"/>
  <c r="L535" i="14" s="1"/>
  <c r="M535" i="14" s="1"/>
  <c r="N535" i="14" s="1"/>
  <c r="K534" i="14"/>
  <c r="L534" i="14" s="1"/>
  <c r="M534" i="14" s="1"/>
  <c r="J534" i="14"/>
  <c r="K532" i="14"/>
  <c r="L532" i="14" s="1"/>
  <c r="M532" i="14" s="1"/>
  <c r="J532" i="14"/>
  <c r="K531" i="14"/>
  <c r="L531" i="14" s="1"/>
  <c r="M531" i="14" s="1"/>
  <c r="J531" i="14"/>
  <c r="L530" i="14"/>
  <c r="M530" i="14" s="1"/>
  <c r="K530" i="14"/>
  <c r="J530" i="14"/>
  <c r="K529" i="14"/>
  <c r="L529" i="14" s="1"/>
  <c r="M529" i="14" s="1"/>
  <c r="J529" i="14"/>
  <c r="K528" i="14"/>
  <c r="L528" i="14" s="1"/>
  <c r="M528" i="14" s="1"/>
  <c r="J528" i="14"/>
  <c r="K527" i="14"/>
  <c r="L527" i="14" s="1"/>
  <c r="M527" i="14" s="1"/>
  <c r="J527" i="14"/>
  <c r="L526" i="14"/>
  <c r="M526" i="14" s="1"/>
  <c r="K526" i="14"/>
  <c r="J526" i="14"/>
  <c r="J525" i="14"/>
  <c r="K525" i="14" s="1"/>
  <c r="L525" i="14" s="1"/>
  <c r="M525" i="14" s="1"/>
  <c r="M524" i="14"/>
  <c r="K524" i="14"/>
  <c r="L524" i="14" s="1"/>
  <c r="J524" i="14"/>
  <c r="K523" i="14"/>
  <c r="L523" i="14" s="1"/>
  <c r="M523" i="14" s="1"/>
  <c r="J523" i="14"/>
  <c r="K522" i="14"/>
  <c r="L522" i="14" s="1"/>
  <c r="M522" i="14" s="1"/>
  <c r="J522" i="14"/>
  <c r="L521" i="14"/>
  <c r="M521" i="14" s="1"/>
  <c r="K521" i="14"/>
  <c r="J521" i="14"/>
  <c r="K520" i="14"/>
  <c r="L520" i="14" s="1"/>
  <c r="M520" i="14" s="1"/>
  <c r="J520" i="14"/>
  <c r="K518" i="14"/>
  <c r="L518" i="14" s="1"/>
  <c r="M518" i="14" s="1"/>
  <c r="J518" i="14"/>
  <c r="J517" i="14"/>
  <c r="K517" i="14" s="1"/>
  <c r="L517" i="14" s="1"/>
  <c r="M517" i="14" s="1"/>
  <c r="J516" i="14"/>
  <c r="K516" i="14" s="1"/>
  <c r="L516" i="14" s="1"/>
  <c r="M516" i="14" s="1"/>
  <c r="J515" i="14"/>
  <c r="K515" i="14" s="1"/>
  <c r="L515" i="14" s="1"/>
  <c r="M515" i="14" s="1"/>
  <c r="J514" i="14"/>
  <c r="K514" i="14" s="1"/>
  <c r="L514" i="14" s="1"/>
  <c r="M514" i="14" s="1"/>
  <c r="N514" i="14" s="1"/>
  <c r="M513" i="14"/>
  <c r="J513" i="14"/>
  <c r="K513" i="14" s="1"/>
  <c r="L513" i="14" s="1"/>
  <c r="K512" i="14"/>
  <c r="L512" i="14" s="1"/>
  <c r="M512" i="14" s="1"/>
  <c r="J512" i="14"/>
  <c r="J511" i="14"/>
  <c r="K511" i="14" s="1"/>
  <c r="L511" i="14" s="1"/>
  <c r="M511" i="14" s="1"/>
  <c r="K510" i="14"/>
  <c r="L510" i="14" s="1"/>
  <c r="M510" i="14" s="1"/>
  <c r="J510" i="14"/>
  <c r="M509" i="14"/>
  <c r="K509" i="14"/>
  <c r="L509" i="14" s="1"/>
  <c r="J509" i="14"/>
  <c r="K508" i="14"/>
  <c r="L508" i="14" s="1"/>
  <c r="M508" i="14" s="1"/>
  <c r="N508" i="14" s="1"/>
  <c r="O508" i="14" s="1"/>
  <c r="J508" i="14"/>
  <c r="L507" i="14"/>
  <c r="M507" i="14" s="1"/>
  <c r="K507" i="14"/>
  <c r="J507" i="14"/>
  <c r="K506" i="14"/>
  <c r="L506" i="14" s="1"/>
  <c r="M506" i="14" s="1"/>
  <c r="J506" i="14"/>
  <c r="K504" i="14"/>
  <c r="L504" i="14" s="1"/>
  <c r="M504" i="14" s="1"/>
  <c r="J504" i="14"/>
  <c r="O503" i="14"/>
  <c r="J503" i="14"/>
  <c r="K503" i="14" s="1"/>
  <c r="L503" i="14" s="1"/>
  <c r="M503" i="14" s="1"/>
  <c r="N503" i="14" s="1"/>
  <c r="K501" i="14"/>
  <c r="L501" i="14" s="1"/>
  <c r="M501" i="14" s="1"/>
  <c r="J501" i="14"/>
  <c r="J500" i="14"/>
  <c r="K500" i="14" s="1"/>
  <c r="L500" i="14" s="1"/>
  <c r="M500" i="14" s="1"/>
  <c r="K499" i="14"/>
  <c r="L499" i="14" s="1"/>
  <c r="M499" i="14" s="1"/>
  <c r="J499" i="14"/>
  <c r="K498" i="14"/>
  <c r="L498" i="14" s="1"/>
  <c r="M498" i="14" s="1"/>
  <c r="N498" i="14" s="1"/>
  <c r="J498" i="14"/>
  <c r="J497" i="14"/>
  <c r="K497" i="14" s="1"/>
  <c r="L497" i="14" s="1"/>
  <c r="M497" i="14" s="1"/>
  <c r="K496" i="14"/>
  <c r="L496" i="14" s="1"/>
  <c r="M496" i="14" s="1"/>
  <c r="J496" i="14"/>
  <c r="L495" i="14"/>
  <c r="M495" i="14" s="1"/>
  <c r="J495" i="14"/>
  <c r="K495" i="14" s="1"/>
  <c r="K494" i="14"/>
  <c r="L494" i="14" s="1"/>
  <c r="M494" i="14" s="1"/>
  <c r="J494" i="14"/>
  <c r="K493" i="14"/>
  <c r="L493" i="14" s="1"/>
  <c r="M493" i="14" s="1"/>
  <c r="J493" i="14"/>
  <c r="K492" i="14"/>
  <c r="L492" i="14" s="1"/>
  <c r="M492" i="14" s="1"/>
  <c r="N492" i="14" s="1"/>
  <c r="J492" i="14"/>
  <c r="L490" i="14"/>
  <c r="M490" i="14" s="1"/>
  <c r="K490" i="14"/>
  <c r="J490" i="14"/>
  <c r="J489" i="14"/>
  <c r="K489" i="14" s="1"/>
  <c r="L489" i="14" s="1"/>
  <c r="M489" i="14" s="1"/>
  <c r="K488" i="14"/>
  <c r="L488" i="14" s="1"/>
  <c r="M488" i="14" s="1"/>
  <c r="J488" i="14"/>
  <c r="J487" i="14"/>
  <c r="K487" i="14" s="1"/>
  <c r="L487" i="14" s="1"/>
  <c r="M487" i="14" s="1"/>
  <c r="K486" i="14"/>
  <c r="L486" i="14" s="1"/>
  <c r="M486" i="14" s="1"/>
  <c r="J486" i="14"/>
  <c r="N485" i="14"/>
  <c r="J485" i="14"/>
  <c r="K485" i="14" s="1"/>
  <c r="L485" i="14" s="1"/>
  <c r="M485" i="14" s="1"/>
  <c r="K484" i="14"/>
  <c r="L484" i="14" s="1"/>
  <c r="M484" i="14" s="1"/>
  <c r="J484" i="14"/>
  <c r="K483" i="14"/>
  <c r="L483" i="14" s="1"/>
  <c r="M483" i="14" s="1"/>
  <c r="J483" i="14"/>
  <c r="J482" i="14"/>
  <c r="K482" i="14" s="1"/>
  <c r="L482" i="14" s="1"/>
  <c r="M482" i="14" s="1"/>
  <c r="J481" i="14"/>
  <c r="K481" i="14" s="1"/>
  <c r="L481" i="14" s="1"/>
  <c r="M481" i="14" s="1"/>
  <c r="J480" i="14"/>
  <c r="K480" i="14" s="1"/>
  <c r="L480" i="14" s="1"/>
  <c r="M480" i="14" s="1"/>
  <c r="N480" i="14" s="1"/>
  <c r="K479" i="14"/>
  <c r="L479" i="14" s="1"/>
  <c r="M479" i="14" s="1"/>
  <c r="J479" i="14"/>
  <c r="K478" i="14"/>
  <c r="L478" i="14" s="1"/>
  <c r="M478" i="14" s="1"/>
  <c r="J478" i="14"/>
  <c r="K477" i="14"/>
  <c r="L477" i="14" s="1"/>
  <c r="M477" i="14" s="1"/>
  <c r="J477" i="14"/>
  <c r="L476" i="14"/>
  <c r="M476" i="14" s="1"/>
  <c r="K476" i="14"/>
  <c r="J476" i="14"/>
  <c r="L475" i="14"/>
  <c r="M475" i="14" s="1"/>
  <c r="K475" i="14"/>
  <c r="J475" i="14"/>
  <c r="K471" i="14"/>
  <c r="L471" i="14" s="1"/>
  <c r="M471" i="14" s="1"/>
  <c r="J471" i="14"/>
  <c r="K470" i="14"/>
  <c r="L470" i="14" s="1"/>
  <c r="M470" i="14" s="1"/>
  <c r="J470" i="14"/>
  <c r="J468" i="14"/>
  <c r="K468" i="14" s="1"/>
  <c r="L468" i="14" s="1"/>
  <c r="M468" i="14" s="1"/>
  <c r="M467" i="14"/>
  <c r="K467" i="14"/>
  <c r="L467" i="14" s="1"/>
  <c r="J467" i="14"/>
  <c r="K466" i="14"/>
  <c r="L466" i="14" s="1"/>
  <c r="M466" i="14" s="1"/>
  <c r="J466" i="14"/>
  <c r="J465" i="14"/>
  <c r="K465" i="14" s="1"/>
  <c r="L465" i="14" s="1"/>
  <c r="M465" i="14" s="1"/>
  <c r="J463" i="14"/>
  <c r="K463" i="14" s="1"/>
  <c r="L463" i="14" s="1"/>
  <c r="M463" i="14" s="1"/>
  <c r="K462" i="14"/>
  <c r="L462" i="14" s="1"/>
  <c r="M462" i="14" s="1"/>
  <c r="N462" i="14" s="1"/>
  <c r="J462" i="14"/>
  <c r="M461" i="14"/>
  <c r="J461" i="14"/>
  <c r="K461" i="14" s="1"/>
  <c r="L461" i="14" s="1"/>
  <c r="K460" i="14"/>
  <c r="L460" i="14" s="1"/>
  <c r="M460" i="14" s="1"/>
  <c r="J460" i="14"/>
  <c r="L459" i="14"/>
  <c r="M459" i="14" s="1"/>
  <c r="K459" i="14"/>
  <c r="J459" i="14"/>
  <c r="K458" i="14"/>
  <c r="L458" i="14" s="1"/>
  <c r="M458" i="14" s="1"/>
  <c r="J458" i="14"/>
  <c r="J457" i="14"/>
  <c r="K457" i="14" s="1"/>
  <c r="L457" i="14" s="1"/>
  <c r="M457" i="14" s="1"/>
  <c r="N457" i="14" s="1"/>
  <c r="J456" i="14"/>
  <c r="K456" i="14" s="1"/>
  <c r="L456" i="14" s="1"/>
  <c r="M456" i="14" s="1"/>
  <c r="K455" i="14"/>
  <c r="L455" i="14" s="1"/>
  <c r="M455" i="14" s="1"/>
  <c r="N455" i="14" s="1"/>
  <c r="J455" i="14"/>
  <c r="K454" i="14"/>
  <c r="L454" i="14" s="1"/>
  <c r="M454" i="14" s="1"/>
  <c r="J454" i="14"/>
  <c r="L453" i="14"/>
  <c r="M453" i="14" s="1"/>
  <c r="K453" i="14"/>
  <c r="J453" i="14"/>
  <c r="L452" i="14"/>
  <c r="M452" i="14" s="1"/>
  <c r="N452" i="14" s="1"/>
  <c r="K452" i="14"/>
  <c r="J452" i="14"/>
  <c r="L451" i="14"/>
  <c r="M451" i="14" s="1"/>
  <c r="K451" i="14"/>
  <c r="J451" i="14"/>
  <c r="K450" i="14"/>
  <c r="L450" i="14" s="1"/>
  <c r="M450" i="14" s="1"/>
  <c r="J450" i="14"/>
  <c r="L449" i="14"/>
  <c r="M449" i="14" s="1"/>
  <c r="K449" i="14"/>
  <c r="J449" i="14"/>
  <c r="K448" i="14"/>
  <c r="L448" i="14" s="1"/>
  <c r="M448" i="14" s="1"/>
  <c r="N448" i="14" s="1"/>
  <c r="J448" i="14"/>
  <c r="N447" i="14"/>
  <c r="J447" i="14"/>
  <c r="K447" i="14" s="1"/>
  <c r="L447" i="14" s="1"/>
  <c r="M447" i="14" s="1"/>
  <c r="L446" i="14"/>
  <c r="M446" i="14" s="1"/>
  <c r="J446" i="14"/>
  <c r="K446" i="14" s="1"/>
  <c r="J445" i="14"/>
  <c r="K445" i="14" s="1"/>
  <c r="L445" i="14" s="1"/>
  <c r="M445" i="14" s="1"/>
  <c r="J444" i="14"/>
  <c r="K444" i="14" s="1"/>
  <c r="L444" i="14" s="1"/>
  <c r="M444" i="14" s="1"/>
  <c r="K443" i="14"/>
  <c r="L443" i="14" s="1"/>
  <c r="M443" i="14" s="1"/>
  <c r="J443" i="14"/>
  <c r="L442" i="14"/>
  <c r="M442" i="14" s="1"/>
  <c r="K442" i="14"/>
  <c r="J442" i="14"/>
  <c r="L441" i="14"/>
  <c r="M441" i="14" s="1"/>
  <c r="K441" i="14"/>
  <c r="J441" i="14"/>
  <c r="K440" i="14"/>
  <c r="L440" i="14" s="1"/>
  <c r="M440" i="14" s="1"/>
  <c r="J440" i="14"/>
  <c r="K438" i="14"/>
  <c r="L438" i="14" s="1"/>
  <c r="M438" i="14" s="1"/>
  <c r="J438" i="14"/>
  <c r="N437" i="14"/>
  <c r="K437" i="14"/>
  <c r="L437" i="14" s="1"/>
  <c r="M437" i="14" s="1"/>
  <c r="J437" i="14"/>
  <c r="K436" i="14"/>
  <c r="L436" i="14" s="1"/>
  <c r="M436" i="14" s="1"/>
  <c r="J436" i="14"/>
  <c r="K435" i="14"/>
  <c r="L435" i="14" s="1"/>
  <c r="M435" i="14" s="1"/>
  <c r="J435" i="14"/>
  <c r="K434" i="14"/>
  <c r="L434" i="14" s="1"/>
  <c r="M434" i="14" s="1"/>
  <c r="J434" i="14"/>
  <c r="K433" i="14"/>
  <c r="L433" i="14" s="1"/>
  <c r="M433" i="14" s="1"/>
  <c r="J433" i="14"/>
  <c r="L432" i="14"/>
  <c r="M432" i="14" s="1"/>
  <c r="K432" i="14"/>
  <c r="J432" i="14"/>
  <c r="J431" i="14"/>
  <c r="K431" i="14" s="1"/>
  <c r="L431" i="14" s="1"/>
  <c r="M431" i="14" s="1"/>
  <c r="J430" i="14"/>
  <c r="K430" i="14" s="1"/>
  <c r="L430" i="14" s="1"/>
  <c r="M430" i="14" s="1"/>
  <c r="J429" i="14"/>
  <c r="K429" i="14" s="1"/>
  <c r="L429" i="14" s="1"/>
  <c r="M429" i="14" s="1"/>
  <c r="J428" i="14"/>
  <c r="K428" i="14" s="1"/>
  <c r="L428" i="14" s="1"/>
  <c r="M428" i="14" s="1"/>
  <c r="N428" i="14" s="1"/>
  <c r="K427" i="14"/>
  <c r="L427" i="14" s="1"/>
  <c r="M427" i="14" s="1"/>
  <c r="N427" i="14" s="1"/>
  <c r="O427" i="14" s="1"/>
  <c r="J427" i="14"/>
  <c r="K426" i="14"/>
  <c r="L426" i="14" s="1"/>
  <c r="M426" i="14" s="1"/>
  <c r="J426" i="14"/>
  <c r="K425" i="14"/>
  <c r="L425" i="14" s="1"/>
  <c r="M425" i="14" s="1"/>
  <c r="J425" i="14"/>
  <c r="K424" i="14"/>
  <c r="L424" i="14" s="1"/>
  <c r="M424" i="14" s="1"/>
  <c r="J424" i="14"/>
  <c r="O423" i="14"/>
  <c r="K423" i="14"/>
  <c r="L423" i="14" s="1"/>
  <c r="M423" i="14" s="1"/>
  <c r="N423" i="14" s="1"/>
  <c r="J423" i="14"/>
  <c r="K422" i="14"/>
  <c r="L422" i="14" s="1"/>
  <c r="M422" i="14" s="1"/>
  <c r="J422" i="14"/>
  <c r="K421" i="14"/>
  <c r="L421" i="14" s="1"/>
  <c r="M421" i="14" s="1"/>
  <c r="J421" i="14"/>
  <c r="J420" i="14"/>
  <c r="K420" i="14" s="1"/>
  <c r="L420" i="14" s="1"/>
  <c r="M420" i="14" s="1"/>
  <c r="K419" i="14"/>
  <c r="L419" i="14" s="1"/>
  <c r="M419" i="14" s="1"/>
  <c r="J419" i="14"/>
  <c r="K418" i="14"/>
  <c r="L418" i="14" s="1"/>
  <c r="M418" i="14" s="1"/>
  <c r="J418" i="14"/>
  <c r="K416" i="14"/>
  <c r="L416" i="14" s="1"/>
  <c r="M416" i="14" s="1"/>
  <c r="J416" i="14"/>
  <c r="K414" i="14"/>
  <c r="L414" i="14" s="1"/>
  <c r="M414" i="14" s="1"/>
  <c r="J414" i="14"/>
  <c r="J413" i="14"/>
  <c r="K413" i="14" s="1"/>
  <c r="L413" i="14" s="1"/>
  <c r="M413" i="14" s="1"/>
  <c r="J412" i="14"/>
  <c r="K412" i="14" s="1"/>
  <c r="L412" i="14" s="1"/>
  <c r="M412" i="14" s="1"/>
  <c r="L411" i="14"/>
  <c r="M411" i="14" s="1"/>
  <c r="J411" i="14"/>
  <c r="K411" i="14" s="1"/>
  <c r="J410" i="14"/>
  <c r="K410" i="14" s="1"/>
  <c r="L410" i="14" s="1"/>
  <c r="M410" i="14" s="1"/>
  <c r="K409" i="14"/>
  <c r="L409" i="14" s="1"/>
  <c r="M409" i="14" s="1"/>
  <c r="J409" i="14"/>
  <c r="J408" i="14"/>
  <c r="K408" i="14" s="1"/>
  <c r="L408" i="14" s="1"/>
  <c r="M408" i="14" s="1"/>
  <c r="J407" i="14"/>
  <c r="K407" i="14" s="1"/>
  <c r="L407" i="14" s="1"/>
  <c r="M407" i="14" s="1"/>
  <c r="N407" i="14" s="1"/>
  <c r="K406" i="14"/>
  <c r="L406" i="14" s="1"/>
  <c r="M406" i="14" s="1"/>
  <c r="N406" i="14" s="1"/>
  <c r="O406" i="14" s="1"/>
  <c r="J406" i="14"/>
  <c r="M405" i="14"/>
  <c r="K405" i="14"/>
  <c r="L405" i="14" s="1"/>
  <c r="J405" i="14"/>
  <c r="K404" i="14"/>
  <c r="L404" i="14" s="1"/>
  <c r="M404" i="14" s="1"/>
  <c r="J404" i="14"/>
  <c r="K402" i="14"/>
  <c r="L402" i="14" s="1"/>
  <c r="M402" i="14" s="1"/>
  <c r="J402" i="14"/>
  <c r="J401" i="14"/>
  <c r="K401" i="14" s="1"/>
  <c r="L401" i="14" s="1"/>
  <c r="M401" i="14" s="1"/>
  <c r="N401" i="14" s="1"/>
  <c r="J400" i="14"/>
  <c r="K400" i="14" s="1"/>
  <c r="L400" i="14" s="1"/>
  <c r="M400" i="14" s="1"/>
  <c r="L399" i="14"/>
  <c r="M399" i="14" s="1"/>
  <c r="K399" i="14"/>
  <c r="J399" i="14"/>
  <c r="J398" i="14"/>
  <c r="K398" i="14" s="1"/>
  <c r="L398" i="14" s="1"/>
  <c r="M398" i="14" s="1"/>
  <c r="J397" i="14"/>
  <c r="K397" i="14" s="1"/>
  <c r="L397" i="14" s="1"/>
  <c r="M397" i="14" s="1"/>
  <c r="J396" i="14"/>
  <c r="K396" i="14" s="1"/>
  <c r="L396" i="14" s="1"/>
  <c r="M396" i="14" s="1"/>
  <c r="K395" i="14"/>
  <c r="L395" i="14" s="1"/>
  <c r="M395" i="14" s="1"/>
  <c r="J395" i="14"/>
  <c r="L393" i="14"/>
  <c r="M393" i="14" s="1"/>
  <c r="K393" i="14"/>
  <c r="J393" i="14"/>
  <c r="K392" i="14"/>
  <c r="L392" i="14" s="1"/>
  <c r="M392" i="14" s="1"/>
  <c r="J392" i="14"/>
  <c r="K391" i="14"/>
  <c r="L391" i="14" s="1"/>
  <c r="M391" i="14" s="1"/>
  <c r="J391" i="14"/>
  <c r="O390" i="14"/>
  <c r="J390" i="14"/>
  <c r="K390" i="14" s="1"/>
  <c r="L390" i="14" s="1"/>
  <c r="M390" i="14" s="1"/>
  <c r="N390" i="14" s="1"/>
  <c r="J389" i="14"/>
  <c r="K389" i="14" s="1"/>
  <c r="L389" i="14" s="1"/>
  <c r="M389" i="14" s="1"/>
  <c r="N389" i="14" s="1"/>
  <c r="O389" i="14" s="1"/>
  <c r="J388" i="14"/>
  <c r="K388" i="14" s="1"/>
  <c r="L388" i="14" s="1"/>
  <c r="M388" i="14" s="1"/>
  <c r="N388" i="14" s="1"/>
  <c r="K387" i="14"/>
  <c r="L387" i="14" s="1"/>
  <c r="M387" i="14" s="1"/>
  <c r="J387" i="14"/>
  <c r="J386" i="14"/>
  <c r="K386" i="14" s="1"/>
  <c r="L386" i="14" s="1"/>
  <c r="M386" i="14" s="1"/>
  <c r="J385" i="14"/>
  <c r="K385" i="14" s="1"/>
  <c r="L385" i="14" s="1"/>
  <c r="M385" i="14" s="1"/>
  <c r="K384" i="14"/>
  <c r="L384" i="14" s="1"/>
  <c r="M384" i="14" s="1"/>
  <c r="J384" i="14"/>
  <c r="K383" i="14"/>
  <c r="L383" i="14" s="1"/>
  <c r="M383" i="14" s="1"/>
  <c r="N383" i="14" s="1"/>
  <c r="O383" i="14" s="1"/>
  <c r="J383" i="14"/>
  <c r="L382" i="14"/>
  <c r="M382" i="14" s="1"/>
  <c r="K382" i="14"/>
  <c r="J382" i="14"/>
  <c r="K381" i="14"/>
  <c r="L381" i="14" s="1"/>
  <c r="M381" i="14" s="1"/>
  <c r="J381" i="14"/>
  <c r="K380" i="14"/>
  <c r="L380" i="14" s="1"/>
  <c r="M380" i="14" s="1"/>
  <c r="J380" i="14"/>
  <c r="K379" i="14"/>
  <c r="L379" i="14" s="1"/>
  <c r="M379" i="14" s="1"/>
  <c r="N379" i="14" s="1"/>
  <c r="O379" i="14" s="1"/>
  <c r="J379" i="14"/>
  <c r="K378" i="14"/>
  <c r="L378" i="14" s="1"/>
  <c r="M378" i="14" s="1"/>
  <c r="J378" i="14"/>
  <c r="K377" i="14"/>
  <c r="L377" i="14" s="1"/>
  <c r="M377" i="14" s="1"/>
  <c r="J377" i="14"/>
  <c r="K376" i="14"/>
  <c r="L376" i="14" s="1"/>
  <c r="M376" i="14" s="1"/>
  <c r="J376" i="14"/>
  <c r="K375" i="14"/>
  <c r="L375" i="14" s="1"/>
  <c r="M375" i="14" s="1"/>
  <c r="N375" i="14" s="1"/>
  <c r="O375" i="14" s="1"/>
  <c r="J375" i="14"/>
  <c r="L373" i="14"/>
  <c r="M373" i="14" s="1"/>
  <c r="K373" i="14"/>
  <c r="J373" i="14"/>
  <c r="K372" i="14"/>
  <c r="L372" i="14" s="1"/>
  <c r="M372" i="14" s="1"/>
  <c r="J372" i="14"/>
  <c r="J371" i="14"/>
  <c r="K371" i="14" s="1"/>
  <c r="L371" i="14" s="1"/>
  <c r="M371" i="14" s="1"/>
  <c r="J370" i="14"/>
  <c r="K370" i="14" s="1"/>
  <c r="L370" i="14" s="1"/>
  <c r="M370" i="14" s="1"/>
  <c r="N370" i="14" s="1"/>
  <c r="K369" i="14"/>
  <c r="L369" i="14" s="1"/>
  <c r="M369" i="14" s="1"/>
  <c r="J369" i="14"/>
  <c r="J368" i="14"/>
  <c r="K368" i="14" s="1"/>
  <c r="L368" i="14" s="1"/>
  <c r="M368" i="14" s="1"/>
  <c r="L367" i="14"/>
  <c r="M367" i="14" s="1"/>
  <c r="K367" i="14"/>
  <c r="J367" i="14"/>
  <c r="J366" i="14"/>
  <c r="K366" i="14" s="1"/>
  <c r="L366" i="14" s="1"/>
  <c r="M366" i="14" s="1"/>
  <c r="J365" i="14"/>
  <c r="K365" i="14" s="1"/>
  <c r="L365" i="14" s="1"/>
  <c r="M365" i="14" s="1"/>
  <c r="K364" i="14"/>
  <c r="L364" i="14" s="1"/>
  <c r="M364" i="14" s="1"/>
  <c r="J364" i="14"/>
  <c r="K361" i="14"/>
  <c r="L361" i="14" s="1"/>
  <c r="M361" i="14" s="1"/>
  <c r="J361" i="14"/>
  <c r="J360" i="14"/>
  <c r="K360" i="14" s="1"/>
  <c r="L360" i="14" s="1"/>
  <c r="M360" i="14" s="1"/>
  <c r="J359" i="14"/>
  <c r="K359" i="14" s="1"/>
  <c r="L359" i="14" s="1"/>
  <c r="M359" i="14" s="1"/>
  <c r="J358" i="14"/>
  <c r="K358" i="14" s="1"/>
  <c r="L358" i="14" s="1"/>
  <c r="M358" i="14" s="1"/>
  <c r="J357" i="14"/>
  <c r="K357" i="14" s="1"/>
  <c r="L357" i="14" s="1"/>
  <c r="M357" i="14" s="1"/>
  <c r="K356" i="14"/>
  <c r="L356" i="14" s="1"/>
  <c r="M356" i="14" s="1"/>
  <c r="N356" i="14" s="1"/>
  <c r="J356" i="14"/>
  <c r="L355" i="14"/>
  <c r="M355" i="14" s="1"/>
  <c r="K355" i="14"/>
  <c r="J355" i="14"/>
  <c r="J354" i="14"/>
  <c r="K354" i="14" s="1"/>
  <c r="L354" i="14" s="1"/>
  <c r="M354" i="14" s="1"/>
  <c r="J353" i="14"/>
  <c r="K353" i="14" s="1"/>
  <c r="L353" i="14" s="1"/>
  <c r="M353" i="14" s="1"/>
  <c r="J352" i="14"/>
  <c r="K352" i="14" s="1"/>
  <c r="L352" i="14" s="1"/>
  <c r="M352" i="14" s="1"/>
  <c r="K351" i="14"/>
  <c r="L351" i="14" s="1"/>
  <c r="M351" i="14" s="1"/>
  <c r="J351" i="14"/>
  <c r="J348" i="14"/>
  <c r="K348" i="14" s="1"/>
  <c r="L348" i="14" s="1"/>
  <c r="M348" i="14" s="1"/>
  <c r="J347" i="14"/>
  <c r="K347" i="14" s="1"/>
  <c r="L347" i="14" s="1"/>
  <c r="M347" i="14" s="1"/>
  <c r="K346" i="14"/>
  <c r="L346" i="14" s="1"/>
  <c r="M346" i="14" s="1"/>
  <c r="J346" i="14"/>
  <c r="K345" i="14"/>
  <c r="L345" i="14" s="1"/>
  <c r="M345" i="14" s="1"/>
  <c r="N345" i="14" s="1"/>
  <c r="J345" i="14"/>
  <c r="K344" i="14"/>
  <c r="L344" i="14" s="1"/>
  <c r="M344" i="14" s="1"/>
  <c r="N344" i="14" s="1"/>
  <c r="J344" i="14"/>
  <c r="K343" i="14"/>
  <c r="L343" i="14" s="1"/>
  <c r="M343" i="14" s="1"/>
  <c r="J343" i="14"/>
  <c r="K342" i="14"/>
  <c r="L342" i="14" s="1"/>
  <c r="M342" i="14" s="1"/>
  <c r="J342" i="14"/>
  <c r="O341" i="14"/>
  <c r="J341" i="14"/>
  <c r="K341" i="14" s="1"/>
  <c r="L341" i="14" s="1"/>
  <c r="M341" i="14" s="1"/>
  <c r="N341" i="14" s="1"/>
  <c r="K340" i="14"/>
  <c r="L340" i="14" s="1"/>
  <c r="M340" i="14" s="1"/>
  <c r="J340" i="14"/>
  <c r="M339" i="14"/>
  <c r="J339" i="14"/>
  <c r="K339" i="14" s="1"/>
  <c r="L339" i="14" s="1"/>
  <c r="J338" i="14"/>
  <c r="K338" i="14" s="1"/>
  <c r="L338" i="14" s="1"/>
  <c r="M338" i="14" s="1"/>
  <c r="K337" i="14"/>
  <c r="L337" i="14" s="1"/>
  <c r="M337" i="14" s="1"/>
  <c r="J337" i="14"/>
  <c r="K336" i="14"/>
  <c r="L336" i="14" s="1"/>
  <c r="M336" i="14" s="1"/>
  <c r="J336" i="14"/>
  <c r="K335" i="14"/>
  <c r="L335" i="14" s="1"/>
  <c r="M335" i="14" s="1"/>
  <c r="J335" i="14"/>
  <c r="J334" i="14"/>
  <c r="K334" i="14" s="1"/>
  <c r="L334" i="14" s="1"/>
  <c r="M334" i="14" s="1"/>
  <c r="N334" i="14" s="1"/>
  <c r="J333" i="14"/>
  <c r="K333" i="14" s="1"/>
  <c r="L333" i="14" s="1"/>
  <c r="M333" i="14" s="1"/>
  <c r="J332" i="14"/>
  <c r="K332" i="14" s="1"/>
  <c r="L332" i="14" s="1"/>
  <c r="M332" i="14" s="1"/>
  <c r="K331" i="14"/>
  <c r="L331" i="14" s="1"/>
  <c r="M331" i="14" s="1"/>
  <c r="J331" i="14"/>
  <c r="K330" i="14"/>
  <c r="L330" i="14" s="1"/>
  <c r="M330" i="14" s="1"/>
  <c r="N330" i="14" s="1"/>
  <c r="O330" i="14" s="1"/>
  <c r="J330" i="14"/>
  <c r="K329" i="14"/>
  <c r="L329" i="14" s="1"/>
  <c r="M329" i="14" s="1"/>
  <c r="J329" i="14"/>
  <c r="J328" i="14"/>
  <c r="K328" i="14" s="1"/>
  <c r="L328" i="14" s="1"/>
  <c r="M328" i="14" s="1"/>
  <c r="J327" i="14"/>
  <c r="K327" i="14" s="1"/>
  <c r="L327" i="14" s="1"/>
  <c r="M327" i="14" s="1"/>
  <c r="J326" i="14"/>
  <c r="K326" i="14" s="1"/>
  <c r="L326" i="14" s="1"/>
  <c r="M326" i="14" s="1"/>
  <c r="J325" i="14"/>
  <c r="K325" i="14" s="1"/>
  <c r="L325" i="14" s="1"/>
  <c r="M325" i="14" s="1"/>
  <c r="K324" i="14"/>
  <c r="L324" i="14" s="1"/>
  <c r="M324" i="14" s="1"/>
  <c r="J324" i="14"/>
  <c r="K323" i="14"/>
  <c r="L323" i="14" s="1"/>
  <c r="M323" i="14" s="1"/>
  <c r="N323" i="14" s="1"/>
  <c r="O323" i="14" s="1"/>
  <c r="J323" i="14"/>
  <c r="J322" i="14"/>
  <c r="K322" i="14" s="1"/>
  <c r="L322" i="14" s="1"/>
  <c r="M322" i="14" s="1"/>
  <c r="J321" i="14"/>
  <c r="K321" i="14" s="1"/>
  <c r="L321" i="14" s="1"/>
  <c r="M321" i="14" s="1"/>
  <c r="J320" i="14"/>
  <c r="K320" i="14" s="1"/>
  <c r="L320" i="14" s="1"/>
  <c r="M320" i="14" s="1"/>
  <c r="K319" i="14"/>
  <c r="L319" i="14" s="1"/>
  <c r="M319" i="14" s="1"/>
  <c r="N319" i="14" s="1"/>
  <c r="O319" i="14" s="1"/>
  <c r="J319" i="14"/>
  <c r="J318" i="14"/>
  <c r="K318" i="14" s="1"/>
  <c r="L318" i="14" s="1"/>
  <c r="M318" i="14" s="1"/>
  <c r="K317" i="14"/>
  <c r="L317" i="14" s="1"/>
  <c r="M317" i="14" s="1"/>
  <c r="J317" i="14"/>
  <c r="O316" i="14"/>
  <c r="K316" i="14"/>
  <c r="L316" i="14" s="1"/>
  <c r="M316" i="14" s="1"/>
  <c r="N316" i="14" s="1"/>
  <c r="J316" i="14"/>
  <c r="J315" i="14"/>
  <c r="K315" i="14" s="1"/>
  <c r="L315" i="14" s="1"/>
  <c r="M315" i="14" s="1"/>
  <c r="K314" i="14"/>
  <c r="L314" i="14" s="1"/>
  <c r="M314" i="14" s="1"/>
  <c r="J314" i="14"/>
  <c r="J313" i="14"/>
  <c r="K313" i="14" s="1"/>
  <c r="L313" i="14" s="1"/>
  <c r="M313" i="14" s="1"/>
  <c r="N313" i="14" s="1"/>
  <c r="O313" i="14" s="1"/>
  <c r="K312" i="14"/>
  <c r="L312" i="14" s="1"/>
  <c r="M312" i="14" s="1"/>
  <c r="J312" i="14"/>
  <c r="K311" i="14"/>
  <c r="L311" i="14" s="1"/>
  <c r="M311" i="14" s="1"/>
  <c r="J311" i="14"/>
  <c r="J310" i="14"/>
  <c r="K310" i="14" s="1"/>
  <c r="L310" i="14" s="1"/>
  <c r="M310" i="14" s="1"/>
  <c r="J309" i="14"/>
  <c r="K309" i="14" s="1"/>
  <c r="L309" i="14" s="1"/>
  <c r="M309" i="14" s="1"/>
  <c r="J308" i="14"/>
  <c r="K308" i="14" s="1"/>
  <c r="L308" i="14" s="1"/>
  <c r="M308" i="14" s="1"/>
  <c r="K307" i="14"/>
  <c r="L307" i="14" s="1"/>
  <c r="M307" i="14" s="1"/>
  <c r="N307" i="14" s="1"/>
  <c r="O307" i="14" s="1"/>
  <c r="J307" i="14"/>
  <c r="L306" i="14"/>
  <c r="M306" i="14" s="1"/>
  <c r="K306" i="14"/>
  <c r="J306" i="14"/>
  <c r="J304" i="14"/>
  <c r="K304" i="14" s="1"/>
  <c r="L304" i="14" s="1"/>
  <c r="M304" i="14" s="1"/>
  <c r="N304" i="14" s="1"/>
  <c r="K302" i="14"/>
  <c r="L302" i="14" s="1"/>
  <c r="M302" i="14" s="1"/>
  <c r="J302" i="14"/>
  <c r="J301" i="14"/>
  <c r="K301" i="14" s="1"/>
  <c r="L301" i="14" s="1"/>
  <c r="M301" i="14" s="1"/>
  <c r="K300" i="14"/>
  <c r="L300" i="14" s="1"/>
  <c r="M300" i="14" s="1"/>
  <c r="J300" i="14"/>
  <c r="J299" i="14"/>
  <c r="K299" i="14" s="1"/>
  <c r="L299" i="14" s="1"/>
  <c r="M299" i="14" s="1"/>
  <c r="J298" i="14"/>
  <c r="K298" i="14" s="1"/>
  <c r="L298" i="14" s="1"/>
  <c r="M298" i="14" s="1"/>
  <c r="K297" i="14"/>
  <c r="L297" i="14" s="1"/>
  <c r="M297" i="14" s="1"/>
  <c r="J297" i="14"/>
  <c r="L296" i="14"/>
  <c r="M296" i="14" s="1"/>
  <c r="K296" i="14"/>
  <c r="J296" i="14"/>
  <c r="K295" i="14"/>
  <c r="L295" i="14" s="1"/>
  <c r="M295" i="14" s="1"/>
  <c r="J295" i="14"/>
  <c r="J294" i="14"/>
  <c r="K294" i="14" s="1"/>
  <c r="L294" i="14" s="1"/>
  <c r="M294" i="14" s="1"/>
  <c r="K293" i="14"/>
  <c r="L293" i="14" s="1"/>
  <c r="M293" i="14" s="1"/>
  <c r="N293" i="14" s="1"/>
  <c r="J293" i="14"/>
  <c r="K292" i="14"/>
  <c r="L292" i="14" s="1"/>
  <c r="M292" i="14" s="1"/>
  <c r="J292" i="14"/>
  <c r="K291" i="14"/>
  <c r="L291" i="14" s="1"/>
  <c r="M291" i="14" s="1"/>
  <c r="J291" i="14"/>
  <c r="K290" i="14"/>
  <c r="L290" i="14" s="1"/>
  <c r="M290" i="14" s="1"/>
  <c r="J290" i="14"/>
  <c r="J289" i="14"/>
  <c r="K289" i="14" s="1"/>
  <c r="L289" i="14" s="1"/>
  <c r="M289" i="14" s="1"/>
  <c r="O288" i="14"/>
  <c r="J288" i="14"/>
  <c r="K288" i="14" s="1"/>
  <c r="L288" i="14" s="1"/>
  <c r="M288" i="14" s="1"/>
  <c r="N288" i="14" s="1"/>
  <c r="L287" i="14"/>
  <c r="M287" i="14" s="1"/>
  <c r="K287" i="14"/>
  <c r="J287" i="14"/>
  <c r="J286" i="14"/>
  <c r="K286" i="14" s="1"/>
  <c r="L286" i="14" s="1"/>
  <c r="M286" i="14" s="1"/>
  <c r="K285" i="14"/>
  <c r="L285" i="14" s="1"/>
  <c r="M285" i="14" s="1"/>
  <c r="J285" i="14"/>
  <c r="K284" i="14"/>
  <c r="L284" i="14" s="1"/>
  <c r="M284" i="14" s="1"/>
  <c r="J284" i="14"/>
  <c r="K283" i="14"/>
  <c r="L283" i="14" s="1"/>
  <c r="M283" i="14" s="1"/>
  <c r="J283" i="14"/>
  <c r="K282" i="14"/>
  <c r="L282" i="14" s="1"/>
  <c r="M282" i="14" s="1"/>
  <c r="J282" i="14"/>
  <c r="K280" i="14"/>
  <c r="L280" i="14" s="1"/>
  <c r="M280" i="14" s="1"/>
  <c r="J280" i="14"/>
  <c r="K279" i="14"/>
  <c r="L279" i="14" s="1"/>
  <c r="M279" i="14" s="1"/>
  <c r="J279" i="14"/>
  <c r="J278" i="14"/>
  <c r="K278" i="14" s="1"/>
  <c r="L278" i="14" s="1"/>
  <c r="M278" i="14" s="1"/>
  <c r="N278" i="14" s="1"/>
  <c r="J277" i="14"/>
  <c r="K277" i="14" s="1"/>
  <c r="L277" i="14" s="1"/>
  <c r="M277" i="14" s="1"/>
  <c r="J276" i="14"/>
  <c r="K276" i="14" s="1"/>
  <c r="L276" i="14" s="1"/>
  <c r="M276" i="14" s="1"/>
  <c r="K275" i="14"/>
  <c r="L275" i="14" s="1"/>
  <c r="M275" i="14" s="1"/>
  <c r="J275" i="14"/>
  <c r="K274" i="14"/>
  <c r="L274" i="14" s="1"/>
  <c r="M274" i="14" s="1"/>
  <c r="J274" i="14"/>
  <c r="K273" i="14"/>
  <c r="L273" i="14" s="1"/>
  <c r="M273" i="14" s="1"/>
  <c r="J273" i="14"/>
  <c r="K272" i="14"/>
  <c r="L272" i="14" s="1"/>
  <c r="M272" i="14" s="1"/>
  <c r="N272" i="14" s="1"/>
  <c r="J272" i="14"/>
  <c r="K270" i="14"/>
  <c r="L270" i="14" s="1"/>
  <c r="M270" i="14" s="1"/>
  <c r="J270" i="14"/>
  <c r="K268" i="14"/>
  <c r="L268" i="14" s="1"/>
  <c r="M268" i="14" s="1"/>
  <c r="J268" i="14"/>
  <c r="J267" i="14"/>
  <c r="K267" i="14" s="1"/>
  <c r="L267" i="14" s="1"/>
  <c r="M267" i="14" s="1"/>
  <c r="N267" i="14" s="1"/>
  <c r="K266" i="14"/>
  <c r="L266" i="14" s="1"/>
  <c r="M266" i="14" s="1"/>
  <c r="N266" i="14" s="1"/>
  <c r="J266" i="14"/>
  <c r="L265" i="14"/>
  <c r="M265" i="14" s="1"/>
  <c r="K265" i="14"/>
  <c r="J265" i="14"/>
  <c r="K261" i="14"/>
  <c r="L261" i="14" s="1"/>
  <c r="M261" i="14" s="1"/>
  <c r="N261" i="14" s="1"/>
  <c r="J261" i="14"/>
  <c r="M260" i="14"/>
  <c r="K260" i="14"/>
  <c r="L260" i="14" s="1"/>
  <c r="J260" i="14"/>
  <c r="K259" i="14"/>
  <c r="L259" i="14" s="1"/>
  <c r="M259" i="14" s="1"/>
  <c r="J259" i="14"/>
  <c r="J257" i="14"/>
  <c r="K257" i="14" s="1"/>
  <c r="L257" i="14" s="1"/>
  <c r="M257" i="14" s="1"/>
  <c r="J256" i="14"/>
  <c r="K256" i="14" s="1"/>
  <c r="L256" i="14" s="1"/>
  <c r="M256" i="14" s="1"/>
  <c r="J255" i="14"/>
  <c r="K255" i="14" s="1"/>
  <c r="L255" i="14" s="1"/>
  <c r="M255" i="14" s="1"/>
  <c r="K254" i="14"/>
  <c r="L254" i="14" s="1"/>
  <c r="M254" i="14" s="1"/>
  <c r="J254" i="14"/>
  <c r="L253" i="14"/>
  <c r="M253" i="14" s="1"/>
  <c r="J253" i="14"/>
  <c r="K253" i="14" s="1"/>
  <c r="J252" i="14"/>
  <c r="K252" i="14" s="1"/>
  <c r="L252" i="14" s="1"/>
  <c r="M252" i="14" s="1"/>
  <c r="J251" i="14"/>
  <c r="K251" i="14" s="1"/>
  <c r="L251" i="14" s="1"/>
  <c r="M251" i="14" s="1"/>
  <c r="J250" i="14"/>
  <c r="K250" i="14" s="1"/>
  <c r="L250" i="14" s="1"/>
  <c r="M250" i="14" s="1"/>
  <c r="K249" i="14"/>
  <c r="L249" i="14" s="1"/>
  <c r="M249" i="14" s="1"/>
  <c r="J249" i="14"/>
  <c r="O248" i="14"/>
  <c r="J248" i="14"/>
  <c r="K248" i="14" s="1"/>
  <c r="L248" i="14" s="1"/>
  <c r="M248" i="14" s="1"/>
  <c r="N248" i="14" s="1"/>
  <c r="J247" i="14"/>
  <c r="K247" i="14" s="1"/>
  <c r="L247" i="14" s="1"/>
  <c r="M247" i="14" s="1"/>
  <c r="J246" i="14"/>
  <c r="K246" i="14" s="1"/>
  <c r="L246" i="14" s="1"/>
  <c r="M246" i="14" s="1"/>
  <c r="J245" i="14"/>
  <c r="K245" i="14" s="1"/>
  <c r="L245" i="14" s="1"/>
  <c r="M245" i="14" s="1"/>
  <c r="J244" i="14"/>
  <c r="K244" i="14" s="1"/>
  <c r="L244" i="14" s="1"/>
  <c r="M244" i="14" s="1"/>
  <c r="J243" i="14"/>
  <c r="K243" i="14" s="1"/>
  <c r="L243" i="14" s="1"/>
  <c r="M243" i="14" s="1"/>
  <c r="J242" i="14"/>
  <c r="K242" i="14" s="1"/>
  <c r="L242" i="14" s="1"/>
  <c r="M242" i="14" s="1"/>
  <c r="J241" i="14"/>
  <c r="K241" i="14" s="1"/>
  <c r="L241" i="14" s="1"/>
  <c r="M241" i="14" s="1"/>
  <c r="J240" i="14"/>
  <c r="K240" i="14" s="1"/>
  <c r="L240" i="14" s="1"/>
  <c r="M240" i="14" s="1"/>
  <c r="N240" i="14" s="1"/>
  <c r="J239" i="14"/>
  <c r="K239" i="14" s="1"/>
  <c r="L239" i="14" s="1"/>
  <c r="M239" i="14" s="1"/>
  <c r="J238" i="14"/>
  <c r="K238" i="14" s="1"/>
  <c r="L238" i="14" s="1"/>
  <c r="M238" i="14" s="1"/>
  <c r="J237" i="14"/>
  <c r="K237" i="14" s="1"/>
  <c r="L237" i="14" s="1"/>
  <c r="M237" i="14" s="1"/>
  <c r="J236" i="14"/>
  <c r="K236" i="14" s="1"/>
  <c r="L236" i="14" s="1"/>
  <c r="M236" i="14" s="1"/>
  <c r="J235" i="14"/>
  <c r="K235" i="14" s="1"/>
  <c r="L235" i="14" s="1"/>
  <c r="M235" i="14" s="1"/>
  <c r="J234" i="14"/>
  <c r="K234" i="14" s="1"/>
  <c r="L234" i="14" s="1"/>
  <c r="M234" i="14" s="1"/>
  <c r="J233" i="14"/>
  <c r="K233" i="14" s="1"/>
  <c r="L233" i="14" s="1"/>
  <c r="M233" i="14" s="1"/>
  <c r="J232" i="14"/>
  <c r="K232" i="14" s="1"/>
  <c r="L232" i="14" s="1"/>
  <c r="M232" i="14" s="1"/>
  <c r="N232" i="14" s="1"/>
  <c r="J231" i="14"/>
  <c r="K231" i="14" s="1"/>
  <c r="L231" i="14" s="1"/>
  <c r="M231" i="14" s="1"/>
  <c r="J230" i="14"/>
  <c r="K230" i="14" s="1"/>
  <c r="L230" i="14" s="1"/>
  <c r="M230" i="14" s="1"/>
  <c r="J229" i="14"/>
  <c r="K229" i="14" s="1"/>
  <c r="L229" i="14" s="1"/>
  <c r="M229" i="14" s="1"/>
  <c r="K228" i="14"/>
  <c r="L228" i="14" s="1"/>
  <c r="M228" i="14" s="1"/>
  <c r="J228" i="14"/>
  <c r="L227" i="14"/>
  <c r="M227" i="14" s="1"/>
  <c r="K227" i="14"/>
  <c r="J227" i="14"/>
  <c r="K226" i="14"/>
  <c r="L226" i="14" s="1"/>
  <c r="M226" i="14" s="1"/>
  <c r="N226" i="14" s="1"/>
  <c r="J226" i="14"/>
  <c r="K224" i="14"/>
  <c r="L224" i="14" s="1"/>
  <c r="M224" i="14" s="1"/>
  <c r="J224" i="14"/>
  <c r="K223" i="14"/>
  <c r="L223" i="14" s="1"/>
  <c r="M223" i="14" s="1"/>
  <c r="J223" i="14"/>
  <c r="K222" i="14"/>
  <c r="L222" i="14" s="1"/>
  <c r="M222" i="14" s="1"/>
  <c r="J222" i="14"/>
  <c r="K221" i="14"/>
  <c r="L221" i="14" s="1"/>
  <c r="M221" i="14" s="1"/>
  <c r="N221" i="14" s="1"/>
  <c r="J221" i="14"/>
  <c r="L220" i="14"/>
  <c r="M220" i="14" s="1"/>
  <c r="J220" i="14"/>
  <c r="K220" i="14" s="1"/>
  <c r="J219" i="14"/>
  <c r="K219" i="14" s="1"/>
  <c r="L219" i="14" s="1"/>
  <c r="M219" i="14" s="1"/>
  <c r="J218" i="14"/>
  <c r="K218" i="14" s="1"/>
  <c r="L218" i="14" s="1"/>
  <c r="M218" i="14" s="1"/>
  <c r="K217" i="14"/>
  <c r="L217" i="14" s="1"/>
  <c r="M217" i="14" s="1"/>
  <c r="J217" i="14"/>
  <c r="O216" i="14"/>
  <c r="J216" i="14"/>
  <c r="K216" i="14" s="1"/>
  <c r="L216" i="14" s="1"/>
  <c r="M216" i="14" s="1"/>
  <c r="N216" i="14" s="1"/>
  <c r="K215" i="14"/>
  <c r="L215" i="14" s="1"/>
  <c r="M215" i="14" s="1"/>
  <c r="N215" i="14" s="1"/>
  <c r="J215" i="14"/>
  <c r="L214" i="14"/>
  <c r="M214" i="14" s="1"/>
  <c r="J214" i="14"/>
  <c r="K214" i="14" s="1"/>
  <c r="K213" i="14"/>
  <c r="L213" i="14" s="1"/>
  <c r="M213" i="14" s="1"/>
  <c r="J213" i="14"/>
  <c r="K212" i="14"/>
  <c r="L212" i="14" s="1"/>
  <c r="M212" i="14" s="1"/>
  <c r="J212" i="14"/>
  <c r="K211" i="14"/>
  <c r="L211" i="14" s="1"/>
  <c r="M211" i="14" s="1"/>
  <c r="J211" i="14"/>
  <c r="L208" i="14"/>
  <c r="M208" i="14" s="1"/>
  <c r="J208" i="14"/>
  <c r="K208" i="14" s="1"/>
  <c r="K207" i="14"/>
  <c r="L207" i="14" s="1"/>
  <c r="M207" i="14" s="1"/>
  <c r="J207" i="14"/>
  <c r="J206" i="14"/>
  <c r="K206" i="14" s="1"/>
  <c r="L206" i="14" s="1"/>
  <c r="M206" i="14" s="1"/>
  <c r="K205" i="14"/>
  <c r="L205" i="14" s="1"/>
  <c r="M205" i="14" s="1"/>
  <c r="J205" i="14"/>
  <c r="O204" i="14"/>
  <c r="J204" i="14"/>
  <c r="K204" i="14" s="1"/>
  <c r="L204" i="14" s="1"/>
  <c r="M204" i="14" s="1"/>
  <c r="N204" i="14" s="1"/>
  <c r="N203" i="14"/>
  <c r="J203" i="14"/>
  <c r="K203" i="14" s="1"/>
  <c r="L203" i="14" s="1"/>
  <c r="M203" i="14" s="1"/>
  <c r="K202" i="14"/>
  <c r="L202" i="14" s="1"/>
  <c r="M202" i="14" s="1"/>
  <c r="J202" i="14"/>
  <c r="K201" i="14"/>
  <c r="L201" i="14" s="1"/>
  <c r="M201" i="14" s="1"/>
  <c r="J201" i="14"/>
  <c r="K200" i="14"/>
  <c r="L200" i="14" s="1"/>
  <c r="M200" i="14" s="1"/>
  <c r="J200" i="14"/>
  <c r="J199" i="14"/>
  <c r="K199" i="14" s="1"/>
  <c r="L199" i="14" s="1"/>
  <c r="M199" i="14" s="1"/>
  <c r="N199" i="14" s="1"/>
  <c r="L198" i="14"/>
  <c r="M198" i="14" s="1"/>
  <c r="N198" i="14" s="1"/>
  <c r="K198" i="14"/>
  <c r="J198" i="14"/>
  <c r="K196" i="14"/>
  <c r="L196" i="14" s="1"/>
  <c r="M196" i="14" s="1"/>
  <c r="J196" i="14"/>
  <c r="J195" i="14"/>
  <c r="K195" i="14" s="1"/>
  <c r="L195" i="14" s="1"/>
  <c r="M195" i="14" s="1"/>
  <c r="J194" i="14"/>
  <c r="K194" i="14" s="1"/>
  <c r="L194" i="14" s="1"/>
  <c r="M194" i="14" s="1"/>
  <c r="J193" i="14"/>
  <c r="K193" i="14" s="1"/>
  <c r="L193" i="14" s="1"/>
  <c r="M193" i="14" s="1"/>
  <c r="J192" i="14"/>
  <c r="K192" i="14" s="1"/>
  <c r="L192" i="14" s="1"/>
  <c r="M192" i="14" s="1"/>
  <c r="K191" i="14"/>
  <c r="L191" i="14" s="1"/>
  <c r="M191" i="14" s="1"/>
  <c r="J191" i="14"/>
  <c r="K190" i="14"/>
  <c r="L190" i="14" s="1"/>
  <c r="M190" i="14" s="1"/>
  <c r="J190" i="14"/>
  <c r="J189" i="14"/>
  <c r="K189" i="14" s="1"/>
  <c r="L189" i="14" s="1"/>
  <c r="M189" i="14" s="1"/>
  <c r="L188" i="14"/>
  <c r="M188" i="14" s="1"/>
  <c r="K188" i="14"/>
  <c r="J188" i="14"/>
  <c r="K187" i="14"/>
  <c r="L187" i="14" s="1"/>
  <c r="M187" i="14" s="1"/>
  <c r="J187" i="14"/>
  <c r="K186" i="14"/>
  <c r="L186" i="14" s="1"/>
  <c r="M186" i="14" s="1"/>
  <c r="J186" i="14"/>
  <c r="K184" i="14"/>
  <c r="L184" i="14" s="1"/>
  <c r="M184" i="14" s="1"/>
  <c r="J184" i="14"/>
  <c r="K183" i="14"/>
  <c r="L183" i="14" s="1"/>
  <c r="M183" i="14" s="1"/>
  <c r="J183" i="14"/>
  <c r="J182" i="14"/>
  <c r="K182" i="14" s="1"/>
  <c r="L182" i="14" s="1"/>
  <c r="M182" i="14" s="1"/>
  <c r="N182" i="14" s="1"/>
  <c r="M181" i="14"/>
  <c r="K181" i="14"/>
  <c r="L181" i="14" s="1"/>
  <c r="J181" i="14"/>
  <c r="J180" i="14"/>
  <c r="K180" i="14" s="1"/>
  <c r="L180" i="14" s="1"/>
  <c r="M180" i="14" s="1"/>
  <c r="J179" i="14"/>
  <c r="K179" i="14" s="1"/>
  <c r="L179" i="14" s="1"/>
  <c r="M179" i="14" s="1"/>
  <c r="J178" i="14"/>
  <c r="K178" i="14" s="1"/>
  <c r="L178" i="14" s="1"/>
  <c r="M178" i="14" s="1"/>
  <c r="K177" i="14"/>
  <c r="L177" i="14" s="1"/>
  <c r="M177" i="14" s="1"/>
  <c r="J177" i="14"/>
  <c r="L176" i="14"/>
  <c r="M176" i="14" s="1"/>
  <c r="N176" i="14" s="1"/>
  <c r="K176" i="14"/>
  <c r="J176" i="14"/>
  <c r="L175" i="14"/>
  <c r="M175" i="14" s="1"/>
  <c r="J175" i="14"/>
  <c r="K175" i="14" s="1"/>
  <c r="J174" i="14"/>
  <c r="K174" i="14" s="1"/>
  <c r="L174" i="14" s="1"/>
  <c r="M174" i="14" s="1"/>
  <c r="J173" i="14"/>
  <c r="K173" i="14" s="1"/>
  <c r="L173" i="14" s="1"/>
  <c r="M173" i="14" s="1"/>
  <c r="L172" i="14"/>
  <c r="M172" i="14" s="1"/>
  <c r="K172" i="14"/>
  <c r="J172" i="14"/>
  <c r="O171" i="14"/>
  <c r="K171" i="14"/>
  <c r="L171" i="14" s="1"/>
  <c r="M171" i="14" s="1"/>
  <c r="N171" i="14" s="1"/>
  <c r="J171" i="14"/>
  <c r="K170" i="14"/>
  <c r="L170" i="14" s="1"/>
  <c r="M170" i="14" s="1"/>
  <c r="J170" i="14"/>
  <c r="K169" i="14"/>
  <c r="L169" i="14" s="1"/>
  <c r="M169" i="14" s="1"/>
  <c r="J169" i="14"/>
  <c r="L168" i="14"/>
  <c r="M168" i="14" s="1"/>
  <c r="K168" i="14"/>
  <c r="J168" i="14"/>
  <c r="J167" i="14"/>
  <c r="K167" i="14" s="1"/>
  <c r="L167" i="14" s="1"/>
  <c r="M167" i="14" s="1"/>
  <c r="N167" i="14" s="1"/>
  <c r="L166" i="14"/>
  <c r="M166" i="14" s="1"/>
  <c r="K166" i="14"/>
  <c r="J166" i="14"/>
  <c r="L165" i="14"/>
  <c r="M165" i="14" s="1"/>
  <c r="K165" i="14"/>
  <c r="J165" i="14"/>
  <c r="J164" i="14"/>
  <c r="K164" i="14" s="1"/>
  <c r="L164" i="14" s="1"/>
  <c r="M164" i="14" s="1"/>
  <c r="J163" i="14"/>
  <c r="K163" i="14" s="1"/>
  <c r="L163" i="14" s="1"/>
  <c r="M163" i="14" s="1"/>
  <c r="K162" i="14"/>
  <c r="L162" i="14" s="1"/>
  <c r="M162" i="14" s="1"/>
  <c r="J162" i="14"/>
  <c r="O161" i="14"/>
  <c r="J161" i="14"/>
  <c r="K161" i="14" s="1"/>
  <c r="L161" i="14" s="1"/>
  <c r="M161" i="14" s="1"/>
  <c r="N161" i="14" s="1"/>
  <c r="J160" i="14"/>
  <c r="K160" i="14" s="1"/>
  <c r="L160" i="14" s="1"/>
  <c r="M160" i="14" s="1"/>
  <c r="J159" i="14"/>
  <c r="K159" i="14" s="1"/>
  <c r="L159" i="14" s="1"/>
  <c r="M159" i="14" s="1"/>
  <c r="K158" i="14"/>
  <c r="L158" i="14" s="1"/>
  <c r="M158" i="14" s="1"/>
  <c r="J158" i="14"/>
  <c r="K157" i="14"/>
  <c r="L157" i="14" s="1"/>
  <c r="M157" i="14" s="1"/>
  <c r="J157" i="14"/>
  <c r="K156" i="14"/>
  <c r="L156" i="14" s="1"/>
  <c r="M156" i="14" s="1"/>
  <c r="J156" i="14"/>
  <c r="J155" i="14"/>
  <c r="K155" i="14" s="1"/>
  <c r="L155" i="14" s="1"/>
  <c r="M155" i="14" s="1"/>
  <c r="J154" i="14"/>
  <c r="K154" i="14" s="1"/>
  <c r="L154" i="14" s="1"/>
  <c r="M154" i="14" s="1"/>
  <c r="K153" i="14"/>
  <c r="L153" i="14" s="1"/>
  <c r="M153" i="14" s="1"/>
  <c r="J153" i="14"/>
  <c r="J152" i="14"/>
  <c r="K152" i="14" s="1"/>
  <c r="L152" i="14" s="1"/>
  <c r="M152" i="14" s="1"/>
  <c r="K151" i="14"/>
  <c r="L151" i="14" s="1"/>
  <c r="M151" i="14" s="1"/>
  <c r="J151" i="14"/>
  <c r="J150" i="14"/>
  <c r="K150" i="14" s="1"/>
  <c r="L150" i="14" s="1"/>
  <c r="M150" i="14" s="1"/>
  <c r="K149" i="14"/>
  <c r="L149" i="14" s="1"/>
  <c r="M149" i="14" s="1"/>
  <c r="J149" i="14"/>
  <c r="L148" i="14"/>
  <c r="M148" i="14" s="1"/>
  <c r="J148" i="14"/>
  <c r="K148" i="14" s="1"/>
  <c r="K147" i="14"/>
  <c r="L147" i="14" s="1"/>
  <c r="M147" i="14" s="1"/>
  <c r="J147" i="14"/>
  <c r="L146" i="14"/>
  <c r="M146" i="14" s="1"/>
  <c r="K146" i="14"/>
  <c r="J146" i="14"/>
  <c r="J145" i="14"/>
  <c r="K145" i="14" s="1"/>
  <c r="L145" i="14" s="1"/>
  <c r="M145" i="14" s="1"/>
  <c r="N145" i="14" s="1"/>
  <c r="K144" i="14"/>
  <c r="L144" i="14" s="1"/>
  <c r="M144" i="14" s="1"/>
  <c r="J144" i="14"/>
  <c r="L143" i="14"/>
  <c r="M143" i="14" s="1"/>
  <c r="N143" i="14" s="1"/>
  <c r="K143" i="14"/>
  <c r="J143" i="14"/>
  <c r="M142" i="14"/>
  <c r="J142" i="14"/>
  <c r="K142" i="14" s="1"/>
  <c r="L142" i="14" s="1"/>
  <c r="K141" i="14"/>
  <c r="L141" i="14" s="1"/>
  <c r="M141" i="14" s="1"/>
  <c r="J141" i="14"/>
  <c r="J140" i="14"/>
  <c r="K140" i="14" s="1"/>
  <c r="L140" i="14" s="1"/>
  <c r="M140" i="14" s="1"/>
  <c r="N140" i="14" s="1"/>
  <c r="J139" i="14"/>
  <c r="K139" i="14" s="1"/>
  <c r="L139" i="14" s="1"/>
  <c r="M139" i="14" s="1"/>
  <c r="M138" i="14"/>
  <c r="J138" i="14"/>
  <c r="K138" i="14" s="1"/>
  <c r="L138" i="14" s="1"/>
  <c r="O137" i="14"/>
  <c r="K137" i="14"/>
  <c r="L137" i="14" s="1"/>
  <c r="M137" i="14" s="1"/>
  <c r="N137" i="14" s="1"/>
  <c r="J137" i="14"/>
  <c r="M136" i="14"/>
  <c r="J136" i="14"/>
  <c r="K136" i="14" s="1"/>
  <c r="L136" i="14" s="1"/>
  <c r="K135" i="14"/>
  <c r="L135" i="14" s="1"/>
  <c r="M135" i="14" s="1"/>
  <c r="J135" i="14"/>
  <c r="J134" i="14"/>
  <c r="K134" i="14" s="1"/>
  <c r="L134" i="14" s="1"/>
  <c r="M134" i="14" s="1"/>
  <c r="N134" i="14" s="1"/>
  <c r="J133" i="14"/>
  <c r="K133" i="14" s="1"/>
  <c r="L133" i="14" s="1"/>
  <c r="M133" i="14" s="1"/>
  <c r="K132" i="14"/>
  <c r="L132" i="14" s="1"/>
  <c r="M132" i="14" s="1"/>
  <c r="J132" i="14"/>
  <c r="J131" i="14"/>
  <c r="K131" i="14" s="1"/>
  <c r="L131" i="14" s="1"/>
  <c r="M131" i="14" s="1"/>
  <c r="N131" i="14" s="1"/>
  <c r="N130" i="14"/>
  <c r="K130" i="14"/>
  <c r="L130" i="14" s="1"/>
  <c r="M130" i="14" s="1"/>
  <c r="J130" i="14"/>
  <c r="K129" i="14"/>
  <c r="L129" i="14" s="1"/>
  <c r="M129" i="14" s="1"/>
  <c r="J129" i="14"/>
  <c r="K128" i="14"/>
  <c r="L128" i="14" s="1"/>
  <c r="M128" i="14" s="1"/>
  <c r="N128" i="14" s="1"/>
  <c r="J128" i="14"/>
  <c r="K126" i="14"/>
  <c r="L126" i="14" s="1"/>
  <c r="M126" i="14" s="1"/>
  <c r="N126" i="14" s="1"/>
  <c r="J126" i="14"/>
  <c r="K125" i="14"/>
  <c r="L125" i="14" s="1"/>
  <c r="M125" i="14" s="1"/>
  <c r="J125" i="14"/>
  <c r="J124" i="14"/>
  <c r="K124" i="14" s="1"/>
  <c r="L124" i="14" s="1"/>
  <c r="M124" i="14" s="1"/>
  <c r="N124" i="14" s="1"/>
  <c r="O124" i="14" s="1"/>
  <c r="M123" i="14"/>
  <c r="K123" i="14"/>
  <c r="L123" i="14" s="1"/>
  <c r="J123" i="14"/>
  <c r="K122" i="14"/>
  <c r="L122" i="14" s="1"/>
  <c r="M122" i="14" s="1"/>
  <c r="J122" i="14"/>
  <c r="J121" i="14"/>
  <c r="K121" i="14" s="1"/>
  <c r="L121" i="14" s="1"/>
  <c r="M121" i="14" s="1"/>
  <c r="J120" i="14"/>
  <c r="K120" i="14" s="1"/>
  <c r="L120" i="14" s="1"/>
  <c r="M120" i="14" s="1"/>
  <c r="J119" i="14"/>
  <c r="K119" i="14" s="1"/>
  <c r="L119" i="14" s="1"/>
  <c r="M119" i="14" s="1"/>
  <c r="K118" i="14"/>
  <c r="L118" i="14" s="1"/>
  <c r="M118" i="14" s="1"/>
  <c r="J118" i="14"/>
  <c r="K117" i="14"/>
  <c r="L117" i="14" s="1"/>
  <c r="M117" i="14" s="1"/>
  <c r="J117" i="14"/>
  <c r="K116" i="14"/>
  <c r="L116" i="14" s="1"/>
  <c r="M116" i="14" s="1"/>
  <c r="J116" i="14"/>
  <c r="L115" i="14"/>
  <c r="M115" i="14" s="1"/>
  <c r="N115" i="14" s="1"/>
  <c r="K115" i="14"/>
  <c r="J115" i="14"/>
  <c r="K114" i="14"/>
  <c r="L114" i="14" s="1"/>
  <c r="M114" i="14" s="1"/>
  <c r="J114" i="14"/>
  <c r="K113" i="14"/>
  <c r="L113" i="14" s="1"/>
  <c r="M113" i="14" s="1"/>
  <c r="J113" i="14"/>
  <c r="L112" i="14"/>
  <c r="M112" i="14" s="1"/>
  <c r="N112" i="14" s="1"/>
  <c r="K112" i="14"/>
  <c r="J112" i="14"/>
  <c r="J110" i="14"/>
  <c r="K110" i="14" s="1"/>
  <c r="L110" i="14" s="1"/>
  <c r="M110" i="14" s="1"/>
  <c r="J109" i="14"/>
  <c r="K109" i="14" s="1"/>
  <c r="L109" i="14" s="1"/>
  <c r="M109" i="14" s="1"/>
  <c r="J108" i="14"/>
  <c r="K108" i="14" s="1"/>
  <c r="L108" i="14" s="1"/>
  <c r="M108" i="14" s="1"/>
  <c r="N108" i="14" s="1"/>
  <c r="O108" i="14" s="1"/>
  <c r="J107" i="14"/>
  <c r="K107" i="14" s="1"/>
  <c r="L107" i="14" s="1"/>
  <c r="M107" i="14" s="1"/>
  <c r="K106" i="14"/>
  <c r="L106" i="14" s="1"/>
  <c r="M106" i="14" s="1"/>
  <c r="J106" i="14"/>
  <c r="K105" i="14"/>
  <c r="L105" i="14" s="1"/>
  <c r="M105" i="14" s="1"/>
  <c r="J105" i="14"/>
  <c r="N104" i="14"/>
  <c r="K104" i="14"/>
  <c r="L104" i="14" s="1"/>
  <c r="M104" i="14" s="1"/>
  <c r="J104" i="14"/>
  <c r="L103" i="14"/>
  <c r="M103" i="14" s="1"/>
  <c r="N103" i="14" s="1"/>
  <c r="K103" i="14"/>
  <c r="J103" i="14"/>
  <c r="J102" i="14"/>
  <c r="K102" i="14" s="1"/>
  <c r="L102" i="14" s="1"/>
  <c r="M102" i="14" s="1"/>
  <c r="M101" i="14"/>
  <c r="L101" i="14"/>
  <c r="K101" i="14"/>
  <c r="J101" i="14"/>
  <c r="L100" i="14"/>
  <c r="M100" i="14" s="1"/>
  <c r="K100" i="14"/>
  <c r="J100" i="14"/>
  <c r="K99" i="14"/>
  <c r="L99" i="14" s="1"/>
  <c r="M99" i="14" s="1"/>
  <c r="J99" i="14"/>
  <c r="K97" i="14"/>
  <c r="L97" i="14" s="1"/>
  <c r="M97" i="14" s="1"/>
  <c r="J97" i="14"/>
  <c r="K94" i="14"/>
  <c r="L94" i="14" s="1"/>
  <c r="M94" i="14" s="1"/>
  <c r="J94" i="14"/>
  <c r="L93" i="14"/>
  <c r="M93" i="14" s="1"/>
  <c r="K93" i="14"/>
  <c r="J93" i="14"/>
  <c r="L92" i="14"/>
  <c r="M92" i="14" s="1"/>
  <c r="N92" i="14" s="1"/>
  <c r="K92" i="14"/>
  <c r="J92" i="14"/>
  <c r="K91" i="14"/>
  <c r="L91" i="14" s="1"/>
  <c r="M91" i="14" s="1"/>
  <c r="J91" i="14"/>
  <c r="J89" i="14"/>
  <c r="K89" i="14" s="1"/>
  <c r="L89" i="14" s="1"/>
  <c r="M89" i="14" s="1"/>
  <c r="L88" i="14"/>
  <c r="M88" i="14" s="1"/>
  <c r="K88" i="14"/>
  <c r="J88" i="14"/>
  <c r="L87" i="14"/>
  <c r="M87" i="14" s="1"/>
  <c r="N87" i="14" s="1"/>
  <c r="K87" i="14"/>
  <c r="J87" i="14"/>
  <c r="J85" i="14"/>
  <c r="K85" i="14" s="1"/>
  <c r="L85" i="14" s="1"/>
  <c r="M85" i="14" s="1"/>
  <c r="K84" i="14"/>
  <c r="L84" i="14" s="1"/>
  <c r="M84" i="14" s="1"/>
  <c r="J84" i="14"/>
  <c r="L83" i="14"/>
  <c r="M83" i="14" s="1"/>
  <c r="K83" i="14"/>
  <c r="J83" i="14"/>
  <c r="J82" i="14"/>
  <c r="K82" i="14" s="1"/>
  <c r="L82" i="14" s="1"/>
  <c r="M82" i="14" s="1"/>
  <c r="N82" i="14" s="1"/>
  <c r="J81" i="14"/>
  <c r="K81" i="14" s="1"/>
  <c r="L81" i="14" s="1"/>
  <c r="M81" i="14" s="1"/>
  <c r="J80" i="14"/>
  <c r="K80" i="14" s="1"/>
  <c r="L80" i="14" s="1"/>
  <c r="M80" i="14" s="1"/>
  <c r="K79" i="14"/>
  <c r="L79" i="14" s="1"/>
  <c r="M79" i="14" s="1"/>
  <c r="J79" i="14"/>
  <c r="J78" i="14"/>
  <c r="K78" i="14" s="1"/>
  <c r="L78" i="14" s="1"/>
  <c r="M78" i="14" s="1"/>
  <c r="K77" i="14"/>
  <c r="L77" i="14" s="1"/>
  <c r="M77" i="14" s="1"/>
  <c r="J77" i="14"/>
  <c r="J76" i="14"/>
  <c r="K76" i="14" s="1"/>
  <c r="L76" i="14" s="1"/>
  <c r="M76" i="14" s="1"/>
  <c r="J75" i="14"/>
  <c r="K75" i="14" s="1"/>
  <c r="L75" i="14" s="1"/>
  <c r="M75" i="14" s="1"/>
  <c r="N75" i="14" s="1"/>
  <c r="N74" i="14"/>
  <c r="J74" i="14"/>
  <c r="K74" i="14" s="1"/>
  <c r="L74" i="14" s="1"/>
  <c r="M74" i="14" s="1"/>
  <c r="K73" i="14"/>
  <c r="L73" i="14" s="1"/>
  <c r="M73" i="14" s="1"/>
  <c r="J73" i="14"/>
  <c r="J72" i="14"/>
  <c r="K72" i="14" s="1"/>
  <c r="L72" i="14" s="1"/>
  <c r="M72" i="14" s="1"/>
  <c r="J71" i="14"/>
  <c r="K71" i="14" s="1"/>
  <c r="L71" i="14" s="1"/>
  <c r="M71" i="14" s="1"/>
  <c r="J70" i="14"/>
  <c r="K70" i="14" s="1"/>
  <c r="L70" i="14" s="1"/>
  <c r="M70" i="14" s="1"/>
  <c r="K69" i="14"/>
  <c r="L69" i="14" s="1"/>
  <c r="M69" i="14" s="1"/>
  <c r="J69" i="14"/>
  <c r="O68" i="14"/>
  <c r="J68" i="14"/>
  <c r="K68" i="14" s="1"/>
  <c r="L68" i="14" s="1"/>
  <c r="M68" i="14" s="1"/>
  <c r="N68" i="14" s="1"/>
  <c r="L67" i="14"/>
  <c r="M67" i="14" s="1"/>
  <c r="N67" i="14" s="1"/>
  <c r="K67" i="14"/>
  <c r="J67" i="14"/>
  <c r="J66" i="14"/>
  <c r="K66" i="14" s="1"/>
  <c r="L66" i="14" s="1"/>
  <c r="M66" i="14" s="1"/>
  <c r="K65" i="14"/>
  <c r="L65" i="14" s="1"/>
  <c r="M65" i="14" s="1"/>
  <c r="J65" i="14"/>
  <c r="L64" i="14"/>
  <c r="M64" i="14" s="1"/>
  <c r="K64" i="14"/>
  <c r="J64" i="14"/>
  <c r="L63" i="14"/>
  <c r="M63" i="14" s="1"/>
  <c r="K63" i="14"/>
  <c r="J63" i="14"/>
  <c r="L62" i="14"/>
  <c r="M62" i="14" s="1"/>
  <c r="K62" i="14"/>
  <c r="J62" i="14"/>
  <c r="K61" i="14"/>
  <c r="L61" i="14" s="1"/>
  <c r="M61" i="14" s="1"/>
  <c r="J61" i="14"/>
  <c r="K60" i="14"/>
  <c r="L60" i="14" s="1"/>
  <c r="M60" i="14" s="1"/>
  <c r="J60" i="14"/>
  <c r="K59" i="14"/>
  <c r="L59" i="14" s="1"/>
  <c r="M59" i="14" s="1"/>
  <c r="J59" i="14"/>
  <c r="N58" i="14"/>
  <c r="L58" i="14"/>
  <c r="M58" i="14" s="1"/>
  <c r="K58" i="14"/>
  <c r="J58" i="14"/>
  <c r="L57" i="14"/>
  <c r="M57" i="14" s="1"/>
  <c r="K57" i="14"/>
  <c r="J57" i="14"/>
  <c r="K56" i="14"/>
  <c r="L56" i="14" s="1"/>
  <c r="M56" i="14" s="1"/>
  <c r="J56" i="14"/>
  <c r="K55" i="14"/>
  <c r="L55" i="14" s="1"/>
  <c r="M55" i="14" s="1"/>
  <c r="J55" i="14"/>
  <c r="J54" i="14"/>
  <c r="K54" i="14" s="1"/>
  <c r="L54" i="14" s="1"/>
  <c r="M54" i="14" s="1"/>
  <c r="N54" i="14" s="1"/>
  <c r="K53" i="14"/>
  <c r="L53" i="14" s="1"/>
  <c r="M53" i="14" s="1"/>
  <c r="J53" i="14"/>
  <c r="K52" i="14"/>
  <c r="L52" i="14" s="1"/>
  <c r="M52" i="14" s="1"/>
  <c r="J52" i="14"/>
  <c r="K51" i="14"/>
  <c r="L51" i="14" s="1"/>
  <c r="M51" i="14" s="1"/>
  <c r="J51" i="14"/>
  <c r="L50" i="14"/>
  <c r="M50" i="14" s="1"/>
  <c r="K50" i="14"/>
  <c r="J50" i="14"/>
  <c r="K49" i="14"/>
  <c r="L49" i="14" s="1"/>
  <c r="M49" i="14" s="1"/>
  <c r="N49" i="14" s="1"/>
  <c r="J49" i="14"/>
  <c r="J47" i="14"/>
  <c r="K47" i="14" s="1"/>
  <c r="L47" i="14" s="1"/>
  <c r="M47" i="14" s="1"/>
  <c r="K46" i="14"/>
  <c r="L46" i="14" s="1"/>
  <c r="M46" i="14" s="1"/>
  <c r="J46" i="14"/>
  <c r="J45" i="14"/>
  <c r="K45" i="14" s="1"/>
  <c r="L45" i="14" s="1"/>
  <c r="M45" i="14" s="1"/>
  <c r="K44" i="14"/>
  <c r="L44" i="14" s="1"/>
  <c r="M44" i="14" s="1"/>
  <c r="J44" i="14"/>
  <c r="N43" i="14"/>
  <c r="J43" i="14"/>
  <c r="K43" i="14" s="1"/>
  <c r="L43" i="14" s="1"/>
  <c r="M43" i="14" s="1"/>
  <c r="M42" i="14"/>
  <c r="K42" i="14"/>
  <c r="L42" i="14" s="1"/>
  <c r="J42" i="14"/>
  <c r="K41" i="14"/>
  <c r="L41" i="14" s="1"/>
  <c r="M41" i="14" s="1"/>
  <c r="J41" i="14"/>
  <c r="K40" i="14"/>
  <c r="L40" i="14" s="1"/>
  <c r="M40" i="14" s="1"/>
  <c r="J40" i="14"/>
  <c r="K39" i="14"/>
  <c r="L39" i="14" s="1"/>
  <c r="M39" i="14" s="1"/>
  <c r="N39" i="14" s="1"/>
  <c r="J39" i="14"/>
  <c r="L37" i="14"/>
  <c r="M37" i="14" s="1"/>
  <c r="K37" i="14"/>
  <c r="J37" i="14"/>
  <c r="L36" i="14"/>
  <c r="M36" i="14" s="1"/>
  <c r="K36" i="14"/>
  <c r="J36" i="14"/>
  <c r="K35" i="14"/>
  <c r="L35" i="14" s="1"/>
  <c r="M35" i="14" s="1"/>
  <c r="J35" i="14"/>
  <c r="J34" i="14"/>
  <c r="K34" i="14" s="1"/>
  <c r="L34" i="14" s="1"/>
  <c r="M34" i="14" s="1"/>
  <c r="N34" i="14" s="1"/>
  <c r="M33" i="14"/>
  <c r="J33" i="14"/>
  <c r="K33" i="14" s="1"/>
  <c r="L33" i="14" s="1"/>
  <c r="K32" i="14"/>
  <c r="L32" i="14" s="1"/>
  <c r="M32" i="14" s="1"/>
  <c r="J32" i="14"/>
  <c r="K30" i="14"/>
  <c r="L30" i="14" s="1"/>
  <c r="M30" i="14" s="1"/>
  <c r="J30" i="14"/>
  <c r="K27" i="14"/>
  <c r="L27" i="14" s="1"/>
  <c r="M27" i="14" s="1"/>
  <c r="J27" i="14"/>
  <c r="K24" i="14"/>
  <c r="L24" i="14" s="1"/>
  <c r="M24" i="14" s="1"/>
  <c r="J24" i="14"/>
  <c r="L23" i="14"/>
  <c r="M23" i="14" s="1"/>
  <c r="K23" i="14"/>
  <c r="J23" i="14"/>
  <c r="J22" i="14"/>
  <c r="K22" i="14" s="1"/>
  <c r="L22" i="14" s="1"/>
  <c r="M22" i="14" s="1"/>
  <c r="N22" i="14" s="1"/>
  <c r="K21" i="14"/>
  <c r="L21" i="14" s="1"/>
  <c r="M21" i="14" s="1"/>
  <c r="J21" i="14"/>
  <c r="L20" i="14"/>
  <c r="M20" i="14" s="1"/>
  <c r="K20" i="14"/>
  <c r="J20" i="14"/>
  <c r="J19" i="14"/>
  <c r="K19" i="14" s="1"/>
  <c r="L19" i="14" s="1"/>
  <c r="M19" i="14" s="1"/>
  <c r="K18" i="14"/>
  <c r="L18" i="14" s="1"/>
  <c r="M18" i="14" s="1"/>
  <c r="J18" i="14"/>
  <c r="L17" i="14"/>
  <c r="M17" i="14" s="1"/>
  <c r="K17" i="14"/>
  <c r="J17" i="14"/>
  <c r="K16" i="14"/>
  <c r="L16" i="14" s="1"/>
  <c r="M16" i="14" s="1"/>
  <c r="N16" i="14" s="1"/>
  <c r="J16" i="14"/>
  <c r="J15" i="14"/>
  <c r="K15" i="14" s="1"/>
  <c r="L15" i="14" s="1"/>
  <c r="M15" i="14" s="1"/>
  <c r="K14" i="14"/>
  <c r="L14" i="14" s="1"/>
  <c r="M14" i="14" s="1"/>
  <c r="J14" i="14"/>
  <c r="L13" i="14"/>
  <c r="M13" i="14" s="1"/>
  <c r="K13" i="14"/>
  <c r="J13" i="14"/>
  <c r="J12" i="14"/>
  <c r="K12" i="14" s="1"/>
  <c r="L12" i="14" s="1"/>
  <c r="M12" i="14" s="1"/>
  <c r="K11" i="14"/>
  <c r="L11" i="14" s="1"/>
  <c r="M11" i="14" s="1"/>
  <c r="N11" i="14" s="1"/>
  <c r="J11" i="14"/>
  <c r="K10" i="14"/>
  <c r="L10" i="14" s="1"/>
  <c r="M10" i="14" s="1"/>
  <c r="J10" i="14"/>
  <c r="J9" i="14"/>
  <c r="K9" i="14" s="1"/>
  <c r="L9" i="14" s="1"/>
  <c r="M9" i="14" s="1"/>
  <c r="K8" i="14"/>
  <c r="L8" i="14" s="1"/>
  <c r="M8" i="14" s="1"/>
  <c r="J8" i="14"/>
  <c r="K7" i="14"/>
  <c r="L7" i="14" s="1"/>
  <c r="M7" i="14" s="1"/>
  <c r="J7" i="14"/>
  <c r="L6" i="14"/>
  <c r="M6" i="14" s="1"/>
  <c r="K6" i="14"/>
  <c r="J6" i="14"/>
  <c r="L5" i="14"/>
  <c r="K5" i="14"/>
  <c r="J5" i="14"/>
  <c r="G361" i="13"/>
  <c r="Q359" i="13"/>
  <c r="I359" i="13"/>
  <c r="E359" i="13"/>
  <c r="D359" i="13"/>
  <c r="C359" i="13"/>
  <c r="B359" i="13"/>
  <c r="A359" i="13"/>
  <c r="W358" i="13"/>
  <c r="V358" i="13"/>
  <c r="U358" i="13"/>
  <c r="T358" i="13"/>
  <c r="S358" i="13"/>
  <c r="Q358" i="13"/>
  <c r="O358" i="13"/>
  <c r="N358" i="13"/>
  <c r="M358" i="13"/>
  <c r="L358" i="13"/>
  <c r="K358" i="13"/>
  <c r="I358" i="13"/>
  <c r="E358" i="13"/>
  <c r="D358" i="13"/>
  <c r="C358" i="13"/>
  <c r="B358" i="13"/>
  <c r="A358" i="13"/>
  <c r="E357" i="13"/>
  <c r="D357" i="13"/>
  <c r="C357" i="13"/>
  <c r="B357" i="13"/>
  <c r="A357" i="13"/>
  <c r="Q356" i="13"/>
  <c r="I356" i="13"/>
  <c r="E356" i="13"/>
  <c r="D356" i="13"/>
  <c r="C356" i="13"/>
  <c r="B356" i="13"/>
  <c r="A356" i="13"/>
  <c r="Q355" i="13"/>
  <c r="I355" i="13"/>
  <c r="E355" i="13"/>
  <c r="D355" i="13"/>
  <c r="C355" i="13"/>
  <c r="B355" i="13"/>
  <c r="A355" i="13"/>
  <c r="E354" i="13"/>
  <c r="D354" i="13"/>
  <c r="C354" i="13"/>
  <c r="B354" i="13"/>
  <c r="A354" i="13"/>
  <c r="Q353" i="13"/>
  <c r="I353" i="13"/>
  <c r="E353" i="13"/>
  <c r="D353" i="13"/>
  <c r="C353" i="13"/>
  <c r="B353" i="13"/>
  <c r="A353" i="13"/>
  <c r="U352" i="13"/>
  <c r="Q352" i="13"/>
  <c r="M352" i="13"/>
  <c r="I352" i="13"/>
  <c r="H352" i="13"/>
  <c r="W352" i="13" s="1"/>
  <c r="E352" i="13"/>
  <c r="D352" i="13"/>
  <c r="C352" i="13"/>
  <c r="B352" i="13"/>
  <c r="A352" i="13"/>
  <c r="Q351" i="13"/>
  <c r="I351" i="13"/>
  <c r="E351" i="13"/>
  <c r="D351" i="13"/>
  <c r="C351" i="13"/>
  <c r="B351" i="13"/>
  <c r="A351" i="13"/>
  <c r="Q350" i="13"/>
  <c r="I350" i="13"/>
  <c r="E350" i="13"/>
  <c r="D350" i="13"/>
  <c r="C350" i="13"/>
  <c r="B350" i="13"/>
  <c r="A350" i="13"/>
  <c r="Q349" i="13"/>
  <c r="I349" i="13"/>
  <c r="E349" i="13"/>
  <c r="D349" i="13"/>
  <c r="C349" i="13"/>
  <c r="B349" i="13"/>
  <c r="A349" i="13"/>
  <c r="Q348" i="13"/>
  <c r="I348" i="13"/>
  <c r="E348" i="13"/>
  <c r="D348" i="13"/>
  <c r="C348" i="13"/>
  <c r="B348" i="13"/>
  <c r="A348" i="13"/>
  <c r="Q347" i="13"/>
  <c r="I347" i="13"/>
  <c r="E347" i="13"/>
  <c r="D347" i="13"/>
  <c r="C347" i="13"/>
  <c r="B347" i="13"/>
  <c r="A347" i="13"/>
  <c r="Q346" i="13"/>
  <c r="I346" i="13"/>
  <c r="E346" i="13"/>
  <c r="D346" i="13"/>
  <c r="C346" i="13"/>
  <c r="B346" i="13"/>
  <c r="A346" i="13"/>
  <c r="Q345" i="13"/>
  <c r="I345" i="13"/>
  <c r="E345" i="13"/>
  <c r="D345" i="13"/>
  <c r="C345" i="13"/>
  <c r="B345" i="13"/>
  <c r="A345" i="13"/>
  <c r="Q344" i="13"/>
  <c r="I344" i="13"/>
  <c r="E344" i="13"/>
  <c r="D344" i="13"/>
  <c r="C344" i="13"/>
  <c r="B344" i="13"/>
  <c r="A344" i="13"/>
  <c r="Q343" i="13"/>
  <c r="I343" i="13"/>
  <c r="E343" i="13"/>
  <c r="D343" i="13"/>
  <c r="C343" i="13"/>
  <c r="B343" i="13"/>
  <c r="A343" i="13"/>
  <c r="Q342" i="13"/>
  <c r="K342" i="13"/>
  <c r="I342" i="13"/>
  <c r="H342" i="13"/>
  <c r="S342" i="13" s="1"/>
  <c r="E342" i="13"/>
  <c r="D342" i="13"/>
  <c r="C342" i="13"/>
  <c r="B342" i="13"/>
  <c r="A342" i="13"/>
  <c r="W341" i="13"/>
  <c r="U341" i="13"/>
  <c r="Q341" i="13"/>
  <c r="O341" i="13"/>
  <c r="M341" i="13"/>
  <c r="I341" i="13"/>
  <c r="H341" i="13"/>
  <c r="V341" i="13" s="1"/>
  <c r="E341" i="13"/>
  <c r="D341" i="13"/>
  <c r="C341" i="13"/>
  <c r="B341" i="13"/>
  <c r="A341" i="13"/>
  <c r="Q340" i="13"/>
  <c r="I340" i="13"/>
  <c r="E340" i="13"/>
  <c r="D340" i="13"/>
  <c r="C340" i="13"/>
  <c r="B340" i="13"/>
  <c r="A340" i="13"/>
  <c r="Q339" i="13"/>
  <c r="I339" i="13"/>
  <c r="E339" i="13"/>
  <c r="D339" i="13"/>
  <c r="C339" i="13"/>
  <c r="B339" i="13"/>
  <c r="A339" i="13"/>
  <c r="Q338" i="13"/>
  <c r="I338" i="13"/>
  <c r="E338" i="13"/>
  <c r="D338" i="13"/>
  <c r="C338" i="13"/>
  <c r="B338" i="13"/>
  <c r="A338" i="13"/>
  <c r="Q337" i="13"/>
  <c r="I337" i="13"/>
  <c r="E337" i="13"/>
  <c r="D337" i="13"/>
  <c r="C337" i="13"/>
  <c r="B337" i="13"/>
  <c r="A337" i="13"/>
  <c r="Q336" i="13"/>
  <c r="I336" i="13"/>
  <c r="E336" i="13"/>
  <c r="D336" i="13"/>
  <c r="C336" i="13"/>
  <c r="B336" i="13"/>
  <c r="A336" i="13"/>
  <c r="Q335" i="13"/>
  <c r="I335" i="13"/>
  <c r="E335" i="13"/>
  <c r="D335" i="13"/>
  <c r="C335" i="13"/>
  <c r="B335" i="13"/>
  <c r="A335" i="13"/>
  <c r="Q334" i="13"/>
  <c r="I334" i="13"/>
  <c r="E334" i="13"/>
  <c r="D334" i="13"/>
  <c r="C334" i="13"/>
  <c r="B334" i="13"/>
  <c r="A334" i="13"/>
  <c r="Q333" i="13"/>
  <c r="I333" i="13"/>
  <c r="E333" i="13"/>
  <c r="D333" i="13"/>
  <c r="C333" i="13"/>
  <c r="B333" i="13"/>
  <c r="A333" i="13"/>
  <c r="Q332" i="13"/>
  <c r="I332" i="13"/>
  <c r="E332" i="13"/>
  <c r="D332" i="13"/>
  <c r="C332" i="13"/>
  <c r="B332" i="13"/>
  <c r="A332" i="13"/>
  <c r="Q331" i="13"/>
  <c r="I331" i="13"/>
  <c r="E331" i="13"/>
  <c r="D331" i="13"/>
  <c r="C331" i="13"/>
  <c r="B331" i="13"/>
  <c r="A331" i="13"/>
  <c r="Q330" i="13"/>
  <c r="I330" i="13"/>
  <c r="E330" i="13"/>
  <c r="D330" i="13"/>
  <c r="C330" i="13"/>
  <c r="B330" i="13"/>
  <c r="A330" i="13"/>
  <c r="Q329" i="13"/>
  <c r="I329" i="13"/>
  <c r="E329" i="13"/>
  <c r="D329" i="13"/>
  <c r="C329" i="13"/>
  <c r="B329" i="13"/>
  <c r="A329" i="13"/>
  <c r="Q328" i="13"/>
  <c r="I328" i="13"/>
  <c r="E328" i="13"/>
  <c r="D328" i="13"/>
  <c r="C328" i="13"/>
  <c r="B328" i="13"/>
  <c r="A328" i="13"/>
  <c r="Q327" i="13"/>
  <c r="I327" i="13"/>
  <c r="E327" i="13"/>
  <c r="D327" i="13"/>
  <c r="C327" i="13"/>
  <c r="B327" i="13"/>
  <c r="A327" i="13"/>
  <c r="Q326" i="13"/>
  <c r="I326" i="13"/>
  <c r="E326" i="13"/>
  <c r="D326" i="13"/>
  <c r="C326" i="13"/>
  <c r="B326" i="13"/>
  <c r="A326" i="13"/>
  <c r="Q325" i="13"/>
  <c r="I325" i="13"/>
  <c r="E325" i="13"/>
  <c r="D325" i="13"/>
  <c r="C325" i="13"/>
  <c r="B325" i="13"/>
  <c r="A325" i="13"/>
  <c r="Q324" i="13"/>
  <c r="I324" i="13"/>
  <c r="E324" i="13"/>
  <c r="D324" i="13"/>
  <c r="C324" i="13"/>
  <c r="B324" i="13"/>
  <c r="A324" i="13"/>
  <c r="Q323" i="13"/>
  <c r="I323" i="13"/>
  <c r="E323" i="13"/>
  <c r="D323" i="13"/>
  <c r="C323" i="13"/>
  <c r="B323" i="13"/>
  <c r="A323" i="13"/>
  <c r="Q322" i="13"/>
  <c r="I322" i="13"/>
  <c r="E322" i="13"/>
  <c r="D322" i="13"/>
  <c r="C322" i="13"/>
  <c r="B322" i="13"/>
  <c r="A322" i="13"/>
  <c r="Q321" i="13"/>
  <c r="I321" i="13"/>
  <c r="E321" i="13"/>
  <c r="D321" i="13"/>
  <c r="C321" i="13"/>
  <c r="B321" i="13"/>
  <c r="A321" i="13"/>
  <c r="Q320" i="13"/>
  <c r="I320" i="13"/>
  <c r="E320" i="13"/>
  <c r="D320" i="13"/>
  <c r="C320" i="13"/>
  <c r="B320" i="13"/>
  <c r="A320" i="13"/>
  <c r="Q319" i="13"/>
  <c r="I319" i="13"/>
  <c r="E319" i="13"/>
  <c r="D319" i="13"/>
  <c r="C319" i="13"/>
  <c r="B319" i="13"/>
  <c r="A319" i="13"/>
  <c r="Q318" i="13"/>
  <c r="I318" i="13"/>
  <c r="E318" i="13"/>
  <c r="D318" i="13"/>
  <c r="C318" i="13"/>
  <c r="B318" i="13"/>
  <c r="A318" i="13"/>
  <c r="U317" i="13"/>
  <c r="Q317" i="13"/>
  <c r="M317" i="13"/>
  <c r="I317" i="13"/>
  <c r="H317" i="13"/>
  <c r="T317" i="13" s="1"/>
  <c r="E317" i="13"/>
  <c r="D317" i="13"/>
  <c r="C317" i="13"/>
  <c r="B317" i="13"/>
  <c r="A317" i="13"/>
  <c r="Q316" i="13"/>
  <c r="I316" i="13"/>
  <c r="E316" i="13"/>
  <c r="D316" i="13"/>
  <c r="C316" i="13"/>
  <c r="B316" i="13"/>
  <c r="A316" i="13"/>
  <c r="Q315" i="13"/>
  <c r="I315" i="13"/>
  <c r="E315" i="13"/>
  <c r="D315" i="13"/>
  <c r="C315" i="13"/>
  <c r="B315" i="13"/>
  <c r="A315" i="13"/>
  <c r="Q314" i="13"/>
  <c r="I314" i="13"/>
  <c r="E314" i="13"/>
  <c r="D314" i="13"/>
  <c r="C314" i="13"/>
  <c r="B314" i="13"/>
  <c r="A314" i="13"/>
  <c r="Q313" i="13"/>
  <c r="I313" i="13"/>
  <c r="E313" i="13"/>
  <c r="D313" i="13"/>
  <c r="C313" i="13"/>
  <c r="B313" i="13"/>
  <c r="A313" i="13"/>
  <c r="Q312" i="13"/>
  <c r="I312" i="13"/>
  <c r="E312" i="13"/>
  <c r="D312" i="13"/>
  <c r="C312" i="13"/>
  <c r="B312" i="13"/>
  <c r="A312" i="13"/>
  <c r="W311" i="13"/>
  <c r="V311" i="13"/>
  <c r="U311" i="13"/>
  <c r="T311" i="13"/>
  <c r="S311" i="13"/>
  <c r="Q311" i="13"/>
  <c r="O311" i="13"/>
  <c r="N311" i="13"/>
  <c r="M311" i="13"/>
  <c r="L311" i="13"/>
  <c r="K311" i="13"/>
  <c r="I311" i="13"/>
  <c r="E311" i="13"/>
  <c r="D311" i="13"/>
  <c r="C311" i="13"/>
  <c r="B311" i="13"/>
  <c r="A311" i="13"/>
  <c r="E310" i="13"/>
  <c r="D310" i="13"/>
  <c r="C310" i="13"/>
  <c r="B310" i="13"/>
  <c r="A310" i="13"/>
  <c r="W309" i="13"/>
  <c r="V309" i="13"/>
  <c r="U309" i="13"/>
  <c r="T309" i="13"/>
  <c r="S309" i="13"/>
  <c r="Q309" i="13"/>
  <c r="O309" i="13"/>
  <c r="N309" i="13"/>
  <c r="M309" i="13"/>
  <c r="L309" i="13"/>
  <c r="K309" i="13"/>
  <c r="I309" i="13"/>
  <c r="E309" i="13"/>
  <c r="D309" i="13"/>
  <c r="C309" i="13"/>
  <c r="B309" i="13"/>
  <c r="A309" i="13"/>
  <c r="Q308" i="13"/>
  <c r="I308" i="13"/>
  <c r="E308" i="13"/>
  <c r="D308" i="13"/>
  <c r="C308" i="13"/>
  <c r="B308" i="13"/>
  <c r="A308" i="13"/>
  <c r="Q307" i="13"/>
  <c r="I307" i="13"/>
  <c r="E307" i="13"/>
  <c r="D307" i="13"/>
  <c r="C307" i="13"/>
  <c r="B307" i="13"/>
  <c r="A307" i="13"/>
  <c r="Q306" i="13"/>
  <c r="I306" i="13"/>
  <c r="E306" i="13"/>
  <c r="D306" i="13"/>
  <c r="C306" i="13"/>
  <c r="B306" i="13"/>
  <c r="A306" i="13"/>
  <c r="Q305" i="13"/>
  <c r="I305" i="13"/>
  <c r="E305" i="13"/>
  <c r="D305" i="13"/>
  <c r="C305" i="13"/>
  <c r="B305" i="13"/>
  <c r="A305" i="13"/>
  <c r="Q304" i="13"/>
  <c r="I304" i="13"/>
  <c r="E304" i="13"/>
  <c r="D304" i="13"/>
  <c r="C304" i="13"/>
  <c r="B304" i="13"/>
  <c r="A304" i="13"/>
  <c r="Q303" i="13"/>
  <c r="I303" i="13"/>
  <c r="E303" i="13"/>
  <c r="D303" i="13"/>
  <c r="C303" i="13"/>
  <c r="B303" i="13"/>
  <c r="A303" i="13"/>
  <c r="Q302" i="13"/>
  <c r="I302" i="13"/>
  <c r="E302" i="13"/>
  <c r="D302" i="13"/>
  <c r="C302" i="13"/>
  <c r="B302" i="13"/>
  <c r="A302" i="13"/>
  <c r="Q301" i="13"/>
  <c r="I301" i="13"/>
  <c r="E301" i="13"/>
  <c r="D301" i="13"/>
  <c r="C301" i="13"/>
  <c r="B301" i="13"/>
  <c r="A301" i="13"/>
  <c r="Q300" i="13"/>
  <c r="I300" i="13"/>
  <c r="E300" i="13"/>
  <c r="D300" i="13"/>
  <c r="C300" i="13"/>
  <c r="B300" i="13"/>
  <c r="A300" i="13"/>
  <c r="E299" i="13"/>
  <c r="D299" i="13"/>
  <c r="C299" i="13"/>
  <c r="B299" i="13"/>
  <c r="A299" i="13"/>
  <c r="Q298" i="13"/>
  <c r="I298" i="13"/>
  <c r="E298" i="13"/>
  <c r="D298" i="13"/>
  <c r="C298" i="13"/>
  <c r="B298" i="13"/>
  <c r="A298" i="13"/>
  <c r="E297" i="13"/>
  <c r="D297" i="13"/>
  <c r="C297" i="13"/>
  <c r="B297" i="13"/>
  <c r="A297" i="13"/>
  <c r="Q296" i="13"/>
  <c r="I296" i="13"/>
  <c r="E296" i="13"/>
  <c r="D296" i="13"/>
  <c r="C296" i="13"/>
  <c r="B296" i="13"/>
  <c r="A296" i="13"/>
  <c r="Q295" i="13"/>
  <c r="I295" i="13"/>
  <c r="E295" i="13"/>
  <c r="D295" i="13"/>
  <c r="C295" i="13"/>
  <c r="B295" i="13"/>
  <c r="A295" i="13"/>
  <c r="Q294" i="13"/>
  <c r="I294" i="13"/>
  <c r="E294" i="13"/>
  <c r="D294" i="13"/>
  <c r="C294" i="13"/>
  <c r="B294" i="13"/>
  <c r="A294" i="13"/>
  <c r="Q293" i="13"/>
  <c r="I293" i="13"/>
  <c r="E293" i="13"/>
  <c r="D293" i="13"/>
  <c r="C293" i="13"/>
  <c r="B293" i="13"/>
  <c r="A293" i="13"/>
  <c r="Q292" i="13"/>
  <c r="I292" i="13"/>
  <c r="E292" i="13"/>
  <c r="D292" i="13"/>
  <c r="C292" i="13"/>
  <c r="B292" i="13"/>
  <c r="A292" i="13"/>
  <c r="Q291" i="13"/>
  <c r="I291" i="13"/>
  <c r="E291" i="13"/>
  <c r="D291" i="13"/>
  <c r="C291" i="13"/>
  <c r="B291" i="13"/>
  <c r="A291" i="13"/>
  <c r="Q290" i="13"/>
  <c r="I290" i="13"/>
  <c r="E290" i="13"/>
  <c r="D290" i="13"/>
  <c r="C290" i="13"/>
  <c r="B290" i="13"/>
  <c r="A290" i="13"/>
  <c r="Q289" i="13"/>
  <c r="I289" i="13"/>
  <c r="E289" i="13"/>
  <c r="D289" i="13"/>
  <c r="C289" i="13"/>
  <c r="B289" i="13"/>
  <c r="A289" i="13"/>
  <c r="Q288" i="13"/>
  <c r="I288" i="13"/>
  <c r="E288" i="13"/>
  <c r="D288" i="13"/>
  <c r="C288" i="13"/>
  <c r="B288" i="13"/>
  <c r="A288" i="13"/>
  <c r="W287" i="13"/>
  <c r="U287" i="13"/>
  <c r="S287" i="13"/>
  <c r="Q287" i="13"/>
  <c r="O287" i="13"/>
  <c r="M287" i="13"/>
  <c r="K287" i="13"/>
  <c r="I287" i="13"/>
  <c r="H287" i="13"/>
  <c r="V287" i="13" s="1"/>
  <c r="E287" i="13"/>
  <c r="D287" i="13"/>
  <c r="C287" i="13"/>
  <c r="B287" i="13"/>
  <c r="A287" i="13"/>
  <c r="Q286" i="13"/>
  <c r="I286" i="13"/>
  <c r="E286" i="13"/>
  <c r="D286" i="13"/>
  <c r="C286" i="13"/>
  <c r="B286" i="13"/>
  <c r="A286" i="13"/>
  <c r="Q285" i="13"/>
  <c r="I285" i="13"/>
  <c r="E285" i="13"/>
  <c r="D285" i="13"/>
  <c r="C285" i="13"/>
  <c r="B285" i="13"/>
  <c r="A285" i="13"/>
  <c r="W284" i="13"/>
  <c r="U284" i="13"/>
  <c r="T284" i="13"/>
  <c r="S284" i="13"/>
  <c r="Q284" i="13"/>
  <c r="O284" i="13"/>
  <c r="M284" i="13"/>
  <c r="L284" i="13"/>
  <c r="K284" i="13"/>
  <c r="I284" i="13"/>
  <c r="V284" i="13" s="1"/>
  <c r="E284" i="13"/>
  <c r="D284" i="13"/>
  <c r="C284" i="13"/>
  <c r="B284" i="13"/>
  <c r="A284" i="13"/>
  <c r="E283" i="13"/>
  <c r="D283" i="13"/>
  <c r="C283" i="13"/>
  <c r="B283" i="13"/>
  <c r="A283" i="13"/>
  <c r="Q282" i="13"/>
  <c r="I282" i="13"/>
  <c r="E282" i="13"/>
  <c r="D282" i="13"/>
  <c r="C282" i="13"/>
  <c r="B282" i="13"/>
  <c r="A282" i="13"/>
  <c r="Q281" i="13"/>
  <c r="I281" i="13"/>
  <c r="E281" i="13"/>
  <c r="D281" i="13"/>
  <c r="C281" i="13"/>
  <c r="B281" i="13"/>
  <c r="A281" i="13"/>
  <c r="Q280" i="13"/>
  <c r="I280" i="13"/>
  <c r="E280" i="13"/>
  <c r="D280" i="13"/>
  <c r="C280" i="13"/>
  <c r="B280" i="13"/>
  <c r="A280" i="13"/>
  <c r="Q279" i="13"/>
  <c r="I279" i="13"/>
  <c r="E279" i="13"/>
  <c r="D279" i="13"/>
  <c r="C279" i="13"/>
  <c r="B279" i="13"/>
  <c r="A279" i="13"/>
  <c r="Q278" i="13"/>
  <c r="I278" i="13"/>
  <c r="E278" i="13"/>
  <c r="D278" i="13"/>
  <c r="C278" i="13"/>
  <c r="B278" i="13"/>
  <c r="A278" i="13"/>
  <c r="Q277" i="13"/>
  <c r="I277" i="13"/>
  <c r="E277" i="13"/>
  <c r="D277" i="13"/>
  <c r="C277" i="13"/>
  <c r="B277" i="13"/>
  <c r="A277" i="13"/>
  <c r="Q276" i="13"/>
  <c r="I276" i="13"/>
  <c r="E276" i="13"/>
  <c r="D276" i="13"/>
  <c r="C276" i="13"/>
  <c r="B276" i="13"/>
  <c r="A276" i="13"/>
  <c r="Q275" i="13"/>
  <c r="I275" i="13"/>
  <c r="E275" i="13"/>
  <c r="D275" i="13"/>
  <c r="C275" i="13"/>
  <c r="B275" i="13"/>
  <c r="A275" i="13"/>
  <c r="W274" i="13"/>
  <c r="V274" i="13"/>
  <c r="U274" i="13"/>
  <c r="T274" i="13"/>
  <c r="S274" i="13"/>
  <c r="Q274" i="13"/>
  <c r="O274" i="13"/>
  <c r="N274" i="13"/>
  <c r="M274" i="13"/>
  <c r="L274" i="13"/>
  <c r="K274" i="13"/>
  <c r="I274" i="13"/>
  <c r="E274" i="13"/>
  <c r="D274" i="13"/>
  <c r="C274" i="13"/>
  <c r="B274" i="13"/>
  <c r="A274" i="13"/>
  <c r="Q273" i="13"/>
  <c r="I273" i="13"/>
  <c r="E273" i="13"/>
  <c r="D273" i="13"/>
  <c r="C273" i="13"/>
  <c r="B273" i="13"/>
  <c r="A273" i="13"/>
  <c r="E272" i="13"/>
  <c r="D272" i="13"/>
  <c r="C272" i="13"/>
  <c r="B272" i="13"/>
  <c r="A272" i="13"/>
  <c r="U271" i="13"/>
  <c r="T271" i="13"/>
  <c r="Q271" i="13"/>
  <c r="M271" i="13"/>
  <c r="L271" i="13"/>
  <c r="I271" i="13"/>
  <c r="H271" i="13"/>
  <c r="W271" i="13" s="1"/>
  <c r="E271" i="13"/>
  <c r="D271" i="13"/>
  <c r="C271" i="13"/>
  <c r="B271" i="13"/>
  <c r="A271" i="13"/>
  <c r="Q270" i="13"/>
  <c r="I270" i="13"/>
  <c r="E270" i="13"/>
  <c r="D270" i="13"/>
  <c r="C270" i="13"/>
  <c r="B270" i="13"/>
  <c r="A270" i="13"/>
  <c r="Q269" i="13"/>
  <c r="I269" i="13"/>
  <c r="E269" i="13"/>
  <c r="D269" i="13"/>
  <c r="C269" i="13"/>
  <c r="B269" i="13"/>
  <c r="A269" i="13"/>
  <c r="Q268" i="13"/>
  <c r="I268" i="13"/>
  <c r="E268" i="13"/>
  <c r="D268" i="13"/>
  <c r="C268" i="13"/>
  <c r="B268" i="13"/>
  <c r="A268" i="13"/>
  <c r="V267" i="13"/>
  <c r="U267" i="13"/>
  <c r="T267" i="13"/>
  <c r="S267" i="13"/>
  <c r="Q267" i="13"/>
  <c r="N267" i="13"/>
  <c r="M267" i="13"/>
  <c r="L267" i="13"/>
  <c r="K267" i="13"/>
  <c r="I267" i="13"/>
  <c r="W267" i="13" s="1"/>
  <c r="E267" i="13"/>
  <c r="D267" i="13"/>
  <c r="C267" i="13"/>
  <c r="B267" i="13"/>
  <c r="A267" i="13"/>
  <c r="E266" i="13"/>
  <c r="D266" i="13"/>
  <c r="C266" i="13"/>
  <c r="B266" i="13"/>
  <c r="A266" i="13"/>
  <c r="E265" i="13"/>
  <c r="D265" i="13"/>
  <c r="C265" i="13"/>
  <c r="B265" i="13"/>
  <c r="A265" i="13"/>
  <c r="Q264" i="13"/>
  <c r="I264" i="13"/>
  <c r="E264" i="13"/>
  <c r="D264" i="13"/>
  <c r="C264" i="13"/>
  <c r="B264" i="13"/>
  <c r="A264" i="13"/>
  <c r="Q263" i="13"/>
  <c r="I263" i="13"/>
  <c r="E263" i="13"/>
  <c r="D263" i="13"/>
  <c r="C263" i="13"/>
  <c r="B263" i="13"/>
  <c r="A263" i="13"/>
  <c r="W262" i="13"/>
  <c r="V262" i="13"/>
  <c r="U262" i="13"/>
  <c r="T262" i="13"/>
  <c r="S262" i="13"/>
  <c r="Q262" i="13"/>
  <c r="O262" i="13"/>
  <c r="N262" i="13"/>
  <c r="M262" i="13"/>
  <c r="L262" i="13"/>
  <c r="K262" i="13"/>
  <c r="I262" i="13"/>
  <c r="E262" i="13"/>
  <c r="D262" i="13"/>
  <c r="C262" i="13"/>
  <c r="B262" i="13"/>
  <c r="A262" i="13"/>
  <c r="W261" i="13"/>
  <c r="U261" i="13"/>
  <c r="T261" i="13"/>
  <c r="S261" i="13"/>
  <c r="Q261" i="13"/>
  <c r="O261" i="13"/>
  <c r="M261" i="13"/>
  <c r="L261" i="13"/>
  <c r="K261" i="13"/>
  <c r="I261" i="13"/>
  <c r="E261" i="13"/>
  <c r="D261" i="13"/>
  <c r="C261" i="13"/>
  <c r="B261" i="13"/>
  <c r="A261" i="13"/>
  <c r="E260" i="13"/>
  <c r="D260" i="13"/>
  <c r="C260" i="13"/>
  <c r="B260" i="13"/>
  <c r="A260" i="13"/>
  <c r="E259" i="13"/>
  <c r="D259" i="13"/>
  <c r="C259" i="13"/>
  <c r="B259" i="13"/>
  <c r="A259" i="13"/>
  <c r="Q258" i="13"/>
  <c r="I258" i="13"/>
  <c r="E258" i="13"/>
  <c r="D258" i="13"/>
  <c r="C258" i="13"/>
  <c r="B258" i="13"/>
  <c r="A258" i="13"/>
  <c r="Q257" i="13"/>
  <c r="I257" i="13"/>
  <c r="E257" i="13"/>
  <c r="D257" i="13"/>
  <c r="C257" i="13"/>
  <c r="B257" i="13"/>
  <c r="A257" i="13"/>
  <c r="Q256" i="13"/>
  <c r="I256" i="13"/>
  <c r="E256" i="13"/>
  <c r="D256" i="13"/>
  <c r="C256" i="13"/>
  <c r="B256" i="13"/>
  <c r="A256" i="13"/>
  <c r="Q255" i="13"/>
  <c r="I255" i="13"/>
  <c r="E255" i="13"/>
  <c r="D255" i="13"/>
  <c r="C255" i="13"/>
  <c r="B255" i="13"/>
  <c r="A255" i="13"/>
  <c r="Q254" i="13"/>
  <c r="I254" i="13"/>
  <c r="E254" i="13"/>
  <c r="D254" i="13"/>
  <c r="C254" i="13"/>
  <c r="B254" i="13"/>
  <c r="A254" i="13"/>
  <c r="Q253" i="13"/>
  <c r="O253" i="13"/>
  <c r="I253" i="13"/>
  <c r="E253" i="13"/>
  <c r="H253" i="13" s="1"/>
  <c r="D253" i="13"/>
  <c r="C253" i="13"/>
  <c r="B253" i="13"/>
  <c r="A253" i="13"/>
  <c r="Q252" i="13"/>
  <c r="I252" i="13"/>
  <c r="E252" i="13"/>
  <c r="D252" i="13"/>
  <c r="C252" i="13"/>
  <c r="B252" i="13"/>
  <c r="A252" i="13"/>
  <c r="Q251" i="13"/>
  <c r="I251" i="13"/>
  <c r="E251" i="13"/>
  <c r="D251" i="13"/>
  <c r="C251" i="13"/>
  <c r="B251" i="13"/>
  <c r="A251" i="13"/>
  <c r="Q250" i="13"/>
  <c r="I250" i="13"/>
  <c r="E250" i="13"/>
  <c r="D250" i="13"/>
  <c r="C250" i="13"/>
  <c r="B250" i="13"/>
  <c r="A250" i="13"/>
  <c r="Q249" i="13"/>
  <c r="I249" i="13"/>
  <c r="E249" i="13"/>
  <c r="D249" i="13"/>
  <c r="C249" i="13"/>
  <c r="B249" i="13"/>
  <c r="A249" i="13"/>
  <c r="Q248" i="13"/>
  <c r="I248" i="13"/>
  <c r="E248" i="13"/>
  <c r="D248" i="13"/>
  <c r="C248" i="13"/>
  <c r="B248" i="13"/>
  <c r="A248" i="13"/>
  <c r="Q247" i="13"/>
  <c r="I247" i="13"/>
  <c r="E247" i="13"/>
  <c r="D247" i="13"/>
  <c r="C247" i="13"/>
  <c r="B247" i="13"/>
  <c r="A247" i="13"/>
  <c r="Q246" i="13"/>
  <c r="I246" i="13"/>
  <c r="E246" i="13"/>
  <c r="D246" i="13"/>
  <c r="C246" i="13"/>
  <c r="B246" i="13"/>
  <c r="A246" i="13"/>
  <c r="Q245" i="13"/>
  <c r="I245" i="13"/>
  <c r="E245" i="13"/>
  <c r="D245" i="13"/>
  <c r="C245" i="13"/>
  <c r="B245" i="13"/>
  <c r="A245" i="13"/>
  <c r="Q244" i="13"/>
  <c r="I244" i="13"/>
  <c r="E244" i="13"/>
  <c r="D244" i="13"/>
  <c r="C244" i="13"/>
  <c r="B244" i="13"/>
  <c r="A244" i="13"/>
  <c r="Q243" i="13"/>
  <c r="I243" i="13"/>
  <c r="E243" i="13"/>
  <c r="D243" i="13"/>
  <c r="C243" i="13"/>
  <c r="B243" i="13"/>
  <c r="A243" i="13"/>
  <c r="Q242" i="13"/>
  <c r="I242" i="13"/>
  <c r="E242" i="13"/>
  <c r="D242" i="13"/>
  <c r="C242" i="13"/>
  <c r="B242" i="13"/>
  <c r="A242" i="13"/>
  <c r="Q241" i="13"/>
  <c r="I241" i="13"/>
  <c r="E241" i="13"/>
  <c r="D241" i="13"/>
  <c r="C241" i="13"/>
  <c r="B241" i="13"/>
  <c r="A241" i="13"/>
  <c r="Q240" i="13"/>
  <c r="I240" i="13"/>
  <c r="E240" i="13"/>
  <c r="D240" i="13"/>
  <c r="C240" i="13"/>
  <c r="B240" i="13"/>
  <c r="A240" i="13"/>
  <c r="Q239" i="13"/>
  <c r="I239" i="13"/>
  <c r="E239" i="13"/>
  <c r="D239" i="13"/>
  <c r="C239" i="13"/>
  <c r="B239" i="13"/>
  <c r="A239" i="13"/>
  <c r="Q238" i="13"/>
  <c r="I238" i="13"/>
  <c r="E238" i="13"/>
  <c r="D238" i="13"/>
  <c r="C238" i="13"/>
  <c r="B238" i="13"/>
  <c r="A238" i="13"/>
  <c r="Q237" i="13"/>
  <c r="I237" i="13"/>
  <c r="E237" i="13"/>
  <c r="D237" i="13"/>
  <c r="C237" i="13"/>
  <c r="B237" i="13"/>
  <c r="A237" i="13"/>
  <c r="W236" i="13"/>
  <c r="V236" i="13"/>
  <c r="U236" i="13"/>
  <c r="T236" i="13"/>
  <c r="S236" i="13"/>
  <c r="Q236" i="13"/>
  <c r="O236" i="13"/>
  <c r="N236" i="13"/>
  <c r="M236" i="13"/>
  <c r="L236" i="13"/>
  <c r="K236" i="13"/>
  <c r="I236" i="13"/>
  <c r="E236" i="13"/>
  <c r="D236" i="13"/>
  <c r="C236" i="13"/>
  <c r="B236" i="13"/>
  <c r="A236" i="13"/>
  <c r="E235" i="13"/>
  <c r="D235" i="13"/>
  <c r="C235" i="13"/>
  <c r="B235" i="13"/>
  <c r="A235" i="13"/>
  <c r="Q234" i="13"/>
  <c r="I234" i="13"/>
  <c r="E234" i="13"/>
  <c r="D234" i="13"/>
  <c r="C234" i="13"/>
  <c r="B234" i="13"/>
  <c r="A234" i="13"/>
  <c r="W233" i="13"/>
  <c r="Q233" i="13"/>
  <c r="I233" i="13"/>
  <c r="E233" i="13"/>
  <c r="H233" i="13" s="1"/>
  <c r="O233" i="13" s="1"/>
  <c r="D233" i="13"/>
  <c r="C233" i="13"/>
  <c r="B233" i="13"/>
  <c r="A233" i="13"/>
  <c r="Q232" i="13"/>
  <c r="I232" i="13"/>
  <c r="E232" i="13"/>
  <c r="D232" i="13"/>
  <c r="C232" i="13"/>
  <c r="B232" i="13"/>
  <c r="A232" i="13"/>
  <c r="Q231" i="13"/>
  <c r="I231" i="13"/>
  <c r="E231" i="13"/>
  <c r="D231" i="13"/>
  <c r="C231" i="13"/>
  <c r="B231" i="13"/>
  <c r="A231" i="13"/>
  <c r="Q230" i="13"/>
  <c r="I230" i="13"/>
  <c r="E230" i="13"/>
  <c r="D230" i="13"/>
  <c r="C230" i="13"/>
  <c r="B230" i="13"/>
  <c r="A230" i="13"/>
  <c r="Q229" i="13"/>
  <c r="I229" i="13"/>
  <c r="E229" i="13"/>
  <c r="D229" i="13"/>
  <c r="C229" i="13"/>
  <c r="B229" i="13"/>
  <c r="A229" i="13"/>
  <c r="Q228" i="13"/>
  <c r="I228" i="13"/>
  <c r="E228" i="13"/>
  <c r="D228" i="13"/>
  <c r="C228" i="13"/>
  <c r="B228" i="13"/>
  <c r="A228" i="13"/>
  <c r="Q227" i="13"/>
  <c r="I227" i="13"/>
  <c r="H227" i="13"/>
  <c r="E227" i="13"/>
  <c r="D227" i="13"/>
  <c r="C227" i="13"/>
  <c r="B227" i="13"/>
  <c r="A227" i="13"/>
  <c r="Q226" i="13"/>
  <c r="I226" i="13"/>
  <c r="E226" i="13"/>
  <c r="D226" i="13"/>
  <c r="C226" i="13"/>
  <c r="B226" i="13"/>
  <c r="A226" i="13"/>
  <c r="Q225" i="13"/>
  <c r="I225" i="13"/>
  <c r="E225" i="13"/>
  <c r="D225" i="13"/>
  <c r="C225" i="13"/>
  <c r="B225" i="13"/>
  <c r="A225" i="13"/>
  <c r="E224" i="13"/>
  <c r="D224" i="13"/>
  <c r="C224" i="13"/>
  <c r="B224" i="13"/>
  <c r="A224" i="13"/>
  <c r="Q223" i="13"/>
  <c r="I223" i="13"/>
  <c r="E223" i="13"/>
  <c r="D223" i="13"/>
  <c r="C223" i="13"/>
  <c r="B223" i="13"/>
  <c r="A223" i="13"/>
  <c r="Q222" i="13"/>
  <c r="I222" i="13"/>
  <c r="E222" i="13"/>
  <c r="D222" i="13"/>
  <c r="C222" i="13"/>
  <c r="B222" i="13"/>
  <c r="A222" i="13"/>
  <c r="Q221" i="13"/>
  <c r="I221" i="13"/>
  <c r="H221" i="13"/>
  <c r="W221" i="13" s="1"/>
  <c r="E221" i="13"/>
  <c r="D221" i="13"/>
  <c r="C221" i="13"/>
  <c r="B221" i="13"/>
  <c r="A221" i="13"/>
  <c r="Q220" i="13"/>
  <c r="I220" i="13"/>
  <c r="E220" i="13"/>
  <c r="D220" i="13"/>
  <c r="C220" i="13"/>
  <c r="B220" i="13"/>
  <c r="A220" i="13"/>
  <c r="Q219" i="13"/>
  <c r="I219" i="13"/>
  <c r="E219" i="13"/>
  <c r="D219" i="13"/>
  <c r="C219" i="13"/>
  <c r="B219" i="13"/>
  <c r="A219" i="13"/>
  <c r="Q218" i="13"/>
  <c r="I218" i="13"/>
  <c r="E218" i="13"/>
  <c r="D218" i="13"/>
  <c r="C218" i="13"/>
  <c r="B218" i="13"/>
  <c r="A218" i="13"/>
  <c r="Q217" i="13"/>
  <c r="I217" i="13"/>
  <c r="E217" i="13"/>
  <c r="D217" i="13"/>
  <c r="C217" i="13"/>
  <c r="B217" i="13"/>
  <c r="A217" i="13"/>
  <c r="Q216" i="13"/>
  <c r="I216" i="13"/>
  <c r="E216" i="13"/>
  <c r="D216" i="13"/>
  <c r="C216" i="13"/>
  <c r="B216" i="13"/>
  <c r="A216" i="13"/>
  <c r="Q215" i="13"/>
  <c r="I215" i="13"/>
  <c r="E215" i="13"/>
  <c r="D215" i="13"/>
  <c r="C215" i="13"/>
  <c r="B215" i="13"/>
  <c r="A215" i="13"/>
  <c r="Q214" i="13"/>
  <c r="I214" i="13"/>
  <c r="H214" i="13"/>
  <c r="W214" i="13" s="1"/>
  <c r="E214" i="13"/>
  <c r="D214" i="13"/>
  <c r="C214" i="13"/>
  <c r="B214" i="13"/>
  <c r="A214" i="13"/>
  <c r="Q213" i="13"/>
  <c r="I213" i="13"/>
  <c r="E213" i="13"/>
  <c r="D213" i="13"/>
  <c r="C213" i="13"/>
  <c r="B213" i="13"/>
  <c r="A213" i="13"/>
  <c r="Q212" i="13"/>
  <c r="I212" i="13"/>
  <c r="E212" i="13"/>
  <c r="D212" i="13"/>
  <c r="C212" i="13"/>
  <c r="B212" i="13"/>
  <c r="A212" i="13"/>
  <c r="Q211" i="13"/>
  <c r="I211" i="13"/>
  <c r="E211" i="13"/>
  <c r="D211" i="13"/>
  <c r="C211" i="13"/>
  <c r="B211" i="13"/>
  <c r="A211" i="13"/>
  <c r="Q210" i="13"/>
  <c r="I210" i="13"/>
  <c r="E210" i="13"/>
  <c r="D210" i="13"/>
  <c r="C210" i="13"/>
  <c r="B210" i="13"/>
  <c r="A210" i="13"/>
  <c r="Q209" i="13"/>
  <c r="I209" i="13"/>
  <c r="E209" i="13"/>
  <c r="D209" i="13"/>
  <c r="C209" i="13"/>
  <c r="B209" i="13"/>
  <c r="A209" i="13"/>
  <c r="Q208" i="13"/>
  <c r="I208" i="13"/>
  <c r="E208" i="13"/>
  <c r="D208" i="13"/>
  <c r="C208" i="13"/>
  <c r="B208" i="13"/>
  <c r="A208" i="13"/>
  <c r="Q207" i="13"/>
  <c r="I207" i="13"/>
  <c r="E207" i="13"/>
  <c r="D207" i="13"/>
  <c r="C207" i="13"/>
  <c r="B207" i="13"/>
  <c r="A207" i="13"/>
  <c r="Q206" i="13"/>
  <c r="I206" i="13"/>
  <c r="E206" i="13"/>
  <c r="D206" i="13"/>
  <c r="C206" i="13"/>
  <c r="B206" i="13"/>
  <c r="A206" i="13"/>
  <c r="Q205" i="13"/>
  <c r="I205" i="13"/>
  <c r="E205" i="13"/>
  <c r="D205" i="13"/>
  <c r="C205" i="13"/>
  <c r="B205" i="13"/>
  <c r="A205" i="13"/>
  <c r="Q204" i="13"/>
  <c r="I204" i="13"/>
  <c r="E204" i="13"/>
  <c r="D204" i="13"/>
  <c r="C204" i="13"/>
  <c r="B204" i="13"/>
  <c r="A204" i="13"/>
  <c r="Q203" i="13"/>
  <c r="I203" i="13"/>
  <c r="E203" i="13"/>
  <c r="D203" i="13"/>
  <c r="C203" i="13"/>
  <c r="B203" i="13"/>
  <c r="A203" i="13"/>
  <c r="Q202" i="13"/>
  <c r="I202" i="13"/>
  <c r="E202" i="13"/>
  <c r="D202" i="13"/>
  <c r="C202" i="13"/>
  <c r="B202" i="13"/>
  <c r="A202" i="13"/>
  <c r="Q201" i="13"/>
  <c r="I201" i="13"/>
  <c r="E201" i="13"/>
  <c r="D201" i="13"/>
  <c r="C201" i="13"/>
  <c r="B201" i="13"/>
  <c r="A201" i="13"/>
  <c r="Q200" i="13"/>
  <c r="I200" i="13"/>
  <c r="E200" i="13"/>
  <c r="D200" i="13"/>
  <c r="C200" i="13"/>
  <c r="B200" i="13"/>
  <c r="A200" i="13"/>
  <c r="Q199" i="13"/>
  <c r="I199" i="13"/>
  <c r="E199" i="13"/>
  <c r="D199" i="13"/>
  <c r="C199" i="13"/>
  <c r="B199" i="13"/>
  <c r="A199" i="13"/>
  <c r="Q198" i="13"/>
  <c r="I198" i="13"/>
  <c r="H198" i="13"/>
  <c r="E198" i="13"/>
  <c r="D198" i="13"/>
  <c r="C198" i="13"/>
  <c r="B198" i="13"/>
  <c r="A198" i="13"/>
  <c r="Q197" i="13"/>
  <c r="I197" i="13"/>
  <c r="E197" i="13"/>
  <c r="D197" i="13"/>
  <c r="C197" i="13"/>
  <c r="B197" i="13"/>
  <c r="A197" i="13"/>
  <c r="Q196" i="13"/>
  <c r="I196" i="13"/>
  <c r="E196" i="13"/>
  <c r="D196" i="13"/>
  <c r="C196" i="13"/>
  <c r="B196" i="13"/>
  <c r="A196" i="13"/>
  <c r="Q195" i="13"/>
  <c r="I195" i="13"/>
  <c r="E195" i="13"/>
  <c r="D195" i="13"/>
  <c r="C195" i="13"/>
  <c r="B195" i="13"/>
  <c r="A195" i="13"/>
  <c r="Q194" i="13"/>
  <c r="I194" i="13"/>
  <c r="E194" i="13"/>
  <c r="D194" i="13"/>
  <c r="C194" i="13"/>
  <c r="B194" i="13"/>
  <c r="A194" i="13"/>
  <c r="Q193" i="13"/>
  <c r="I193" i="13"/>
  <c r="E193" i="13"/>
  <c r="D193" i="13"/>
  <c r="C193" i="13"/>
  <c r="B193" i="13"/>
  <c r="A193" i="13"/>
  <c r="Q192" i="13"/>
  <c r="I192" i="13"/>
  <c r="E192" i="13"/>
  <c r="D192" i="13"/>
  <c r="C192" i="13"/>
  <c r="B192" i="13"/>
  <c r="A192" i="13"/>
  <c r="S191" i="13"/>
  <c r="Q191" i="13"/>
  <c r="K191" i="13"/>
  <c r="I191" i="13"/>
  <c r="H191" i="13"/>
  <c r="W191" i="13" s="1"/>
  <c r="E191" i="13"/>
  <c r="D191" i="13"/>
  <c r="C191" i="13"/>
  <c r="B191" i="13"/>
  <c r="A191" i="13"/>
  <c r="Q190" i="13"/>
  <c r="O190" i="13"/>
  <c r="I190" i="13"/>
  <c r="H190" i="13"/>
  <c r="W190" i="13" s="1"/>
  <c r="E190" i="13"/>
  <c r="D190" i="13"/>
  <c r="C190" i="13"/>
  <c r="B190" i="13"/>
  <c r="A190" i="13"/>
  <c r="Q189" i="13"/>
  <c r="I189" i="13"/>
  <c r="E189" i="13"/>
  <c r="D189" i="13"/>
  <c r="C189" i="13"/>
  <c r="B189" i="13"/>
  <c r="A189" i="13"/>
  <c r="Q188" i="13"/>
  <c r="I188" i="13"/>
  <c r="E188" i="13"/>
  <c r="D188" i="13"/>
  <c r="C188" i="13"/>
  <c r="B188" i="13"/>
  <c r="A188" i="13"/>
  <c r="W187" i="13"/>
  <c r="V187" i="13"/>
  <c r="Q187" i="13"/>
  <c r="N187" i="13"/>
  <c r="L187" i="13"/>
  <c r="I187" i="13"/>
  <c r="E187" i="13"/>
  <c r="H187" i="13" s="1"/>
  <c r="D187" i="13"/>
  <c r="C187" i="13"/>
  <c r="B187" i="13"/>
  <c r="A187" i="13"/>
  <c r="V186" i="13"/>
  <c r="Q186" i="13"/>
  <c r="M186" i="13"/>
  <c r="L186" i="13"/>
  <c r="I186" i="13"/>
  <c r="E186" i="13"/>
  <c r="H186" i="13" s="1"/>
  <c r="N186" i="13" s="1"/>
  <c r="D186" i="13"/>
  <c r="C186" i="13"/>
  <c r="B186" i="13"/>
  <c r="A186" i="13"/>
  <c r="Q185" i="13"/>
  <c r="I185" i="13"/>
  <c r="E185" i="13"/>
  <c r="D185" i="13"/>
  <c r="C185" i="13"/>
  <c r="B185" i="13"/>
  <c r="A185" i="13"/>
  <c r="Q184" i="13"/>
  <c r="I184" i="13"/>
  <c r="E184" i="13"/>
  <c r="D184" i="13"/>
  <c r="C184" i="13"/>
  <c r="B184" i="13"/>
  <c r="A184" i="13"/>
  <c r="Q183" i="13"/>
  <c r="I183" i="13"/>
  <c r="E183" i="13"/>
  <c r="D183" i="13"/>
  <c r="C183" i="13"/>
  <c r="B183" i="13"/>
  <c r="A183" i="13"/>
  <c r="Q182" i="13"/>
  <c r="I182" i="13"/>
  <c r="E182" i="13"/>
  <c r="D182" i="13"/>
  <c r="C182" i="13"/>
  <c r="B182" i="13"/>
  <c r="A182" i="13"/>
  <c r="Q181" i="13"/>
  <c r="I181" i="13"/>
  <c r="E181" i="13"/>
  <c r="D181" i="13"/>
  <c r="C181" i="13"/>
  <c r="B181" i="13"/>
  <c r="A181" i="13"/>
  <c r="Q180" i="13"/>
  <c r="I180" i="13"/>
  <c r="E180" i="13"/>
  <c r="D180" i="13"/>
  <c r="C180" i="13"/>
  <c r="B180" i="13"/>
  <c r="A180" i="13"/>
  <c r="Q179" i="13"/>
  <c r="I179" i="13"/>
  <c r="E179" i="13"/>
  <c r="D179" i="13"/>
  <c r="C179" i="13"/>
  <c r="B179" i="13"/>
  <c r="A179" i="13"/>
  <c r="Q178" i="13"/>
  <c r="I178" i="13"/>
  <c r="E178" i="13"/>
  <c r="D178" i="13"/>
  <c r="C178" i="13"/>
  <c r="B178" i="13"/>
  <c r="A178" i="13"/>
  <c r="Q177" i="13"/>
  <c r="I177" i="13"/>
  <c r="E177" i="13"/>
  <c r="D177" i="13"/>
  <c r="C177" i="13"/>
  <c r="B177" i="13"/>
  <c r="A177" i="13"/>
  <c r="Q176" i="13"/>
  <c r="I176" i="13"/>
  <c r="E176" i="13"/>
  <c r="D176" i="13"/>
  <c r="C176" i="13"/>
  <c r="B176" i="13"/>
  <c r="A176" i="13"/>
  <c r="Q175" i="13"/>
  <c r="I175" i="13"/>
  <c r="E175" i="13"/>
  <c r="D175" i="13"/>
  <c r="C175" i="13"/>
  <c r="B175" i="13"/>
  <c r="A175" i="13"/>
  <c r="W174" i="13"/>
  <c r="V174" i="13"/>
  <c r="U174" i="13"/>
  <c r="T174" i="13"/>
  <c r="S174" i="13"/>
  <c r="Q174" i="13"/>
  <c r="O174" i="13"/>
  <c r="N174" i="13"/>
  <c r="M174" i="13"/>
  <c r="L174" i="13"/>
  <c r="K174" i="13"/>
  <c r="I174" i="13"/>
  <c r="E174" i="13"/>
  <c r="D174" i="13"/>
  <c r="C174" i="13"/>
  <c r="B174" i="13"/>
  <c r="A174" i="13"/>
  <c r="E173" i="13"/>
  <c r="D173" i="13"/>
  <c r="C173" i="13"/>
  <c r="B173" i="13"/>
  <c r="A173" i="13"/>
  <c r="Q172" i="13"/>
  <c r="I172" i="13"/>
  <c r="E172" i="13"/>
  <c r="D172" i="13"/>
  <c r="C172" i="13"/>
  <c r="B172" i="13"/>
  <c r="A172" i="13"/>
  <c r="Q171" i="13"/>
  <c r="I171" i="13"/>
  <c r="E171" i="13"/>
  <c r="D171" i="13"/>
  <c r="C171" i="13"/>
  <c r="B171" i="13"/>
  <c r="A171" i="13"/>
  <c r="Q170" i="13"/>
  <c r="I170" i="13"/>
  <c r="E170" i="13"/>
  <c r="D170" i="13"/>
  <c r="C170" i="13"/>
  <c r="B170" i="13"/>
  <c r="A170" i="13"/>
  <c r="Q169" i="13"/>
  <c r="I169" i="13"/>
  <c r="E169" i="13"/>
  <c r="D169" i="13"/>
  <c r="C169" i="13"/>
  <c r="B169" i="13"/>
  <c r="A169" i="13"/>
  <c r="Q168" i="13"/>
  <c r="I168" i="13"/>
  <c r="E168" i="13"/>
  <c r="D168" i="13"/>
  <c r="C168" i="13"/>
  <c r="B168" i="13"/>
  <c r="A168" i="13"/>
  <c r="Q167" i="13"/>
  <c r="I167" i="13"/>
  <c r="E167" i="13"/>
  <c r="D167" i="13"/>
  <c r="C167" i="13"/>
  <c r="B167" i="13"/>
  <c r="A167" i="13"/>
  <c r="Q166" i="13"/>
  <c r="I166" i="13"/>
  <c r="E166" i="13"/>
  <c r="D166" i="13"/>
  <c r="C166" i="13"/>
  <c r="B166" i="13"/>
  <c r="A166" i="13"/>
  <c r="Q165" i="13"/>
  <c r="I165" i="13"/>
  <c r="E165" i="13"/>
  <c r="D165" i="13"/>
  <c r="C165" i="13"/>
  <c r="B165" i="13"/>
  <c r="A165" i="13"/>
  <c r="Q164" i="13"/>
  <c r="I164" i="13"/>
  <c r="E164" i="13"/>
  <c r="D164" i="13"/>
  <c r="C164" i="13"/>
  <c r="B164" i="13"/>
  <c r="A164" i="13"/>
  <c r="Q163" i="13"/>
  <c r="I163" i="13"/>
  <c r="E163" i="13"/>
  <c r="D163" i="13"/>
  <c r="C163" i="13"/>
  <c r="B163" i="13"/>
  <c r="A163" i="13"/>
  <c r="Q162" i="13"/>
  <c r="I162" i="13"/>
  <c r="E162" i="13"/>
  <c r="D162" i="13"/>
  <c r="C162" i="13"/>
  <c r="B162" i="13"/>
  <c r="A162" i="13"/>
  <c r="Q161" i="13"/>
  <c r="I161" i="13"/>
  <c r="E161" i="13"/>
  <c r="D161" i="13"/>
  <c r="C161" i="13"/>
  <c r="B161" i="13"/>
  <c r="A161" i="13"/>
  <c r="Q160" i="13"/>
  <c r="I160" i="13"/>
  <c r="E160" i="13"/>
  <c r="D160" i="13"/>
  <c r="C160" i="13"/>
  <c r="B160" i="13"/>
  <c r="A160" i="13"/>
  <c r="Q159" i="13"/>
  <c r="I159" i="13"/>
  <c r="E159" i="13"/>
  <c r="D159" i="13"/>
  <c r="C159" i="13"/>
  <c r="B159" i="13"/>
  <c r="A159" i="13"/>
  <c r="Q158" i="13"/>
  <c r="I158" i="13"/>
  <c r="E158" i="13"/>
  <c r="D158" i="13"/>
  <c r="C158" i="13"/>
  <c r="B158" i="13"/>
  <c r="A158" i="13"/>
  <c r="Q157" i="13"/>
  <c r="I157" i="13"/>
  <c r="E157" i="13"/>
  <c r="D157" i="13"/>
  <c r="C157" i="13"/>
  <c r="B157" i="13"/>
  <c r="A157" i="13"/>
  <c r="Q156" i="13"/>
  <c r="I156" i="13"/>
  <c r="E156" i="13"/>
  <c r="D156" i="13"/>
  <c r="C156" i="13"/>
  <c r="B156" i="13"/>
  <c r="A156" i="13"/>
  <c r="Q155" i="13"/>
  <c r="I155" i="13"/>
  <c r="E155" i="13"/>
  <c r="D155" i="13"/>
  <c r="C155" i="13"/>
  <c r="B155" i="13"/>
  <c r="A155" i="13"/>
  <c r="Q154" i="13"/>
  <c r="I154" i="13"/>
  <c r="E154" i="13"/>
  <c r="D154" i="13"/>
  <c r="C154" i="13"/>
  <c r="B154" i="13"/>
  <c r="A154" i="13"/>
  <c r="Q153" i="13"/>
  <c r="I153" i="13"/>
  <c r="E153" i="13"/>
  <c r="D153" i="13"/>
  <c r="C153" i="13"/>
  <c r="B153" i="13"/>
  <c r="A153" i="13"/>
  <c r="Q152" i="13"/>
  <c r="I152" i="13"/>
  <c r="E152" i="13"/>
  <c r="D152" i="13"/>
  <c r="C152" i="13"/>
  <c r="B152" i="13"/>
  <c r="A152" i="13"/>
  <c r="Q151" i="13"/>
  <c r="I151" i="13"/>
  <c r="E151" i="13"/>
  <c r="D151" i="13"/>
  <c r="C151" i="13"/>
  <c r="B151" i="13"/>
  <c r="A151" i="13"/>
  <c r="Q150" i="13"/>
  <c r="I150" i="13"/>
  <c r="E150" i="13"/>
  <c r="D150" i="13"/>
  <c r="C150" i="13"/>
  <c r="B150" i="13"/>
  <c r="A150" i="13"/>
  <c r="Q149" i="13"/>
  <c r="I149" i="13"/>
  <c r="E149" i="13"/>
  <c r="D149" i="13"/>
  <c r="C149" i="13"/>
  <c r="B149" i="13"/>
  <c r="A149" i="13"/>
  <c r="Q148" i="13"/>
  <c r="I148" i="13"/>
  <c r="E148" i="13"/>
  <c r="D148" i="13"/>
  <c r="C148" i="13"/>
  <c r="B148" i="13"/>
  <c r="A148" i="13"/>
  <c r="Q147" i="13"/>
  <c r="I147" i="13"/>
  <c r="E147" i="13"/>
  <c r="D147" i="13"/>
  <c r="C147" i="13"/>
  <c r="B147" i="13"/>
  <c r="A147" i="13"/>
  <c r="Q146" i="13"/>
  <c r="I146" i="13"/>
  <c r="E146" i="13"/>
  <c r="D146" i="13"/>
  <c r="C146" i="13"/>
  <c r="B146" i="13"/>
  <c r="A146" i="13"/>
  <c r="Q145" i="13"/>
  <c r="I145" i="13"/>
  <c r="E145" i="13"/>
  <c r="D145" i="13"/>
  <c r="C145" i="13"/>
  <c r="B145" i="13"/>
  <c r="A145" i="13"/>
  <c r="Q144" i="13"/>
  <c r="I144" i="13"/>
  <c r="E144" i="13"/>
  <c r="D144" i="13"/>
  <c r="C144" i="13"/>
  <c r="B144" i="13"/>
  <c r="A144" i="13"/>
  <c r="Q143" i="13"/>
  <c r="I143" i="13"/>
  <c r="E143" i="13"/>
  <c r="D143" i="13"/>
  <c r="C143" i="13"/>
  <c r="B143" i="13"/>
  <c r="A143" i="13"/>
  <c r="Q142" i="13"/>
  <c r="I142" i="13"/>
  <c r="E142" i="13"/>
  <c r="D142" i="13"/>
  <c r="C142" i="13"/>
  <c r="B142" i="13"/>
  <c r="A142" i="13"/>
  <c r="Q141" i="13"/>
  <c r="I141" i="13"/>
  <c r="E141" i="13"/>
  <c r="H141" i="13" s="1"/>
  <c r="D141" i="13"/>
  <c r="C141" i="13"/>
  <c r="B141" i="13"/>
  <c r="A141" i="13"/>
  <c r="Q140" i="13"/>
  <c r="I140" i="13"/>
  <c r="E140" i="13"/>
  <c r="D140" i="13"/>
  <c r="C140" i="13"/>
  <c r="B140" i="13"/>
  <c r="A140" i="13"/>
  <c r="Q139" i="13"/>
  <c r="I139" i="13"/>
  <c r="E139" i="13"/>
  <c r="D139" i="13"/>
  <c r="C139" i="13"/>
  <c r="B139" i="13"/>
  <c r="A139" i="13"/>
  <c r="Q138" i="13"/>
  <c r="I138" i="13"/>
  <c r="E138" i="13"/>
  <c r="D138" i="13"/>
  <c r="C138" i="13"/>
  <c r="B138" i="13"/>
  <c r="A138" i="13"/>
  <c r="Q137" i="13"/>
  <c r="I137" i="13"/>
  <c r="E137" i="13"/>
  <c r="D137" i="13"/>
  <c r="C137" i="13"/>
  <c r="B137" i="13"/>
  <c r="A137" i="13"/>
  <c r="Q136" i="13"/>
  <c r="I136" i="13"/>
  <c r="E136" i="13"/>
  <c r="D136" i="13"/>
  <c r="C136" i="13"/>
  <c r="B136" i="13"/>
  <c r="A136" i="13"/>
  <c r="Q135" i="13"/>
  <c r="I135" i="13"/>
  <c r="E135" i="13"/>
  <c r="D135" i="13"/>
  <c r="C135" i="13"/>
  <c r="B135" i="13"/>
  <c r="A135" i="13"/>
  <c r="W134" i="13"/>
  <c r="V134" i="13"/>
  <c r="U134" i="13"/>
  <c r="T134" i="13"/>
  <c r="S134" i="13"/>
  <c r="Q134" i="13"/>
  <c r="O134" i="13"/>
  <c r="N134" i="13"/>
  <c r="M134" i="13"/>
  <c r="L134" i="13"/>
  <c r="K134" i="13"/>
  <c r="I134" i="13"/>
  <c r="E134" i="13"/>
  <c r="D134" i="13"/>
  <c r="C134" i="13"/>
  <c r="B134" i="13"/>
  <c r="A134" i="13"/>
  <c r="V133" i="13"/>
  <c r="U133" i="13"/>
  <c r="T133" i="13"/>
  <c r="S133" i="13"/>
  <c r="Q133" i="13"/>
  <c r="N133" i="13"/>
  <c r="M133" i="13"/>
  <c r="L133" i="13"/>
  <c r="K133" i="13"/>
  <c r="I133" i="13"/>
  <c r="W133" i="13" s="1"/>
  <c r="E133" i="13"/>
  <c r="D133" i="13"/>
  <c r="C133" i="13"/>
  <c r="B133" i="13"/>
  <c r="A133" i="13"/>
  <c r="Q132" i="13"/>
  <c r="I132" i="13"/>
  <c r="E132" i="13"/>
  <c r="D132" i="13"/>
  <c r="C132" i="13"/>
  <c r="B132" i="13"/>
  <c r="A132" i="13"/>
  <c r="E131" i="13"/>
  <c r="D131" i="13"/>
  <c r="C131" i="13"/>
  <c r="B131" i="13"/>
  <c r="A131" i="13"/>
  <c r="E130" i="13"/>
  <c r="D130" i="13"/>
  <c r="C130" i="13"/>
  <c r="B130" i="13"/>
  <c r="A130" i="13"/>
  <c r="Q129" i="13"/>
  <c r="I129" i="13"/>
  <c r="E129" i="13"/>
  <c r="D129" i="13"/>
  <c r="C129" i="13"/>
  <c r="B129" i="13"/>
  <c r="A129" i="13"/>
  <c r="Q128" i="13"/>
  <c r="I128" i="13"/>
  <c r="E128" i="13"/>
  <c r="D128" i="13"/>
  <c r="C128" i="13"/>
  <c r="B128" i="13"/>
  <c r="A128" i="13"/>
  <c r="Q127" i="13"/>
  <c r="I127" i="13"/>
  <c r="E127" i="13"/>
  <c r="D127" i="13"/>
  <c r="C127" i="13"/>
  <c r="B127" i="13"/>
  <c r="A127" i="13"/>
  <c r="Q126" i="13"/>
  <c r="I126" i="13"/>
  <c r="E126" i="13"/>
  <c r="D126" i="13"/>
  <c r="C126" i="13"/>
  <c r="B126" i="13"/>
  <c r="A126" i="13"/>
  <c r="E125" i="13"/>
  <c r="D125" i="13"/>
  <c r="C125" i="13"/>
  <c r="B125" i="13"/>
  <c r="A125" i="13"/>
  <c r="Q124" i="13"/>
  <c r="I124" i="13"/>
  <c r="E124" i="13"/>
  <c r="D124" i="13"/>
  <c r="C124" i="13"/>
  <c r="B124" i="13"/>
  <c r="A124" i="13"/>
  <c r="W123" i="13"/>
  <c r="Q123" i="13"/>
  <c r="O123" i="13"/>
  <c r="I123" i="13"/>
  <c r="H123" i="13"/>
  <c r="S123" i="13" s="1"/>
  <c r="E123" i="13"/>
  <c r="D123" i="13"/>
  <c r="C123" i="13"/>
  <c r="B123" i="13"/>
  <c r="A123" i="13"/>
  <c r="Q122" i="13"/>
  <c r="I122" i="13"/>
  <c r="E122" i="13"/>
  <c r="D122" i="13"/>
  <c r="C122" i="13"/>
  <c r="B122" i="13"/>
  <c r="A122" i="13"/>
  <c r="Q121" i="13"/>
  <c r="I121" i="13"/>
  <c r="E121" i="13"/>
  <c r="D121" i="13"/>
  <c r="C121" i="13"/>
  <c r="B121" i="13"/>
  <c r="A121" i="13"/>
  <c r="Q120" i="13"/>
  <c r="I120" i="13"/>
  <c r="E120" i="13"/>
  <c r="D120" i="13"/>
  <c r="C120" i="13"/>
  <c r="B120" i="13"/>
  <c r="A120" i="13"/>
  <c r="Q119" i="13"/>
  <c r="I119" i="13"/>
  <c r="E119" i="13"/>
  <c r="D119" i="13"/>
  <c r="C119" i="13"/>
  <c r="B119" i="13"/>
  <c r="A119" i="13"/>
  <c r="Q118" i="13"/>
  <c r="I118" i="13"/>
  <c r="E118" i="13"/>
  <c r="D118" i="13"/>
  <c r="C118" i="13"/>
  <c r="B118" i="13"/>
  <c r="A118" i="13"/>
  <c r="Q117" i="13"/>
  <c r="I117" i="13"/>
  <c r="E117" i="13"/>
  <c r="D117" i="13"/>
  <c r="C117" i="13"/>
  <c r="B117" i="13"/>
  <c r="A117" i="13"/>
  <c r="Q116" i="13"/>
  <c r="I116" i="13"/>
  <c r="E116" i="13"/>
  <c r="D116" i="13"/>
  <c r="C116" i="13"/>
  <c r="B116" i="13"/>
  <c r="A116" i="13"/>
  <c r="Q115" i="13"/>
  <c r="I115" i="13"/>
  <c r="E115" i="13"/>
  <c r="D115" i="13"/>
  <c r="C115" i="13"/>
  <c r="B115" i="13"/>
  <c r="A115" i="13"/>
  <c r="V114" i="13"/>
  <c r="U114" i="13"/>
  <c r="T114" i="13"/>
  <c r="S114" i="13"/>
  <c r="Q114" i="13"/>
  <c r="N114" i="13"/>
  <c r="M114" i="13"/>
  <c r="L114" i="13"/>
  <c r="K114" i="13"/>
  <c r="I114" i="13"/>
  <c r="W114" i="13" s="1"/>
  <c r="E114" i="13"/>
  <c r="D114" i="13"/>
  <c r="C114" i="13"/>
  <c r="B114" i="13"/>
  <c r="A114" i="13"/>
  <c r="E113" i="13"/>
  <c r="D113" i="13"/>
  <c r="C113" i="13"/>
  <c r="B113" i="13"/>
  <c r="A113" i="13"/>
  <c r="E112" i="13"/>
  <c r="D112" i="13"/>
  <c r="C112" i="13"/>
  <c r="B112" i="13"/>
  <c r="A112" i="13"/>
  <c r="Q111" i="13"/>
  <c r="I111" i="13"/>
  <c r="E111" i="13"/>
  <c r="D111" i="13"/>
  <c r="C111" i="13"/>
  <c r="B111" i="13"/>
  <c r="A111" i="13"/>
  <c r="W110" i="13"/>
  <c r="V110" i="13"/>
  <c r="U110" i="13"/>
  <c r="T110" i="13"/>
  <c r="S110" i="13"/>
  <c r="Q110" i="13"/>
  <c r="O110" i="13"/>
  <c r="N110" i="13"/>
  <c r="M110" i="13"/>
  <c r="L110" i="13"/>
  <c r="K110" i="13"/>
  <c r="I110" i="13"/>
  <c r="E110" i="13"/>
  <c r="D110" i="13"/>
  <c r="C110" i="13"/>
  <c r="B110" i="13"/>
  <c r="A110" i="13"/>
  <c r="E109" i="13"/>
  <c r="D109" i="13"/>
  <c r="C109" i="13"/>
  <c r="B109" i="13"/>
  <c r="A109" i="13"/>
  <c r="Q108" i="13"/>
  <c r="I108" i="13"/>
  <c r="E108" i="13"/>
  <c r="D108" i="13"/>
  <c r="C108" i="13"/>
  <c r="B108" i="13"/>
  <c r="A108" i="13"/>
  <c r="Q107" i="13"/>
  <c r="I107" i="13"/>
  <c r="E107" i="13"/>
  <c r="D107" i="13"/>
  <c r="C107" i="13"/>
  <c r="B107" i="13"/>
  <c r="A107" i="13"/>
  <c r="Q106" i="13"/>
  <c r="I106" i="13"/>
  <c r="E106" i="13"/>
  <c r="D106" i="13"/>
  <c r="C106" i="13"/>
  <c r="B106" i="13"/>
  <c r="A106" i="13"/>
  <c r="E105" i="13"/>
  <c r="D105" i="13"/>
  <c r="C105" i="13"/>
  <c r="B105" i="13"/>
  <c r="A105" i="13"/>
  <c r="W104" i="13"/>
  <c r="V104" i="13"/>
  <c r="U104" i="13"/>
  <c r="T104" i="13"/>
  <c r="S104" i="13"/>
  <c r="Q104" i="13"/>
  <c r="O104" i="13"/>
  <c r="N104" i="13"/>
  <c r="M104" i="13"/>
  <c r="L104" i="13"/>
  <c r="K104" i="13"/>
  <c r="I104" i="13"/>
  <c r="E104" i="13"/>
  <c r="D104" i="13"/>
  <c r="C104" i="13"/>
  <c r="B104" i="13"/>
  <c r="A104" i="13"/>
  <c r="E103" i="13"/>
  <c r="D103" i="13"/>
  <c r="C103" i="13"/>
  <c r="B103" i="13"/>
  <c r="A103" i="13"/>
  <c r="Q102" i="13"/>
  <c r="I102" i="13"/>
  <c r="E102" i="13"/>
  <c r="D102" i="13"/>
  <c r="C102" i="13"/>
  <c r="B102" i="13"/>
  <c r="A102" i="13"/>
  <c r="Q101" i="13"/>
  <c r="I101" i="13"/>
  <c r="E101" i="13"/>
  <c r="D101" i="13"/>
  <c r="C101" i="13"/>
  <c r="B101" i="13"/>
  <c r="A101" i="13"/>
  <c r="W100" i="13"/>
  <c r="V100" i="13"/>
  <c r="U100" i="13"/>
  <c r="T100" i="13"/>
  <c r="S100" i="13"/>
  <c r="Q100" i="13"/>
  <c r="O100" i="13"/>
  <c r="N100" i="13"/>
  <c r="M100" i="13"/>
  <c r="L100" i="13"/>
  <c r="K100" i="13"/>
  <c r="I100" i="13"/>
  <c r="E100" i="13"/>
  <c r="D100" i="13"/>
  <c r="C100" i="13"/>
  <c r="B100" i="13"/>
  <c r="A100" i="13"/>
  <c r="E99" i="13"/>
  <c r="D99" i="13"/>
  <c r="C99" i="13"/>
  <c r="B99" i="13"/>
  <c r="A99" i="13"/>
  <c r="E98" i="13"/>
  <c r="D98" i="13"/>
  <c r="C98" i="13"/>
  <c r="B98" i="13"/>
  <c r="A98" i="13"/>
  <c r="Q97" i="13"/>
  <c r="I97" i="13"/>
  <c r="E97" i="13"/>
  <c r="D97" i="13"/>
  <c r="C97" i="13"/>
  <c r="B97" i="13"/>
  <c r="A97" i="13"/>
  <c r="Q96" i="13"/>
  <c r="I96" i="13"/>
  <c r="E96" i="13"/>
  <c r="D96" i="13"/>
  <c r="C96" i="13"/>
  <c r="B96" i="13"/>
  <c r="A96" i="13"/>
  <c r="Q95" i="13"/>
  <c r="I95" i="13"/>
  <c r="E95" i="13"/>
  <c r="D95" i="13"/>
  <c r="C95" i="13"/>
  <c r="B95" i="13"/>
  <c r="A95" i="13"/>
  <c r="Q94" i="13"/>
  <c r="I94" i="13"/>
  <c r="E94" i="13"/>
  <c r="D94" i="13"/>
  <c r="C94" i="13"/>
  <c r="B94" i="13"/>
  <c r="A94" i="13"/>
  <c r="Q93" i="13"/>
  <c r="I93" i="13"/>
  <c r="E93" i="13"/>
  <c r="D93" i="13"/>
  <c r="C93" i="13"/>
  <c r="B93" i="13"/>
  <c r="A93" i="13"/>
  <c r="Q92" i="13"/>
  <c r="I92" i="13"/>
  <c r="E92" i="13"/>
  <c r="D92" i="13"/>
  <c r="C92" i="13"/>
  <c r="B92" i="13"/>
  <c r="A92" i="13"/>
  <c r="Q91" i="13"/>
  <c r="I91" i="13"/>
  <c r="E91" i="13"/>
  <c r="D91" i="13"/>
  <c r="C91" i="13"/>
  <c r="B91" i="13"/>
  <c r="A91" i="13"/>
  <c r="Q90" i="13"/>
  <c r="O90" i="13"/>
  <c r="M90" i="13"/>
  <c r="I90" i="13"/>
  <c r="H90" i="13"/>
  <c r="T90" i="13" s="1"/>
  <c r="E90" i="13"/>
  <c r="D90" i="13"/>
  <c r="C90" i="13"/>
  <c r="B90" i="13"/>
  <c r="A90" i="13"/>
  <c r="V89" i="13"/>
  <c r="Q89" i="13"/>
  <c r="O89" i="13"/>
  <c r="N89" i="13"/>
  <c r="I89" i="13"/>
  <c r="E89" i="13"/>
  <c r="H89" i="13" s="1"/>
  <c r="L89" i="13" s="1"/>
  <c r="D89" i="13"/>
  <c r="C89" i="13"/>
  <c r="B89" i="13"/>
  <c r="A89" i="13"/>
  <c r="U88" i="13"/>
  <c r="Q88" i="13"/>
  <c r="N88" i="13"/>
  <c r="M88" i="13"/>
  <c r="I88" i="13"/>
  <c r="E88" i="13"/>
  <c r="H88" i="13" s="1"/>
  <c r="K88" i="13" s="1"/>
  <c r="D88" i="13"/>
  <c r="C88" i="13"/>
  <c r="B88" i="13"/>
  <c r="A88" i="13"/>
  <c r="Q87" i="13"/>
  <c r="I87" i="13"/>
  <c r="E87" i="13"/>
  <c r="D87" i="13"/>
  <c r="C87" i="13"/>
  <c r="B87" i="13"/>
  <c r="A87" i="13"/>
  <c r="Q86" i="13"/>
  <c r="I86" i="13"/>
  <c r="E86" i="13"/>
  <c r="D86" i="13"/>
  <c r="C86" i="13"/>
  <c r="B86" i="13"/>
  <c r="A86" i="13"/>
  <c r="W85" i="13"/>
  <c r="V85" i="13"/>
  <c r="T85" i="13"/>
  <c r="S85" i="13"/>
  <c r="Q85" i="13"/>
  <c r="O85" i="13"/>
  <c r="N85" i="13"/>
  <c r="L85" i="13"/>
  <c r="K85" i="13"/>
  <c r="I85" i="13"/>
  <c r="U85" i="13" s="1"/>
  <c r="E85" i="13"/>
  <c r="D85" i="13"/>
  <c r="C85" i="13"/>
  <c r="B85" i="13"/>
  <c r="A85" i="13"/>
  <c r="E84" i="13"/>
  <c r="D84" i="13"/>
  <c r="C84" i="13"/>
  <c r="B84" i="13"/>
  <c r="A84" i="13"/>
  <c r="Q83" i="13"/>
  <c r="I83" i="13"/>
  <c r="E83" i="13"/>
  <c r="D83" i="13"/>
  <c r="C83" i="13"/>
  <c r="B83" i="13"/>
  <c r="A83" i="13"/>
  <c r="Q82" i="13"/>
  <c r="I82" i="13"/>
  <c r="E82" i="13"/>
  <c r="D82" i="13"/>
  <c r="C82" i="13"/>
  <c r="B82" i="13"/>
  <c r="A82" i="13"/>
  <c r="Q81" i="13"/>
  <c r="I81" i="13"/>
  <c r="E81" i="13"/>
  <c r="D81" i="13"/>
  <c r="C81" i="13"/>
  <c r="B81" i="13"/>
  <c r="A81" i="13"/>
  <c r="Q80" i="13"/>
  <c r="I80" i="13"/>
  <c r="E80" i="13"/>
  <c r="D80" i="13"/>
  <c r="C80" i="13"/>
  <c r="B80" i="13"/>
  <c r="A80" i="13"/>
  <c r="Q79" i="13"/>
  <c r="I79" i="13"/>
  <c r="E79" i="13"/>
  <c r="D79" i="13"/>
  <c r="C79" i="13"/>
  <c r="B79" i="13"/>
  <c r="A79" i="13"/>
  <c r="Q78" i="13"/>
  <c r="I78" i="13"/>
  <c r="E78" i="13"/>
  <c r="H78" i="13" s="1"/>
  <c r="D78" i="13"/>
  <c r="C78" i="13"/>
  <c r="B78" i="13"/>
  <c r="A78" i="13"/>
  <c r="Q77" i="13"/>
  <c r="I77" i="13"/>
  <c r="E77" i="13"/>
  <c r="D77" i="13"/>
  <c r="C77" i="13"/>
  <c r="B77" i="13"/>
  <c r="A77" i="13"/>
  <c r="T76" i="13"/>
  <c r="Q76" i="13"/>
  <c r="I76" i="13"/>
  <c r="E76" i="13"/>
  <c r="H76" i="13" s="1"/>
  <c r="O76" i="13" s="1"/>
  <c r="D76" i="13"/>
  <c r="C76" i="13"/>
  <c r="B76" i="13"/>
  <c r="A76" i="13"/>
  <c r="Q75" i="13"/>
  <c r="I75" i="13"/>
  <c r="E75" i="13"/>
  <c r="H75" i="13" s="1"/>
  <c r="N75" i="13" s="1"/>
  <c r="D75" i="13"/>
  <c r="C75" i="13"/>
  <c r="B75" i="13"/>
  <c r="A75" i="13"/>
  <c r="Q74" i="13"/>
  <c r="M74" i="13"/>
  <c r="L74" i="13"/>
  <c r="I74" i="13"/>
  <c r="E74" i="13"/>
  <c r="H74" i="13" s="1"/>
  <c r="K74" i="13" s="1"/>
  <c r="D74" i="13"/>
  <c r="C74" i="13"/>
  <c r="B74" i="13"/>
  <c r="A74" i="13"/>
  <c r="Q73" i="13"/>
  <c r="I73" i="13"/>
  <c r="E73" i="13"/>
  <c r="D73" i="13"/>
  <c r="C73" i="13"/>
  <c r="B73" i="13"/>
  <c r="A73" i="13"/>
  <c r="Q72" i="13"/>
  <c r="I72" i="13"/>
  <c r="E72" i="13"/>
  <c r="H72" i="13" s="1"/>
  <c r="D72" i="13"/>
  <c r="C72" i="13"/>
  <c r="B72" i="13"/>
  <c r="A72" i="13"/>
  <c r="U71" i="13"/>
  <c r="T71" i="13"/>
  <c r="S71" i="13"/>
  <c r="Q71" i="13"/>
  <c r="M71" i="13"/>
  <c r="L71" i="13"/>
  <c r="K71" i="13"/>
  <c r="I71" i="13"/>
  <c r="H71" i="13"/>
  <c r="W71" i="13" s="1"/>
  <c r="E71" i="13"/>
  <c r="D71" i="13"/>
  <c r="C71" i="13"/>
  <c r="B71" i="13"/>
  <c r="A71" i="13"/>
  <c r="T70" i="13"/>
  <c r="S70" i="13"/>
  <c r="Q70" i="13"/>
  <c r="L70" i="13"/>
  <c r="K70" i="13"/>
  <c r="I70" i="13"/>
  <c r="H70" i="13"/>
  <c r="W70" i="13" s="1"/>
  <c r="E70" i="13"/>
  <c r="D70" i="13"/>
  <c r="C70" i="13"/>
  <c r="B70" i="13"/>
  <c r="A70" i="13"/>
  <c r="Q69" i="13"/>
  <c r="I69" i="13"/>
  <c r="E69" i="13"/>
  <c r="H69" i="13" s="1"/>
  <c r="D69" i="13"/>
  <c r="C69" i="13"/>
  <c r="B69" i="13"/>
  <c r="A69" i="13"/>
  <c r="Q68" i="13"/>
  <c r="I68" i="13"/>
  <c r="E68" i="13"/>
  <c r="D68" i="13"/>
  <c r="C68" i="13"/>
  <c r="B68" i="13"/>
  <c r="A68" i="13"/>
  <c r="Q67" i="13"/>
  <c r="I67" i="13"/>
  <c r="E67" i="13"/>
  <c r="D67" i="13"/>
  <c r="C67" i="13"/>
  <c r="B67" i="13"/>
  <c r="A67" i="13"/>
  <c r="Q66" i="13"/>
  <c r="I66" i="13"/>
  <c r="E66" i="13"/>
  <c r="D66" i="13"/>
  <c r="C66" i="13"/>
  <c r="B66" i="13"/>
  <c r="A66" i="13"/>
  <c r="Q65" i="13"/>
  <c r="I65" i="13"/>
  <c r="E65" i="13"/>
  <c r="D65" i="13"/>
  <c r="C65" i="13"/>
  <c r="B65" i="13"/>
  <c r="A65" i="13"/>
  <c r="Q64" i="13"/>
  <c r="I64" i="13"/>
  <c r="E64" i="13"/>
  <c r="D64" i="13"/>
  <c r="C64" i="13"/>
  <c r="B64" i="13"/>
  <c r="A64" i="13"/>
  <c r="Q63" i="13"/>
  <c r="I63" i="13"/>
  <c r="E63" i="13"/>
  <c r="D63" i="13"/>
  <c r="C63" i="13"/>
  <c r="B63" i="13"/>
  <c r="A63" i="13"/>
  <c r="Q62" i="13"/>
  <c r="I62" i="13"/>
  <c r="E62" i="13"/>
  <c r="D62" i="13"/>
  <c r="C62" i="13"/>
  <c r="B62" i="13"/>
  <c r="A62" i="13"/>
  <c r="Q61" i="13"/>
  <c r="I61" i="13"/>
  <c r="E61" i="13"/>
  <c r="H61" i="13" s="1"/>
  <c r="D61" i="13"/>
  <c r="C61" i="13"/>
  <c r="B61" i="13"/>
  <c r="A61" i="13"/>
  <c r="Q60" i="13"/>
  <c r="I60" i="13"/>
  <c r="E60" i="13"/>
  <c r="D60" i="13"/>
  <c r="C60" i="13"/>
  <c r="B60" i="13"/>
  <c r="A60" i="13"/>
  <c r="Q59" i="13"/>
  <c r="I59" i="13"/>
  <c r="E59" i="13"/>
  <c r="D59" i="13"/>
  <c r="C59" i="13"/>
  <c r="B59" i="13"/>
  <c r="A59" i="13"/>
  <c r="Q58" i="13"/>
  <c r="I58" i="13"/>
  <c r="E58" i="13"/>
  <c r="D58" i="13"/>
  <c r="C58" i="13"/>
  <c r="B58" i="13"/>
  <c r="A58" i="13"/>
  <c r="Q57" i="13"/>
  <c r="I57" i="13"/>
  <c r="E57" i="13"/>
  <c r="H57" i="13" s="1"/>
  <c r="D57" i="13"/>
  <c r="C57" i="13"/>
  <c r="B57" i="13"/>
  <c r="A57" i="13"/>
  <c r="Q56" i="13"/>
  <c r="I56" i="13"/>
  <c r="E56" i="13"/>
  <c r="D56" i="13"/>
  <c r="C56" i="13"/>
  <c r="B56" i="13"/>
  <c r="A56" i="13"/>
  <c r="Q55" i="13"/>
  <c r="I55" i="13"/>
  <c r="E55" i="13"/>
  <c r="D55" i="13"/>
  <c r="C55" i="13"/>
  <c r="B55" i="13"/>
  <c r="A55" i="13"/>
  <c r="Q54" i="13"/>
  <c r="I54" i="13"/>
  <c r="E54" i="13"/>
  <c r="D54" i="13"/>
  <c r="C54" i="13"/>
  <c r="B54" i="13"/>
  <c r="A54" i="13"/>
  <c r="Q53" i="13"/>
  <c r="I53" i="13"/>
  <c r="E53" i="13"/>
  <c r="D53" i="13"/>
  <c r="C53" i="13"/>
  <c r="B53" i="13"/>
  <c r="A53" i="13"/>
  <c r="Q52" i="13"/>
  <c r="I52" i="13"/>
  <c r="E52" i="13"/>
  <c r="D52" i="13"/>
  <c r="C52" i="13"/>
  <c r="B52" i="13"/>
  <c r="A52" i="13"/>
  <c r="Q51" i="13"/>
  <c r="I51" i="13"/>
  <c r="E51" i="13"/>
  <c r="D51" i="13"/>
  <c r="C51" i="13"/>
  <c r="B51" i="13"/>
  <c r="A51" i="13"/>
  <c r="Q50" i="13"/>
  <c r="I50" i="13"/>
  <c r="E50" i="13"/>
  <c r="D50" i="13"/>
  <c r="C50" i="13"/>
  <c r="B50" i="13"/>
  <c r="A50" i="13"/>
  <c r="Q49" i="13"/>
  <c r="I49" i="13"/>
  <c r="E49" i="13"/>
  <c r="D49" i="13"/>
  <c r="C49" i="13"/>
  <c r="B49" i="13"/>
  <c r="A49" i="13"/>
  <c r="Q48" i="13"/>
  <c r="I48" i="13"/>
  <c r="E48" i="13"/>
  <c r="D48" i="13"/>
  <c r="C48" i="13"/>
  <c r="B48" i="13"/>
  <c r="A48" i="13"/>
  <c r="Q47" i="13"/>
  <c r="I47" i="13"/>
  <c r="E47" i="13"/>
  <c r="D47" i="13"/>
  <c r="C47" i="13"/>
  <c r="B47" i="13"/>
  <c r="A47" i="13"/>
  <c r="Q46" i="13"/>
  <c r="I46" i="13"/>
  <c r="E46" i="13"/>
  <c r="D46" i="13"/>
  <c r="C46" i="13"/>
  <c r="B46" i="13"/>
  <c r="A46" i="13"/>
  <c r="Q45" i="13"/>
  <c r="I45" i="13"/>
  <c r="E45" i="13"/>
  <c r="D45" i="13"/>
  <c r="C45" i="13"/>
  <c r="B45" i="13"/>
  <c r="A45" i="13"/>
  <c r="Q44" i="13"/>
  <c r="I44" i="13"/>
  <c r="E44" i="13"/>
  <c r="H44" i="13" s="1"/>
  <c r="D44" i="13"/>
  <c r="C44" i="13"/>
  <c r="B44" i="13"/>
  <c r="A44" i="13"/>
  <c r="Q43" i="13"/>
  <c r="I43" i="13"/>
  <c r="E43" i="13"/>
  <c r="D43" i="13"/>
  <c r="C43" i="13"/>
  <c r="B43" i="13"/>
  <c r="A43" i="13"/>
  <c r="Q42" i="13"/>
  <c r="I42" i="13"/>
  <c r="E42" i="13"/>
  <c r="D42" i="13"/>
  <c r="C42" i="13"/>
  <c r="B42" i="13"/>
  <c r="A42" i="13"/>
  <c r="Q41" i="13"/>
  <c r="I41" i="13"/>
  <c r="E41" i="13"/>
  <c r="D41" i="13"/>
  <c r="C41" i="13"/>
  <c r="B41" i="13"/>
  <c r="A41" i="13"/>
  <c r="Q40" i="13"/>
  <c r="I40" i="13"/>
  <c r="E40" i="13"/>
  <c r="H40" i="13" s="1"/>
  <c r="D40" i="13"/>
  <c r="C40" i="13"/>
  <c r="B40" i="13"/>
  <c r="A40" i="13"/>
  <c r="Q39" i="13"/>
  <c r="I39" i="13"/>
  <c r="E39" i="13"/>
  <c r="D39" i="13"/>
  <c r="C39" i="13"/>
  <c r="B39" i="13"/>
  <c r="A39" i="13"/>
  <c r="Q38" i="13"/>
  <c r="I38" i="13"/>
  <c r="E38" i="13"/>
  <c r="D38" i="13"/>
  <c r="C38" i="13"/>
  <c r="B38" i="13"/>
  <c r="A38" i="13"/>
  <c r="Q37" i="13"/>
  <c r="I37" i="13"/>
  <c r="E37" i="13"/>
  <c r="D37" i="13"/>
  <c r="C37" i="13"/>
  <c r="B37" i="13"/>
  <c r="A37" i="13"/>
  <c r="Q36" i="13"/>
  <c r="I36" i="13"/>
  <c r="E36" i="13"/>
  <c r="H36" i="13" s="1"/>
  <c r="D36" i="13"/>
  <c r="C36" i="13"/>
  <c r="B36" i="13"/>
  <c r="A36" i="13"/>
  <c r="Q35" i="13"/>
  <c r="I35" i="13"/>
  <c r="E35" i="13"/>
  <c r="D35" i="13"/>
  <c r="C35" i="13"/>
  <c r="B35" i="13"/>
  <c r="A35" i="13"/>
  <c r="Q34" i="13"/>
  <c r="I34" i="13"/>
  <c r="E34" i="13"/>
  <c r="D34" i="13"/>
  <c r="C34" i="13"/>
  <c r="B34" i="13"/>
  <c r="A34" i="13"/>
  <c r="Q33" i="13"/>
  <c r="I33" i="13"/>
  <c r="E33" i="13"/>
  <c r="D33" i="13"/>
  <c r="C33" i="13"/>
  <c r="B33" i="13"/>
  <c r="A33" i="13"/>
  <c r="Q32" i="13"/>
  <c r="I32" i="13"/>
  <c r="E32" i="13"/>
  <c r="D32" i="13"/>
  <c r="C32" i="13"/>
  <c r="B32" i="13"/>
  <c r="A32" i="13"/>
  <c r="Q31" i="13"/>
  <c r="I31" i="13"/>
  <c r="E31" i="13"/>
  <c r="D31" i="13"/>
  <c r="C31" i="13"/>
  <c r="B31" i="13"/>
  <c r="A31" i="13"/>
  <c r="Q30" i="13"/>
  <c r="I30" i="13"/>
  <c r="E30" i="13"/>
  <c r="D30" i="13"/>
  <c r="C30" i="13"/>
  <c r="B30" i="13"/>
  <c r="A30" i="13"/>
  <c r="Q29" i="13"/>
  <c r="I29" i="13"/>
  <c r="E29" i="13"/>
  <c r="D29" i="13"/>
  <c r="C29" i="13"/>
  <c r="B29" i="13"/>
  <c r="A29" i="13"/>
  <c r="W28" i="13"/>
  <c r="U28" i="13"/>
  <c r="T28" i="13"/>
  <c r="S28" i="13"/>
  <c r="Q28" i="13"/>
  <c r="O28" i="13"/>
  <c r="M28" i="13"/>
  <c r="L28" i="13"/>
  <c r="K28" i="13"/>
  <c r="I28" i="13"/>
  <c r="V28" i="13" s="1"/>
  <c r="E28" i="13"/>
  <c r="D28" i="13"/>
  <c r="C28" i="13"/>
  <c r="B28" i="13"/>
  <c r="A28" i="13"/>
  <c r="W27" i="13"/>
  <c r="V27" i="13"/>
  <c r="U27" i="13"/>
  <c r="T27" i="13"/>
  <c r="S27" i="13"/>
  <c r="Q27" i="13"/>
  <c r="O27" i="13"/>
  <c r="N27" i="13"/>
  <c r="M27" i="13"/>
  <c r="L27" i="13"/>
  <c r="K27" i="13"/>
  <c r="I27" i="13"/>
  <c r="E27" i="13"/>
  <c r="D27" i="13"/>
  <c r="C27" i="13"/>
  <c r="B27" i="13"/>
  <c r="A27" i="13"/>
  <c r="E26" i="13"/>
  <c r="D26" i="13"/>
  <c r="C26" i="13"/>
  <c r="B26" i="13"/>
  <c r="A26" i="13"/>
  <c r="E25" i="13"/>
  <c r="D25" i="13"/>
  <c r="C25" i="13"/>
  <c r="B25" i="13"/>
  <c r="A25" i="13"/>
  <c r="Q24" i="13"/>
  <c r="I24" i="13"/>
  <c r="E24" i="13"/>
  <c r="D24" i="13"/>
  <c r="C24" i="13"/>
  <c r="B24" i="13"/>
  <c r="A24" i="13"/>
  <c r="E23" i="13"/>
  <c r="D23" i="13"/>
  <c r="C23" i="13"/>
  <c r="B23" i="13"/>
  <c r="A23" i="13"/>
  <c r="Q22" i="13"/>
  <c r="I22" i="13"/>
  <c r="E22" i="13"/>
  <c r="D22" i="13"/>
  <c r="C22" i="13"/>
  <c r="B22" i="13"/>
  <c r="A22" i="13"/>
  <c r="W21" i="13"/>
  <c r="V21" i="13"/>
  <c r="U21" i="13"/>
  <c r="T21" i="13"/>
  <c r="S21" i="13"/>
  <c r="Q21" i="13"/>
  <c r="O21" i="13"/>
  <c r="N21" i="13"/>
  <c r="M21" i="13"/>
  <c r="L21" i="13"/>
  <c r="K21" i="13"/>
  <c r="I21" i="13"/>
  <c r="E21" i="13"/>
  <c r="D21" i="13"/>
  <c r="C21" i="13"/>
  <c r="B21" i="13"/>
  <c r="A21" i="13"/>
  <c r="Q20" i="13"/>
  <c r="I20" i="13"/>
  <c r="E20" i="13"/>
  <c r="D20" i="13"/>
  <c r="C20" i="13"/>
  <c r="B20" i="13"/>
  <c r="A20" i="13"/>
  <c r="E19" i="13"/>
  <c r="D19" i="13"/>
  <c r="C19" i="13"/>
  <c r="B19" i="13"/>
  <c r="A19" i="13"/>
  <c r="Q18" i="13"/>
  <c r="I18" i="13"/>
  <c r="E18" i="13"/>
  <c r="D18" i="13"/>
  <c r="C18" i="13"/>
  <c r="B18" i="13"/>
  <c r="A18" i="13"/>
  <c r="T17" i="13"/>
  <c r="S17" i="13"/>
  <c r="Q17" i="13"/>
  <c r="L17" i="13"/>
  <c r="K17" i="13"/>
  <c r="I17" i="13"/>
  <c r="H17" i="13"/>
  <c r="W17" i="13" s="1"/>
  <c r="E17" i="13"/>
  <c r="D17" i="13"/>
  <c r="C17" i="13"/>
  <c r="B17" i="13"/>
  <c r="A17" i="13"/>
  <c r="Q16" i="13"/>
  <c r="I16" i="13"/>
  <c r="E16" i="13"/>
  <c r="D16" i="13"/>
  <c r="C16" i="13"/>
  <c r="B16" i="13"/>
  <c r="A16" i="13"/>
  <c r="Q15" i="13"/>
  <c r="I15" i="13"/>
  <c r="E15" i="13"/>
  <c r="H15" i="13" s="1"/>
  <c r="D15" i="13"/>
  <c r="C15" i="13"/>
  <c r="B15" i="13"/>
  <c r="A15" i="13"/>
  <c r="Q14" i="13"/>
  <c r="I14" i="13"/>
  <c r="E14" i="13"/>
  <c r="D14" i="13"/>
  <c r="C14" i="13"/>
  <c r="B14" i="13"/>
  <c r="A14" i="13"/>
  <c r="Q13" i="13"/>
  <c r="I13" i="13"/>
  <c r="E13" i="13"/>
  <c r="D13" i="13"/>
  <c r="C13" i="13"/>
  <c r="B13" i="13"/>
  <c r="A13" i="13"/>
  <c r="Q12" i="13"/>
  <c r="I12" i="13"/>
  <c r="E12" i="13"/>
  <c r="D12" i="13"/>
  <c r="C12" i="13"/>
  <c r="B12" i="13"/>
  <c r="A12" i="13"/>
  <c r="Q11" i="13"/>
  <c r="I11" i="13"/>
  <c r="E11" i="13"/>
  <c r="D11" i="13"/>
  <c r="C11" i="13"/>
  <c r="B11" i="13"/>
  <c r="A11" i="13"/>
  <c r="Q10" i="13"/>
  <c r="I10" i="13"/>
  <c r="E10" i="13"/>
  <c r="D10" i="13"/>
  <c r="C10" i="13"/>
  <c r="B10" i="13"/>
  <c r="A10" i="13"/>
  <c r="E9" i="13"/>
  <c r="D9" i="13"/>
  <c r="C9" i="13"/>
  <c r="B9" i="13"/>
  <c r="A9" i="13"/>
  <c r="Q8" i="13"/>
  <c r="I8" i="13"/>
  <c r="E8" i="13"/>
  <c r="D8" i="13"/>
  <c r="C8" i="13"/>
  <c r="B8" i="13"/>
  <c r="A8" i="13"/>
  <c r="Q7" i="13"/>
  <c r="I7" i="13"/>
  <c r="E7" i="13"/>
  <c r="D7" i="13"/>
  <c r="C7" i="13"/>
  <c r="B7" i="13"/>
  <c r="A7" i="13"/>
  <c r="Q6" i="13"/>
  <c r="I6" i="13"/>
  <c r="E6" i="13"/>
  <c r="D6" i="13"/>
  <c r="C6" i="13"/>
  <c r="B6" i="13"/>
  <c r="A6" i="13"/>
  <c r="Q5" i="13"/>
  <c r="I5" i="13"/>
  <c r="E5" i="13"/>
  <c r="H5" i="13" s="1"/>
  <c r="D5" i="13"/>
  <c r="C5" i="13"/>
  <c r="B5" i="13"/>
  <c r="A5" i="13"/>
  <c r="N361" i="12"/>
  <c r="G361" i="12"/>
  <c r="AD359" i="12"/>
  <c r="W359" i="12"/>
  <c r="M359" i="12"/>
  <c r="AM359" i="12" s="1"/>
  <c r="K359" i="12"/>
  <c r="AE359" i="12" s="1"/>
  <c r="E359" i="12"/>
  <c r="D359" i="12"/>
  <c r="C359" i="12"/>
  <c r="B359" i="12"/>
  <c r="A359" i="12"/>
  <c r="T359" i="12" s="1"/>
  <c r="AD358" i="12"/>
  <c r="W358" i="12"/>
  <c r="M358" i="12"/>
  <c r="AM358" i="12" s="1"/>
  <c r="E358" i="12"/>
  <c r="D358" i="12"/>
  <c r="C358" i="12"/>
  <c r="B358" i="12"/>
  <c r="A358" i="12"/>
  <c r="T358" i="12" s="1"/>
  <c r="AN357" i="12"/>
  <c r="AM357" i="12"/>
  <c r="AL357" i="12"/>
  <c r="AG357" i="12"/>
  <c r="AF357" i="12"/>
  <c r="AE357" i="12"/>
  <c r="AD357" i="12"/>
  <c r="X357" i="12"/>
  <c r="W357" i="12"/>
  <c r="V357" i="12"/>
  <c r="U357" i="12"/>
  <c r="T357" i="12"/>
  <c r="Q357" i="12"/>
  <c r="P357" i="12"/>
  <c r="M357" i="12"/>
  <c r="E357" i="12"/>
  <c r="D357" i="12"/>
  <c r="C357" i="12"/>
  <c r="B357" i="12"/>
  <c r="A357" i="12"/>
  <c r="AD356" i="12"/>
  <c r="AB356" i="12"/>
  <c r="X356" i="12"/>
  <c r="W356" i="12"/>
  <c r="T356" i="12"/>
  <c r="M356" i="12"/>
  <c r="AL356" i="12" s="1"/>
  <c r="K356" i="12"/>
  <c r="E356" i="12"/>
  <c r="D356" i="12"/>
  <c r="C356" i="12"/>
  <c r="B356" i="12"/>
  <c r="A356" i="12"/>
  <c r="AD355" i="12"/>
  <c r="W355" i="12"/>
  <c r="T355" i="12"/>
  <c r="M355" i="12"/>
  <c r="AL355" i="12" s="1"/>
  <c r="E355" i="12"/>
  <c r="D355" i="12"/>
  <c r="C355" i="12"/>
  <c r="B355" i="12"/>
  <c r="A355" i="12"/>
  <c r="AN354" i="12"/>
  <c r="AM354" i="12"/>
  <c r="AL354" i="12"/>
  <c r="AG354" i="12"/>
  <c r="AF354" i="12"/>
  <c r="AE354" i="12"/>
  <c r="AD354" i="12"/>
  <c r="X354" i="12"/>
  <c r="Y354" i="12" s="1"/>
  <c r="W354" i="12"/>
  <c r="V354" i="12"/>
  <c r="U354" i="12"/>
  <c r="T354" i="12"/>
  <c r="Q354" i="12"/>
  <c r="P354" i="12"/>
  <c r="M354" i="12"/>
  <c r="E354" i="12"/>
  <c r="D354" i="12"/>
  <c r="C354" i="12"/>
  <c r="B354" i="12"/>
  <c r="A354" i="12"/>
  <c r="AE353" i="12"/>
  <c r="AD353" i="12"/>
  <c r="W353" i="12"/>
  <c r="M353" i="12"/>
  <c r="AM353" i="12" s="1"/>
  <c r="K353" i="12"/>
  <c r="X353" i="12" s="1"/>
  <c r="E353" i="12"/>
  <c r="D353" i="12"/>
  <c r="C353" i="12"/>
  <c r="B353" i="12"/>
  <c r="A353" i="12"/>
  <c r="AD352" i="12"/>
  <c r="W352" i="12"/>
  <c r="M352" i="12"/>
  <c r="AL352" i="12" s="1"/>
  <c r="E352" i="12"/>
  <c r="D352" i="12"/>
  <c r="C352" i="12"/>
  <c r="B352" i="12"/>
  <c r="A352" i="12"/>
  <c r="AD351" i="12"/>
  <c r="W351" i="12"/>
  <c r="M351" i="12"/>
  <c r="E351" i="12"/>
  <c r="D351" i="12"/>
  <c r="C351" i="12"/>
  <c r="B351" i="12"/>
  <c r="A351" i="12"/>
  <c r="AE350" i="12"/>
  <c r="AD350" i="12"/>
  <c r="W350" i="12"/>
  <c r="M350" i="12"/>
  <c r="AM350" i="12" s="1"/>
  <c r="K350" i="12"/>
  <c r="X350" i="12" s="1"/>
  <c r="E350" i="12"/>
  <c r="D350" i="12"/>
  <c r="C350" i="12"/>
  <c r="B350" i="12"/>
  <c r="A350" i="12"/>
  <c r="AD349" i="12"/>
  <c r="W349" i="12"/>
  <c r="M349" i="12"/>
  <c r="AL349" i="12" s="1"/>
  <c r="E349" i="12"/>
  <c r="D349" i="12"/>
  <c r="C349" i="12"/>
  <c r="B349" i="12"/>
  <c r="A349" i="12"/>
  <c r="AD348" i="12"/>
  <c r="W348" i="12"/>
  <c r="M348" i="12"/>
  <c r="AL348" i="12" s="1"/>
  <c r="E348" i="12"/>
  <c r="D348" i="12"/>
  <c r="C348" i="12"/>
  <c r="B348" i="12"/>
  <c r="A348" i="12"/>
  <c r="AD347" i="12"/>
  <c r="W347" i="12"/>
  <c r="M347" i="12"/>
  <c r="AL347" i="12" s="1"/>
  <c r="E347" i="12"/>
  <c r="D347" i="12"/>
  <c r="C347" i="12"/>
  <c r="B347" i="12"/>
  <c r="A347" i="12"/>
  <c r="AD346" i="12"/>
  <c r="W346" i="12"/>
  <c r="M346" i="12"/>
  <c r="E346" i="12"/>
  <c r="D346" i="12"/>
  <c r="C346" i="12"/>
  <c r="B346" i="12"/>
  <c r="A346" i="12"/>
  <c r="AD345" i="12"/>
  <c r="W345" i="12"/>
  <c r="M345" i="12"/>
  <c r="AM345" i="12" s="1"/>
  <c r="K345" i="12"/>
  <c r="E345" i="12"/>
  <c r="D345" i="12"/>
  <c r="C345" i="12"/>
  <c r="B345" i="12"/>
  <c r="A345" i="12"/>
  <c r="AL344" i="12"/>
  <c r="AD344" i="12"/>
  <c r="W344" i="12"/>
  <c r="M344" i="12"/>
  <c r="E344" i="12"/>
  <c r="D344" i="12"/>
  <c r="C344" i="12"/>
  <c r="B344" i="12"/>
  <c r="A344" i="12"/>
  <c r="AD343" i="12"/>
  <c r="W343" i="12"/>
  <c r="M343" i="12"/>
  <c r="E343" i="12"/>
  <c r="D343" i="12"/>
  <c r="C343" i="12"/>
  <c r="B343" i="12"/>
  <c r="A343" i="12"/>
  <c r="AD342" i="12"/>
  <c r="W342" i="12"/>
  <c r="M342" i="12"/>
  <c r="AM342" i="12" s="1"/>
  <c r="K342" i="12"/>
  <c r="X342" i="12" s="1"/>
  <c r="E342" i="12"/>
  <c r="D342" i="12"/>
  <c r="C342" i="12"/>
  <c r="B342" i="12"/>
  <c r="A342" i="12"/>
  <c r="AD341" i="12"/>
  <c r="W341" i="12"/>
  <c r="M341" i="12"/>
  <c r="AM341" i="12" s="1"/>
  <c r="K341" i="12"/>
  <c r="E341" i="12"/>
  <c r="D341" i="12"/>
  <c r="C341" i="12"/>
  <c r="B341" i="12"/>
  <c r="A341" i="12"/>
  <c r="T341" i="12" s="1"/>
  <c r="AD340" i="12"/>
  <c r="W340" i="12"/>
  <c r="M340" i="12"/>
  <c r="E340" i="12"/>
  <c r="D340" i="12"/>
  <c r="C340" i="12"/>
  <c r="B340" i="12"/>
  <c r="A340" i="12"/>
  <c r="T340" i="12" s="1"/>
  <c r="AL339" i="12"/>
  <c r="AD339" i="12"/>
  <c r="W339" i="12"/>
  <c r="M339" i="12"/>
  <c r="E339" i="12"/>
  <c r="D339" i="12"/>
  <c r="C339" i="12"/>
  <c r="B339" i="12"/>
  <c r="A339" i="12"/>
  <c r="T339" i="12" s="1"/>
  <c r="AD338" i="12"/>
  <c r="W338" i="12"/>
  <c r="M338" i="12"/>
  <c r="AL338" i="12" s="1"/>
  <c r="E338" i="12"/>
  <c r="D338" i="12"/>
  <c r="C338" i="12"/>
  <c r="B338" i="12"/>
  <c r="A338" i="12"/>
  <c r="T338" i="12" s="1"/>
  <c r="AD337" i="12"/>
  <c r="W337" i="12"/>
  <c r="M337" i="12"/>
  <c r="AL337" i="12" s="1"/>
  <c r="E337" i="12"/>
  <c r="D337" i="12"/>
  <c r="C337" i="12"/>
  <c r="B337" i="12"/>
  <c r="A337" i="12"/>
  <c r="T337" i="12" s="1"/>
  <c r="AL336" i="12"/>
  <c r="AD336" i="12"/>
  <c r="W336" i="12"/>
  <c r="M336" i="12"/>
  <c r="E336" i="12"/>
  <c r="D336" i="12"/>
  <c r="C336" i="12"/>
  <c r="B336" i="12"/>
  <c r="A336" i="12"/>
  <c r="T336" i="12" s="1"/>
  <c r="AD335" i="12"/>
  <c r="W335" i="12"/>
  <c r="M335" i="12"/>
  <c r="E335" i="12"/>
  <c r="D335" i="12"/>
  <c r="C335" i="12"/>
  <c r="B335" i="12"/>
  <c r="A335" i="12"/>
  <c r="T335" i="12" s="1"/>
  <c r="AL334" i="12"/>
  <c r="AD334" i="12"/>
  <c r="W334" i="12"/>
  <c r="M334" i="12"/>
  <c r="AM334" i="12" s="1"/>
  <c r="K334" i="12"/>
  <c r="E334" i="12"/>
  <c r="D334" i="12"/>
  <c r="C334" i="12"/>
  <c r="B334" i="12"/>
  <c r="A334" i="12"/>
  <c r="T334" i="12" s="1"/>
  <c r="AE333" i="12"/>
  <c r="AD333" i="12"/>
  <c r="X333" i="12"/>
  <c r="W333" i="12"/>
  <c r="M333" i="12"/>
  <c r="AM333" i="12" s="1"/>
  <c r="K333" i="12"/>
  <c r="AB333" i="12" s="1"/>
  <c r="E333" i="12"/>
  <c r="D333" i="12"/>
  <c r="C333" i="12"/>
  <c r="B333" i="12"/>
  <c r="A333" i="12"/>
  <c r="T333" i="12" s="1"/>
  <c r="AD332" i="12"/>
  <c r="W332" i="12"/>
  <c r="M332" i="12"/>
  <c r="AM332" i="12" s="1"/>
  <c r="E332" i="12"/>
  <c r="D332" i="12"/>
  <c r="C332" i="12"/>
  <c r="B332" i="12"/>
  <c r="A332" i="12"/>
  <c r="T332" i="12" s="1"/>
  <c r="AD331" i="12"/>
  <c r="W331" i="12"/>
  <c r="M331" i="12"/>
  <c r="AL331" i="12" s="1"/>
  <c r="E331" i="12"/>
  <c r="D331" i="12"/>
  <c r="C331" i="12"/>
  <c r="B331" i="12"/>
  <c r="A331" i="12"/>
  <c r="T331" i="12" s="1"/>
  <c r="AM330" i="12"/>
  <c r="AD330" i="12"/>
  <c r="W330" i="12"/>
  <c r="M330" i="12"/>
  <c r="K330" i="12"/>
  <c r="E330" i="12"/>
  <c r="D330" i="12"/>
  <c r="C330" i="12"/>
  <c r="B330" i="12"/>
  <c r="A330" i="12"/>
  <c r="T330" i="12" s="1"/>
  <c r="AM329" i="12"/>
  <c r="AL329" i="12"/>
  <c r="AE329" i="12"/>
  <c r="AD329" i="12"/>
  <c r="X329" i="12"/>
  <c r="W329" i="12"/>
  <c r="M329" i="12"/>
  <c r="K329" i="12"/>
  <c r="AB329" i="12" s="1"/>
  <c r="E329" i="12"/>
  <c r="D329" i="12"/>
  <c r="C329" i="12"/>
  <c r="B329" i="12"/>
  <c r="A329" i="12"/>
  <c r="T329" i="12" s="1"/>
  <c r="AD328" i="12"/>
  <c r="W328" i="12"/>
  <c r="M328" i="12"/>
  <c r="AM328" i="12" s="1"/>
  <c r="E328" i="12"/>
  <c r="D328" i="12"/>
  <c r="C328" i="12"/>
  <c r="B328" i="12"/>
  <c r="A328" i="12"/>
  <c r="T328" i="12" s="1"/>
  <c r="AD327" i="12"/>
  <c r="W327" i="12"/>
  <c r="M327" i="12"/>
  <c r="E327" i="12"/>
  <c r="D327" i="12"/>
  <c r="C327" i="12"/>
  <c r="B327" i="12"/>
  <c r="A327" i="12"/>
  <c r="AD326" i="12"/>
  <c r="W326" i="12"/>
  <c r="M326" i="12"/>
  <c r="AL326" i="12" s="1"/>
  <c r="E326" i="12"/>
  <c r="D326" i="12"/>
  <c r="C326" i="12"/>
  <c r="B326" i="12"/>
  <c r="A326" i="12"/>
  <c r="T326" i="12" s="1"/>
  <c r="AD325" i="12"/>
  <c r="W325" i="12"/>
  <c r="M325" i="12"/>
  <c r="AL325" i="12" s="1"/>
  <c r="E325" i="12"/>
  <c r="D325" i="12"/>
  <c r="C325" i="12"/>
  <c r="B325" i="12"/>
  <c r="A325" i="12"/>
  <c r="T325" i="12" s="1"/>
  <c r="AD324" i="12"/>
  <c r="W324" i="12"/>
  <c r="M324" i="12"/>
  <c r="AM324" i="12" s="1"/>
  <c r="E324" i="12"/>
  <c r="D324" i="12"/>
  <c r="C324" i="12"/>
  <c r="B324" i="12"/>
  <c r="A324" i="12"/>
  <c r="AD323" i="12"/>
  <c r="W323" i="12"/>
  <c r="M323" i="12"/>
  <c r="E323" i="12"/>
  <c r="D323" i="12"/>
  <c r="C323" i="12"/>
  <c r="B323" i="12"/>
  <c r="A323" i="12"/>
  <c r="AD322" i="12"/>
  <c r="W322" i="12"/>
  <c r="M322" i="12"/>
  <c r="AL322" i="12" s="1"/>
  <c r="E322" i="12"/>
  <c r="D322" i="12"/>
  <c r="C322" i="12"/>
  <c r="B322" i="12"/>
  <c r="A322" i="12"/>
  <c r="AD321" i="12"/>
  <c r="W321" i="12"/>
  <c r="T321" i="12"/>
  <c r="M321" i="12"/>
  <c r="E321" i="12"/>
  <c r="D321" i="12"/>
  <c r="C321" i="12"/>
  <c r="B321" i="12"/>
  <c r="A321" i="12"/>
  <c r="AD320" i="12"/>
  <c r="W320" i="12"/>
  <c r="M320" i="12"/>
  <c r="E320" i="12"/>
  <c r="D320" i="12"/>
  <c r="C320" i="12"/>
  <c r="B320" i="12"/>
  <c r="A320" i="12"/>
  <c r="AD319" i="12"/>
  <c r="W319" i="12"/>
  <c r="T319" i="12"/>
  <c r="M319" i="12"/>
  <c r="E319" i="12"/>
  <c r="D319" i="12"/>
  <c r="C319" i="12"/>
  <c r="B319" i="12"/>
  <c r="A319" i="12"/>
  <c r="AD318" i="12"/>
  <c r="W318" i="12"/>
  <c r="M318" i="12"/>
  <c r="E318" i="12"/>
  <c r="D318" i="12"/>
  <c r="C318" i="12"/>
  <c r="B318" i="12"/>
  <c r="A318" i="12"/>
  <c r="AD317" i="12"/>
  <c r="W317" i="12"/>
  <c r="M317" i="12"/>
  <c r="AM317" i="12" s="1"/>
  <c r="K317" i="12"/>
  <c r="AB317" i="12" s="1"/>
  <c r="E317" i="12"/>
  <c r="D317" i="12"/>
  <c r="C317" i="12"/>
  <c r="B317" i="12"/>
  <c r="A317" i="12"/>
  <c r="AD316" i="12"/>
  <c r="W316" i="12"/>
  <c r="T316" i="12"/>
  <c r="M316" i="12"/>
  <c r="E316" i="12"/>
  <c r="D316" i="12"/>
  <c r="C316" i="12"/>
  <c r="B316" i="12"/>
  <c r="A316" i="12"/>
  <c r="AD315" i="12"/>
  <c r="W315" i="12"/>
  <c r="T315" i="12"/>
  <c r="M315" i="12"/>
  <c r="E315" i="12"/>
  <c r="D315" i="12"/>
  <c r="C315" i="12"/>
  <c r="B315" i="12"/>
  <c r="A315" i="12"/>
  <c r="AD314" i="12"/>
  <c r="W314" i="12"/>
  <c r="T314" i="12"/>
  <c r="M314" i="12"/>
  <c r="AM314" i="12" s="1"/>
  <c r="K314" i="12"/>
  <c r="AB314" i="12" s="1"/>
  <c r="E314" i="12"/>
  <c r="D314" i="12"/>
  <c r="C314" i="12"/>
  <c r="B314" i="12"/>
  <c r="A314" i="12"/>
  <c r="AD313" i="12"/>
  <c r="W313" i="12"/>
  <c r="T313" i="12"/>
  <c r="M313" i="12"/>
  <c r="AM313" i="12" s="1"/>
  <c r="K313" i="12"/>
  <c r="E313" i="12"/>
  <c r="D313" i="12"/>
  <c r="C313" i="12"/>
  <c r="B313" i="12"/>
  <c r="A313" i="12"/>
  <c r="AD312" i="12"/>
  <c r="W312" i="12"/>
  <c r="M312" i="12"/>
  <c r="E312" i="12"/>
  <c r="D312" i="12"/>
  <c r="C312" i="12"/>
  <c r="B312" i="12"/>
  <c r="A312" i="12"/>
  <c r="AD311" i="12"/>
  <c r="W311" i="12"/>
  <c r="T311" i="12"/>
  <c r="M311" i="12"/>
  <c r="AM311" i="12" s="1"/>
  <c r="K311" i="12"/>
  <c r="AB311" i="12" s="1"/>
  <c r="E311" i="12"/>
  <c r="D311" i="12"/>
  <c r="C311" i="12"/>
  <c r="B311" i="12"/>
  <c r="A311" i="12"/>
  <c r="AN310" i="12"/>
  <c r="AM310" i="12"/>
  <c r="AL310" i="12"/>
  <c r="AG310" i="12"/>
  <c r="AF310" i="12"/>
  <c r="AE310" i="12"/>
  <c r="AD310" i="12"/>
  <c r="Y310" i="12"/>
  <c r="X310" i="12"/>
  <c r="W310" i="12"/>
  <c r="V310" i="12"/>
  <c r="U310" i="12"/>
  <c r="T310" i="12"/>
  <c r="Q310" i="12"/>
  <c r="P310" i="12"/>
  <c r="M310" i="12"/>
  <c r="E310" i="12"/>
  <c r="D310" i="12"/>
  <c r="C310" i="12"/>
  <c r="B310" i="12"/>
  <c r="A310" i="12"/>
  <c r="AD309" i="12"/>
  <c r="W309" i="12"/>
  <c r="T309" i="12"/>
  <c r="M309" i="12"/>
  <c r="AL309" i="12" s="1"/>
  <c r="E309" i="12"/>
  <c r="D309" i="12"/>
  <c r="C309" i="12"/>
  <c r="B309" i="12"/>
  <c r="A309" i="12"/>
  <c r="AD308" i="12"/>
  <c r="W308" i="12"/>
  <c r="T308" i="12"/>
  <c r="M308" i="12"/>
  <c r="AL308" i="12" s="1"/>
  <c r="E308" i="12"/>
  <c r="D308" i="12"/>
  <c r="C308" i="12"/>
  <c r="B308" i="12"/>
  <c r="A308" i="12"/>
  <c r="AM307" i="12"/>
  <c r="AD307" i="12"/>
  <c r="W307" i="12"/>
  <c r="T307" i="12"/>
  <c r="M307" i="12"/>
  <c r="K307" i="12"/>
  <c r="E307" i="12"/>
  <c r="D307" i="12"/>
  <c r="C307" i="12"/>
  <c r="B307" i="12"/>
  <c r="A307" i="12"/>
  <c r="AM306" i="12"/>
  <c r="AD306" i="12"/>
  <c r="W306" i="12"/>
  <c r="T306" i="12"/>
  <c r="M306" i="12"/>
  <c r="K306" i="12"/>
  <c r="E306" i="12"/>
  <c r="D306" i="12"/>
  <c r="C306" i="12"/>
  <c r="B306" i="12"/>
  <c r="A306" i="12"/>
  <c r="AM305" i="12"/>
  <c r="AD305" i="12"/>
  <c r="W305" i="12"/>
  <c r="T305" i="12"/>
  <c r="M305" i="12"/>
  <c r="K305" i="12"/>
  <c r="E305" i="12"/>
  <c r="D305" i="12"/>
  <c r="C305" i="12"/>
  <c r="B305" i="12"/>
  <c r="A305" i="12"/>
  <c r="AD304" i="12"/>
  <c r="W304" i="12"/>
  <c r="T304" i="12"/>
  <c r="M304" i="12"/>
  <c r="AL304" i="12" s="1"/>
  <c r="E304" i="12"/>
  <c r="D304" i="12"/>
  <c r="C304" i="12"/>
  <c r="B304" i="12"/>
  <c r="A304" i="12"/>
  <c r="AD303" i="12"/>
  <c r="W303" i="12"/>
  <c r="T303" i="12"/>
  <c r="M303" i="12"/>
  <c r="AL303" i="12" s="1"/>
  <c r="E303" i="12"/>
  <c r="D303" i="12"/>
  <c r="C303" i="12"/>
  <c r="B303" i="12"/>
  <c r="A303" i="12"/>
  <c r="AD302" i="12"/>
  <c r="W302" i="12"/>
  <c r="T302" i="12"/>
  <c r="M302" i="12"/>
  <c r="AL302" i="12" s="1"/>
  <c r="E302" i="12"/>
  <c r="D302" i="12"/>
  <c r="C302" i="12"/>
  <c r="B302" i="12"/>
  <c r="A302" i="12"/>
  <c r="AD301" i="12"/>
  <c r="W301" i="12"/>
  <c r="T301" i="12"/>
  <c r="M301" i="12"/>
  <c r="AL301" i="12" s="1"/>
  <c r="E301" i="12"/>
  <c r="D301" i="12"/>
  <c r="C301" i="12"/>
  <c r="B301" i="12"/>
  <c r="A301" i="12"/>
  <c r="AM300" i="12"/>
  <c r="AD300" i="12"/>
  <c r="W300" i="12"/>
  <c r="T300" i="12"/>
  <c r="M300" i="12"/>
  <c r="K300" i="12"/>
  <c r="E300" i="12"/>
  <c r="D300" i="12"/>
  <c r="C300" i="12"/>
  <c r="B300" i="12"/>
  <c r="A300" i="12"/>
  <c r="AN299" i="12"/>
  <c r="AM299" i="12"/>
  <c r="AL299" i="12"/>
  <c r="AG299" i="12"/>
  <c r="AF299" i="12"/>
  <c r="AH299" i="12" s="1"/>
  <c r="AE299" i="12"/>
  <c r="AD299" i="12"/>
  <c r="X299" i="12"/>
  <c r="W299" i="12"/>
  <c r="V299" i="12"/>
  <c r="U299" i="12"/>
  <c r="T299" i="12"/>
  <c r="Q299" i="12"/>
  <c r="P299" i="12"/>
  <c r="M299" i="12"/>
  <c r="E299" i="12"/>
  <c r="D299" i="12"/>
  <c r="C299" i="12"/>
  <c r="B299" i="12"/>
  <c r="A299" i="12"/>
  <c r="AL298" i="12"/>
  <c r="AD298" i="12"/>
  <c r="W298" i="12"/>
  <c r="M298" i="12"/>
  <c r="E298" i="12"/>
  <c r="D298" i="12"/>
  <c r="C298" i="12"/>
  <c r="B298" i="12"/>
  <c r="A298" i="12"/>
  <c r="T298" i="12" s="1"/>
  <c r="AN297" i="12"/>
  <c r="AM297" i="12"/>
  <c r="AL297" i="12"/>
  <c r="AG297" i="12"/>
  <c r="AF297" i="12"/>
  <c r="AE297" i="12"/>
  <c r="AD297" i="12"/>
  <c r="X297" i="12"/>
  <c r="W297" i="12"/>
  <c r="V297" i="12"/>
  <c r="U297" i="12"/>
  <c r="T297" i="12"/>
  <c r="Q297" i="12"/>
  <c r="P297" i="12"/>
  <c r="M297" i="12"/>
  <c r="E297" i="12"/>
  <c r="D297" i="12"/>
  <c r="C297" i="12"/>
  <c r="B297" i="12"/>
  <c r="A297" i="12"/>
  <c r="AL296" i="12"/>
  <c r="AD296" i="12"/>
  <c r="W296" i="12"/>
  <c r="T296" i="12"/>
  <c r="M296" i="12"/>
  <c r="AM296" i="12" s="1"/>
  <c r="E296" i="12"/>
  <c r="D296" i="12"/>
  <c r="C296" i="12"/>
  <c r="B296" i="12"/>
  <c r="A296" i="12"/>
  <c r="AD295" i="12"/>
  <c r="W295" i="12"/>
  <c r="T295" i="12"/>
  <c r="M295" i="12"/>
  <c r="E295" i="12"/>
  <c r="D295" i="12"/>
  <c r="C295" i="12"/>
  <c r="B295" i="12"/>
  <c r="A295" i="12"/>
  <c r="AD294" i="12"/>
  <c r="X294" i="12"/>
  <c r="W294" i="12"/>
  <c r="T294" i="12"/>
  <c r="M294" i="12"/>
  <c r="AM294" i="12" s="1"/>
  <c r="K294" i="12"/>
  <c r="E294" i="12"/>
  <c r="D294" i="12"/>
  <c r="C294" i="12"/>
  <c r="B294" i="12"/>
  <c r="A294" i="12"/>
  <c r="AM293" i="12"/>
  <c r="AD293" i="12"/>
  <c r="W293" i="12"/>
  <c r="T293" i="12"/>
  <c r="M293" i="12"/>
  <c r="K293" i="12"/>
  <c r="E293" i="12"/>
  <c r="D293" i="12"/>
  <c r="C293" i="12"/>
  <c r="B293" i="12"/>
  <c r="A293" i="12"/>
  <c r="AM292" i="12"/>
  <c r="AL292" i="12"/>
  <c r="AD292" i="12"/>
  <c r="W292" i="12"/>
  <c r="T292" i="12"/>
  <c r="M292" i="12"/>
  <c r="E292" i="12"/>
  <c r="D292" i="12"/>
  <c r="C292" i="12"/>
  <c r="B292" i="12"/>
  <c r="A292" i="12"/>
  <c r="AD291" i="12"/>
  <c r="W291" i="12"/>
  <c r="T291" i="12"/>
  <c r="M291" i="12"/>
  <c r="AL291" i="12" s="1"/>
  <c r="E291" i="12"/>
  <c r="D291" i="12"/>
  <c r="C291" i="12"/>
  <c r="B291" i="12"/>
  <c r="A291" i="12"/>
  <c r="AD290" i="12"/>
  <c r="W290" i="12"/>
  <c r="T290" i="12"/>
  <c r="M290" i="12"/>
  <c r="AL290" i="12" s="1"/>
  <c r="E290" i="12"/>
  <c r="D290" i="12"/>
  <c r="C290" i="12"/>
  <c r="B290" i="12"/>
  <c r="A290" i="12"/>
  <c r="AE289" i="12"/>
  <c r="AD289" i="12"/>
  <c r="AB289" i="12"/>
  <c r="W289" i="12"/>
  <c r="T289" i="12"/>
  <c r="M289" i="12"/>
  <c r="AM289" i="12" s="1"/>
  <c r="K289" i="12"/>
  <c r="X289" i="12" s="1"/>
  <c r="E289" i="12"/>
  <c r="D289" i="12"/>
  <c r="C289" i="12"/>
  <c r="B289" i="12"/>
  <c r="A289" i="12"/>
  <c r="AM288" i="12"/>
  <c r="AD288" i="12"/>
  <c r="W288" i="12"/>
  <c r="T288" i="12"/>
  <c r="M288" i="12"/>
  <c r="AL288" i="12" s="1"/>
  <c r="E288" i="12"/>
  <c r="D288" i="12"/>
  <c r="C288" i="12"/>
  <c r="B288" i="12"/>
  <c r="A288" i="12"/>
  <c r="AL287" i="12"/>
  <c r="AD287" i="12"/>
  <c r="W287" i="12"/>
  <c r="T287" i="12"/>
  <c r="M287" i="12"/>
  <c r="AM287" i="12" s="1"/>
  <c r="E287" i="12"/>
  <c r="D287" i="12"/>
  <c r="C287" i="12"/>
  <c r="B287" i="12"/>
  <c r="A287" i="12"/>
  <c r="AM286" i="12"/>
  <c r="AD286" i="12"/>
  <c r="W286" i="12"/>
  <c r="T286" i="12"/>
  <c r="M286" i="12"/>
  <c r="K286" i="12"/>
  <c r="E286" i="12"/>
  <c r="D286" i="12"/>
  <c r="C286" i="12"/>
  <c r="B286" i="12"/>
  <c r="A286" i="12"/>
  <c r="AM285" i="12"/>
  <c r="AD285" i="12"/>
  <c r="W285" i="12"/>
  <c r="T285" i="12"/>
  <c r="M285" i="12"/>
  <c r="AL285" i="12" s="1"/>
  <c r="E285" i="12"/>
  <c r="D285" i="12"/>
  <c r="C285" i="12"/>
  <c r="B285" i="12"/>
  <c r="A285" i="12"/>
  <c r="AD284" i="12"/>
  <c r="W284" i="12"/>
  <c r="M284" i="12"/>
  <c r="AL284" i="12" s="1"/>
  <c r="E284" i="12"/>
  <c r="D284" i="12"/>
  <c r="C284" i="12"/>
  <c r="B284" i="12"/>
  <c r="A284" i="12"/>
  <c r="AN283" i="12"/>
  <c r="AM283" i="12"/>
  <c r="AL283" i="12"/>
  <c r="AG283" i="12"/>
  <c r="AF283" i="12"/>
  <c r="AE283" i="12"/>
  <c r="AD283" i="12"/>
  <c r="X283" i="12"/>
  <c r="W283" i="12"/>
  <c r="V283" i="12"/>
  <c r="U283" i="12"/>
  <c r="T283" i="12"/>
  <c r="Q283" i="12"/>
  <c r="P283" i="12"/>
  <c r="M283" i="12"/>
  <c r="E283" i="12"/>
  <c r="D283" i="12"/>
  <c r="C283" i="12"/>
  <c r="B283" i="12"/>
  <c r="A283" i="12"/>
  <c r="AD282" i="12"/>
  <c r="W282" i="12"/>
  <c r="M282" i="12"/>
  <c r="K282" i="12"/>
  <c r="AE282" i="12" s="1"/>
  <c r="E282" i="12"/>
  <c r="D282" i="12"/>
  <c r="C282" i="12"/>
  <c r="B282" i="12"/>
  <c r="A282" i="12"/>
  <c r="AD281" i="12"/>
  <c r="W281" i="12"/>
  <c r="T281" i="12"/>
  <c r="M281" i="12"/>
  <c r="E281" i="12"/>
  <c r="D281" i="12"/>
  <c r="C281" i="12"/>
  <c r="B281" i="12"/>
  <c r="A281" i="12"/>
  <c r="AD280" i="12"/>
  <c r="AB280" i="12"/>
  <c r="W280" i="12"/>
  <c r="T280" i="12"/>
  <c r="M280" i="12"/>
  <c r="AM280" i="12" s="1"/>
  <c r="K280" i="12"/>
  <c r="AE280" i="12" s="1"/>
  <c r="E280" i="12"/>
  <c r="D280" i="12"/>
  <c r="C280" i="12"/>
  <c r="B280" i="12"/>
  <c r="A280" i="12"/>
  <c r="AD279" i="12"/>
  <c r="W279" i="12"/>
  <c r="M279" i="12"/>
  <c r="AM279" i="12" s="1"/>
  <c r="K279" i="12"/>
  <c r="E279" i="12"/>
  <c r="D279" i="12"/>
  <c r="C279" i="12"/>
  <c r="B279" i="12"/>
  <c r="A279" i="12"/>
  <c r="AD278" i="12"/>
  <c r="W278" i="12"/>
  <c r="M278" i="12"/>
  <c r="E278" i="12"/>
  <c r="D278" i="12"/>
  <c r="C278" i="12"/>
  <c r="B278" i="12"/>
  <c r="A278" i="12"/>
  <c r="T278" i="12" s="1"/>
  <c r="AD277" i="12"/>
  <c r="W277" i="12"/>
  <c r="M277" i="12"/>
  <c r="K277" i="12"/>
  <c r="E277" i="12"/>
  <c r="D277" i="12"/>
  <c r="C277" i="12"/>
  <c r="B277" i="12"/>
  <c r="A277" i="12"/>
  <c r="T277" i="12" s="1"/>
  <c r="AD276" i="12"/>
  <c r="X276" i="12"/>
  <c r="W276" i="12"/>
  <c r="T276" i="12"/>
  <c r="M276" i="12"/>
  <c r="AM276" i="12" s="1"/>
  <c r="K276" i="12"/>
  <c r="AE276" i="12" s="1"/>
  <c r="E276" i="12"/>
  <c r="D276" i="12"/>
  <c r="C276" i="12"/>
  <c r="B276" i="12"/>
  <c r="A276" i="12"/>
  <c r="AD275" i="12"/>
  <c r="W275" i="12"/>
  <c r="M275" i="12"/>
  <c r="AM275" i="12" s="1"/>
  <c r="K275" i="12"/>
  <c r="E275" i="12"/>
  <c r="D275" i="12"/>
  <c r="C275" i="12"/>
  <c r="B275" i="12"/>
  <c r="A275" i="12"/>
  <c r="T275" i="12" s="1"/>
  <c r="AD274" i="12"/>
  <c r="W274" i="12"/>
  <c r="M274" i="12"/>
  <c r="K274" i="12"/>
  <c r="E274" i="12"/>
  <c r="D274" i="12"/>
  <c r="C274" i="12"/>
  <c r="B274" i="12"/>
  <c r="A274" i="12"/>
  <c r="AD273" i="12"/>
  <c r="W273" i="12"/>
  <c r="T273" i="12"/>
  <c r="M273" i="12"/>
  <c r="E273" i="12"/>
  <c r="D273" i="12"/>
  <c r="C273" i="12"/>
  <c r="B273" i="12"/>
  <c r="A273" i="12"/>
  <c r="AN272" i="12"/>
  <c r="AM272" i="12"/>
  <c r="AL272" i="12"/>
  <c r="AG272" i="12"/>
  <c r="AF272" i="12"/>
  <c r="AE272" i="12"/>
  <c r="AD272" i="12"/>
  <c r="X272" i="12"/>
  <c r="W272" i="12"/>
  <c r="V272" i="12"/>
  <c r="U272" i="12"/>
  <c r="T272" i="12"/>
  <c r="Q272" i="12"/>
  <c r="P272" i="12"/>
  <c r="M272" i="12"/>
  <c r="E272" i="12"/>
  <c r="D272" i="12"/>
  <c r="C272" i="12"/>
  <c r="B272" i="12"/>
  <c r="A272" i="12"/>
  <c r="AL271" i="12"/>
  <c r="AD271" i="12"/>
  <c r="W271" i="12"/>
  <c r="T271" i="12"/>
  <c r="M271" i="12"/>
  <c r="E271" i="12"/>
  <c r="D271" i="12"/>
  <c r="C271" i="12"/>
  <c r="B271" i="12"/>
  <c r="A271" i="12"/>
  <c r="AM270" i="12"/>
  <c r="AE270" i="12"/>
  <c r="AD270" i="12"/>
  <c r="AB270" i="12"/>
  <c r="W270" i="12"/>
  <c r="T270" i="12"/>
  <c r="M270" i="12"/>
  <c r="K270" i="12"/>
  <c r="X270" i="12" s="1"/>
  <c r="E270" i="12"/>
  <c r="D270" i="12"/>
  <c r="C270" i="12"/>
  <c r="B270" i="12"/>
  <c r="A270" i="12"/>
  <c r="AD269" i="12"/>
  <c r="W269" i="12"/>
  <c r="T269" i="12"/>
  <c r="M269" i="12"/>
  <c r="E269" i="12"/>
  <c r="D269" i="12"/>
  <c r="C269" i="12"/>
  <c r="B269" i="12"/>
  <c r="A269" i="12"/>
  <c r="AD268" i="12"/>
  <c r="AB268" i="12"/>
  <c r="W268" i="12"/>
  <c r="T268" i="12"/>
  <c r="M268" i="12"/>
  <c r="AM268" i="12" s="1"/>
  <c r="K268" i="12"/>
  <c r="AE268" i="12" s="1"/>
  <c r="E268" i="12"/>
  <c r="D268" i="12"/>
  <c r="C268" i="12"/>
  <c r="B268" i="12"/>
  <c r="A268" i="12"/>
  <c r="AD267" i="12"/>
  <c r="W267" i="12"/>
  <c r="T267" i="12"/>
  <c r="M267" i="12"/>
  <c r="E267" i="12"/>
  <c r="D267" i="12"/>
  <c r="C267" i="12"/>
  <c r="B267" i="12"/>
  <c r="A267" i="12"/>
  <c r="AN266" i="12"/>
  <c r="AM266" i="12"/>
  <c r="AL266" i="12"/>
  <c r="AG266" i="12"/>
  <c r="AF266" i="12"/>
  <c r="AE266" i="12"/>
  <c r="AD266" i="12"/>
  <c r="X266" i="12"/>
  <c r="W266" i="12"/>
  <c r="Y266" i="12" s="1"/>
  <c r="V266" i="12"/>
  <c r="U266" i="12"/>
  <c r="T266" i="12"/>
  <c r="Q266" i="12"/>
  <c r="P266" i="12"/>
  <c r="M266" i="12"/>
  <c r="E266" i="12"/>
  <c r="D266" i="12"/>
  <c r="C266" i="12"/>
  <c r="B266" i="12"/>
  <c r="A266" i="12"/>
  <c r="AN265" i="12"/>
  <c r="AM265" i="12"/>
  <c r="AL265" i="12"/>
  <c r="AG265" i="12"/>
  <c r="AF265" i="12"/>
  <c r="AE265" i="12"/>
  <c r="AD265" i="12"/>
  <c r="X265" i="12"/>
  <c r="W265" i="12"/>
  <c r="V265" i="12"/>
  <c r="U265" i="12"/>
  <c r="Y265" i="12" s="1"/>
  <c r="T265" i="12"/>
  <c r="Q265" i="12"/>
  <c r="P265" i="12"/>
  <c r="M265" i="12"/>
  <c r="E265" i="12"/>
  <c r="D265" i="12"/>
  <c r="C265" i="12"/>
  <c r="B265" i="12"/>
  <c r="A265" i="12"/>
  <c r="AD264" i="12"/>
  <c r="W264" i="12"/>
  <c r="M264" i="12"/>
  <c r="E264" i="12"/>
  <c r="D264" i="12"/>
  <c r="C264" i="12"/>
  <c r="B264" i="12"/>
  <c r="A264" i="12"/>
  <c r="AL263" i="12"/>
  <c r="AD263" i="12"/>
  <c r="W263" i="12"/>
  <c r="T263" i="12"/>
  <c r="M263" i="12"/>
  <c r="E263" i="12"/>
  <c r="D263" i="12"/>
  <c r="C263" i="12"/>
  <c r="B263" i="12"/>
  <c r="A263" i="12"/>
  <c r="AD262" i="12"/>
  <c r="W262" i="12"/>
  <c r="M262" i="12"/>
  <c r="E262" i="12"/>
  <c r="D262" i="12"/>
  <c r="C262" i="12"/>
  <c r="B262" i="12"/>
  <c r="A262" i="12"/>
  <c r="AD261" i="12"/>
  <c r="W261" i="12"/>
  <c r="T261" i="12"/>
  <c r="M261" i="12"/>
  <c r="E261" i="12"/>
  <c r="D261" i="12"/>
  <c r="C261" i="12"/>
  <c r="B261" i="12"/>
  <c r="A261" i="12"/>
  <c r="AN260" i="12"/>
  <c r="AM260" i="12"/>
  <c r="AL260" i="12"/>
  <c r="AG260" i="12"/>
  <c r="AF260" i="12"/>
  <c r="AE260" i="12"/>
  <c r="AD260" i="12"/>
  <c r="X260" i="12"/>
  <c r="W260" i="12"/>
  <c r="V260" i="12"/>
  <c r="U260" i="12"/>
  <c r="T260" i="12"/>
  <c r="Q260" i="12"/>
  <c r="P260" i="12"/>
  <c r="M260" i="12"/>
  <c r="E260" i="12"/>
  <c r="D260" i="12"/>
  <c r="C260" i="12"/>
  <c r="B260" i="12"/>
  <c r="A260" i="12"/>
  <c r="AN259" i="12"/>
  <c r="AM259" i="12"/>
  <c r="AL259" i="12"/>
  <c r="AG259" i="12"/>
  <c r="AF259" i="12"/>
  <c r="AE259" i="12"/>
  <c r="AD259" i="12"/>
  <c r="X259" i="12"/>
  <c r="W259" i="12"/>
  <c r="V259" i="12"/>
  <c r="U259" i="12"/>
  <c r="T259" i="12"/>
  <c r="Q259" i="12"/>
  <c r="P259" i="12"/>
  <c r="M259" i="12"/>
  <c r="E259" i="12"/>
  <c r="D259" i="12"/>
  <c r="C259" i="12"/>
  <c r="B259" i="12"/>
  <c r="A259" i="12"/>
  <c r="AE258" i="12"/>
  <c r="AD258" i="12"/>
  <c r="AB258" i="12"/>
  <c r="W258" i="12"/>
  <c r="T258" i="12"/>
  <c r="M258" i="12"/>
  <c r="K258" i="12"/>
  <c r="X258" i="12" s="1"/>
  <c r="E258" i="12"/>
  <c r="D258" i="12"/>
  <c r="C258" i="12"/>
  <c r="B258" i="12"/>
  <c r="A258" i="12"/>
  <c r="AD257" i="12"/>
  <c r="W257" i="12"/>
  <c r="T257" i="12"/>
  <c r="M257" i="12"/>
  <c r="E257" i="12"/>
  <c r="D257" i="12"/>
  <c r="C257" i="12"/>
  <c r="B257" i="12"/>
  <c r="A257" i="12"/>
  <c r="AL256" i="12"/>
  <c r="AD256" i="12"/>
  <c r="W256" i="12"/>
  <c r="T256" i="12"/>
  <c r="M256" i="12"/>
  <c r="E256" i="12"/>
  <c r="D256" i="12"/>
  <c r="C256" i="12"/>
  <c r="B256" i="12"/>
  <c r="A256" i="12"/>
  <c r="AD255" i="12"/>
  <c r="W255" i="12"/>
  <c r="T255" i="12"/>
  <c r="M255" i="12"/>
  <c r="AL255" i="12" s="1"/>
  <c r="E255" i="12"/>
  <c r="D255" i="12"/>
  <c r="C255" i="12"/>
  <c r="B255" i="12"/>
  <c r="A255" i="12"/>
  <c r="AD254" i="12"/>
  <c r="W254" i="12"/>
  <c r="T254" i="12"/>
  <c r="M254" i="12"/>
  <c r="AL254" i="12" s="1"/>
  <c r="E254" i="12"/>
  <c r="D254" i="12"/>
  <c r="C254" i="12"/>
  <c r="B254" i="12"/>
  <c r="A254" i="12"/>
  <c r="AD253" i="12"/>
  <c r="W253" i="12"/>
  <c r="T253" i="12"/>
  <c r="M253" i="12"/>
  <c r="AL253" i="12" s="1"/>
  <c r="E253" i="12"/>
  <c r="D253" i="12"/>
  <c r="C253" i="12"/>
  <c r="B253" i="12"/>
  <c r="A253" i="12"/>
  <c r="AD252" i="12"/>
  <c r="W252" i="12"/>
  <c r="T252" i="12"/>
  <c r="M252" i="12"/>
  <c r="AL252" i="12" s="1"/>
  <c r="E252" i="12"/>
  <c r="D252" i="12"/>
  <c r="C252" i="12"/>
  <c r="B252" i="12"/>
  <c r="A252" i="12"/>
  <c r="AD251" i="12"/>
  <c r="W251" i="12"/>
  <c r="T251" i="12"/>
  <c r="M251" i="12"/>
  <c r="E251" i="12"/>
  <c r="D251" i="12"/>
  <c r="C251" i="12"/>
  <c r="B251" i="12"/>
  <c r="A251" i="12"/>
  <c r="AM250" i="12"/>
  <c r="AL250" i="12"/>
  <c r="AD250" i="12"/>
  <c r="W250" i="12"/>
  <c r="T250" i="12"/>
  <c r="M250" i="12"/>
  <c r="E250" i="12"/>
  <c r="D250" i="12"/>
  <c r="C250" i="12"/>
  <c r="B250" i="12"/>
  <c r="A250" i="12"/>
  <c r="AD249" i="12"/>
  <c r="W249" i="12"/>
  <c r="T249" i="12"/>
  <c r="M249" i="12"/>
  <c r="AL249" i="12" s="1"/>
  <c r="E249" i="12"/>
  <c r="D249" i="12"/>
  <c r="C249" i="12"/>
  <c r="B249" i="12"/>
  <c r="A249" i="12"/>
  <c r="AD248" i="12"/>
  <c r="W248" i="12"/>
  <c r="T248" i="12"/>
  <c r="M248" i="12"/>
  <c r="AL248" i="12" s="1"/>
  <c r="E248" i="12"/>
  <c r="D248" i="12"/>
  <c r="C248" i="12"/>
  <c r="B248" i="12"/>
  <c r="A248" i="12"/>
  <c r="AD247" i="12"/>
  <c r="W247" i="12"/>
  <c r="T247" i="12"/>
  <c r="M247" i="12"/>
  <c r="E247" i="12"/>
  <c r="D247" i="12"/>
  <c r="C247" i="12"/>
  <c r="B247" i="12"/>
  <c r="A247" i="12"/>
  <c r="AM246" i="12"/>
  <c r="AD246" i="12"/>
  <c r="X246" i="12"/>
  <c r="W246" i="12"/>
  <c r="T246" i="12"/>
  <c r="M246" i="12"/>
  <c r="K246" i="12"/>
  <c r="E246" i="12"/>
  <c r="D246" i="12"/>
  <c r="C246" i="12"/>
  <c r="B246" i="12"/>
  <c r="A246" i="12"/>
  <c r="AD245" i="12"/>
  <c r="W245" i="12"/>
  <c r="T245" i="12"/>
  <c r="M245" i="12"/>
  <c r="E245" i="12"/>
  <c r="D245" i="12"/>
  <c r="C245" i="12"/>
  <c r="B245" i="12"/>
  <c r="A245" i="12"/>
  <c r="AL244" i="12"/>
  <c r="AD244" i="12"/>
  <c r="W244" i="12"/>
  <c r="T244" i="12"/>
  <c r="M244" i="12"/>
  <c r="E244" i="12"/>
  <c r="D244" i="12"/>
  <c r="C244" i="12"/>
  <c r="B244" i="12"/>
  <c r="A244" i="12"/>
  <c r="AD243" i="12"/>
  <c r="X243" i="12"/>
  <c r="W243" i="12"/>
  <c r="T243" i="12"/>
  <c r="M243" i="12"/>
  <c r="K243" i="12"/>
  <c r="E243" i="12"/>
  <c r="D243" i="12"/>
  <c r="C243" i="12"/>
  <c r="B243" i="12"/>
  <c r="A243" i="12"/>
  <c r="AE242" i="12"/>
  <c r="AD242" i="12"/>
  <c r="AB242" i="12"/>
  <c r="X242" i="12"/>
  <c r="W242" i="12"/>
  <c r="T242" i="12"/>
  <c r="M242" i="12"/>
  <c r="K242" i="12"/>
  <c r="E242" i="12"/>
  <c r="D242" i="12"/>
  <c r="C242" i="12"/>
  <c r="B242" i="12"/>
  <c r="A242" i="12"/>
  <c r="AD241" i="12"/>
  <c r="W241" i="12"/>
  <c r="T241" i="12"/>
  <c r="M241" i="12"/>
  <c r="AM241" i="12" s="1"/>
  <c r="K241" i="12"/>
  <c r="E241" i="12"/>
  <c r="D241" i="12"/>
  <c r="C241" i="12"/>
  <c r="B241" i="12"/>
  <c r="A241" i="12"/>
  <c r="AM240" i="12"/>
  <c r="AD240" i="12"/>
  <c r="X240" i="12"/>
  <c r="W240" i="12"/>
  <c r="T240" i="12"/>
  <c r="M240" i="12"/>
  <c r="K240" i="12"/>
  <c r="E240" i="12"/>
  <c r="D240" i="12"/>
  <c r="C240" i="12"/>
  <c r="B240" i="12"/>
  <c r="A240" i="12"/>
  <c r="AD239" i="12"/>
  <c r="W239" i="12"/>
  <c r="T239" i="12"/>
  <c r="M239" i="12"/>
  <c r="AL239" i="12" s="1"/>
  <c r="E239" i="12"/>
  <c r="D239" i="12"/>
  <c r="C239" i="12"/>
  <c r="B239" i="12"/>
  <c r="A239" i="12"/>
  <c r="AD238" i="12"/>
  <c r="W238" i="12"/>
  <c r="T238" i="12"/>
  <c r="M238" i="12"/>
  <c r="AL238" i="12" s="1"/>
  <c r="E238" i="12"/>
  <c r="D238" i="12"/>
  <c r="C238" i="12"/>
  <c r="B238" i="12"/>
  <c r="A238" i="12"/>
  <c r="AD237" i="12"/>
  <c r="W237" i="12"/>
  <c r="T237" i="12"/>
  <c r="M237" i="12"/>
  <c r="AL237" i="12" s="1"/>
  <c r="E237" i="12"/>
  <c r="D237" i="12"/>
  <c r="C237" i="12"/>
  <c r="B237" i="12"/>
  <c r="A237" i="12"/>
  <c r="AM236" i="12"/>
  <c r="AD236" i="12"/>
  <c r="W236" i="12"/>
  <c r="T236" i="12"/>
  <c r="M236" i="12"/>
  <c r="AL236" i="12" s="1"/>
  <c r="E236" i="12"/>
  <c r="D236" i="12"/>
  <c r="C236" i="12"/>
  <c r="B236" i="12"/>
  <c r="A236" i="12"/>
  <c r="AN235" i="12"/>
  <c r="AM235" i="12"/>
  <c r="AL235" i="12"/>
  <c r="AG235" i="12"/>
  <c r="AF235" i="12"/>
  <c r="AE235" i="12"/>
  <c r="AD235" i="12"/>
  <c r="X235" i="12"/>
  <c r="W235" i="12"/>
  <c r="Y235" i="12" s="1"/>
  <c r="V235" i="12"/>
  <c r="U235" i="12"/>
  <c r="T235" i="12"/>
  <c r="Q235" i="12"/>
  <c r="P235" i="12"/>
  <c r="M235" i="12"/>
  <c r="E235" i="12"/>
  <c r="D235" i="12"/>
  <c r="C235" i="12"/>
  <c r="B235" i="12"/>
  <c r="A235" i="12"/>
  <c r="AL234" i="12"/>
  <c r="AD234" i="12"/>
  <c r="W234" i="12"/>
  <c r="M234" i="12"/>
  <c r="E234" i="12"/>
  <c r="D234" i="12"/>
  <c r="C234" i="12"/>
  <c r="B234" i="12"/>
  <c r="A234" i="12"/>
  <c r="T234" i="12" s="1"/>
  <c r="AD233" i="12"/>
  <c r="W233" i="12"/>
  <c r="M233" i="12"/>
  <c r="AM233" i="12" s="1"/>
  <c r="K233" i="12"/>
  <c r="X233" i="12" s="1"/>
  <c r="E233" i="12"/>
  <c r="D233" i="12"/>
  <c r="C233" i="12"/>
  <c r="B233" i="12"/>
  <c r="A233" i="12"/>
  <c r="T233" i="12" s="1"/>
  <c r="AM232" i="12"/>
  <c r="AD232" i="12"/>
  <c r="W232" i="12"/>
  <c r="M232" i="12"/>
  <c r="K232" i="12"/>
  <c r="X232" i="12" s="1"/>
  <c r="E232" i="12"/>
  <c r="D232" i="12"/>
  <c r="C232" i="12"/>
  <c r="B232" i="12"/>
  <c r="A232" i="12"/>
  <c r="AM231" i="12"/>
  <c r="AD231" i="12"/>
  <c r="W231" i="12"/>
  <c r="M231" i="12"/>
  <c r="K231" i="12"/>
  <c r="AE231" i="12" s="1"/>
  <c r="E231" i="12"/>
  <c r="D231" i="12"/>
  <c r="C231" i="12"/>
  <c r="B231" i="12"/>
  <c r="A231" i="12"/>
  <c r="AL230" i="12"/>
  <c r="AD230" i="12"/>
  <c r="W230" i="12"/>
  <c r="M230" i="12"/>
  <c r="AM230" i="12" s="1"/>
  <c r="E230" i="12"/>
  <c r="D230" i="12"/>
  <c r="C230" i="12"/>
  <c r="B230" i="12"/>
  <c r="A230" i="12"/>
  <c r="T230" i="12" s="1"/>
  <c r="AD229" i="12"/>
  <c r="W229" i="12"/>
  <c r="M229" i="12"/>
  <c r="AL229" i="12" s="1"/>
  <c r="E229" i="12"/>
  <c r="D229" i="12"/>
  <c r="C229" i="12"/>
  <c r="B229" i="12"/>
  <c r="A229" i="12"/>
  <c r="T229" i="12" s="1"/>
  <c r="AM228" i="12"/>
  <c r="AD228" i="12"/>
  <c r="W228" i="12"/>
  <c r="M228" i="12"/>
  <c r="K228" i="12"/>
  <c r="X228" i="12" s="1"/>
  <c r="E228" i="12"/>
  <c r="D228" i="12"/>
  <c r="C228" i="12"/>
  <c r="B228" i="12"/>
  <c r="A228" i="12"/>
  <c r="AD227" i="12"/>
  <c r="W227" i="12"/>
  <c r="M227" i="12"/>
  <c r="AL227" i="12" s="1"/>
  <c r="E227" i="12"/>
  <c r="D227" i="12"/>
  <c r="C227" i="12"/>
  <c r="B227" i="12"/>
  <c r="A227" i="12"/>
  <c r="AD226" i="12"/>
  <c r="W226" i="12"/>
  <c r="M226" i="12"/>
  <c r="E226" i="12"/>
  <c r="D226" i="12"/>
  <c r="C226" i="12"/>
  <c r="B226" i="12"/>
  <c r="A226" i="12"/>
  <c r="T226" i="12" s="1"/>
  <c r="AD225" i="12"/>
  <c r="W225" i="12"/>
  <c r="M225" i="12"/>
  <c r="AM225" i="12" s="1"/>
  <c r="K225" i="12"/>
  <c r="E225" i="12"/>
  <c r="D225" i="12"/>
  <c r="C225" i="12"/>
  <c r="B225" i="12"/>
  <c r="A225" i="12"/>
  <c r="T225" i="12" s="1"/>
  <c r="AN224" i="12"/>
  <c r="AM224" i="12"/>
  <c r="AL224" i="12"/>
  <c r="AG224" i="12"/>
  <c r="AF224" i="12"/>
  <c r="AE224" i="12"/>
  <c r="AD224" i="12"/>
  <c r="AH224" i="12" s="1"/>
  <c r="X224" i="12"/>
  <c r="W224" i="12"/>
  <c r="V224" i="12"/>
  <c r="U224" i="12"/>
  <c r="T224" i="12"/>
  <c r="Q224" i="12"/>
  <c r="P224" i="12"/>
  <c r="M224" i="12"/>
  <c r="E224" i="12"/>
  <c r="D224" i="12"/>
  <c r="C224" i="12"/>
  <c r="B224" i="12"/>
  <c r="A224" i="12"/>
  <c r="AD223" i="12"/>
  <c r="W223" i="12"/>
  <c r="T223" i="12"/>
  <c r="M223" i="12"/>
  <c r="AL223" i="12" s="1"/>
  <c r="E223" i="12"/>
  <c r="D223" i="12"/>
  <c r="C223" i="12"/>
  <c r="B223" i="12"/>
  <c r="A223" i="12"/>
  <c r="AD222" i="12"/>
  <c r="W222" i="12"/>
  <c r="T222" i="12"/>
  <c r="M222" i="12"/>
  <c r="AL222" i="12" s="1"/>
  <c r="E222" i="12"/>
  <c r="D222" i="12"/>
  <c r="C222" i="12"/>
  <c r="B222" i="12"/>
  <c r="A222" i="12"/>
  <c r="AL221" i="12"/>
  <c r="AD221" i="12"/>
  <c r="W221" i="12"/>
  <c r="T221" i="12"/>
  <c r="M221" i="12"/>
  <c r="E221" i="12"/>
  <c r="D221" i="12"/>
  <c r="C221" i="12"/>
  <c r="B221" i="12"/>
  <c r="A221" i="12"/>
  <c r="AD220" i="12"/>
  <c r="W220" i="12"/>
  <c r="T220" i="12"/>
  <c r="M220" i="12"/>
  <c r="E220" i="12"/>
  <c r="D220" i="12"/>
  <c r="C220" i="12"/>
  <c r="B220" i="12"/>
  <c r="A220" i="12"/>
  <c r="AD219" i="12"/>
  <c r="W219" i="12"/>
  <c r="M219" i="12"/>
  <c r="E219" i="12"/>
  <c r="D219" i="12"/>
  <c r="C219" i="12"/>
  <c r="B219" i="12"/>
  <c r="A219" i="12"/>
  <c r="T219" i="12" s="1"/>
  <c r="AD218" i="12"/>
  <c r="W218" i="12"/>
  <c r="M218" i="12"/>
  <c r="AL218" i="12" s="1"/>
  <c r="E218" i="12"/>
  <c r="D218" i="12"/>
  <c r="C218" i="12"/>
  <c r="B218" i="12"/>
  <c r="A218" i="12"/>
  <c r="T218" i="12" s="1"/>
  <c r="AM217" i="12"/>
  <c r="AD217" i="12"/>
  <c r="W217" i="12"/>
  <c r="M217" i="12"/>
  <c r="K217" i="12"/>
  <c r="X217" i="12" s="1"/>
  <c r="E217" i="12"/>
  <c r="D217" i="12"/>
  <c r="C217" i="12"/>
  <c r="B217" i="12"/>
  <c r="A217" i="12"/>
  <c r="AD216" i="12"/>
  <c r="W216" i="12"/>
  <c r="M216" i="12"/>
  <c r="AM216" i="12" s="1"/>
  <c r="K216" i="12"/>
  <c r="X216" i="12" s="1"/>
  <c r="E216" i="12"/>
  <c r="D216" i="12"/>
  <c r="C216" i="12"/>
  <c r="B216" i="12"/>
  <c r="A216" i="12"/>
  <c r="T216" i="12" s="1"/>
  <c r="AD215" i="12"/>
  <c r="W215" i="12"/>
  <c r="T215" i="12"/>
  <c r="M215" i="12"/>
  <c r="AL215" i="12" s="1"/>
  <c r="E215" i="12"/>
  <c r="D215" i="12"/>
  <c r="C215" i="12"/>
  <c r="B215" i="12"/>
  <c r="A215" i="12"/>
  <c r="AE214" i="12"/>
  <c r="AD214" i="12"/>
  <c r="AB214" i="12"/>
  <c r="W214" i="12"/>
  <c r="T214" i="12"/>
  <c r="M214" i="12"/>
  <c r="AM214" i="12" s="1"/>
  <c r="K214" i="12"/>
  <c r="X214" i="12" s="1"/>
  <c r="E214" i="12"/>
  <c r="D214" i="12"/>
  <c r="C214" i="12"/>
  <c r="B214" i="12"/>
  <c r="A214" i="12"/>
  <c r="AD213" i="12"/>
  <c r="W213" i="12"/>
  <c r="M213" i="12"/>
  <c r="AL213" i="12" s="1"/>
  <c r="E213" i="12"/>
  <c r="D213" i="12"/>
  <c r="C213" i="12"/>
  <c r="B213" i="12"/>
  <c r="A213" i="12"/>
  <c r="T213" i="12" s="1"/>
  <c r="AL212" i="12"/>
  <c r="AD212" i="12"/>
  <c r="W212" i="12"/>
  <c r="T212" i="12"/>
  <c r="M212" i="12"/>
  <c r="E212" i="12"/>
  <c r="D212" i="12"/>
  <c r="C212" i="12"/>
  <c r="B212" i="12"/>
  <c r="A212" i="12"/>
  <c r="AD211" i="12"/>
  <c r="W211" i="12"/>
  <c r="T211" i="12"/>
  <c r="M211" i="12"/>
  <c r="E211" i="12"/>
  <c r="D211" i="12"/>
  <c r="C211" i="12"/>
  <c r="B211" i="12"/>
  <c r="A211" i="12"/>
  <c r="AM210" i="12"/>
  <c r="AD210" i="12"/>
  <c r="W210" i="12"/>
  <c r="T210" i="12"/>
  <c r="M210" i="12"/>
  <c r="K210" i="12"/>
  <c r="E210" i="12"/>
  <c r="D210" i="12"/>
  <c r="C210" i="12"/>
  <c r="B210" i="12"/>
  <c r="A210" i="12"/>
  <c r="AL209" i="12"/>
  <c r="AD209" i="12"/>
  <c r="W209" i="12"/>
  <c r="T209" i="12"/>
  <c r="M209" i="12"/>
  <c r="E209" i="12"/>
  <c r="D209" i="12"/>
  <c r="C209" i="12"/>
  <c r="B209" i="12"/>
  <c r="A209" i="12"/>
  <c r="AE208" i="12"/>
  <c r="AD208" i="12"/>
  <c r="AB208" i="12"/>
  <c r="W208" i="12"/>
  <c r="T208" i="12"/>
  <c r="M208" i="12"/>
  <c r="AM208" i="12" s="1"/>
  <c r="K208" i="12"/>
  <c r="X208" i="12" s="1"/>
  <c r="E208" i="12"/>
  <c r="D208" i="12"/>
  <c r="C208" i="12"/>
  <c r="B208" i="12"/>
  <c r="A208" i="12"/>
  <c r="AD207" i="12"/>
  <c r="W207" i="12"/>
  <c r="T207" i="12"/>
  <c r="M207" i="12"/>
  <c r="AL207" i="12" s="1"/>
  <c r="E207" i="12"/>
  <c r="D207" i="12"/>
  <c r="C207" i="12"/>
  <c r="B207" i="12"/>
  <c r="A207" i="12"/>
  <c r="AD206" i="12"/>
  <c r="W206" i="12"/>
  <c r="T206" i="12"/>
  <c r="M206" i="12"/>
  <c r="AL206" i="12" s="1"/>
  <c r="E206" i="12"/>
  <c r="D206" i="12"/>
  <c r="C206" i="12"/>
  <c r="B206" i="12"/>
  <c r="A206" i="12"/>
  <c r="AE205" i="12"/>
  <c r="AD205" i="12"/>
  <c r="AB205" i="12"/>
  <c r="W205" i="12"/>
  <c r="T205" i="12"/>
  <c r="M205" i="12"/>
  <c r="AM205" i="12" s="1"/>
  <c r="K205" i="12"/>
  <c r="X205" i="12" s="1"/>
  <c r="E205" i="12"/>
  <c r="D205" i="12"/>
  <c r="C205" i="12"/>
  <c r="B205" i="12"/>
  <c r="A205" i="12"/>
  <c r="AE204" i="12"/>
  <c r="AD204" i="12"/>
  <c r="X204" i="12"/>
  <c r="W204" i="12"/>
  <c r="T204" i="12"/>
  <c r="M204" i="12"/>
  <c r="AM204" i="12" s="1"/>
  <c r="K204" i="12"/>
  <c r="AB204" i="12" s="1"/>
  <c r="E204" i="12"/>
  <c r="D204" i="12"/>
  <c r="C204" i="12"/>
  <c r="B204" i="12"/>
  <c r="A204" i="12"/>
  <c r="AD203" i="12"/>
  <c r="W203" i="12"/>
  <c r="T203" i="12"/>
  <c r="M203" i="12"/>
  <c r="E203" i="12"/>
  <c r="D203" i="12"/>
  <c r="C203" i="12"/>
  <c r="B203" i="12"/>
  <c r="A203" i="12"/>
  <c r="AD202" i="12"/>
  <c r="W202" i="12"/>
  <c r="T202" i="12"/>
  <c r="M202" i="12"/>
  <c r="AL202" i="12" s="1"/>
  <c r="E202" i="12"/>
  <c r="D202" i="12"/>
  <c r="C202" i="12"/>
  <c r="B202" i="12"/>
  <c r="A202" i="12"/>
  <c r="AD201" i="12"/>
  <c r="W201" i="12"/>
  <c r="T201" i="12"/>
  <c r="M201" i="12"/>
  <c r="E201" i="12"/>
  <c r="D201" i="12"/>
  <c r="C201" i="12"/>
  <c r="B201" i="12"/>
  <c r="A201" i="12"/>
  <c r="AD200" i="12"/>
  <c r="W200" i="12"/>
  <c r="T200" i="12"/>
  <c r="M200" i="12"/>
  <c r="AL200" i="12" s="1"/>
  <c r="E200" i="12"/>
  <c r="D200" i="12"/>
  <c r="C200" i="12"/>
  <c r="B200" i="12"/>
  <c r="A200" i="12"/>
  <c r="AD199" i="12"/>
  <c r="W199" i="12"/>
  <c r="T199" i="12"/>
  <c r="M199" i="12"/>
  <c r="E199" i="12"/>
  <c r="D199" i="12"/>
  <c r="C199" i="12"/>
  <c r="B199" i="12"/>
  <c r="A199" i="12"/>
  <c r="AL198" i="12"/>
  <c r="AD198" i="12"/>
  <c r="W198" i="12"/>
  <c r="T198" i="12"/>
  <c r="M198" i="12"/>
  <c r="E198" i="12"/>
  <c r="D198" i="12"/>
  <c r="C198" i="12"/>
  <c r="B198" i="12"/>
  <c r="A198" i="12"/>
  <c r="AD197" i="12"/>
  <c r="W197" i="12"/>
  <c r="T197" i="12"/>
  <c r="M197" i="12"/>
  <c r="AL197" i="12" s="1"/>
  <c r="E197" i="12"/>
  <c r="D197" i="12"/>
  <c r="C197" i="12"/>
  <c r="B197" i="12"/>
  <c r="A197" i="12"/>
  <c r="AD196" i="12"/>
  <c r="W196" i="12"/>
  <c r="T196" i="12"/>
  <c r="M196" i="12"/>
  <c r="AL196" i="12" s="1"/>
  <c r="E196" i="12"/>
  <c r="D196" i="12"/>
  <c r="C196" i="12"/>
  <c r="B196" i="12"/>
  <c r="A196" i="12"/>
  <c r="AE195" i="12"/>
  <c r="AD195" i="12"/>
  <c r="AB195" i="12"/>
  <c r="X195" i="12"/>
  <c r="W195" i="12"/>
  <c r="T195" i="12"/>
  <c r="M195" i="12"/>
  <c r="AM195" i="12" s="1"/>
  <c r="K195" i="12"/>
  <c r="E195" i="12"/>
  <c r="D195" i="12"/>
  <c r="C195" i="12"/>
  <c r="B195" i="12"/>
  <c r="A195" i="12"/>
  <c r="AD194" i="12"/>
  <c r="W194" i="12"/>
  <c r="T194" i="12"/>
  <c r="M194" i="12"/>
  <c r="AM194" i="12" s="1"/>
  <c r="K194" i="12"/>
  <c r="E194" i="12"/>
  <c r="D194" i="12"/>
  <c r="C194" i="12"/>
  <c r="B194" i="12"/>
  <c r="A194" i="12"/>
  <c r="AD193" i="12"/>
  <c r="W193" i="12"/>
  <c r="T193" i="12"/>
  <c r="M193" i="12"/>
  <c r="E193" i="12"/>
  <c r="D193" i="12"/>
  <c r="C193" i="12"/>
  <c r="B193" i="12"/>
  <c r="A193" i="12"/>
  <c r="AE192" i="12"/>
  <c r="AD192" i="12"/>
  <c r="AB192" i="12"/>
  <c r="W192" i="12"/>
  <c r="T192" i="12"/>
  <c r="M192" i="12"/>
  <c r="AM192" i="12" s="1"/>
  <c r="K192" i="12"/>
  <c r="X192" i="12" s="1"/>
  <c r="E192" i="12"/>
  <c r="D192" i="12"/>
  <c r="C192" i="12"/>
  <c r="B192" i="12"/>
  <c r="A192" i="12"/>
  <c r="AL191" i="12"/>
  <c r="AD191" i="12"/>
  <c r="W191" i="12"/>
  <c r="T191" i="12"/>
  <c r="M191" i="12"/>
  <c r="E191" i="12"/>
  <c r="D191" i="12"/>
  <c r="C191" i="12"/>
  <c r="B191" i="12"/>
  <c r="A191" i="12"/>
  <c r="AL190" i="12"/>
  <c r="AD190" i="12"/>
  <c r="W190" i="12"/>
  <c r="T190" i="12"/>
  <c r="M190" i="12"/>
  <c r="E190" i="12"/>
  <c r="D190" i="12"/>
  <c r="C190" i="12"/>
  <c r="B190" i="12"/>
  <c r="A190" i="12"/>
  <c r="AD189" i="12"/>
  <c r="W189" i="12"/>
  <c r="T189" i="12"/>
  <c r="M189" i="12"/>
  <c r="AL189" i="12" s="1"/>
  <c r="E189" i="12"/>
  <c r="D189" i="12"/>
  <c r="C189" i="12"/>
  <c r="B189" i="12"/>
  <c r="A189" i="12"/>
  <c r="AD188" i="12"/>
  <c r="W188" i="12"/>
  <c r="T188" i="12"/>
  <c r="M188" i="12"/>
  <c r="AL188" i="12" s="1"/>
  <c r="E188" i="12"/>
  <c r="D188" i="12"/>
  <c r="C188" i="12"/>
  <c r="B188" i="12"/>
  <c r="A188" i="12"/>
  <c r="AL187" i="12"/>
  <c r="AD187" i="12"/>
  <c r="W187" i="12"/>
  <c r="T187" i="12"/>
  <c r="M187" i="12"/>
  <c r="AM187" i="12" s="1"/>
  <c r="E187" i="12"/>
  <c r="D187" i="12"/>
  <c r="C187" i="12"/>
  <c r="B187" i="12"/>
  <c r="A187" i="12"/>
  <c r="AL186" i="12"/>
  <c r="AD186" i="12"/>
  <c r="W186" i="12"/>
  <c r="T186" i="12"/>
  <c r="M186" i="12"/>
  <c r="AM186" i="12" s="1"/>
  <c r="E186" i="12"/>
  <c r="D186" i="12"/>
  <c r="C186" i="12"/>
  <c r="B186" i="12"/>
  <c r="A186" i="12"/>
  <c r="AE185" i="12"/>
  <c r="AD185" i="12"/>
  <c r="X185" i="12"/>
  <c r="W185" i="12"/>
  <c r="T185" i="12"/>
  <c r="M185" i="12"/>
  <c r="AM185" i="12" s="1"/>
  <c r="K185" i="12"/>
  <c r="AB185" i="12" s="1"/>
  <c r="E185" i="12"/>
  <c r="D185" i="12"/>
  <c r="C185" i="12"/>
  <c r="B185" i="12"/>
  <c r="A185" i="12"/>
  <c r="AE184" i="12"/>
  <c r="AD184" i="12"/>
  <c r="AB184" i="12"/>
  <c r="W184" i="12"/>
  <c r="T184" i="12"/>
  <c r="M184" i="12"/>
  <c r="AM184" i="12" s="1"/>
  <c r="K184" i="12"/>
  <c r="X184" i="12" s="1"/>
  <c r="E184" i="12"/>
  <c r="D184" i="12"/>
  <c r="C184" i="12"/>
  <c r="B184" i="12"/>
  <c r="A184" i="12"/>
  <c r="AL183" i="12"/>
  <c r="AD183" i="12"/>
  <c r="W183" i="12"/>
  <c r="T183" i="12"/>
  <c r="M183" i="12"/>
  <c r="AM183" i="12" s="1"/>
  <c r="E183" i="12"/>
  <c r="D183" i="12"/>
  <c r="C183" i="12"/>
  <c r="B183" i="12"/>
  <c r="A183" i="12"/>
  <c r="AM182" i="12"/>
  <c r="AD182" i="12"/>
  <c r="W182" i="12"/>
  <c r="T182" i="12"/>
  <c r="M182" i="12"/>
  <c r="AL182" i="12" s="1"/>
  <c r="E182" i="12"/>
  <c r="D182" i="12"/>
  <c r="C182" i="12"/>
  <c r="B182" i="12"/>
  <c r="A182" i="12"/>
  <c r="AD181" i="12"/>
  <c r="W181" i="12"/>
  <c r="T181" i="12"/>
  <c r="M181" i="12"/>
  <c r="AM181" i="12" s="1"/>
  <c r="K181" i="12"/>
  <c r="E181" i="12"/>
  <c r="D181" i="12"/>
  <c r="C181" i="12"/>
  <c r="B181" i="12"/>
  <c r="A181" i="12"/>
  <c r="AE180" i="12"/>
  <c r="AD180" i="12"/>
  <c r="AB180" i="12"/>
  <c r="W180" i="12"/>
  <c r="T180" i="12"/>
  <c r="M180" i="12"/>
  <c r="K180" i="12"/>
  <c r="X180" i="12" s="1"/>
  <c r="E180" i="12"/>
  <c r="D180" i="12"/>
  <c r="C180" i="12"/>
  <c r="B180" i="12"/>
  <c r="A180" i="12"/>
  <c r="AL179" i="12"/>
  <c r="AD179" i="12"/>
  <c r="W179" i="12"/>
  <c r="T179" i="12"/>
  <c r="M179" i="12"/>
  <c r="E179" i="12"/>
  <c r="D179" i="12"/>
  <c r="C179" i="12"/>
  <c r="B179" i="12"/>
  <c r="A179" i="12"/>
  <c r="AL178" i="12"/>
  <c r="AD178" i="12"/>
  <c r="W178" i="12"/>
  <c r="T178" i="12"/>
  <c r="M178" i="12"/>
  <c r="E178" i="12"/>
  <c r="D178" i="12"/>
  <c r="C178" i="12"/>
  <c r="B178" i="12"/>
  <c r="A178" i="12"/>
  <c r="AD177" i="12"/>
  <c r="W177" i="12"/>
  <c r="T177" i="12"/>
  <c r="M177" i="12"/>
  <c r="AL177" i="12" s="1"/>
  <c r="E177" i="12"/>
  <c r="D177" i="12"/>
  <c r="C177" i="12"/>
  <c r="B177" i="12"/>
  <c r="A177" i="12"/>
  <c r="AD176" i="12"/>
  <c r="W176" i="12"/>
  <c r="T176" i="12"/>
  <c r="M176" i="12"/>
  <c r="AL176" i="12" s="1"/>
  <c r="E176" i="12"/>
  <c r="D176" i="12"/>
  <c r="C176" i="12"/>
  <c r="B176" i="12"/>
  <c r="A176" i="12"/>
  <c r="AL175" i="12"/>
  <c r="AD175" i="12"/>
  <c r="W175" i="12"/>
  <c r="T175" i="12"/>
  <c r="M175" i="12"/>
  <c r="E175" i="12"/>
  <c r="D175" i="12"/>
  <c r="C175" i="12"/>
  <c r="B175" i="12"/>
  <c r="A175" i="12"/>
  <c r="AD174" i="12"/>
  <c r="W174" i="12"/>
  <c r="T174" i="12"/>
  <c r="M174" i="12"/>
  <c r="E174" i="12"/>
  <c r="D174" i="12"/>
  <c r="C174" i="12"/>
  <c r="B174" i="12"/>
  <c r="A174" i="12"/>
  <c r="AN173" i="12"/>
  <c r="AM173" i="12"/>
  <c r="AL173" i="12"/>
  <c r="AG173" i="12"/>
  <c r="AF173" i="12"/>
  <c r="AH173" i="12" s="1"/>
  <c r="AE173" i="12"/>
  <c r="AD173" i="12"/>
  <c r="X173" i="12"/>
  <c r="W173" i="12"/>
  <c r="V173" i="12"/>
  <c r="U173" i="12"/>
  <c r="T173" i="12"/>
  <c r="Q173" i="12"/>
  <c r="P173" i="12"/>
  <c r="M173" i="12"/>
  <c r="E173" i="12"/>
  <c r="D173" i="12"/>
  <c r="C173" i="12"/>
  <c r="B173" i="12"/>
  <c r="A173" i="12"/>
  <c r="AE172" i="12"/>
  <c r="AD172" i="12"/>
  <c r="W172" i="12"/>
  <c r="M172" i="12"/>
  <c r="K172" i="12"/>
  <c r="AB172" i="12" s="1"/>
  <c r="E172" i="12"/>
  <c r="D172" i="12"/>
  <c r="C172" i="12"/>
  <c r="B172" i="12"/>
  <c r="A172" i="12"/>
  <c r="AM171" i="12"/>
  <c r="AE171" i="12"/>
  <c r="AD171" i="12"/>
  <c r="AB171" i="12"/>
  <c r="W171" i="12"/>
  <c r="M171" i="12"/>
  <c r="K171" i="12"/>
  <c r="X171" i="12" s="1"/>
  <c r="E171" i="12"/>
  <c r="D171" i="12"/>
  <c r="C171" i="12"/>
  <c r="B171" i="12"/>
  <c r="A171" i="12"/>
  <c r="T171" i="12" s="1"/>
  <c r="AM170" i="12"/>
  <c r="AD170" i="12"/>
  <c r="W170" i="12"/>
  <c r="T170" i="12"/>
  <c r="M170" i="12"/>
  <c r="K170" i="12"/>
  <c r="AE170" i="12" s="1"/>
  <c r="E170" i="12"/>
  <c r="D170" i="12"/>
  <c r="C170" i="12"/>
  <c r="B170" i="12"/>
  <c r="A170" i="12"/>
  <c r="AL169" i="12"/>
  <c r="AD169" i="12"/>
  <c r="AB169" i="12"/>
  <c r="W169" i="12"/>
  <c r="M169" i="12"/>
  <c r="AM169" i="12" s="1"/>
  <c r="K169" i="12"/>
  <c r="E169" i="12"/>
  <c r="D169" i="12"/>
  <c r="C169" i="12"/>
  <c r="B169" i="12"/>
  <c r="A169" i="12"/>
  <c r="T169" i="12" s="1"/>
  <c r="AD168" i="12"/>
  <c r="W168" i="12"/>
  <c r="T168" i="12"/>
  <c r="M168" i="12"/>
  <c r="AM168" i="12" s="1"/>
  <c r="K168" i="12"/>
  <c r="H168" i="12"/>
  <c r="H361" i="12" s="1"/>
  <c r="E168" i="12"/>
  <c r="D168" i="12"/>
  <c r="C168" i="12"/>
  <c r="B168" i="12"/>
  <c r="A168" i="12"/>
  <c r="AD167" i="12"/>
  <c r="W167" i="12"/>
  <c r="M167" i="12"/>
  <c r="AL167" i="12" s="1"/>
  <c r="E167" i="12"/>
  <c r="D167" i="12"/>
  <c r="C167" i="12"/>
  <c r="B167" i="12"/>
  <c r="A167" i="12"/>
  <c r="AD166" i="12"/>
  <c r="W166" i="12"/>
  <c r="M166" i="12"/>
  <c r="AL166" i="12" s="1"/>
  <c r="E166" i="12"/>
  <c r="D166" i="12"/>
  <c r="C166" i="12"/>
  <c r="B166" i="12"/>
  <c r="A166" i="12"/>
  <c r="T166" i="12" s="1"/>
  <c r="AD165" i="12"/>
  <c r="W165" i="12"/>
  <c r="M165" i="12"/>
  <c r="AL165" i="12" s="1"/>
  <c r="E165" i="12"/>
  <c r="D165" i="12"/>
  <c r="C165" i="12"/>
  <c r="B165" i="12"/>
  <c r="A165" i="12"/>
  <c r="T165" i="12" s="1"/>
  <c r="AD164" i="12"/>
  <c r="W164" i="12"/>
  <c r="M164" i="12"/>
  <c r="AM164" i="12" s="1"/>
  <c r="K164" i="12"/>
  <c r="AB164" i="12" s="1"/>
  <c r="E164" i="12"/>
  <c r="D164" i="12"/>
  <c r="C164" i="12"/>
  <c r="B164" i="12"/>
  <c r="A164" i="12"/>
  <c r="T164" i="12" s="1"/>
  <c r="AD163" i="12"/>
  <c r="W163" i="12"/>
  <c r="M163" i="12"/>
  <c r="AL163" i="12" s="1"/>
  <c r="E163" i="12"/>
  <c r="D163" i="12"/>
  <c r="C163" i="12"/>
  <c r="B163" i="12"/>
  <c r="A163" i="12"/>
  <c r="T163" i="12" s="1"/>
  <c r="AD162" i="12"/>
  <c r="W162" i="12"/>
  <c r="M162" i="12"/>
  <c r="E162" i="12"/>
  <c r="D162" i="12"/>
  <c r="C162" i="12"/>
  <c r="B162" i="12"/>
  <c r="A162" i="12"/>
  <c r="T162" i="12" s="1"/>
  <c r="AL161" i="12"/>
  <c r="AD161" i="12"/>
  <c r="W161" i="12"/>
  <c r="M161" i="12"/>
  <c r="E161" i="12"/>
  <c r="D161" i="12"/>
  <c r="C161" i="12"/>
  <c r="B161" i="12"/>
  <c r="A161" i="12"/>
  <c r="T161" i="12" s="1"/>
  <c r="AD160" i="12"/>
  <c r="W160" i="12"/>
  <c r="T160" i="12"/>
  <c r="M160" i="12"/>
  <c r="AL160" i="12" s="1"/>
  <c r="E160" i="12"/>
  <c r="D160" i="12"/>
  <c r="C160" i="12"/>
  <c r="B160" i="12"/>
  <c r="A160" i="12"/>
  <c r="AD159" i="12"/>
  <c r="W159" i="12"/>
  <c r="M159" i="12"/>
  <c r="AL159" i="12" s="1"/>
  <c r="E159" i="12"/>
  <c r="D159" i="12"/>
  <c r="C159" i="12"/>
  <c r="B159" i="12"/>
  <c r="A159" i="12"/>
  <c r="T159" i="12" s="1"/>
  <c r="AD158" i="12"/>
  <c r="W158" i="12"/>
  <c r="T158" i="12"/>
  <c r="M158" i="12"/>
  <c r="AL158" i="12" s="1"/>
  <c r="E158" i="12"/>
  <c r="D158" i="12"/>
  <c r="C158" i="12"/>
  <c r="B158" i="12"/>
  <c r="A158" i="12"/>
  <c r="AD157" i="12"/>
  <c r="W157" i="12"/>
  <c r="M157" i="12"/>
  <c r="AL157" i="12" s="1"/>
  <c r="E157" i="12"/>
  <c r="D157" i="12"/>
  <c r="C157" i="12"/>
  <c r="B157" i="12"/>
  <c r="A157" i="12"/>
  <c r="T157" i="12" s="1"/>
  <c r="AD156" i="12"/>
  <c r="W156" i="12"/>
  <c r="T156" i="12"/>
  <c r="M156" i="12"/>
  <c r="AL156" i="12" s="1"/>
  <c r="E156" i="12"/>
  <c r="D156" i="12"/>
  <c r="C156" i="12"/>
  <c r="B156" i="12"/>
  <c r="A156" i="12"/>
  <c r="AE155" i="12"/>
  <c r="AD155" i="12"/>
  <c r="X155" i="12"/>
  <c r="W155" i="12"/>
  <c r="M155" i="12"/>
  <c r="AM155" i="12" s="1"/>
  <c r="K155" i="12"/>
  <c r="AB155" i="12" s="1"/>
  <c r="E155" i="12"/>
  <c r="D155" i="12"/>
  <c r="C155" i="12"/>
  <c r="B155" i="12"/>
  <c r="A155" i="12"/>
  <c r="AD154" i="12"/>
  <c r="W154" i="12"/>
  <c r="T154" i="12"/>
  <c r="M154" i="12"/>
  <c r="AL154" i="12" s="1"/>
  <c r="E154" i="12"/>
  <c r="D154" i="12"/>
  <c r="C154" i="12"/>
  <c r="B154" i="12"/>
  <c r="A154" i="12"/>
  <c r="AD153" i="12"/>
  <c r="W153" i="12"/>
  <c r="M153" i="12"/>
  <c r="AL153" i="12" s="1"/>
  <c r="E153" i="12"/>
  <c r="D153" i="12"/>
  <c r="C153" i="12"/>
  <c r="B153" i="12"/>
  <c r="A153" i="12"/>
  <c r="T153" i="12" s="1"/>
  <c r="AD152" i="12"/>
  <c r="W152" i="12"/>
  <c r="T152" i="12"/>
  <c r="M152" i="12"/>
  <c r="AL152" i="12" s="1"/>
  <c r="E152" i="12"/>
  <c r="D152" i="12"/>
  <c r="C152" i="12"/>
  <c r="B152" i="12"/>
  <c r="A152" i="12"/>
  <c r="AD151" i="12"/>
  <c r="W151" i="12"/>
  <c r="M151" i="12"/>
  <c r="AL151" i="12" s="1"/>
  <c r="E151" i="12"/>
  <c r="D151" i="12"/>
  <c r="C151" i="12"/>
  <c r="B151" i="12"/>
  <c r="A151" i="12"/>
  <c r="T151" i="12" s="1"/>
  <c r="AE150" i="12"/>
  <c r="AD150" i="12"/>
  <c r="AB150" i="12"/>
  <c r="W150" i="12"/>
  <c r="T150" i="12"/>
  <c r="M150" i="12"/>
  <c r="AM150" i="12" s="1"/>
  <c r="K150" i="12"/>
  <c r="X150" i="12" s="1"/>
  <c r="E150" i="12"/>
  <c r="D150" i="12"/>
  <c r="C150" i="12"/>
  <c r="B150" i="12"/>
  <c r="A150" i="12"/>
  <c r="AD149" i="12"/>
  <c r="W149" i="12"/>
  <c r="T149" i="12"/>
  <c r="M149" i="12"/>
  <c r="AL149" i="12" s="1"/>
  <c r="E149" i="12"/>
  <c r="D149" i="12"/>
  <c r="C149" i="12"/>
  <c r="B149" i="12"/>
  <c r="A149" i="12"/>
  <c r="AD148" i="12"/>
  <c r="W148" i="12"/>
  <c r="T148" i="12"/>
  <c r="M148" i="12"/>
  <c r="AL148" i="12" s="1"/>
  <c r="E148" i="12"/>
  <c r="D148" i="12"/>
  <c r="C148" i="12"/>
  <c r="B148" i="12"/>
  <c r="A148" i="12"/>
  <c r="AD147" i="12"/>
  <c r="W147" i="12"/>
  <c r="M147" i="12"/>
  <c r="AL147" i="12" s="1"/>
  <c r="E147" i="12"/>
  <c r="D147" i="12"/>
  <c r="C147" i="12"/>
  <c r="B147" i="12"/>
  <c r="A147" i="12"/>
  <c r="AM146" i="12"/>
  <c r="AD146" i="12"/>
  <c r="W146" i="12"/>
  <c r="T146" i="12"/>
  <c r="M146" i="12"/>
  <c r="K146" i="12"/>
  <c r="E146" i="12"/>
  <c r="D146" i="12"/>
  <c r="C146" i="12"/>
  <c r="B146" i="12"/>
  <c r="A146" i="12"/>
  <c r="AD145" i="12"/>
  <c r="W145" i="12"/>
  <c r="M145" i="12"/>
  <c r="AL145" i="12" s="1"/>
  <c r="E145" i="12"/>
  <c r="D145" i="12"/>
  <c r="C145" i="12"/>
  <c r="B145" i="12"/>
  <c r="A145" i="12"/>
  <c r="T145" i="12" s="1"/>
  <c r="AM144" i="12"/>
  <c r="AD144" i="12"/>
  <c r="W144" i="12"/>
  <c r="T144" i="12"/>
  <c r="M144" i="12"/>
  <c r="AL144" i="12" s="1"/>
  <c r="E144" i="12"/>
  <c r="D144" i="12"/>
  <c r="C144" i="12"/>
  <c r="B144" i="12"/>
  <c r="A144" i="12"/>
  <c r="AM143" i="12"/>
  <c r="AD143" i="12"/>
  <c r="X143" i="12"/>
  <c r="W143" i="12"/>
  <c r="M143" i="12"/>
  <c r="AL143" i="12" s="1"/>
  <c r="K143" i="12"/>
  <c r="AE143" i="12" s="1"/>
  <c r="E143" i="12"/>
  <c r="D143" i="12"/>
  <c r="C143" i="12"/>
  <c r="B143" i="12"/>
  <c r="A143" i="12"/>
  <c r="T143" i="12" s="1"/>
  <c r="AE142" i="12"/>
  <c r="AD142" i="12"/>
  <c r="AB142" i="12"/>
  <c r="W142" i="12"/>
  <c r="T142" i="12"/>
  <c r="M142" i="12"/>
  <c r="K142" i="12"/>
  <c r="X142" i="12" s="1"/>
  <c r="E142" i="12"/>
  <c r="D142" i="12"/>
  <c r="C142" i="12"/>
  <c r="B142" i="12"/>
  <c r="A142" i="12"/>
  <c r="AD141" i="12"/>
  <c r="W141" i="12"/>
  <c r="T141" i="12"/>
  <c r="M141" i="12"/>
  <c r="AL141" i="12" s="1"/>
  <c r="K141" i="12"/>
  <c r="E141" i="12"/>
  <c r="D141" i="12"/>
  <c r="C141" i="12"/>
  <c r="B141" i="12"/>
  <c r="A141" i="12"/>
  <c r="AD140" i="12"/>
  <c r="W140" i="12"/>
  <c r="T140" i="12"/>
  <c r="M140" i="12"/>
  <c r="AL140" i="12" s="1"/>
  <c r="E140" i="12"/>
  <c r="D140" i="12"/>
  <c r="C140" i="12"/>
  <c r="B140" i="12"/>
  <c r="A140" i="12"/>
  <c r="AM139" i="12"/>
  <c r="AE139" i="12"/>
  <c r="AD139" i="12"/>
  <c r="AB139" i="12"/>
  <c r="W139" i="12"/>
  <c r="M139" i="12"/>
  <c r="K139" i="12"/>
  <c r="X139" i="12" s="1"/>
  <c r="E139" i="12"/>
  <c r="D139" i="12"/>
  <c r="C139" i="12"/>
  <c r="B139" i="12"/>
  <c r="A139" i="12"/>
  <c r="AM138" i="12"/>
  <c r="AD138" i="12"/>
  <c r="W138" i="12"/>
  <c r="T138" i="12"/>
  <c r="M138" i="12"/>
  <c r="AL138" i="12" s="1"/>
  <c r="K138" i="12"/>
  <c r="E138" i="12"/>
  <c r="D138" i="12"/>
  <c r="C138" i="12"/>
  <c r="B138" i="12"/>
  <c r="A138" i="12"/>
  <c r="AM137" i="12"/>
  <c r="AD137" i="12"/>
  <c r="W137" i="12"/>
  <c r="T137" i="12"/>
  <c r="M137" i="12"/>
  <c r="AL137" i="12" s="1"/>
  <c r="E137" i="12"/>
  <c r="D137" i="12"/>
  <c r="C137" i="12"/>
  <c r="B137" i="12"/>
  <c r="A137" i="12"/>
  <c r="AD136" i="12"/>
  <c r="W136" i="12"/>
  <c r="T136" i="12"/>
  <c r="M136" i="12"/>
  <c r="AL136" i="12" s="1"/>
  <c r="E136" i="12"/>
  <c r="D136" i="12"/>
  <c r="C136" i="12"/>
  <c r="B136" i="12"/>
  <c r="A136" i="12"/>
  <c r="AD135" i="12"/>
  <c r="W135" i="12"/>
  <c r="T135" i="12"/>
  <c r="M135" i="12"/>
  <c r="AL135" i="12" s="1"/>
  <c r="E135" i="12"/>
  <c r="D135" i="12"/>
  <c r="C135" i="12"/>
  <c r="B135" i="12"/>
  <c r="A135" i="12"/>
  <c r="AD134" i="12"/>
  <c r="W134" i="12"/>
  <c r="T134" i="12"/>
  <c r="M134" i="12"/>
  <c r="AL134" i="12" s="1"/>
  <c r="E134" i="12"/>
  <c r="D134" i="12"/>
  <c r="C134" i="12"/>
  <c r="B134" i="12"/>
  <c r="A134" i="12"/>
  <c r="AL133" i="12"/>
  <c r="AD133" i="12"/>
  <c r="W133" i="12"/>
  <c r="M133" i="12"/>
  <c r="E133" i="12"/>
  <c r="D133" i="12"/>
  <c r="C133" i="12"/>
  <c r="B133" i="12"/>
  <c r="A133" i="12"/>
  <c r="AD132" i="12"/>
  <c r="W132" i="12"/>
  <c r="M132" i="12"/>
  <c r="K132" i="12"/>
  <c r="X132" i="12" s="1"/>
  <c r="E132" i="12"/>
  <c r="D132" i="12"/>
  <c r="C132" i="12"/>
  <c r="B132" i="12"/>
  <c r="A132" i="12"/>
  <c r="T132" i="12" s="1"/>
  <c r="AN131" i="12"/>
  <c r="AM131" i="12"/>
  <c r="AL131" i="12"/>
  <c r="AG131" i="12"/>
  <c r="AF131" i="12"/>
  <c r="AE131" i="12"/>
  <c r="AD131" i="12"/>
  <c r="X131" i="12"/>
  <c r="W131" i="12"/>
  <c r="V131" i="12"/>
  <c r="U131" i="12"/>
  <c r="Y131" i="12" s="1"/>
  <c r="T131" i="12"/>
  <c r="Q131" i="12"/>
  <c r="P131" i="12"/>
  <c r="M131" i="12"/>
  <c r="E131" i="12"/>
  <c r="D131" i="12"/>
  <c r="C131" i="12"/>
  <c r="B131" i="12"/>
  <c r="A131" i="12"/>
  <c r="AN130" i="12"/>
  <c r="AM130" i="12"/>
  <c r="AL130" i="12"/>
  <c r="AG130" i="12"/>
  <c r="AF130" i="12"/>
  <c r="AE130" i="12"/>
  <c r="AD130" i="12"/>
  <c r="X130" i="12"/>
  <c r="W130" i="12"/>
  <c r="V130" i="12"/>
  <c r="U130" i="12"/>
  <c r="T130" i="12"/>
  <c r="Q130" i="12"/>
  <c r="P130" i="12"/>
  <c r="M130" i="12"/>
  <c r="E130" i="12"/>
  <c r="D130" i="12"/>
  <c r="C130" i="12"/>
  <c r="B130" i="12"/>
  <c r="A130" i="12"/>
  <c r="AD129" i="12"/>
  <c r="W129" i="12"/>
  <c r="T129" i="12"/>
  <c r="M129" i="12"/>
  <c r="K129" i="12"/>
  <c r="E129" i="12"/>
  <c r="D129" i="12"/>
  <c r="C129" i="12"/>
  <c r="B129" i="12"/>
  <c r="A129" i="12"/>
  <c r="AD128" i="12"/>
  <c r="W128" i="12"/>
  <c r="M128" i="12"/>
  <c r="AM128" i="12" s="1"/>
  <c r="E128" i="12"/>
  <c r="D128" i="12"/>
  <c r="C128" i="12"/>
  <c r="B128" i="12"/>
  <c r="A128" i="12"/>
  <c r="T128" i="12" s="1"/>
  <c r="AD127" i="12"/>
  <c r="W127" i="12"/>
  <c r="M127" i="12"/>
  <c r="AM127" i="12" s="1"/>
  <c r="K127" i="12"/>
  <c r="E127" i="12"/>
  <c r="D127" i="12"/>
  <c r="C127" i="12"/>
  <c r="B127" i="12"/>
  <c r="A127" i="12"/>
  <c r="AD126" i="12"/>
  <c r="W126" i="12"/>
  <c r="M126" i="12"/>
  <c r="AL126" i="12" s="1"/>
  <c r="E126" i="12"/>
  <c r="D126" i="12"/>
  <c r="C126" i="12"/>
  <c r="B126" i="12"/>
  <c r="A126" i="12"/>
  <c r="T126" i="12" s="1"/>
  <c r="AN125" i="12"/>
  <c r="AM125" i="12"/>
  <c r="AL125" i="12"/>
  <c r="AG125" i="12"/>
  <c r="AF125" i="12"/>
  <c r="AE125" i="12"/>
  <c r="AD125" i="12"/>
  <c r="X125" i="12"/>
  <c r="W125" i="12"/>
  <c r="V125" i="12"/>
  <c r="Y125" i="12" s="1"/>
  <c r="U125" i="12"/>
  <c r="T125" i="12"/>
  <c r="Q125" i="12"/>
  <c r="P125" i="12"/>
  <c r="M125" i="12"/>
  <c r="E125" i="12"/>
  <c r="D125" i="12"/>
  <c r="C125" i="12"/>
  <c r="B125" i="12"/>
  <c r="A125" i="12"/>
  <c r="AL124" i="12"/>
  <c r="AD124" i="12"/>
  <c r="AB124" i="12"/>
  <c r="X124" i="12"/>
  <c r="W124" i="12"/>
  <c r="T124" i="12"/>
  <c r="M124" i="12"/>
  <c r="AM124" i="12" s="1"/>
  <c r="K124" i="12"/>
  <c r="AE124" i="12" s="1"/>
  <c r="E124" i="12"/>
  <c r="D124" i="12"/>
  <c r="C124" i="12"/>
  <c r="B124" i="12"/>
  <c r="A124" i="12"/>
  <c r="AE123" i="12"/>
  <c r="AD123" i="12"/>
  <c r="AB123" i="12"/>
  <c r="X123" i="12"/>
  <c r="W123" i="12"/>
  <c r="T123" i="12"/>
  <c r="M123" i="12"/>
  <c r="K123" i="12"/>
  <c r="E123" i="12"/>
  <c r="D123" i="12"/>
  <c r="C123" i="12"/>
  <c r="B123" i="12"/>
  <c r="A123" i="12"/>
  <c r="AD122" i="12"/>
  <c r="W122" i="12"/>
  <c r="T122" i="12"/>
  <c r="M122" i="12"/>
  <c r="E122" i="12"/>
  <c r="D122" i="12"/>
  <c r="C122" i="12"/>
  <c r="B122" i="12"/>
  <c r="A122" i="12"/>
  <c r="AD121" i="12"/>
  <c r="W121" i="12"/>
  <c r="T121" i="12"/>
  <c r="M121" i="12"/>
  <c r="AL121" i="12" s="1"/>
  <c r="E121" i="12"/>
  <c r="D121" i="12"/>
  <c r="C121" i="12"/>
  <c r="B121" i="12"/>
  <c r="A121" i="12"/>
  <c r="AD120" i="12"/>
  <c r="W120" i="12"/>
  <c r="T120" i="12"/>
  <c r="M120" i="12"/>
  <c r="AM120" i="12" s="1"/>
  <c r="K120" i="12"/>
  <c r="E120" i="12"/>
  <c r="D120" i="12"/>
  <c r="C120" i="12"/>
  <c r="B120" i="12"/>
  <c r="A120" i="12"/>
  <c r="AE119" i="12"/>
  <c r="AD119" i="12"/>
  <c r="AB119" i="12"/>
  <c r="W119" i="12"/>
  <c r="T119" i="12"/>
  <c r="M119" i="12"/>
  <c r="AM119" i="12" s="1"/>
  <c r="K119" i="12"/>
  <c r="X119" i="12" s="1"/>
  <c r="E119" i="12"/>
  <c r="D119" i="12"/>
  <c r="C119" i="12"/>
  <c r="B119" i="12"/>
  <c r="A119" i="12"/>
  <c r="AD118" i="12"/>
  <c r="AB118" i="12"/>
  <c r="X118" i="12"/>
  <c r="W118" i="12"/>
  <c r="T118" i="12"/>
  <c r="M118" i="12"/>
  <c r="AM118" i="12" s="1"/>
  <c r="K118" i="12"/>
  <c r="AE118" i="12" s="1"/>
  <c r="E118" i="12"/>
  <c r="D118" i="12"/>
  <c r="C118" i="12"/>
  <c r="B118" i="12"/>
  <c r="A118" i="12"/>
  <c r="AL117" i="12"/>
  <c r="AD117" i="12"/>
  <c r="W117" i="12"/>
  <c r="T117" i="12"/>
  <c r="M117" i="12"/>
  <c r="E117" i="12"/>
  <c r="D117" i="12"/>
  <c r="C117" i="12"/>
  <c r="B117" i="12"/>
  <c r="A117" i="12"/>
  <c r="AD116" i="12"/>
  <c r="W116" i="12"/>
  <c r="T116" i="12"/>
  <c r="M116" i="12"/>
  <c r="AL116" i="12" s="1"/>
  <c r="E116" i="12"/>
  <c r="D116" i="12"/>
  <c r="C116" i="12"/>
  <c r="B116" i="12"/>
  <c r="A116" i="12"/>
  <c r="AD115" i="12"/>
  <c r="W115" i="12"/>
  <c r="T115" i="12"/>
  <c r="M115" i="12"/>
  <c r="AL115" i="12" s="1"/>
  <c r="E115" i="12"/>
  <c r="D115" i="12"/>
  <c r="C115" i="12"/>
  <c r="B115" i="12"/>
  <c r="A115" i="12"/>
  <c r="AE114" i="12"/>
  <c r="AD114" i="12"/>
  <c r="AB114" i="12"/>
  <c r="W114" i="12"/>
  <c r="T114" i="12"/>
  <c r="M114" i="12"/>
  <c r="AM114" i="12" s="1"/>
  <c r="K114" i="12"/>
  <c r="X114" i="12" s="1"/>
  <c r="E114" i="12"/>
  <c r="D114" i="12"/>
  <c r="C114" i="12"/>
  <c r="B114" i="12"/>
  <c r="A114" i="12"/>
  <c r="AN113" i="12"/>
  <c r="AM113" i="12"/>
  <c r="AL113" i="12"/>
  <c r="AG113" i="12"/>
  <c r="AF113" i="12"/>
  <c r="AE113" i="12"/>
  <c r="AH113" i="12" s="1"/>
  <c r="AD113" i="12"/>
  <c r="X113" i="12"/>
  <c r="W113" i="12"/>
  <c r="V113" i="12"/>
  <c r="U113" i="12"/>
  <c r="Y113" i="12" s="1"/>
  <c r="T113" i="12"/>
  <c r="Q113" i="12"/>
  <c r="P113" i="12"/>
  <c r="M113" i="12"/>
  <c r="E113" i="12"/>
  <c r="D113" i="12"/>
  <c r="C113" i="12"/>
  <c r="B113" i="12"/>
  <c r="A113" i="12"/>
  <c r="AN112" i="12"/>
  <c r="AM112" i="12"/>
  <c r="AL112" i="12"/>
  <c r="AG112" i="12"/>
  <c r="AF112" i="12"/>
  <c r="AE112" i="12"/>
  <c r="AD112" i="12"/>
  <c r="AH112" i="12" s="1"/>
  <c r="Y112" i="12"/>
  <c r="X112" i="12"/>
  <c r="W112" i="12"/>
  <c r="V112" i="12"/>
  <c r="U112" i="12"/>
  <c r="T112" i="12"/>
  <c r="Q112" i="12"/>
  <c r="P112" i="12"/>
  <c r="M112" i="12"/>
  <c r="E112" i="12"/>
  <c r="D112" i="12"/>
  <c r="C112" i="12"/>
  <c r="B112" i="12"/>
  <c r="A112" i="12"/>
  <c r="AM111" i="12"/>
  <c r="AE111" i="12"/>
  <c r="AD111" i="12"/>
  <c r="W111" i="12"/>
  <c r="M111" i="12"/>
  <c r="K111" i="12"/>
  <c r="AB111" i="12" s="1"/>
  <c r="E111" i="12"/>
  <c r="D111" i="12"/>
  <c r="C111" i="12"/>
  <c r="B111" i="12"/>
  <c r="A111" i="12"/>
  <c r="T111" i="12" s="1"/>
  <c r="AD110" i="12"/>
  <c r="W110" i="12"/>
  <c r="T110" i="12"/>
  <c r="M110" i="12"/>
  <c r="AM110" i="12" s="1"/>
  <c r="K110" i="12"/>
  <c r="E110" i="12"/>
  <c r="D110" i="12"/>
  <c r="C110" i="12"/>
  <c r="B110" i="12"/>
  <c r="A110" i="12"/>
  <c r="AN109" i="12"/>
  <c r="AM109" i="12"/>
  <c r="AL109" i="12"/>
  <c r="AG109" i="12"/>
  <c r="AH109" i="12" s="1"/>
  <c r="AF109" i="12"/>
  <c r="AE109" i="12"/>
  <c r="AD109" i="12"/>
  <c r="X109" i="12"/>
  <c r="W109" i="12"/>
  <c r="V109" i="12"/>
  <c r="U109" i="12"/>
  <c r="T109" i="12"/>
  <c r="Q109" i="12"/>
  <c r="P109" i="12"/>
  <c r="M109" i="12"/>
  <c r="E109" i="12"/>
  <c r="D109" i="12"/>
  <c r="C109" i="12"/>
  <c r="B109" i="12"/>
  <c r="A109" i="12"/>
  <c r="AD108" i="12"/>
  <c r="W108" i="12"/>
  <c r="M108" i="12"/>
  <c r="AM108" i="12" s="1"/>
  <c r="E108" i="12"/>
  <c r="D108" i="12"/>
  <c r="C108" i="12"/>
  <c r="B108" i="12"/>
  <c r="A108" i="12"/>
  <c r="T108" i="12" s="1"/>
  <c r="AD107" i="12"/>
  <c r="W107" i="12"/>
  <c r="T107" i="12"/>
  <c r="M107" i="12"/>
  <c r="E107" i="12"/>
  <c r="D107" i="12"/>
  <c r="C107" i="12"/>
  <c r="B107" i="12"/>
  <c r="A107" i="12"/>
  <c r="AD106" i="12"/>
  <c r="W106" i="12"/>
  <c r="T106" i="12"/>
  <c r="M106" i="12"/>
  <c r="AM106" i="12" s="1"/>
  <c r="K106" i="12"/>
  <c r="E106" i="12"/>
  <c r="D106" i="12"/>
  <c r="C106" i="12"/>
  <c r="B106" i="12"/>
  <c r="A106" i="12"/>
  <c r="AN105" i="12"/>
  <c r="AM105" i="12"/>
  <c r="AL105" i="12"/>
  <c r="AG105" i="12"/>
  <c r="AF105" i="12"/>
  <c r="AE105" i="12"/>
  <c r="AD105" i="12"/>
  <c r="X105" i="12"/>
  <c r="W105" i="12"/>
  <c r="V105" i="12"/>
  <c r="U105" i="12"/>
  <c r="T105" i="12"/>
  <c r="Q105" i="12"/>
  <c r="P105" i="12"/>
  <c r="M105" i="12"/>
  <c r="E105" i="12"/>
  <c r="D105" i="12"/>
  <c r="C105" i="12"/>
  <c r="B105" i="12"/>
  <c r="A105" i="12"/>
  <c r="AD104" i="12"/>
  <c r="W104" i="12"/>
  <c r="T104" i="12"/>
  <c r="M104" i="12"/>
  <c r="AM104" i="12" s="1"/>
  <c r="E104" i="12"/>
  <c r="D104" i="12"/>
  <c r="C104" i="12"/>
  <c r="B104" i="12"/>
  <c r="A104" i="12"/>
  <c r="AN103" i="12"/>
  <c r="AM103" i="12"/>
  <c r="AL103" i="12"/>
  <c r="AG103" i="12"/>
  <c r="AF103" i="12"/>
  <c r="AE103" i="12"/>
  <c r="AD103" i="12"/>
  <c r="X103" i="12"/>
  <c r="W103" i="12"/>
  <c r="V103" i="12"/>
  <c r="U103" i="12"/>
  <c r="T103" i="12"/>
  <c r="Q103" i="12"/>
  <c r="P103" i="12"/>
  <c r="M103" i="12"/>
  <c r="E103" i="12"/>
  <c r="D103" i="12"/>
  <c r="C103" i="12"/>
  <c r="B103" i="12"/>
  <c r="A103" i="12"/>
  <c r="AD102" i="12"/>
  <c r="X102" i="12"/>
  <c r="W102" i="12"/>
  <c r="T102" i="12"/>
  <c r="M102" i="12"/>
  <c r="AM102" i="12" s="1"/>
  <c r="K102" i="12"/>
  <c r="AB102" i="12" s="1"/>
  <c r="E102" i="12"/>
  <c r="D102" i="12"/>
  <c r="C102" i="12"/>
  <c r="B102" i="12"/>
  <c r="A102" i="12"/>
  <c r="AD101" i="12"/>
  <c r="W101" i="12"/>
  <c r="T101" i="12"/>
  <c r="M101" i="12"/>
  <c r="E101" i="12"/>
  <c r="D101" i="12"/>
  <c r="C101" i="12"/>
  <c r="B101" i="12"/>
  <c r="A101" i="12"/>
  <c r="AD100" i="12"/>
  <c r="W100" i="12"/>
  <c r="M100" i="12"/>
  <c r="AL100" i="12" s="1"/>
  <c r="E100" i="12"/>
  <c r="D100" i="12"/>
  <c r="C100" i="12"/>
  <c r="B100" i="12"/>
  <c r="A100" i="12"/>
  <c r="AN99" i="12"/>
  <c r="AM99" i="12"/>
  <c r="AL99" i="12"/>
  <c r="AG99" i="12"/>
  <c r="AF99" i="12"/>
  <c r="AE99" i="12"/>
  <c r="AD99" i="12"/>
  <c r="X99" i="12"/>
  <c r="W99" i="12"/>
  <c r="V99" i="12"/>
  <c r="U99" i="12"/>
  <c r="T99" i="12"/>
  <c r="Q99" i="12"/>
  <c r="P99" i="12"/>
  <c r="M99" i="12"/>
  <c r="E99" i="12"/>
  <c r="D99" i="12"/>
  <c r="C99" i="12"/>
  <c r="B99" i="12"/>
  <c r="A99" i="12"/>
  <c r="AN98" i="12"/>
  <c r="AM98" i="12"/>
  <c r="AL98" i="12"/>
  <c r="AG98" i="12"/>
  <c r="AF98" i="12"/>
  <c r="AE98" i="12"/>
  <c r="AD98" i="12"/>
  <c r="X98" i="12"/>
  <c r="W98" i="12"/>
  <c r="V98" i="12"/>
  <c r="U98" i="12"/>
  <c r="T98" i="12"/>
  <c r="Q98" i="12"/>
  <c r="P98" i="12"/>
  <c r="M98" i="12"/>
  <c r="E98" i="12"/>
  <c r="D98" i="12"/>
  <c r="C98" i="12"/>
  <c r="B98" i="12"/>
  <c r="A98" i="12"/>
  <c r="AD97" i="12"/>
  <c r="W97" i="12"/>
  <c r="T97" i="12"/>
  <c r="M97" i="12"/>
  <c r="AL97" i="12" s="1"/>
  <c r="E97" i="12"/>
  <c r="D97" i="12"/>
  <c r="C97" i="12"/>
  <c r="B97" i="12"/>
  <c r="A97" i="12"/>
  <c r="AD96" i="12"/>
  <c r="W96" i="12"/>
  <c r="M96" i="12"/>
  <c r="AM96" i="12" s="1"/>
  <c r="K96" i="12"/>
  <c r="E96" i="12"/>
  <c r="D96" i="12"/>
  <c r="C96" i="12"/>
  <c r="B96" i="12"/>
  <c r="A96" i="12"/>
  <c r="T96" i="12" s="1"/>
  <c r="AD95" i="12"/>
  <c r="AB95" i="12"/>
  <c r="W95" i="12"/>
  <c r="T95" i="12"/>
  <c r="M95" i="12"/>
  <c r="K95" i="12"/>
  <c r="E95" i="12"/>
  <c r="D95" i="12"/>
  <c r="C95" i="12"/>
  <c r="B95" i="12"/>
  <c r="A95" i="12"/>
  <c r="AD94" i="12"/>
  <c r="W94" i="12"/>
  <c r="M94" i="12"/>
  <c r="E94" i="12"/>
  <c r="D94" i="12"/>
  <c r="C94" i="12"/>
  <c r="B94" i="12"/>
  <c r="A94" i="12"/>
  <c r="T94" i="12" s="1"/>
  <c r="AD93" i="12"/>
  <c r="W93" i="12"/>
  <c r="M93" i="12"/>
  <c r="AM93" i="12" s="1"/>
  <c r="K93" i="12"/>
  <c r="E93" i="12"/>
  <c r="D93" i="12"/>
  <c r="C93" i="12"/>
  <c r="B93" i="12"/>
  <c r="A93" i="12"/>
  <c r="AD92" i="12"/>
  <c r="W92" i="12"/>
  <c r="M92" i="12"/>
  <c r="AL92" i="12" s="1"/>
  <c r="E92" i="12"/>
  <c r="D92" i="12"/>
  <c r="C92" i="12"/>
  <c r="B92" i="12"/>
  <c r="A92" i="12"/>
  <c r="T92" i="12" s="1"/>
  <c r="AD91" i="12"/>
  <c r="W91" i="12"/>
  <c r="M91" i="12"/>
  <c r="AM91" i="12" s="1"/>
  <c r="E91" i="12"/>
  <c r="D91" i="12"/>
  <c r="C91" i="12"/>
  <c r="B91" i="12"/>
  <c r="A91" i="12"/>
  <c r="T91" i="12" s="1"/>
  <c r="AL90" i="12"/>
  <c r="AD90" i="12"/>
  <c r="AB90" i="12"/>
  <c r="X90" i="12"/>
  <c r="W90" i="12"/>
  <c r="T90" i="12"/>
  <c r="M90" i="12"/>
  <c r="AM90" i="12" s="1"/>
  <c r="K90" i="12"/>
  <c r="AE90" i="12" s="1"/>
  <c r="E90" i="12"/>
  <c r="D90" i="12"/>
  <c r="C90" i="12"/>
  <c r="B90" i="12"/>
  <c r="A90" i="12"/>
  <c r="AL89" i="12"/>
  <c r="AD89" i="12"/>
  <c r="W89" i="12"/>
  <c r="T89" i="12"/>
  <c r="M89" i="12"/>
  <c r="AM89" i="12" s="1"/>
  <c r="E89" i="12"/>
  <c r="D89" i="12"/>
  <c r="C89" i="12"/>
  <c r="B89" i="12"/>
  <c r="A89" i="12"/>
  <c r="AD88" i="12"/>
  <c r="W88" i="12"/>
  <c r="T88" i="12"/>
  <c r="M88" i="12"/>
  <c r="AM88" i="12" s="1"/>
  <c r="K88" i="12"/>
  <c r="E88" i="12"/>
  <c r="D88" i="12"/>
  <c r="C88" i="12"/>
  <c r="B88" i="12"/>
  <c r="A88" i="12"/>
  <c r="AD87" i="12"/>
  <c r="W87" i="12"/>
  <c r="M87" i="12"/>
  <c r="K87" i="12"/>
  <c r="AB87" i="12" s="1"/>
  <c r="E87" i="12"/>
  <c r="D87" i="12"/>
  <c r="C87" i="12"/>
  <c r="B87" i="12"/>
  <c r="A87" i="12"/>
  <c r="AD86" i="12"/>
  <c r="W86" i="12"/>
  <c r="M86" i="12"/>
  <c r="E86" i="12"/>
  <c r="D86" i="12"/>
  <c r="C86" i="12"/>
  <c r="B86" i="12"/>
  <c r="A86" i="12"/>
  <c r="AL85" i="12"/>
  <c r="AD85" i="12"/>
  <c r="W85" i="12"/>
  <c r="M85" i="12"/>
  <c r="E85" i="12"/>
  <c r="D85" i="12"/>
  <c r="C85" i="12"/>
  <c r="B85" i="12"/>
  <c r="A85" i="12"/>
  <c r="AN84" i="12"/>
  <c r="AM84" i="12"/>
  <c r="AL84" i="12"/>
  <c r="AG84" i="12"/>
  <c r="AF84" i="12"/>
  <c r="AE84" i="12"/>
  <c r="AD84" i="12"/>
  <c r="AH84" i="12" s="1"/>
  <c r="X84" i="12"/>
  <c r="W84" i="12"/>
  <c r="V84" i="12"/>
  <c r="U84" i="12"/>
  <c r="T84" i="12"/>
  <c r="Q84" i="12"/>
  <c r="P84" i="12"/>
  <c r="M84" i="12"/>
  <c r="E84" i="12"/>
  <c r="D84" i="12"/>
  <c r="C84" i="12"/>
  <c r="B84" i="12"/>
  <c r="A84" i="12"/>
  <c r="AE83" i="12"/>
  <c r="AD83" i="12"/>
  <c r="AB83" i="12"/>
  <c r="X83" i="12"/>
  <c r="W83" i="12"/>
  <c r="T83" i="12"/>
  <c r="M83" i="12"/>
  <c r="K83" i="12"/>
  <c r="E83" i="12"/>
  <c r="D83" i="12"/>
  <c r="C83" i="12"/>
  <c r="B83" i="12"/>
  <c r="A83" i="12"/>
  <c r="AE82" i="12"/>
  <c r="AD82" i="12"/>
  <c r="AB82" i="12"/>
  <c r="X82" i="12"/>
  <c r="W82" i="12"/>
  <c r="T82" i="12"/>
  <c r="M82" i="12"/>
  <c r="AM82" i="12" s="1"/>
  <c r="K82" i="12"/>
  <c r="E82" i="12"/>
  <c r="D82" i="12"/>
  <c r="C82" i="12"/>
  <c r="B82" i="12"/>
  <c r="A82" i="12"/>
  <c r="AD81" i="12"/>
  <c r="W81" i="12"/>
  <c r="T81" i="12"/>
  <c r="M81" i="12"/>
  <c r="AL81" i="12" s="1"/>
  <c r="E81" i="12"/>
  <c r="D81" i="12"/>
  <c r="C81" i="12"/>
  <c r="B81" i="12"/>
  <c r="A81" i="12"/>
  <c r="AD80" i="12"/>
  <c r="W80" i="12"/>
  <c r="T80" i="12"/>
  <c r="M80" i="12"/>
  <c r="AM80" i="12" s="1"/>
  <c r="E80" i="12"/>
  <c r="D80" i="12"/>
  <c r="C80" i="12"/>
  <c r="B80" i="12"/>
  <c r="A80" i="12"/>
  <c r="AD79" i="12"/>
  <c r="W79" i="12"/>
  <c r="T79" i="12"/>
  <c r="M79" i="12"/>
  <c r="E79" i="12"/>
  <c r="D79" i="12"/>
  <c r="C79" i="12"/>
  <c r="B79" i="12"/>
  <c r="A79" i="12"/>
  <c r="AE78" i="12"/>
  <c r="AD78" i="12"/>
  <c r="AB78" i="12"/>
  <c r="W78" i="12"/>
  <c r="T78" i="12"/>
  <c r="M78" i="12"/>
  <c r="AM78" i="12" s="1"/>
  <c r="K78" i="12"/>
  <c r="X78" i="12" s="1"/>
  <c r="E78" i="12"/>
  <c r="D78" i="12"/>
  <c r="C78" i="12"/>
  <c r="B78" i="12"/>
  <c r="A78" i="12"/>
  <c r="AM77" i="12"/>
  <c r="AE77" i="12"/>
  <c r="AD77" i="12"/>
  <c r="AB77" i="12"/>
  <c r="X77" i="12"/>
  <c r="W77" i="12"/>
  <c r="T77" i="12"/>
  <c r="M77" i="12"/>
  <c r="K77" i="12"/>
  <c r="E77" i="12"/>
  <c r="D77" i="12"/>
  <c r="C77" i="12"/>
  <c r="B77" i="12"/>
  <c r="A77" i="12"/>
  <c r="AD76" i="12"/>
  <c r="AB76" i="12"/>
  <c r="X76" i="12"/>
  <c r="W76" i="12"/>
  <c r="T76" i="12"/>
  <c r="M76" i="12"/>
  <c r="AM76" i="12" s="1"/>
  <c r="K76" i="12"/>
  <c r="AE76" i="12" s="1"/>
  <c r="E76" i="12"/>
  <c r="D76" i="12"/>
  <c r="C76" i="12"/>
  <c r="B76" i="12"/>
  <c r="A76" i="12"/>
  <c r="AL75" i="12"/>
  <c r="AD75" i="12"/>
  <c r="W75" i="12"/>
  <c r="T75" i="12"/>
  <c r="M75" i="12"/>
  <c r="E75" i="12"/>
  <c r="D75" i="12"/>
  <c r="C75" i="12"/>
  <c r="B75" i="12"/>
  <c r="A75" i="12"/>
  <c r="AD74" i="12"/>
  <c r="AB74" i="12"/>
  <c r="X74" i="12"/>
  <c r="W74" i="12"/>
  <c r="T74" i="12"/>
  <c r="M74" i="12"/>
  <c r="AM74" i="12" s="1"/>
  <c r="K74" i="12"/>
  <c r="AE74" i="12" s="1"/>
  <c r="E74" i="12"/>
  <c r="D74" i="12"/>
  <c r="C74" i="12"/>
  <c r="B74" i="12"/>
  <c r="A74" i="12"/>
  <c r="AL73" i="12"/>
  <c r="AD73" i="12"/>
  <c r="W73" i="12"/>
  <c r="T73" i="12"/>
  <c r="M73" i="12"/>
  <c r="E73" i="12"/>
  <c r="D73" i="12"/>
  <c r="C73" i="12"/>
  <c r="B73" i="12"/>
  <c r="A73" i="12"/>
  <c r="AD72" i="12"/>
  <c r="W72" i="12"/>
  <c r="T72" i="12"/>
  <c r="M72" i="12"/>
  <c r="K72" i="12"/>
  <c r="E72" i="12"/>
  <c r="D72" i="12"/>
  <c r="C72" i="12"/>
  <c r="B72" i="12"/>
  <c r="A72" i="12"/>
  <c r="AD71" i="12"/>
  <c r="W71" i="12"/>
  <c r="T71" i="12"/>
  <c r="M71" i="12"/>
  <c r="E71" i="12"/>
  <c r="D71" i="12"/>
  <c r="C71" i="12"/>
  <c r="B71" i="12"/>
  <c r="A71" i="12"/>
  <c r="AM70" i="12"/>
  <c r="AL70" i="12"/>
  <c r="AD70" i="12"/>
  <c r="W70" i="12"/>
  <c r="T70" i="12"/>
  <c r="M70" i="12"/>
  <c r="E70" i="12"/>
  <c r="D70" i="12"/>
  <c r="C70" i="12"/>
  <c r="B70" i="12"/>
  <c r="A70" i="12"/>
  <c r="AD69" i="12"/>
  <c r="W69" i="12"/>
  <c r="T69" i="12"/>
  <c r="M69" i="12"/>
  <c r="AL69" i="12" s="1"/>
  <c r="E69" i="12"/>
  <c r="D69" i="12"/>
  <c r="C69" i="12"/>
  <c r="B69" i="12"/>
  <c r="A69" i="12"/>
  <c r="AD68" i="12"/>
  <c r="W68" i="12"/>
  <c r="T68" i="12"/>
  <c r="M68" i="12"/>
  <c r="AL68" i="12" s="1"/>
  <c r="E68" i="12"/>
  <c r="D68" i="12"/>
  <c r="C68" i="12"/>
  <c r="B68" i="12"/>
  <c r="A68" i="12"/>
  <c r="AD67" i="12"/>
  <c r="AB67" i="12"/>
  <c r="W67" i="12"/>
  <c r="T67" i="12"/>
  <c r="M67" i="12"/>
  <c r="AM67" i="12" s="1"/>
  <c r="K67" i="12"/>
  <c r="X67" i="12" s="1"/>
  <c r="E67" i="12"/>
  <c r="D67" i="12"/>
  <c r="C67" i="12"/>
  <c r="B67" i="12"/>
  <c r="A67" i="12"/>
  <c r="AM66" i="12"/>
  <c r="AE66" i="12"/>
  <c r="AD66" i="12"/>
  <c r="AB66" i="12"/>
  <c r="X66" i="12"/>
  <c r="W66" i="12"/>
  <c r="T66" i="12"/>
  <c r="M66" i="12"/>
  <c r="K66" i="12"/>
  <c r="E66" i="12"/>
  <c r="D66" i="12"/>
  <c r="C66" i="12"/>
  <c r="B66" i="12"/>
  <c r="A66" i="12"/>
  <c r="AD65" i="12"/>
  <c r="W65" i="12"/>
  <c r="T65" i="12"/>
  <c r="M65" i="12"/>
  <c r="K65" i="12"/>
  <c r="E65" i="12"/>
  <c r="D65" i="12"/>
  <c r="C65" i="12"/>
  <c r="B65" i="12"/>
  <c r="A65" i="12"/>
  <c r="AD64" i="12"/>
  <c r="W64" i="12"/>
  <c r="T64" i="12"/>
  <c r="M64" i="12"/>
  <c r="E64" i="12"/>
  <c r="D64" i="12"/>
  <c r="C64" i="12"/>
  <c r="B64" i="12"/>
  <c r="A64" i="12"/>
  <c r="AE63" i="12"/>
  <c r="AD63" i="12"/>
  <c r="W63" i="12"/>
  <c r="T63" i="12"/>
  <c r="M63" i="12"/>
  <c r="AM63" i="12" s="1"/>
  <c r="K63" i="12"/>
  <c r="AB63" i="12" s="1"/>
  <c r="E63" i="12"/>
  <c r="D63" i="12"/>
  <c r="C63" i="12"/>
  <c r="B63" i="12"/>
  <c r="A63" i="12"/>
  <c r="AD62" i="12"/>
  <c r="W62" i="12"/>
  <c r="T62" i="12"/>
  <c r="M62" i="12"/>
  <c r="AL62" i="12" s="1"/>
  <c r="E62" i="12"/>
  <c r="D62" i="12"/>
  <c r="C62" i="12"/>
  <c r="B62" i="12"/>
  <c r="A62" i="12"/>
  <c r="AL61" i="12"/>
  <c r="AD61" i="12"/>
  <c r="W61" i="12"/>
  <c r="T61" i="12"/>
  <c r="M61" i="12"/>
  <c r="E61" i="12"/>
  <c r="D61" i="12"/>
  <c r="C61" i="12"/>
  <c r="B61" i="12"/>
  <c r="A61" i="12"/>
  <c r="AM60" i="12"/>
  <c r="AE60" i="12"/>
  <c r="AD60" i="12"/>
  <c r="W60" i="12"/>
  <c r="T60" i="12"/>
  <c r="M60" i="12"/>
  <c r="K60" i="12"/>
  <c r="E60" i="12"/>
  <c r="D60" i="12"/>
  <c r="C60" i="12"/>
  <c r="B60" i="12"/>
  <c r="A60" i="12"/>
  <c r="AD59" i="12"/>
  <c r="AB59" i="12"/>
  <c r="W59" i="12"/>
  <c r="T59" i="12"/>
  <c r="M59" i="12"/>
  <c r="AM59" i="12" s="1"/>
  <c r="K59" i="12"/>
  <c r="X59" i="12" s="1"/>
  <c r="E59" i="12"/>
  <c r="D59" i="12"/>
  <c r="C59" i="12"/>
  <c r="B59" i="12"/>
  <c r="A59" i="12"/>
  <c r="AE58" i="12"/>
  <c r="AD58" i="12"/>
  <c r="AB58" i="12"/>
  <c r="X58" i="12"/>
  <c r="W58" i="12"/>
  <c r="T58" i="12"/>
  <c r="M58" i="12"/>
  <c r="K58" i="12"/>
  <c r="E58" i="12"/>
  <c r="D58" i="12"/>
  <c r="C58" i="12"/>
  <c r="B58" i="12"/>
  <c r="A58" i="12"/>
  <c r="AL57" i="12"/>
  <c r="AD57" i="12"/>
  <c r="W57" i="12"/>
  <c r="T57" i="12"/>
  <c r="M57" i="12"/>
  <c r="E57" i="12"/>
  <c r="D57" i="12"/>
  <c r="C57" i="12"/>
  <c r="B57" i="12"/>
  <c r="A57" i="12"/>
  <c r="AD56" i="12"/>
  <c r="W56" i="12"/>
  <c r="T56" i="12"/>
  <c r="M56" i="12"/>
  <c r="AL56" i="12" s="1"/>
  <c r="E56" i="12"/>
  <c r="D56" i="12"/>
  <c r="C56" i="12"/>
  <c r="B56" i="12"/>
  <c r="A56" i="12"/>
  <c r="AD55" i="12"/>
  <c r="W55" i="12"/>
  <c r="T55" i="12"/>
  <c r="M55" i="12"/>
  <c r="AL55" i="12" s="1"/>
  <c r="E55" i="12"/>
  <c r="D55" i="12"/>
  <c r="C55" i="12"/>
  <c r="B55" i="12"/>
  <c r="A55" i="12"/>
  <c r="AL54" i="12"/>
  <c r="AD54" i="12"/>
  <c r="W54" i="12"/>
  <c r="T54" i="12"/>
  <c r="M54" i="12"/>
  <c r="E54" i="12"/>
  <c r="D54" i="12"/>
  <c r="C54" i="12"/>
  <c r="B54" i="12"/>
  <c r="A54" i="12"/>
  <c r="AM53" i="12"/>
  <c r="AD53" i="12"/>
  <c r="W53" i="12"/>
  <c r="T53" i="12"/>
  <c r="M53" i="12"/>
  <c r="K53" i="12"/>
  <c r="E53" i="12"/>
  <c r="D53" i="12"/>
  <c r="C53" i="12"/>
  <c r="B53" i="12"/>
  <c r="A53" i="12"/>
  <c r="AM52" i="12"/>
  <c r="AE52" i="12"/>
  <c r="AD52" i="12"/>
  <c r="W52" i="12"/>
  <c r="T52" i="12"/>
  <c r="M52" i="12"/>
  <c r="K52" i="12"/>
  <c r="AB52" i="12" s="1"/>
  <c r="E52" i="12"/>
  <c r="D52" i="12"/>
  <c r="C52" i="12"/>
  <c r="B52" i="12"/>
  <c r="A52" i="12"/>
  <c r="AD51" i="12"/>
  <c r="W51" i="12"/>
  <c r="T51" i="12"/>
  <c r="M51" i="12"/>
  <c r="E51" i="12"/>
  <c r="D51" i="12"/>
  <c r="C51" i="12"/>
  <c r="B51" i="12"/>
  <c r="A51" i="12"/>
  <c r="AL50" i="12"/>
  <c r="AD50" i="12"/>
  <c r="W50" i="12"/>
  <c r="T50" i="12"/>
  <c r="M50" i="12"/>
  <c r="E50" i="12"/>
  <c r="D50" i="12"/>
  <c r="C50" i="12"/>
  <c r="B50" i="12"/>
  <c r="A50" i="12"/>
  <c r="AD49" i="12"/>
  <c r="W49" i="12"/>
  <c r="T49" i="12"/>
  <c r="M49" i="12"/>
  <c r="AL49" i="12" s="1"/>
  <c r="E49" i="12"/>
  <c r="D49" i="12"/>
  <c r="C49" i="12"/>
  <c r="B49" i="12"/>
  <c r="A49" i="12"/>
  <c r="AL48" i="12"/>
  <c r="AD48" i="12"/>
  <c r="W48" i="12"/>
  <c r="T48" i="12"/>
  <c r="M48" i="12"/>
  <c r="E48" i="12"/>
  <c r="D48" i="12"/>
  <c r="C48" i="12"/>
  <c r="B48" i="12"/>
  <c r="A48" i="12"/>
  <c r="AD47" i="12"/>
  <c r="W47" i="12"/>
  <c r="T47" i="12"/>
  <c r="M47" i="12"/>
  <c r="AL47" i="12" s="1"/>
  <c r="E47" i="12"/>
  <c r="D47" i="12"/>
  <c r="C47" i="12"/>
  <c r="B47" i="12"/>
  <c r="A47" i="12"/>
  <c r="AM46" i="12"/>
  <c r="AE46" i="12"/>
  <c r="AD46" i="12"/>
  <c r="AB46" i="12"/>
  <c r="X46" i="12"/>
  <c r="W46" i="12"/>
  <c r="T46" i="12"/>
  <c r="M46" i="12"/>
  <c r="K46" i="12"/>
  <c r="E46" i="12"/>
  <c r="D46" i="12"/>
  <c r="C46" i="12"/>
  <c r="B46" i="12"/>
  <c r="A46" i="12"/>
  <c r="AD45" i="12"/>
  <c r="W45" i="12"/>
  <c r="T45" i="12"/>
  <c r="M45" i="12"/>
  <c r="E45" i="12"/>
  <c r="D45" i="12"/>
  <c r="C45" i="12"/>
  <c r="B45" i="12"/>
  <c r="A45" i="12"/>
  <c r="AE44" i="12"/>
  <c r="AD44" i="12"/>
  <c r="AB44" i="12"/>
  <c r="X44" i="12"/>
  <c r="W44" i="12"/>
  <c r="T44" i="12"/>
  <c r="M44" i="12"/>
  <c r="AL44" i="12" s="1"/>
  <c r="K44" i="12"/>
  <c r="E44" i="12"/>
  <c r="D44" i="12"/>
  <c r="C44" i="12"/>
  <c r="B44" i="12"/>
  <c r="A44" i="12"/>
  <c r="AD43" i="12"/>
  <c r="W43" i="12"/>
  <c r="T43" i="12"/>
  <c r="M43" i="12"/>
  <c r="AL43" i="12" s="1"/>
  <c r="E43" i="12"/>
  <c r="D43" i="12"/>
  <c r="C43" i="12"/>
  <c r="B43" i="12"/>
  <c r="A43" i="12"/>
  <c r="AD42" i="12"/>
  <c r="W42" i="12"/>
  <c r="T42" i="12"/>
  <c r="M42" i="12"/>
  <c r="AM42" i="12" s="1"/>
  <c r="K42" i="12"/>
  <c r="E42" i="12"/>
  <c r="D42" i="12"/>
  <c r="C42" i="12"/>
  <c r="B42" i="12"/>
  <c r="A42" i="12"/>
  <c r="AL41" i="12"/>
  <c r="AD41" i="12"/>
  <c r="W41" i="12"/>
  <c r="T41" i="12"/>
  <c r="M41" i="12"/>
  <c r="E41" i="12"/>
  <c r="D41" i="12"/>
  <c r="C41" i="12"/>
  <c r="B41" i="12"/>
  <c r="A41" i="12"/>
  <c r="AD40" i="12"/>
  <c r="W40" i="12"/>
  <c r="T40" i="12"/>
  <c r="M40" i="12"/>
  <c r="AL40" i="12" s="1"/>
  <c r="E40" i="12"/>
  <c r="D40" i="12"/>
  <c r="C40" i="12"/>
  <c r="B40" i="12"/>
  <c r="A40" i="12"/>
  <c r="AD39" i="12"/>
  <c r="AB39" i="12"/>
  <c r="X39" i="12"/>
  <c r="W39" i="12"/>
  <c r="T39" i="12"/>
  <c r="M39" i="12"/>
  <c r="AM39" i="12" s="1"/>
  <c r="K39" i="12"/>
  <c r="AE39" i="12" s="1"/>
  <c r="E39" i="12"/>
  <c r="D39" i="12"/>
  <c r="C39" i="12"/>
  <c r="B39" i="12"/>
  <c r="A39" i="12"/>
  <c r="AD38" i="12"/>
  <c r="W38" i="12"/>
  <c r="T38" i="12"/>
  <c r="M38" i="12"/>
  <c r="AL38" i="12" s="1"/>
  <c r="E38" i="12"/>
  <c r="D38" i="12"/>
  <c r="C38" i="12"/>
  <c r="B38" i="12"/>
  <c r="A38" i="12"/>
  <c r="AD37" i="12"/>
  <c r="W37" i="12"/>
  <c r="T37" i="12"/>
  <c r="M37" i="12"/>
  <c r="E37" i="12"/>
  <c r="D37" i="12"/>
  <c r="C37" i="12"/>
  <c r="B37" i="12"/>
  <c r="A37" i="12"/>
  <c r="AD36" i="12"/>
  <c r="W36" i="12"/>
  <c r="M36" i="12"/>
  <c r="E36" i="12"/>
  <c r="D36" i="12"/>
  <c r="C36" i="12"/>
  <c r="B36" i="12"/>
  <c r="A36" i="12"/>
  <c r="T36" i="12" s="1"/>
  <c r="AD35" i="12"/>
  <c r="W35" i="12"/>
  <c r="T35" i="12"/>
  <c r="M35" i="12"/>
  <c r="E35" i="12"/>
  <c r="D35" i="12"/>
  <c r="C35" i="12"/>
  <c r="B35" i="12"/>
  <c r="A35" i="12"/>
  <c r="AD34" i="12"/>
  <c r="W34" i="12"/>
  <c r="M34" i="12"/>
  <c r="AL34" i="12" s="1"/>
  <c r="E34" i="12"/>
  <c r="D34" i="12"/>
  <c r="C34" i="12"/>
  <c r="B34" i="12"/>
  <c r="A34" i="12"/>
  <c r="T34" i="12" s="1"/>
  <c r="AD33" i="12"/>
  <c r="W33" i="12"/>
  <c r="T33" i="12"/>
  <c r="M33" i="12"/>
  <c r="AM33" i="12" s="1"/>
  <c r="K33" i="12"/>
  <c r="AB33" i="12" s="1"/>
  <c r="E33" i="12"/>
  <c r="D33" i="12"/>
  <c r="C33" i="12"/>
  <c r="B33" i="12"/>
  <c r="A33" i="12"/>
  <c r="AM32" i="12"/>
  <c r="AD32" i="12"/>
  <c r="AB32" i="12"/>
  <c r="W32" i="12"/>
  <c r="M32" i="12"/>
  <c r="AL32" i="12" s="1"/>
  <c r="K32" i="12"/>
  <c r="E32" i="12"/>
  <c r="D32" i="12"/>
  <c r="C32" i="12"/>
  <c r="B32" i="12"/>
  <c r="A32" i="12"/>
  <c r="T32" i="12" s="1"/>
  <c r="AD31" i="12"/>
  <c r="W31" i="12"/>
  <c r="T31" i="12"/>
  <c r="M31" i="12"/>
  <c r="AL31" i="12" s="1"/>
  <c r="E31" i="12"/>
  <c r="D31" i="12"/>
  <c r="C31" i="12"/>
  <c r="B31" i="12"/>
  <c r="A31" i="12"/>
  <c r="AD30" i="12"/>
  <c r="W30" i="12"/>
  <c r="M30" i="12"/>
  <c r="AL30" i="12" s="1"/>
  <c r="E30" i="12"/>
  <c r="D30" i="12"/>
  <c r="C30" i="12"/>
  <c r="B30" i="12"/>
  <c r="A30" i="12"/>
  <c r="T30" i="12" s="1"/>
  <c r="AD29" i="12"/>
  <c r="W29" i="12"/>
  <c r="T29" i="12"/>
  <c r="M29" i="12"/>
  <c r="AL29" i="12" s="1"/>
  <c r="E29" i="12"/>
  <c r="D29" i="12"/>
  <c r="C29" i="12"/>
  <c r="B29" i="12"/>
  <c r="A29" i="12"/>
  <c r="AD28" i="12"/>
  <c r="AB28" i="12"/>
  <c r="W28" i="12"/>
  <c r="M28" i="12"/>
  <c r="AM28" i="12" s="1"/>
  <c r="K28" i="12"/>
  <c r="E28" i="12"/>
  <c r="D28" i="12"/>
  <c r="C28" i="12"/>
  <c r="B28" i="12"/>
  <c r="A28" i="12"/>
  <c r="T28" i="12" s="1"/>
  <c r="AM27" i="12"/>
  <c r="AD27" i="12"/>
  <c r="W27" i="12"/>
  <c r="T27" i="12"/>
  <c r="M27" i="12"/>
  <c r="AL27" i="12" s="1"/>
  <c r="E27" i="12"/>
  <c r="D27" i="12"/>
  <c r="C27" i="12"/>
  <c r="B27" i="12"/>
  <c r="A27" i="12"/>
  <c r="AN26" i="12"/>
  <c r="AM26" i="12"/>
  <c r="AL26" i="12"/>
  <c r="AG26" i="12"/>
  <c r="AF26" i="12"/>
  <c r="AE26" i="12"/>
  <c r="AD26" i="12"/>
  <c r="X26" i="12"/>
  <c r="W26" i="12"/>
  <c r="V26" i="12"/>
  <c r="U26" i="12"/>
  <c r="T26" i="12"/>
  <c r="Q26" i="12"/>
  <c r="P26" i="12"/>
  <c r="M26" i="12"/>
  <c r="E26" i="12"/>
  <c r="D26" i="12"/>
  <c r="C26" i="12"/>
  <c r="B26" i="12"/>
  <c r="A26" i="12"/>
  <c r="AN25" i="12"/>
  <c r="AM25" i="12"/>
  <c r="AL25" i="12"/>
  <c r="AG25" i="12"/>
  <c r="AF25" i="12"/>
  <c r="AE25" i="12"/>
  <c r="AD25" i="12"/>
  <c r="X25" i="12"/>
  <c r="W25" i="12"/>
  <c r="V25" i="12"/>
  <c r="U25" i="12"/>
  <c r="Y25" i="12" s="1"/>
  <c r="T25" i="12"/>
  <c r="Q25" i="12"/>
  <c r="P25" i="12"/>
  <c r="M25" i="12"/>
  <c r="E25" i="12"/>
  <c r="D25" i="12"/>
  <c r="C25" i="12"/>
  <c r="B25" i="12"/>
  <c r="A25" i="12"/>
  <c r="AD24" i="12"/>
  <c r="W24" i="12"/>
  <c r="T24" i="12"/>
  <c r="M24" i="12"/>
  <c r="AM24" i="12" s="1"/>
  <c r="K24" i="12"/>
  <c r="E24" i="12"/>
  <c r="D24" i="12"/>
  <c r="C24" i="12"/>
  <c r="B24" i="12"/>
  <c r="A24" i="12"/>
  <c r="AN23" i="12"/>
  <c r="AM23" i="12"/>
  <c r="AL23" i="12"/>
  <c r="AG23" i="12"/>
  <c r="AF23" i="12"/>
  <c r="AE23" i="12"/>
  <c r="AD23" i="12"/>
  <c r="X23" i="12"/>
  <c r="W23" i="12"/>
  <c r="V23" i="12"/>
  <c r="Y23" i="12" s="1"/>
  <c r="U23" i="12"/>
  <c r="T23" i="12"/>
  <c r="Q23" i="12"/>
  <c r="P23" i="12"/>
  <c r="M23" i="12"/>
  <c r="E23" i="12"/>
  <c r="D23" i="12"/>
  <c r="C23" i="12"/>
  <c r="B23" i="12"/>
  <c r="A23" i="12"/>
  <c r="AD22" i="12"/>
  <c r="W22" i="12"/>
  <c r="M22" i="12"/>
  <c r="AL22" i="12" s="1"/>
  <c r="E22" i="12"/>
  <c r="D22" i="12"/>
  <c r="C22" i="12"/>
  <c r="B22" i="12"/>
  <c r="A22" i="12"/>
  <c r="T22" i="12" s="1"/>
  <c r="AD21" i="12"/>
  <c r="W21" i="12"/>
  <c r="M21" i="12"/>
  <c r="AL21" i="12" s="1"/>
  <c r="E21" i="12"/>
  <c r="D21" i="12"/>
  <c r="C21" i="12"/>
  <c r="B21" i="12"/>
  <c r="A21" i="12"/>
  <c r="T21" i="12" s="1"/>
  <c r="AD20" i="12"/>
  <c r="W20" i="12"/>
  <c r="M20" i="12"/>
  <c r="AM20" i="12" s="1"/>
  <c r="K20" i="12"/>
  <c r="E20" i="12"/>
  <c r="D20" i="12"/>
  <c r="C20" i="12"/>
  <c r="B20" i="12"/>
  <c r="A20" i="12"/>
  <c r="T20" i="12" s="1"/>
  <c r="AN19" i="12"/>
  <c r="AM19" i="12"/>
  <c r="AL19" i="12"/>
  <c r="AG19" i="12"/>
  <c r="AF19" i="12"/>
  <c r="AE19" i="12"/>
  <c r="AD19" i="12"/>
  <c r="X19" i="12"/>
  <c r="W19" i="12"/>
  <c r="V19" i="12"/>
  <c r="U19" i="12"/>
  <c r="Y19" i="12" s="1"/>
  <c r="T19" i="12"/>
  <c r="Q19" i="12"/>
  <c r="P19" i="12"/>
  <c r="M19" i="12"/>
  <c r="E19" i="12"/>
  <c r="D19" i="12"/>
  <c r="C19" i="12"/>
  <c r="B19" i="12"/>
  <c r="A19" i="12"/>
  <c r="AD18" i="12"/>
  <c r="W18" i="12"/>
  <c r="M18" i="12"/>
  <c r="AL18" i="12" s="1"/>
  <c r="E18" i="12"/>
  <c r="D18" i="12"/>
  <c r="C18" i="12"/>
  <c r="B18" i="12"/>
  <c r="A18" i="12"/>
  <c r="T18" i="12" s="1"/>
  <c r="AD17" i="12"/>
  <c r="W17" i="12"/>
  <c r="M17" i="12"/>
  <c r="AM17" i="12" s="1"/>
  <c r="K17" i="12"/>
  <c r="AB17" i="12" s="1"/>
  <c r="E17" i="12"/>
  <c r="D17" i="12"/>
  <c r="C17" i="12"/>
  <c r="B17" i="12"/>
  <c r="A17" i="12"/>
  <c r="T17" i="12" s="1"/>
  <c r="AD16" i="12"/>
  <c r="W16" i="12"/>
  <c r="M16" i="12"/>
  <c r="AL16" i="12" s="1"/>
  <c r="E16" i="12"/>
  <c r="D16" i="12"/>
  <c r="C16" i="12"/>
  <c r="B16" i="12"/>
  <c r="A16" i="12"/>
  <c r="T16" i="12" s="1"/>
  <c r="AD15" i="12"/>
  <c r="W15" i="12"/>
  <c r="M15" i="12"/>
  <c r="AL15" i="12" s="1"/>
  <c r="E15" i="12"/>
  <c r="D15" i="12"/>
  <c r="C15" i="12"/>
  <c r="B15" i="12"/>
  <c r="A15" i="12"/>
  <c r="T15" i="12" s="1"/>
  <c r="AD14" i="12"/>
  <c r="W14" i="12"/>
  <c r="M14" i="12"/>
  <c r="E14" i="12"/>
  <c r="D14" i="12"/>
  <c r="C14" i="12"/>
  <c r="B14" i="12"/>
  <c r="A14" i="12"/>
  <c r="T14" i="12" s="1"/>
  <c r="AD13" i="12"/>
  <c r="W13" i="12"/>
  <c r="M13" i="12"/>
  <c r="E13" i="12"/>
  <c r="D13" i="12"/>
  <c r="C13" i="12"/>
  <c r="B13" i="12"/>
  <c r="A13" i="12"/>
  <c r="T13" i="12" s="1"/>
  <c r="AD12" i="12"/>
  <c r="W12" i="12"/>
  <c r="M12" i="12"/>
  <c r="AL12" i="12" s="1"/>
  <c r="E12" i="12"/>
  <c r="D12" i="12"/>
  <c r="C12" i="12"/>
  <c r="B12" i="12"/>
  <c r="A12" i="12"/>
  <c r="T12" i="12" s="1"/>
  <c r="AD11" i="12"/>
  <c r="W11" i="12"/>
  <c r="M11" i="12"/>
  <c r="AL11" i="12" s="1"/>
  <c r="E11" i="12"/>
  <c r="D11" i="12"/>
  <c r="C11" i="12"/>
  <c r="B11" i="12"/>
  <c r="A11" i="12"/>
  <c r="T11" i="12" s="1"/>
  <c r="AD10" i="12"/>
  <c r="W10" i="12"/>
  <c r="M10" i="12"/>
  <c r="AL10" i="12" s="1"/>
  <c r="E10" i="12"/>
  <c r="D10" i="12"/>
  <c r="C10" i="12"/>
  <c r="B10" i="12"/>
  <c r="A10" i="12"/>
  <c r="T10" i="12" s="1"/>
  <c r="AN9" i="12"/>
  <c r="AM9" i="12"/>
  <c r="AL9" i="12"/>
  <c r="AG9" i="12"/>
  <c r="AF9" i="12"/>
  <c r="AE9" i="12"/>
  <c r="AD9" i="12"/>
  <c r="AH9" i="12" s="1"/>
  <c r="X9" i="12"/>
  <c r="W9" i="12"/>
  <c r="V9" i="12"/>
  <c r="U9" i="12"/>
  <c r="T9" i="12"/>
  <c r="Q9" i="12"/>
  <c r="P9" i="12"/>
  <c r="M9" i="12"/>
  <c r="E9" i="12"/>
  <c r="D9" i="12"/>
  <c r="C9" i="12"/>
  <c r="B9" i="12"/>
  <c r="A9" i="12"/>
  <c r="AD8" i="12"/>
  <c r="W8" i="12"/>
  <c r="M8" i="12"/>
  <c r="AL8" i="12" s="1"/>
  <c r="E8" i="12"/>
  <c r="D8" i="12"/>
  <c r="C8" i="12"/>
  <c r="B8" i="12"/>
  <c r="A8" i="12"/>
  <c r="AD7" i="12"/>
  <c r="W7" i="12"/>
  <c r="M7" i="12"/>
  <c r="AL7" i="12" s="1"/>
  <c r="E7" i="12"/>
  <c r="D7" i="12"/>
  <c r="C7" i="12"/>
  <c r="B7" i="12"/>
  <c r="A7" i="12"/>
  <c r="AD6" i="12"/>
  <c r="W6" i="12"/>
  <c r="M6" i="12"/>
  <c r="AL6" i="12" s="1"/>
  <c r="E6" i="12"/>
  <c r="D6" i="12"/>
  <c r="C6" i="12"/>
  <c r="B6" i="12"/>
  <c r="A6" i="12"/>
  <c r="AD5" i="12"/>
  <c r="W5" i="12"/>
  <c r="M5" i="12"/>
  <c r="AL5" i="12" s="1"/>
  <c r="E5" i="12"/>
  <c r="D5" i="12"/>
  <c r="C5" i="12"/>
  <c r="B5" i="12"/>
  <c r="A5" i="12"/>
  <c r="C54" i="11"/>
  <c r="R54" i="10"/>
  <c r="Q54" i="10"/>
  <c r="P54" i="10"/>
  <c r="O54" i="10"/>
  <c r="N54" i="10"/>
  <c r="L54" i="10"/>
  <c r="K54" i="10"/>
  <c r="J54" i="10"/>
  <c r="I54" i="10"/>
  <c r="H54" i="10"/>
  <c r="G54" i="10"/>
  <c r="M54" i="10" s="1"/>
  <c r="F54" i="10"/>
  <c r="E54" i="10"/>
  <c r="D54" i="10"/>
  <c r="C54" i="10"/>
  <c r="M52" i="10"/>
  <c r="S52" i="10" s="1"/>
  <c r="F52" i="10"/>
  <c r="S51" i="10"/>
  <c r="T51" i="10" s="1"/>
  <c r="M51" i="10"/>
  <c r="F51" i="10"/>
  <c r="M50" i="10"/>
  <c r="S50" i="10" s="1"/>
  <c r="F50" i="10"/>
  <c r="S49" i="10"/>
  <c r="T49" i="10" s="1"/>
  <c r="M49" i="10"/>
  <c r="F49" i="10"/>
  <c r="M48" i="10"/>
  <c r="S48" i="10" s="1"/>
  <c r="F48" i="10"/>
  <c r="T47" i="10"/>
  <c r="S47" i="10"/>
  <c r="M47" i="10"/>
  <c r="F47" i="10"/>
  <c r="M46" i="10"/>
  <c r="S46" i="10" s="1"/>
  <c r="F46" i="10"/>
  <c r="T45" i="10"/>
  <c r="S45" i="10"/>
  <c r="M45" i="10"/>
  <c r="F45" i="10"/>
  <c r="M44" i="10"/>
  <c r="S44" i="10" s="1"/>
  <c r="F44" i="10"/>
  <c r="S43" i="10"/>
  <c r="T43" i="10" s="1"/>
  <c r="M43" i="10"/>
  <c r="F43" i="10"/>
  <c r="M42" i="10"/>
  <c r="S42" i="10" s="1"/>
  <c r="F42" i="10"/>
  <c r="S41" i="10"/>
  <c r="T41" i="10" s="1"/>
  <c r="M41" i="10"/>
  <c r="F41" i="10"/>
  <c r="M40" i="10"/>
  <c r="S40" i="10" s="1"/>
  <c r="F40" i="10"/>
  <c r="T39" i="10"/>
  <c r="S39" i="10"/>
  <c r="M39" i="10"/>
  <c r="F39" i="10"/>
  <c r="M38" i="10"/>
  <c r="S38" i="10" s="1"/>
  <c r="F38" i="10"/>
  <c r="T37" i="10"/>
  <c r="S37" i="10"/>
  <c r="M37" i="10"/>
  <c r="F37" i="10"/>
  <c r="M36" i="10"/>
  <c r="S36" i="10" s="1"/>
  <c r="F36" i="10"/>
  <c r="S35" i="10"/>
  <c r="T35" i="10" s="1"/>
  <c r="M35" i="10"/>
  <c r="F35" i="10"/>
  <c r="M34" i="10"/>
  <c r="S34" i="10" s="1"/>
  <c r="F34" i="10"/>
  <c r="S33" i="10"/>
  <c r="T33" i="10" s="1"/>
  <c r="M33" i="10"/>
  <c r="F33" i="10"/>
  <c r="M32" i="10"/>
  <c r="S32" i="10" s="1"/>
  <c r="F32" i="10"/>
  <c r="T31" i="10"/>
  <c r="S31" i="10"/>
  <c r="M31" i="10"/>
  <c r="F31" i="10"/>
  <c r="M30" i="10"/>
  <c r="S30" i="10" s="1"/>
  <c r="F30" i="10"/>
  <c r="T29" i="10"/>
  <c r="S29" i="10"/>
  <c r="M29" i="10"/>
  <c r="F29" i="10"/>
  <c r="M28" i="10"/>
  <c r="S28" i="10" s="1"/>
  <c r="F28" i="10"/>
  <c r="S27" i="10"/>
  <c r="T27" i="10" s="1"/>
  <c r="M27" i="10"/>
  <c r="F27" i="10"/>
  <c r="M26" i="10"/>
  <c r="S26" i="10" s="1"/>
  <c r="F26" i="10"/>
  <c r="S25" i="10"/>
  <c r="T25" i="10" s="1"/>
  <c r="M25" i="10"/>
  <c r="F25" i="10"/>
  <c r="M24" i="10"/>
  <c r="S24" i="10" s="1"/>
  <c r="F24" i="10"/>
  <c r="T23" i="10"/>
  <c r="S23" i="10"/>
  <c r="M23" i="10"/>
  <c r="F23" i="10"/>
  <c r="M22" i="10"/>
  <c r="S22" i="10" s="1"/>
  <c r="F22" i="10"/>
  <c r="T21" i="10"/>
  <c r="S21" i="10"/>
  <c r="M21" i="10"/>
  <c r="F21" i="10"/>
  <c r="M20" i="10"/>
  <c r="S20" i="10" s="1"/>
  <c r="F20" i="10"/>
  <c r="S19" i="10"/>
  <c r="T19" i="10" s="1"/>
  <c r="M19" i="10"/>
  <c r="F19" i="10"/>
  <c r="M18" i="10"/>
  <c r="S18" i="10" s="1"/>
  <c r="F18" i="10"/>
  <c r="S17" i="10"/>
  <c r="T17" i="10" s="1"/>
  <c r="M17" i="10"/>
  <c r="F17" i="10"/>
  <c r="M16" i="10"/>
  <c r="S16" i="10" s="1"/>
  <c r="F16" i="10"/>
  <c r="T15" i="10"/>
  <c r="S15" i="10"/>
  <c r="M15" i="10"/>
  <c r="F15" i="10"/>
  <c r="M14" i="10"/>
  <c r="S14" i="10" s="1"/>
  <c r="F14" i="10"/>
  <c r="T13" i="10"/>
  <c r="S13" i="10"/>
  <c r="M13" i="10"/>
  <c r="F13" i="10"/>
  <c r="M12" i="10"/>
  <c r="S12" i="10" s="1"/>
  <c r="F12" i="10"/>
  <c r="S11" i="10"/>
  <c r="T11" i="10" s="1"/>
  <c r="M11" i="10"/>
  <c r="F11" i="10"/>
  <c r="M10" i="10"/>
  <c r="S10" i="10" s="1"/>
  <c r="F10" i="10"/>
  <c r="S9" i="10"/>
  <c r="T9" i="10" s="1"/>
  <c r="M9" i="10"/>
  <c r="F9" i="10"/>
  <c r="M8" i="10"/>
  <c r="S8" i="10" s="1"/>
  <c r="F8" i="10"/>
  <c r="T7" i="10"/>
  <c r="S7" i="10"/>
  <c r="M7" i="10"/>
  <c r="F7" i="10"/>
  <c r="M6" i="10"/>
  <c r="S6" i="10" s="1"/>
  <c r="F6" i="10"/>
  <c r="T5" i="10"/>
  <c r="S5" i="10"/>
  <c r="M5" i="10"/>
  <c r="F5" i="10"/>
  <c r="J3007" i="9"/>
  <c r="K3007" i="9" s="1"/>
  <c r="C3007" i="9"/>
  <c r="J3006" i="9"/>
  <c r="K3006" i="9" s="1"/>
  <c r="C3006" i="9"/>
  <c r="J3005" i="9"/>
  <c r="K3005" i="9" s="1"/>
  <c r="C3005" i="9"/>
  <c r="J3004" i="9"/>
  <c r="K3004" i="9" s="1"/>
  <c r="C3004" i="9"/>
  <c r="J3003" i="9"/>
  <c r="K3003" i="9" s="1"/>
  <c r="C3003" i="9"/>
  <c r="J3002" i="9"/>
  <c r="K3002" i="9" s="1"/>
  <c r="C3002" i="9"/>
  <c r="J3001" i="9"/>
  <c r="K3001" i="9" s="1"/>
  <c r="C3001" i="9"/>
  <c r="J3000" i="9"/>
  <c r="K3000" i="9" s="1"/>
  <c r="C3000" i="9"/>
  <c r="K2999" i="9"/>
  <c r="J2999" i="9"/>
  <c r="C2999" i="9"/>
  <c r="K2998" i="9"/>
  <c r="J2998" i="9"/>
  <c r="C2998" i="9"/>
  <c r="K2997" i="9"/>
  <c r="J2997" i="9"/>
  <c r="C2997" i="9"/>
  <c r="J2996" i="9"/>
  <c r="K2996" i="9" s="1"/>
  <c r="C2996" i="9"/>
  <c r="K2995" i="9"/>
  <c r="J2995" i="9"/>
  <c r="C2995" i="9"/>
  <c r="J2994" i="9"/>
  <c r="K2994" i="9" s="1"/>
  <c r="C2994" i="9"/>
  <c r="J2993" i="9"/>
  <c r="K2993" i="9" s="1"/>
  <c r="C2993" i="9"/>
  <c r="J2992" i="9"/>
  <c r="K2992" i="9" s="1"/>
  <c r="C2992" i="9"/>
  <c r="J2991" i="9"/>
  <c r="K2991" i="9" s="1"/>
  <c r="C2991" i="9"/>
  <c r="J2990" i="9"/>
  <c r="K2990" i="9" s="1"/>
  <c r="C2990" i="9"/>
  <c r="J2989" i="9"/>
  <c r="K2989" i="9" s="1"/>
  <c r="C2989" i="9"/>
  <c r="J2988" i="9"/>
  <c r="K2988" i="9" s="1"/>
  <c r="C2988" i="9"/>
  <c r="J2987" i="9"/>
  <c r="K2987" i="9" s="1"/>
  <c r="C2987" i="9"/>
  <c r="J2986" i="9"/>
  <c r="K2986" i="9" s="1"/>
  <c r="C2986" i="9"/>
  <c r="J2985" i="9"/>
  <c r="K2985" i="9" s="1"/>
  <c r="C2985" i="9"/>
  <c r="J2984" i="9"/>
  <c r="K2984" i="9" s="1"/>
  <c r="C2984" i="9"/>
  <c r="J2983" i="9"/>
  <c r="K2983" i="9" s="1"/>
  <c r="C2983" i="9"/>
  <c r="K2982" i="9"/>
  <c r="J2982" i="9"/>
  <c r="C2982" i="9"/>
  <c r="K2981" i="9"/>
  <c r="J2981" i="9"/>
  <c r="C2981" i="9"/>
  <c r="J2980" i="9"/>
  <c r="K2980" i="9" s="1"/>
  <c r="C2980" i="9"/>
  <c r="K2979" i="9"/>
  <c r="J2979" i="9"/>
  <c r="C2979" i="9"/>
  <c r="J2978" i="9"/>
  <c r="K2978" i="9" s="1"/>
  <c r="C2978" i="9"/>
  <c r="J2977" i="9"/>
  <c r="K2977" i="9" s="1"/>
  <c r="C2977" i="9"/>
  <c r="J2976" i="9"/>
  <c r="K2976" i="9" s="1"/>
  <c r="C2976" i="9"/>
  <c r="J2975" i="9"/>
  <c r="K2975" i="9" s="1"/>
  <c r="C2975" i="9"/>
  <c r="J2974" i="9"/>
  <c r="K2974" i="9" s="1"/>
  <c r="C2974" i="9"/>
  <c r="J2973" i="9"/>
  <c r="K2973" i="9" s="1"/>
  <c r="C2973" i="9"/>
  <c r="J2972" i="9"/>
  <c r="K2972" i="9" s="1"/>
  <c r="C2972" i="9"/>
  <c r="J2971" i="9"/>
  <c r="K2971" i="9" s="1"/>
  <c r="C2971" i="9"/>
  <c r="J2970" i="9"/>
  <c r="K2970" i="9" s="1"/>
  <c r="C2970" i="9"/>
  <c r="J2969" i="9"/>
  <c r="K2969" i="9" s="1"/>
  <c r="C2969" i="9"/>
  <c r="J2968" i="9"/>
  <c r="K2968" i="9" s="1"/>
  <c r="C2968" i="9"/>
  <c r="K2967" i="9"/>
  <c r="J2967" i="9"/>
  <c r="C2967" i="9"/>
  <c r="K2966" i="9"/>
  <c r="J2966" i="9"/>
  <c r="C2966" i="9"/>
  <c r="K2965" i="9"/>
  <c r="J2965" i="9"/>
  <c r="C2965" i="9"/>
  <c r="J2964" i="9"/>
  <c r="K2964" i="9" s="1"/>
  <c r="C2964" i="9"/>
  <c r="K2963" i="9"/>
  <c r="J2963" i="9"/>
  <c r="C2963" i="9"/>
  <c r="J2962" i="9"/>
  <c r="K2962" i="9" s="1"/>
  <c r="C2962" i="9"/>
  <c r="J2961" i="9"/>
  <c r="K2961" i="9" s="1"/>
  <c r="C2961" i="9"/>
  <c r="J2960" i="9"/>
  <c r="K2960" i="9" s="1"/>
  <c r="C2960" i="9"/>
  <c r="J2959" i="9"/>
  <c r="K2959" i="9" s="1"/>
  <c r="C2959" i="9"/>
  <c r="J2958" i="9"/>
  <c r="K2958" i="9" s="1"/>
  <c r="C2958" i="9"/>
  <c r="J2957" i="9"/>
  <c r="K2957" i="9" s="1"/>
  <c r="C2957" i="9"/>
  <c r="J2956" i="9"/>
  <c r="K2956" i="9" s="1"/>
  <c r="C2956" i="9"/>
  <c r="J2955" i="9"/>
  <c r="K2955" i="9" s="1"/>
  <c r="C2955" i="9"/>
  <c r="J2954" i="9"/>
  <c r="K2954" i="9" s="1"/>
  <c r="C2954" i="9"/>
  <c r="J2953" i="9"/>
  <c r="K2953" i="9" s="1"/>
  <c r="C2953" i="9"/>
  <c r="J2952" i="9"/>
  <c r="K2952" i="9" s="1"/>
  <c r="C2952" i="9"/>
  <c r="J2951" i="9"/>
  <c r="K2951" i="9" s="1"/>
  <c r="C2951" i="9"/>
  <c r="K2950" i="9"/>
  <c r="J2950" i="9"/>
  <c r="C2950" i="9"/>
  <c r="K2949" i="9"/>
  <c r="J2949" i="9"/>
  <c r="C2949" i="9"/>
  <c r="J2948" i="9"/>
  <c r="K2948" i="9" s="1"/>
  <c r="C2948" i="9"/>
  <c r="K2947" i="9"/>
  <c r="J2947" i="9"/>
  <c r="C2947" i="9"/>
  <c r="J2946" i="9"/>
  <c r="K2946" i="9" s="1"/>
  <c r="C2946" i="9"/>
  <c r="J2945" i="9"/>
  <c r="K2945" i="9" s="1"/>
  <c r="C2945" i="9"/>
  <c r="J2944" i="9"/>
  <c r="K2944" i="9" s="1"/>
  <c r="C2944" i="9"/>
  <c r="J2943" i="9"/>
  <c r="K2943" i="9" s="1"/>
  <c r="C2943" i="9"/>
  <c r="J2942" i="9"/>
  <c r="K2942" i="9" s="1"/>
  <c r="C2942" i="9"/>
  <c r="J2941" i="9"/>
  <c r="K2941" i="9" s="1"/>
  <c r="C2941" i="9"/>
  <c r="J2940" i="9"/>
  <c r="K2940" i="9" s="1"/>
  <c r="C2940" i="9"/>
  <c r="J2939" i="9"/>
  <c r="K2939" i="9" s="1"/>
  <c r="C2939" i="9"/>
  <c r="J2938" i="9"/>
  <c r="K2938" i="9" s="1"/>
  <c r="C2938" i="9"/>
  <c r="J2937" i="9"/>
  <c r="K2937" i="9" s="1"/>
  <c r="C2937" i="9"/>
  <c r="J2936" i="9"/>
  <c r="K2936" i="9" s="1"/>
  <c r="C2936" i="9"/>
  <c r="K2935" i="9"/>
  <c r="J2935" i="9"/>
  <c r="C2935" i="9"/>
  <c r="K2934" i="9"/>
  <c r="J2934" i="9"/>
  <c r="C2934" i="9"/>
  <c r="K2933" i="9"/>
  <c r="J2933" i="9"/>
  <c r="C2933" i="9"/>
  <c r="J2932" i="9"/>
  <c r="K2932" i="9" s="1"/>
  <c r="C2932" i="9"/>
  <c r="K2931" i="9"/>
  <c r="J2931" i="9"/>
  <c r="C2931" i="9"/>
  <c r="J2930" i="9"/>
  <c r="K2930" i="9" s="1"/>
  <c r="C2930" i="9"/>
  <c r="J2929" i="9"/>
  <c r="K2929" i="9" s="1"/>
  <c r="C2929" i="9"/>
  <c r="J2928" i="9"/>
  <c r="K2928" i="9" s="1"/>
  <c r="C2928" i="9"/>
  <c r="J2927" i="9"/>
  <c r="K2927" i="9" s="1"/>
  <c r="C2927" i="9"/>
  <c r="J2926" i="9"/>
  <c r="K2926" i="9" s="1"/>
  <c r="C2926" i="9"/>
  <c r="J2925" i="9"/>
  <c r="K2925" i="9" s="1"/>
  <c r="C2925" i="9"/>
  <c r="J2924" i="9"/>
  <c r="K2924" i="9" s="1"/>
  <c r="C2924" i="9"/>
  <c r="J2923" i="9"/>
  <c r="K2923" i="9" s="1"/>
  <c r="C2923" i="9"/>
  <c r="J2922" i="9"/>
  <c r="K2922" i="9" s="1"/>
  <c r="C2922" i="9"/>
  <c r="J2921" i="9"/>
  <c r="K2921" i="9" s="1"/>
  <c r="C2921" i="9"/>
  <c r="J2920" i="9"/>
  <c r="K2920" i="9" s="1"/>
  <c r="C2920" i="9"/>
  <c r="J2919" i="9"/>
  <c r="K2919" i="9" s="1"/>
  <c r="C2919" i="9"/>
  <c r="K2918" i="9"/>
  <c r="J2918" i="9"/>
  <c r="C2918" i="9"/>
  <c r="K2917" i="9"/>
  <c r="J2917" i="9"/>
  <c r="C2917" i="9"/>
  <c r="J2916" i="9"/>
  <c r="K2916" i="9" s="1"/>
  <c r="C2916" i="9"/>
  <c r="K2915" i="9"/>
  <c r="J2915" i="9"/>
  <c r="C2915" i="9"/>
  <c r="J2914" i="9"/>
  <c r="K2914" i="9" s="1"/>
  <c r="C2914" i="9"/>
  <c r="J2913" i="9"/>
  <c r="K2913" i="9" s="1"/>
  <c r="C2913" i="9"/>
  <c r="J2912" i="9"/>
  <c r="K2912" i="9" s="1"/>
  <c r="C2912" i="9"/>
  <c r="J2911" i="9"/>
  <c r="K2911" i="9" s="1"/>
  <c r="C2911" i="9"/>
  <c r="J2910" i="9"/>
  <c r="K2910" i="9" s="1"/>
  <c r="C2910" i="9"/>
  <c r="J2909" i="9"/>
  <c r="K2909" i="9" s="1"/>
  <c r="C2909" i="9"/>
  <c r="J2908" i="9"/>
  <c r="K2908" i="9" s="1"/>
  <c r="C2908" i="9"/>
  <c r="J2907" i="9"/>
  <c r="K2907" i="9" s="1"/>
  <c r="C2907" i="9"/>
  <c r="J2906" i="9"/>
  <c r="K2906" i="9" s="1"/>
  <c r="C2906" i="9"/>
  <c r="J2905" i="9"/>
  <c r="K2905" i="9" s="1"/>
  <c r="C2905" i="9"/>
  <c r="J2904" i="9"/>
  <c r="K2904" i="9" s="1"/>
  <c r="C2904" i="9"/>
  <c r="K2903" i="9"/>
  <c r="J2903" i="9"/>
  <c r="C2903" i="9"/>
  <c r="K2902" i="9"/>
  <c r="J2902" i="9"/>
  <c r="C2902" i="9"/>
  <c r="K2901" i="9"/>
  <c r="J2901" i="9"/>
  <c r="C2901" i="9"/>
  <c r="J2900" i="9"/>
  <c r="K2900" i="9" s="1"/>
  <c r="C2900" i="9"/>
  <c r="K2899" i="9"/>
  <c r="J2899" i="9"/>
  <c r="C2899" i="9"/>
  <c r="J2898" i="9"/>
  <c r="K2898" i="9" s="1"/>
  <c r="C2898" i="9"/>
  <c r="J2897" i="9"/>
  <c r="K2897" i="9" s="1"/>
  <c r="C2897" i="9"/>
  <c r="J2896" i="9"/>
  <c r="K2896" i="9" s="1"/>
  <c r="C2896" i="9"/>
  <c r="J2895" i="9"/>
  <c r="K2895" i="9" s="1"/>
  <c r="C2895" i="9"/>
  <c r="J2894" i="9"/>
  <c r="K2894" i="9" s="1"/>
  <c r="C2894" i="9"/>
  <c r="J2893" i="9"/>
  <c r="K2893" i="9" s="1"/>
  <c r="C2893" i="9"/>
  <c r="J2892" i="9"/>
  <c r="K2892" i="9" s="1"/>
  <c r="C2892" i="9"/>
  <c r="J2891" i="9"/>
  <c r="K2891" i="9" s="1"/>
  <c r="C2891" i="9"/>
  <c r="J2890" i="9"/>
  <c r="K2890" i="9" s="1"/>
  <c r="C2890" i="9"/>
  <c r="J2889" i="9"/>
  <c r="K2889" i="9" s="1"/>
  <c r="C2889" i="9"/>
  <c r="J2888" i="9"/>
  <c r="K2888" i="9" s="1"/>
  <c r="C2888" i="9"/>
  <c r="J2887" i="9"/>
  <c r="K2887" i="9" s="1"/>
  <c r="C2887" i="9"/>
  <c r="K2886" i="9"/>
  <c r="J2886" i="9"/>
  <c r="C2886" i="9"/>
  <c r="K2885" i="9"/>
  <c r="J2885" i="9"/>
  <c r="C2885" i="9"/>
  <c r="J2884" i="9"/>
  <c r="K2884" i="9" s="1"/>
  <c r="C2884" i="9"/>
  <c r="K2883" i="9"/>
  <c r="J2883" i="9"/>
  <c r="C2883" i="9"/>
  <c r="J2882" i="9"/>
  <c r="K2882" i="9" s="1"/>
  <c r="C2882" i="9"/>
  <c r="J2881" i="9"/>
  <c r="K2881" i="9" s="1"/>
  <c r="C2881" i="9"/>
  <c r="J2880" i="9"/>
  <c r="K2880" i="9" s="1"/>
  <c r="C2880" i="9"/>
  <c r="J2879" i="9"/>
  <c r="K2879" i="9" s="1"/>
  <c r="C2879" i="9"/>
  <c r="J2878" i="9"/>
  <c r="K2878" i="9" s="1"/>
  <c r="C2878" i="9"/>
  <c r="J2877" i="9"/>
  <c r="K2877" i="9" s="1"/>
  <c r="C2877" i="9"/>
  <c r="J2876" i="9"/>
  <c r="K2876" i="9" s="1"/>
  <c r="C2876" i="9"/>
  <c r="J2875" i="9"/>
  <c r="K2875" i="9" s="1"/>
  <c r="C2875" i="9"/>
  <c r="J2874" i="9"/>
  <c r="K2874" i="9" s="1"/>
  <c r="C2874" i="9"/>
  <c r="J2873" i="9"/>
  <c r="K2873" i="9" s="1"/>
  <c r="C2873" i="9"/>
  <c r="J2872" i="9"/>
  <c r="K2872" i="9" s="1"/>
  <c r="C2872" i="9"/>
  <c r="K2871" i="9"/>
  <c r="J2871" i="9"/>
  <c r="C2871" i="9"/>
  <c r="K2870" i="9"/>
  <c r="J2870" i="9"/>
  <c r="C2870" i="9"/>
  <c r="K2869" i="9"/>
  <c r="J2869" i="9"/>
  <c r="C2869" i="9"/>
  <c r="J2868" i="9"/>
  <c r="K2868" i="9" s="1"/>
  <c r="C2868" i="9"/>
  <c r="K2867" i="9"/>
  <c r="J2867" i="9"/>
  <c r="C2867" i="9"/>
  <c r="J2866" i="9"/>
  <c r="K2866" i="9" s="1"/>
  <c r="C2866" i="9"/>
  <c r="J2865" i="9"/>
  <c r="K2865" i="9" s="1"/>
  <c r="C2865" i="9"/>
  <c r="J2864" i="9"/>
  <c r="K2864" i="9" s="1"/>
  <c r="C2864" i="9"/>
  <c r="J2863" i="9"/>
  <c r="K2863" i="9" s="1"/>
  <c r="C2863" i="9"/>
  <c r="J2862" i="9"/>
  <c r="K2862" i="9" s="1"/>
  <c r="C2862" i="9"/>
  <c r="J2861" i="9"/>
  <c r="K2861" i="9" s="1"/>
  <c r="C2861" i="9"/>
  <c r="J2860" i="9"/>
  <c r="K2860" i="9" s="1"/>
  <c r="C2860" i="9"/>
  <c r="J2859" i="9"/>
  <c r="K2859" i="9" s="1"/>
  <c r="C2859" i="9"/>
  <c r="J2858" i="9"/>
  <c r="K2858" i="9" s="1"/>
  <c r="C2858" i="9"/>
  <c r="J2857" i="9"/>
  <c r="K2857" i="9" s="1"/>
  <c r="C2857" i="9"/>
  <c r="J2856" i="9"/>
  <c r="K2856" i="9" s="1"/>
  <c r="C2856" i="9"/>
  <c r="J2855" i="9"/>
  <c r="K2855" i="9" s="1"/>
  <c r="C2855" i="9"/>
  <c r="K2854" i="9"/>
  <c r="J2854" i="9"/>
  <c r="C2854" i="9"/>
  <c r="K2853" i="9"/>
  <c r="J2853" i="9"/>
  <c r="C2853" i="9"/>
  <c r="J2852" i="9"/>
  <c r="K2852" i="9" s="1"/>
  <c r="C2852" i="9"/>
  <c r="K2851" i="9"/>
  <c r="J2851" i="9"/>
  <c r="C2851" i="9"/>
  <c r="J2850" i="9"/>
  <c r="K2850" i="9" s="1"/>
  <c r="C2850" i="9"/>
  <c r="J2849" i="9"/>
  <c r="K2849" i="9" s="1"/>
  <c r="C2849" i="9"/>
  <c r="J2848" i="9"/>
  <c r="K2848" i="9" s="1"/>
  <c r="C2848" i="9"/>
  <c r="J2847" i="9"/>
  <c r="K2847" i="9" s="1"/>
  <c r="C2847" i="9"/>
  <c r="J2846" i="9"/>
  <c r="K2846" i="9" s="1"/>
  <c r="C2846" i="9"/>
  <c r="J2845" i="9"/>
  <c r="K2845" i="9" s="1"/>
  <c r="C2845" i="9"/>
  <c r="J2844" i="9"/>
  <c r="K2844" i="9" s="1"/>
  <c r="C2844" i="9"/>
  <c r="J2843" i="9"/>
  <c r="K2843" i="9" s="1"/>
  <c r="C2843" i="9"/>
  <c r="J2842" i="9"/>
  <c r="K2842" i="9" s="1"/>
  <c r="C2842" i="9"/>
  <c r="J2841" i="9"/>
  <c r="K2841" i="9" s="1"/>
  <c r="C2841" i="9"/>
  <c r="J2840" i="9"/>
  <c r="K2840" i="9" s="1"/>
  <c r="C2840" i="9"/>
  <c r="K2839" i="9"/>
  <c r="J2839" i="9"/>
  <c r="C2839" i="9"/>
  <c r="K2838" i="9"/>
  <c r="J2838" i="9"/>
  <c r="C2838" i="9"/>
  <c r="K2837" i="9"/>
  <c r="J2837" i="9"/>
  <c r="C2837" i="9"/>
  <c r="J2836" i="9"/>
  <c r="K2836" i="9" s="1"/>
  <c r="C2836" i="9"/>
  <c r="K2835" i="9"/>
  <c r="J2835" i="9"/>
  <c r="C2835" i="9"/>
  <c r="J2834" i="9"/>
  <c r="K2834" i="9" s="1"/>
  <c r="C2834" i="9"/>
  <c r="J2833" i="9"/>
  <c r="K2833" i="9" s="1"/>
  <c r="C2833" i="9"/>
  <c r="J2832" i="9"/>
  <c r="K2832" i="9" s="1"/>
  <c r="C2832" i="9"/>
  <c r="J2831" i="9"/>
  <c r="K2831" i="9" s="1"/>
  <c r="C2831" i="9"/>
  <c r="J2830" i="9"/>
  <c r="K2830" i="9" s="1"/>
  <c r="C2830" i="9"/>
  <c r="J2829" i="9"/>
  <c r="K2829" i="9" s="1"/>
  <c r="C2829" i="9"/>
  <c r="J2828" i="9"/>
  <c r="K2828" i="9" s="1"/>
  <c r="C2828" i="9"/>
  <c r="J2827" i="9"/>
  <c r="K2827" i="9" s="1"/>
  <c r="C2827" i="9"/>
  <c r="J2826" i="9"/>
  <c r="K2826" i="9" s="1"/>
  <c r="C2826" i="9"/>
  <c r="J2825" i="9"/>
  <c r="K2825" i="9" s="1"/>
  <c r="C2825" i="9"/>
  <c r="J2824" i="9"/>
  <c r="K2824" i="9" s="1"/>
  <c r="C2824" i="9"/>
  <c r="J2823" i="9"/>
  <c r="K2823" i="9" s="1"/>
  <c r="C2823" i="9"/>
  <c r="K2822" i="9"/>
  <c r="J2822" i="9"/>
  <c r="C2822" i="9"/>
  <c r="K2821" i="9"/>
  <c r="J2821" i="9"/>
  <c r="C2821" i="9"/>
  <c r="J2820" i="9"/>
  <c r="K2820" i="9" s="1"/>
  <c r="C2820" i="9"/>
  <c r="K2819" i="9"/>
  <c r="J2819" i="9"/>
  <c r="C2819" i="9"/>
  <c r="J2818" i="9"/>
  <c r="K2818" i="9" s="1"/>
  <c r="C2818" i="9"/>
  <c r="J2817" i="9"/>
  <c r="K2817" i="9" s="1"/>
  <c r="C2817" i="9"/>
  <c r="J2816" i="9"/>
  <c r="K2816" i="9" s="1"/>
  <c r="C2816" i="9"/>
  <c r="J2815" i="9"/>
  <c r="K2815" i="9" s="1"/>
  <c r="C2815" i="9"/>
  <c r="J2814" i="9"/>
  <c r="K2814" i="9" s="1"/>
  <c r="C2814" i="9"/>
  <c r="J2813" i="9"/>
  <c r="K2813" i="9" s="1"/>
  <c r="C2813" i="9"/>
  <c r="J2812" i="9"/>
  <c r="K2812" i="9" s="1"/>
  <c r="C2812" i="9"/>
  <c r="J2811" i="9"/>
  <c r="K2811" i="9" s="1"/>
  <c r="C2811" i="9"/>
  <c r="J2810" i="9"/>
  <c r="K2810" i="9" s="1"/>
  <c r="C2810" i="9"/>
  <c r="J2809" i="9"/>
  <c r="K2809" i="9" s="1"/>
  <c r="C2809" i="9"/>
  <c r="J2808" i="9"/>
  <c r="K2808" i="9" s="1"/>
  <c r="C2808" i="9"/>
  <c r="K2807" i="9"/>
  <c r="J2807" i="9"/>
  <c r="C2807" i="9"/>
  <c r="K2806" i="9"/>
  <c r="J2806" i="9"/>
  <c r="C2806" i="9"/>
  <c r="K2805" i="9"/>
  <c r="J2805" i="9"/>
  <c r="C2805" i="9"/>
  <c r="J2804" i="9"/>
  <c r="K2804" i="9" s="1"/>
  <c r="C2804" i="9"/>
  <c r="K2803" i="9"/>
  <c r="J2803" i="9"/>
  <c r="C2803" i="9"/>
  <c r="J2802" i="9"/>
  <c r="K2802" i="9" s="1"/>
  <c r="C2802" i="9"/>
  <c r="J2801" i="9"/>
  <c r="K2801" i="9" s="1"/>
  <c r="C2801" i="9"/>
  <c r="J2800" i="9"/>
  <c r="K2800" i="9" s="1"/>
  <c r="C2800" i="9"/>
  <c r="J2799" i="9"/>
  <c r="K2799" i="9" s="1"/>
  <c r="C2799" i="9"/>
  <c r="J2798" i="9"/>
  <c r="K2798" i="9" s="1"/>
  <c r="C2798" i="9"/>
  <c r="J2797" i="9"/>
  <c r="K2797" i="9" s="1"/>
  <c r="C2797" i="9"/>
  <c r="J2796" i="9"/>
  <c r="K2796" i="9" s="1"/>
  <c r="C2796" i="9"/>
  <c r="J2795" i="9"/>
  <c r="K2795" i="9" s="1"/>
  <c r="C2795" i="9"/>
  <c r="J2794" i="9"/>
  <c r="K2794" i="9" s="1"/>
  <c r="C2794" i="9"/>
  <c r="J2793" i="9"/>
  <c r="K2793" i="9" s="1"/>
  <c r="C2793" i="9"/>
  <c r="J2792" i="9"/>
  <c r="K2792" i="9" s="1"/>
  <c r="C2792" i="9"/>
  <c r="J2791" i="9"/>
  <c r="K2791" i="9" s="1"/>
  <c r="C2791" i="9"/>
  <c r="K2790" i="9"/>
  <c r="J2790" i="9"/>
  <c r="C2790" i="9"/>
  <c r="K2789" i="9"/>
  <c r="J2789" i="9"/>
  <c r="C2789" i="9"/>
  <c r="J2788" i="9"/>
  <c r="K2788" i="9" s="1"/>
  <c r="C2788" i="9"/>
  <c r="K2787" i="9"/>
  <c r="J2787" i="9"/>
  <c r="C2787" i="9"/>
  <c r="J2786" i="9"/>
  <c r="K2786" i="9" s="1"/>
  <c r="C2786" i="9"/>
  <c r="J2785" i="9"/>
  <c r="K2785" i="9" s="1"/>
  <c r="C2785" i="9"/>
  <c r="J2784" i="9"/>
  <c r="K2784" i="9" s="1"/>
  <c r="C2784" i="9"/>
  <c r="J2783" i="9"/>
  <c r="K2783" i="9" s="1"/>
  <c r="C2783" i="9"/>
  <c r="J2782" i="9"/>
  <c r="K2782" i="9" s="1"/>
  <c r="C2782" i="9"/>
  <c r="J2781" i="9"/>
  <c r="K2781" i="9" s="1"/>
  <c r="C2781" i="9"/>
  <c r="J2780" i="9"/>
  <c r="K2780" i="9" s="1"/>
  <c r="C2780" i="9"/>
  <c r="J2779" i="9"/>
  <c r="K2779" i="9" s="1"/>
  <c r="C2779" i="9"/>
  <c r="J2778" i="9"/>
  <c r="K2778" i="9" s="1"/>
  <c r="C2778" i="9"/>
  <c r="J2777" i="9"/>
  <c r="K2777" i="9" s="1"/>
  <c r="C2777" i="9"/>
  <c r="J2776" i="9"/>
  <c r="K2776" i="9" s="1"/>
  <c r="C2776" i="9"/>
  <c r="K2775" i="9"/>
  <c r="J2775" i="9"/>
  <c r="C2775" i="9"/>
  <c r="K2774" i="9"/>
  <c r="J2774" i="9"/>
  <c r="C2774" i="9"/>
  <c r="K2773" i="9"/>
  <c r="J2773" i="9"/>
  <c r="C2773" i="9"/>
  <c r="J2772" i="9"/>
  <c r="K2772" i="9" s="1"/>
  <c r="C2772" i="9"/>
  <c r="K2771" i="9"/>
  <c r="J2771" i="9"/>
  <c r="C2771" i="9"/>
  <c r="J2770" i="9"/>
  <c r="K2770" i="9" s="1"/>
  <c r="C2770" i="9"/>
  <c r="J2769" i="9"/>
  <c r="K2769" i="9" s="1"/>
  <c r="C2769" i="9"/>
  <c r="J2768" i="9"/>
  <c r="K2768" i="9" s="1"/>
  <c r="C2768" i="9"/>
  <c r="J2767" i="9"/>
  <c r="K2767" i="9" s="1"/>
  <c r="C2767" i="9"/>
  <c r="J2766" i="9"/>
  <c r="K2766" i="9" s="1"/>
  <c r="C2766" i="9"/>
  <c r="J2765" i="9"/>
  <c r="K2765" i="9" s="1"/>
  <c r="C2765" i="9"/>
  <c r="J2764" i="9"/>
  <c r="K2764" i="9" s="1"/>
  <c r="C2764" i="9"/>
  <c r="J2763" i="9"/>
  <c r="K2763" i="9" s="1"/>
  <c r="C2763" i="9"/>
  <c r="J2762" i="9"/>
  <c r="K2762" i="9" s="1"/>
  <c r="C2762" i="9"/>
  <c r="J2761" i="9"/>
  <c r="K2761" i="9" s="1"/>
  <c r="C2761" i="9"/>
  <c r="J2760" i="9"/>
  <c r="K2760" i="9" s="1"/>
  <c r="C2760" i="9"/>
  <c r="J2759" i="9"/>
  <c r="K2759" i="9" s="1"/>
  <c r="C2759" i="9"/>
  <c r="K2758" i="9"/>
  <c r="J2758" i="9"/>
  <c r="C2758" i="9"/>
  <c r="K2757" i="9"/>
  <c r="J2757" i="9"/>
  <c r="C2757" i="9"/>
  <c r="J2756" i="9"/>
  <c r="K2756" i="9" s="1"/>
  <c r="C2756" i="9"/>
  <c r="K2755" i="9"/>
  <c r="J2755" i="9"/>
  <c r="C2755" i="9"/>
  <c r="J2754" i="9"/>
  <c r="K2754" i="9" s="1"/>
  <c r="C2754" i="9"/>
  <c r="J2753" i="9"/>
  <c r="K2753" i="9" s="1"/>
  <c r="C2753" i="9"/>
  <c r="J2752" i="9"/>
  <c r="K2752" i="9" s="1"/>
  <c r="C2752" i="9"/>
  <c r="J2751" i="9"/>
  <c r="K2751" i="9" s="1"/>
  <c r="C2751" i="9"/>
  <c r="J2750" i="9"/>
  <c r="K2750" i="9" s="1"/>
  <c r="C2750" i="9"/>
  <c r="J2749" i="9"/>
  <c r="K2749" i="9" s="1"/>
  <c r="C2749" i="9"/>
  <c r="J2748" i="9"/>
  <c r="K2748" i="9" s="1"/>
  <c r="C2748" i="9"/>
  <c r="J2747" i="9"/>
  <c r="K2747" i="9" s="1"/>
  <c r="C2747" i="9"/>
  <c r="J2746" i="9"/>
  <c r="K2746" i="9" s="1"/>
  <c r="C2746" i="9"/>
  <c r="J2745" i="9"/>
  <c r="K2745" i="9" s="1"/>
  <c r="C2745" i="9"/>
  <c r="J2744" i="9"/>
  <c r="K2744" i="9" s="1"/>
  <c r="C2744" i="9"/>
  <c r="K2743" i="9"/>
  <c r="J2743" i="9"/>
  <c r="C2743" i="9"/>
  <c r="K2742" i="9"/>
  <c r="J2742" i="9"/>
  <c r="C2742" i="9"/>
  <c r="K2741" i="9"/>
  <c r="J2741" i="9"/>
  <c r="C2741" i="9"/>
  <c r="J2740" i="9"/>
  <c r="K2740" i="9" s="1"/>
  <c r="C2740" i="9"/>
  <c r="K2739" i="9"/>
  <c r="J2739" i="9"/>
  <c r="C2739" i="9"/>
  <c r="J2738" i="9"/>
  <c r="K2738" i="9" s="1"/>
  <c r="C2738" i="9"/>
  <c r="J2737" i="9"/>
  <c r="K2737" i="9" s="1"/>
  <c r="C2737" i="9"/>
  <c r="J2736" i="9"/>
  <c r="K2736" i="9" s="1"/>
  <c r="C2736" i="9"/>
  <c r="J2735" i="9"/>
  <c r="K2735" i="9" s="1"/>
  <c r="C2735" i="9"/>
  <c r="J2734" i="9"/>
  <c r="K2734" i="9" s="1"/>
  <c r="C2734" i="9"/>
  <c r="J2733" i="9"/>
  <c r="K2733" i="9" s="1"/>
  <c r="C2733" i="9"/>
  <c r="J2732" i="9"/>
  <c r="K2732" i="9" s="1"/>
  <c r="C2732" i="9"/>
  <c r="J2731" i="9"/>
  <c r="K2731" i="9" s="1"/>
  <c r="C2731" i="9"/>
  <c r="J2730" i="9"/>
  <c r="K2730" i="9" s="1"/>
  <c r="C2730" i="9"/>
  <c r="J2729" i="9"/>
  <c r="K2729" i="9" s="1"/>
  <c r="C2729" i="9"/>
  <c r="J2728" i="9"/>
  <c r="K2728" i="9" s="1"/>
  <c r="C2728" i="9"/>
  <c r="J2727" i="9"/>
  <c r="K2727" i="9" s="1"/>
  <c r="C2727" i="9"/>
  <c r="K2726" i="9"/>
  <c r="J2726" i="9"/>
  <c r="C2726" i="9"/>
  <c r="K2725" i="9"/>
  <c r="J2725" i="9"/>
  <c r="C2725" i="9"/>
  <c r="J2724" i="9"/>
  <c r="K2724" i="9" s="1"/>
  <c r="C2724" i="9"/>
  <c r="K2723" i="9"/>
  <c r="J2723" i="9"/>
  <c r="C2723" i="9"/>
  <c r="J2722" i="9"/>
  <c r="K2722" i="9" s="1"/>
  <c r="C2722" i="9"/>
  <c r="J2721" i="9"/>
  <c r="K2721" i="9" s="1"/>
  <c r="C2721" i="9"/>
  <c r="J2720" i="9"/>
  <c r="K2720" i="9" s="1"/>
  <c r="C2720" i="9"/>
  <c r="J2719" i="9"/>
  <c r="K2719" i="9" s="1"/>
  <c r="C2719" i="9"/>
  <c r="J2718" i="9"/>
  <c r="K2718" i="9" s="1"/>
  <c r="C2718" i="9"/>
  <c r="J2717" i="9"/>
  <c r="K2717" i="9" s="1"/>
  <c r="C2717" i="9"/>
  <c r="J2716" i="9"/>
  <c r="K2716" i="9" s="1"/>
  <c r="C2716" i="9"/>
  <c r="J2715" i="9"/>
  <c r="K2715" i="9" s="1"/>
  <c r="C2715" i="9"/>
  <c r="J2714" i="9"/>
  <c r="K2714" i="9" s="1"/>
  <c r="C2714" i="9"/>
  <c r="J2713" i="9"/>
  <c r="K2713" i="9" s="1"/>
  <c r="C2713" i="9"/>
  <c r="J2712" i="9"/>
  <c r="K2712" i="9" s="1"/>
  <c r="C2712" i="9"/>
  <c r="K2711" i="9"/>
  <c r="J2711" i="9"/>
  <c r="C2711" i="9"/>
  <c r="K2710" i="9"/>
  <c r="J2710" i="9"/>
  <c r="C2710" i="9"/>
  <c r="K2709" i="9"/>
  <c r="J2709" i="9"/>
  <c r="C2709" i="9"/>
  <c r="J2708" i="9"/>
  <c r="K2708" i="9" s="1"/>
  <c r="C2708" i="9"/>
  <c r="K2707" i="9"/>
  <c r="J2707" i="9"/>
  <c r="C2707" i="9"/>
  <c r="J2706" i="9"/>
  <c r="K2706" i="9" s="1"/>
  <c r="C2706" i="9"/>
  <c r="J2705" i="9"/>
  <c r="K2705" i="9" s="1"/>
  <c r="C2705" i="9"/>
  <c r="J2704" i="9"/>
  <c r="K2704" i="9" s="1"/>
  <c r="C2704" i="9"/>
  <c r="J2703" i="9"/>
  <c r="K2703" i="9" s="1"/>
  <c r="C2703" i="9"/>
  <c r="J2702" i="9"/>
  <c r="K2702" i="9" s="1"/>
  <c r="C2702" i="9"/>
  <c r="J2701" i="9"/>
  <c r="K2701" i="9" s="1"/>
  <c r="C2701" i="9"/>
  <c r="J2700" i="9"/>
  <c r="K2700" i="9" s="1"/>
  <c r="C2700" i="9"/>
  <c r="J2699" i="9"/>
  <c r="K2699" i="9" s="1"/>
  <c r="C2699" i="9"/>
  <c r="J2698" i="9"/>
  <c r="K2698" i="9" s="1"/>
  <c r="C2698" i="9"/>
  <c r="J2697" i="9"/>
  <c r="K2697" i="9" s="1"/>
  <c r="C2697" i="9"/>
  <c r="J2696" i="9"/>
  <c r="K2696" i="9" s="1"/>
  <c r="C2696" i="9"/>
  <c r="J2695" i="9"/>
  <c r="K2695" i="9" s="1"/>
  <c r="C2695" i="9"/>
  <c r="K2694" i="9"/>
  <c r="J2694" i="9"/>
  <c r="C2694" i="9"/>
  <c r="K2693" i="9"/>
  <c r="J2693" i="9"/>
  <c r="C2693" i="9"/>
  <c r="J2692" i="9"/>
  <c r="K2692" i="9" s="1"/>
  <c r="C2692" i="9"/>
  <c r="K2691" i="9"/>
  <c r="J2691" i="9"/>
  <c r="C2691" i="9"/>
  <c r="J2690" i="9"/>
  <c r="K2690" i="9" s="1"/>
  <c r="C2690" i="9"/>
  <c r="J2689" i="9"/>
  <c r="K2689" i="9" s="1"/>
  <c r="C2689" i="9"/>
  <c r="J2688" i="9"/>
  <c r="K2688" i="9" s="1"/>
  <c r="C2688" i="9"/>
  <c r="J2687" i="9"/>
  <c r="K2687" i="9" s="1"/>
  <c r="C2687" i="9"/>
  <c r="J2686" i="9"/>
  <c r="K2686" i="9" s="1"/>
  <c r="C2686" i="9"/>
  <c r="J2685" i="9"/>
  <c r="K2685" i="9" s="1"/>
  <c r="C2685" i="9"/>
  <c r="J2684" i="9"/>
  <c r="K2684" i="9" s="1"/>
  <c r="C2684" i="9"/>
  <c r="J2683" i="9"/>
  <c r="K2683" i="9" s="1"/>
  <c r="C2683" i="9"/>
  <c r="J2682" i="9"/>
  <c r="K2682" i="9" s="1"/>
  <c r="C2682" i="9"/>
  <c r="J2681" i="9"/>
  <c r="K2681" i="9" s="1"/>
  <c r="C2681" i="9"/>
  <c r="J2680" i="9"/>
  <c r="K2680" i="9" s="1"/>
  <c r="C2680" i="9"/>
  <c r="K2679" i="9"/>
  <c r="J2679" i="9"/>
  <c r="C2679" i="9"/>
  <c r="K2678" i="9"/>
  <c r="J2678" i="9"/>
  <c r="C2678" i="9"/>
  <c r="K2677" i="9"/>
  <c r="J2677" i="9"/>
  <c r="C2677" i="9"/>
  <c r="J2676" i="9"/>
  <c r="K2676" i="9" s="1"/>
  <c r="C2676" i="9"/>
  <c r="K2675" i="9"/>
  <c r="J2675" i="9"/>
  <c r="C2675" i="9"/>
  <c r="J2674" i="9"/>
  <c r="K2674" i="9" s="1"/>
  <c r="C2674" i="9"/>
  <c r="J2673" i="9"/>
  <c r="K2673" i="9" s="1"/>
  <c r="C2673" i="9"/>
  <c r="J2672" i="9"/>
  <c r="K2672" i="9" s="1"/>
  <c r="C2672" i="9"/>
  <c r="J2671" i="9"/>
  <c r="K2671" i="9" s="1"/>
  <c r="C2671" i="9"/>
  <c r="J2670" i="9"/>
  <c r="K2670" i="9" s="1"/>
  <c r="C2670" i="9"/>
  <c r="J2669" i="9"/>
  <c r="K2669" i="9" s="1"/>
  <c r="C2669" i="9"/>
  <c r="J2668" i="9"/>
  <c r="K2668" i="9" s="1"/>
  <c r="C2668" i="9"/>
  <c r="J2667" i="9"/>
  <c r="K2667" i="9" s="1"/>
  <c r="C2667" i="9"/>
  <c r="J2666" i="9"/>
  <c r="K2666" i="9" s="1"/>
  <c r="C2666" i="9"/>
  <c r="J2665" i="9"/>
  <c r="K2665" i="9" s="1"/>
  <c r="C2665" i="9"/>
  <c r="J2664" i="9"/>
  <c r="K2664" i="9" s="1"/>
  <c r="C2664" i="9"/>
  <c r="J2663" i="9"/>
  <c r="K2663" i="9" s="1"/>
  <c r="C2663" i="9"/>
  <c r="K2662" i="9"/>
  <c r="J2662" i="9"/>
  <c r="C2662" i="9"/>
  <c r="K2661" i="9"/>
  <c r="J2661" i="9"/>
  <c r="C2661" i="9"/>
  <c r="J2660" i="9"/>
  <c r="K2660" i="9" s="1"/>
  <c r="C2660" i="9"/>
  <c r="K2659" i="9"/>
  <c r="J2659" i="9"/>
  <c r="C2659" i="9"/>
  <c r="J2658" i="9"/>
  <c r="K2658" i="9" s="1"/>
  <c r="C2658" i="9"/>
  <c r="J2657" i="9"/>
  <c r="K2657" i="9" s="1"/>
  <c r="C2657" i="9"/>
  <c r="J2656" i="9"/>
  <c r="K2656" i="9" s="1"/>
  <c r="C2656" i="9"/>
  <c r="J2655" i="9"/>
  <c r="K2655" i="9" s="1"/>
  <c r="C2655" i="9"/>
  <c r="J2654" i="9"/>
  <c r="K2654" i="9" s="1"/>
  <c r="C2654" i="9"/>
  <c r="J2653" i="9"/>
  <c r="K2653" i="9" s="1"/>
  <c r="C2653" i="9"/>
  <c r="J2652" i="9"/>
  <c r="K2652" i="9" s="1"/>
  <c r="C2652" i="9"/>
  <c r="J2651" i="9"/>
  <c r="K2651" i="9" s="1"/>
  <c r="C2651" i="9"/>
  <c r="J2650" i="9"/>
  <c r="K2650" i="9" s="1"/>
  <c r="C2650" i="9"/>
  <c r="J2649" i="9"/>
  <c r="K2649" i="9" s="1"/>
  <c r="C2649" i="9"/>
  <c r="J2648" i="9"/>
  <c r="K2648" i="9" s="1"/>
  <c r="C2648" i="9"/>
  <c r="K2647" i="9"/>
  <c r="J2647" i="9"/>
  <c r="C2647" i="9"/>
  <c r="K2646" i="9"/>
  <c r="J2646" i="9"/>
  <c r="C2646" i="9"/>
  <c r="K2645" i="9"/>
  <c r="J2645" i="9"/>
  <c r="C2645" i="9"/>
  <c r="J2644" i="9"/>
  <c r="K2644" i="9" s="1"/>
  <c r="C2644" i="9"/>
  <c r="K2643" i="9"/>
  <c r="J2643" i="9"/>
  <c r="C2643" i="9"/>
  <c r="J2642" i="9"/>
  <c r="K2642" i="9" s="1"/>
  <c r="C2642" i="9"/>
  <c r="J2641" i="9"/>
  <c r="K2641" i="9" s="1"/>
  <c r="C2641" i="9"/>
  <c r="J2640" i="9"/>
  <c r="K2640" i="9" s="1"/>
  <c r="C2640" i="9"/>
  <c r="J2639" i="9"/>
  <c r="K2639" i="9" s="1"/>
  <c r="C2639" i="9"/>
  <c r="J2638" i="9"/>
  <c r="K2638" i="9" s="1"/>
  <c r="C2638" i="9"/>
  <c r="J2637" i="9"/>
  <c r="K2637" i="9" s="1"/>
  <c r="C2637" i="9"/>
  <c r="J2636" i="9"/>
  <c r="K2636" i="9" s="1"/>
  <c r="C2636" i="9"/>
  <c r="J2635" i="9"/>
  <c r="K2635" i="9" s="1"/>
  <c r="C2635" i="9"/>
  <c r="J2634" i="9"/>
  <c r="K2634" i="9" s="1"/>
  <c r="C2634" i="9"/>
  <c r="J2633" i="9"/>
  <c r="K2633" i="9" s="1"/>
  <c r="C2633" i="9"/>
  <c r="J2632" i="9"/>
  <c r="K2632" i="9" s="1"/>
  <c r="C2632" i="9"/>
  <c r="J2631" i="9"/>
  <c r="K2631" i="9" s="1"/>
  <c r="C2631" i="9"/>
  <c r="K2630" i="9"/>
  <c r="J2630" i="9"/>
  <c r="C2630" i="9"/>
  <c r="K2629" i="9"/>
  <c r="J2629" i="9"/>
  <c r="C2629" i="9"/>
  <c r="J2628" i="9"/>
  <c r="K2628" i="9" s="1"/>
  <c r="C2628" i="9"/>
  <c r="K2627" i="9"/>
  <c r="J2627" i="9"/>
  <c r="C2627" i="9"/>
  <c r="J2626" i="9"/>
  <c r="K2626" i="9" s="1"/>
  <c r="C2626" i="9"/>
  <c r="J2625" i="9"/>
  <c r="K2625" i="9" s="1"/>
  <c r="C2625" i="9"/>
  <c r="J2624" i="9"/>
  <c r="K2624" i="9" s="1"/>
  <c r="C2624" i="9"/>
  <c r="J2623" i="9"/>
  <c r="K2623" i="9" s="1"/>
  <c r="C2623" i="9"/>
  <c r="J2622" i="9"/>
  <c r="K2622" i="9" s="1"/>
  <c r="C2622" i="9"/>
  <c r="J2621" i="9"/>
  <c r="K2621" i="9" s="1"/>
  <c r="C2621" i="9"/>
  <c r="J2620" i="9"/>
  <c r="K2620" i="9" s="1"/>
  <c r="C2620" i="9"/>
  <c r="J2619" i="9"/>
  <c r="K2619" i="9" s="1"/>
  <c r="C2619" i="9"/>
  <c r="J2618" i="9"/>
  <c r="K2618" i="9" s="1"/>
  <c r="C2618" i="9"/>
  <c r="J2617" i="9"/>
  <c r="K2617" i="9" s="1"/>
  <c r="C2617" i="9"/>
  <c r="J2616" i="9"/>
  <c r="K2616" i="9" s="1"/>
  <c r="C2616" i="9"/>
  <c r="K2615" i="9"/>
  <c r="J2615" i="9"/>
  <c r="C2615" i="9"/>
  <c r="K2614" i="9"/>
  <c r="J2614" i="9"/>
  <c r="C2614" i="9"/>
  <c r="K2613" i="9"/>
  <c r="J2613" i="9"/>
  <c r="C2613" i="9"/>
  <c r="J2612" i="9"/>
  <c r="K2612" i="9" s="1"/>
  <c r="C2612" i="9"/>
  <c r="K2611" i="9"/>
  <c r="J2611" i="9"/>
  <c r="C2611" i="9"/>
  <c r="J2610" i="9"/>
  <c r="K2610" i="9" s="1"/>
  <c r="C2610" i="9"/>
  <c r="J2609" i="9"/>
  <c r="K2609" i="9" s="1"/>
  <c r="C2609" i="9"/>
  <c r="J2608" i="9"/>
  <c r="K2608" i="9" s="1"/>
  <c r="C2608" i="9"/>
  <c r="J2607" i="9"/>
  <c r="K2607" i="9" s="1"/>
  <c r="C2607" i="9"/>
  <c r="J2606" i="9"/>
  <c r="K2606" i="9" s="1"/>
  <c r="C2606" i="9"/>
  <c r="J2605" i="9"/>
  <c r="K2605" i="9" s="1"/>
  <c r="C2605" i="9"/>
  <c r="J2604" i="9"/>
  <c r="K2604" i="9" s="1"/>
  <c r="C2604" i="9"/>
  <c r="J2603" i="9"/>
  <c r="K2603" i="9" s="1"/>
  <c r="C2603" i="9"/>
  <c r="J2602" i="9"/>
  <c r="K2602" i="9" s="1"/>
  <c r="C2602" i="9"/>
  <c r="J2601" i="9"/>
  <c r="K2601" i="9" s="1"/>
  <c r="C2601" i="9"/>
  <c r="J2600" i="9"/>
  <c r="K2600" i="9" s="1"/>
  <c r="C2600" i="9"/>
  <c r="J2599" i="9"/>
  <c r="K2599" i="9" s="1"/>
  <c r="C2599" i="9"/>
  <c r="K2598" i="9"/>
  <c r="J2598" i="9"/>
  <c r="C2598" i="9"/>
  <c r="K2597" i="9"/>
  <c r="J2597" i="9"/>
  <c r="C2597" i="9"/>
  <c r="J2596" i="9"/>
  <c r="K2596" i="9" s="1"/>
  <c r="C2596" i="9"/>
  <c r="K2595" i="9"/>
  <c r="J2595" i="9"/>
  <c r="C2595" i="9"/>
  <c r="J2594" i="9"/>
  <c r="K2594" i="9" s="1"/>
  <c r="C2594" i="9"/>
  <c r="J2593" i="9"/>
  <c r="K2593" i="9" s="1"/>
  <c r="C2593" i="9"/>
  <c r="J2592" i="9"/>
  <c r="K2592" i="9" s="1"/>
  <c r="C2592" i="9"/>
  <c r="J2591" i="9"/>
  <c r="K2591" i="9" s="1"/>
  <c r="C2591" i="9"/>
  <c r="J2590" i="9"/>
  <c r="K2590" i="9" s="1"/>
  <c r="C2590" i="9"/>
  <c r="J2589" i="9"/>
  <c r="K2589" i="9" s="1"/>
  <c r="C2589" i="9"/>
  <c r="J2588" i="9"/>
  <c r="K2588" i="9" s="1"/>
  <c r="C2588" i="9"/>
  <c r="J2587" i="9"/>
  <c r="K2587" i="9" s="1"/>
  <c r="C2587" i="9"/>
  <c r="J2586" i="9"/>
  <c r="K2586" i="9" s="1"/>
  <c r="C2586" i="9"/>
  <c r="J2585" i="9"/>
  <c r="K2585" i="9" s="1"/>
  <c r="C2585" i="9"/>
  <c r="J2584" i="9"/>
  <c r="K2584" i="9" s="1"/>
  <c r="C2584" i="9"/>
  <c r="K2583" i="9"/>
  <c r="J2583" i="9"/>
  <c r="C2583" i="9"/>
  <c r="K2582" i="9"/>
  <c r="J2582" i="9"/>
  <c r="C2582" i="9"/>
  <c r="K2581" i="9"/>
  <c r="J2581" i="9"/>
  <c r="C2581" i="9"/>
  <c r="J2580" i="9"/>
  <c r="K2580" i="9" s="1"/>
  <c r="C2580" i="9"/>
  <c r="K2579" i="9"/>
  <c r="J2579" i="9"/>
  <c r="C2579" i="9"/>
  <c r="J2578" i="9"/>
  <c r="K2578" i="9" s="1"/>
  <c r="C2578" i="9"/>
  <c r="J2577" i="9"/>
  <c r="K2577" i="9" s="1"/>
  <c r="C2577" i="9"/>
  <c r="J2576" i="9"/>
  <c r="K2576" i="9" s="1"/>
  <c r="C2576" i="9"/>
  <c r="J2575" i="9"/>
  <c r="K2575" i="9" s="1"/>
  <c r="C2575" i="9"/>
  <c r="J2574" i="9"/>
  <c r="K2574" i="9" s="1"/>
  <c r="C2574" i="9"/>
  <c r="J2573" i="9"/>
  <c r="K2573" i="9" s="1"/>
  <c r="C2573" i="9"/>
  <c r="J2572" i="9"/>
  <c r="K2572" i="9" s="1"/>
  <c r="C2572" i="9"/>
  <c r="J2571" i="9"/>
  <c r="K2571" i="9" s="1"/>
  <c r="C2571" i="9"/>
  <c r="J2570" i="9"/>
  <c r="K2570" i="9" s="1"/>
  <c r="C2570" i="9"/>
  <c r="J2569" i="9"/>
  <c r="K2569" i="9" s="1"/>
  <c r="C2569" i="9"/>
  <c r="J2568" i="9"/>
  <c r="K2568" i="9" s="1"/>
  <c r="C2568" i="9"/>
  <c r="J2567" i="9"/>
  <c r="K2567" i="9" s="1"/>
  <c r="C2567" i="9"/>
  <c r="K2566" i="9"/>
  <c r="J2566" i="9"/>
  <c r="C2566" i="9"/>
  <c r="K2565" i="9"/>
  <c r="J2565" i="9"/>
  <c r="C2565" i="9"/>
  <c r="J2564" i="9"/>
  <c r="K2564" i="9" s="1"/>
  <c r="C2564" i="9"/>
  <c r="K2563" i="9"/>
  <c r="J2563" i="9"/>
  <c r="C2563" i="9"/>
  <c r="J2562" i="9"/>
  <c r="K2562" i="9" s="1"/>
  <c r="C2562" i="9"/>
  <c r="J2561" i="9"/>
  <c r="K2561" i="9" s="1"/>
  <c r="C2561" i="9"/>
  <c r="J2560" i="9"/>
  <c r="K2560" i="9" s="1"/>
  <c r="C2560" i="9"/>
  <c r="J2559" i="9"/>
  <c r="K2559" i="9" s="1"/>
  <c r="C2559" i="9"/>
  <c r="J2558" i="9"/>
  <c r="K2558" i="9" s="1"/>
  <c r="C2558" i="9"/>
  <c r="J2557" i="9"/>
  <c r="K2557" i="9" s="1"/>
  <c r="C2557" i="9"/>
  <c r="J2556" i="9"/>
  <c r="K2556" i="9" s="1"/>
  <c r="C2556" i="9"/>
  <c r="J2555" i="9"/>
  <c r="K2555" i="9" s="1"/>
  <c r="C2555" i="9"/>
  <c r="J2554" i="9"/>
  <c r="K2554" i="9" s="1"/>
  <c r="C2554" i="9"/>
  <c r="J2553" i="9"/>
  <c r="K2553" i="9" s="1"/>
  <c r="C2553" i="9"/>
  <c r="J2552" i="9"/>
  <c r="K2552" i="9" s="1"/>
  <c r="C2552" i="9"/>
  <c r="K2551" i="9"/>
  <c r="J2551" i="9"/>
  <c r="C2551" i="9"/>
  <c r="K2550" i="9"/>
  <c r="J2550" i="9"/>
  <c r="C2550" i="9"/>
  <c r="K2549" i="9"/>
  <c r="J2549" i="9"/>
  <c r="C2549" i="9"/>
  <c r="J2548" i="9"/>
  <c r="K2548" i="9" s="1"/>
  <c r="C2548" i="9"/>
  <c r="K2547" i="9"/>
  <c r="J2547" i="9"/>
  <c r="C2547" i="9"/>
  <c r="J2546" i="9"/>
  <c r="K2546" i="9" s="1"/>
  <c r="C2546" i="9"/>
  <c r="J2545" i="9"/>
  <c r="K2545" i="9" s="1"/>
  <c r="C2545" i="9"/>
  <c r="J2544" i="9"/>
  <c r="K2544" i="9" s="1"/>
  <c r="C2544" i="9"/>
  <c r="J2543" i="9"/>
  <c r="K2543" i="9" s="1"/>
  <c r="C2543" i="9"/>
  <c r="J2542" i="9"/>
  <c r="K2542" i="9" s="1"/>
  <c r="C2542" i="9"/>
  <c r="J2541" i="9"/>
  <c r="K2541" i="9" s="1"/>
  <c r="C2541" i="9"/>
  <c r="J2540" i="9"/>
  <c r="K2540" i="9" s="1"/>
  <c r="C2540" i="9"/>
  <c r="J2539" i="9"/>
  <c r="K2539" i="9" s="1"/>
  <c r="C2539" i="9"/>
  <c r="J2538" i="9"/>
  <c r="K2538" i="9" s="1"/>
  <c r="C2538" i="9"/>
  <c r="J2537" i="9"/>
  <c r="K2537" i="9" s="1"/>
  <c r="C2537" i="9"/>
  <c r="J2536" i="9"/>
  <c r="K2536" i="9" s="1"/>
  <c r="C2536" i="9"/>
  <c r="K2535" i="9"/>
  <c r="J2535" i="9"/>
  <c r="C2535" i="9"/>
  <c r="K2534" i="9"/>
  <c r="J2534" i="9"/>
  <c r="C2534" i="9"/>
  <c r="K2533" i="9"/>
  <c r="J2533" i="9"/>
  <c r="C2533" i="9"/>
  <c r="J2532" i="9"/>
  <c r="K2532" i="9" s="1"/>
  <c r="C2532" i="9"/>
  <c r="K2531" i="9"/>
  <c r="J2531" i="9"/>
  <c r="C2531" i="9"/>
  <c r="J2530" i="9"/>
  <c r="K2530" i="9" s="1"/>
  <c r="C2530" i="9"/>
  <c r="J2529" i="9"/>
  <c r="K2529" i="9" s="1"/>
  <c r="C2529" i="9"/>
  <c r="J2528" i="9"/>
  <c r="K2528" i="9" s="1"/>
  <c r="C2528" i="9"/>
  <c r="J2527" i="9"/>
  <c r="K2527" i="9" s="1"/>
  <c r="C2527" i="9"/>
  <c r="J2526" i="9"/>
  <c r="K2526" i="9" s="1"/>
  <c r="C2526" i="9"/>
  <c r="J2525" i="9"/>
  <c r="K2525" i="9" s="1"/>
  <c r="C2525" i="9"/>
  <c r="J2524" i="9"/>
  <c r="K2524" i="9" s="1"/>
  <c r="C2524" i="9"/>
  <c r="J2523" i="9"/>
  <c r="K2523" i="9" s="1"/>
  <c r="C2523" i="9"/>
  <c r="J2522" i="9"/>
  <c r="K2522" i="9" s="1"/>
  <c r="C2522" i="9"/>
  <c r="J2521" i="9"/>
  <c r="K2521" i="9" s="1"/>
  <c r="C2521" i="9"/>
  <c r="J2520" i="9"/>
  <c r="K2520" i="9" s="1"/>
  <c r="C2520" i="9"/>
  <c r="K2519" i="9"/>
  <c r="J2519" i="9"/>
  <c r="C2519" i="9"/>
  <c r="J2518" i="9"/>
  <c r="K2518" i="9" s="1"/>
  <c r="C2518" i="9"/>
  <c r="J2517" i="9"/>
  <c r="K2517" i="9" s="1"/>
  <c r="C2517" i="9"/>
  <c r="J2516" i="9"/>
  <c r="K2516" i="9" s="1"/>
  <c r="C2516" i="9"/>
  <c r="J2515" i="9"/>
  <c r="K2515" i="9" s="1"/>
  <c r="C2515" i="9"/>
  <c r="J2514" i="9"/>
  <c r="K2514" i="9" s="1"/>
  <c r="C2514" i="9"/>
  <c r="J2513" i="9"/>
  <c r="K2513" i="9" s="1"/>
  <c r="C2513" i="9"/>
  <c r="J2512" i="9"/>
  <c r="K2512" i="9" s="1"/>
  <c r="C2512" i="9"/>
  <c r="K2511" i="9"/>
  <c r="J2511" i="9"/>
  <c r="C2511" i="9"/>
  <c r="J2510" i="9"/>
  <c r="K2510" i="9" s="1"/>
  <c r="C2510" i="9"/>
  <c r="J2509" i="9"/>
  <c r="K2509" i="9" s="1"/>
  <c r="C2509" i="9"/>
  <c r="J2508" i="9"/>
  <c r="K2508" i="9" s="1"/>
  <c r="C2508" i="9"/>
  <c r="J2507" i="9"/>
  <c r="K2507" i="9" s="1"/>
  <c r="C2507" i="9"/>
  <c r="J2506" i="9"/>
  <c r="K2506" i="9" s="1"/>
  <c r="C2506" i="9"/>
  <c r="J2505" i="9"/>
  <c r="K2505" i="9" s="1"/>
  <c r="C2505" i="9"/>
  <c r="J2504" i="9"/>
  <c r="K2504" i="9" s="1"/>
  <c r="C2504" i="9"/>
  <c r="J2503" i="9"/>
  <c r="K2503" i="9" s="1"/>
  <c r="C2503" i="9"/>
  <c r="J2502" i="9"/>
  <c r="K2502" i="9" s="1"/>
  <c r="C2502" i="9"/>
  <c r="K2501" i="9"/>
  <c r="J2501" i="9"/>
  <c r="C2501" i="9"/>
  <c r="J2500" i="9"/>
  <c r="K2500" i="9" s="1"/>
  <c r="C2500" i="9"/>
  <c r="J2499" i="9"/>
  <c r="K2499" i="9" s="1"/>
  <c r="C2499" i="9"/>
  <c r="J2498" i="9"/>
  <c r="K2498" i="9" s="1"/>
  <c r="C2498" i="9"/>
  <c r="J2497" i="9"/>
  <c r="K2497" i="9" s="1"/>
  <c r="C2497" i="9"/>
  <c r="J2496" i="9"/>
  <c r="K2496" i="9" s="1"/>
  <c r="C2496" i="9"/>
  <c r="K2495" i="9"/>
  <c r="J2495" i="9"/>
  <c r="C2495" i="9"/>
  <c r="J2494" i="9"/>
  <c r="K2494" i="9" s="1"/>
  <c r="C2494" i="9"/>
  <c r="J2493" i="9"/>
  <c r="K2493" i="9" s="1"/>
  <c r="C2493" i="9"/>
  <c r="J2492" i="9"/>
  <c r="K2492" i="9" s="1"/>
  <c r="C2492" i="9"/>
  <c r="J2491" i="9"/>
  <c r="K2491" i="9" s="1"/>
  <c r="C2491" i="9"/>
  <c r="J2490" i="9"/>
  <c r="K2490" i="9" s="1"/>
  <c r="C2490" i="9"/>
  <c r="J2489" i="9"/>
  <c r="K2489" i="9" s="1"/>
  <c r="C2489" i="9"/>
  <c r="J2488" i="9"/>
  <c r="K2488" i="9" s="1"/>
  <c r="C2488" i="9"/>
  <c r="K2487" i="9"/>
  <c r="J2487" i="9"/>
  <c r="C2487" i="9"/>
  <c r="K2486" i="9"/>
  <c r="J2486" i="9"/>
  <c r="C2486" i="9"/>
  <c r="K2485" i="9"/>
  <c r="J2485" i="9"/>
  <c r="C2485" i="9"/>
  <c r="J2484" i="9"/>
  <c r="K2484" i="9" s="1"/>
  <c r="C2484" i="9"/>
  <c r="K2483" i="9"/>
  <c r="J2483" i="9"/>
  <c r="C2483" i="9"/>
  <c r="J2482" i="9"/>
  <c r="K2482" i="9" s="1"/>
  <c r="C2482" i="9"/>
  <c r="J2481" i="9"/>
  <c r="K2481" i="9" s="1"/>
  <c r="C2481" i="9"/>
  <c r="J2480" i="9"/>
  <c r="K2480" i="9" s="1"/>
  <c r="C2480" i="9"/>
  <c r="K2479" i="9"/>
  <c r="J2479" i="9"/>
  <c r="C2479" i="9"/>
  <c r="J2478" i="9"/>
  <c r="K2478" i="9" s="1"/>
  <c r="C2478" i="9"/>
  <c r="J2477" i="9"/>
  <c r="K2477" i="9" s="1"/>
  <c r="C2477" i="9"/>
  <c r="J2476" i="9"/>
  <c r="K2476" i="9" s="1"/>
  <c r="C2476" i="9"/>
  <c r="J2475" i="9"/>
  <c r="K2475" i="9" s="1"/>
  <c r="C2475" i="9"/>
  <c r="J2474" i="9"/>
  <c r="K2474" i="9" s="1"/>
  <c r="C2474" i="9"/>
  <c r="J2473" i="9"/>
  <c r="K2473" i="9" s="1"/>
  <c r="C2473" i="9"/>
  <c r="K2472" i="9"/>
  <c r="J2472" i="9"/>
  <c r="C2472" i="9"/>
  <c r="K2471" i="9"/>
  <c r="J2471" i="9"/>
  <c r="C2471" i="9"/>
  <c r="K2470" i="9"/>
  <c r="J2470" i="9"/>
  <c r="C2470" i="9"/>
  <c r="K2469" i="9"/>
  <c r="J2469" i="9"/>
  <c r="C2469" i="9"/>
  <c r="J2468" i="9"/>
  <c r="K2468" i="9" s="1"/>
  <c r="C2468" i="9"/>
  <c r="K2467" i="9"/>
  <c r="J2467" i="9"/>
  <c r="C2467" i="9"/>
  <c r="J2466" i="9"/>
  <c r="K2466" i="9" s="1"/>
  <c r="C2466" i="9"/>
  <c r="J2465" i="9"/>
  <c r="K2465" i="9" s="1"/>
  <c r="C2465" i="9"/>
  <c r="J2464" i="9"/>
  <c r="K2464" i="9" s="1"/>
  <c r="C2464" i="9"/>
  <c r="J2463" i="9"/>
  <c r="K2463" i="9" s="1"/>
  <c r="C2463" i="9"/>
  <c r="J2462" i="9"/>
  <c r="K2462" i="9" s="1"/>
  <c r="C2462" i="9"/>
  <c r="J2461" i="9"/>
  <c r="K2461" i="9" s="1"/>
  <c r="C2461" i="9"/>
  <c r="J2460" i="9"/>
  <c r="K2460" i="9" s="1"/>
  <c r="C2460" i="9"/>
  <c r="J2459" i="9"/>
  <c r="K2459" i="9" s="1"/>
  <c r="C2459" i="9"/>
  <c r="J2458" i="9"/>
  <c r="K2458" i="9" s="1"/>
  <c r="C2458" i="9"/>
  <c r="J2457" i="9"/>
  <c r="K2457" i="9" s="1"/>
  <c r="C2457" i="9"/>
  <c r="K2456" i="9"/>
  <c r="J2456" i="9"/>
  <c r="C2456" i="9"/>
  <c r="K2455" i="9"/>
  <c r="J2455" i="9"/>
  <c r="C2455" i="9"/>
  <c r="J2454" i="9"/>
  <c r="K2454" i="9" s="1"/>
  <c r="C2454" i="9"/>
  <c r="J2453" i="9"/>
  <c r="K2453" i="9" s="1"/>
  <c r="C2453" i="9"/>
  <c r="J2452" i="9"/>
  <c r="K2452" i="9" s="1"/>
  <c r="C2452" i="9"/>
  <c r="J2451" i="9"/>
  <c r="K2451" i="9" s="1"/>
  <c r="C2451" i="9"/>
  <c r="J2450" i="9"/>
  <c r="K2450" i="9" s="1"/>
  <c r="C2450" i="9"/>
  <c r="J2449" i="9"/>
  <c r="K2449" i="9" s="1"/>
  <c r="C2449" i="9"/>
  <c r="J2448" i="9"/>
  <c r="K2448" i="9" s="1"/>
  <c r="C2448" i="9"/>
  <c r="J2447" i="9"/>
  <c r="K2447" i="9" s="1"/>
  <c r="C2447" i="9"/>
  <c r="J2446" i="9"/>
  <c r="K2446" i="9" s="1"/>
  <c r="C2446" i="9"/>
  <c r="J2445" i="9"/>
  <c r="K2445" i="9" s="1"/>
  <c r="C2445" i="9"/>
  <c r="J2444" i="9"/>
  <c r="K2444" i="9" s="1"/>
  <c r="C2444" i="9"/>
  <c r="J2443" i="9"/>
  <c r="K2443" i="9" s="1"/>
  <c r="C2443" i="9"/>
  <c r="J2442" i="9"/>
  <c r="K2442" i="9" s="1"/>
  <c r="C2442" i="9"/>
  <c r="J2441" i="9"/>
  <c r="K2441" i="9" s="1"/>
  <c r="C2441" i="9"/>
  <c r="J2440" i="9"/>
  <c r="K2440" i="9" s="1"/>
  <c r="C2440" i="9"/>
  <c r="J2439" i="9"/>
  <c r="K2439" i="9" s="1"/>
  <c r="C2439" i="9"/>
  <c r="K2438" i="9"/>
  <c r="J2438" i="9"/>
  <c r="C2438" i="9"/>
  <c r="J2437" i="9"/>
  <c r="K2437" i="9" s="1"/>
  <c r="C2437" i="9"/>
  <c r="J2436" i="9"/>
  <c r="K2436" i="9" s="1"/>
  <c r="C2436" i="9"/>
  <c r="K2435" i="9"/>
  <c r="J2435" i="9"/>
  <c r="C2435" i="9"/>
  <c r="J2434" i="9"/>
  <c r="K2434" i="9" s="1"/>
  <c r="C2434" i="9"/>
  <c r="J2433" i="9"/>
  <c r="K2433" i="9" s="1"/>
  <c r="C2433" i="9"/>
  <c r="J2432" i="9"/>
  <c r="K2432" i="9" s="1"/>
  <c r="C2432" i="9"/>
  <c r="K2431" i="9"/>
  <c r="J2431" i="9"/>
  <c r="C2431" i="9"/>
  <c r="J2430" i="9"/>
  <c r="K2430" i="9" s="1"/>
  <c r="C2430" i="9"/>
  <c r="J2429" i="9"/>
  <c r="K2429" i="9" s="1"/>
  <c r="C2429" i="9"/>
  <c r="J2428" i="9"/>
  <c r="K2428" i="9" s="1"/>
  <c r="C2428" i="9"/>
  <c r="J2427" i="9"/>
  <c r="K2427" i="9" s="1"/>
  <c r="C2427" i="9"/>
  <c r="J2426" i="9"/>
  <c r="K2426" i="9" s="1"/>
  <c r="C2426" i="9"/>
  <c r="J2425" i="9"/>
  <c r="K2425" i="9" s="1"/>
  <c r="C2425" i="9"/>
  <c r="K2424" i="9"/>
  <c r="J2424" i="9"/>
  <c r="C2424" i="9"/>
  <c r="J2423" i="9"/>
  <c r="K2423" i="9" s="1"/>
  <c r="C2423" i="9"/>
  <c r="K2422" i="9"/>
  <c r="J2422" i="9"/>
  <c r="C2422" i="9"/>
  <c r="K2421" i="9"/>
  <c r="J2421" i="9"/>
  <c r="C2421" i="9"/>
  <c r="J2420" i="9"/>
  <c r="K2420" i="9" s="1"/>
  <c r="C2420" i="9"/>
  <c r="K2419" i="9"/>
  <c r="J2419" i="9"/>
  <c r="C2419" i="9"/>
  <c r="J2418" i="9"/>
  <c r="K2418" i="9" s="1"/>
  <c r="C2418" i="9"/>
  <c r="J2417" i="9"/>
  <c r="K2417" i="9" s="1"/>
  <c r="C2417" i="9"/>
  <c r="J2416" i="9"/>
  <c r="K2416" i="9" s="1"/>
  <c r="C2416" i="9"/>
  <c r="K2415" i="9"/>
  <c r="J2415" i="9"/>
  <c r="C2415" i="9"/>
  <c r="J2414" i="9"/>
  <c r="K2414" i="9" s="1"/>
  <c r="C2414" i="9"/>
  <c r="J2413" i="9"/>
  <c r="K2413" i="9" s="1"/>
  <c r="C2413" i="9"/>
  <c r="J2412" i="9"/>
  <c r="K2412" i="9" s="1"/>
  <c r="C2412" i="9"/>
  <c r="J2411" i="9"/>
  <c r="K2411" i="9" s="1"/>
  <c r="C2411" i="9"/>
  <c r="J2410" i="9"/>
  <c r="K2410" i="9" s="1"/>
  <c r="C2410" i="9"/>
  <c r="J2409" i="9"/>
  <c r="K2409" i="9" s="1"/>
  <c r="C2409" i="9"/>
  <c r="K2408" i="9"/>
  <c r="J2408" i="9"/>
  <c r="C2408" i="9"/>
  <c r="K2407" i="9"/>
  <c r="J2407" i="9"/>
  <c r="C2407" i="9"/>
  <c r="K2406" i="9"/>
  <c r="J2406" i="9"/>
  <c r="C2406" i="9"/>
  <c r="K2405" i="9"/>
  <c r="J2405" i="9"/>
  <c r="C2405" i="9"/>
  <c r="J2404" i="9"/>
  <c r="K2404" i="9" s="1"/>
  <c r="C2404" i="9"/>
  <c r="K2403" i="9"/>
  <c r="J2403" i="9"/>
  <c r="C2403" i="9"/>
  <c r="J2402" i="9"/>
  <c r="K2402" i="9" s="1"/>
  <c r="C2402" i="9"/>
  <c r="J2401" i="9"/>
  <c r="K2401" i="9" s="1"/>
  <c r="C2401" i="9"/>
  <c r="J2400" i="9"/>
  <c r="K2400" i="9" s="1"/>
  <c r="C2400" i="9"/>
  <c r="J2399" i="9"/>
  <c r="K2399" i="9" s="1"/>
  <c r="C2399" i="9"/>
  <c r="J2398" i="9"/>
  <c r="K2398" i="9" s="1"/>
  <c r="C2398" i="9"/>
  <c r="J2397" i="9"/>
  <c r="K2397" i="9" s="1"/>
  <c r="C2397" i="9"/>
  <c r="J2396" i="9"/>
  <c r="K2396" i="9" s="1"/>
  <c r="C2396" i="9"/>
  <c r="J2395" i="9"/>
  <c r="K2395" i="9" s="1"/>
  <c r="C2395" i="9"/>
  <c r="J2394" i="9"/>
  <c r="K2394" i="9" s="1"/>
  <c r="C2394" i="9"/>
  <c r="J2393" i="9"/>
  <c r="K2393" i="9" s="1"/>
  <c r="C2393" i="9"/>
  <c r="K2392" i="9"/>
  <c r="J2392" i="9"/>
  <c r="C2392" i="9"/>
  <c r="K2391" i="9"/>
  <c r="J2391" i="9"/>
  <c r="C2391" i="9"/>
  <c r="J2390" i="9"/>
  <c r="K2390" i="9" s="1"/>
  <c r="C2390" i="9"/>
  <c r="J2389" i="9"/>
  <c r="K2389" i="9" s="1"/>
  <c r="C2389" i="9"/>
  <c r="J2388" i="9"/>
  <c r="K2388" i="9" s="1"/>
  <c r="C2388" i="9"/>
  <c r="J2387" i="9"/>
  <c r="K2387" i="9" s="1"/>
  <c r="C2387" i="9"/>
  <c r="J2386" i="9"/>
  <c r="K2386" i="9" s="1"/>
  <c r="C2386" i="9"/>
  <c r="J2385" i="9"/>
  <c r="K2385" i="9" s="1"/>
  <c r="C2385" i="9"/>
  <c r="J2384" i="9"/>
  <c r="K2384" i="9" s="1"/>
  <c r="C2384" i="9"/>
  <c r="J2383" i="9"/>
  <c r="K2383" i="9" s="1"/>
  <c r="C2383" i="9"/>
  <c r="J2382" i="9"/>
  <c r="K2382" i="9" s="1"/>
  <c r="C2382" i="9"/>
  <c r="J2381" i="9"/>
  <c r="K2381" i="9" s="1"/>
  <c r="C2381" i="9"/>
  <c r="J2380" i="9"/>
  <c r="K2380" i="9" s="1"/>
  <c r="C2380" i="9"/>
  <c r="J2379" i="9"/>
  <c r="K2379" i="9" s="1"/>
  <c r="C2379" i="9"/>
  <c r="J2378" i="9"/>
  <c r="K2378" i="9" s="1"/>
  <c r="C2378" i="9"/>
  <c r="J2377" i="9"/>
  <c r="K2377" i="9" s="1"/>
  <c r="C2377" i="9"/>
  <c r="J2376" i="9"/>
  <c r="K2376" i="9" s="1"/>
  <c r="C2376" i="9"/>
  <c r="J2375" i="9"/>
  <c r="K2375" i="9" s="1"/>
  <c r="C2375" i="9"/>
  <c r="K2374" i="9"/>
  <c r="J2374" i="9"/>
  <c r="C2374" i="9"/>
  <c r="J2373" i="9"/>
  <c r="K2373" i="9" s="1"/>
  <c r="C2373" i="9"/>
  <c r="J2372" i="9"/>
  <c r="K2372" i="9" s="1"/>
  <c r="C2372" i="9"/>
  <c r="K2371" i="9"/>
  <c r="J2371" i="9"/>
  <c r="C2371" i="9"/>
  <c r="J2370" i="9"/>
  <c r="K2370" i="9" s="1"/>
  <c r="C2370" i="9"/>
  <c r="J2369" i="9"/>
  <c r="K2369" i="9" s="1"/>
  <c r="C2369" i="9"/>
  <c r="J2368" i="9"/>
  <c r="K2368" i="9" s="1"/>
  <c r="C2368" i="9"/>
  <c r="K2367" i="9"/>
  <c r="J2367" i="9"/>
  <c r="C2367" i="9"/>
  <c r="J2366" i="9"/>
  <c r="K2366" i="9" s="1"/>
  <c r="C2366" i="9"/>
  <c r="J2365" i="9"/>
  <c r="K2365" i="9" s="1"/>
  <c r="C2365" i="9"/>
  <c r="J2364" i="9"/>
  <c r="K2364" i="9" s="1"/>
  <c r="C2364" i="9"/>
  <c r="J2363" i="9"/>
  <c r="K2363" i="9" s="1"/>
  <c r="C2363" i="9"/>
  <c r="J2362" i="9"/>
  <c r="K2362" i="9" s="1"/>
  <c r="C2362" i="9"/>
  <c r="J2361" i="9"/>
  <c r="K2361" i="9" s="1"/>
  <c r="C2361" i="9"/>
  <c r="K2360" i="9"/>
  <c r="J2360" i="9"/>
  <c r="C2360" i="9"/>
  <c r="J2359" i="9"/>
  <c r="K2359" i="9" s="1"/>
  <c r="C2359" i="9"/>
  <c r="K2358" i="9"/>
  <c r="J2358" i="9"/>
  <c r="C2358" i="9"/>
  <c r="K2357" i="9"/>
  <c r="J2357" i="9"/>
  <c r="C2357" i="9"/>
  <c r="J2356" i="9"/>
  <c r="K2356" i="9" s="1"/>
  <c r="C2356" i="9"/>
  <c r="K2355" i="9"/>
  <c r="J2355" i="9"/>
  <c r="C2355" i="9"/>
  <c r="J2354" i="9"/>
  <c r="K2354" i="9" s="1"/>
  <c r="C2354" i="9"/>
  <c r="J2353" i="9"/>
  <c r="K2353" i="9" s="1"/>
  <c r="C2353" i="9"/>
  <c r="J2352" i="9"/>
  <c r="K2352" i="9" s="1"/>
  <c r="C2352" i="9"/>
  <c r="K2351" i="9"/>
  <c r="J2351" i="9"/>
  <c r="C2351" i="9"/>
  <c r="J2350" i="9"/>
  <c r="K2350" i="9" s="1"/>
  <c r="C2350" i="9"/>
  <c r="J2349" i="9"/>
  <c r="K2349" i="9" s="1"/>
  <c r="C2349" i="9"/>
  <c r="J2348" i="9"/>
  <c r="K2348" i="9" s="1"/>
  <c r="C2348" i="9"/>
  <c r="J2347" i="9"/>
  <c r="K2347" i="9" s="1"/>
  <c r="C2347" i="9"/>
  <c r="J2346" i="9"/>
  <c r="K2346" i="9" s="1"/>
  <c r="C2346" i="9"/>
  <c r="J2345" i="9"/>
  <c r="K2345" i="9" s="1"/>
  <c r="C2345" i="9"/>
  <c r="K2344" i="9"/>
  <c r="J2344" i="9"/>
  <c r="C2344" i="9"/>
  <c r="K2343" i="9"/>
  <c r="J2343" i="9"/>
  <c r="C2343" i="9"/>
  <c r="K2342" i="9"/>
  <c r="J2342" i="9"/>
  <c r="C2342" i="9"/>
  <c r="K2341" i="9"/>
  <c r="J2341" i="9"/>
  <c r="C2341" i="9"/>
  <c r="J2340" i="9"/>
  <c r="K2340" i="9" s="1"/>
  <c r="C2340" i="9"/>
  <c r="K2339" i="9"/>
  <c r="J2339" i="9"/>
  <c r="C2339" i="9"/>
  <c r="J2338" i="9"/>
  <c r="K2338" i="9" s="1"/>
  <c r="C2338" i="9"/>
  <c r="J2337" i="9"/>
  <c r="K2337" i="9" s="1"/>
  <c r="C2337" i="9"/>
  <c r="J2336" i="9"/>
  <c r="K2336" i="9" s="1"/>
  <c r="C2336" i="9"/>
  <c r="J2335" i="9"/>
  <c r="K2335" i="9" s="1"/>
  <c r="C2335" i="9"/>
  <c r="J2334" i="9"/>
  <c r="K2334" i="9" s="1"/>
  <c r="C2334" i="9"/>
  <c r="J2333" i="9"/>
  <c r="K2333" i="9" s="1"/>
  <c r="C2333" i="9"/>
  <c r="J2332" i="9"/>
  <c r="K2332" i="9" s="1"/>
  <c r="C2332" i="9"/>
  <c r="J2331" i="9"/>
  <c r="K2331" i="9" s="1"/>
  <c r="C2331" i="9"/>
  <c r="J2330" i="9"/>
  <c r="K2330" i="9" s="1"/>
  <c r="C2330" i="9"/>
  <c r="J2329" i="9"/>
  <c r="K2329" i="9" s="1"/>
  <c r="C2329" i="9"/>
  <c r="K2328" i="9"/>
  <c r="J2328" i="9"/>
  <c r="C2328" i="9"/>
  <c r="K2327" i="9"/>
  <c r="J2327" i="9"/>
  <c r="C2327" i="9"/>
  <c r="J2326" i="9"/>
  <c r="K2326" i="9" s="1"/>
  <c r="C2326" i="9"/>
  <c r="J2325" i="9"/>
  <c r="K2325" i="9" s="1"/>
  <c r="C2325" i="9"/>
  <c r="J2324" i="9"/>
  <c r="K2324" i="9" s="1"/>
  <c r="C2324" i="9"/>
  <c r="J2323" i="9"/>
  <c r="K2323" i="9" s="1"/>
  <c r="C2323" i="9"/>
  <c r="J2322" i="9"/>
  <c r="K2322" i="9" s="1"/>
  <c r="C2322" i="9"/>
  <c r="J2321" i="9"/>
  <c r="K2321" i="9" s="1"/>
  <c r="C2321" i="9"/>
  <c r="J2320" i="9"/>
  <c r="K2320" i="9" s="1"/>
  <c r="C2320" i="9"/>
  <c r="J2319" i="9"/>
  <c r="K2319" i="9" s="1"/>
  <c r="C2319" i="9"/>
  <c r="J2318" i="9"/>
  <c r="K2318" i="9" s="1"/>
  <c r="C2318" i="9"/>
  <c r="J2317" i="9"/>
  <c r="K2317" i="9" s="1"/>
  <c r="C2317" i="9"/>
  <c r="J2316" i="9"/>
  <c r="K2316" i="9" s="1"/>
  <c r="C2316" i="9"/>
  <c r="J2315" i="9"/>
  <c r="K2315" i="9" s="1"/>
  <c r="C2315" i="9"/>
  <c r="J2314" i="9"/>
  <c r="K2314" i="9" s="1"/>
  <c r="C2314" i="9"/>
  <c r="J2313" i="9"/>
  <c r="K2313" i="9" s="1"/>
  <c r="C2313" i="9"/>
  <c r="J2312" i="9"/>
  <c r="K2312" i="9" s="1"/>
  <c r="C2312" i="9"/>
  <c r="J2311" i="9"/>
  <c r="K2311" i="9" s="1"/>
  <c r="C2311" i="9"/>
  <c r="K2310" i="9"/>
  <c r="J2310" i="9"/>
  <c r="C2310" i="9"/>
  <c r="J2309" i="9"/>
  <c r="K2309" i="9" s="1"/>
  <c r="C2309" i="9"/>
  <c r="J2308" i="9"/>
  <c r="K2308" i="9" s="1"/>
  <c r="C2308" i="9"/>
  <c r="K2307" i="9"/>
  <c r="J2307" i="9"/>
  <c r="C2307" i="9"/>
  <c r="J2306" i="9"/>
  <c r="K2306" i="9" s="1"/>
  <c r="C2306" i="9"/>
  <c r="J2305" i="9"/>
  <c r="K2305" i="9" s="1"/>
  <c r="C2305" i="9"/>
  <c r="J2304" i="9"/>
  <c r="K2304" i="9" s="1"/>
  <c r="C2304" i="9"/>
  <c r="K2303" i="9"/>
  <c r="J2303" i="9"/>
  <c r="C2303" i="9"/>
  <c r="J2302" i="9"/>
  <c r="K2302" i="9" s="1"/>
  <c r="C2302" i="9"/>
  <c r="J2301" i="9"/>
  <c r="K2301" i="9" s="1"/>
  <c r="C2301" i="9"/>
  <c r="J2300" i="9"/>
  <c r="K2300" i="9" s="1"/>
  <c r="C2300" i="9"/>
  <c r="J2299" i="9"/>
  <c r="K2299" i="9" s="1"/>
  <c r="C2299" i="9"/>
  <c r="J2298" i="9"/>
  <c r="K2298" i="9" s="1"/>
  <c r="C2298" i="9"/>
  <c r="J2297" i="9"/>
  <c r="K2297" i="9" s="1"/>
  <c r="C2297" i="9"/>
  <c r="K2296" i="9"/>
  <c r="J2296" i="9"/>
  <c r="C2296" i="9"/>
  <c r="J2295" i="9"/>
  <c r="K2295" i="9" s="1"/>
  <c r="C2295" i="9"/>
  <c r="K2294" i="9"/>
  <c r="J2294" i="9"/>
  <c r="C2294" i="9"/>
  <c r="K2293" i="9"/>
  <c r="J2293" i="9"/>
  <c r="C2293" i="9"/>
  <c r="J2292" i="9"/>
  <c r="K2292" i="9" s="1"/>
  <c r="C2292" i="9"/>
  <c r="K2291" i="9"/>
  <c r="J2291" i="9"/>
  <c r="C2291" i="9"/>
  <c r="J2290" i="9"/>
  <c r="K2290" i="9" s="1"/>
  <c r="C2290" i="9"/>
  <c r="J2289" i="9"/>
  <c r="K2289" i="9" s="1"/>
  <c r="C2289" i="9"/>
  <c r="J2288" i="9"/>
  <c r="K2288" i="9" s="1"/>
  <c r="C2288" i="9"/>
  <c r="K2287" i="9"/>
  <c r="J2287" i="9"/>
  <c r="C2287" i="9"/>
  <c r="J2286" i="9"/>
  <c r="K2286" i="9" s="1"/>
  <c r="C2286" i="9"/>
  <c r="J2285" i="9"/>
  <c r="K2285" i="9" s="1"/>
  <c r="C2285" i="9"/>
  <c r="J2284" i="9"/>
  <c r="K2284" i="9" s="1"/>
  <c r="C2284" i="9"/>
  <c r="J2283" i="9"/>
  <c r="K2283" i="9" s="1"/>
  <c r="C2283" i="9"/>
  <c r="J2282" i="9"/>
  <c r="K2282" i="9" s="1"/>
  <c r="C2282" i="9"/>
  <c r="J2281" i="9"/>
  <c r="K2281" i="9" s="1"/>
  <c r="C2281" i="9"/>
  <c r="K2280" i="9"/>
  <c r="J2280" i="9"/>
  <c r="C2280" i="9"/>
  <c r="K2279" i="9"/>
  <c r="J2279" i="9"/>
  <c r="C2279" i="9"/>
  <c r="K2278" i="9"/>
  <c r="J2278" i="9"/>
  <c r="C2278" i="9"/>
  <c r="K2277" i="9"/>
  <c r="J2277" i="9"/>
  <c r="C2277" i="9"/>
  <c r="J2276" i="9"/>
  <c r="K2276" i="9" s="1"/>
  <c r="C2276" i="9"/>
  <c r="K2275" i="9"/>
  <c r="J2275" i="9"/>
  <c r="C2275" i="9"/>
  <c r="J2274" i="9"/>
  <c r="K2274" i="9" s="1"/>
  <c r="C2274" i="9"/>
  <c r="J2273" i="9"/>
  <c r="K2273" i="9" s="1"/>
  <c r="C2273" i="9"/>
  <c r="J2272" i="9"/>
  <c r="K2272" i="9" s="1"/>
  <c r="C2272" i="9"/>
  <c r="J2271" i="9"/>
  <c r="K2271" i="9" s="1"/>
  <c r="C2271" i="9"/>
  <c r="K2270" i="9"/>
  <c r="J2270" i="9"/>
  <c r="C2270" i="9"/>
  <c r="J2269" i="9"/>
  <c r="K2269" i="9" s="1"/>
  <c r="C2269" i="9"/>
  <c r="J2268" i="9"/>
  <c r="K2268" i="9" s="1"/>
  <c r="C2268" i="9"/>
  <c r="K2267" i="9"/>
  <c r="J2267" i="9"/>
  <c r="C2267" i="9"/>
  <c r="J2266" i="9"/>
  <c r="K2266" i="9" s="1"/>
  <c r="C2266" i="9"/>
  <c r="J2265" i="9"/>
  <c r="K2265" i="9" s="1"/>
  <c r="C2265" i="9"/>
  <c r="K2264" i="9"/>
  <c r="J2264" i="9"/>
  <c r="C2264" i="9"/>
  <c r="J2263" i="9"/>
  <c r="K2263" i="9" s="1"/>
  <c r="C2263" i="9"/>
  <c r="K2262" i="9"/>
  <c r="J2262" i="9"/>
  <c r="C2262" i="9"/>
  <c r="K2261" i="9"/>
  <c r="J2261" i="9"/>
  <c r="C2261" i="9"/>
  <c r="J2260" i="9"/>
  <c r="K2260" i="9" s="1"/>
  <c r="C2260" i="9"/>
  <c r="K2259" i="9"/>
  <c r="J2259" i="9"/>
  <c r="C2259" i="9"/>
  <c r="J2258" i="9"/>
  <c r="K2258" i="9" s="1"/>
  <c r="C2258" i="9"/>
  <c r="J2257" i="9"/>
  <c r="K2257" i="9" s="1"/>
  <c r="C2257" i="9"/>
  <c r="J2256" i="9"/>
  <c r="K2256" i="9" s="1"/>
  <c r="C2256" i="9"/>
  <c r="K2255" i="9"/>
  <c r="J2255" i="9"/>
  <c r="C2255" i="9"/>
  <c r="J2254" i="9"/>
  <c r="K2254" i="9" s="1"/>
  <c r="C2254" i="9"/>
  <c r="J2253" i="9"/>
  <c r="K2253" i="9" s="1"/>
  <c r="C2253" i="9"/>
  <c r="J2252" i="9"/>
  <c r="K2252" i="9" s="1"/>
  <c r="C2252" i="9"/>
  <c r="J2251" i="9"/>
  <c r="K2251" i="9" s="1"/>
  <c r="C2251" i="9"/>
  <c r="J2250" i="9"/>
  <c r="K2250" i="9" s="1"/>
  <c r="C2250" i="9"/>
  <c r="J2249" i="9"/>
  <c r="K2249" i="9" s="1"/>
  <c r="C2249" i="9"/>
  <c r="K2248" i="9"/>
  <c r="J2248" i="9"/>
  <c r="C2248" i="9"/>
  <c r="K2247" i="9"/>
  <c r="J2247" i="9"/>
  <c r="C2247" i="9"/>
  <c r="K2246" i="9"/>
  <c r="J2246" i="9"/>
  <c r="C2246" i="9"/>
  <c r="J2245" i="9"/>
  <c r="K2245" i="9" s="1"/>
  <c r="C2245" i="9"/>
  <c r="J2244" i="9"/>
  <c r="K2244" i="9" s="1"/>
  <c r="C2244" i="9"/>
  <c r="J2243" i="9"/>
  <c r="K2243" i="9" s="1"/>
  <c r="C2243" i="9"/>
  <c r="J2242" i="9"/>
  <c r="K2242" i="9" s="1"/>
  <c r="C2242" i="9"/>
  <c r="J2241" i="9"/>
  <c r="K2241" i="9" s="1"/>
  <c r="C2241" i="9"/>
  <c r="J2240" i="9"/>
  <c r="K2240" i="9" s="1"/>
  <c r="C2240" i="9"/>
  <c r="K2239" i="9"/>
  <c r="J2239" i="9"/>
  <c r="C2239" i="9"/>
  <c r="K2238" i="9"/>
  <c r="J2238" i="9"/>
  <c r="C2238" i="9"/>
  <c r="J2237" i="9"/>
  <c r="K2237" i="9" s="1"/>
  <c r="C2237" i="9"/>
  <c r="J2236" i="9"/>
  <c r="K2236" i="9" s="1"/>
  <c r="C2236" i="9"/>
  <c r="K2235" i="9"/>
  <c r="J2235" i="9"/>
  <c r="C2235" i="9"/>
  <c r="J2234" i="9"/>
  <c r="K2234" i="9" s="1"/>
  <c r="C2234" i="9"/>
  <c r="J2233" i="9"/>
  <c r="K2233" i="9" s="1"/>
  <c r="C2233" i="9"/>
  <c r="K2232" i="9"/>
  <c r="J2232" i="9"/>
  <c r="C2232" i="9"/>
  <c r="J2231" i="9"/>
  <c r="K2231" i="9" s="1"/>
  <c r="C2231" i="9"/>
  <c r="K2230" i="9"/>
  <c r="J2230" i="9"/>
  <c r="C2230" i="9"/>
  <c r="K2229" i="9"/>
  <c r="J2229" i="9"/>
  <c r="C2229" i="9"/>
  <c r="J2228" i="9"/>
  <c r="K2228" i="9" s="1"/>
  <c r="C2228" i="9"/>
  <c r="K2227" i="9"/>
  <c r="J2227" i="9"/>
  <c r="C2227" i="9"/>
  <c r="J2226" i="9"/>
  <c r="K2226" i="9" s="1"/>
  <c r="C2226" i="9"/>
  <c r="J2225" i="9"/>
  <c r="K2225" i="9" s="1"/>
  <c r="C2225" i="9"/>
  <c r="K2224" i="9"/>
  <c r="J2224" i="9"/>
  <c r="C2224" i="9"/>
  <c r="K2223" i="9"/>
  <c r="J2223" i="9"/>
  <c r="C2223" i="9"/>
  <c r="J2222" i="9"/>
  <c r="K2222" i="9" s="1"/>
  <c r="C2222" i="9"/>
  <c r="K2221" i="9"/>
  <c r="J2221" i="9"/>
  <c r="C2221" i="9"/>
  <c r="J2220" i="9"/>
  <c r="K2220" i="9" s="1"/>
  <c r="C2220" i="9"/>
  <c r="J2219" i="9"/>
  <c r="K2219" i="9" s="1"/>
  <c r="C2219" i="9"/>
  <c r="J2218" i="9"/>
  <c r="K2218" i="9" s="1"/>
  <c r="C2218" i="9"/>
  <c r="J2217" i="9"/>
  <c r="K2217" i="9" s="1"/>
  <c r="C2217" i="9"/>
  <c r="K2216" i="9"/>
  <c r="J2216" i="9"/>
  <c r="C2216" i="9"/>
  <c r="K2215" i="9"/>
  <c r="J2215" i="9"/>
  <c r="C2215" i="9"/>
  <c r="K2214" i="9"/>
  <c r="J2214" i="9"/>
  <c r="C2214" i="9"/>
  <c r="J2213" i="9"/>
  <c r="K2213" i="9" s="1"/>
  <c r="C2213" i="9"/>
  <c r="J2212" i="9"/>
  <c r="K2212" i="9" s="1"/>
  <c r="C2212" i="9"/>
  <c r="K2211" i="9"/>
  <c r="J2211" i="9"/>
  <c r="C2211" i="9"/>
  <c r="J2210" i="9"/>
  <c r="K2210" i="9" s="1"/>
  <c r="C2210" i="9"/>
  <c r="J2209" i="9"/>
  <c r="K2209" i="9" s="1"/>
  <c r="C2209" i="9"/>
  <c r="J2208" i="9"/>
  <c r="K2208" i="9" s="1"/>
  <c r="C2208" i="9"/>
  <c r="K2207" i="9"/>
  <c r="J2207" i="9"/>
  <c r="C2207" i="9"/>
  <c r="J2206" i="9"/>
  <c r="K2206" i="9" s="1"/>
  <c r="C2206" i="9"/>
  <c r="K2205" i="9"/>
  <c r="J2205" i="9"/>
  <c r="C2205" i="9"/>
  <c r="J2204" i="9"/>
  <c r="K2204" i="9" s="1"/>
  <c r="C2204" i="9"/>
  <c r="J2203" i="9"/>
  <c r="K2203" i="9" s="1"/>
  <c r="C2203" i="9"/>
  <c r="J2202" i="9"/>
  <c r="K2202" i="9" s="1"/>
  <c r="C2202" i="9"/>
  <c r="J2201" i="9"/>
  <c r="K2201" i="9" s="1"/>
  <c r="C2201" i="9"/>
  <c r="J2200" i="9"/>
  <c r="K2200" i="9" s="1"/>
  <c r="C2200" i="9"/>
  <c r="J2199" i="9"/>
  <c r="K2199" i="9" s="1"/>
  <c r="C2199" i="9"/>
  <c r="K2198" i="9"/>
  <c r="J2198" i="9"/>
  <c r="C2198" i="9"/>
  <c r="J2197" i="9"/>
  <c r="K2197" i="9" s="1"/>
  <c r="C2197" i="9"/>
  <c r="J2196" i="9"/>
  <c r="K2196" i="9" s="1"/>
  <c r="C2196" i="9"/>
  <c r="K2195" i="9"/>
  <c r="J2195" i="9"/>
  <c r="C2195" i="9"/>
  <c r="J2194" i="9"/>
  <c r="K2194" i="9" s="1"/>
  <c r="C2194" i="9"/>
  <c r="J2193" i="9"/>
  <c r="K2193" i="9" s="1"/>
  <c r="C2193" i="9"/>
  <c r="K2192" i="9"/>
  <c r="J2192" i="9"/>
  <c r="C2192" i="9"/>
  <c r="K2191" i="9"/>
  <c r="J2191" i="9"/>
  <c r="C2191" i="9"/>
  <c r="J2190" i="9"/>
  <c r="K2190" i="9" s="1"/>
  <c r="C2190" i="9"/>
  <c r="K2189" i="9"/>
  <c r="J2189" i="9"/>
  <c r="C2189" i="9"/>
  <c r="J2188" i="9"/>
  <c r="K2188" i="9" s="1"/>
  <c r="C2188" i="9"/>
  <c r="J2187" i="9"/>
  <c r="K2187" i="9" s="1"/>
  <c r="C2187" i="9"/>
  <c r="J2186" i="9"/>
  <c r="K2186" i="9" s="1"/>
  <c r="C2186" i="9"/>
  <c r="J2185" i="9"/>
  <c r="K2185" i="9" s="1"/>
  <c r="C2185" i="9"/>
  <c r="K2184" i="9"/>
  <c r="J2184" i="9"/>
  <c r="C2184" i="9"/>
  <c r="K2183" i="9"/>
  <c r="J2183" i="9"/>
  <c r="C2183" i="9"/>
  <c r="K2182" i="9"/>
  <c r="J2182" i="9"/>
  <c r="C2182" i="9"/>
  <c r="J2181" i="9"/>
  <c r="K2181" i="9" s="1"/>
  <c r="C2181" i="9"/>
  <c r="J2180" i="9"/>
  <c r="K2180" i="9" s="1"/>
  <c r="C2180" i="9"/>
  <c r="K2179" i="9"/>
  <c r="J2179" i="9"/>
  <c r="C2179" i="9"/>
  <c r="J2178" i="9"/>
  <c r="K2178" i="9" s="1"/>
  <c r="C2178" i="9"/>
  <c r="J2177" i="9"/>
  <c r="K2177" i="9" s="1"/>
  <c r="C2177" i="9"/>
  <c r="J2176" i="9"/>
  <c r="K2176" i="9" s="1"/>
  <c r="C2176" i="9"/>
  <c r="K2175" i="9"/>
  <c r="J2175" i="9"/>
  <c r="C2175" i="9"/>
  <c r="J2174" i="9"/>
  <c r="K2174" i="9" s="1"/>
  <c r="C2174" i="9"/>
  <c r="K2173" i="9"/>
  <c r="J2173" i="9"/>
  <c r="C2173" i="9"/>
  <c r="J2172" i="9"/>
  <c r="K2172" i="9" s="1"/>
  <c r="C2172" i="9"/>
  <c r="J2171" i="9"/>
  <c r="K2171" i="9" s="1"/>
  <c r="C2171" i="9"/>
  <c r="J2170" i="9"/>
  <c r="K2170" i="9" s="1"/>
  <c r="C2170" i="9"/>
  <c r="J2169" i="9"/>
  <c r="K2169" i="9" s="1"/>
  <c r="C2169" i="9"/>
  <c r="J2168" i="9"/>
  <c r="K2168" i="9" s="1"/>
  <c r="C2168" i="9"/>
  <c r="J2167" i="9"/>
  <c r="K2167" i="9" s="1"/>
  <c r="C2167" i="9"/>
  <c r="K2166" i="9"/>
  <c r="J2166" i="9"/>
  <c r="C2166" i="9"/>
  <c r="J2165" i="9"/>
  <c r="K2165" i="9" s="1"/>
  <c r="C2165" i="9"/>
  <c r="J2164" i="9"/>
  <c r="K2164" i="9" s="1"/>
  <c r="C2164" i="9"/>
  <c r="K2163" i="9"/>
  <c r="J2163" i="9"/>
  <c r="C2163" i="9"/>
  <c r="J2162" i="9"/>
  <c r="K2162" i="9" s="1"/>
  <c r="C2162" i="9"/>
  <c r="J2161" i="9"/>
  <c r="K2161" i="9" s="1"/>
  <c r="C2161" i="9"/>
  <c r="K2160" i="9"/>
  <c r="J2160" i="9"/>
  <c r="C2160" i="9"/>
  <c r="J2159" i="9"/>
  <c r="K2159" i="9" s="1"/>
  <c r="C2159" i="9"/>
  <c r="J2158" i="9"/>
  <c r="K2158" i="9" s="1"/>
  <c r="C2158" i="9"/>
  <c r="K2157" i="9"/>
  <c r="J2157" i="9"/>
  <c r="C2157" i="9"/>
  <c r="J2156" i="9"/>
  <c r="K2156" i="9" s="1"/>
  <c r="C2156" i="9"/>
  <c r="J2155" i="9"/>
  <c r="K2155" i="9" s="1"/>
  <c r="C2155" i="9"/>
  <c r="J2154" i="9"/>
  <c r="K2154" i="9" s="1"/>
  <c r="C2154" i="9"/>
  <c r="J2153" i="9"/>
  <c r="K2153" i="9" s="1"/>
  <c r="C2153" i="9"/>
  <c r="K2152" i="9"/>
  <c r="J2152" i="9"/>
  <c r="C2152" i="9"/>
  <c r="K2151" i="9"/>
  <c r="J2151" i="9"/>
  <c r="C2151" i="9"/>
  <c r="J2150" i="9"/>
  <c r="K2150" i="9" s="1"/>
  <c r="C2150" i="9"/>
  <c r="J2149" i="9"/>
  <c r="K2149" i="9" s="1"/>
  <c r="C2149" i="9"/>
  <c r="J2148" i="9"/>
  <c r="K2148" i="9" s="1"/>
  <c r="C2148" i="9"/>
  <c r="J2147" i="9"/>
  <c r="K2147" i="9" s="1"/>
  <c r="C2147" i="9"/>
  <c r="J2146" i="9"/>
  <c r="K2146" i="9" s="1"/>
  <c r="C2146" i="9"/>
  <c r="J2145" i="9"/>
  <c r="K2145" i="9" s="1"/>
  <c r="C2145" i="9"/>
  <c r="J2144" i="9"/>
  <c r="K2144" i="9" s="1"/>
  <c r="C2144" i="9"/>
  <c r="J2143" i="9"/>
  <c r="K2143" i="9" s="1"/>
  <c r="C2143" i="9"/>
  <c r="K2142" i="9"/>
  <c r="J2142" i="9"/>
  <c r="C2142" i="9"/>
  <c r="K2141" i="9"/>
  <c r="J2141" i="9"/>
  <c r="C2141" i="9"/>
  <c r="J2140" i="9"/>
  <c r="K2140" i="9" s="1"/>
  <c r="C2140" i="9"/>
  <c r="K2139" i="9"/>
  <c r="J2139" i="9"/>
  <c r="C2139" i="9"/>
  <c r="J2138" i="9"/>
  <c r="K2138" i="9" s="1"/>
  <c r="C2138" i="9"/>
  <c r="J2137" i="9"/>
  <c r="K2137" i="9" s="1"/>
  <c r="C2137" i="9"/>
  <c r="J2136" i="9"/>
  <c r="K2136" i="9" s="1"/>
  <c r="C2136" i="9"/>
  <c r="J2135" i="9"/>
  <c r="K2135" i="9" s="1"/>
  <c r="C2135" i="9"/>
  <c r="J2134" i="9"/>
  <c r="K2134" i="9" s="1"/>
  <c r="C2134" i="9"/>
  <c r="J2133" i="9"/>
  <c r="K2133" i="9" s="1"/>
  <c r="C2133" i="9"/>
  <c r="J2132" i="9"/>
  <c r="K2132" i="9" s="1"/>
  <c r="C2132" i="9"/>
  <c r="J2131" i="9"/>
  <c r="K2131" i="9" s="1"/>
  <c r="C2131" i="9"/>
  <c r="J2130" i="9"/>
  <c r="K2130" i="9" s="1"/>
  <c r="C2130" i="9"/>
  <c r="J2129" i="9"/>
  <c r="K2129" i="9" s="1"/>
  <c r="C2129" i="9"/>
  <c r="K2128" i="9"/>
  <c r="J2128" i="9"/>
  <c r="C2128" i="9"/>
  <c r="K2127" i="9"/>
  <c r="J2127" i="9"/>
  <c r="C2127" i="9"/>
  <c r="J2126" i="9"/>
  <c r="K2126" i="9" s="1"/>
  <c r="C2126" i="9"/>
  <c r="K2125" i="9"/>
  <c r="J2125" i="9"/>
  <c r="C2125" i="9"/>
  <c r="J2124" i="9"/>
  <c r="K2124" i="9" s="1"/>
  <c r="C2124" i="9"/>
  <c r="J2123" i="9"/>
  <c r="K2123" i="9" s="1"/>
  <c r="C2123" i="9"/>
  <c r="J2122" i="9"/>
  <c r="K2122" i="9" s="1"/>
  <c r="C2122" i="9"/>
  <c r="J2121" i="9"/>
  <c r="K2121" i="9" s="1"/>
  <c r="C2121" i="9"/>
  <c r="K2120" i="9"/>
  <c r="J2120" i="9"/>
  <c r="C2120" i="9"/>
  <c r="K2119" i="9"/>
  <c r="J2119" i="9"/>
  <c r="C2119" i="9"/>
  <c r="J2118" i="9"/>
  <c r="K2118" i="9" s="1"/>
  <c r="C2118" i="9"/>
  <c r="J2117" i="9"/>
  <c r="K2117" i="9" s="1"/>
  <c r="C2117" i="9"/>
  <c r="J2116" i="9"/>
  <c r="K2116" i="9" s="1"/>
  <c r="C2116" i="9"/>
  <c r="K2115" i="9"/>
  <c r="J2115" i="9"/>
  <c r="C2115" i="9"/>
  <c r="J2114" i="9"/>
  <c r="K2114" i="9" s="1"/>
  <c r="C2114" i="9"/>
  <c r="J2113" i="9"/>
  <c r="K2113" i="9" s="1"/>
  <c r="C2113" i="9"/>
  <c r="K2112" i="9"/>
  <c r="J2112" i="9"/>
  <c r="C2112" i="9"/>
  <c r="J2111" i="9"/>
  <c r="K2111" i="9" s="1"/>
  <c r="C2111" i="9"/>
  <c r="K2110" i="9"/>
  <c r="J2110" i="9"/>
  <c r="C2110" i="9"/>
  <c r="K2109" i="9"/>
  <c r="J2109" i="9"/>
  <c r="C2109" i="9"/>
  <c r="J2108" i="9"/>
  <c r="K2108" i="9" s="1"/>
  <c r="C2108" i="9"/>
  <c r="K2107" i="9"/>
  <c r="J2107" i="9"/>
  <c r="C2107" i="9"/>
  <c r="J2106" i="9"/>
  <c r="K2106" i="9" s="1"/>
  <c r="C2106" i="9"/>
  <c r="J2105" i="9"/>
  <c r="K2105" i="9" s="1"/>
  <c r="C2105" i="9"/>
  <c r="J2104" i="9"/>
  <c r="K2104" i="9" s="1"/>
  <c r="C2104" i="9"/>
  <c r="K2103" i="9"/>
  <c r="J2103" i="9"/>
  <c r="C2103" i="9"/>
  <c r="J2102" i="9"/>
  <c r="K2102" i="9" s="1"/>
  <c r="C2102" i="9"/>
  <c r="K2101" i="9"/>
  <c r="J2101" i="9"/>
  <c r="C2101" i="9"/>
  <c r="J2100" i="9"/>
  <c r="K2100" i="9" s="1"/>
  <c r="C2100" i="9"/>
  <c r="J2099" i="9"/>
  <c r="K2099" i="9" s="1"/>
  <c r="C2099" i="9"/>
  <c r="J2098" i="9"/>
  <c r="K2098" i="9" s="1"/>
  <c r="C2098" i="9"/>
  <c r="J2097" i="9"/>
  <c r="K2097" i="9" s="1"/>
  <c r="C2097" i="9"/>
  <c r="J2096" i="9"/>
  <c r="K2096" i="9" s="1"/>
  <c r="C2096" i="9"/>
  <c r="J2095" i="9"/>
  <c r="K2095" i="9" s="1"/>
  <c r="C2095" i="9"/>
  <c r="K2094" i="9"/>
  <c r="J2094" i="9"/>
  <c r="C2094" i="9"/>
  <c r="J2093" i="9"/>
  <c r="K2093" i="9" s="1"/>
  <c r="C2093" i="9"/>
  <c r="J2092" i="9"/>
  <c r="K2092" i="9" s="1"/>
  <c r="C2092" i="9"/>
  <c r="K2091" i="9"/>
  <c r="J2091" i="9"/>
  <c r="C2091" i="9"/>
  <c r="J2090" i="9"/>
  <c r="K2090" i="9" s="1"/>
  <c r="C2090" i="9"/>
  <c r="J2089" i="9"/>
  <c r="K2089" i="9" s="1"/>
  <c r="C2089" i="9"/>
  <c r="K2088" i="9"/>
  <c r="J2088" i="9"/>
  <c r="C2088" i="9"/>
  <c r="J2087" i="9"/>
  <c r="K2087" i="9" s="1"/>
  <c r="C2087" i="9"/>
  <c r="J2086" i="9"/>
  <c r="K2086" i="9" s="1"/>
  <c r="C2086" i="9"/>
  <c r="K2085" i="9"/>
  <c r="J2085" i="9"/>
  <c r="C2085" i="9"/>
  <c r="J2084" i="9"/>
  <c r="K2084" i="9" s="1"/>
  <c r="C2084" i="9"/>
  <c r="J2083" i="9"/>
  <c r="K2083" i="9" s="1"/>
  <c r="C2083" i="9"/>
  <c r="J2082" i="9"/>
  <c r="K2082" i="9" s="1"/>
  <c r="C2082" i="9"/>
  <c r="J2081" i="9"/>
  <c r="K2081" i="9" s="1"/>
  <c r="C2081" i="9"/>
  <c r="K2080" i="9"/>
  <c r="J2080" i="9"/>
  <c r="C2080" i="9"/>
  <c r="K2079" i="9"/>
  <c r="J2079" i="9"/>
  <c r="C2079" i="9"/>
  <c r="J2078" i="9"/>
  <c r="K2078" i="9" s="1"/>
  <c r="C2078" i="9"/>
  <c r="J2077" i="9"/>
  <c r="K2077" i="9" s="1"/>
  <c r="C2077" i="9"/>
  <c r="J2076" i="9"/>
  <c r="K2076" i="9" s="1"/>
  <c r="C2076" i="9"/>
  <c r="J2075" i="9"/>
  <c r="K2075" i="9" s="1"/>
  <c r="C2075" i="9"/>
  <c r="J2074" i="9"/>
  <c r="K2074" i="9" s="1"/>
  <c r="C2074" i="9"/>
  <c r="J2073" i="9"/>
  <c r="K2073" i="9" s="1"/>
  <c r="C2073" i="9"/>
  <c r="K2072" i="9"/>
  <c r="J2072" i="9"/>
  <c r="C2072" i="9"/>
  <c r="K2071" i="9"/>
  <c r="J2071" i="9"/>
  <c r="C2071" i="9"/>
  <c r="K2070" i="9"/>
  <c r="J2070" i="9"/>
  <c r="C2070" i="9"/>
  <c r="J2069" i="9"/>
  <c r="K2069" i="9" s="1"/>
  <c r="C2069" i="9"/>
  <c r="J2068" i="9"/>
  <c r="K2068" i="9" s="1"/>
  <c r="C2068" i="9"/>
  <c r="K2067" i="9"/>
  <c r="J2067" i="9"/>
  <c r="C2067" i="9"/>
  <c r="J2066" i="9"/>
  <c r="K2066" i="9" s="1"/>
  <c r="C2066" i="9"/>
  <c r="J2065" i="9"/>
  <c r="K2065" i="9" s="1"/>
  <c r="C2065" i="9"/>
  <c r="K2064" i="9"/>
  <c r="J2064" i="9"/>
  <c r="C2064" i="9"/>
  <c r="K2063" i="9"/>
  <c r="J2063" i="9"/>
  <c r="C2063" i="9"/>
  <c r="K2062" i="9"/>
  <c r="J2062" i="9"/>
  <c r="C2062" i="9"/>
  <c r="K2061" i="9"/>
  <c r="J2061" i="9"/>
  <c r="C2061" i="9"/>
  <c r="J2060" i="9"/>
  <c r="K2060" i="9" s="1"/>
  <c r="C2060" i="9"/>
  <c r="K2059" i="9"/>
  <c r="J2059" i="9"/>
  <c r="C2059" i="9"/>
  <c r="J2058" i="9"/>
  <c r="K2058" i="9" s="1"/>
  <c r="C2058" i="9"/>
  <c r="J2057" i="9"/>
  <c r="K2057" i="9" s="1"/>
  <c r="C2057" i="9"/>
  <c r="J2056" i="9"/>
  <c r="K2056" i="9" s="1"/>
  <c r="C2056" i="9"/>
  <c r="K2055" i="9"/>
  <c r="J2055" i="9"/>
  <c r="C2055" i="9"/>
  <c r="K2054" i="9"/>
  <c r="J2054" i="9"/>
  <c r="C2054" i="9"/>
  <c r="K2053" i="9"/>
  <c r="J2053" i="9"/>
  <c r="C2053" i="9"/>
  <c r="J2052" i="9"/>
  <c r="K2052" i="9" s="1"/>
  <c r="C2052" i="9"/>
  <c r="K2051" i="9"/>
  <c r="J2051" i="9"/>
  <c r="C2051" i="9"/>
  <c r="J2050" i="9"/>
  <c r="K2050" i="9" s="1"/>
  <c r="C2050" i="9"/>
  <c r="J2049" i="9"/>
  <c r="K2049" i="9" s="1"/>
  <c r="C2049" i="9"/>
  <c r="K2048" i="9"/>
  <c r="J2048" i="9"/>
  <c r="C2048" i="9"/>
  <c r="J2047" i="9"/>
  <c r="K2047" i="9" s="1"/>
  <c r="C2047" i="9"/>
  <c r="K2046" i="9"/>
  <c r="J2046" i="9"/>
  <c r="C2046" i="9"/>
  <c r="K2045" i="9"/>
  <c r="J2045" i="9"/>
  <c r="C2045" i="9"/>
  <c r="J2044" i="9"/>
  <c r="K2044" i="9" s="1"/>
  <c r="C2044" i="9"/>
  <c r="K2043" i="9"/>
  <c r="J2043" i="9"/>
  <c r="C2043" i="9"/>
  <c r="J2042" i="9"/>
  <c r="K2042" i="9" s="1"/>
  <c r="C2042" i="9"/>
  <c r="J2041" i="9"/>
  <c r="K2041" i="9" s="1"/>
  <c r="C2041" i="9"/>
  <c r="J2040" i="9"/>
  <c r="K2040" i="9" s="1"/>
  <c r="C2040" i="9"/>
  <c r="K2039" i="9"/>
  <c r="J2039" i="9"/>
  <c r="C2039" i="9"/>
  <c r="J2038" i="9"/>
  <c r="K2038" i="9" s="1"/>
  <c r="C2038" i="9"/>
  <c r="K2037" i="9"/>
  <c r="J2037" i="9"/>
  <c r="C2037" i="9"/>
  <c r="J2036" i="9"/>
  <c r="K2036" i="9" s="1"/>
  <c r="C2036" i="9"/>
  <c r="J2035" i="9"/>
  <c r="K2035" i="9" s="1"/>
  <c r="C2035" i="9"/>
  <c r="J2034" i="9"/>
  <c r="K2034" i="9" s="1"/>
  <c r="C2034" i="9"/>
  <c r="J2033" i="9"/>
  <c r="K2033" i="9" s="1"/>
  <c r="C2033" i="9"/>
  <c r="J2032" i="9"/>
  <c r="K2032" i="9" s="1"/>
  <c r="C2032" i="9"/>
  <c r="J2031" i="9"/>
  <c r="K2031" i="9" s="1"/>
  <c r="C2031" i="9"/>
  <c r="K2030" i="9"/>
  <c r="J2030" i="9"/>
  <c r="C2030" i="9"/>
  <c r="J2029" i="9"/>
  <c r="K2029" i="9" s="1"/>
  <c r="C2029" i="9"/>
  <c r="J2028" i="9"/>
  <c r="K2028" i="9" s="1"/>
  <c r="C2028" i="9"/>
  <c r="K2027" i="9"/>
  <c r="J2027" i="9"/>
  <c r="C2027" i="9"/>
  <c r="J2026" i="9"/>
  <c r="K2026" i="9" s="1"/>
  <c r="C2026" i="9"/>
  <c r="J2025" i="9"/>
  <c r="K2025" i="9" s="1"/>
  <c r="C2025" i="9"/>
  <c r="K2024" i="9"/>
  <c r="J2024" i="9"/>
  <c r="C2024" i="9"/>
  <c r="J2023" i="9"/>
  <c r="K2023" i="9" s="1"/>
  <c r="C2023" i="9"/>
  <c r="J2022" i="9"/>
  <c r="K2022" i="9" s="1"/>
  <c r="C2022" i="9"/>
  <c r="K2021" i="9"/>
  <c r="J2021" i="9"/>
  <c r="C2021" i="9"/>
  <c r="J2020" i="9"/>
  <c r="K2020" i="9" s="1"/>
  <c r="C2020" i="9"/>
  <c r="J2019" i="9"/>
  <c r="K2019" i="9" s="1"/>
  <c r="C2019" i="9"/>
  <c r="J2018" i="9"/>
  <c r="K2018" i="9" s="1"/>
  <c r="C2018" i="9"/>
  <c r="J2017" i="9"/>
  <c r="K2017" i="9" s="1"/>
  <c r="C2017" i="9"/>
  <c r="K2016" i="9"/>
  <c r="J2016" i="9"/>
  <c r="C2016" i="9"/>
  <c r="K2015" i="9"/>
  <c r="J2015" i="9"/>
  <c r="C2015" i="9"/>
  <c r="J2014" i="9"/>
  <c r="K2014" i="9" s="1"/>
  <c r="C2014" i="9"/>
  <c r="J2013" i="9"/>
  <c r="K2013" i="9" s="1"/>
  <c r="C2013" i="9"/>
  <c r="J2012" i="9"/>
  <c r="K2012" i="9" s="1"/>
  <c r="C2012" i="9"/>
  <c r="J2011" i="9"/>
  <c r="K2011" i="9" s="1"/>
  <c r="C2011" i="9"/>
  <c r="J2010" i="9"/>
  <c r="K2010" i="9" s="1"/>
  <c r="C2010" i="9"/>
  <c r="J2009" i="9"/>
  <c r="K2009" i="9" s="1"/>
  <c r="C2009" i="9"/>
  <c r="K2008" i="9"/>
  <c r="J2008" i="9"/>
  <c r="C2008" i="9"/>
  <c r="K2007" i="9"/>
  <c r="J2007" i="9"/>
  <c r="C2007" i="9"/>
  <c r="K2006" i="9"/>
  <c r="J2006" i="9"/>
  <c r="C2006" i="9"/>
  <c r="J2005" i="9"/>
  <c r="K2005" i="9" s="1"/>
  <c r="C2005" i="9"/>
  <c r="J2004" i="9"/>
  <c r="K2004" i="9" s="1"/>
  <c r="C2004" i="9"/>
  <c r="K2003" i="9"/>
  <c r="J2003" i="9"/>
  <c r="C2003" i="9"/>
  <c r="J2002" i="9"/>
  <c r="K2002" i="9" s="1"/>
  <c r="C2002" i="9"/>
  <c r="J2001" i="9"/>
  <c r="K2001" i="9" s="1"/>
  <c r="C2001" i="9"/>
  <c r="K2000" i="9"/>
  <c r="J2000" i="9"/>
  <c r="C2000" i="9"/>
  <c r="K1999" i="9"/>
  <c r="J1999" i="9"/>
  <c r="C1999" i="9"/>
  <c r="K1998" i="9"/>
  <c r="J1998" i="9"/>
  <c r="C1998" i="9"/>
  <c r="K1997" i="9"/>
  <c r="J1997" i="9"/>
  <c r="C1997" i="9"/>
  <c r="J1996" i="9"/>
  <c r="K1996" i="9" s="1"/>
  <c r="C1996" i="9"/>
  <c r="K1995" i="9"/>
  <c r="J1995" i="9"/>
  <c r="C1995" i="9"/>
  <c r="J1994" i="9"/>
  <c r="K1994" i="9" s="1"/>
  <c r="C1994" i="9"/>
  <c r="J1993" i="9"/>
  <c r="K1993" i="9" s="1"/>
  <c r="C1993" i="9"/>
  <c r="J1992" i="9"/>
  <c r="K1992" i="9" s="1"/>
  <c r="C1992" i="9"/>
  <c r="K1991" i="9"/>
  <c r="J1991" i="9"/>
  <c r="C1991" i="9"/>
  <c r="K1990" i="9"/>
  <c r="J1990" i="9"/>
  <c r="C1990" i="9"/>
  <c r="K1989" i="9"/>
  <c r="J1989" i="9"/>
  <c r="C1989" i="9"/>
  <c r="J1988" i="9"/>
  <c r="K1988" i="9" s="1"/>
  <c r="C1988" i="9"/>
  <c r="K1987" i="9"/>
  <c r="J1987" i="9"/>
  <c r="C1987" i="9"/>
  <c r="J1986" i="9"/>
  <c r="K1986" i="9" s="1"/>
  <c r="C1986" i="9"/>
  <c r="K1985" i="9"/>
  <c r="J1985" i="9"/>
  <c r="C1985" i="9"/>
  <c r="J1984" i="9"/>
  <c r="K1984" i="9" s="1"/>
  <c r="C1984" i="9"/>
  <c r="J1983" i="9"/>
  <c r="K1983" i="9" s="1"/>
  <c r="C1983" i="9"/>
  <c r="J1982" i="9"/>
  <c r="K1982" i="9" s="1"/>
  <c r="C1982" i="9"/>
  <c r="K1981" i="9"/>
  <c r="J1981" i="9"/>
  <c r="C1981" i="9"/>
  <c r="J1980" i="9"/>
  <c r="K1980" i="9" s="1"/>
  <c r="C1980" i="9"/>
  <c r="J1979" i="9"/>
  <c r="K1979" i="9" s="1"/>
  <c r="C1979" i="9"/>
  <c r="J1978" i="9"/>
  <c r="K1978" i="9" s="1"/>
  <c r="C1978" i="9"/>
  <c r="J1977" i="9"/>
  <c r="K1977" i="9" s="1"/>
  <c r="C1977" i="9"/>
  <c r="J1976" i="9"/>
  <c r="K1976" i="9" s="1"/>
  <c r="C1976" i="9"/>
  <c r="K1975" i="9"/>
  <c r="J1975" i="9"/>
  <c r="C1975" i="9"/>
  <c r="J1974" i="9"/>
  <c r="K1974" i="9" s="1"/>
  <c r="C1974" i="9"/>
  <c r="K1973" i="9"/>
  <c r="J1973" i="9"/>
  <c r="C1973" i="9"/>
  <c r="J1972" i="9"/>
  <c r="K1972" i="9" s="1"/>
  <c r="C1972" i="9"/>
  <c r="K1971" i="9"/>
  <c r="J1971" i="9"/>
  <c r="C1971" i="9"/>
  <c r="J1970" i="9"/>
  <c r="K1970" i="9" s="1"/>
  <c r="C1970" i="9"/>
  <c r="K1969" i="9"/>
  <c r="J1969" i="9"/>
  <c r="C1969" i="9"/>
  <c r="J1968" i="9"/>
  <c r="K1968" i="9" s="1"/>
  <c r="C1968" i="9"/>
  <c r="J1967" i="9"/>
  <c r="K1967" i="9" s="1"/>
  <c r="C1967" i="9"/>
  <c r="J1966" i="9"/>
  <c r="K1966" i="9" s="1"/>
  <c r="C1966" i="9"/>
  <c r="K1965" i="9"/>
  <c r="J1965" i="9"/>
  <c r="C1965" i="9"/>
  <c r="J1964" i="9"/>
  <c r="K1964" i="9" s="1"/>
  <c r="C1964" i="9"/>
  <c r="J1963" i="9"/>
  <c r="K1963" i="9" s="1"/>
  <c r="C1963" i="9"/>
  <c r="J1962" i="9"/>
  <c r="K1962" i="9" s="1"/>
  <c r="C1962" i="9"/>
  <c r="J1961" i="9"/>
  <c r="K1961" i="9" s="1"/>
  <c r="C1961" i="9"/>
  <c r="J1960" i="9"/>
  <c r="K1960" i="9" s="1"/>
  <c r="C1960" i="9"/>
  <c r="K1959" i="9"/>
  <c r="J1959" i="9"/>
  <c r="C1959" i="9"/>
  <c r="J1958" i="9"/>
  <c r="K1958" i="9" s="1"/>
  <c r="C1958" i="9"/>
  <c r="K1957" i="9"/>
  <c r="J1957" i="9"/>
  <c r="C1957" i="9"/>
  <c r="J1956" i="9"/>
  <c r="K1956" i="9" s="1"/>
  <c r="C1956" i="9"/>
  <c r="K1955" i="9"/>
  <c r="J1955" i="9"/>
  <c r="C1955" i="9"/>
  <c r="J1954" i="9"/>
  <c r="K1954" i="9" s="1"/>
  <c r="C1954" i="9"/>
  <c r="K1953" i="9"/>
  <c r="J1953" i="9"/>
  <c r="C1953" i="9"/>
  <c r="J1952" i="9"/>
  <c r="K1952" i="9" s="1"/>
  <c r="C1952" i="9"/>
  <c r="J1951" i="9"/>
  <c r="K1951" i="9" s="1"/>
  <c r="C1951" i="9"/>
  <c r="J1950" i="9"/>
  <c r="K1950" i="9" s="1"/>
  <c r="C1950" i="9"/>
  <c r="K1949" i="9"/>
  <c r="J1949" i="9"/>
  <c r="C1949" i="9"/>
  <c r="J1948" i="9"/>
  <c r="K1948" i="9" s="1"/>
  <c r="C1948" i="9"/>
  <c r="J1947" i="9"/>
  <c r="K1947" i="9" s="1"/>
  <c r="C1947" i="9"/>
  <c r="J1946" i="9"/>
  <c r="K1946" i="9" s="1"/>
  <c r="C1946" i="9"/>
  <c r="J1945" i="9"/>
  <c r="K1945" i="9" s="1"/>
  <c r="C1945" i="9"/>
  <c r="J1944" i="9"/>
  <c r="K1944" i="9" s="1"/>
  <c r="C1944" i="9"/>
  <c r="K1943" i="9"/>
  <c r="J1943" i="9"/>
  <c r="C1943" i="9"/>
  <c r="J1942" i="9"/>
  <c r="K1942" i="9" s="1"/>
  <c r="C1942" i="9"/>
  <c r="K1941" i="9"/>
  <c r="J1941" i="9"/>
  <c r="C1941" i="9"/>
  <c r="J1940" i="9"/>
  <c r="K1940" i="9" s="1"/>
  <c r="C1940" i="9"/>
  <c r="K1939" i="9"/>
  <c r="J1939" i="9"/>
  <c r="C1939" i="9"/>
  <c r="J1938" i="9"/>
  <c r="K1938" i="9" s="1"/>
  <c r="C1938" i="9"/>
  <c r="K1937" i="9"/>
  <c r="J1937" i="9"/>
  <c r="C1937" i="9"/>
  <c r="J1936" i="9"/>
  <c r="K1936" i="9" s="1"/>
  <c r="C1936" i="9"/>
  <c r="J1935" i="9"/>
  <c r="K1935" i="9" s="1"/>
  <c r="C1935" i="9"/>
  <c r="J1934" i="9"/>
  <c r="K1934" i="9" s="1"/>
  <c r="C1934" i="9"/>
  <c r="K1933" i="9"/>
  <c r="J1933" i="9"/>
  <c r="C1933" i="9"/>
  <c r="J1932" i="9"/>
  <c r="K1932" i="9" s="1"/>
  <c r="C1932" i="9"/>
  <c r="J1931" i="9"/>
  <c r="K1931" i="9" s="1"/>
  <c r="C1931" i="9"/>
  <c r="J1930" i="9"/>
  <c r="K1930" i="9" s="1"/>
  <c r="C1930" i="9"/>
  <c r="J1929" i="9"/>
  <c r="K1929" i="9" s="1"/>
  <c r="C1929" i="9"/>
  <c r="J1928" i="9"/>
  <c r="K1928" i="9" s="1"/>
  <c r="C1928" i="9"/>
  <c r="K1927" i="9"/>
  <c r="J1927" i="9"/>
  <c r="C1927" i="9"/>
  <c r="J1926" i="9"/>
  <c r="K1926" i="9" s="1"/>
  <c r="C1926" i="9"/>
  <c r="K1925" i="9"/>
  <c r="J1925" i="9"/>
  <c r="C1925" i="9"/>
  <c r="J1924" i="9"/>
  <c r="K1924" i="9" s="1"/>
  <c r="C1924" i="9"/>
  <c r="K1923" i="9"/>
  <c r="J1923" i="9"/>
  <c r="C1923" i="9"/>
  <c r="J1922" i="9"/>
  <c r="K1922" i="9" s="1"/>
  <c r="C1922" i="9"/>
  <c r="K1921" i="9"/>
  <c r="J1921" i="9"/>
  <c r="C1921" i="9"/>
  <c r="J1920" i="9"/>
  <c r="K1920" i="9" s="1"/>
  <c r="C1920" i="9"/>
  <c r="J1919" i="9"/>
  <c r="K1919" i="9" s="1"/>
  <c r="C1919" i="9"/>
  <c r="J1918" i="9"/>
  <c r="K1918" i="9" s="1"/>
  <c r="C1918" i="9"/>
  <c r="K1917" i="9"/>
  <c r="J1917" i="9"/>
  <c r="C1917" i="9"/>
  <c r="J1916" i="9"/>
  <c r="K1916" i="9" s="1"/>
  <c r="C1916" i="9"/>
  <c r="J1915" i="9"/>
  <c r="K1915" i="9" s="1"/>
  <c r="C1915" i="9"/>
  <c r="J1914" i="9"/>
  <c r="K1914" i="9" s="1"/>
  <c r="C1914" i="9"/>
  <c r="J1913" i="9"/>
  <c r="K1913" i="9" s="1"/>
  <c r="C1913" i="9"/>
  <c r="J1912" i="9"/>
  <c r="K1912" i="9" s="1"/>
  <c r="C1912" i="9"/>
  <c r="K1911" i="9"/>
  <c r="J1911" i="9"/>
  <c r="C1911" i="9"/>
  <c r="J1910" i="9"/>
  <c r="K1910" i="9" s="1"/>
  <c r="C1910" i="9"/>
  <c r="K1909" i="9"/>
  <c r="J1909" i="9"/>
  <c r="C1909" i="9"/>
  <c r="J1908" i="9"/>
  <c r="K1908" i="9" s="1"/>
  <c r="C1908" i="9"/>
  <c r="K1907" i="9"/>
  <c r="J1907" i="9"/>
  <c r="C1907" i="9"/>
  <c r="J1906" i="9"/>
  <c r="K1906" i="9" s="1"/>
  <c r="C1906" i="9"/>
  <c r="K1905" i="9"/>
  <c r="J1905" i="9"/>
  <c r="C1905" i="9"/>
  <c r="J1904" i="9"/>
  <c r="K1904" i="9" s="1"/>
  <c r="C1904" i="9"/>
  <c r="J1903" i="9"/>
  <c r="K1903" i="9" s="1"/>
  <c r="C1903" i="9"/>
  <c r="J1902" i="9"/>
  <c r="K1902" i="9" s="1"/>
  <c r="C1902" i="9"/>
  <c r="K1901" i="9"/>
  <c r="J1901" i="9"/>
  <c r="C1901" i="9"/>
  <c r="J1900" i="9"/>
  <c r="K1900" i="9" s="1"/>
  <c r="C1900" i="9"/>
  <c r="J1899" i="9"/>
  <c r="K1899" i="9" s="1"/>
  <c r="C1899" i="9"/>
  <c r="J1898" i="9"/>
  <c r="K1898" i="9" s="1"/>
  <c r="C1898" i="9"/>
  <c r="J1897" i="9"/>
  <c r="K1897" i="9" s="1"/>
  <c r="C1897" i="9"/>
  <c r="J1896" i="9"/>
  <c r="K1896" i="9" s="1"/>
  <c r="C1896" i="9"/>
  <c r="K1895" i="9"/>
  <c r="J1895" i="9"/>
  <c r="C1895" i="9"/>
  <c r="J1894" i="9"/>
  <c r="K1894" i="9" s="1"/>
  <c r="C1894" i="9"/>
  <c r="K1893" i="9"/>
  <c r="J1893" i="9"/>
  <c r="C1893" i="9"/>
  <c r="J1892" i="9"/>
  <c r="K1892" i="9" s="1"/>
  <c r="C1892" i="9"/>
  <c r="K1891" i="9"/>
  <c r="J1891" i="9"/>
  <c r="C1891" i="9"/>
  <c r="J1890" i="9"/>
  <c r="K1890" i="9" s="1"/>
  <c r="C1890" i="9"/>
  <c r="K1889" i="9"/>
  <c r="J1889" i="9"/>
  <c r="C1889" i="9"/>
  <c r="J1888" i="9"/>
  <c r="K1888" i="9" s="1"/>
  <c r="C1888" i="9"/>
  <c r="J1887" i="9"/>
  <c r="K1887" i="9" s="1"/>
  <c r="C1887" i="9"/>
  <c r="J1886" i="9"/>
  <c r="K1886" i="9" s="1"/>
  <c r="C1886" i="9"/>
  <c r="K1885" i="9"/>
  <c r="J1885" i="9"/>
  <c r="C1885" i="9"/>
  <c r="J1884" i="9"/>
  <c r="K1884" i="9" s="1"/>
  <c r="C1884" i="9"/>
  <c r="J1883" i="9"/>
  <c r="K1883" i="9" s="1"/>
  <c r="C1883" i="9"/>
  <c r="J1882" i="9"/>
  <c r="K1882" i="9" s="1"/>
  <c r="C1882" i="9"/>
  <c r="J1881" i="9"/>
  <c r="K1881" i="9" s="1"/>
  <c r="C1881" i="9"/>
  <c r="J1880" i="9"/>
  <c r="K1880" i="9" s="1"/>
  <c r="C1880" i="9"/>
  <c r="K1879" i="9"/>
  <c r="J1879" i="9"/>
  <c r="C1879" i="9"/>
  <c r="J1878" i="9"/>
  <c r="K1878" i="9" s="1"/>
  <c r="C1878" i="9"/>
  <c r="K1877" i="9"/>
  <c r="J1877" i="9"/>
  <c r="C1877" i="9"/>
  <c r="J1876" i="9"/>
  <c r="K1876" i="9" s="1"/>
  <c r="C1876" i="9"/>
  <c r="K1875" i="9"/>
  <c r="J1875" i="9"/>
  <c r="C1875" i="9"/>
  <c r="J1874" i="9"/>
  <c r="K1874" i="9" s="1"/>
  <c r="C1874" i="9"/>
  <c r="K1873" i="9"/>
  <c r="J1873" i="9"/>
  <c r="C1873" i="9"/>
  <c r="J1872" i="9"/>
  <c r="K1872" i="9" s="1"/>
  <c r="C1872" i="9"/>
  <c r="J1871" i="9"/>
  <c r="K1871" i="9" s="1"/>
  <c r="C1871" i="9"/>
  <c r="J1870" i="9"/>
  <c r="K1870" i="9" s="1"/>
  <c r="C1870" i="9"/>
  <c r="K1869" i="9"/>
  <c r="J1869" i="9"/>
  <c r="C1869" i="9"/>
  <c r="J1868" i="9"/>
  <c r="K1868" i="9" s="1"/>
  <c r="C1868" i="9"/>
  <c r="J1867" i="9"/>
  <c r="K1867" i="9" s="1"/>
  <c r="C1867" i="9"/>
  <c r="J1866" i="9"/>
  <c r="K1866" i="9" s="1"/>
  <c r="C1866" i="9"/>
  <c r="J1865" i="9"/>
  <c r="K1865" i="9" s="1"/>
  <c r="C1865" i="9"/>
  <c r="J1864" i="9"/>
  <c r="K1864" i="9" s="1"/>
  <c r="C1864" i="9"/>
  <c r="K1863" i="9"/>
  <c r="J1863" i="9"/>
  <c r="C1863" i="9"/>
  <c r="J1862" i="9"/>
  <c r="K1862" i="9" s="1"/>
  <c r="C1862" i="9"/>
  <c r="K1861" i="9"/>
  <c r="J1861" i="9"/>
  <c r="C1861" i="9"/>
  <c r="J1860" i="9"/>
  <c r="K1860" i="9" s="1"/>
  <c r="C1860" i="9"/>
  <c r="K1859" i="9"/>
  <c r="J1859" i="9"/>
  <c r="C1859" i="9"/>
  <c r="J1858" i="9"/>
  <c r="K1858" i="9" s="1"/>
  <c r="C1858" i="9"/>
  <c r="K1857" i="9"/>
  <c r="J1857" i="9"/>
  <c r="C1857" i="9"/>
  <c r="J1856" i="9"/>
  <c r="K1856" i="9" s="1"/>
  <c r="C1856" i="9"/>
  <c r="J1855" i="9"/>
  <c r="K1855" i="9" s="1"/>
  <c r="C1855" i="9"/>
  <c r="J1854" i="9"/>
  <c r="K1854" i="9" s="1"/>
  <c r="C1854" i="9"/>
  <c r="K1853" i="9"/>
  <c r="J1853" i="9"/>
  <c r="C1853" i="9"/>
  <c r="J1852" i="9"/>
  <c r="K1852" i="9" s="1"/>
  <c r="C1852" i="9"/>
  <c r="J1851" i="9"/>
  <c r="K1851" i="9" s="1"/>
  <c r="C1851" i="9"/>
  <c r="J1850" i="9"/>
  <c r="K1850" i="9" s="1"/>
  <c r="C1850" i="9"/>
  <c r="J1849" i="9"/>
  <c r="K1849" i="9" s="1"/>
  <c r="C1849" i="9"/>
  <c r="J1848" i="9"/>
  <c r="K1848" i="9" s="1"/>
  <c r="C1848" i="9"/>
  <c r="K1847" i="9"/>
  <c r="J1847" i="9"/>
  <c r="C1847" i="9"/>
  <c r="J1846" i="9"/>
  <c r="K1846" i="9" s="1"/>
  <c r="C1846" i="9"/>
  <c r="K1845" i="9"/>
  <c r="J1845" i="9"/>
  <c r="C1845" i="9"/>
  <c r="J1844" i="9"/>
  <c r="K1844" i="9" s="1"/>
  <c r="C1844" i="9"/>
  <c r="K1843" i="9"/>
  <c r="J1843" i="9"/>
  <c r="C1843" i="9"/>
  <c r="J1842" i="9"/>
  <c r="K1842" i="9" s="1"/>
  <c r="C1842" i="9"/>
  <c r="K1841" i="9"/>
  <c r="J1841" i="9"/>
  <c r="C1841" i="9"/>
  <c r="J1840" i="9"/>
  <c r="K1840" i="9" s="1"/>
  <c r="C1840" i="9"/>
  <c r="J1839" i="9"/>
  <c r="K1839" i="9" s="1"/>
  <c r="C1839" i="9"/>
  <c r="J1838" i="9"/>
  <c r="K1838" i="9" s="1"/>
  <c r="C1838" i="9"/>
  <c r="K1837" i="9"/>
  <c r="J1837" i="9"/>
  <c r="C1837" i="9"/>
  <c r="J1836" i="9"/>
  <c r="K1836" i="9" s="1"/>
  <c r="C1836" i="9"/>
  <c r="J1835" i="9"/>
  <c r="K1835" i="9" s="1"/>
  <c r="C1835" i="9"/>
  <c r="J1834" i="9"/>
  <c r="K1834" i="9" s="1"/>
  <c r="C1834" i="9"/>
  <c r="J1833" i="9"/>
  <c r="K1833" i="9" s="1"/>
  <c r="C1833" i="9"/>
  <c r="J1832" i="9"/>
  <c r="K1832" i="9" s="1"/>
  <c r="C1832" i="9"/>
  <c r="K1831" i="9"/>
  <c r="J1831" i="9"/>
  <c r="C1831" i="9"/>
  <c r="J1830" i="9"/>
  <c r="K1830" i="9" s="1"/>
  <c r="C1830" i="9"/>
  <c r="K1829" i="9"/>
  <c r="J1829" i="9"/>
  <c r="C1829" i="9"/>
  <c r="J1828" i="9"/>
  <c r="K1828" i="9" s="1"/>
  <c r="C1828" i="9"/>
  <c r="K1827" i="9"/>
  <c r="J1827" i="9"/>
  <c r="C1827" i="9"/>
  <c r="J1826" i="9"/>
  <c r="K1826" i="9" s="1"/>
  <c r="C1826" i="9"/>
  <c r="K1825" i="9"/>
  <c r="J1825" i="9"/>
  <c r="C1825" i="9"/>
  <c r="J1824" i="9"/>
  <c r="K1824" i="9" s="1"/>
  <c r="C1824" i="9"/>
  <c r="J1823" i="9"/>
  <c r="K1823" i="9" s="1"/>
  <c r="C1823" i="9"/>
  <c r="J1822" i="9"/>
  <c r="K1822" i="9" s="1"/>
  <c r="C1822" i="9"/>
  <c r="K1821" i="9"/>
  <c r="J1821" i="9"/>
  <c r="C1821" i="9"/>
  <c r="J1820" i="9"/>
  <c r="K1820" i="9" s="1"/>
  <c r="C1820" i="9"/>
  <c r="J1819" i="9"/>
  <c r="K1819" i="9" s="1"/>
  <c r="C1819" i="9"/>
  <c r="J1818" i="9"/>
  <c r="K1818" i="9" s="1"/>
  <c r="C1818" i="9"/>
  <c r="J1817" i="9"/>
  <c r="K1817" i="9" s="1"/>
  <c r="C1817" i="9"/>
  <c r="J1816" i="9"/>
  <c r="K1816" i="9" s="1"/>
  <c r="C1816" i="9"/>
  <c r="K1815" i="9"/>
  <c r="J1815" i="9"/>
  <c r="C1815" i="9"/>
  <c r="J1814" i="9"/>
  <c r="K1814" i="9" s="1"/>
  <c r="C1814" i="9"/>
  <c r="K1813" i="9"/>
  <c r="J1813" i="9"/>
  <c r="C1813" i="9"/>
  <c r="J1812" i="9"/>
  <c r="K1812" i="9" s="1"/>
  <c r="C1812" i="9"/>
  <c r="K1811" i="9"/>
  <c r="J1811" i="9"/>
  <c r="C1811" i="9"/>
  <c r="J1810" i="9"/>
  <c r="K1810" i="9" s="1"/>
  <c r="C1810" i="9"/>
  <c r="K1809" i="9"/>
  <c r="J1809" i="9"/>
  <c r="C1809" i="9"/>
  <c r="J1808" i="9"/>
  <c r="K1808" i="9" s="1"/>
  <c r="C1808" i="9"/>
  <c r="J1807" i="9"/>
  <c r="K1807" i="9" s="1"/>
  <c r="C1807" i="9"/>
  <c r="J1806" i="9"/>
  <c r="K1806" i="9" s="1"/>
  <c r="C1806" i="9"/>
  <c r="K1805" i="9"/>
  <c r="J1805" i="9"/>
  <c r="C1805" i="9"/>
  <c r="J1804" i="9"/>
  <c r="K1804" i="9" s="1"/>
  <c r="C1804" i="9"/>
  <c r="J1803" i="9"/>
  <c r="K1803" i="9" s="1"/>
  <c r="C1803" i="9"/>
  <c r="J1802" i="9"/>
  <c r="K1802" i="9" s="1"/>
  <c r="C1802" i="9"/>
  <c r="J1801" i="9"/>
  <c r="K1801" i="9" s="1"/>
  <c r="C1801" i="9"/>
  <c r="J1800" i="9"/>
  <c r="K1800" i="9" s="1"/>
  <c r="C1800" i="9"/>
  <c r="K1799" i="9"/>
  <c r="J1799" i="9"/>
  <c r="C1799" i="9"/>
  <c r="J1798" i="9"/>
  <c r="K1798" i="9" s="1"/>
  <c r="C1798" i="9"/>
  <c r="K1797" i="9"/>
  <c r="J1797" i="9"/>
  <c r="C1797" i="9"/>
  <c r="J1796" i="9"/>
  <c r="K1796" i="9" s="1"/>
  <c r="C1796" i="9"/>
  <c r="K1795" i="9"/>
  <c r="J1795" i="9"/>
  <c r="C1795" i="9"/>
  <c r="J1794" i="9"/>
  <c r="K1794" i="9" s="1"/>
  <c r="C1794" i="9"/>
  <c r="K1793" i="9"/>
  <c r="J1793" i="9"/>
  <c r="C1793" i="9"/>
  <c r="J1792" i="9"/>
  <c r="K1792" i="9" s="1"/>
  <c r="C1792" i="9"/>
  <c r="J1791" i="9"/>
  <c r="K1791" i="9" s="1"/>
  <c r="C1791" i="9"/>
  <c r="J1790" i="9"/>
  <c r="K1790" i="9" s="1"/>
  <c r="C1790" i="9"/>
  <c r="K1789" i="9"/>
  <c r="J1789" i="9"/>
  <c r="C1789" i="9"/>
  <c r="J1788" i="9"/>
  <c r="K1788" i="9" s="1"/>
  <c r="C1788" i="9"/>
  <c r="J1787" i="9"/>
  <c r="K1787" i="9" s="1"/>
  <c r="C1787" i="9"/>
  <c r="J1786" i="9"/>
  <c r="K1786" i="9" s="1"/>
  <c r="C1786" i="9"/>
  <c r="J1785" i="9"/>
  <c r="K1785" i="9" s="1"/>
  <c r="C1785" i="9"/>
  <c r="J1784" i="9"/>
  <c r="K1784" i="9" s="1"/>
  <c r="C1784" i="9"/>
  <c r="K1783" i="9"/>
  <c r="J1783" i="9"/>
  <c r="C1783" i="9"/>
  <c r="J1782" i="9"/>
  <c r="K1782" i="9" s="1"/>
  <c r="C1782" i="9"/>
  <c r="K1781" i="9"/>
  <c r="J1781" i="9"/>
  <c r="C1781" i="9"/>
  <c r="J1780" i="9"/>
  <c r="K1780" i="9" s="1"/>
  <c r="C1780" i="9"/>
  <c r="K1779" i="9"/>
  <c r="J1779" i="9"/>
  <c r="C1779" i="9"/>
  <c r="J1778" i="9"/>
  <c r="K1778" i="9" s="1"/>
  <c r="C1778" i="9"/>
  <c r="K1777" i="9"/>
  <c r="J1777" i="9"/>
  <c r="C1777" i="9"/>
  <c r="J1776" i="9"/>
  <c r="K1776" i="9" s="1"/>
  <c r="C1776" i="9"/>
  <c r="J1775" i="9"/>
  <c r="K1775" i="9" s="1"/>
  <c r="C1775" i="9"/>
  <c r="J1774" i="9"/>
  <c r="K1774" i="9" s="1"/>
  <c r="C1774" i="9"/>
  <c r="K1773" i="9"/>
  <c r="J1773" i="9"/>
  <c r="C1773" i="9"/>
  <c r="J1772" i="9"/>
  <c r="K1772" i="9" s="1"/>
  <c r="C1772" i="9"/>
  <c r="J1771" i="9"/>
  <c r="K1771" i="9" s="1"/>
  <c r="C1771" i="9"/>
  <c r="J1770" i="9"/>
  <c r="K1770" i="9" s="1"/>
  <c r="C1770" i="9"/>
  <c r="J1769" i="9"/>
  <c r="K1769" i="9" s="1"/>
  <c r="C1769" i="9"/>
  <c r="J1768" i="9"/>
  <c r="K1768" i="9" s="1"/>
  <c r="C1768" i="9"/>
  <c r="K1767" i="9"/>
  <c r="J1767" i="9"/>
  <c r="C1767" i="9"/>
  <c r="J1766" i="9"/>
  <c r="K1766" i="9" s="1"/>
  <c r="C1766" i="9"/>
  <c r="K1765" i="9"/>
  <c r="J1765" i="9"/>
  <c r="C1765" i="9"/>
  <c r="J1764" i="9"/>
  <c r="K1764" i="9" s="1"/>
  <c r="C1764" i="9"/>
  <c r="K1763" i="9"/>
  <c r="J1763" i="9"/>
  <c r="C1763" i="9"/>
  <c r="J1762" i="9"/>
  <c r="K1762" i="9" s="1"/>
  <c r="C1762" i="9"/>
  <c r="K1761" i="9"/>
  <c r="J1761" i="9"/>
  <c r="C1761" i="9"/>
  <c r="J1760" i="9"/>
  <c r="K1760" i="9" s="1"/>
  <c r="C1760" i="9"/>
  <c r="J1759" i="9"/>
  <c r="K1759" i="9" s="1"/>
  <c r="C1759" i="9"/>
  <c r="J1758" i="9"/>
  <c r="K1758" i="9" s="1"/>
  <c r="C1758" i="9"/>
  <c r="K1757" i="9"/>
  <c r="J1757" i="9"/>
  <c r="C1757" i="9"/>
  <c r="J1756" i="9"/>
  <c r="K1756" i="9" s="1"/>
  <c r="C1756" i="9"/>
  <c r="J1755" i="9"/>
  <c r="K1755" i="9" s="1"/>
  <c r="C1755" i="9"/>
  <c r="J1754" i="9"/>
  <c r="K1754" i="9" s="1"/>
  <c r="C1754" i="9"/>
  <c r="J1753" i="9"/>
  <c r="K1753" i="9" s="1"/>
  <c r="C1753" i="9"/>
  <c r="J1752" i="9"/>
  <c r="K1752" i="9" s="1"/>
  <c r="C1752" i="9"/>
  <c r="K1751" i="9"/>
  <c r="J1751" i="9"/>
  <c r="C1751" i="9"/>
  <c r="J1750" i="9"/>
  <c r="K1750" i="9" s="1"/>
  <c r="C1750" i="9"/>
  <c r="K1749" i="9"/>
  <c r="J1749" i="9"/>
  <c r="C1749" i="9"/>
  <c r="J1748" i="9"/>
  <c r="K1748" i="9" s="1"/>
  <c r="C1748" i="9"/>
  <c r="K1747" i="9"/>
  <c r="J1747" i="9"/>
  <c r="C1747" i="9"/>
  <c r="J1746" i="9"/>
  <c r="K1746" i="9" s="1"/>
  <c r="C1746" i="9"/>
  <c r="K1745" i="9"/>
  <c r="J1745" i="9"/>
  <c r="C1745" i="9"/>
  <c r="J1744" i="9"/>
  <c r="K1744" i="9" s="1"/>
  <c r="C1744" i="9"/>
  <c r="J1743" i="9"/>
  <c r="K1743" i="9" s="1"/>
  <c r="C1743" i="9"/>
  <c r="J1742" i="9"/>
  <c r="K1742" i="9" s="1"/>
  <c r="C1742" i="9"/>
  <c r="K1741" i="9"/>
  <c r="J1741" i="9"/>
  <c r="C1741" i="9"/>
  <c r="J1740" i="9"/>
  <c r="K1740" i="9" s="1"/>
  <c r="C1740" i="9"/>
  <c r="J1739" i="9"/>
  <c r="K1739" i="9" s="1"/>
  <c r="C1739" i="9"/>
  <c r="J1738" i="9"/>
  <c r="K1738" i="9" s="1"/>
  <c r="C1738" i="9"/>
  <c r="J1737" i="9"/>
  <c r="K1737" i="9" s="1"/>
  <c r="C1737" i="9"/>
  <c r="J1736" i="9"/>
  <c r="K1736" i="9" s="1"/>
  <c r="C1736" i="9"/>
  <c r="K1735" i="9"/>
  <c r="J1735" i="9"/>
  <c r="C1735" i="9"/>
  <c r="J1734" i="9"/>
  <c r="K1734" i="9" s="1"/>
  <c r="C1734" i="9"/>
  <c r="K1733" i="9"/>
  <c r="J1733" i="9"/>
  <c r="C1733" i="9"/>
  <c r="J1732" i="9"/>
  <c r="K1732" i="9" s="1"/>
  <c r="C1732" i="9"/>
  <c r="K1731" i="9"/>
  <c r="J1731" i="9"/>
  <c r="C1731" i="9"/>
  <c r="J1730" i="9"/>
  <c r="K1730" i="9" s="1"/>
  <c r="C1730" i="9"/>
  <c r="K1729" i="9"/>
  <c r="J1729" i="9"/>
  <c r="C1729" i="9"/>
  <c r="J1728" i="9"/>
  <c r="K1728" i="9" s="1"/>
  <c r="C1728" i="9"/>
  <c r="J1727" i="9"/>
  <c r="K1727" i="9" s="1"/>
  <c r="C1727" i="9"/>
  <c r="J1726" i="9"/>
  <c r="K1726" i="9" s="1"/>
  <c r="C1726" i="9"/>
  <c r="K1725" i="9"/>
  <c r="J1725" i="9"/>
  <c r="C1725" i="9"/>
  <c r="J1724" i="9"/>
  <c r="K1724" i="9" s="1"/>
  <c r="C1724" i="9"/>
  <c r="J1723" i="9"/>
  <c r="K1723" i="9" s="1"/>
  <c r="C1723" i="9"/>
  <c r="J1722" i="9"/>
  <c r="K1722" i="9" s="1"/>
  <c r="C1722" i="9"/>
  <c r="J1721" i="9"/>
  <c r="K1721" i="9" s="1"/>
  <c r="C1721" i="9"/>
  <c r="J1720" i="9"/>
  <c r="K1720" i="9" s="1"/>
  <c r="C1720" i="9"/>
  <c r="K1719" i="9"/>
  <c r="J1719" i="9"/>
  <c r="C1719" i="9"/>
  <c r="J1718" i="9"/>
  <c r="K1718" i="9" s="1"/>
  <c r="C1718" i="9"/>
  <c r="K1717" i="9"/>
  <c r="J1717" i="9"/>
  <c r="C1717" i="9"/>
  <c r="J1716" i="9"/>
  <c r="K1716" i="9" s="1"/>
  <c r="C1716" i="9"/>
  <c r="K1715" i="9"/>
  <c r="J1715" i="9"/>
  <c r="C1715" i="9"/>
  <c r="J1714" i="9"/>
  <c r="K1714" i="9" s="1"/>
  <c r="C1714" i="9"/>
  <c r="K1713" i="9"/>
  <c r="J1713" i="9"/>
  <c r="C1713" i="9"/>
  <c r="J1712" i="9"/>
  <c r="K1712" i="9" s="1"/>
  <c r="C1712" i="9"/>
  <c r="J1711" i="9"/>
  <c r="K1711" i="9" s="1"/>
  <c r="C1711" i="9"/>
  <c r="J1710" i="9"/>
  <c r="K1710" i="9" s="1"/>
  <c r="C1710" i="9"/>
  <c r="K1709" i="9"/>
  <c r="J1709" i="9"/>
  <c r="C1709" i="9"/>
  <c r="J1708" i="9"/>
  <c r="K1708" i="9" s="1"/>
  <c r="C1708" i="9"/>
  <c r="J1707" i="9"/>
  <c r="K1707" i="9" s="1"/>
  <c r="C1707" i="9"/>
  <c r="J1706" i="9"/>
  <c r="K1706" i="9" s="1"/>
  <c r="C1706" i="9"/>
  <c r="J1705" i="9"/>
  <c r="K1705" i="9" s="1"/>
  <c r="C1705" i="9"/>
  <c r="J1704" i="9"/>
  <c r="K1704" i="9" s="1"/>
  <c r="C1704" i="9"/>
  <c r="K1703" i="9"/>
  <c r="J1703" i="9"/>
  <c r="C1703" i="9"/>
  <c r="J1702" i="9"/>
  <c r="K1702" i="9" s="1"/>
  <c r="C1702" i="9"/>
  <c r="K1701" i="9"/>
  <c r="J1701" i="9"/>
  <c r="C1701" i="9"/>
  <c r="J1700" i="9"/>
  <c r="K1700" i="9" s="1"/>
  <c r="C1700" i="9"/>
  <c r="K1699" i="9"/>
  <c r="J1699" i="9"/>
  <c r="C1699" i="9"/>
  <c r="J1698" i="9"/>
  <c r="K1698" i="9" s="1"/>
  <c r="C1698" i="9"/>
  <c r="K1697" i="9"/>
  <c r="J1697" i="9"/>
  <c r="C1697" i="9"/>
  <c r="J1696" i="9"/>
  <c r="K1696" i="9" s="1"/>
  <c r="C1696" i="9"/>
  <c r="J1695" i="9"/>
  <c r="K1695" i="9" s="1"/>
  <c r="C1695" i="9"/>
  <c r="J1694" i="9"/>
  <c r="K1694" i="9" s="1"/>
  <c r="C1694" i="9"/>
  <c r="K1693" i="9"/>
  <c r="J1693" i="9"/>
  <c r="C1693" i="9"/>
  <c r="J1692" i="9"/>
  <c r="K1692" i="9" s="1"/>
  <c r="C1692" i="9"/>
  <c r="J1691" i="9"/>
  <c r="K1691" i="9" s="1"/>
  <c r="C1691" i="9"/>
  <c r="J1690" i="9"/>
  <c r="K1690" i="9" s="1"/>
  <c r="C1690" i="9"/>
  <c r="J1689" i="9"/>
  <c r="K1689" i="9" s="1"/>
  <c r="C1689" i="9"/>
  <c r="J1688" i="9"/>
  <c r="K1688" i="9" s="1"/>
  <c r="C1688" i="9"/>
  <c r="K1687" i="9"/>
  <c r="J1687" i="9"/>
  <c r="C1687" i="9"/>
  <c r="J1686" i="9"/>
  <c r="K1686" i="9" s="1"/>
  <c r="C1686" i="9"/>
  <c r="K1685" i="9"/>
  <c r="J1685" i="9"/>
  <c r="C1685" i="9"/>
  <c r="J1684" i="9"/>
  <c r="K1684" i="9" s="1"/>
  <c r="C1684" i="9"/>
  <c r="K1683" i="9"/>
  <c r="J1683" i="9"/>
  <c r="C1683" i="9"/>
  <c r="J1682" i="9"/>
  <c r="K1682" i="9" s="1"/>
  <c r="C1682" i="9"/>
  <c r="K1681" i="9"/>
  <c r="J1681" i="9"/>
  <c r="C1681" i="9"/>
  <c r="J1680" i="9"/>
  <c r="K1680" i="9" s="1"/>
  <c r="C1680" i="9"/>
  <c r="J1679" i="9"/>
  <c r="K1679" i="9" s="1"/>
  <c r="C1679" i="9"/>
  <c r="J1678" i="9"/>
  <c r="K1678" i="9" s="1"/>
  <c r="C1678" i="9"/>
  <c r="K1677" i="9"/>
  <c r="J1677" i="9"/>
  <c r="C1677" i="9"/>
  <c r="J1676" i="9"/>
  <c r="K1676" i="9" s="1"/>
  <c r="C1676" i="9"/>
  <c r="J1675" i="9"/>
  <c r="K1675" i="9" s="1"/>
  <c r="C1675" i="9"/>
  <c r="J1674" i="9"/>
  <c r="K1674" i="9" s="1"/>
  <c r="C1674" i="9"/>
  <c r="J1673" i="9"/>
  <c r="K1673" i="9" s="1"/>
  <c r="C1673" i="9"/>
  <c r="J1672" i="9"/>
  <c r="K1672" i="9" s="1"/>
  <c r="C1672" i="9"/>
  <c r="K1671" i="9"/>
  <c r="J1671" i="9"/>
  <c r="C1671" i="9"/>
  <c r="J1670" i="9"/>
  <c r="K1670" i="9" s="1"/>
  <c r="C1670" i="9"/>
  <c r="K1669" i="9"/>
  <c r="J1669" i="9"/>
  <c r="C1669" i="9"/>
  <c r="J1668" i="9"/>
  <c r="K1668" i="9" s="1"/>
  <c r="C1668" i="9"/>
  <c r="K1667" i="9"/>
  <c r="J1667" i="9"/>
  <c r="C1667" i="9"/>
  <c r="J1666" i="9"/>
  <c r="K1666" i="9" s="1"/>
  <c r="C1666" i="9"/>
  <c r="K1665" i="9"/>
  <c r="J1665" i="9"/>
  <c r="C1665" i="9"/>
  <c r="J1664" i="9"/>
  <c r="K1664" i="9" s="1"/>
  <c r="C1664" i="9"/>
  <c r="J1663" i="9"/>
  <c r="K1663" i="9" s="1"/>
  <c r="C1663" i="9"/>
  <c r="J1662" i="9"/>
  <c r="K1662" i="9" s="1"/>
  <c r="C1662" i="9"/>
  <c r="K1661" i="9"/>
  <c r="J1661" i="9"/>
  <c r="C1661" i="9"/>
  <c r="J1660" i="9"/>
  <c r="K1660" i="9" s="1"/>
  <c r="C1660" i="9"/>
  <c r="J1659" i="9"/>
  <c r="K1659" i="9" s="1"/>
  <c r="C1659" i="9"/>
  <c r="J1658" i="9"/>
  <c r="K1658" i="9" s="1"/>
  <c r="C1658" i="9"/>
  <c r="J1657" i="9"/>
  <c r="K1657" i="9" s="1"/>
  <c r="C1657" i="9"/>
  <c r="J1656" i="9"/>
  <c r="K1656" i="9" s="1"/>
  <c r="C1656" i="9"/>
  <c r="K1655" i="9"/>
  <c r="J1655" i="9"/>
  <c r="C1655" i="9"/>
  <c r="J1654" i="9"/>
  <c r="K1654" i="9" s="1"/>
  <c r="C1654" i="9"/>
  <c r="K1653" i="9"/>
  <c r="J1653" i="9"/>
  <c r="C1653" i="9"/>
  <c r="J1652" i="9"/>
  <c r="K1652" i="9" s="1"/>
  <c r="C1652" i="9"/>
  <c r="K1651" i="9"/>
  <c r="J1651" i="9"/>
  <c r="C1651" i="9"/>
  <c r="J1650" i="9"/>
  <c r="K1650" i="9" s="1"/>
  <c r="C1650" i="9"/>
  <c r="K1649" i="9"/>
  <c r="J1649" i="9"/>
  <c r="C1649" i="9"/>
  <c r="J1648" i="9"/>
  <c r="K1648" i="9" s="1"/>
  <c r="C1648" i="9"/>
  <c r="J1647" i="9"/>
  <c r="K1647" i="9" s="1"/>
  <c r="C1647" i="9"/>
  <c r="J1646" i="9"/>
  <c r="K1646" i="9" s="1"/>
  <c r="C1646" i="9"/>
  <c r="K1645" i="9"/>
  <c r="J1645" i="9"/>
  <c r="C1645" i="9"/>
  <c r="J1644" i="9"/>
  <c r="K1644" i="9" s="1"/>
  <c r="C1644" i="9"/>
  <c r="J1643" i="9"/>
  <c r="K1643" i="9" s="1"/>
  <c r="C1643" i="9"/>
  <c r="J1642" i="9"/>
  <c r="K1642" i="9" s="1"/>
  <c r="C1642" i="9"/>
  <c r="J1641" i="9"/>
  <c r="K1641" i="9" s="1"/>
  <c r="C1641" i="9"/>
  <c r="J1640" i="9"/>
  <c r="K1640" i="9" s="1"/>
  <c r="C1640" i="9"/>
  <c r="K1639" i="9"/>
  <c r="J1639" i="9"/>
  <c r="C1639" i="9"/>
  <c r="J1638" i="9"/>
  <c r="K1638" i="9" s="1"/>
  <c r="C1638" i="9"/>
  <c r="K1637" i="9"/>
  <c r="J1637" i="9"/>
  <c r="C1637" i="9"/>
  <c r="J1636" i="9"/>
  <c r="K1636" i="9" s="1"/>
  <c r="C1636" i="9"/>
  <c r="K1635" i="9"/>
  <c r="J1635" i="9"/>
  <c r="C1635" i="9"/>
  <c r="J1634" i="9"/>
  <c r="K1634" i="9" s="1"/>
  <c r="C1634" i="9"/>
  <c r="K1633" i="9"/>
  <c r="J1633" i="9"/>
  <c r="C1633" i="9"/>
  <c r="J1632" i="9"/>
  <c r="K1632" i="9" s="1"/>
  <c r="C1632" i="9"/>
  <c r="J1631" i="9"/>
  <c r="K1631" i="9" s="1"/>
  <c r="C1631" i="9"/>
  <c r="J1630" i="9"/>
  <c r="K1630" i="9" s="1"/>
  <c r="C1630" i="9"/>
  <c r="K1629" i="9"/>
  <c r="J1629" i="9"/>
  <c r="C1629" i="9"/>
  <c r="J1628" i="9"/>
  <c r="K1628" i="9" s="1"/>
  <c r="C1628" i="9"/>
  <c r="J1627" i="9"/>
  <c r="K1627" i="9" s="1"/>
  <c r="C1627" i="9"/>
  <c r="J1626" i="9"/>
  <c r="K1626" i="9" s="1"/>
  <c r="C1626" i="9"/>
  <c r="J1625" i="9"/>
  <c r="K1625" i="9" s="1"/>
  <c r="C1625" i="9"/>
  <c r="J1624" i="9"/>
  <c r="K1624" i="9" s="1"/>
  <c r="C1624" i="9"/>
  <c r="K1623" i="9"/>
  <c r="J1623" i="9"/>
  <c r="C1623" i="9"/>
  <c r="J1622" i="9"/>
  <c r="K1622" i="9" s="1"/>
  <c r="C1622" i="9"/>
  <c r="K1621" i="9"/>
  <c r="J1621" i="9"/>
  <c r="C1621" i="9"/>
  <c r="J1620" i="9"/>
  <c r="K1620" i="9" s="1"/>
  <c r="C1620" i="9"/>
  <c r="K1619" i="9"/>
  <c r="J1619" i="9"/>
  <c r="C1619" i="9"/>
  <c r="J1618" i="9"/>
  <c r="K1618" i="9" s="1"/>
  <c r="C1618" i="9"/>
  <c r="K1617" i="9"/>
  <c r="J1617" i="9"/>
  <c r="C1617" i="9"/>
  <c r="J1616" i="9"/>
  <c r="K1616" i="9" s="1"/>
  <c r="C1616" i="9"/>
  <c r="J1615" i="9"/>
  <c r="K1615" i="9" s="1"/>
  <c r="C1615" i="9"/>
  <c r="J1614" i="9"/>
  <c r="K1614" i="9" s="1"/>
  <c r="C1614" i="9"/>
  <c r="K1613" i="9"/>
  <c r="J1613" i="9"/>
  <c r="C1613" i="9"/>
  <c r="J1612" i="9"/>
  <c r="K1612" i="9" s="1"/>
  <c r="C1612" i="9"/>
  <c r="J1611" i="9"/>
  <c r="K1611" i="9" s="1"/>
  <c r="C1611" i="9"/>
  <c r="J1610" i="9"/>
  <c r="K1610" i="9" s="1"/>
  <c r="C1610" i="9"/>
  <c r="J1609" i="9"/>
  <c r="K1609" i="9" s="1"/>
  <c r="C1609" i="9"/>
  <c r="J1608" i="9"/>
  <c r="K1608" i="9" s="1"/>
  <c r="C1608" i="9"/>
  <c r="K1607" i="9"/>
  <c r="J1607" i="9"/>
  <c r="C1607" i="9"/>
  <c r="J1606" i="9"/>
  <c r="K1606" i="9" s="1"/>
  <c r="C1606" i="9"/>
  <c r="K1605" i="9"/>
  <c r="J1605" i="9"/>
  <c r="C1605" i="9"/>
  <c r="J1604" i="9"/>
  <c r="K1604" i="9" s="1"/>
  <c r="C1604" i="9"/>
  <c r="K1603" i="9"/>
  <c r="J1603" i="9"/>
  <c r="C1603" i="9"/>
  <c r="J1602" i="9"/>
  <c r="K1602" i="9" s="1"/>
  <c r="C1602" i="9"/>
  <c r="K1601" i="9"/>
  <c r="J1601" i="9"/>
  <c r="C1601" i="9"/>
  <c r="J1600" i="9"/>
  <c r="K1600" i="9" s="1"/>
  <c r="C1600" i="9"/>
  <c r="J1599" i="9"/>
  <c r="K1599" i="9" s="1"/>
  <c r="C1599" i="9"/>
  <c r="J1598" i="9"/>
  <c r="K1598" i="9" s="1"/>
  <c r="C1598" i="9"/>
  <c r="K1597" i="9"/>
  <c r="J1597" i="9"/>
  <c r="C1597" i="9"/>
  <c r="J1596" i="9"/>
  <c r="K1596" i="9" s="1"/>
  <c r="C1596" i="9"/>
  <c r="J1595" i="9"/>
  <c r="K1595" i="9" s="1"/>
  <c r="C1595" i="9"/>
  <c r="J1594" i="9"/>
  <c r="K1594" i="9" s="1"/>
  <c r="C1594" i="9"/>
  <c r="J1593" i="9"/>
  <c r="K1593" i="9" s="1"/>
  <c r="C1593" i="9"/>
  <c r="J1592" i="9"/>
  <c r="K1592" i="9" s="1"/>
  <c r="C1592" i="9"/>
  <c r="K1591" i="9"/>
  <c r="J1591" i="9"/>
  <c r="C1591" i="9"/>
  <c r="J1590" i="9"/>
  <c r="K1590" i="9" s="1"/>
  <c r="C1590" i="9"/>
  <c r="K1589" i="9"/>
  <c r="J1589" i="9"/>
  <c r="C1589" i="9"/>
  <c r="J1588" i="9"/>
  <c r="K1588" i="9" s="1"/>
  <c r="C1588" i="9"/>
  <c r="K1587" i="9"/>
  <c r="J1587" i="9"/>
  <c r="C1587" i="9"/>
  <c r="J1586" i="9"/>
  <c r="K1586" i="9" s="1"/>
  <c r="C1586" i="9"/>
  <c r="K1585" i="9"/>
  <c r="J1585" i="9"/>
  <c r="C1585" i="9"/>
  <c r="J1584" i="9"/>
  <c r="K1584" i="9" s="1"/>
  <c r="C1584" i="9"/>
  <c r="J1583" i="9"/>
  <c r="K1583" i="9" s="1"/>
  <c r="C1583" i="9"/>
  <c r="J1582" i="9"/>
  <c r="K1582" i="9" s="1"/>
  <c r="C1582" i="9"/>
  <c r="K1581" i="9"/>
  <c r="J1581" i="9"/>
  <c r="C1581" i="9"/>
  <c r="J1580" i="9"/>
  <c r="K1580" i="9" s="1"/>
  <c r="C1580" i="9"/>
  <c r="J1579" i="9"/>
  <c r="K1579" i="9" s="1"/>
  <c r="C1579" i="9"/>
  <c r="J1578" i="9"/>
  <c r="K1578" i="9" s="1"/>
  <c r="C1578" i="9"/>
  <c r="J1577" i="9"/>
  <c r="K1577" i="9" s="1"/>
  <c r="C1577" i="9"/>
  <c r="J1576" i="9"/>
  <c r="K1576" i="9" s="1"/>
  <c r="C1576" i="9"/>
  <c r="K1575" i="9"/>
  <c r="J1575" i="9"/>
  <c r="C1575" i="9"/>
  <c r="J1574" i="9"/>
  <c r="K1574" i="9" s="1"/>
  <c r="C1574" i="9"/>
  <c r="K1573" i="9"/>
  <c r="J1573" i="9"/>
  <c r="C1573" i="9"/>
  <c r="J1572" i="9"/>
  <c r="K1572" i="9" s="1"/>
  <c r="C1572" i="9"/>
  <c r="K1571" i="9"/>
  <c r="J1571" i="9"/>
  <c r="C1571" i="9"/>
  <c r="J1570" i="9"/>
  <c r="K1570" i="9" s="1"/>
  <c r="C1570" i="9"/>
  <c r="K1569" i="9"/>
  <c r="J1569" i="9"/>
  <c r="C1569" i="9"/>
  <c r="J1568" i="9"/>
  <c r="K1568" i="9" s="1"/>
  <c r="C1568" i="9"/>
  <c r="J1567" i="9"/>
  <c r="K1567" i="9" s="1"/>
  <c r="C1567" i="9"/>
  <c r="J1566" i="9"/>
  <c r="K1566" i="9" s="1"/>
  <c r="C1566" i="9"/>
  <c r="K1565" i="9"/>
  <c r="J1565" i="9"/>
  <c r="C1565" i="9"/>
  <c r="J1564" i="9"/>
  <c r="K1564" i="9" s="1"/>
  <c r="C1564" i="9"/>
  <c r="J1563" i="9"/>
  <c r="K1563" i="9" s="1"/>
  <c r="C1563" i="9"/>
  <c r="J1562" i="9"/>
  <c r="K1562" i="9" s="1"/>
  <c r="C1562" i="9"/>
  <c r="J1561" i="9"/>
  <c r="K1561" i="9" s="1"/>
  <c r="C1561" i="9"/>
  <c r="J1560" i="9"/>
  <c r="K1560" i="9" s="1"/>
  <c r="C1560" i="9"/>
  <c r="K1559" i="9"/>
  <c r="J1559" i="9"/>
  <c r="C1559" i="9"/>
  <c r="J1558" i="9"/>
  <c r="K1558" i="9" s="1"/>
  <c r="C1558" i="9"/>
  <c r="K1557" i="9"/>
  <c r="J1557" i="9"/>
  <c r="C1557" i="9"/>
  <c r="J1556" i="9"/>
  <c r="K1556" i="9" s="1"/>
  <c r="C1556" i="9"/>
  <c r="K1555" i="9"/>
  <c r="J1555" i="9"/>
  <c r="C1555" i="9"/>
  <c r="J1554" i="9"/>
  <c r="K1554" i="9" s="1"/>
  <c r="C1554" i="9"/>
  <c r="K1553" i="9"/>
  <c r="J1553" i="9"/>
  <c r="C1553" i="9"/>
  <c r="J1552" i="9"/>
  <c r="K1552" i="9" s="1"/>
  <c r="C1552" i="9"/>
  <c r="J1551" i="9"/>
  <c r="K1551" i="9" s="1"/>
  <c r="C1551" i="9"/>
  <c r="J1550" i="9"/>
  <c r="K1550" i="9" s="1"/>
  <c r="C1550" i="9"/>
  <c r="K1549" i="9"/>
  <c r="J1549" i="9"/>
  <c r="C1549" i="9"/>
  <c r="J1548" i="9"/>
  <c r="K1548" i="9" s="1"/>
  <c r="C1548" i="9"/>
  <c r="J1547" i="9"/>
  <c r="K1547" i="9" s="1"/>
  <c r="C1547" i="9"/>
  <c r="J1546" i="9"/>
  <c r="K1546" i="9" s="1"/>
  <c r="C1546" i="9"/>
  <c r="J1545" i="9"/>
  <c r="K1545" i="9" s="1"/>
  <c r="C1545" i="9"/>
  <c r="J1544" i="9"/>
  <c r="K1544" i="9" s="1"/>
  <c r="C1544" i="9"/>
  <c r="K1543" i="9"/>
  <c r="J1543" i="9"/>
  <c r="C1543" i="9"/>
  <c r="J1542" i="9"/>
  <c r="K1542" i="9" s="1"/>
  <c r="C1542" i="9"/>
  <c r="K1541" i="9"/>
  <c r="J1541" i="9"/>
  <c r="C1541" i="9"/>
  <c r="J1540" i="9"/>
  <c r="K1540" i="9" s="1"/>
  <c r="C1540" i="9"/>
  <c r="K1539" i="9"/>
  <c r="J1539" i="9"/>
  <c r="C1539" i="9"/>
  <c r="J1538" i="9"/>
  <c r="K1538" i="9" s="1"/>
  <c r="C1538" i="9"/>
  <c r="K1537" i="9"/>
  <c r="J1537" i="9"/>
  <c r="C1537" i="9"/>
  <c r="J1536" i="9"/>
  <c r="K1536" i="9" s="1"/>
  <c r="C1536" i="9"/>
  <c r="J1535" i="9"/>
  <c r="K1535" i="9" s="1"/>
  <c r="C1535" i="9"/>
  <c r="J1534" i="9"/>
  <c r="K1534" i="9" s="1"/>
  <c r="C1534" i="9"/>
  <c r="K1533" i="9"/>
  <c r="J1533" i="9"/>
  <c r="C1533" i="9"/>
  <c r="J1532" i="9"/>
  <c r="K1532" i="9" s="1"/>
  <c r="C1532" i="9"/>
  <c r="J1531" i="9"/>
  <c r="K1531" i="9" s="1"/>
  <c r="C1531" i="9"/>
  <c r="J1530" i="9"/>
  <c r="K1530" i="9" s="1"/>
  <c r="C1530" i="9"/>
  <c r="J1529" i="9"/>
  <c r="K1529" i="9" s="1"/>
  <c r="C1529" i="9"/>
  <c r="J1528" i="9"/>
  <c r="K1528" i="9" s="1"/>
  <c r="C1528" i="9"/>
  <c r="K1527" i="9"/>
  <c r="J1527" i="9"/>
  <c r="C1527" i="9"/>
  <c r="J1526" i="9"/>
  <c r="K1526" i="9" s="1"/>
  <c r="C1526" i="9"/>
  <c r="K1525" i="9"/>
  <c r="J1525" i="9"/>
  <c r="C1525" i="9"/>
  <c r="J1524" i="9"/>
  <c r="K1524" i="9" s="1"/>
  <c r="C1524" i="9"/>
  <c r="K1523" i="9"/>
  <c r="J1523" i="9"/>
  <c r="C1523" i="9"/>
  <c r="J1522" i="9"/>
  <c r="K1522" i="9" s="1"/>
  <c r="C1522" i="9"/>
  <c r="K1521" i="9"/>
  <c r="J1521" i="9"/>
  <c r="C1521" i="9"/>
  <c r="J1520" i="9"/>
  <c r="K1520" i="9" s="1"/>
  <c r="C1520" i="9"/>
  <c r="J1519" i="9"/>
  <c r="K1519" i="9" s="1"/>
  <c r="C1519" i="9"/>
  <c r="J1518" i="9"/>
  <c r="K1518" i="9" s="1"/>
  <c r="C1518" i="9"/>
  <c r="K1517" i="9"/>
  <c r="J1517" i="9"/>
  <c r="C1517" i="9"/>
  <c r="J1516" i="9"/>
  <c r="K1516" i="9" s="1"/>
  <c r="C1516" i="9"/>
  <c r="J1515" i="9"/>
  <c r="K1515" i="9" s="1"/>
  <c r="C1515" i="9"/>
  <c r="J1514" i="9"/>
  <c r="K1514" i="9" s="1"/>
  <c r="C1514" i="9"/>
  <c r="J1513" i="9"/>
  <c r="K1513" i="9" s="1"/>
  <c r="C1513" i="9"/>
  <c r="J1512" i="9"/>
  <c r="K1512" i="9" s="1"/>
  <c r="C1512" i="9"/>
  <c r="K1511" i="9"/>
  <c r="J1511" i="9"/>
  <c r="C1511" i="9"/>
  <c r="J1510" i="9"/>
  <c r="K1510" i="9" s="1"/>
  <c r="C1510" i="9"/>
  <c r="K1509" i="9"/>
  <c r="J1509" i="9"/>
  <c r="C1509" i="9"/>
  <c r="J1508" i="9"/>
  <c r="K1508" i="9" s="1"/>
  <c r="C1508" i="9"/>
  <c r="K1507" i="9"/>
  <c r="J1507" i="9"/>
  <c r="C1507" i="9"/>
  <c r="J1506" i="9"/>
  <c r="K1506" i="9" s="1"/>
  <c r="C1506" i="9"/>
  <c r="K1505" i="9"/>
  <c r="J1505" i="9"/>
  <c r="C1505" i="9"/>
  <c r="J1504" i="9"/>
  <c r="K1504" i="9" s="1"/>
  <c r="C1504" i="9"/>
  <c r="J1503" i="9"/>
  <c r="K1503" i="9" s="1"/>
  <c r="C1503" i="9"/>
  <c r="J1502" i="9"/>
  <c r="K1502" i="9" s="1"/>
  <c r="C1502" i="9"/>
  <c r="K1501" i="9"/>
  <c r="J1501" i="9"/>
  <c r="C1501" i="9"/>
  <c r="J1500" i="9"/>
  <c r="K1500" i="9" s="1"/>
  <c r="C1500" i="9"/>
  <c r="J1499" i="9"/>
  <c r="K1499" i="9" s="1"/>
  <c r="C1499" i="9"/>
  <c r="J1498" i="9"/>
  <c r="K1498" i="9" s="1"/>
  <c r="C1498" i="9"/>
  <c r="J1497" i="9"/>
  <c r="K1497" i="9" s="1"/>
  <c r="C1497" i="9"/>
  <c r="J1496" i="9"/>
  <c r="K1496" i="9" s="1"/>
  <c r="C1496" i="9"/>
  <c r="K1495" i="9"/>
  <c r="J1495" i="9"/>
  <c r="C1495" i="9"/>
  <c r="J1494" i="9"/>
  <c r="K1494" i="9" s="1"/>
  <c r="C1494" i="9"/>
  <c r="K1493" i="9"/>
  <c r="J1493" i="9"/>
  <c r="C1493" i="9"/>
  <c r="J1492" i="9"/>
  <c r="K1492" i="9" s="1"/>
  <c r="C1492" i="9"/>
  <c r="K1491" i="9"/>
  <c r="J1491" i="9"/>
  <c r="C1491" i="9"/>
  <c r="J1490" i="9"/>
  <c r="K1490" i="9" s="1"/>
  <c r="C1490" i="9"/>
  <c r="K1489" i="9"/>
  <c r="J1489" i="9"/>
  <c r="C1489" i="9"/>
  <c r="J1488" i="9"/>
  <c r="K1488" i="9" s="1"/>
  <c r="C1488" i="9"/>
  <c r="J1487" i="9"/>
  <c r="K1487" i="9" s="1"/>
  <c r="C1487" i="9"/>
  <c r="J1486" i="9"/>
  <c r="K1486" i="9" s="1"/>
  <c r="C1486" i="9"/>
  <c r="K1485" i="9"/>
  <c r="J1485" i="9"/>
  <c r="C1485" i="9"/>
  <c r="J1484" i="9"/>
  <c r="K1484" i="9" s="1"/>
  <c r="C1484" i="9"/>
  <c r="J1483" i="9"/>
  <c r="K1483" i="9" s="1"/>
  <c r="C1483" i="9"/>
  <c r="J1482" i="9"/>
  <c r="K1482" i="9" s="1"/>
  <c r="C1482" i="9"/>
  <c r="J1481" i="9"/>
  <c r="K1481" i="9" s="1"/>
  <c r="C1481" i="9"/>
  <c r="J1480" i="9"/>
  <c r="K1480" i="9" s="1"/>
  <c r="C1480" i="9"/>
  <c r="K1479" i="9"/>
  <c r="J1479" i="9"/>
  <c r="C1479" i="9"/>
  <c r="J1478" i="9"/>
  <c r="K1478" i="9" s="1"/>
  <c r="C1478" i="9"/>
  <c r="K1477" i="9"/>
  <c r="J1477" i="9"/>
  <c r="C1477" i="9"/>
  <c r="J1476" i="9"/>
  <c r="K1476" i="9" s="1"/>
  <c r="C1476" i="9"/>
  <c r="J1475" i="9"/>
  <c r="K1475" i="9" s="1"/>
  <c r="C1475" i="9"/>
  <c r="J1474" i="9"/>
  <c r="K1474" i="9" s="1"/>
  <c r="C1474" i="9"/>
  <c r="K1473" i="9"/>
  <c r="J1473" i="9"/>
  <c r="C1473" i="9"/>
  <c r="J1472" i="9"/>
  <c r="K1472" i="9" s="1"/>
  <c r="C1472" i="9"/>
  <c r="J1471" i="9"/>
  <c r="K1471" i="9" s="1"/>
  <c r="C1471" i="9"/>
  <c r="J1470" i="9"/>
  <c r="K1470" i="9" s="1"/>
  <c r="C1470" i="9"/>
  <c r="K1469" i="9"/>
  <c r="J1469" i="9"/>
  <c r="C1469" i="9"/>
  <c r="J1468" i="9"/>
  <c r="K1468" i="9" s="1"/>
  <c r="C1468" i="9"/>
  <c r="J1467" i="9"/>
  <c r="K1467" i="9" s="1"/>
  <c r="C1467" i="9"/>
  <c r="J1466" i="9"/>
  <c r="K1466" i="9" s="1"/>
  <c r="C1466" i="9"/>
  <c r="J1465" i="9"/>
  <c r="K1465" i="9" s="1"/>
  <c r="C1465" i="9"/>
  <c r="J1464" i="9"/>
  <c r="K1464" i="9" s="1"/>
  <c r="C1464" i="9"/>
  <c r="K1463" i="9"/>
  <c r="J1463" i="9"/>
  <c r="C1463" i="9"/>
  <c r="J1462" i="9"/>
  <c r="K1462" i="9" s="1"/>
  <c r="C1462" i="9"/>
  <c r="K1461" i="9"/>
  <c r="J1461" i="9"/>
  <c r="C1461" i="9"/>
  <c r="J1460" i="9"/>
  <c r="K1460" i="9" s="1"/>
  <c r="C1460" i="9"/>
  <c r="K1459" i="9"/>
  <c r="J1459" i="9"/>
  <c r="C1459" i="9"/>
  <c r="J1458" i="9"/>
  <c r="K1458" i="9" s="1"/>
  <c r="C1458" i="9"/>
  <c r="K1457" i="9"/>
  <c r="J1457" i="9"/>
  <c r="C1457" i="9"/>
  <c r="J1456" i="9"/>
  <c r="K1456" i="9" s="1"/>
  <c r="C1456" i="9"/>
  <c r="J1455" i="9"/>
  <c r="K1455" i="9" s="1"/>
  <c r="C1455" i="9"/>
  <c r="J1454" i="9"/>
  <c r="K1454" i="9" s="1"/>
  <c r="C1454" i="9"/>
  <c r="K1453" i="9"/>
  <c r="J1453" i="9"/>
  <c r="C1453" i="9"/>
  <c r="J1452" i="9"/>
  <c r="K1452" i="9" s="1"/>
  <c r="C1452" i="9"/>
  <c r="J1451" i="9"/>
  <c r="K1451" i="9" s="1"/>
  <c r="C1451" i="9"/>
  <c r="J1450" i="9"/>
  <c r="K1450" i="9" s="1"/>
  <c r="C1450" i="9"/>
  <c r="J1449" i="9"/>
  <c r="K1449" i="9" s="1"/>
  <c r="C1449" i="9"/>
  <c r="J1448" i="9"/>
  <c r="K1448" i="9" s="1"/>
  <c r="C1448" i="9"/>
  <c r="K1447" i="9"/>
  <c r="J1447" i="9"/>
  <c r="C1447" i="9"/>
  <c r="J1446" i="9"/>
  <c r="K1446" i="9" s="1"/>
  <c r="C1446" i="9"/>
  <c r="K1445" i="9"/>
  <c r="J1445" i="9"/>
  <c r="C1445" i="9"/>
  <c r="J1444" i="9"/>
  <c r="K1444" i="9" s="1"/>
  <c r="C1444" i="9"/>
  <c r="J1443" i="9"/>
  <c r="K1443" i="9" s="1"/>
  <c r="C1443" i="9"/>
  <c r="J1442" i="9"/>
  <c r="K1442" i="9" s="1"/>
  <c r="C1442" i="9"/>
  <c r="K1441" i="9"/>
  <c r="J1441" i="9"/>
  <c r="C1441" i="9"/>
  <c r="J1440" i="9"/>
  <c r="K1440" i="9" s="1"/>
  <c r="C1440" i="9"/>
  <c r="J1439" i="9"/>
  <c r="K1439" i="9" s="1"/>
  <c r="C1439" i="9"/>
  <c r="J1438" i="9"/>
  <c r="K1438" i="9" s="1"/>
  <c r="C1438" i="9"/>
  <c r="K1437" i="9"/>
  <c r="J1437" i="9"/>
  <c r="C1437" i="9"/>
  <c r="J1436" i="9"/>
  <c r="K1436" i="9" s="1"/>
  <c r="C1436" i="9"/>
  <c r="J1435" i="9"/>
  <c r="K1435" i="9" s="1"/>
  <c r="C1435" i="9"/>
  <c r="J1434" i="9"/>
  <c r="K1434" i="9" s="1"/>
  <c r="C1434" i="9"/>
  <c r="J1433" i="9"/>
  <c r="K1433" i="9" s="1"/>
  <c r="C1433" i="9"/>
  <c r="J1432" i="9"/>
  <c r="K1432" i="9" s="1"/>
  <c r="C1432" i="9"/>
  <c r="K1431" i="9"/>
  <c r="J1431" i="9"/>
  <c r="C1431" i="9"/>
  <c r="J1430" i="9"/>
  <c r="K1430" i="9" s="1"/>
  <c r="C1430" i="9"/>
  <c r="K1429" i="9"/>
  <c r="J1429" i="9"/>
  <c r="C1429" i="9"/>
  <c r="J1428" i="9"/>
  <c r="K1428" i="9" s="1"/>
  <c r="C1428" i="9"/>
  <c r="J1427" i="9"/>
  <c r="K1427" i="9" s="1"/>
  <c r="C1427" i="9"/>
  <c r="J1426" i="9"/>
  <c r="K1426" i="9" s="1"/>
  <c r="C1426" i="9"/>
  <c r="J1425" i="9"/>
  <c r="K1425" i="9" s="1"/>
  <c r="C1425" i="9"/>
  <c r="J1424" i="9"/>
  <c r="K1424" i="9" s="1"/>
  <c r="C1424" i="9"/>
  <c r="J1423" i="9"/>
  <c r="K1423" i="9" s="1"/>
  <c r="C1423" i="9"/>
  <c r="J1422" i="9"/>
  <c r="K1422" i="9" s="1"/>
  <c r="C1422" i="9"/>
  <c r="K1421" i="9"/>
  <c r="J1421" i="9"/>
  <c r="C1421" i="9"/>
  <c r="J1420" i="9"/>
  <c r="K1420" i="9" s="1"/>
  <c r="C1420" i="9"/>
  <c r="J1419" i="9"/>
  <c r="K1419" i="9" s="1"/>
  <c r="C1419" i="9"/>
  <c r="J1418" i="9"/>
  <c r="K1418" i="9" s="1"/>
  <c r="C1418" i="9"/>
  <c r="J1417" i="9"/>
  <c r="K1417" i="9" s="1"/>
  <c r="C1417" i="9"/>
  <c r="J1416" i="9"/>
  <c r="K1416" i="9" s="1"/>
  <c r="C1416" i="9"/>
  <c r="K1415" i="9"/>
  <c r="J1415" i="9"/>
  <c r="C1415" i="9"/>
  <c r="J1414" i="9"/>
  <c r="K1414" i="9" s="1"/>
  <c r="C1414" i="9"/>
  <c r="K1413" i="9"/>
  <c r="J1413" i="9"/>
  <c r="C1413" i="9"/>
  <c r="J1412" i="9"/>
  <c r="K1412" i="9" s="1"/>
  <c r="C1412" i="9"/>
  <c r="J1411" i="9"/>
  <c r="K1411" i="9" s="1"/>
  <c r="C1411" i="9"/>
  <c r="J1410" i="9"/>
  <c r="K1410" i="9" s="1"/>
  <c r="C1410" i="9"/>
  <c r="J1409" i="9"/>
  <c r="K1409" i="9" s="1"/>
  <c r="C1409" i="9"/>
  <c r="J1408" i="9"/>
  <c r="K1408" i="9" s="1"/>
  <c r="C1408" i="9"/>
  <c r="J1407" i="9"/>
  <c r="K1407" i="9" s="1"/>
  <c r="C1407" i="9"/>
  <c r="J1406" i="9"/>
  <c r="K1406" i="9" s="1"/>
  <c r="C1406" i="9"/>
  <c r="K1405" i="9"/>
  <c r="J1405" i="9"/>
  <c r="C1405" i="9"/>
  <c r="J1404" i="9"/>
  <c r="K1404" i="9" s="1"/>
  <c r="C1404" i="9"/>
  <c r="J1403" i="9"/>
  <c r="K1403" i="9" s="1"/>
  <c r="C1403" i="9"/>
  <c r="J1402" i="9"/>
  <c r="K1402" i="9" s="1"/>
  <c r="C1402" i="9"/>
  <c r="J1401" i="9"/>
  <c r="K1401" i="9" s="1"/>
  <c r="C1401" i="9"/>
  <c r="J1400" i="9"/>
  <c r="K1400" i="9" s="1"/>
  <c r="C1400" i="9"/>
  <c r="K1399" i="9"/>
  <c r="J1399" i="9"/>
  <c r="C1399" i="9"/>
  <c r="J1398" i="9"/>
  <c r="K1398" i="9" s="1"/>
  <c r="C1398" i="9"/>
  <c r="K1397" i="9"/>
  <c r="J1397" i="9"/>
  <c r="C1397" i="9"/>
  <c r="J1396" i="9"/>
  <c r="K1396" i="9" s="1"/>
  <c r="C1396" i="9"/>
  <c r="J1395" i="9"/>
  <c r="K1395" i="9" s="1"/>
  <c r="C1395" i="9"/>
  <c r="J1394" i="9"/>
  <c r="K1394" i="9" s="1"/>
  <c r="C1394" i="9"/>
  <c r="J1393" i="9"/>
  <c r="K1393" i="9" s="1"/>
  <c r="C1393" i="9"/>
  <c r="J1392" i="9"/>
  <c r="K1392" i="9" s="1"/>
  <c r="C1392" i="9"/>
  <c r="J1391" i="9"/>
  <c r="K1391" i="9" s="1"/>
  <c r="C1391" i="9"/>
  <c r="J1390" i="9"/>
  <c r="K1390" i="9" s="1"/>
  <c r="C1390" i="9"/>
  <c r="K1389" i="9"/>
  <c r="J1389" i="9"/>
  <c r="C1389" i="9"/>
  <c r="J1388" i="9"/>
  <c r="K1388" i="9" s="1"/>
  <c r="C1388" i="9"/>
  <c r="J1387" i="9"/>
  <c r="K1387" i="9" s="1"/>
  <c r="C1387" i="9"/>
  <c r="J1386" i="9"/>
  <c r="K1386" i="9" s="1"/>
  <c r="C1386" i="9"/>
  <c r="J1385" i="9"/>
  <c r="K1385" i="9" s="1"/>
  <c r="C1385" i="9"/>
  <c r="J1384" i="9"/>
  <c r="K1384" i="9" s="1"/>
  <c r="C1384" i="9"/>
  <c r="K1383" i="9"/>
  <c r="J1383" i="9"/>
  <c r="C1383" i="9"/>
  <c r="J1382" i="9"/>
  <c r="K1382" i="9" s="1"/>
  <c r="C1382" i="9"/>
  <c r="K1381" i="9"/>
  <c r="J1381" i="9"/>
  <c r="C1381" i="9"/>
  <c r="J1380" i="9"/>
  <c r="K1380" i="9" s="1"/>
  <c r="C1380" i="9"/>
  <c r="J1379" i="9"/>
  <c r="K1379" i="9" s="1"/>
  <c r="C1379" i="9"/>
  <c r="J1378" i="9"/>
  <c r="K1378" i="9" s="1"/>
  <c r="C1378" i="9"/>
  <c r="J1377" i="9"/>
  <c r="K1377" i="9" s="1"/>
  <c r="C1377" i="9"/>
  <c r="J1376" i="9"/>
  <c r="K1376" i="9" s="1"/>
  <c r="C1376" i="9"/>
  <c r="J1375" i="9"/>
  <c r="K1375" i="9" s="1"/>
  <c r="C1375" i="9"/>
  <c r="J1374" i="9"/>
  <c r="K1374" i="9" s="1"/>
  <c r="C1374" i="9"/>
  <c r="K1373" i="9"/>
  <c r="J1373" i="9"/>
  <c r="C1373" i="9"/>
  <c r="J1372" i="9"/>
  <c r="K1372" i="9" s="1"/>
  <c r="C1372" i="9"/>
  <c r="J1371" i="9"/>
  <c r="K1371" i="9" s="1"/>
  <c r="C1371" i="9"/>
  <c r="J1370" i="9"/>
  <c r="K1370" i="9" s="1"/>
  <c r="C1370" i="9"/>
  <c r="J1369" i="9"/>
  <c r="K1369" i="9" s="1"/>
  <c r="C1369" i="9"/>
  <c r="J1368" i="9"/>
  <c r="K1368" i="9" s="1"/>
  <c r="C1368" i="9"/>
  <c r="K1367" i="9"/>
  <c r="J1367" i="9"/>
  <c r="C1367" i="9"/>
  <c r="J1366" i="9"/>
  <c r="K1366" i="9" s="1"/>
  <c r="C1366" i="9"/>
  <c r="K1365" i="9"/>
  <c r="J1365" i="9"/>
  <c r="C1365" i="9"/>
  <c r="J1364" i="9"/>
  <c r="K1364" i="9" s="1"/>
  <c r="C1364" i="9"/>
  <c r="J1363" i="9"/>
  <c r="K1363" i="9" s="1"/>
  <c r="C1363" i="9"/>
  <c r="J1362" i="9"/>
  <c r="K1362" i="9" s="1"/>
  <c r="C1362" i="9"/>
  <c r="J1361" i="9"/>
  <c r="K1361" i="9" s="1"/>
  <c r="C1361" i="9"/>
  <c r="J1360" i="9"/>
  <c r="K1360" i="9" s="1"/>
  <c r="C1360" i="9"/>
  <c r="J1359" i="9"/>
  <c r="K1359" i="9" s="1"/>
  <c r="C1359" i="9"/>
  <c r="J1358" i="9"/>
  <c r="K1358" i="9" s="1"/>
  <c r="C1358" i="9"/>
  <c r="K1357" i="9"/>
  <c r="J1357" i="9"/>
  <c r="C1357" i="9"/>
  <c r="J1356" i="9"/>
  <c r="K1356" i="9" s="1"/>
  <c r="C1356" i="9"/>
  <c r="J1355" i="9"/>
  <c r="K1355" i="9" s="1"/>
  <c r="C1355" i="9"/>
  <c r="J1354" i="9"/>
  <c r="K1354" i="9" s="1"/>
  <c r="C1354" i="9"/>
  <c r="J1353" i="9"/>
  <c r="K1353" i="9" s="1"/>
  <c r="C1353" i="9"/>
  <c r="J1352" i="9"/>
  <c r="K1352" i="9" s="1"/>
  <c r="C1352" i="9"/>
  <c r="K1351" i="9"/>
  <c r="J1351" i="9"/>
  <c r="C1351" i="9"/>
  <c r="J1350" i="9"/>
  <c r="K1350" i="9" s="1"/>
  <c r="C1350" i="9"/>
  <c r="K1349" i="9"/>
  <c r="J1349" i="9"/>
  <c r="C1349" i="9"/>
  <c r="J1348" i="9"/>
  <c r="K1348" i="9" s="1"/>
  <c r="C1348" i="9"/>
  <c r="J1347" i="9"/>
  <c r="K1347" i="9" s="1"/>
  <c r="C1347" i="9"/>
  <c r="J1346" i="9"/>
  <c r="K1346" i="9" s="1"/>
  <c r="C1346" i="9"/>
  <c r="J1345" i="9"/>
  <c r="K1345" i="9" s="1"/>
  <c r="C1345" i="9"/>
  <c r="J1344" i="9"/>
  <c r="K1344" i="9" s="1"/>
  <c r="C1344" i="9"/>
  <c r="J1343" i="9"/>
  <c r="K1343" i="9" s="1"/>
  <c r="C1343" i="9"/>
  <c r="J1342" i="9"/>
  <c r="K1342" i="9" s="1"/>
  <c r="C1342" i="9"/>
  <c r="K1341" i="9"/>
  <c r="J1341" i="9"/>
  <c r="C1341" i="9"/>
  <c r="J1340" i="9"/>
  <c r="K1340" i="9" s="1"/>
  <c r="C1340" i="9"/>
  <c r="J1339" i="9"/>
  <c r="K1339" i="9" s="1"/>
  <c r="C1339" i="9"/>
  <c r="J1338" i="9"/>
  <c r="K1338" i="9" s="1"/>
  <c r="C1338" i="9"/>
  <c r="J1337" i="9"/>
  <c r="K1337" i="9" s="1"/>
  <c r="C1337" i="9"/>
  <c r="J1336" i="9"/>
  <c r="K1336" i="9" s="1"/>
  <c r="C1336" i="9"/>
  <c r="K1335" i="9"/>
  <c r="J1335" i="9"/>
  <c r="C1335" i="9"/>
  <c r="J1334" i="9"/>
  <c r="K1334" i="9" s="1"/>
  <c r="C1334" i="9"/>
  <c r="K1333" i="9"/>
  <c r="J1333" i="9"/>
  <c r="C1333" i="9"/>
  <c r="J1332" i="9"/>
  <c r="K1332" i="9" s="1"/>
  <c r="C1332" i="9"/>
  <c r="J1331" i="9"/>
  <c r="K1331" i="9" s="1"/>
  <c r="C1331" i="9"/>
  <c r="J1330" i="9"/>
  <c r="K1330" i="9" s="1"/>
  <c r="C1330" i="9"/>
  <c r="J1329" i="9"/>
  <c r="K1329" i="9" s="1"/>
  <c r="C1329" i="9"/>
  <c r="J1328" i="9"/>
  <c r="K1328" i="9" s="1"/>
  <c r="C1328" i="9"/>
  <c r="J1327" i="9"/>
  <c r="K1327" i="9" s="1"/>
  <c r="C1327" i="9"/>
  <c r="J1326" i="9"/>
  <c r="K1326" i="9" s="1"/>
  <c r="C1326" i="9"/>
  <c r="K1325" i="9"/>
  <c r="J1325" i="9"/>
  <c r="C1325" i="9"/>
  <c r="J1324" i="9"/>
  <c r="K1324" i="9" s="1"/>
  <c r="C1324" i="9"/>
  <c r="J1323" i="9"/>
  <c r="K1323" i="9" s="1"/>
  <c r="C1323" i="9"/>
  <c r="J1322" i="9"/>
  <c r="K1322" i="9" s="1"/>
  <c r="C1322" i="9"/>
  <c r="J1321" i="9"/>
  <c r="K1321" i="9" s="1"/>
  <c r="C1321" i="9"/>
  <c r="J1320" i="9"/>
  <c r="K1320" i="9" s="1"/>
  <c r="C1320" i="9"/>
  <c r="K1319" i="9"/>
  <c r="J1319" i="9"/>
  <c r="C1319" i="9"/>
  <c r="J1318" i="9"/>
  <c r="K1318" i="9" s="1"/>
  <c r="C1318" i="9"/>
  <c r="K1317" i="9"/>
  <c r="J1317" i="9"/>
  <c r="C1317" i="9"/>
  <c r="J1316" i="9"/>
  <c r="K1316" i="9" s="1"/>
  <c r="C1316" i="9"/>
  <c r="J1315" i="9"/>
  <c r="K1315" i="9" s="1"/>
  <c r="C1315" i="9"/>
  <c r="J1314" i="9"/>
  <c r="K1314" i="9" s="1"/>
  <c r="C1314" i="9"/>
  <c r="J1313" i="9"/>
  <c r="K1313" i="9" s="1"/>
  <c r="C1313" i="9"/>
  <c r="J1312" i="9"/>
  <c r="K1312" i="9" s="1"/>
  <c r="C1312" i="9"/>
  <c r="J1311" i="9"/>
  <c r="K1311" i="9" s="1"/>
  <c r="C1311" i="9"/>
  <c r="J1310" i="9"/>
  <c r="K1310" i="9" s="1"/>
  <c r="C1310" i="9"/>
  <c r="K1309" i="9"/>
  <c r="J1309" i="9"/>
  <c r="C1309" i="9"/>
  <c r="J1308" i="9"/>
  <c r="K1308" i="9" s="1"/>
  <c r="C1308" i="9"/>
  <c r="J1307" i="9"/>
  <c r="K1307" i="9" s="1"/>
  <c r="C1307" i="9"/>
  <c r="J1306" i="9"/>
  <c r="K1306" i="9" s="1"/>
  <c r="C1306" i="9"/>
  <c r="J1305" i="9"/>
  <c r="K1305" i="9" s="1"/>
  <c r="C1305" i="9"/>
  <c r="J1304" i="9"/>
  <c r="K1304" i="9" s="1"/>
  <c r="C1304" i="9"/>
  <c r="K1303" i="9"/>
  <c r="J1303" i="9"/>
  <c r="C1303" i="9"/>
  <c r="J1302" i="9"/>
  <c r="K1302" i="9" s="1"/>
  <c r="C1302" i="9"/>
  <c r="K1301" i="9"/>
  <c r="J1301" i="9"/>
  <c r="C1301" i="9"/>
  <c r="J1300" i="9"/>
  <c r="K1300" i="9" s="1"/>
  <c r="C1300" i="9"/>
  <c r="J1299" i="9"/>
  <c r="K1299" i="9" s="1"/>
  <c r="C1299" i="9"/>
  <c r="J1298" i="9"/>
  <c r="K1298" i="9" s="1"/>
  <c r="C1298" i="9"/>
  <c r="J1297" i="9"/>
  <c r="K1297" i="9" s="1"/>
  <c r="C1297" i="9"/>
  <c r="J1296" i="9"/>
  <c r="K1296" i="9" s="1"/>
  <c r="C1296" i="9"/>
  <c r="J1295" i="9"/>
  <c r="K1295" i="9" s="1"/>
  <c r="C1295" i="9"/>
  <c r="J1294" i="9"/>
  <c r="K1294" i="9" s="1"/>
  <c r="C1294" i="9"/>
  <c r="K1293" i="9"/>
  <c r="J1293" i="9"/>
  <c r="C1293" i="9"/>
  <c r="J1292" i="9"/>
  <c r="K1292" i="9" s="1"/>
  <c r="C1292" i="9"/>
  <c r="J1291" i="9"/>
  <c r="K1291" i="9" s="1"/>
  <c r="C1291" i="9"/>
  <c r="J1290" i="9"/>
  <c r="K1290" i="9" s="1"/>
  <c r="C1290" i="9"/>
  <c r="J1289" i="9"/>
  <c r="K1289" i="9" s="1"/>
  <c r="C1289" i="9"/>
  <c r="J1288" i="9"/>
  <c r="K1288" i="9" s="1"/>
  <c r="C1288" i="9"/>
  <c r="K1287" i="9"/>
  <c r="J1287" i="9"/>
  <c r="C1287" i="9"/>
  <c r="J1286" i="9"/>
  <c r="K1286" i="9" s="1"/>
  <c r="C1286" i="9"/>
  <c r="K1285" i="9"/>
  <c r="J1285" i="9"/>
  <c r="C1285" i="9"/>
  <c r="J1284" i="9"/>
  <c r="K1284" i="9" s="1"/>
  <c r="C1284" i="9"/>
  <c r="J1283" i="9"/>
  <c r="K1283" i="9" s="1"/>
  <c r="C1283" i="9"/>
  <c r="J1282" i="9"/>
  <c r="K1282" i="9" s="1"/>
  <c r="C1282" i="9"/>
  <c r="J1281" i="9"/>
  <c r="K1281" i="9" s="1"/>
  <c r="C1281" i="9"/>
  <c r="J1280" i="9"/>
  <c r="K1280" i="9" s="1"/>
  <c r="C1280" i="9"/>
  <c r="K1279" i="9"/>
  <c r="J1279" i="9"/>
  <c r="C1279" i="9"/>
  <c r="J1278" i="9"/>
  <c r="K1278" i="9" s="1"/>
  <c r="C1278" i="9"/>
  <c r="K1277" i="9"/>
  <c r="J1277" i="9"/>
  <c r="C1277" i="9"/>
  <c r="J1276" i="9"/>
  <c r="K1276" i="9" s="1"/>
  <c r="C1276" i="9"/>
  <c r="J1275" i="9"/>
  <c r="K1275" i="9" s="1"/>
  <c r="C1275" i="9"/>
  <c r="J1274" i="9"/>
  <c r="K1274" i="9" s="1"/>
  <c r="C1274" i="9"/>
  <c r="J1273" i="9"/>
  <c r="K1273" i="9" s="1"/>
  <c r="C1273" i="9"/>
  <c r="J1272" i="9"/>
  <c r="K1272" i="9" s="1"/>
  <c r="C1272" i="9"/>
  <c r="K1271" i="9"/>
  <c r="J1271" i="9"/>
  <c r="C1271" i="9"/>
  <c r="J1270" i="9"/>
  <c r="K1270" i="9" s="1"/>
  <c r="C1270" i="9"/>
  <c r="K1269" i="9"/>
  <c r="J1269" i="9"/>
  <c r="C1269" i="9"/>
  <c r="J1268" i="9"/>
  <c r="K1268" i="9" s="1"/>
  <c r="C1268" i="9"/>
  <c r="N1267" i="9"/>
  <c r="O1267" i="9" s="1"/>
  <c r="K1267" i="9"/>
  <c r="J1267" i="9"/>
  <c r="G1267" i="9"/>
  <c r="C1267" i="9"/>
  <c r="O1266" i="9"/>
  <c r="N1266" i="9"/>
  <c r="J1266" i="9"/>
  <c r="K1266" i="9" s="1"/>
  <c r="G1266" i="9"/>
  <c r="C1266" i="9"/>
  <c r="N1265" i="9"/>
  <c r="O1265" i="9" s="1"/>
  <c r="J1265" i="9"/>
  <c r="K1265" i="9" s="1"/>
  <c r="G1265" i="9"/>
  <c r="C1265" i="9"/>
  <c r="N1264" i="9"/>
  <c r="O1264" i="9" s="1"/>
  <c r="J1264" i="9"/>
  <c r="K1264" i="9" s="1"/>
  <c r="G1264" i="9"/>
  <c r="C1264" i="9"/>
  <c r="N1263" i="9"/>
  <c r="O1263" i="9" s="1"/>
  <c r="K1263" i="9"/>
  <c r="J1263" i="9"/>
  <c r="G1263" i="9"/>
  <c r="C1263" i="9"/>
  <c r="O1262" i="9"/>
  <c r="N1262" i="9"/>
  <c r="J1262" i="9"/>
  <c r="K1262" i="9" s="1"/>
  <c r="G1262" i="9"/>
  <c r="C1262" i="9"/>
  <c r="N1261" i="9"/>
  <c r="O1261" i="9" s="1"/>
  <c r="J1261" i="9"/>
  <c r="K1261" i="9" s="1"/>
  <c r="G1261" i="9"/>
  <c r="C1261" i="9"/>
  <c r="N1260" i="9"/>
  <c r="O1260" i="9" s="1"/>
  <c r="J1260" i="9"/>
  <c r="K1260" i="9" s="1"/>
  <c r="G1260" i="9"/>
  <c r="C1260" i="9"/>
  <c r="N1259" i="9"/>
  <c r="O1259" i="9" s="1"/>
  <c r="K1259" i="9"/>
  <c r="J1259" i="9"/>
  <c r="G1259" i="9"/>
  <c r="C1259" i="9"/>
  <c r="O1258" i="9"/>
  <c r="N1258" i="9"/>
  <c r="J1258" i="9"/>
  <c r="K1258" i="9" s="1"/>
  <c r="G1258" i="9"/>
  <c r="C1258" i="9"/>
  <c r="N1257" i="9"/>
  <c r="O1257" i="9" s="1"/>
  <c r="J1257" i="9"/>
  <c r="K1257" i="9" s="1"/>
  <c r="G1257" i="9"/>
  <c r="C1257" i="9"/>
  <c r="N1256" i="9"/>
  <c r="O1256" i="9" s="1"/>
  <c r="J1256" i="9"/>
  <c r="K1256" i="9" s="1"/>
  <c r="G1256" i="9"/>
  <c r="C1256" i="9"/>
  <c r="N1255" i="9"/>
  <c r="O1255" i="9" s="1"/>
  <c r="K1255" i="9"/>
  <c r="J1255" i="9"/>
  <c r="G1255" i="9"/>
  <c r="C1255" i="9"/>
  <c r="O1254" i="9"/>
  <c r="N1254" i="9"/>
  <c r="J1254" i="9"/>
  <c r="K1254" i="9" s="1"/>
  <c r="G1254" i="9"/>
  <c r="C1254" i="9"/>
  <c r="N1253" i="9"/>
  <c r="O1253" i="9" s="1"/>
  <c r="J1253" i="9"/>
  <c r="K1253" i="9" s="1"/>
  <c r="G1253" i="9"/>
  <c r="C1253" i="9"/>
  <c r="N1252" i="9"/>
  <c r="O1252" i="9" s="1"/>
  <c r="J1252" i="9"/>
  <c r="K1252" i="9" s="1"/>
  <c r="G1252" i="9"/>
  <c r="C1252" i="9"/>
  <c r="N1251" i="9"/>
  <c r="O1251" i="9" s="1"/>
  <c r="K1251" i="9"/>
  <c r="J1251" i="9"/>
  <c r="G1251" i="9"/>
  <c r="C1251" i="9"/>
  <c r="O1250" i="9"/>
  <c r="N1250" i="9"/>
  <c r="J1250" i="9"/>
  <c r="K1250" i="9" s="1"/>
  <c r="G1250" i="9"/>
  <c r="C1250" i="9"/>
  <c r="N1249" i="9"/>
  <c r="O1249" i="9" s="1"/>
  <c r="J1249" i="9"/>
  <c r="K1249" i="9" s="1"/>
  <c r="G1249" i="9"/>
  <c r="C1249" i="9"/>
  <c r="N1248" i="9"/>
  <c r="O1248" i="9" s="1"/>
  <c r="J1248" i="9"/>
  <c r="K1248" i="9" s="1"/>
  <c r="G1248" i="9"/>
  <c r="C1248" i="9"/>
  <c r="N1247" i="9"/>
  <c r="O1247" i="9" s="1"/>
  <c r="K1247" i="9"/>
  <c r="J1247" i="9"/>
  <c r="G1247" i="9"/>
  <c r="C1247" i="9"/>
  <c r="O1246" i="9"/>
  <c r="N1246" i="9"/>
  <c r="J1246" i="9"/>
  <c r="K1246" i="9" s="1"/>
  <c r="G1246" i="9"/>
  <c r="C1246" i="9"/>
  <c r="O1245" i="9"/>
  <c r="N1245" i="9"/>
  <c r="K1245" i="9"/>
  <c r="J1245" i="9"/>
  <c r="G1245" i="9"/>
  <c r="C1245" i="9"/>
  <c r="O1244" i="9"/>
  <c r="N1244" i="9"/>
  <c r="K1244" i="9"/>
  <c r="J1244" i="9"/>
  <c r="G1244" i="9"/>
  <c r="C1244" i="9"/>
  <c r="N1243" i="9"/>
  <c r="O1243" i="9" s="1"/>
  <c r="J1243" i="9"/>
  <c r="K1243" i="9" s="1"/>
  <c r="G1243" i="9"/>
  <c r="C1243" i="9"/>
  <c r="N1242" i="9"/>
  <c r="O1242" i="9" s="1"/>
  <c r="J1242" i="9"/>
  <c r="K1242" i="9" s="1"/>
  <c r="G1242" i="9"/>
  <c r="C1242" i="9"/>
  <c r="O1241" i="9"/>
  <c r="N1241" i="9"/>
  <c r="K1241" i="9"/>
  <c r="J1241" i="9"/>
  <c r="G1241" i="9"/>
  <c r="C1241" i="9"/>
  <c r="O1240" i="9"/>
  <c r="N1240" i="9"/>
  <c r="K1240" i="9"/>
  <c r="J1240" i="9"/>
  <c r="G1240" i="9"/>
  <c r="C1240" i="9"/>
  <c r="N1239" i="9"/>
  <c r="O1239" i="9" s="1"/>
  <c r="K1239" i="9"/>
  <c r="J1239" i="9"/>
  <c r="G1239" i="9"/>
  <c r="C1239" i="9"/>
  <c r="O1238" i="9"/>
  <c r="N1238" i="9"/>
  <c r="J1238" i="9"/>
  <c r="K1238" i="9" s="1"/>
  <c r="G1238" i="9"/>
  <c r="C1238" i="9"/>
  <c r="O1237" i="9"/>
  <c r="N1237" i="9"/>
  <c r="K1237" i="9"/>
  <c r="J1237" i="9"/>
  <c r="G1237" i="9"/>
  <c r="C1237" i="9"/>
  <c r="O1236" i="9"/>
  <c r="N1236" i="9"/>
  <c r="K1236" i="9"/>
  <c r="J1236" i="9"/>
  <c r="G1236" i="9"/>
  <c r="C1236" i="9"/>
  <c r="O1235" i="9"/>
  <c r="N1235" i="9"/>
  <c r="J1235" i="9"/>
  <c r="K1235" i="9" s="1"/>
  <c r="G1235" i="9"/>
  <c r="C1235" i="9"/>
  <c r="O1234" i="9"/>
  <c r="N1234" i="9"/>
  <c r="K1234" i="9"/>
  <c r="J1234" i="9"/>
  <c r="G1234" i="9"/>
  <c r="C1234" i="9"/>
  <c r="O1233" i="9"/>
  <c r="N1233" i="9"/>
  <c r="K1233" i="9"/>
  <c r="J1233" i="9"/>
  <c r="G1233" i="9"/>
  <c r="C1233" i="9"/>
  <c r="N1232" i="9"/>
  <c r="O1232" i="9" s="1"/>
  <c r="K1232" i="9"/>
  <c r="J1232" i="9"/>
  <c r="G1232" i="9"/>
  <c r="C1232" i="9"/>
  <c r="O1231" i="9"/>
  <c r="N1231" i="9"/>
  <c r="J1231" i="9"/>
  <c r="K1231" i="9" s="1"/>
  <c r="G1231" i="9"/>
  <c r="C1231" i="9"/>
  <c r="O1230" i="9"/>
  <c r="N1230" i="9"/>
  <c r="K1230" i="9"/>
  <c r="J1230" i="9"/>
  <c r="G1230" i="9"/>
  <c r="C1230" i="9"/>
  <c r="O1229" i="9"/>
  <c r="N1229" i="9"/>
  <c r="K1229" i="9"/>
  <c r="J1229" i="9"/>
  <c r="G1229" i="9"/>
  <c r="C1229" i="9"/>
  <c r="N1228" i="9"/>
  <c r="O1228" i="9" s="1"/>
  <c r="K1228" i="9"/>
  <c r="J1228" i="9"/>
  <c r="G1228" i="9"/>
  <c r="C1228" i="9"/>
  <c r="O1227" i="9"/>
  <c r="N1227" i="9"/>
  <c r="J1227" i="9"/>
  <c r="K1227" i="9" s="1"/>
  <c r="G1227" i="9"/>
  <c r="C1227" i="9"/>
  <c r="O1226" i="9"/>
  <c r="N1226" i="9"/>
  <c r="K1226" i="9"/>
  <c r="J1226" i="9"/>
  <c r="G1226" i="9"/>
  <c r="C1226" i="9"/>
  <c r="O1225" i="9"/>
  <c r="N1225" i="9"/>
  <c r="K1225" i="9"/>
  <c r="J1225" i="9"/>
  <c r="G1225" i="9"/>
  <c r="C1225" i="9"/>
  <c r="N1224" i="9"/>
  <c r="O1224" i="9" s="1"/>
  <c r="K1224" i="9"/>
  <c r="J1224" i="9"/>
  <c r="G1224" i="9"/>
  <c r="C1224" i="9"/>
  <c r="O1223" i="9"/>
  <c r="N1223" i="9"/>
  <c r="J1223" i="9"/>
  <c r="K1223" i="9" s="1"/>
  <c r="G1223" i="9"/>
  <c r="C1223" i="9"/>
  <c r="O1222" i="9"/>
  <c r="N1222" i="9"/>
  <c r="K1222" i="9"/>
  <c r="J1222" i="9"/>
  <c r="G1222" i="9"/>
  <c r="C1222" i="9"/>
  <c r="O1221" i="9"/>
  <c r="N1221" i="9"/>
  <c r="K1221" i="9"/>
  <c r="J1221" i="9"/>
  <c r="G1221" i="9"/>
  <c r="C1221" i="9"/>
  <c r="N1220" i="9"/>
  <c r="O1220" i="9" s="1"/>
  <c r="K1220" i="9"/>
  <c r="J1220" i="9"/>
  <c r="G1220" i="9"/>
  <c r="C1220" i="9"/>
  <c r="O1219" i="9"/>
  <c r="N1219" i="9"/>
  <c r="J1219" i="9"/>
  <c r="K1219" i="9" s="1"/>
  <c r="G1219" i="9"/>
  <c r="C1219" i="9"/>
  <c r="O1218" i="9"/>
  <c r="N1218" i="9"/>
  <c r="K1218" i="9"/>
  <c r="J1218" i="9"/>
  <c r="G1218" i="9"/>
  <c r="C1218" i="9"/>
  <c r="O1217" i="9"/>
  <c r="N1217" i="9"/>
  <c r="K1217" i="9"/>
  <c r="J1217" i="9"/>
  <c r="G1217" i="9"/>
  <c r="C1217" i="9"/>
  <c r="N1216" i="9"/>
  <c r="O1216" i="9" s="1"/>
  <c r="K1216" i="9"/>
  <c r="J1216" i="9"/>
  <c r="G1216" i="9"/>
  <c r="C1216" i="9"/>
  <c r="O1215" i="9"/>
  <c r="N1215" i="9"/>
  <c r="J1215" i="9"/>
  <c r="K1215" i="9" s="1"/>
  <c r="G1215" i="9"/>
  <c r="C1215" i="9"/>
  <c r="O1214" i="9"/>
  <c r="N1214" i="9"/>
  <c r="K1214" i="9"/>
  <c r="J1214" i="9"/>
  <c r="G1214" i="9"/>
  <c r="C1214" i="9"/>
  <c r="O1213" i="9"/>
  <c r="N1213" i="9"/>
  <c r="K1213" i="9"/>
  <c r="J1213" i="9"/>
  <c r="G1213" i="9"/>
  <c r="C1213" i="9"/>
  <c r="N1212" i="9"/>
  <c r="O1212" i="9" s="1"/>
  <c r="K1212" i="9"/>
  <c r="J1212" i="9"/>
  <c r="G1212" i="9"/>
  <c r="C1212" i="9"/>
  <c r="O1211" i="9"/>
  <c r="N1211" i="9"/>
  <c r="J1211" i="9"/>
  <c r="K1211" i="9" s="1"/>
  <c r="G1211" i="9"/>
  <c r="C1211" i="9"/>
  <c r="O1210" i="9"/>
  <c r="N1210" i="9"/>
  <c r="K1210" i="9"/>
  <c r="J1210" i="9"/>
  <c r="G1210" i="9"/>
  <c r="C1210" i="9"/>
  <c r="O1209" i="9"/>
  <c r="N1209" i="9"/>
  <c r="K1209" i="9"/>
  <c r="J1209" i="9"/>
  <c r="G1209" i="9"/>
  <c r="C1209" i="9"/>
  <c r="N1208" i="9"/>
  <c r="O1208" i="9" s="1"/>
  <c r="K1208" i="9"/>
  <c r="J1208" i="9"/>
  <c r="G1208" i="9"/>
  <c r="C1208" i="9"/>
  <c r="O1207" i="9"/>
  <c r="N1207" i="9"/>
  <c r="J1207" i="9"/>
  <c r="K1207" i="9" s="1"/>
  <c r="G1207" i="9"/>
  <c r="C1207" i="9"/>
  <c r="O1206" i="9"/>
  <c r="N1206" i="9"/>
  <c r="K1206" i="9"/>
  <c r="J1206" i="9"/>
  <c r="G1206" i="9"/>
  <c r="C1206" i="9"/>
  <c r="O1205" i="9"/>
  <c r="N1205" i="9"/>
  <c r="K1205" i="9"/>
  <c r="J1205" i="9"/>
  <c r="G1205" i="9"/>
  <c r="C1205" i="9"/>
  <c r="N1204" i="9"/>
  <c r="O1204" i="9" s="1"/>
  <c r="J1204" i="9"/>
  <c r="K1204" i="9" s="1"/>
  <c r="G1204" i="9"/>
  <c r="C1204" i="9"/>
  <c r="O1203" i="9"/>
  <c r="N1203" i="9"/>
  <c r="K1203" i="9"/>
  <c r="J1203" i="9"/>
  <c r="G1203" i="9"/>
  <c r="C1203" i="9"/>
  <c r="N1202" i="9"/>
  <c r="O1202" i="9" s="1"/>
  <c r="K1202" i="9"/>
  <c r="J1202" i="9"/>
  <c r="G1202" i="9"/>
  <c r="C1202" i="9"/>
  <c r="N1201" i="9"/>
  <c r="O1201" i="9" s="1"/>
  <c r="J1201" i="9"/>
  <c r="K1201" i="9" s="1"/>
  <c r="G1201" i="9"/>
  <c r="C1201" i="9"/>
  <c r="N1200" i="9"/>
  <c r="O1200" i="9" s="1"/>
  <c r="J1200" i="9"/>
  <c r="K1200" i="9" s="1"/>
  <c r="G1200" i="9"/>
  <c r="C1200" i="9"/>
  <c r="N1199" i="9"/>
  <c r="O1199" i="9" s="1"/>
  <c r="K1199" i="9"/>
  <c r="J1199" i="9"/>
  <c r="G1199" i="9"/>
  <c r="C1199" i="9"/>
  <c r="N1198" i="9"/>
  <c r="O1198" i="9" s="1"/>
  <c r="J1198" i="9"/>
  <c r="K1198" i="9" s="1"/>
  <c r="G1198" i="9"/>
  <c r="C1198" i="9"/>
  <c r="N1197" i="9"/>
  <c r="O1197" i="9" s="1"/>
  <c r="J1197" i="9"/>
  <c r="K1197" i="9" s="1"/>
  <c r="G1197" i="9"/>
  <c r="C1197" i="9"/>
  <c r="N1196" i="9"/>
  <c r="O1196" i="9" s="1"/>
  <c r="J1196" i="9"/>
  <c r="K1196" i="9" s="1"/>
  <c r="G1196" i="9"/>
  <c r="C1196" i="9"/>
  <c r="N1195" i="9"/>
  <c r="O1195" i="9" s="1"/>
  <c r="J1195" i="9"/>
  <c r="K1195" i="9" s="1"/>
  <c r="G1195" i="9"/>
  <c r="C1195" i="9"/>
  <c r="N1194" i="9"/>
  <c r="O1194" i="9" s="1"/>
  <c r="J1194" i="9"/>
  <c r="K1194" i="9" s="1"/>
  <c r="G1194" i="9"/>
  <c r="C1194" i="9"/>
  <c r="N1193" i="9"/>
  <c r="O1193" i="9" s="1"/>
  <c r="J1193" i="9"/>
  <c r="K1193" i="9" s="1"/>
  <c r="G1193" i="9"/>
  <c r="C1193" i="9"/>
  <c r="N1192" i="9"/>
  <c r="O1192" i="9" s="1"/>
  <c r="J1192" i="9"/>
  <c r="K1192" i="9" s="1"/>
  <c r="G1192" i="9"/>
  <c r="C1192" i="9"/>
  <c r="N1191" i="9"/>
  <c r="O1191" i="9" s="1"/>
  <c r="J1191" i="9"/>
  <c r="K1191" i="9" s="1"/>
  <c r="G1191" i="9"/>
  <c r="C1191" i="9"/>
  <c r="N1190" i="9"/>
  <c r="O1190" i="9" s="1"/>
  <c r="J1190" i="9"/>
  <c r="K1190" i="9" s="1"/>
  <c r="G1190" i="9"/>
  <c r="C1190" i="9"/>
  <c r="N1189" i="9"/>
  <c r="O1189" i="9" s="1"/>
  <c r="J1189" i="9"/>
  <c r="K1189" i="9" s="1"/>
  <c r="G1189" i="9"/>
  <c r="C1189" i="9"/>
  <c r="O1188" i="9"/>
  <c r="N1188" i="9"/>
  <c r="J1188" i="9"/>
  <c r="K1188" i="9" s="1"/>
  <c r="G1188" i="9"/>
  <c r="C1188" i="9"/>
  <c r="N1187" i="9"/>
  <c r="O1187" i="9" s="1"/>
  <c r="J1187" i="9"/>
  <c r="K1187" i="9" s="1"/>
  <c r="G1187" i="9"/>
  <c r="C1187" i="9"/>
  <c r="N1186" i="9"/>
  <c r="O1186" i="9" s="1"/>
  <c r="J1186" i="9"/>
  <c r="K1186" i="9" s="1"/>
  <c r="G1186" i="9"/>
  <c r="C1186" i="9"/>
  <c r="N1185" i="9"/>
  <c r="O1185" i="9" s="1"/>
  <c r="J1185" i="9"/>
  <c r="K1185" i="9" s="1"/>
  <c r="G1185" i="9"/>
  <c r="C1185" i="9"/>
  <c r="N1184" i="9"/>
  <c r="O1184" i="9" s="1"/>
  <c r="J1184" i="9"/>
  <c r="K1184" i="9" s="1"/>
  <c r="G1184" i="9"/>
  <c r="C1184" i="9"/>
  <c r="N1183" i="9"/>
  <c r="O1183" i="9" s="1"/>
  <c r="K1183" i="9"/>
  <c r="J1183" i="9"/>
  <c r="G1183" i="9"/>
  <c r="C1183" i="9"/>
  <c r="N1182" i="9"/>
  <c r="O1182" i="9" s="1"/>
  <c r="J1182" i="9"/>
  <c r="K1182" i="9" s="1"/>
  <c r="G1182" i="9"/>
  <c r="C1182" i="9"/>
  <c r="N1181" i="9"/>
  <c r="O1181" i="9" s="1"/>
  <c r="J1181" i="9"/>
  <c r="K1181" i="9" s="1"/>
  <c r="G1181" i="9"/>
  <c r="C1181" i="9"/>
  <c r="N1180" i="9"/>
  <c r="O1180" i="9" s="1"/>
  <c r="J1180" i="9"/>
  <c r="K1180" i="9" s="1"/>
  <c r="G1180" i="9"/>
  <c r="C1180" i="9"/>
  <c r="N1179" i="9"/>
  <c r="O1179" i="9" s="1"/>
  <c r="J1179" i="9"/>
  <c r="K1179" i="9" s="1"/>
  <c r="G1179" i="9"/>
  <c r="C1179" i="9"/>
  <c r="N1178" i="9"/>
  <c r="O1178" i="9" s="1"/>
  <c r="J1178" i="9"/>
  <c r="K1178" i="9" s="1"/>
  <c r="G1178" i="9"/>
  <c r="C1178" i="9"/>
  <c r="N1177" i="9"/>
  <c r="O1177" i="9" s="1"/>
  <c r="J1177" i="9"/>
  <c r="K1177" i="9" s="1"/>
  <c r="G1177" i="9"/>
  <c r="C1177" i="9"/>
  <c r="N1176" i="9"/>
  <c r="O1176" i="9" s="1"/>
  <c r="J1176" i="9"/>
  <c r="K1176" i="9" s="1"/>
  <c r="G1176" i="9"/>
  <c r="C1176" i="9"/>
  <c r="N1175" i="9"/>
  <c r="O1175" i="9" s="1"/>
  <c r="J1175" i="9"/>
  <c r="K1175" i="9" s="1"/>
  <c r="G1175" i="9"/>
  <c r="C1175" i="9"/>
  <c r="N1174" i="9"/>
  <c r="O1174" i="9" s="1"/>
  <c r="J1174" i="9"/>
  <c r="K1174" i="9" s="1"/>
  <c r="G1174" i="9"/>
  <c r="C1174" i="9"/>
  <c r="N1173" i="9"/>
  <c r="O1173" i="9" s="1"/>
  <c r="J1173" i="9"/>
  <c r="K1173" i="9" s="1"/>
  <c r="G1173" i="9"/>
  <c r="C1173" i="9"/>
  <c r="O1172" i="9"/>
  <c r="N1172" i="9"/>
  <c r="J1172" i="9"/>
  <c r="K1172" i="9" s="1"/>
  <c r="G1172" i="9"/>
  <c r="C1172" i="9"/>
  <c r="N1171" i="9"/>
  <c r="O1171" i="9" s="1"/>
  <c r="J1171" i="9"/>
  <c r="K1171" i="9" s="1"/>
  <c r="G1171" i="9"/>
  <c r="C1171" i="9"/>
  <c r="N1170" i="9"/>
  <c r="O1170" i="9" s="1"/>
  <c r="J1170" i="9"/>
  <c r="K1170" i="9" s="1"/>
  <c r="G1170" i="9"/>
  <c r="C1170" i="9"/>
  <c r="N1169" i="9"/>
  <c r="O1169" i="9" s="1"/>
  <c r="J1169" i="9"/>
  <c r="K1169" i="9" s="1"/>
  <c r="G1169" i="9"/>
  <c r="C1169" i="9"/>
  <c r="N1168" i="9"/>
  <c r="O1168" i="9" s="1"/>
  <c r="J1168" i="9"/>
  <c r="K1168" i="9" s="1"/>
  <c r="G1168" i="9"/>
  <c r="C1168" i="9"/>
  <c r="N1167" i="9"/>
  <c r="O1167" i="9" s="1"/>
  <c r="K1167" i="9"/>
  <c r="J1167" i="9"/>
  <c r="G1167" i="9"/>
  <c r="C1167" i="9"/>
  <c r="N1166" i="9"/>
  <c r="O1166" i="9" s="1"/>
  <c r="J1166" i="9"/>
  <c r="K1166" i="9" s="1"/>
  <c r="G1166" i="9"/>
  <c r="C1166" i="9"/>
  <c r="N1165" i="9"/>
  <c r="O1165" i="9" s="1"/>
  <c r="J1165" i="9"/>
  <c r="K1165" i="9" s="1"/>
  <c r="G1165" i="9"/>
  <c r="C1165" i="9"/>
  <c r="N1164" i="9"/>
  <c r="O1164" i="9" s="1"/>
  <c r="J1164" i="9"/>
  <c r="K1164" i="9" s="1"/>
  <c r="G1164" i="9"/>
  <c r="C1164" i="9"/>
  <c r="N1163" i="9"/>
  <c r="O1163" i="9" s="1"/>
  <c r="J1163" i="9"/>
  <c r="K1163" i="9" s="1"/>
  <c r="G1163" i="9"/>
  <c r="C1163" i="9"/>
  <c r="N1162" i="9"/>
  <c r="O1162" i="9" s="1"/>
  <c r="J1162" i="9"/>
  <c r="K1162" i="9" s="1"/>
  <c r="G1162" i="9"/>
  <c r="C1162" i="9"/>
  <c r="N1161" i="9"/>
  <c r="O1161" i="9" s="1"/>
  <c r="J1161" i="9"/>
  <c r="K1161" i="9" s="1"/>
  <c r="G1161" i="9"/>
  <c r="C1161" i="9"/>
  <c r="N1160" i="9"/>
  <c r="O1160" i="9" s="1"/>
  <c r="J1160" i="9"/>
  <c r="K1160" i="9" s="1"/>
  <c r="G1160" i="9"/>
  <c r="C1160" i="9"/>
  <c r="N1159" i="9"/>
  <c r="O1159" i="9" s="1"/>
  <c r="J1159" i="9"/>
  <c r="K1159" i="9" s="1"/>
  <c r="G1159" i="9"/>
  <c r="C1159" i="9"/>
  <c r="N1158" i="9"/>
  <c r="O1158" i="9" s="1"/>
  <c r="J1158" i="9"/>
  <c r="K1158" i="9" s="1"/>
  <c r="G1158" i="9"/>
  <c r="C1158" i="9"/>
  <c r="N1157" i="9"/>
  <c r="O1157" i="9" s="1"/>
  <c r="J1157" i="9"/>
  <c r="K1157" i="9" s="1"/>
  <c r="G1157" i="9"/>
  <c r="C1157" i="9"/>
  <c r="O1156" i="9"/>
  <c r="N1156" i="9"/>
  <c r="J1156" i="9"/>
  <c r="K1156" i="9" s="1"/>
  <c r="G1156" i="9"/>
  <c r="C1156" i="9"/>
  <c r="N1155" i="9"/>
  <c r="O1155" i="9" s="1"/>
  <c r="J1155" i="9"/>
  <c r="K1155" i="9" s="1"/>
  <c r="G1155" i="9"/>
  <c r="C1155" i="9"/>
  <c r="N1154" i="9"/>
  <c r="O1154" i="9" s="1"/>
  <c r="J1154" i="9"/>
  <c r="K1154" i="9" s="1"/>
  <c r="G1154" i="9"/>
  <c r="C1154" i="9"/>
  <c r="N1153" i="9"/>
  <c r="O1153" i="9" s="1"/>
  <c r="J1153" i="9"/>
  <c r="K1153" i="9" s="1"/>
  <c r="G1153" i="9"/>
  <c r="C1153" i="9"/>
  <c r="N1152" i="9"/>
  <c r="O1152" i="9" s="1"/>
  <c r="J1152" i="9"/>
  <c r="K1152" i="9" s="1"/>
  <c r="G1152" i="9"/>
  <c r="C1152" i="9"/>
  <c r="N1151" i="9"/>
  <c r="O1151" i="9" s="1"/>
  <c r="K1151" i="9"/>
  <c r="J1151" i="9"/>
  <c r="G1151" i="9"/>
  <c r="C1151" i="9"/>
  <c r="N1150" i="9"/>
  <c r="O1150" i="9" s="1"/>
  <c r="J1150" i="9"/>
  <c r="K1150" i="9" s="1"/>
  <c r="G1150" i="9"/>
  <c r="C1150" i="9"/>
  <c r="N1149" i="9"/>
  <c r="O1149" i="9" s="1"/>
  <c r="J1149" i="9"/>
  <c r="K1149" i="9" s="1"/>
  <c r="G1149" i="9"/>
  <c r="C1149" i="9"/>
  <c r="N1148" i="9"/>
  <c r="O1148" i="9" s="1"/>
  <c r="J1148" i="9"/>
  <c r="K1148" i="9" s="1"/>
  <c r="G1148" i="9"/>
  <c r="C1148" i="9"/>
  <c r="N1147" i="9"/>
  <c r="O1147" i="9" s="1"/>
  <c r="J1147" i="9"/>
  <c r="K1147" i="9" s="1"/>
  <c r="G1147" i="9"/>
  <c r="C1147" i="9"/>
  <c r="N1146" i="9"/>
  <c r="O1146" i="9" s="1"/>
  <c r="J1146" i="9"/>
  <c r="K1146" i="9" s="1"/>
  <c r="G1146" i="9"/>
  <c r="C1146" i="9"/>
  <c r="N1145" i="9"/>
  <c r="O1145" i="9" s="1"/>
  <c r="J1145" i="9"/>
  <c r="K1145" i="9" s="1"/>
  <c r="G1145" i="9"/>
  <c r="C1145" i="9"/>
  <c r="N1144" i="9"/>
  <c r="O1144" i="9" s="1"/>
  <c r="J1144" i="9"/>
  <c r="K1144" i="9" s="1"/>
  <c r="G1144" i="9"/>
  <c r="C1144" i="9"/>
  <c r="N1143" i="9"/>
  <c r="O1143" i="9" s="1"/>
  <c r="J1143" i="9"/>
  <c r="K1143" i="9" s="1"/>
  <c r="G1143" i="9"/>
  <c r="C1143" i="9"/>
  <c r="N1142" i="9"/>
  <c r="O1142" i="9" s="1"/>
  <c r="J1142" i="9"/>
  <c r="K1142" i="9" s="1"/>
  <c r="G1142" i="9"/>
  <c r="C1142" i="9"/>
  <c r="N1141" i="9"/>
  <c r="O1141" i="9" s="1"/>
  <c r="J1141" i="9"/>
  <c r="K1141" i="9" s="1"/>
  <c r="G1141" i="9"/>
  <c r="C1141" i="9"/>
  <c r="O1140" i="9"/>
  <c r="N1140" i="9"/>
  <c r="J1140" i="9"/>
  <c r="K1140" i="9" s="1"/>
  <c r="G1140" i="9"/>
  <c r="C1140" i="9"/>
  <c r="N1139" i="9"/>
  <c r="O1139" i="9" s="1"/>
  <c r="J1139" i="9"/>
  <c r="K1139" i="9" s="1"/>
  <c r="G1139" i="9"/>
  <c r="C1139" i="9"/>
  <c r="N1138" i="9"/>
  <c r="O1138" i="9" s="1"/>
  <c r="J1138" i="9"/>
  <c r="K1138" i="9" s="1"/>
  <c r="G1138" i="9"/>
  <c r="C1138" i="9"/>
  <c r="N1137" i="9"/>
  <c r="O1137" i="9" s="1"/>
  <c r="J1137" i="9"/>
  <c r="K1137" i="9" s="1"/>
  <c r="G1137" i="9"/>
  <c r="C1137" i="9"/>
  <c r="N1136" i="9"/>
  <c r="O1136" i="9" s="1"/>
  <c r="J1136" i="9"/>
  <c r="K1136" i="9" s="1"/>
  <c r="G1136" i="9"/>
  <c r="C1136" i="9"/>
  <c r="N1135" i="9"/>
  <c r="O1135" i="9" s="1"/>
  <c r="K1135" i="9"/>
  <c r="J1135" i="9"/>
  <c r="G1135" i="9"/>
  <c r="C1135" i="9"/>
  <c r="N1134" i="9"/>
  <c r="O1134" i="9" s="1"/>
  <c r="J1134" i="9"/>
  <c r="K1134" i="9" s="1"/>
  <c r="G1134" i="9"/>
  <c r="C1134" i="9"/>
  <c r="N1133" i="9"/>
  <c r="O1133" i="9" s="1"/>
  <c r="J1133" i="9"/>
  <c r="K1133" i="9" s="1"/>
  <c r="G1133" i="9"/>
  <c r="C1133" i="9"/>
  <c r="N1132" i="9"/>
  <c r="O1132" i="9" s="1"/>
  <c r="J1132" i="9"/>
  <c r="K1132" i="9" s="1"/>
  <c r="G1132" i="9"/>
  <c r="C1132" i="9"/>
  <c r="N1131" i="9"/>
  <c r="O1131" i="9" s="1"/>
  <c r="J1131" i="9"/>
  <c r="K1131" i="9" s="1"/>
  <c r="G1131" i="9"/>
  <c r="C1131" i="9"/>
  <c r="N1130" i="9"/>
  <c r="O1130" i="9" s="1"/>
  <c r="J1130" i="9"/>
  <c r="K1130" i="9" s="1"/>
  <c r="G1130" i="9"/>
  <c r="C1130" i="9"/>
  <c r="N1129" i="9"/>
  <c r="O1129" i="9" s="1"/>
  <c r="J1129" i="9"/>
  <c r="K1129" i="9" s="1"/>
  <c r="G1129" i="9"/>
  <c r="C1129" i="9"/>
  <c r="N1128" i="9"/>
  <c r="O1128" i="9" s="1"/>
  <c r="J1128" i="9"/>
  <c r="K1128" i="9" s="1"/>
  <c r="G1128" i="9"/>
  <c r="C1128" i="9"/>
  <c r="N1127" i="9"/>
  <c r="O1127" i="9" s="1"/>
  <c r="J1127" i="9"/>
  <c r="K1127" i="9" s="1"/>
  <c r="G1127" i="9"/>
  <c r="C1127" i="9"/>
  <c r="N1126" i="9"/>
  <c r="O1126" i="9" s="1"/>
  <c r="J1126" i="9"/>
  <c r="K1126" i="9" s="1"/>
  <c r="G1126" i="9"/>
  <c r="C1126" i="9"/>
  <c r="N1125" i="9"/>
  <c r="O1125" i="9" s="1"/>
  <c r="J1125" i="9"/>
  <c r="K1125" i="9" s="1"/>
  <c r="G1125" i="9"/>
  <c r="C1125" i="9"/>
  <c r="O1124" i="9"/>
  <c r="N1124" i="9"/>
  <c r="J1124" i="9"/>
  <c r="K1124" i="9" s="1"/>
  <c r="G1124" i="9"/>
  <c r="C1124" i="9"/>
  <c r="N1123" i="9"/>
  <c r="O1123" i="9" s="1"/>
  <c r="J1123" i="9"/>
  <c r="K1123" i="9" s="1"/>
  <c r="G1123" i="9"/>
  <c r="C1123" i="9"/>
  <c r="N1122" i="9"/>
  <c r="O1122" i="9" s="1"/>
  <c r="J1122" i="9"/>
  <c r="K1122" i="9" s="1"/>
  <c r="G1122" i="9"/>
  <c r="C1122" i="9"/>
  <c r="N1121" i="9"/>
  <c r="O1121" i="9" s="1"/>
  <c r="J1121" i="9"/>
  <c r="K1121" i="9" s="1"/>
  <c r="G1121" i="9"/>
  <c r="C1121" i="9"/>
  <c r="N1120" i="9"/>
  <c r="O1120" i="9" s="1"/>
  <c r="J1120" i="9"/>
  <c r="K1120" i="9" s="1"/>
  <c r="G1120" i="9"/>
  <c r="C1120" i="9"/>
  <c r="N1119" i="9"/>
  <c r="O1119" i="9" s="1"/>
  <c r="K1119" i="9"/>
  <c r="J1119" i="9"/>
  <c r="G1119" i="9"/>
  <c r="C1119" i="9"/>
  <c r="N1118" i="9"/>
  <c r="O1118" i="9" s="1"/>
  <c r="J1118" i="9"/>
  <c r="K1118" i="9" s="1"/>
  <c r="G1118" i="9"/>
  <c r="C1118" i="9"/>
  <c r="N1117" i="9"/>
  <c r="O1117" i="9" s="1"/>
  <c r="J1117" i="9"/>
  <c r="K1117" i="9" s="1"/>
  <c r="G1117" i="9"/>
  <c r="C1117" i="9"/>
  <c r="N1116" i="9"/>
  <c r="O1116" i="9" s="1"/>
  <c r="J1116" i="9"/>
  <c r="K1116" i="9" s="1"/>
  <c r="G1116" i="9"/>
  <c r="C1116" i="9"/>
  <c r="N1115" i="9"/>
  <c r="O1115" i="9" s="1"/>
  <c r="J1115" i="9"/>
  <c r="K1115" i="9" s="1"/>
  <c r="G1115" i="9"/>
  <c r="C1115" i="9"/>
  <c r="N1114" i="9"/>
  <c r="O1114" i="9" s="1"/>
  <c r="J1114" i="9"/>
  <c r="K1114" i="9" s="1"/>
  <c r="G1114" i="9"/>
  <c r="C1114" i="9"/>
  <c r="N1113" i="9"/>
  <c r="O1113" i="9" s="1"/>
  <c r="J1113" i="9"/>
  <c r="K1113" i="9" s="1"/>
  <c r="G1113" i="9"/>
  <c r="C1113" i="9"/>
  <c r="N1112" i="9"/>
  <c r="O1112" i="9" s="1"/>
  <c r="J1112" i="9"/>
  <c r="K1112" i="9" s="1"/>
  <c r="G1112" i="9"/>
  <c r="C1112" i="9"/>
  <c r="N1111" i="9"/>
  <c r="O1111" i="9" s="1"/>
  <c r="J1111" i="9"/>
  <c r="K1111" i="9" s="1"/>
  <c r="G1111" i="9"/>
  <c r="C1111" i="9"/>
  <c r="N1110" i="9"/>
  <c r="O1110" i="9" s="1"/>
  <c r="J1110" i="9"/>
  <c r="K1110" i="9" s="1"/>
  <c r="G1110" i="9"/>
  <c r="C1110" i="9"/>
  <c r="N1109" i="9"/>
  <c r="O1109" i="9" s="1"/>
  <c r="J1109" i="9"/>
  <c r="K1109" i="9" s="1"/>
  <c r="G1109" i="9"/>
  <c r="C1109" i="9"/>
  <c r="O1108" i="9"/>
  <c r="N1108" i="9"/>
  <c r="J1108" i="9"/>
  <c r="K1108" i="9" s="1"/>
  <c r="G1108" i="9"/>
  <c r="C1108" i="9"/>
  <c r="N1107" i="9"/>
  <c r="O1107" i="9" s="1"/>
  <c r="J1107" i="9"/>
  <c r="K1107" i="9" s="1"/>
  <c r="G1107" i="9"/>
  <c r="C1107" i="9"/>
  <c r="N1106" i="9"/>
  <c r="O1106" i="9" s="1"/>
  <c r="J1106" i="9"/>
  <c r="K1106" i="9" s="1"/>
  <c r="G1106" i="9"/>
  <c r="C1106" i="9"/>
  <c r="N1105" i="9"/>
  <c r="O1105" i="9" s="1"/>
  <c r="J1105" i="9"/>
  <c r="K1105" i="9" s="1"/>
  <c r="G1105" i="9"/>
  <c r="C1105" i="9"/>
  <c r="N1104" i="9"/>
  <c r="O1104" i="9" s="1"/>
  <c r="J1104" i="9"/>
  <c r="K1104" i="9" s="1"/>
  <c r="G1104" i="9"/>
  <c r="C1104" i="9"/>
  <c r="N1103" i="9"/>
  <c r="O1103" i="9" s="1"/>
  <c r="K1103" i="9"/>
  <c r="J1103" i="9"/>
  <c r="G1103" i="9"/>
  <c r="C1103" i="9"/>
  <c r="N1102" i="9"/>
  <c r="O1102" i="9" s="1"/>
  <c r="J1102" i="9"/>
  <c r="K1102" i="9" s="1"/>
  <c r="G1102" i="9"/>
  <c r="C1102" i="9"/>
  <c r="N1101" i="9"/>
  <c r="O1101" i="9" s="1"/>
  <c r="J1101" i="9"/>
  <c r="K1101" i="9" s="1"/>
  <c r="G1101" i="9"/>
  <c r="C1101" i="9"/>
  <c r="N1100" i="9"/>
  <c r="O1100" i="9" s="1"/>
  <c r="J1100" i="9"/>
  <c r="K1100" i="9" s="1"/>
  <c r="G1100" i="9"/>
  <c r="C1100" i="9"/>
  <c r="N1099" i="9"/>
  <c r="O1099" i="9" s="1"/>
  <c r="J1099" i="9"/>
  <c r="K1099" i="9" s="1"/>
  <c r="G1099" i="9"/>
  <c r="C1099" i="9"/>
  <c r="N1098" i="9"/>
  <c r="O1098" i="9" s="1"/>
  <c r="J1098" i="9"/>
  <c r="K1098" i="9" s="1"/>
  <c r="G1098" i="9"/>
  <c r="C1098" i="9"/>
  <c r="N1097" i="9"/>
  <c r="O1097" i="9" s="1"/>
  <c r="J1097" i="9"/>
  <c r="K1097" i="9" s="1"/>
  <c r="G1097" i="9"/>
  <c r="C1097" i="9"/>
  <c r="N1096" i="9"/>
  <c r="O1096" i="9" s="1"/>
  <c r="J1096" i="9"/>
  <c r="K1096" i="9" s="1"/>
  <c r="G1096" i="9"/>
  <c r="C1096" i="9"/>
  <c r="N1095" i="9"/>
  <c r="O1095" i="9" s="1"/>
  <c r="J1095" i="9"/>
  <c r="K1095" i="9" s="1"/>
  <c r="G1095" i="9"/>
  <c r="C1095" i="9"/>
  <c r="N1094" i="9"/>
  <c r="O1094" i="9" s="1"/>
  <c r="J1094" i="9"/>
  <c r="K1094" i="9" s="1"/>
  <c r="G1094" i="9"/>
  <c r="C1094" i="9"/>
  <c r="N1093" i="9"/>
  <c r="O1093" i="9" s="1"/>
  <c r="J1093" i="9"/>
  <c r="K1093" i="9" s="1"/>
  <c r="G1093" i="9"/>
  <c r="C1093" i="9"/>
  <c r="O1092" i="9"/>
  <c r="N1092" i="9"/>
  <c r="J1092" i="9"/>
  <c r="K1092" i="9" s="1"/>
  <c r="G1092" i="9"/>
  <c r="C1092" i="9"/>
  <c r="N1091" i="9"/>
  <c r="O1091" i="9" s="1"/>
  <c r="J1091" i="9"/>
  <c r="K1091" i="9" s="1"/>
  <c r="G1091" i="9"/>
  <c r="C1091" i="9"/>
  <c r="N1090" i="9"/>
  <c r="O1090" i="9" s="1"/>
  <c r="J1090" i="9"/>
  <c r="K1090" i="9" s="1"/>
  <c r="G1090" i="9"/>
  <c r="C1090" i="9"/>
  <c r="N1089" i="9"/>
  <c r="O1089" i="9" s="1"/>
  <c r="J1089" i="9"/>
  <c r="K1089" i="9" s="1"/>
  <c r="G1089" i="9"/>
  <c r="C1089" i="9"/>
  <c r="N1088" i="9"/>
  <c r="O1088" i="9" s="1"/>
  <c r="J1088" i="9"/>
  <c r="K1088" i="9" s="1"/>
  <c r="G1088" i="9"/>
  <c r="C1088" i="9"/>
  <c r="N1087" i="9"/>
  <c r="O1087" i="9" s="1"/>
  <c r="K1087" i="9"/>
  <c r="J1087" i="9"/>
  <c r="G1087" i="9"/>
  <c r="C1087" i="9"/>
  <c r="N1086" i="9"/>
  <c r="O1086" i="9" s="1"/>
  <c r="J1086" i="9"/>
  <c r="K1086" i="9" s="1"/>
  <c r="G1086" i="9"/>
  <c r="C1086" i="9"/>
  <c r="N1085" i="9"/>
  <c r="O1085" i="9" s="1"/>
  <c r="J1085" i="9"/>
  <c r="K1085" i="9" s="1"/>
  <c r="G1085" i="9"/>
  <c r="C1085" i="9"/>
  <c r="N1084" i="9"/>
  <c r="O1084" i="9" s="1"/>
  <c r="J1084" i="9"/>
  <c r="K1084" i="9" s="1"/>
  <c r="G1084" i="9"/>
  <c r="C1084" i="9"/>
  <c r="N1083" i="9"/>
  <c r="O1083" i="9" s="1"/>
  <c r="J1083" i="9"/>
  <c r="K1083" i="9" s="1"/>
  <c r="G1083" i="9"/>
  <c r="C1083" i="9"/>
  <c r="N1082" i="9"/>
  <c r="O1082" i="9" s="1"/>
  <c r="J1082" i="9"/>
  <c r="K1082" i="9" s="1"/>
  <c r="G1082" i="9"/>
  <c r="C1082" i="9"/>
  <c r="N1081" i="9"/>
  <c r="O1081" i="9" s="1"/>
  <c r="J1081" i="9"/>
  <c r="K1081" i="9" s="1"/>
  <c r="G1081" i="9"/>
  <c r="C1081" i="9"/>
  <c r="N1080" i="9"/>
  <c r="O1080" i="9" s="1"/>
  <c r="K1080" i="9"/>
  <c r="J1080" i="9"/>
  <c r="G1080" i="9"/>
  <c r="C1080" i="9"/>
  <c r="O1079" i="9"/>
  <c r="N1079" i="9"/>
  <c r="J1079" i="9"/>
  <c r="K1079" i="9" s="1"/>
  <c r="G1079" i="9"/>
  <c r="C1079" i="9"/>
  <c r="N1078" i="9"/>
  <c r="O1078" i="9" s="1"/>
  <c r="J1078" i="9"/>
  <c r="K1078" i="9" s="1"/>
  <c r="G1078" i="9"/>
  <c r="C1078" i="9"/>
  <c r="N1077" i="9"/>
  <c r="O1077" i="9" s="1"/>
  <c r="J1077" i="9"/>
  <c r="K1077" i="9" s="1"/>
  <c r="G1077" i="9"/>
  <c r="C1077" i="9"/>
  <c r="N1076" i="9"/>
  <c r="O1076" i="9" s="1"/>
  <c r="J1076" i="9"/>
  <c r="K1076" i="9" s="1"/>
  <c r="G1076" i="9"/>
  <c r="C1076" i="9"/>
  <c r="O1075" i="9"/>
  <c r="N1075" i="9"/>
  <c r="J1075" i="9"/>
  <c r="K1075" i="9" s="1"/>
  <c r="G1075" i="9"/>
  <c r="C1075" i="9"/>
  <c r="N1074" i="9"/>
  <c r="O1074" i="9" s="1"/>
  <c r="J1074" i="9"/>
  <c r="K1074" i="9" s="1"/>
  <c r="G1074" i="9"/>
  <c r="C1074" i="9"/>
  <c r="N1073" i="9"/>
  <c r="O1073" i="9" s="1"/>
  <c r="K1073" i="9"/>
  <c r="J1073" i="9"/>
  <c r="G1073" i="9"/>
  <c r="C1073" i="9"/>
  <c r="N1072" i="9"/>
  <c r="O1072" i="9" s="1"/>
  <c r="K1072" i="9"/>
  <c r="J1072" i="9"/>
  <c r="G1072" i="9"/>
  <c r="C1072" i="9"/>
  <c r="O1071" i="9"/>
  <c r="N1071" i="9"/>
  <c r="J1071" i="9"/>
  <c r="K1071" i="9" s="1"/>
  <c r="G1071" i="9"/>
  <c r="C1071" i="9"/>
  <c r="N1070" i="9"/>
  <c r="O1070" i="9" s="1"/>
  <c r="K1070" i="9"/>
  <c r="J1070" i="9"/>
  <c r="G1070" i="9"/>
  <c r="C1070" i="9"/>
  <c r="N1069" i="9"/>
  <c r="O1069" i="9" s="1"/>
  <c r="J1069" i="9"/>
  <c r="K1069" i="9" s="1"/>
  <c r="G1069" i="9"/>
  <c r="C1069" i="9"/>
  <c r="N1068" i="9"/>
  <c r="O1068" i="9" s="1"/>
  <c r="K1068" i="9"/>
  <c r="J1068" i="9"/>
  <c r="G1068" i="9"/>
  <c r="C1068" i="9"/>
  <c r="O1067" i="9"/>
  <c r="N1067" i="9"/>
  <c r="J1067" i="9"/>
  <c r="K1067" i="9" s="1"/>
  <c r="G1067" i="9"/>
  <c r="C1067" i="9"/>
  <c r="N1066" i="9"/>
  <c r="O1066" i="9" s="1"/>
  <c r="J1066" i="9"/>
  <c r="K1066" i="9" s="1"/>
  <c r="G1066" i="9"/>
  <c r="C1066" i="9"/>
  <c r="N1065" i="9"/>
  <c r="O1065" i="9" s="1"/>
  <c r="J1065" i="9"/>
  <c r="K1065" i="9" s="1"/>
  <c r="G1065" i="9"/>
  <c r="C1065" i="9"/>
  <c r="N1064" i="9"/>
  <c r="O1064" i="9" s="1"/>
  <c r="K1064" i="9"/>
  <c r="J1064" i="9"/>
  <c r="G1064" i="9"/>
  <c r="C1064" i="9"/>
  <c r="O1063" i="9"/>
  <c r="N1063" i="9"/>
  <c r="J1063" i="9"/>
  <c r="K1063" i="9" s="1"/>
  <c r="G1063" i="9"/>
  <c r="C1063" i="9"/>
  <c r="N1062" i="9"/>
  <c r="O1062" i="9" s="1"/>
  <c r="J1062" i="9"/>
  <c r="K1062" i="9" s="1"/>
  <c r="G1062" i="9"/>
  <c r="C1062" i="9"/>
  <c r="O1061" i="9"/>
  <c r="N1061" i="9"/>
  <c r="J1061" i="9"/>
  <c r="K1061" i="9" s="1"/>
  <c r="G1061" i="9"/>
  <c r="C1061" i="9"/>
  <c r="N1060" i="9"/>
  <c r="O1060" i="9" s="1"/>
  <c r="J1060" i="9"/>
  <c r="K1060" i="9" s="1"/>
  <c r="G1060" i="9"/>
  <c r="C1060" i="9"/>
  <c r="O1059" i="9"/>
  <c r="N1059" i="9"/>
  <c r="J1059" i="9"/>
  <c r="K1059" i="9" s="1"/>
  <c r="G1059" i="9"/>
  <c r="C1059" i="9"/>
  <c r="N1058" i="9"/>
  <c r="O1058" i="9" s="1"/>
  <c r="J1058" i="9"/>
  <c r="K1058" i="9" s="1"/>
  <c r="G1058" i="9"/>
  <c r="C1058" i="9"/>
  <c r="N1057" i="9"/>
  <c r="O1057" i="9" s="1"/>
  <c r="K1057" i="9"/>
  <c r="J1057" i="9"/>
  <c r="G1057" i="9"/>
  <c r="C1057" i="9"/>
  <c r="N1056" i="9"/>
  <c r="O1056" i="9" s="1"/>
  <c r="K1056" i="9"/>
  <c r="J1056" i="9"/>
  <c r="G1056" i="9"/>
  <c r="C1056" i="9"/>
  <c r="O1055" i="9"/>
  <c r="N1055" i="9"/>
  <c r="J1055" i="9"/>
  <c r="K1055" i="9" s="1"/>
  <c r="G1055" i="9"/>
  <c r="C1055" i="9"/>
  <c r="N1054" i="9"/>
  <c r="O1054" i="9" s="1"/>
  <c r="J1054" i="9"/>
  <c r="K1054" i="9" s="1"/>
  <c r="G1054" i="9"/>
  <c r="C1054" i="9"/>
  <c r="N1053" i="9"/>
  <c r="O1053" i="9" s="1"/>
  <c r="J1053" i="9"/>
  <c r="K1053" i="9" s="1"/>
  <c r="G1053" i="9"/>
  <c r="C1053" i="9"/>
  <c r="N1052" i="9"/>
  <c r="O1052" i="9" s="1"/>
  <c r="K1052" i="9"/>
  <c r="J1052" i="9"/>
  <c r="G1052" i="9"/>
  <c r="C1052" i="9"/>
  <c r="O1051" i="9"/>
  <c r="N1051" i="9"/>
  <c r="J1051" i="9"/>
  <c r="K1051" i="9" s="1"/>
  <c r="G1051" i="9"/>
  <c r="C1051" i="9"/>
  <c r="N1050" i="9"/>
  <c r="O1050" i="9" s="1"/>
  <c r="J1050" i="9"/>
  <c r="K1050" i="9" s="1"/>
  <c r="G1050" i="9"/>
  <c r="C1050" i="9"/>
  <c r="N1049" i="9"/>
  <c r="O1049" i="9" s="1"/>
  <c r="J1049" i="9"/>
  <c r="K1049" i="9" s="1"/>
  <c r="G1049" i="9"/>
  <c r="C1049" i="9"/>
  <c r="N1048" i="9"/>
  <c r="O1048" i="9" s="1"/>
  <c r="K1048" i="9"/>
  <c r="J1048" i="9"/>
  <c r="G1048" i="9"/>
  <c r="C1048" i="9"/>
  <c r="O1047" i="9"/>
  <c r="N1047" i="9"/>
  <c r="J1047" i="9"/>
  <c r="K1047" i="9" s="1"/>
  <c r="G1047" i="9"/>
  <c r="C1047" i="9"/>
  <c r="N1046" i="9"/>
  <c r="O1046" i="9" s="1"/>
  <c r="J1046" i="9"/>
  <c r="K1046" i="9" s="1"/>
  <c r="G1046" i="9"/>
  <c r="C1046" i="9"/>
  <c r="N1045" i="9"/>
  <c r="O1045" i="9" s="1"/>
  <c r="J1045" i="9"/>
  <c r="K1045" i="9" s="1"/>
  <c r="G1045" i="9"/>
  <c r="C1045" i="9"/>
  <c r="N1044" i="9"/>
  <c r="O1044" i="9" s="1"/>
  <c r="J1044" i="9"/>
  <c r="K1044" i="9" s="1"/>
  <c r="G1044" i="9"/>
  <c r="C1044" i="9"/>
  <c r="O1043" i="9"/>
  <c r="N1043" i="9"/>
  <c r="J1043" i="9"/>
  <c r="K1043" i="9" s="1"/>
  <c r="G1043" i="9"/>
  <c r="C1043" i="9"/>
  <c r="N1042" i="9"/>
  <c r="O1042" i="9" s="1"/>
  <c r="J1042" i="9"/>
  <c r="K1042" i="9" s="1"/>
  <c r="G1042" i="9"/>
  <c r="C1042" i="9"/>
  <c r="N1041" i="9"/>
  <c r="O1041" i="9" s="1"/>
  <c r="K1041" i="9"/>
  <c r="J1041" i="9"/>
  <c r="G1041" i="9"/>
  <c r="C1041" i="9"/>
  <c r="N1040" i="9"/>
  <c r="O1040" i="9" s="1"/>
  <c r="K1040" i="9"/>
  <c r="J1040" i="9"/>
  <c r="G1040" i="9"/>
  <c r="C1040" i="9"/>
  <c r="O1039" i="9"/>
  <c r="N1039" i="9"/>
  <c r="J1039" i="9"/>
  <c r="K1039" i="9" s="1"/>
  <c r="G1039" i="9"/>
  <c r="C1039" i="9"/>
  <c r="N1038" i="9"/>
  <c r="O1038" i="9" s="1"/>
  <c r="K1038" i="9"/>
  <c r="J1038" i="9"/>
  <c r="G1038" i="9"/>
  <c r="C1038" i="9"/>
  <c r="N1037" i="9"/>
  <c r="O1037" i="9" s="1"/>
  <c r="J1037" i="9"/>
  <c r="K1037" i="9" s="1"/>
  <c r="G1037" i="9"/>
  <c r="C1037" i="9"/>
  <c r="N1036" i="9"/>
  <c r="O1036" i="9" s="1"/>
  <c r="K1036" i="9"/>
  <c r="J1036" i="9"/>
  <c r="G1036" i="9"/>
  <c r="C1036" i="9"/>
  <c r="O1035" i="9"/>
  <c r="N1035" i="9"/>
  <c r="J1035" i="9"/>
  <c r="K1035" i="9" s="1"/>
  <c r="G1035" i="9"/>
  <c r="C1035" i="9"/>
  <c r="N1034" i="9"/>
  <c r="O1034" i="9" s="1"/>
  <c r="J1034" i="9"/>
  <c r="K1034" i="9" s="1"/>
  <c r="G1034" i="9"/>
  <c r="C1034" i="9"/>
  <c r="N1033" i="9"/>
  <c r="O1033" i="9" s="1"/>
  <c r="J1033" i="9"/>
  <c r="K1033" i="9" s="1"/>
  <c r="G1033" i="9"/>
  <c r="C1033" i="9"/>
  <c r="N1032" i="9"/>
  <c r="O1032" i="9" s="1"/>
  <c r="K1032" i="9"/>
  <c r="J1032" i="9"/>
  <c r="G1032" i="9"/>
  <c r="C1032" i="9"/>
  <c r="O1031" i="9"/>
  <c r="N1031" i="9"/>
  <c r="J1031" i="9"/>
  <c r="K1031" i="9" s="1"/>
  <c r="G1031" i="9"/>
  <c r="C1031" i="9"/>
  <c r="N1030" i="9"/>
  <c r="O1030" i="9" s="1"/>
  <c r="J1030" i="9"/>
  <c r="K1030" i="9" s="1"/>
  <c r="G1030" i="9"/>
  <c r="C1030" i="9"/>
  <c r="O1029" i="9"/>
  <c r="N1029" i="9"/>
  <c r="J1029" i="9"/>
  <c r="K1029" i="9" s="1"/>
  <c r="G1029" i="9"/>
  <c r="C1029" i="9"/>
  <c r="N1028" i="9"/>
  <c r="O1028" i="9" s="1"/>
  <c r="J1028" i="9"/>
  <c r="K1028" i="9" s="1"/>
  <c r="G1028" i="9"/>
  <c r="C1028" i="9"/>
  <c r="O1027" i="9"/>
  <c r="N1027" i="9"/>
  <c r="J1027" i="9"/>
  <c r="K1027" i="9" s="1"/>
  <c r="G1027" i="9"/>
  <c r="C1027" i="9"/>
  <c r="N1026" i="9"/>
  <c r="O1026" i="9" s="1"/>
  <c r="J1026" i="9"/>
  <c r="K1026" i="9" s="1"/>
  <c r="G1026" i="9"/>
  <c r="C1026" i="9"/>
  <c r="N1025" i="9"/>
  <c r="O1025" i="9" s="1"/>
  <c r="K1025" i="9"/>
  <c r="J1025" i="9"/>
  <c r="G1025" i="9"/>
  <c r="C1025" i="9"/>
  <c r="N1024" i="9"/>
  <c r="O1024" i="9" s="1"/>
  <c r="K1024" i="9"/>
  <c r="J1024" i="9"/>
  <c r="G1024" i="9"/>
  <c r="C1024" i="9"/>
  <c r="O1023" i="9"/>
  <c r="N1023" i="9"/>
  <c r="J1023" i="9"/>
  <c r="K1023" i="9" s="1"/>
  <c r="G1023" i="9"/>
  <c r="C1023" i="9"/>
  <c r="N1022" i="9"/>
  <c r="O1022" i="9" s="1"/>
  <c r="J1022" i="9"/>
  <c r="K1022" i="9" s="1"/>
  <c r="G1022" i="9"/>
  <c r="C1022" i="9"/>
  <c r="N1021" i="9"/>
  <c r="O1021" i="9" s="1"/>
  <c r="J1021" i="9"/>
  <c r="K1021" i="9" s="1"/>
  <c r="G1021" i="9"/>
  <c r="C1021" i="9"/>
  <c r="N1020" i="9"/>
  <c r="O1020" i="9" s="1"/>
  <c r="K1020" i="9"/>
  <c r="J1020" i="9"/>
  <c r="G1020" i="9"/>
  <c r="C1020" i="9"/>
  <c r="O1019" i="9"/>
  <c r="N1019" i="9"/>
  <c r="J1019" i="9"/>
  <c r="K1019" i="9" s="1"/>
  <c r="G1019" i="9"/>
  <c r="C1019" i="9"/>
  <c r="N1018" i="9"/>
  <c r="O1018" i="9" s="1"/>
  <c r="J1018" i="9"/>
  <c r="K1018" i="9" s="1"/>
  <c r="G1018" i="9"/>
  <c r="C1018" i="9"/>
  <c r="N1017" i="9"/>
  <c r="O1017" i="9" s="1"/>
  <c r="J1017" i="9"/>
  <c r="K1017" i="9" s="1"/>
  <c r="G1017" i="9"/>
  <c r="C1017" i="9"/>
  <c r="N1016" i="9"/>
  <c r="O1016" i="9" s="1"/>
  <c r="K1016" i="9"/>
  <c r="J1016" i="9"/>
  <c r="G1016" i="9"/>
  <c r="C1016" i="9"/>
  <c r="O1015" i="9"/>
  <c r="N1015" i="9"/>
  <c r="J1015" i="9"/>
  <c r="K1015" i="9" s="1"/>
  <c r="G1015" i="9"/>
  <c r="C1015" i="9"/>
  <c r="N1014" i="9"/>
  <c r="O1014" i="9" s="1"/>
  <c r="J1014" i="9"/>
  <c r="K1014" i="9" s="1"/>
  <c r="G1014" i="9"/>
  <c r="C1014" i="9"/>
  <c r="N1013" i="9"/>
  <c r="O1013" i="9" s="1"/>
  <c r="J1013" i="9"/>
  <c r="K1013" i="9" s="1"/>
  <c r="G1013" i="9"/>
  <c r="C1013" i="9"/>
  <c r="N1012" i="9"/>
  <c r="O1012" i="9" s="1"/>
  <c r="K1012" i="9"/>
  <c r="J1012" i="9"/>
  <c r="G1012" i="9"/>
  <c r="C1012" i="9"/>
  <c r="O1011" i="9"/>
  <c r="N1011" i="9"/>
  <c r="J1011" i="9"/>
  <c r="K1011" i="9" s="1"/>
  <c r="G1011" i="9"/>
  <c r="C1011" i="9"/>
  <c r="N1010" i="9"/>
  <c r="O1010" i="9" s="1"/>
  <c r="J1010" i="9"/>
  <c r="K1010" i="9" s="1"/>
  <c r="G1010" i="9"/>
  <c r="C1010" i="9"/>
  <c r="N1009" i="9"/>
  <c r="O1009" i="9" s="1"/>
  <c r="J1009" i="9"/>
  <c r="K1009" i="9" s="1"/>
  <c r="G1009" i="9"/>
  <c r="C1009" i="9"/>
  <c r="N1008" i="9"/>
  <c r="O1008" i="9" s="1"/>
  <c r="K1008" i="9"/>
  <c r="J1008" i="9"/>
  <c r="G1008" i="9"/>
  <c r="C1008" i="9"/>
  <c r="O1007" i="9"/>
  <c r="N1007" i="9"/>
  <c r="J1007" i="9"/>
  <c r="K1007" i="9" s="1"/>
  <c r="G1007" i="9"/>
  <c r="C1007" i="9"/>
  <c r="N1006" i="9"/>
  <c r="O1006" i="9" s="1"/>
  <c r="J1006" i="9"/>
  <c r="K1006" i="9" s="1"/>
  <c r="G1006" i="9"/>
  <c r="C1006" i="9"/>
  <c r="N1005" i="9"/>
  <c r="O1005" i="9" s="1"/>
  <c r="J1005" i="9"/>
  <c r="K1005" i="9" s="1"/>
  <c r="G1005" i="9"/>
  <c r="C1005" i="9"/>
  <c r="N1004" i="9"/>
  <c r="O1004" i="9" s="1"/>
  <c r="K1004" i="9"/>
  <c r="J1004" i="9"/>
  <c r="G1004" i="9"/>
  <c r="C1004" i="9"/>
  <c r="O1003" i="9"/>
  <c r="N1003" i="9"/>
  <c r="J1003" i="9"/>
  <c r="K1003" i="9" s="1"/>
  <c r="G1003" i="9"/>
  <c r="C1003" i="9"/>
  <c r="N1002" i="9"/>
  <c r="O1002" i="9" s="1"/>
  <c r="J1002" i="9"/>
  <c r="K1002" i="9" s="1"/>
  <c r="G1002" i="9"/>
  <c r="C1002" i="9"/>
  <c r="N1001" i="9"/>
  <c r="O1001" i="9" s="1"/>
  <c r="J1001" i="9"/>
  <c r="K1001" i="9" s="1"/>
  <c r="G1001" i="9"/>
  <c r="C1001" i="9"/>
  <c r="N1000" i="9"/>
  <c r="O1000" i="9" s="1"/>
  <c r="K1000" i="9"/>
  <c r="J1000" i="9"/>
  <c r="G1000" i="9"/>
  <c r="C1000" i="9"/>
  <c r="O999" i="9"/>
  <c r="N999" i="9"/>
  <c r="J999" i="9"/>
  <c r="K999" i="9" s="1"/>
  <c r="G999" i="9"/>
  <c r="C999" i="9"/>
  <c r="N998" i="9"/>
  <c r="O998" i="9" s="1"/>
  <c r="J998" i="9"/>
  <c r="K998" i="9" s="1"/>
  <c r="G998" i="9"/>
  <c r="C998" i="9"/>
  <c r="N997" i="9"/>
  <c r="O997" i="9" s="1"/>
  <c r="J997" i="9"/>
  <c r="K997" i="9" s="1"/>
  <c r="G997" i="9"/>
  <c r="C997" i="9"/>
  <c r="N996" i="9"/>
  <c r="O996" i="9" s="1"/>
  <c r="K996" i="9"/>
  <c r="J996" i="9"/>
  <c r="G996" i="9"/>
  <c r="C996" i="9"/>
  <c r="O995" i="9"/>
  <c r="N995" i="9"/>
  <c r="J995" i="9"/>
  <c r="K995" i="9" s="1"/>
  <c r="G995" i="9"/>
  <c r="C995" i="9"/>
  <c r="N994" i="9"/>
  <c r="O994" i="9" s="1"/>
  <c r="J994" i="9"/>
  <c r="K994" i="9" s="1"/>
  <c r="G994" i="9"/>
  <c r="C994" i="9"/>
  <c r="N993" i="9"/>
  <c r="O993" i="9" s="1"/>
  <c r="K993" i="9"/>
  <c r="J993" i="9"/>
  <c r="G993" i="9"/>
  <c r="C993" i="9"/>
  <c r="N992" i="9"/>
  <c r="O992" i="9" s="1"/>
  <c r="J992" i="9"/>
  <c r="K992" i="9" s="1"/>
  <c r="G992" i="9"/>
  <c r="C992" i="9"/>
  <c r="N991" i="9"/>
  <c r="O991" i="9" s="1"/>
  <c r="J991" i="9"/>
  <c r="K991" i="9" s="1"/>
  <c r="G991" i="9"/>
  <c r="C991" i="9"/>
  <c r="N990" i="9"/>
  <c r="O990" i="9" s="1"/>
  <c r="K990" i="9"/>
  <c r="J990" i="9"/>
  <c r="G990" i="9"/>
  <c r="C990" i="9"/>
  <c r="O989" i="9"/>
  <c r="N989" i="9"/>
  <c r="J989" i="9"/>
  <c r="K989" i="9" s="1"/>
  <c r="G989" i="9"/>
  <c r="C989" i="9"/>
  <c r="N988" i="9"/>
  <c r="O988" i="9" s="1"/>
  <c r="K988" i="9"/>
  <c r="J988" i="9"/>
  <c r="G988" i="9"/>
  <c r="C988" i="9"/>
  <c r="N987" i="9"/>
  <c r="O987" i="9" s="1"/>
  <c r="J987" i="9"/>
  <c r="K987" i="9" s="1"/>
  <c r="G987" i="9"/>
  <c r="C987" i="9"/>
  <c r="O986" i="9"/>
  <c r="N986" i="9"/>
  <c r="J986" i="9"/>
  <c r="K986" i="9" s="1"/>
  <c r="G986" i="9"/>
  <c r="C986" i="9"/>
  <c r="N985" i="9"/>
  <c r="O985" i="9" s="1"/>
  <c r="K985" i="9"/>
  <c r="J985" i="9"/>
  <c r="G985" i="9"/>
  <c r="C985" i="9"/>
  <c r="N984" i="9"/>
  <c r="O984" i="9" s="1"/>
  <c r="J984" i="9"/>
  <c r="K984" i="9" s="1"/>
  <c r="G984" i="9"/>
  <c r="C984" i="9"/>
  <c r="N983" i="9"/>
  <c r="O983" i="9" s="1"/>
  <c r="J983" i="9"/>
  <c r="K983" i="9" s="1"/>
  <c r="G983" i="9"/>
  <c r="C983" i="9"/>
  <c r="N982" i="9"/>
  <c r="O982" i="9" s="1"/>
  <c r="K982" i="9"/>
  <c r="J982" i="9"/>
  <c r="G982" i="9"/>
  <c r="C982" i="9"/>
  <c r="O981" i="9"/>
  <c r="N981" i="9"/>
  <c r="J981" i="9"/>
  <c r="K981" i="9" s="1"/>
  <c r="G981" i="9"/>
  <c r="C981" i="9"/>
  <c r="N980" i="9"/>
  <c r="O980" i="9" s="1"/>
  <c r="J980" i="9"/>
  <c r="K980" i="9" s="1"/>
  <c r="G980" i="9"/>
  <c r="C980" i="9"/>
  <c r="O979" i="9"/>
  <c r="N979" i="9"/>
  <c r="J979" i="9"/>
  <c r="K979" i="9" s="1"/>
  <c r="G979" i="9"/>
  <c r="C979" i="9"/>
  <c r="O978" i="9"/>
  <c r="N978" i="9"/>
  <c r="J978" i="9"/>
  <c r="K978" i="9" s="1"/>
  <c r="G978" i="9"/>
  <c r="C978" i="9"/>
  <c r="N977" i="9"/>
  <c r="O977" i="9" s="1"/>
  <c r="K977" i="9"/>
  <c r="J977" i="9"/>
  <c r="G977" i="9"/>
  <c r="C977" i="9"/>
  <c r="N976" i="9"/>
  <c r="O976" i="9" s="1"/>
  <c r="J976" i="9"/>
  <c r="K976" i="9" s="1"/>
  <c r="G976" i="9"/>
  <c r="C976" i="9"/>
  <c r="N975" i="9"/>
  <c r="O975" i="9" s="1"/>
  <c r="J975" i="9"/>
  <c r="K975" i="9" s="1"/>
  <c r="G975" i="9"/>
  <c r="C975" i="9"/>
  <c r="N974" i="9"/>
  <c r="O974" i="9" s="1"/>
  <c r="K974" i="9"/>
  <c r="J974" i="9"/>
  <c r="G974" i="9"/>
  <c r="C974" i="9"/>
  <c r="O973" i="9"/>
  <c r="N973" i="9"/>
  <c r="J973" i="9"/>
  <c r="K973" i="9" s="1"/>
  <c r="G973" i="9"/>
  <c r="C973" i="9"/>
  <c r="N972" i="9"/>
  <c r="O972" i="9" s="1"/>
  <c r="K972" i="9"/>
  <c r="J972" i="9"/>
  <c r="G972" i="9"/>
  <c r="C972" i="9"/>
  <c r="N971" i="9"/>
  <c r="O971" i="9" s="1"/>
  <c r="J971" i="9"/>
  <c r="K971" i="9" s="1"/>
  <c r="G971" i="9"/>
  <c r="C971" i="9"/>
  <c r="O970" i="9"/>
  <c r="N970" i="9"/>
  <c r="J970" i="9"/>
  <c r="K970" i="9" s="1"/>
  <c r="G970" i="9"/>
  <c r="C970" i="9"/>
  <c r="N969" i="9"/>
  <c r="O969" i="9" s="1"/>
  <c r="K969" i="9"/>
  <c r="J969" i="9"/>
  <c r="G969" i="9"/>
  <c r="C969" i="9"/>
  <c r="N968" i="9"/>
  <c r="O968" i="9" s="1"/>
  <c r="J968" i="9"/>
  <c r="K968" i="9" s="1"/>
  <c r="G968" i="9"/>
  <c r="C968" i="9"/>
  <c r="N967" i="9"/>
  <c r="O967" i="9" s="1"/>
  <c r="J967" i="9"/>
  <c r="K967" i="9" s="1"/>
  <c r="G967" i="9"/>
  <c r="C967" i="9"/>
  <c r="N966" i="9"/>
  <c r="O966" i="9" s="1"/>
  <c r="K966" i="9"/>
  <c r="J966" i="9"/>
  <c r="G966" i="9"/>
  <c r="C966" i="9"/>
  <c r="O965" i="9"/>
  <c r="N965" i="9"/>
  <c r="J965" i="9"/>
  <c r="K965" i="9" s="1"/>
  <c r="G965" i="9"/>
  <c r="C965" i="9"/>
  <c r="N964" i="9"/>
  <c r="O964" i="9" s="1"/>
  <c r="J964" i="9"/>
  <c r="K964" i="9" s="1"/>
  <c r="G964" i="9"/>
  <c r="C964" i="9"/>
  <c r="O963" i="9"/>
  <c r="N963" i="9"/>
  <c r="J963" i="9"/>
  <c r="K963" i="9" s="1"/>
  <c r="G963" i="9"/>
  <c r="C963" i="9"/>
  <c r="O962" i="9"/>
  <c r="N962" i="9"/>
  <c r="J962" i="9"/>
  <c r="K962" i="9" s="1"/>
  <c r="G962" i="9"/>
  <c r="C962" i="9"/>
  <c r="N961" i="9"/>
  <c r="O961" i="9" s="1"/>
  <c r="K961" i="9"/>
  <c r="J961" i="9"/>
  <c r="G961" i="9"/>
  <c r="C961" i="9"/>
  <c r="N960" i="9"/>
  <c r="O960" i="9" s="1"/>
  <c r="J960" i="9"/>
  <c r="K960" i="9" s="1"/>
  <c r="G960" i="9"/>
  <c r="C960" i="9"/>
  <c r="N959" i="9"/>
  <c r="O959" i="9" s="1"/>
  <c r="J959" i="9"/>
  <c r="K959" i="9" s="1"/>
  <c r="G959" i="9"/>
  <c r="C959" i="9"/>
  <c r="N958" i="9"/>
  <c r="O958" i="9" s="1"/>
  <c r="K958" i="9"/>
  <c r="J958" i="9"/>
  <c r="G958" i="9"/>
  <c r="C958" i="9"/>
  <c r="O957" i="9"/>
  <c r="N957" i="9"/>
  <c r="J957" i="9"/>
  <c r="K957" i="9" s="1"/>
  <c r="G957" i="9"/>
  <c r="C957" i="9"/>
  <c r="N956" i="9"/>
  <c r="O956" i="9" s="1"/>
  <c r="K956" i="9"/>
  <c r="J956" i="9"/>
  <c r="G956" i="9"/>
  <c r="C956" i="9"/>
  <c r="N955" i="9"/>
  <c r="O955" i="9" s="1"/>
  <c r="J955" i="9"/>
  <c r="K955" i="9" s="1"/>
  <c r="G955" i="9"/>
  <c r="C955" i="9"/>
  <c r="O954" i="9"/>
  <c r="N954" i="9"/>
  <c r="J954" i="9"/>
  <c r="K954" i="9" s="1"/>
  <c r="G954" i="9"/>
  <c r="C954" i="9"/>
  <c r="N953" i="9"/>
  <c r="O953" i="9" s="1"/>
  <c r="K953" i="9"/>
  <c r="J953" i="9"/>
  <c r="G953" i="9"/>
  <c r="C953" i="9"/>
  <c r="N952" i="9"/>
  <c r="O952" i="9" s="1"/>
  <c r="J952" i="9"/>
  <c r="K952" i="9" s="1"/>
  <c r="G952" i="9"/>
  <c r="C952" i="9"/>
  <c r="N951" i="9"/>
  <c r="O951" i="9" s="1"/>
  <c r="J951" i="9"/>
  <c r="K951" i="9" s="1"/>
  <c r="G951" i="9"/>
  <c r="C951" i="9"/>
  <c r="N950" i="9"/>
  <c r="O950" i="9" s="1"/>
  <c r="K950" i="9"/>
  <c r="J950" i="9"/>
  <c r="G950" i="9"/>
  <c r="C950" i="9"/>
  <c r="O949" i="9"/>
  <c r="N949" i="9"/>
  <c r="J949" i="9"/>
  <c r="K949" i="9" s="1"/>
  <c r="G949" i="9"/>
  <c r="C949" i="9"/>
  <c r="N948" i="9"/>
  <c r="O948" i="9" s="1"/>
  <c r="J948" i="9"/>
  <c r="K948" i="9" s="1"/>
  <c r="G948" i="9"/>
  <c r="C948" i="9"/>
  <c r="O947" i="9"/>
  <c r="N947" i="9"/>
  <c r="J947" i="9"/>
  <c r="K947" i="9" s="1"/>
  <c r="G947" i="9"/>
  <c r="C947" i="9"/>
  <c r="O946" i="9"/>
  <c r="N946" i="9"/>
  <c r="J946" i="9"/>
  <c r="K946" i="9" s="1"/>
  <c r="G946" i="9"/>
  <c r="C946" i="9"/>
  <c r="N945" i="9"/>
  <c r="O945" i="9" s="1"/>
  <c r="K945" i="9"/>
  <c r="J945" i="9"/>
  <c r="G945" i="9"/>
  <c r="C945" i="9"/>
  <c r="N944" i="9"/>
  <c r="O944" i="9" s="1"/>
  <c r="J944" i="9"/>
  <c r="K944" i="9" s="1"/>
  <c r="G944" i="9"/>
  <c r="C944" i="9"/>
  <c r="N943" i="9"/>
  <c r="O943" i="9" s="1"/>
  <c r="J943" i="9"/>
  <c r="K943" i="9" s="1"/>
  <c r="G943" i="9"/>
  <c r="C943" i="9"/>
  <c r="N942" i="9"/>
  <c r="O942" i="9" s="1"/>
  <c r="K942" i="9"/>
  <c r="J942" i="9"/>
  <c r="G942" i="9"/>
  <c r="C942" i="9"/>
  <c r="O941" i="9"/>
  <c r="N941" i="9"/>
  <c r="J941" i="9"/>
  <c r="K941" i="9" s="1"/>
  <c r="G941" i="9"/>
  <c r="C941" i="9"/>
  <c r="N940" i="9"/>
  <c r="O940" i="9" s="1"/>
  <c r="K940" i="9"/>
  <c r="J940" i="9"/>
  <c r="G940" i="9"/>
  <c r="C940" i="9"/>
  <c r="N939" i="9"/>
  <c r="O939" i="9" s="1"/>
  <c r="J939" i="9"/>
  <c r="K939" i="9" s="1"/>
  <c r="G939" i="9"/>
  <c r="C939" i="9"/>
  <c r="O938" i="9"/>
  <c r="N938" i="9"/>
  <c r="J938" i="9"/>
  <c r="K938" i="9" s="1"/>
  <c r="G938" i="9"/>
  <c r="C938" i="9"/>
  <c r="N937" i="9"/>
  <c r="O937" i="9" s="1"/>
  <c r="K937" i="9"/>
  <c r="J937" i="9"/>
  <c r="G937" i="9"/>
  <c r="C937" i="9"/>
  <c r="N936" i="9"/>
  <c r="O936" i="9" s="1"/>
  <c r="J936" i="9"/>
  <c r="K936" i="9" s="1"/>
  <c r="G936" i="9"/>
  <c r="C936" i="9"/>
  <c r="N935" i="9"/>
  <c r="O935" i="9" s="1"/>
  <c r="J935" i="9"/>
  <c r="K935" i="9" s="1"/>
  <c r="G935" i="9"/>
  <c r="C935" i="9"/>
  <c r="N934" i="9"/>
  <c r="O934" i="9" s="1"/>
  <c r="K934" i="9"/>
  <c r="J934" i="9"/>
  <c r="G934" i="9"/>
  <c r="C934" i="9"/>
  <c r="O933" i="9"/>
  <c r="N933" i="9"/>
  <c r="J933" i="9"/>
  <c r="K933" i="9" s="1"/>
  <c r="G933" i="9"/>
  <c r="C933" i="9"/>
  <c r="N932" i="9"/>
  <c r="O932" i="9" s="1"/>
  <c r="J932" i="9"/>
  <c r="K932" i="9" s="1"/>
  <c r="G932" i="9"/>
  <c r="C932" i="9"/>
  <c r="O931" i="9"/>
  <c r="N931" i="9"/>
  <c r="J931" i="9"/>
  <c r="K931" i="9" s="1"/>
  <c r="G931" i="9"/>
  <c r="C931" i="9"/>
  <c r="O930" i="9"/>
  <c r="N930" i="9"/>
  <c r="J930" i="9"/>
  <c r="K930" i="9" s="1"/>
  <c r="G930" i="9"/>
  <c r="C930" i="9"/>
  <c r="N929" i="9"/>
  <c r="O929" i="9" s="1"/>
  <c r="K929" i="9"/>
  <c r="J929" i="9"/>
  <c r="G929" i="9"/>
  <c r="C929" i="9"/>
  <c r="N928" i="9"/>
  <c r="O928" i="9" s="1"/>
  <c r="J928" i="9"/>
  <c r="K928" i="9" s="1"/>
  <c r="G928" i="9"/>
  <c r="C928" i="9"/>
  <c r="N927" i="9"/>
  <c r="O927" i="9" s="1"/>
  <c r="J927" i="9"/>
  <c r="K927" i="9" s="1"/>
  <c r="G927" i="9"/>
  <c r="C927" i="9"/>
  <c r="N926" i="9"/>
  <c r="O926" i="9" s="1"/>
  <c r="K926" i="9"/>
  <c r="J926" i="9"/>
  <c r="G926" i="9"/>
  <c r="C926" i="9"/>
  <c r="O925" i="9"/>
  <c r="N925" i="9"/>
  <c r="J925" i="9"/>
  <c r="K925" i="9" s="1"/>
  <c r="G925" i="9"/>
  <c r="C925" i="9"/>
  <c r="N924" i="9"/>
  <c r="O924" i="9" s="1"/>
  <c r="K924" i="9"/>
  <c r="J924" i="9"/>
  <c r="G924" i="9"/>
  <c r="C924" i="9"/>
  <c r="N923" i="9"/>
  <c r="O923" i="9" s="1"/>
  <c r="J923" i="9"/>
  <c r="K923" i="9" s="1"/>
  <c r="G923" i="9"/>
  <c r="C923" i="9"/>
  <c r="O922" i="9"/>
  <c r="N922" i="9"/>
  <c r="J922" i="9"/>
  <c r="K922" i="9" s="1"/>
  <c r="G922" i="9"/>
  <c r="C922" i="9"/>
  <c r="N921" i="9"/>
  <c r="O921" i="9" s="1"/>
  <c r="K921" i="9"/>
  <c r="J921" i="9"/>
  <c r="G921" i="9"/>
  <c r="C921" i="9"/>
  <c r="N920" i="9"/>
  <c r="O920" i="9" s="1"/>
  <c r="J920" i="9"/>
  <c r="K920" i="9" s="1"/>
  <c r="G920" i="9"/>
  <c r="C920" i="9"/>
  <c r="O919" i="9"/>
  <c r="N919" i="9"/>
  <c r="J919" i="9"/>
  <c r="K919" i="9" s="1"/>
  <c r="G919" i="9"/>
  <c r="C919" i="9"/>
  <c r="N918" i="9"/>
  <c r="O918" i="9" s="1"/>
  <c r="K918" i="9"/>
  <c r="J918" i="9"/>
  <c r="G918" i="9"/>
  <c r="C918" i="9"/>
  <c r="O917" i="9"/>
  <c r="N917" i="9"/>
  <c r="J917" i="9"/>
  <c r="K917" i="9" s="1"/>
  <c r="G917" i="9"/>
  <c r="C917" i="9"/>
  <c r="N916" i="9"/>
  <c r="O916" i="9" s="1"/>
  <c r="J916" i="9"/>
  <c r="K916" i="9" s="1"/>
  <c r="G916" i="9"/>
  <c r="C916" i="9"/>
  <c r="O915" i="9"/>
  <c r="N915" i="9"/>
  <c r="J915" i="9"/>
  <c r="K915" i="9" s="1"/>
  <c r="G915" i="9"/>
  <c r="C915" i="9"/>
  <c r="O914" i="9"/>
  <c r="N914" i="9"/>
  <c r="J914" i="9"/>
  <c r="K914" i="9" s="1"/>
  <c r="G914" i="9"/>
  <c r="C914" i="9"/>
  <c r="N913" i="9"/>
  <c r="O913" i="9" s="1"/>
  <c r="K913" i="9"/>
  <c r="J913" i="9"/>
  <c r="G913" i="9"/>
  <c r="C913" i="9"/>
  <c r="N912" i="9"/>
  <c r="O912" i="9" s="1"/>
  <c r="K912" i="9"/>
  <c r="J912" i="9"/>
  <c r="G912" i="9"/>
  <c r="C912" i="9"/>
  <c r="N911" i="9"/>
  <c r="O911" i="9" s="1"/>
  <c r="J911" i="9"/>
  <c r="K911" i="9" s="1"/>
  <c r="G911" i="9"/>
  <c r="C911" i="9"/>
  <c r="N910" i="9"/>
  <c r="O910" i="9" s="1"/>
  <c r="K910" i="9"/>
  <c r="J910" i="9"/>
  <c r="G910" i="9"/>
  <c r="C910" i="9"/>
  <c r="O909" i="9"/>
  <c r="N909" i="9"/>
  <c r="J909" i="9"/>
  <c r="K909" i="9" s="1"/>
  <c r="G909" i="9"/>
  <c r="C909" i="9"/>
  <c r="N908" i="9"/>
  <c r="O908" i="9" s="1"/>
  <c r="K908" i="9"/>
  <c r="J908" i="9"/>
  <c r="G908" i="9"/>
  <c r="C908" i="9"/>
  <c r="N907" i="9"/>
  <c r="O907" i="9" s="1"/>
  <c r="J907" i="9"/>
  <c r="K907" i="9" s="1"/>
  <c r="G907" i="9"/>
  <c r="C907" i="9"/>
  <c r="O906" i="9"/>
  <c r="N906" i="9"/>
  <c r="J906" i="9"/>
  <c r="K906" i="9" s="1"/>
  <c r="G906" i="9"/>
  <c r="C906" i="9"/>
  <c r="N905" i="9"/>
  <c r="O905" i="9" s="1"/>
  <c r="K905" i="9"/>
  <c r="J905" i="9"/>
  <c r="G905" i="9"/>
  <c r="C905" i="9"/>
  <c r="N904" i="9"/>
  <c r="O904" i="9" s="1"/>
  <c r="J904" i="9"/>
  <c r="K904" i="9" s="1"/>
  <c r="G904" i="9"/>
  <c r="C904" i="9"/>
  <c r="O903" i="9"/>
  <c r="N903" i="9"/>
  <c r="J903" i="9"/>
  <c r="K903" i="9" s="1"/>
  <c r="G903" i="9"/>
  <c r="C903" i="9"/>
  <c r="N902" i="9"/>
  <c r="O902" i="9" s="1"/>
  <c r="J902" i="9"/>
  <c r="K902" i="9" s="1"/>
  <c r="G902" i="9"/>
  <c r="C902" i="9"/>
  <c r="O901" i="9"/>
  <c r="N901" i="9"/>
  <c r="J901" i="9"/>
  <c r="K901" i="9" s="1"/>
  <c r="G901" i="9"/>
  <c r="C901" i="9"/>
  <c r="N900" i="9"/>
  <c r="O900" i="9" s="1"/>
  <c r="J900" i="9"/>
  <c r="K900" i="9" s="1"/>
  <c r="G900" i="9"/>
  <c r="C900" i="9"/>
  <c r="O899" i="9"/>
  <c r="N899" i="9"/>
  <c r="J899" i="9"/>
  <c r="K899" i="9" s="1"/>
  <c r="G899" i="9"/>
  <c r="C899" i="9"/>
  <c r="O898" i="9"/>
  <c r="N898" i="9"/>
  <c r="J898" i="9"/>
  <c r="K898" i="9" s="1"/>
  <c r="G898" i="9"/>
  <c r="C898" i="9"/>
  <c r="N897" i="9"/>
  <c r="O897" i="9" s="1"/>
  <c r="K897" i="9"/>
  <c r="J897" i="9"/>
  <c r="G897" i="9"/>
  <c r="C897" i="9"/>
  <c r="N896" i="9"/>
  <c r="O896" i="9" s="1"/>
  <c r="K896" i="9"/>
  <c r="J896" i="9"/>
  <c r="G896" i="9"/>
  <c r="C896" i="9"/>
  <c r="N895" i="9"/>
  <c r="O895" i="9" s="1"/>
  <c r="J895" i="9"/>
  <c r="K895" i="9" s="1"/>
  <c r="G895" i="9"/>
  <c r="C895" i="9"/>
  <c r="N894" i="9"/>
  <c r="O894" i="9" s="1"/>
  <c r="K894" i="9"/>
  <c r="J894" i="9"/>
  <c r="G894" i="9"/>
  <c r="C894" i="9"/>
  <c r="N893" i="9"/>
  <c r="O893" i="9" s="1"/>
  <c r="J893" i="9"/>
  <c r="K893" i="9" s="1"/>
  <c r="G893" i="9"/>
  <c r="C893" i="9"/>
  <c r="N892" i="9"/>
  <c r="O892" i="9" s="1"/>
  <c r="K892" i="9"/>
  <c r="J892" i="9"/>
  <c r="G892" i="9"/>
  <c r="C892" i="9"/>
  <c r="N891" i="9"/>
  <c r="O891" i="9" s="1"/>
  <c r="J891" i="9"/>
  <c r="K891" i="9" s="1"/>
  <c r="G891" i="9"/>
  <c r="C891" i="9"/>
  <c r="N890" i="9"/>
  <c r="O890" i="9" s="1"/>
  <c r="J890" i="9"/>
  <c r="K890" i="9" s="1"/>
  <c r="G890" i="9"/>
  <c r="C890" i="9"/>
  <c r="N889" i="9"/>
  <c r="O889" i="9" s="1"/>
  <c r="J889" i="9"/>
  <c r="K889" i="9" s="1"/>
  <c r="G889" i="9"/>
  <c r="C889" i="9"/>
  <c r="N888" i="9"/>
  <c r="O888" i="9" s="1"/>
  <c r="J888" i="9"/>
  <c r="K888" i="9" s="1"/>
  <c r="G888" i="9"/>
  <c r="C888" i="9"/>
  <c r="O887" i="9"/>
  <c r="N887" i="9"/>
  <c r="J887" i="9"/>
  <c r="K887" i="9" s="1"/>
  <c r="G887" i="9"/>
  <c r="C887" i="9"/>
  <c r="N886" i="9"/>
  <c r="O886" i="9" s="1"/>
  <c r="J886" i="9"/>
  <c r="K886" i="9" s="1"/>
  <c r="G886" i="9"/>
  <c r="C886" i="9"/>
  <c r="O885" i="9"/>
  <c r="N885" i="9"/>
  <c r="J885" i="9"/>
  <c r="K885" i="9" s="1"/>
  <c r="G885" i="9"/>
  <c r="C885" i="9"/>
  <c r="N884" i="9"/>
  <c r="O884" i="9" s="1"/>
  <c r="J884" i="9"/>
  <c r="K884" i="9" s="1"/>
  <c r="G884" i="9"/>
  <c r="C884" i="9"/>
  <c r="O883" i="9"/>
  <c r="N883" i="9"/>
  <c r="J883" i="9"/>
  <c r="K883" i="9" s="1"/>
  <c r="G883" i="9"/>
  <c r="C883" i="9"/>
  <c r="O882" i="9"/>
  <c r="N882" i="9"/>
  <c r="J882" i="9"/>
  <c r="K882" i="9" s="1"/>
  <c r="G882" i="9"/>
  <c r="C882" i="9"/>
  <c r="N881" i="9"/>
  <c r="O881" i="9" s="1"/>
  <c r="K881" i="9"/>
  <c r="J881" i="9"/>
  <c r="G881" i="9"/>
  <c r="C881" i="9"/>
  <c r="N880" i="9"/>
  <c r="O880" i="9" s="1"/>
  <c r="K880" i="9"/>
  <c r="J880" i="9"/>
  <c r="G880" i="9"/>
  <c r="C880" i="9"/>
  <c r="N879" i="9"/>
  <c r="O879" i="9" s="1"/>
  <c r="J879" i="9"/>
  <c r="K879" i="9" s="1"/>
  <c r="G879" i="9"/>
  <c r="C879" i="9"/>
  <c r="N878" i="9"/>
  <c r="O878" i="9" s="1"/>
  <c r="K878" i="9"/>
  <c r="J878" i="9"/>
  <c r="G878" i="9"/>
  <c r="C878" i="9"/>
  <c r="N877" i="9"/>
  <c r="O877" i="9" s="1"/>
  <c r="J877" i="9"/>
  <c r="K877" i="9" s="1"/>
  <c r="G877" i="9"/>
  <c r="C877" i="9"/>
  <c r="N876" i="9"/>
  <c r="O876" i="9" s="1"/>
  <c r="K876" i="9"/>
  <c r="J876" i="9"/>
  <c r="G876" i="9"/>
  <c r="C876" i="9"/>
  <c r="N875" i="9"/>
  <c r="O875" i="9" s="1"/>
  <c r="J875" i="9"/>
  <c r="K875" i="9" s="1"/>
  <c r="G875" i="9"/>
  <c r="C875" i="9"/>
  <c r="N874" i="9"/>
  <c r="O874" i="9" s="1"/>
  <c r="J874" i="9"/>
  <c r="K874" i="9" s="1"/>
  <c r="G874" i="9"/>
  <c r="C874" i="9"/>
  <c r="N873" i="9"/>
  <c r="O873" i="9" s="1"/>
  <c r="J873" i="9"/>
  <c r="K873" i="9" s="1"/>
  <c r="G873" i="9"/>
  <c r="C873" i="9"/>
  <c r="N872" i="9"/>
  <c r="O872" i="9" s="1"/>
  <c r="J872" i="9"/>
  <c r="K872" i="9" s="1"/>
  <c r="G872" i="9"/>
  <c r="C872" i="9"/>
  <c r="O871" i="9"/>
  <c r="N871" i="9"/>
  <c r="J871" i="9"/>
  <c r="K871" i="9" s="1"/>
  <c r="G871" i="9"/>
  <c r="C871" i="9"/>
  <c r="N870" i="9"/>
  <c r="O870" i="9" s="1"/>
  <c r="J870" i="9"/>
  <c r="K870" i="9" s="1"/>
  <c r="G870" i="9"/>
  <c r="C870" i="9"/>
  <c r="O869" i="9"/>
  <c r="N869" i="9"/>
  <c r="J869" i="9"/>
  <c r="K869" i="9" s="1"/>
  <c r="G869" i="9"/>
  <c r="C869" i="9"/>
  <c r="N868" i="9"/>
  <c r="O868" i="9" s="1"/>
  <c r="J868" i="9"/>
  <c r="K868" i="9" s="1"/>
  <c r="G868" i="9"/>
  <c r="C868" i="9"/>
  <c r="O867" i="9"/>
  <c r="N867" i="9"/>
  <c r="J867" i="9"/>
  <c r="K867" i="9" s="1"/>
  <c r="G867" i="9"/>
  <c r="C867" i="9"/>
  <c r="O866" i="9"/>
  <c r="N866" i="9"/>
  <c r="J866" i="9"/>
  <c r="K866" i="9" s="1"/>
  <c r="G866" i="9"/>
  <c r="C866" i="9"/>
  <c r="N865" i="9"/>
  <c r="O865" i="9" s="1"/>
  <c r="J865" i="9"/>
  <c r="K865" i="9" s="1"/>
  <c r="G865" i="9"/>
  <c r="C865" i="9"/>
  <c r="N864" i="9"/>
  <c r="O864" i="9" s="1"/>
  <c r="J864" i="9"/>
  <c r="K864" i="9" s="1"/>
  <c r="G864" i="9"/>
  <c r="C864" i="9"/>
  <c r="O863" i="9"/>
  <c r="N863" i="9"/>
  <c r="J863" i="9"/>
  <c r="K863" i="9" s="1"/>
  <c r="G863" i="9"/>
  <c r="C863" i="9"/>
  <c r="N862" i="9"/>
  <c r="O862" i="9" s="1"/>
  <c r="J862" i="9"/>
  <c r="K862" i="9" s="1"/>
  <c r="G862" i="9"/>
  <c r="C862" i="9"/>
  <c r="N861" i="9"/>
  <c r="O861" i="9" s="1"/>
  <c r="J861" i="9"/>
  <c r="K861" i="9" s="1"/>
  <c r="G861" i="9"/>
  <c r="C861" i="9"/>
  <c r="N860" i="9"/>
  <c r="O860" i="9" s="1"/>
  <c r="K860" i="9"/>
  <c r="J860" i="9"/>
  <c r="G860" i="9"/>
  <c r="C860" i="9"/>
  <c r="N859" i="9"/>
  <c r="O859" i="9" s="1"/>
  <c r="J859" i="9"/>
  <c r="K859" i="9" s="1"/>
  <c r="G859" i="9"/>
  <c r="C859" i="9"/>
  <c r="N858" i="9"/>
  <c r="O858" i="9" s="1"/>
  <c r="J858" i="9"/>
  <c r="K858" i="9" s="1"/>
  <c r="G858" i="9"/>
  <c r="C858" i="9"/>
  <c r="O857" i="9"/>
  <c r="N857" i="9"/>
  <c r="J857" i="9"/>
  <c r="K857" i="9" s="1"/>
  <c r="G857" i="9"/>
  <c r="C857" i="9"/>
  <c r="N856" i="9"/>
  <c r="O856" i="9" s="1"/>
  <c r="K856" i="9"/>
  <c r="J856" i="9"/>
  <c r="G856" i="9"/>
  <c r="C856" i="9"/>
  <c r="N855" i="9"/>
  <c r="O855" i="9" s="1"/>
  <c r="J855" i="9"/>
  <c r="K855" i="9" s="1"/>
  <c r="G855" i="9"/>
  <c r="C855" i="9"/>
  <c r="N854" i="9"/>
  <c r="O854" i="9" s="1"/>
  <c r="J854" i="9"/>
  <c r="K854" i="9" s="1"/>
  <c r="G854" i="9"/>
  <c r="C854" i="9"/>
  <c r="N853" i="9"/>
  <c r="O853" i="9" s="1"/>
  <c r="J853" i="9"/>
  <c r="K853" i="9" s="1"/>
  <c r="G853" i="9"/>
  <c r="C853" i="9"/>
  <c r="N852" i="9"/>
  <c r="O852" i="9" s="1"/>
  <c r="K852" i="9"/>
  <c r="J852" i="9"/>
  <c r="G852" i="9"/>
  <c r="C852" i="9"/>
  <c r="N851" i="9"/>
  <c r="O851" i="9" s="1"/>
  <c r="J851" i="9"/>
  <c r="K851" i="9" s="1"/>
  <c r="G851" i="9"/>
  <c r="C851" i="9"/>
  <c r="N850" i="9"/>
  <c r="O850" i="9" s="1"/>
  <c r="J850" i="9"/>
  <c r="K850" i="9" s="1"/>
  <c r="G850" i="9"/>
  <c r="C850" i="9"/>
  <c r="N849" i="9"/>
  <c r="O849" i="9" s="1"/>
  <c r="J849" i="9"/>
  <c r="K849" i="9" s="1"/>
  <c r="G849" i="9"/>
  <c r="C849" i="9"/>
  <c r="N848" i="9"/>
  <c r="O848" i="9" s="1"/>
  <c r="J848" i="9"/>
  <c r="K848" i="9" s="1"/>
  <c r="G848" i="9"/>
  <c r="C848" i="9"/>
  <c r="N847" i="9"/>
  <c r="O847" i="9" s="1"/>
  <c r="J847" i="9"/>
  <c r="K847" i="9" s="1"/>
  <c r="G847" i="9"/>
  <c r="C847" i="9"/>
  <c r="N846" i="9"/>
  <c r="O846" i="9" s="1"/>
  <c r="J846" i="9"/>
  <c r="K846" i="9" s="1"/>
  <c r="G846" i="9"/>
  <c r="C846" i="9"/>
  <c r="O845" i="9"/>
  <c r="N845" i="9"/>
  <c r="J845" i="9"/>
  <c r="K845" i="9" s="1"/>
  <c r="G845" i="9"/>
  <c r="C845" i="9"/>
  <c r="N844" i="9"/>
  <c r="O844" i="9" s="1"/>
  <c r="J844" i="9"/>
  <c r="K844" i="9" s="1"/>
  <c r="G844" i="9"/>
  <c r="C844" i="9"/>
  <c r="N843" i="9"/>
  <c r="O843" i="9" s="1"/>
  <c r="J843" i="9"/>
  <c r="K843" i="9" s="1"/>
  <c r="G843" i="9"/>
  <c r="C843" i="9"/>
  <c r="N842" i="9"/>
  <c r="O842" i="9" s="1"/>
  <c r="J842" i="9"/>
  <c r="K842" i="9" s="1"/>
  <c r="G842" i="9"/>
  <c r="C842" i="9"/>
  <c r="O841" i="9"/>
  <c r="N841" i="9"/>
  <c r="J841" i="9"/>
  <c r="K841" i="9" s="1"/>
  <c r="G841" i="9"/>
  <c r="C841" i="9"/>
  <c r="N840" i="9"/>
  <c r="O840" i="9" s="1"/>
  <c r="K840" i="9"/>
  <c r="J840" i="9"/>
  <c r="G840" i="9"/>
  <c r="C840" i="9"/>
  <c r="N839" i="9"/>
  <c r="O839" i="9" s="1"/>
  <c r="J839" i="9"/>
  <c r="K839" i="9" s="1"/>
  <c r="G839" i="9"/>
  <c r="C839" i="9"/>
  <c r="N838" i="9"/>
  <c r="O838" i="9" s="1"/>
  <c r="J838" i="9"/>
  <c r="K838" i="9" s="1"/>
  <c r="G838" i="9"/>
  <c r="C838" i="9"/>
  <c r="N837" i="9"/>
  <c r="O837" i="9" s="1"/>
  <c r="J837" i="9"/>
  <c r="K837" i="9" s="1"/>
  <c r="G837" i="9"/>
  <c r="C837" i="9"/>
  <c r="N836" i="9"/>
  <c r="O836" i="9" s="1"/>
  <c r="K836" i="9"/>
  <c r="J836" i="9"/>
  <c r="G836" i="9"/>
  <c r="C836" i="9"/>
  <c r="N835" i="9"/>
  <c r="O835" i="9" s="1"/>
  <c r="J835" i="9"/>
  <c r="K835" i="9" s="1"/>
  <c r="G835" i="9"/>
  <c r="C835" i="9"/>
  <c r="N834" i="9"/>
  <c r="O834" i="9" s="1"/>
  <c r="J834" i="9"/>
  <c r="K834" i="9" s="1"/>
  <c r="G834" i="9"/>
  <c r="C834" i="9"/>
  <c r="N833" i="9"/>
  <c r="O833" i="9" s="1"/>
  <c r="J833" i="9"/>
  <c r="K833" i="9" s="1"/>
  <c r="G833" i="9"/>
  <c r="C833" i="9"/>
  <c r="N832" i="9"/>
  <c r="O832" i="9" s="1"/>
  <c r="J832" i="9"/>
  <c r="K832" i="9" s="1"/>
  <c r="G832" i="9"/>
  <c r="C832" i="9"/>
  <c r="N831" i="9"/>
  <c r="O831" i="9" s="1"/>
  <c r="J831" i="9"/>
  <c r="K831" i="9" s="1"/>
  <c r="G831" i="9"/>
  <c r="C831" i="9"/>
  <c r="N830" i="9"/>
  <c r="O830" i="9" s="1"/>
  <c r="J830" i="9"/>
  <c r="K830" i="9" s="1"/>
  <c r="G830" i="9"/>
  <c r="C830" i="9"/>
  <c r="O829" i="9"/>
  <c r="N829" i="9"/>
  <c r="J829" i="9"/>
  <c r="K829" i="9" s="1"/>
  <c r="G829" i="9"/>
  <c r="C829" i="9"/>
  <c r="N828" i="9"/>
  <c r="O828" i="9" s="1"/>
  <c r="J828" i="9"/>
  <c r="K828" i="9" s="1"/>
  <c r="G828" i="9"/>
  <c r="C828" i="9"/>
  <c r="N827" i="9"/>
  <c r="O827" i="9" s="1"/>
  <c r="J827" i="9"/>
  <c r="K827" i="9" s="1"/>
  <c r="G827" i="9"/>
  <c r="C827" i="9"/>
  <c r="N826" i="9"/>
  <c r="O826" i="9" s="1"/>
  <c r="J826" i="9"/>
  <c r="K826" i="9" s="1"/>
  <c r="G826" i="9"/>
  <c r="C826" i="9"/>
  <c r="O825" i="9"/>
  <c r="N825" i="9"/>
  <c r="J825" i="9"/>
  <c r="K825" i="9" s="1"/>
  <c r="G825" i="9"/>
  <c r="C825" i="9"/>
  <c r="N824" i="9"/>
  <c r="O824" i="9" s="1"/>
  <c r="K824" i="9"/>
  <c r="J824" i="9"/>
  <c r="G824" i="9"/>
  <c r="C824" i="9"/>
  <c r="N823" i="9"/>
  <c r="O823" i="9" s="1"/>
  <c r="J823" i="9"/>
  <c r="K823" i="9" s="1"/>
  <c r="G823" i="9"/>
  <c r="C823" i="9"/>
  <c r="N822" i="9"/>
  <c r="O822" i="9" s="1"/>
  <c r="J822" i="9"/>
  <c r="K822" i="9" s="1"/>
  <c r="G822" i="9"/>
  <c r="C822" i="9"/>
  <c r="N821" i="9"/>
  <c r="O821" i="9" s="1"/>
  <c r="J821" i="9"/>
  <c r="K821" i="9" s="1"/>
  <c r="G821" i="9"/>
  <c r="C821" i="9"/>
  <c r="N820" i="9"/>
  <c r="O820" i="9" s="1"/>
  <c r="J820" i="9"/>
  <c r="K820" i="9" s="1"/>
  <c r="G820" i="9"/>
  <c r="C820" i="9"/>
  <c r="N819" i="9"/>
  <c r="O819" i="9" s="1"/>
  <c r="J819" i="9"/>
  <c r="K819" i="9" s="1"/>
  <c r="G819" i="9"/>
  <c r="C819" i="9"/>
  <c r="N818" i="9"/>
  <c r="O818" i="9" s="1"/>
  <c r="J818" i="9"/>
  <c r="K818" i="9" s="1"/>
  <c r="G818" i="9"/>
  <c r="C818" i="9"/>
  <c r="N817" i="9"/>
  <c r="O817" i="9" s="1"/>
  <c r="J817" i="9"/>
  <c r="K817" i="9" s="1"/>
  <c r="G817" i="9"/>
  <c r="C817" i="9"/>
  <c r="N816" i="9"/>
  <c r="O816" i="9" s="1"/>
  <c r="J816" i="9"/>
  <c r="K816" i="9" s="1"/>
  <c r="G816" i="9"/>
  <c r="C816" i="9"/>
  <c r="N815" i="9"/>
  <c r="O815" i="9" s="1"/>
  <c r="J815" i="9"/>
  <c r="K815" i="9" s="1"/>
  <c r="G815" i="9"/>
  <c r="C815" i="9"/>
  <c r="N814" i="9"/>
  <c r="O814" i="9" s="1"/>
  <c r="J814" i="9"/>
  <c r="K814" i="9" s="1"/>
  <c r="G814" i="9"/>
  <c r="C814" i="9"/>
  <c r="O813" i="9"/>
  <c r="N813" i="9"/>
  <c r="J813" i="9"/>
  <c r="K813" i="9" s="1"/>
  <c r="G813" i="9"/>
  <c r="C813" i="9"/>
  <c r="N812" i="9"/>
  <c r="O812" i="9" s="1"/>
  <c r="J812" i="9"/>
  <c r="K812" i="9" s="1"/>
  <c r="G812" i="9"/>
  <c r="C812" i="9"/>
  <c r="N811" i="9"/>
  <c r="O811" i="9" s="1"/>
  <c r="J811" i="9"/>
  <c r="K811" i="9" s="1"/>
  <c r="G811" i="9"/>
  <c r="C811" i="9"/>
  <c r="N810" i="9"/>
  <c r="O810" i="9" s="1"/>
  <c r="J810" i="9"/>
  <c r="K810" i="9" s="1"/>
  <c r="G810" i="9"/>
  <c r="C810" i="9"/>
  <c r="N809" i="9"/>
  <c r="O809" i="9" s="1"/>
  <c r="J809" i="9"/>
  <c r="K809" i="9" s="1"/>
  <c r="G809" i="9"/>
  <c r="C809" i="9"/>
  <c r="N808" i="9"/>
  <c r="O808" i="9" s="1"/>
  <c r="K808" i="9"/>
  <c r="J808" i="9"/>
  <c r="G808" i="9"/>
  <c r="C808" i="9"/>
  <c r="N807" i="9"/>
  <c r="O807" i="9" s="1"/>
  <c r="J807" i="9"/>
  <c r="K807" i="9" s="1"/>
  <c r="G807" i="9"/>
  <c r="C807" i="9"/>
  <c r="N806" i="9"/>
  <c r="O806" i="9" s="1"/>
  <c r="J806" i="9"/>
  <c r="K806" i="9" s="1"/>
  <c r="G806" i="9"/>
  <c r="C806" i="9"/>
  <c r="N805" i="9"/>
  <c r="O805" i="9" s="1"/>
  <c r="J805" i="9"/>
  <c r="K805" i="9" s="1"/>
  <c r="G805" i="9"/>
  <c r="C805" i="9"/>
  <c r="N804" i="9"/>
  <c r="O804" i="9" s="1"/>
  <c r="J804" i="9"/>
  <c r="K804" i="9" s="1"/>
  <c r="G804" i="9"/>
  <c r="C804" i="9"/>
  <c r="N803" i="9"/>
  <c r="O803" i="9" s="1"/>
  <c r="J803" i="9"/>
  <c r="K803" i="9" s="1"/>
  <c r="G803" i="9"/>
  <c r="C803" i="9"/>
  <c r="N802" i="9"/>
  <c r="O802" i="9" s="1"/>
  <c r="J802" i="9"/>
  <c r="K802" i="9" s="1"/>
  <c r="G802" i="9"/>
  <c r="C802" i="9"/>
  <c r="N801" i="9"/>
  <c r="O801" i="9" s="1"/>
  <c r="J801" i="9"/>
  <c r="K801" i="9" s="1"/>
  <c r="G801" i="9"/>
  <c r="C801" i="9"/>
  <c r="N800" i="9"/>
  <c r="O800" i="9" s="1"/>
  <c r="J800" i="9"/>
  <c r="K800" i="9" s="1"/>
  <c r="G800" i="9"/>
  <c r="C800" i="9"/>
  <c r="N799" i="9"/>
  <c r="O799" i="9" s="1"/>
  <c r="J799" i="9"/>
  <c r="K799" i="9" s="1"/>
  <c r="G799" i="9"/>
  <c r="C799" i="9"/>
  <c r="N798" i="9"/>
  <c r="O798" i="9" s="1"/>
  <c r="J798" i="9"/>
  <c r="K798" i="9" s="1"/>
  <c r="G798" i="9"/>
  <c r="C798" i="9"/>
  <c r="O797" i="9"/>
  <c r="N797" i="9"/>
  <c r="J797" i="9"/>
  <c r="K797" i="9" s="1"/>
  <c r="G797" i="9"/>
  <c r="C797" i="9"/>
  <c r="N796" i="9"/>
  <c r="O796" i="9" s="1"/>
  <c r="J796" i="9"/>
  <c r="K796" i="9" s="1"/>
  <c r="G796" i="9"/>
  <c r="C796" i="9"/>
  <c r="N795" i="9"/>
  <c r="O795" i="9" s="1"/>
  <c r="J795" i="9"/>
  <c r="K795" i="9" s="1"/>
  <c r="G795" i="9"/>
  <c r="C795" i="9"/>
  <c r="N794" i="9"/>
  <c r="O794" i="9" s="1"/>
  <c r="J794" i="9"/>
  <c r="K794" i="9" s="1"/>
  <c r="G794" i="9"/>
  <c r="C794" i="9"/>
  <c r="N793" i="9"/>
  <c r="O793" i="9" s="1"/>
  <c r="J793" i="9"/>
  <c r="K793" i="9" s="1"/>
  <c r="G793" i="9"/>
  <c r="C793" i="9"/>
  <c r="N792" i="9"/>
  <c r="O792" i="9" s="1"/>
  <c r="K792" i="9"/>
  <c r="J792" i="9"/>
  <c r="G792" i="9"/>
  <c r="C792" i="9"/>
  <c r="N791" i="9"/>
  <c r="O791" i="9" s="1"/>
  <c r="J791" i="9"/>
  <c r="K791" i="9" s="1"/>
  <c r="G791" i="9"/>
  <c r="C791" i="9"/>
  <c r="N790" i="9"/>
  <c r="O790" i="9" s="1"/>
  <c r="J790" i="9"/>
  <c r="K790" i="9" s="1"/>
  <c r="G790" i="9"/>
  <c r="C790" i="9"/>
  <c r="N789" i="9"/>
  <c r="O789" i="9" s="1"/>
  <c r="J789" i="9"/>
  <c r="K789" i="9" s="1"/>
  <c r="G789" i="9"/>
  <c r="C789" i="9"/>
  <c r="N788" i="9"/>
  <c r="O788" i="9" s="1"/>
  <c r="J788" i="9"/>
  <c r="K788" i="9" s="1"/>
  <c r="G788" i="9"/>
  <c r="C788" i="9"/>
  <c r="N787" i="9"/>
  <c r="O787" i="9" s="1"/>
  <c r="J787" i="9"/>
  <c r="K787" i="9" s="1"/>
  <c r="G787" i="9"/>
  <c r="C787" i="9"/>
  <c r="N786" i="9"/>
  <c r="O786" i="9" s="1"/>
  <c r="J786" i="9"/>
  <c r="K786" i="9" s="1"/>
  <c r="G786" i="9"/>
  <c r="C786" i="9"/>
  <c r="N785" i="9"/>
  <c r="O785" i="9" s="1"/>
  <c r="J785" i="9"/>
  <c r="K785" i="9" s="1"/>
  <c r="G785" i="9"/>
  <c r="C785" i="9"/>
  <c r="N784" i="9"/>
  <c r="O784" i="9" s="1"/>
  <c r="J784" i="9"/>
  <c r="K784" i="9" s="1"/>
  <c r="G784" i="9"/>
  <c r="C784" i="9"/>
  <c r="N783" i="9"/>
  <c r="O783" i="9" s="1"/>
  <c r="J783" i="9"/>
  <c r="K783" i="9" s="1"/>
  <c r="G783" i="9"/>
  <c r="C783" i="9"/>
  <c r="N782" i="9"/>
  <c r="O782" i="9" s="1"/>
  <c r="J782" i="9"/>
  <c r="K782" i="9" s="1"/>
  <c r="G782" i="9"/>
  <c r="C782" i="9"/>
  <c r="O781" i="9"/>
  <c r="N781" i="9"/>
  <c r="J781" i="9"/>
  <c r="K781" i="9" s="1"/>
  <c r="G781" i="9"/>
  <c r="C781" i="9"/>
  <c r="N780" i="9"/>
  <c r="O780" i="9" s="1"/>
  <c r="J780" i="9"/>
  <c r="K780" i="9" s="1"/>
  <c r="G780" i="9"/>
  <c r="C780" i="9"/>
  <c r="N779" i="9"/>
  <c r="O779" i="9" s="1"/>
  <c r="J779" i="9"/>
  <c r="K779" i="9" s="1"/>
  <c r="G779" i="9"/>
  <c r="C779" i="9"/>
  <c r="N778" i="9"/>
  <c r="O778" i="9" s="1"/>
  <c r="J778" i="9"/>
  <c r="K778" i="9" s="1"/>
  <c r="G778" i="9"/>
  <c r="C778" i="9"/>
  <c r="N777" i="9"/>
  <c r="O777" i="9" s="1"/>
  <c r="J777" i="9"/>
  <c r="K777" i="9" s="1"/>
  <c r="G777" i="9"/>
  <c r="C777" i="9"/>
  <c r="N776" i="9"/>
  <c r="O776" i="9" s="1"/>
  <c r="K776" i="9"/>
  <c r="J776" i="9"/>
  <c r="G776" i="9"/>
  <c r="C776" i="9"/>
  <c r="N775" i="9"/>
  <c r="O775" i="9" s="1"/>
  <c r="J775" i="9"/>
  <c r="K775" i="9" s="1"/>
  <c r="G775" i="9"/>
  <c r="C775" i="9"/>
  <c r="N774" i="9"/>
  <c r="O774" i="9" s="1"/>
  <c r="J774" i="9"/>
  <c r="K774" i="9" s="1"/>
  <c r="G774" i="9"/>
  <c r="C774" i="9"/>
  <c r="N773" i="9"/>
  <c r="O773" i="9" s="1"/>
  <c r="J773" i="9"/>
  <c r="K773" i="9" s="1"/>
  <c r="G773" i="9"/>
  <c r="C773" i="9"/>
  <c r="N772" i="9"/>
  <c r="O772" i="9" s="1"/>
  <c r="J772" i="9"/>
  <c r="K772" i="9" s="1"/>
  <c r="G772" i="9"/>
  <c r="C772" i="9"/>
  <c r="N771" i="9"/>
  <c r="O771" i="9" s="1"/>
  <c r="J771" i="9"/>
  <c r="K771" i="9" s="1"/>
  <c r="G771" i="9"/>
  <c r="C771" i="9"/>
  <c r="N770" i="9"/>
  <c r="O770" i="9" s="1"/>
  <c r="J770" i="9"/>
  <c r="K770" i="9" s="1"/>
  <c r="G770" i="9"/>
  <c r="C770" i="9"/>
  <c r="N769" i="9"/>
  <c r="O769" i="9" s="1"/>
  <c r="J769" i="9"/>
  <c r="K769" i="9" s="1"/>
  <c r="G769" i="9"/>
  <c r="C769" i="9"/>
  <c r="N768" i="9"/>
  <c r="O768" i="9" s="1"/>
  <c r="J768" i="9"/>
  <c r="K768" i="9" s="1"/>
  <c r="G768" i="9"/>
  <c r="C768" i="9"/>
  <c r="N767" i="9"/>
  <c r="O767" i="9" s="1"/>
  <c r="J767" i="9"/>
  <c r="K767" i="9" s="1"/>
  <c r="G767" i="9"/>
  <c r="C767" i="9"/>
  <c r="N766" i="9"/>
  <c r="O766" i="9" s="1"/>
  <c r="J766" i="9"/>
  <c r="K766" i="9" s="1"/>
  <c r="G766" i="9"/>
  <c r="C766" i="9"/>
  <c r="O765" i="9"/>
  <c r="N765" i="9"/>
  <c r="J765" i="9"/>
  <c r="K765" i="9" s="1"/>
  <c r="G765" i="9"/>
  <c r="C765" i="9"/>
  <c r="N764" i="9"/>
  <c r="O764" i="9" s="1"/>
  <c r="J764" i="9"/>
  <c r="K764" i="9" s="1"/>
  <c r="G764" i="9"/>
  <c r="C764" i="9"/>
  <c r="N763" i="9"/>
  <c r="O763" i="9" s="1"/>
  <c r="J763" i="9"/>
  <c r="K763" i="9" s="1"/>
  <c r="G763" i="9"/>
  <c r="C763" i="9"/>
  <c r="N762" i="9"/>
  <c r="O762" i="9" s="1"/>
  <c r="J762" i="9"/>
  <c r="K762" i="9" s="1"/>
  <c r="G762" i="9"/>
  <c r="C762" i="9"/>
  <c r="N761" i="9"/>
  <c r="O761" i="9" s="1"/>
  <c r="J761" i="9"/>
  <c r="K761" i="9" s="1"/>
  <c r="G761" i="9"/>
  <c r="C761" i="9"/>
  <c r="N760" i="9"/>
  <c r="O760" i="9" s="1"/>
  <c r="K760" i="9"/>
  <c r="J760" i="9"/>
  <c r="G760" i="9"/>
  <c r="C760" i="9"/>
  <c r="N759" i="9"/>
  <c r="O759" i="9" s="1"/>
  <c r="J759" i="9"/>
  <c r="K759" i="9" s="1"/>
  <c r="G759" i="9"/>
  <c r="C759" i="9"/>
  <c r="N758" i="9"/>
  <c r="O758" i="9" s="1"/>
  <c r="J758" i="9"/>
  <c r="K758" i="9" s="1"/>
  <c r="G758" i="9"/>
  <c r="C758" i="9"/>
  <c r="N757" i="9"/>
  <c r="O757" i="9" s="1"/>
  <c r="J757" i="9"/>
  <c r="K757" i="9" s="1"/>
  <c r="G757" i="9"/>
  <c r="C757" i="9"/>
  <c r="N756" i="9"/>
  <c r="O756" i="9" s="1"/>
  <c r="J756" i="9"/>
  <c r="K756" i="9" s="1"/>
  <c r="G756" i="9"/>
  <c r="C756" i="9"/>
  <c r="N755" i="9"/>
  <c r="O755" i="9" s="1"/>
  <c r="J755" i="9"/>
  <c r="K755" i="9" s="1"/>
  <c r="G755" i="9"/>
  <c r="C755" i="9"/>
  <c r="N754" i="9"/>
  <c r="O754" i="9" s="1"/>
  <c r="J754" i="9"/>
  <c r="K754" i="9" s="1"/>
  <c r="G754" i="9"/>
  <c r="C754" i="9"/>
  <c r="N753" i="9"/>
  <c r="O753" i="9" s="1"/>
  <c r="J753" i="9"/>
  <c r="K753" i="9" s="1"/>
  <c r="G753" i="9"/>
  <c r="C753" i="9"/>
  <c r="N752" i="9"/>
  <c r="O752" i="9" s="1"/>
  <c r="J752" i="9"/>
  <c r="K752" i="9" s="1"/>
  <c r="G752" i="9"/>
  <c r="C752" i="9"/>
  <c r="N751" i="9"/>
  <c r="O751" i="9" s="1"/>
  <c r="J751" i="9"/>
  <c r="K751" i="9" s="1"/>
  <c r="G751" i="9"/>
  <c r="C751" i="9"/>
  <c r="N750" i="9"/>
  <c r="O750" i="9" s="1"/>
  <c r="J750" i="9"/>
  <c r="K750" i="9" s="1"/>
  <c r="G750" i="9"/>
  <c r="C750" i="9"/>
  <c r="O749" i="9"/>
  <c r="N749" i="9"/>
  <c r="J749" i="9"/>
  <c r="K749" i="9" s="1"/>
  <c r="G749" i="9"/>
  <c r="C749" i="9"/>
  <c r="N748" i="9"/>
  <c r="O748" i="9" s="1"/>
  <c r="J748" i="9"/>
  <c r="K748" i="9" s="1"/>
  <c r="G748" i="9"/>
  <c r="C748" i="9"/>
  <c r="N747" i="9"/>
  <c r="O747" i="9" s="1"/>
  <c r="J747" i="9"/>
  <c r="K747" i="9" s="1"/>
  <c r="G747" i="9"/>
  <c r="C747" i="9"/>
  <c r="N746" i="9"/>
  <c r="O746" i="9" s="1"/>
  <c r="J746" i="9"/>
  <c r="K746" i="9" s="1"/>
  <c r="G746" i="9"/>
  <c r="C746" i="9"/>
  <c r="N745" i="9"/>
  <c r="O745" i="9" s="1"/>
  <c r="J745" i="9"/>
  <c r="K745" i="9" s="1"/>
  <c r="G745" i="9"/>
  <c r="C745" i="9"/>
  <c r="N744" i="9"/>
  <c r="O744" i="9" s="1"/>
  <c r="K744" i="9"/>
  <c r="J744" i="9"/>
  <c r="G744" i="9"/>
  <c r="C744" i="9"/>
  <c r="N743" i="9"/>
  <c r="O743" i="9" s="1"/>
  <c r="J743" i="9"/>
  <c r="K743" i="9" s="1"/>
  <c r="G743" i="9"/>
  <c r="C743" i="9"/>
  <c r="N742" i="9"/>
  <c r="O742" i="9" s="1"/>
  <c r="J742" i="9"/>
  <c r="K742" i="9" s="1"/>
  <c r="G742" i="9"/>
  <c r="C742" i="9"/>
  <c r="N741" i="9"/>
  <c r="O741" i="9" s="1"/>
  <c r="J741" i="9"/>
  <c r="K741" i="9" s="1"/>
  <c r="G741" i="9"/>
  <c r="C741" i="9"/>
  <c r="N740" i="9"/>
  <c r="O740" i="9" s="1"/>
  <c r="J740" i="9"/>
  <c r="K740" i="9" s="1"/>
  <c r="G740" i="9"/>
  <c r="C740" i="9"/>
  <c r="N739" i="9"/>
  <c r="O739" i="9" s="1"/>
  <c r="J739" i="9"/>
  <c r="K739" i="9" s="1"/>
  <c r="G739" i="9"/>
  <c r="C739" i="9"/>
  <c r="N738" i="9"/>
  <c r="O738" i="9" s="1"/>
  <c r="J738" i="9"/>
  <c r="K738" i="9" s="1"/>
  <c r="G738" i="9"/>
  <c r="C738" i="9"/>
  <c r="N737" i="9"/>
  <c r="O737" i="9" s="1"/>
  <c r="J737" i="9"/>
  <c r="K737" i="9" s="1"/>
  <c r="G737" i="9"/>
  <c r="C737" i="9"/>
  <c r="N736" i="9"/>
  <c r="O736" i="9" s="1"/>
  <c r="J736" i="9"/>
  <c r="K736" i="9" s="1"/>
  <c r="G736" i="9"/>
  <c r="C736" i="9"/>
  <c r="N735" i="9"/>
  <c r="O735" i="9" s="1"/>
  <c r="J735" i="9"/>
  <c r="K735" i="9" s="1"/>
  <c r="G735" i="9"/>
  <c r="C735" i="9"/>
  <c r="N734" i="9"/>
  <c r="O734" i="9" s="1"/>
  <c r="J734" i="9"/>
  <c r="K734" i="9" s="1"/>
  <c r="G734" i="9"/>
  <c r="C734" i="9"/>
  <c r="O733" i="9"/>
  <c r="N733" i="9"/>
  <c r="J733" i="9"/>
  <c r="K733" i="9" s="1"/>
  <c r="G733" i="9"/>
  <c r="C733" i="9"/>
  <c r="N732" i="9"/>
  <c r="O732" i="9" s="1"/>
  <c r="J732" i="9"/>
  <c r="K732" i="9" s="1"/>
  <c r="G732" i="9"/>
  <c r="C732" i="9"/>
  <c r="N731" i="9"/>
  <c r="O731" i="9" s="1"/>
  <c r="J731" i="9"/>
  <c r="K731" i="9" s="1"/>
  <c r="G731" i="9"/>
  <c r="C731" i="9"/>
  <c r="N730" i="9"/>
  <c r="O730" i="9" s="1"/>
  <c r="J730" i="9"/>
  <c r="K730" i="9" s="1"/>
  <c r="G730" i="9"/>
  <c r="C730" i="9"/>
  <c r="N729" i="9"/>
  <c r="O729" i="9" s="1"/>
  <c r="J729" i="9"/>
  <c r="K729" i="9" s="1"/>
  <c r="G729" i="9"/>
  <c r="C729" i="9"/>
  <c r="N728" i="9"/>
  <c r="O728" i="9" s="1"/>
  <c r="K728" i="9"/>
  <c r="J728" i="9"/>
  <c r="G728" i="9"/>
  <c r="C728" i="9"/>
  <c r="N727" i="9"/>
  <c r="O727" i="9" s="1"/>
  <c r="J727" i="9"/>
  <c r="K727" i="9" s="1"/>
  <c r="G727" i="9"/>
  <c r="C727" i="9"/>
  <c r="N726" i="9"/>
  <c r="O726" i="9" s="1"/>
  <c r="J726" i="9"/>
  <c r="K726" i="9" s="1"/>
  <c r="G726" i="9"/>
  <c r="C726" i="9"/>
  <c r="N725" i="9"/>
  <c r="O725" i="9" s="1"/>
  <c r="J725" i="9"/>
  <c r="K725" i="9" s="1"/>
  <c r="G725" i="9"/>
  <c r="C725" i="9"/>
  <c r="N724" i="9"/>
  <c r="O724" i="9" s="1"/>
  <c r="J724" i="9"/>
  <c r="K724" i="9" s="1"/>
  <c r="G724" i="9"/>
  <c r="C724" i="9"/>
  <c r="N723" i="9"/>
  <c r="O723" i="9" s="1"/>
  <c r="J723" i="9"/>
  <c r="K723" i="9" s="1"/>
  <c r="G723" i="9"/>
  <c r="C723" i="9"/>
  <c r="N722" i="9"/>
  <c r="O722" i="9" s="1"/>
  <c r="J722" i="9"/>
  <c r="K722" i="9" s="1"/>
  <c r="G722" i="9"/>
  <c r="C722" i="9"/>
  <c r="N721" i="9"/>
  <c r="O721" i="9" s="1"/>
  <c r="J721" i="9"/>
  <c r="K721" i="9" s="1"/>
  <c r="G721" i="9"/>
  <c r="C721" i="9"/>
  <c r="N720" i="9"/>
  <c r="O720" i="9" s="1"/>
  <c r="J720" i="9"/>
  <c r="K720" i="9" s="1"/>
  <c r="G720" i="9"/>
  <c r="C720" i="9"/>
  <c r="N719" i="9"/>
  <c r="O719" i="9" s="1"/>
  <c r="J719" i="9"/>
  <c r="K719" i="9" s="1"/>
  <c r="G719" i="9"/>
  <c r="C719" i="9"/>
  <c r="N718" i="9"/>
  <c r="O718" i="9" s="1"/>
  <c r="J718" i="9"/>
  <c r="K718" i="9" s="1"/>
  <c r="G718" i="9"/>
  <c r="C718" i="9"/>
  <c r="O717" i="9"/>
  <c r="N717" i="9"/>
  <c r="J717" i="9"/>
  <c r="K717" i="9" s="1"/>
  <c r="G717" i="9"/>
  <c r="C717" i="9"/>
  <c r="N716" i="9"/>
  <c r="O716" i="9" s="1"/>
  <c r="J716" i="9"/>
  <c r="K716" i="9" s="1"/>
  <c r="G716" i="9"/>
  <c r="C716" i="9"/>
  <c r="N715" i="9"/>
  <c r="O715" i="9" s="1"/>
  <c r="J715" i="9"/>
  <c r="K715" i="9" s="1"/>
  <c r="G715" i="9"/>
  <c r="C715" i="9"/>
  <c r="N714" i="9"/>
  <c r="O714" i="9" s="1"/>
  <c r="J714" i="9"/>
  <c r="K714" i="9" s="1"/>
  <c r="G714" i="9"/>
  <c r="C714" i="9"/>
  <c r="N713" i="9"/>
  <c r="O713" i="9" s="1"/>
  <c r="J713" i="9"/>
  <c r="K713" i="9" s="1"/>
  <c r="G713" i="9"/>
  <c r="C713" i="9"/>
  <c r="N712" i="9"/>
  <c r="O712" i="9" s="1"/>
  <c r="K712" i="9"/>
  <c r="J712" i="9"/>
  <c r="G712" i="9"/>
  <c r="C712" i="9"/>
  <c r="N711" i="9"/>
  <c r="O711" i="9" s="1"/>
  <c r="J711" i="9"/>
  <c r="K711" i="9" s="1"/>
  <c r="G711" i="9"/>
  <c r="C711" i="9"/>
  <c r="N710" i="9"/>
  <c r="O710" i="9" s="1"/>
  <c r="J710" i="9"/>
  <c r="K710" i="9" s="1"/>
  <c r="G710" i="9"/>
  <c r="C710" i="9"/>
  <c r="N709" i="9"/>
  <c r="O709" i="9" s="1"/>
  <c r="J709" i="9"/>
  <c r="K709" i="9" s="1"/>
  <c r="G709" i="9"/>
  <c r="C709" i="9"/>
  <c r="N708" i="9"/>
  <c r="O708" i="9" s="1"/>
  <c r="J708" i="9"/>
  <c r="K708" i="9" s="1"/>
  <c r="G708" i="9"/>
  <c r="C708" i="9"/>
  <c r="N707" i="9"/>
  <c r="O707" i="9" s="1"/>
  <c r="J707" i="9"/>
  <c r="K707" i="9" s="1"/>
  <c r="G707" i="9"/>
  <c r="C707" i="9"/>
  <c r="N706" i="9"/>
  <c r="O706" i="9" s="1"/>
  <c r="J706" i="9"/>
  <c r="K706" i="9" s="1"/>
  <c r="G706" i="9"/>
  <c r="C706" i="9"/>
  <c r="N705" i="9"/>
  <c r="O705" i="9" s="1"/>
  <c r="J705" i="9"/>
  <c r="K705" i="9" s="1"/>
  <c r="G705" i="9"/>
  <c r="C705" i="9"/>
  <c r="N704" i="9"/>
  <c r="O704" i="9" s="1"/>
  <c r="J704" i="9"/>
  <c r="K704" i="9" s="1"/>
  <c r="G704" i="9"/>
  <c r="C704" i="9"/>
  <c r="N703" i="9"/>
  <c r="O703" i="9" s="1"/>
  <c r="J703" i="9"/>
  <c r="K703" i="9" s="1"/>
  <c r="G703" i="9"/>
  <c r="C703" i="9"/>
  <c r="N702" i="9"/>
  <c r="O702" i="9" s="1"/>
  <c r="J702" i="9"/>
  <c r="K702" i="9" s="1"/>
  <c r="G702" i="9"/>
  <c r="C702" i="9"/>
  <c r="O701" i="9"/>
  <c r="N701" i="9"/>
  <c r="J701" i="9"/>
  <c r="K701" i="9" s="1"/>
  <c r="G701" i="9"/>
  <c r="C701" i="9"/>
  <c r="N700" i="9"/>
  <c r="O700" i="9" s="1"/>
  <c r="J700" i="9"/>
  <c r="K700" i="9" s="1"/>
  <c r="G700" i="9"/>
  <c r="C700" i="9"/>
  <c r="N699" i="9"/>
  <c r="O699" i="9" s="1"/>
  <c r="J699" i="9"/>
  <c r="K699" i="9" s="1"/>
  <c r="G699" i="9"/>
  <c r="C699" i="9"/>
  <c r="N698" i="9"/>
  <c r="O698" i="9" s="1"/>
  <c r="J698" i="9"/>
  <c r="K698" i="9" s="1"/>
  <c r="G698" i="9"/>
  <c r="C698" i="9"/>
  <c r="N697" i="9"/>
  <c r="O697" i="9" s="1"/>
  <c r="J697" i="9"/>
  <c r="K697" i="9" s="1"/>
  <c r="G697" i="9"/>
  <c r="C697" i="9"/>
  <c r="N696" i="9"/>
  <c r="O696" i="9" s="1"/>
  <c r="K696" i="9"/>
  <c r="J696" i="9"/>
  <c r="G696" i="9"/>
  <c r="C696" i="9"/>
  <c r="N695" i="9"/>
  <c r="O695" i="9" s="1"/>
  <c r="J695" i="9"/>
  <c r="K695" i="9" s="1"/>
  <c r="G695" i="9"/>
  <c r="C695" i="9"/>
  <c r="N694" i="9"/>
  <c r="O694" i="9" s="1"/>
  <c r="J694" i="9"/>
  <c r="K694" i="9" s="1"/>
  <c r="G694" i="9"/>
  <c r="C694" i="9"/>
  <c r="N693" i="9"/>
  <c r="O693" i="9" s="1"/>
  <c r="J693" i="9"/>
  <c r="K693" i="9" s="1"/>
  <c r="G693" i="9"/>
  <c r="C693" i="9"/>
  <c r="N692" i="9"/>
  <c r="O692" i="9" s="1"/>
  <c r="J692" i="9"/>
  <c r="K692" i="9" s="1"/>
  <c r="G692" i="9"/>
  <c r="C692" i="9"/>
  <c r="N691" i="9"/>
  <c r="O691" i="9" s="1"/>
  <c r="J691" i="9"/>
  <c r="K691" i="9" s="1"/>
  <c r="G691" i="9"/>
  <c r="C691" i="9"/>
  <c r="N690" i="9"/>
  <c r="O690" i="9" s="1"/>
  <c r="J690" i="9"/>
  <c r="K690" i="9" s="1"/>
  <c r="G690" i="9"/>
  <c r="C690" i="9"/>
  <c r="N689" i="9"/>
  <c r="O689" i="9" s="1"/>
  <c r="J689" i="9"/>
  <c r="K689" i="9" s="1"/>
  <c r="G689" i="9"/>
  <c r="C689" i="9"/>
  <c r="N688" i="9"/>
  <c r="O688" i="9" s="1"/>
  <c r="J688" i="9"/>
  <c r="K688" i="9" s="1"/>
  <c r="G688" i="9"/>
  <c r="C688" i="9"/>
  <c r="N687" i="9"/>
  <c r="O687" i="9" s="1"/>
  <c r="J687" i="9"/>
  <c r="K687" i="9" s="1"/>
  <c r="G687" i="9"/>
  <c r="C687" i="9"/>
  <c r="N686" i="9"/>
  <c r="O686" i="9" s="1"/>
  <c r="J686" i="9"/>
  <c r="K686" i="9" s="1"/>
  <c r="G686" i="9"/>
  <c r="C686" i="9"/>
  <c r="O685" i="9"/>
  <c r="N685" i="9"/>
  <c r="J685" i="9"/>
  <c r="K685" i="9" s="1"/>
  <c r="G685" i="9"/>
  <c r="C685" i="9"/>
  <c r="N684" i="9"/>
  <c r="O684" i="9" s="1"/>
  <c r="J684" i="9"/>
  <c r="K684" i="9" s="1"/>
  <c r="G684" i="9"/>
  <c r="C684" i="9"/>
  <c r="N683" i="9"/>
  <c r="O683" i="9" s="1"/>
  <c r="J683" i="9"/>
  <c r="K683" i="9" s="1"/>
  <c r="G683" i="9"/>
  <c r="C683" i="9"/>
  <c r="N682" i="9"/>
  <c r="O682" i="9" s="1"/>
  <c r="J682" i="9"/>
  <c r="K682" i="9" s="1"/>
  <c r="G682" i="9"/>
  <c r="C682" i="9"/>
  <c r="N681" i="9"/>
  <c r="O681" i="9" s="1"/>
  <c r="J681" i="9"/>
  <c r="K681" i="9" s="1"/>
  <c r="G681" i="9"/>
  <c r="C681" i="9"/>
  <c r="N680" i="9"/>
  <c r="O680" i="9" s="1"/>
  <c r="K680" i="9"/>
  <c r="J680" i="9"/>
  <c r="G680" i="9"/>
  <c r="C680" i="9"/>
  <c r="N679" i="9"/>
  <c r="O679" i="9" s="1"/>
  <c r="J679" i="9"/>
  <c r="K679" i="9" s="1"/>
  <c r="G679" i="9"/>
  <c r="C679" i="9"/>
  <c r="N678" i="9"/>
  <c r="O678" i="9" s="1"/>
  <c r="J678" i="9"/>
  <c r="K678" i="9" s="1"/>
  <c r="G678" i="9"/>
  <c r="C678" i="9"/>
  <c r="N677" i="9"/>
  <c r="O677" i="9" s="1"/>
  <c r="J677" i="9"/>
  <c r="K677" i="9" s="1"/>
  <c r="G677" i="9"/>
  <c r="C677" i="9"/>
  <c r="N676" i="9"/>
  <c r="O676" i="9" s="1"/>
  <c r="J676" i="9"/>
  <c r="K676" i="9" s="1"/>
  <c r="G676" i="9"/>
  <c r="C676" i="9"/>
  <c r="N675" i="9"/>
  <c r="O675" i="9" s="1"/>
  <c r="J675" i="9"/>
  <c r="K675" i="9" s="1"/>
  <c r="G675" i="9"/>
  <c r="C675" i="9"/>
  <c r="N674" i="9"/>
  <c r="O674" i="9" s="1"/>
  <c r="J674" i="9"/>
  <c r="K674" i="9" s="1"/>
  <c r="G674" i="9"/>
  <c r="C674" i="9"/>
  <c r="N673" i="9"/>
  <c r="O673" i="9" s="1"/>
  <c r="J673" i="9"/>
  <c r="K673" i="9" s="1"/>
  <c r="G673" i="9"/>
  <c r="C673" i="9"/>
  <c r="N672" i="9"/>
  <c r="O672" i="9" s="1"/>
  <c r="J672" i="9"/>
  <c r="K672" i="9" s="1"/>
  <c r="G672" i="9"/>
  <c r="C672" i="9"/>
  <c r="N671" i="9"/>
  <c r="O671" i="9" s="1"/>
  <c r="J671" i="9"/>
  <c r="K671" i="9" s="1"/>
  <c r="G671" i="9"/>
  <c r="C671" i="9"/>
  <c r="N670" i="9"/>
  <c r="O670" i="9" s="1"/>
  <c r="J670" i="9"/>
  <c r="K670" i="9" s="1"/>
  <c r="G670" i="9"/>
  <c r="C670" i="9"/>
  <c r="O669" i="9"/>
  <c r="N669" i="9"/>
  <c r="J669" i="9"/>
  <c r="K669" i="9" s="1"/>
  <c r="G669" i="9"/>
  <c r="C669" i="9"/>
  <c r="N668" i="9"/>
  <c r="O668" i="9" s="1"/>
  <c r="J668" i="9"/>
  <c r="K668" i="9" s="1"/>
  <c r="G668" i="9"/>
  <c r="C668" i="9"/>
  <c r="N667" i="9"/>
  <c r="O667" i="9" s="1"/>
  <c r="J667" i="9"/>
  <c r="K667" i="9" s="1"/>
  <c r="G667" i="9"/>
  <c r="C667" i="9"/>
  <c r="N666" i="9"/>
  <c r="O666" i="9" s="1"/>
  <c r="J666" i="9"/>
  <c r="K666" i="9" s="1"/>
  <c r="G666" i="9"/>
  <c r="C666" i="9"/>
  <c r="N665" i="9"/>
  <c r="O665" i="9" s="1"/>
  <c r="J665" i="9"/>
  <c r="K665" i="9" s="1"/>
  <c r="G665" i="9"/>
  <c r="C665" i="9"/>
  <c r="N664" i="9"/>
  <c r="O664" i="9" s="1"/>
  <c r="K664" i="9"/>
  <c r="J664" i="9"/>
  <c r="G664" i="9"/>
  <c r="C664" i="9"/>
  <c r="N663" i="9"/>
  <c r="O663" i="9" s="1"/>
  <c r="J663" i="9"/>
  <c r="K663" i="9" s="1"/>
  <c r="G663" i="9"/>
  <c r="C663" i="9"/>
  <c r="N662" i="9"/>
  <c r="O662" i="9" s="1"/>
  <c r="J662" i="9"/>
  <c r="K662" i="9" s="1"/>
  <c r="G662" i="9"/>
  <c r="C662" i="9"/>
  <c r="N661" i="9"/>
  <c r="O661" i="9" s="1"/>
  <c r="J661" i="9"/>
  <c r="K661" i="9" s="1"/>
  <c r="G661" i="9"/>
  <c r="C661" i="9"/>
  <c r="N660" i="9"/>
  <c r="O660" i="9" s="1"/>
  <c r="J660" i="9"/>
  <c r="K660" i="9" s="1"/>
  <c r="G660" i="9"/>
  <c r="C660" i="9"/>
  <c r="N659" i="9"/>
  <c r="O659" i="9" s="1"/>
  <c r="J659" i="9"/>
  <c r="K659" i="9" s="1"/>
  <c r="G659" i="9"/>
  <c r="C659" i="9"/>
  <c r="N658" i="9"/>
  <c r="O658" i="9" s="1"/>
  <c r="J658" i="9"/>
  <c r="K658" i="9" s="1"/>
  <c r="G658" i="9"/>
  <c r="C658" i="9"/>
  <c r="N657" i="9"/>
  <c r="O657" i="9" s="1"/>
  <c r="J657" i="9"/>
  <c r="K657" i="9" s="1"/>
  <c r="G657" i="9"/>
  <c r="C657" i="9"/>
  <c r="N656" i="9"/>
  <c r="O656" i="9" s="1"/>
  <c r="J656" i="9"/>
  <c r="K656" i="9" s="1"/>
  <c r="G656" i="9"/>
  <c r="C656" i="9"/>
  <c r="N655" i="9"/>
  <c r="O655" i="9" s="1"/>
  <c r="J655" i="9"/>
  <c r="K655" i="9" s="1"/>
  <c r="G655" i="9"/>
  <c r="C655" i="9"/>
  <c r="N654" i="9"/>
  <c r="O654" i="9" s="1"/>
  <c r="J654" i="9"/>
  <c r="K654" i="9" s="1"/>
  <c r="G654" i="9"/>
  <c r="C654" i="9"/>
  <c r="O653" i="9"/>
  <c r="N653" i="9"/>
  <c r="J653" i="9"/>
  <c r="K653" i="9" s="1"/>
  <c r="G653" i="9"/>
  <c r="C653" i="9"/>
  <c r="N652" i="9"/>
  <c r="O652" i="9" s="1"/>
  <c r="J652" i="9"/>
  <c r="K652" i="9" s="1"/>
  <c r="G652" i="9"/>
  <c r="C652" i="9"/>
  <c r="N651" i="9"/>
  <c r="O651" i="9" s="1"/>
  <c r="J651" i="9"/>
  <c r="K651" i="9" s="1"/>
  <c r="G651" i="9"/>
  <c r="C651" i="9"/>
  <c r="N650" i="9"/>
  <c r="O650" i="9" s="1"/>
  <c r="J650" i="9"/>
  <c r="K650" i="9" s="1"/>
  <c r="G650" i="9"/>
  <c r="C650" i="9"/>
  <c r="N649" i="9"/>
  <c r="O649" i="9" s="1"/>
  <c r="J649" i="9"/>
  <c r="K649" i="9" s="1"/>
  <c r="G649" i="9"/>
  <c r="C649" i="9"/>
  <c r="N648" i="9"/>
  <c r="O648" i="9" s="1"/>
  <c r="K648" i="9"/>
  <c r="J648" i="9"/>
  <c r="G648" i="9"/>
  <c r="C648" i="9"/>
  <c r="N647" i="9"/>
  <c r="O647" i="9" s="1"/>
  <c r="J647" i="9"/>
  <c r="K647" i="9" s="1"/>
  <c r="G647" i="9"/>
  <c r="C647" i="9"/>
  <c r="N646" i="9"/>
  <c r="O646" i="9" s="1"/>
  <c r="J646" i="9"/>
  <c r="K646" i="9" s="1"/>
  <c r="G646" i="9"/>
  <c r="C646" i="9"/>
  <c r="N645" i="9"/>
  <c r="O645" i="9" s="1"/>
  <c r="J645" i="9"/>
  <c r="K645" i="9" s="1"/>
  <c r="G645" i="9"/>
  <c r="C645" i="9"/>
  <c r="N644" i="9"/>
  <c r="O644" i="9" s="1"/>
  <c r="J644" i="9"/>
  <c r="K644" i="9" s="1"/>
  <c r="G644" i="9"/>
  <c r="C644" i="9"/>
  <c r="N643" i="9"/>
  <c r="O643" i="9" s="1"/>
  <c r="J643" i="9"/>
  <c r="K643" i="9" s="1"/>
  <c r="G643" i="9"/>
  <c r="C643" i="9"/>
  <c r="N642" i="9"/>
  <c r="O642" i="9" s="1"/>
  <c r="J642" i="9"/>
  <c r="K642" i="9" s="1"/>
  <c r="G642" i="9"/>
  <c r="C642" i="9"/>
  <c r="N641" i="9"/>
  <c r="O641" i="9" s="1"/>
  <c r="J641" i="9"/>
  <c r="K641" i="9" s="1"/>
  <c r="G641" i="9"/>
  <c r="C641" i="9"/>
  <c r="N640" i="9"/>
  <c r="O640" i="9" s="1"/>
  <c r="J640" i="9"/>
  <c r="K640" i="9" s="1"/>
  <c r="G640" i="9"/>
  <c r="C640" i="9"/>
  <c r="N639" i="9"/>
  <c r="O639" i="9" s="1"/>
  <c r="J639" i="9"/>
  <c r="K639" i="9" s="1"/>
  <c r="G639" i="9"/>
  <c r="C639" i="9"/>
  <c r="N638" i="9"/>
  <c r="O638" i="9" s="1"/>
  <c r="J638" i="9"/>
  <c r="K638" i="9" s="1"/>
  <c r="G638" i="9"/>
  <c r="C638" i="9"/>
  <c r="O637" i="9"/>
  <c r="N637" i="9"/>
  <c r="J637" i="9"/>
  <c r="K637" i="9" s="1"/>
  <c r="G637" i="9"/>
  <c r="C637" i="9"/>
  <c r="N636" i="9"/>
  <c r="O636" i="9" s="1"/>
  <c r="J636" i="9"/>
  <c r="K636" i="9" s="1"/>
  <c r="G636" i="9"/>
  <c r="C636" i="9"/>
  <c r="N635" i="9"/>
  <c r="O635" i="9" s="1"/>
  <c r="J635" i="9"/>
  <c r="K635" i="9" s="1"/>
  <c r="G635" i="9"/>
  <c r="C635" i="9"/>
  <c r="N634" i="9"/>
  <c r="O634" i="9" s="1"/>
  <c r="J634" i="9"/>
  <c r="K634" i="9" s="1"/>
  <c r="G634" i="9"/>
  <c r="C634" i="9"/>
  <c r="N633" i="9"/>
  <c r="O633" i="9" s="1"/>
  <c r="J633" i="9"/>
  <c r="K633" i="9" s="1"/>
  <c r="G633" i="9"/>
  <c r="C633" i="9"/>
  <c r="N632" i="9"/>
  <c r="O632" i="9" s="1"/>
  <c r="K632" i="9"/>
  <c r="J632" i="9"/>
  <c r="G632" i="9"/>
  <c r="C632" i="9"/>
  <c r="N631" i="9"/>
  <c r="O631" i="9" s="1"/>
  <c r="J631" i="9"/>
  <c r="K631" i="9" s="1"/>
  <c r="G631" i="9"/>
  <c r="C631" i="9"/>
  <c r="N630" i="9"/>
  <c r="O630" i="9" s="1"/>
  <c r="J630" i="9"/>
  <c r="K630" i="9" s="1"/>
  <c r="G630" i="9"/>
  <c r="C630" i="9"/>
  <c r="N629" i="9"/>
  <c r="O629" i="9" s="1"/>
  <c r="J629" i="9"/>
  <c r="K629" i="9" s="1"/>
  <c r="G629" i="9"/>
  <c r="C629" i="9"/>
  <c r="N628" i="9"/>
  <c r="O628" i="9" s="1"/>
  <c r="J628" i="9"/>
  <c r="K628" i="9" s="1"/>
  <c r="G628" i="9"/>
  <c r="C628" i="9"/>
  <c r="N627" i="9"/>
  <c r="O627" i="9" s="1"/>
  <c r="J627" i="9"/>
  <c r="K627" i="9" s="1"/>
  <c r="G627" i="9"/>
  <c r="C627" i="9"/>
  <c r="N626" i="9"/>
  <c r="O626" i="9" s="1"/>
  <c r="J626" i="9"/>
  <c r="K626" i="9" s="1"/>
  <c r="G626" i="9"/>
  <c r="C626" i="9"/>
  <c r="N625" i="9"/>
  <c r="O625" i="9" s="1"/>
  <c r="J625" i="9"/>
  <c r="K625" i="9" s="1"/>
  <c r="G625" i="9"/>
  <c r="C625" i="9"/>
  <c r="N624" i="9"/>
  <c r="O624" i="9" s="1"/>
  <c r="J624" i="9"/>
  <c r="K624" i="9" s="1"/>
  <c r="G624" i="9"/>
  <c r="C624" i="9"/>
  <c r="N623" i="9"/>
  <c r="O623" i="9" s="1"/>
  <c r="J623" i="9"/>
  <c r="K623" i="9" s="1"/>
  <c r="G623" i="9"/>
  <c r="C623" i="9"/>
  <c r="N622" i="9"/>
  <c r="O622" i="9" s="1"/>
  <c r="J622" i="9"/>
  <c r="K622" i="9" s="1"/>
  <c r="G622" i="9"/>
  <c r="C622" i="9"/>
  <c r="O621" i="9"/>
  <c r="N621" i="9"/>
  <c r="J621" i="9"/>
  <c r="K621" i="9" s="1"/>
  <c r="G621" i="9"/>
  <c r="C621" i="9"/>
  <c r="N620" i="9"/>
  <c r="O620" i="9" s="1"/>
  <c r="J620" i="9"/>
  <c r="K620" i="9" s="1"/>
  <c r="G620" i="9"/>
  <c r="C620" i="9"/>
  <c r="N619" i="9"/>
  <c r="O619" i="9" s="1"/>
  <c r="J619" i="9"/>
  <c r="K619" i="9" s="1"/>
  <c r="G619" i="9"/>
  <c r="C619" i="9"/>
  <c r="N618" i="9"/>
  <c r="O618" i="9" s="1"/>
  <c r="J618" i="9"/>
  <c r="K618" i="9" s="1"/>
  <c r="G618" i="9"/>
  <c r="C618" i="9"/>
  <c r="N617" i="9"/>
  <c r="O617" i="9" s="1"/>
  <c r="J617" i="9"/>
  <c r="K617" i="9" s="1"/>
  <c r="G617" i="9"/>
  <c r="C617" i="9"/>
  <c r="N616" i="9"/>
  <c r="O616" i="9" s="1"/>
  <c r="K616" i="9"/>
  <c r="J616" i="9"/>
  <c r="G616" i="9"/>
  <c r="C616" i="9"/>
  <c r="N615" i="9"/>
  <c r="O615" i="9" s="1"/>
  <c r="J615" i="9"/>
  <c r="K615" i="9" s="1"/>
  <c r="G615" i="9"/>
  <c r="C615" i="9"/>
  <c r="N614" i="9"/>
  <c r="O614" i="9" s="1"/>
  <c r="J614" i="9"/>
  <c r="K614" i="9" s="1"/>
  <c r="G614" i="9"/>
  <c r="C614" i="9"/>
  <c r="N613" i="9"/>
  <c r="O613" i="9" s="1"/>
  <c r="J613" i="9"/>
  <c r="K613" i="9" s="1"/>
  <c r="G613" i="9"/>
  <c r="C613" i="9"/>
  <c r="N612" i="9"/>
  <c r="O612" i="9" s="1"/>
  <c r="J612" i="9"/>
  <c r="K612" i="9" s="1"/>
  <c r="G612" i="9"/>
  <c r="C612" i="9"/>
  <c r="N611" i="9"/>
  <c r="O611" i="9" s="1"/>
  <c r="J611" i="9"/>
  <c r="K611" i="9" s="1"/>
  <c r="G611" i="9"/>
  <c r="C611" i="9"/>
  <c r="N610" i="9"/>
  <c r="O610" i="9" s="1"/>
  <c r="J610" i="9"/>
  <c r="K610" i="9" s="1"/>
  <c r="G610" i="9"/>
  <c r="C610" i="9"/>
  <c r="N609" i="9"/>
  <c r="O609" i="9" s="1"/>
  <c r="J609" i="9"/>
  <c r="K609" i="9" s="1"/>
  <c r="G609" i="9"/>
  <c r="C609" i="9"/>
  <c r="N608" i="9"/>
  <c r="O608" i="9" s="1"/>
  <c r="J608" i="9"/>
  <c r="K608" i="9" s="1"/>
  <c r="G608" i="9"/>
  <c r="C608" i="9"/>
  <c r="N607" i="9"/>
  <c r="O607" i="9" s="1"/>
  <c r="J607" i="9"/>
  <c r="K607" i="9" s="1"/>
  <c r="G607" i="9"/>
  <c r="C607" i="9"/>
  <c r="N606" i="9"/>
  <c r="O606" i="9" s="1"/>
  <c r="J606" i="9"/>
  <c r="K606" i="9" s="1"/>
  <c r="G606" i="9"/>
  <c r="C606" i="9"/>
  <c r="O605" i="9"/>
  <c r="N605" i="9"/>
  <c r="J605" i="9"/>
  <c r="K605" i="9" s="1"/>
  <c r="G605" i="9"/>
  <c r="C605" i="9"/>
  <c r="N604" i="9"/>
  <c r="O604" i="9" s="1"/>
  <c r="J604" i="9"/>
  <c r="K604" i="9" s="1"/>
  <c r="G604" i="9"/>
  <c r="C604" i="9"/>
  <c r="N603" i="9"/>
  <c r="O603" i="9" s="1"/>
  <c r="J603" i="9"/>
  <c r="K603" i="9" s="1"/>
  <c r="G603" i="9"/>
  <c r="C603" i="9"/>
  <c r="N602" i="9"/>
  <c r="O602" i="9" s="1"/>
  <c r="J602" i="9"/>
  <c r="K602" i="9" s="1"/>
  <c r="G602" i="9"/>
  <c r="C602" i="9"/>
  <c r="N601" i="9"/>
  <c r="O601" i="9" s="1"/>
  <c r="J601" i="9"/>
  <c r="K601" i="9" s="1"/>
  <c r="G601" i="9"/>
  <c r="C601" i="9"/>
  <c r="N600" i="9"/>
  <c r="O600" i="9" s="1"/>
  <c r="K600" i="9"/>
  <c r="J600" i="9"/>
  <c r="G600" i="9"/>
  <c r="C600" i="9"/>
  <c r="N599" i="9"/>
  <c r="O599" i="9" s="1"/>
  <c r="J599" i="9"/>
  <c r="K599" i="9" s="1"/>
  <c r="G599" i="9"/>
  <c r="C599" i="9"/>
  <c r="N598" i="9"/>
  <c r="O598" i="9" s="1"/>
  <c r="J598" i="9"/>
  <c r="K598" i="9" s="1"/>
  <c r="G598" i="9"/>
  <c r="C598" i="9"/>
  <c r="N597" i="9"/>
  <c r="O597" i="9" s="1"/>
  <c r="J597" i="9"/>
  <c r="K597" i="9" s="1"/>
  <c r="G597" i="9"/>
  <c r="C597" i="9"/>
  <c r="N596" i="9"/>
  <c r="O596" i="9" s="1"/>
  <c r="J596" i="9"/>
  <c r="K596" i="9" s="1"/>
  <c r="G596" i="9"/>
  <c r="C596" i="9"/>
  <c r="N595" i="9"/>
  <c r="O595" i="9" s="1"/>
  <c r="J595" i="9"/>
  <c r="K595" i="9" s="1"/>
  <c r="G595" i="9"/>
  <c r="C595" i="9"/>
  <c r="N594" i="9"/>
  <c r="O594" i="9" s="1"/>
  <c r="J594" i="9"/>
  <c r="K594" i="9" s="1"/>
  <c r="G594" i="9"/>
  <c r="C594" i="9"/>
  <c r="N593" i="9"/>
  <c r="O593" i="9" s="1"/>
  <c r="J593" i="9"/>
  <c r="K593" i="9" s="1"/>
  <c r="G593" i="9"/>
  <c r="C593" i="9"/>
  <c r="N592" i="9"/>
  <c r="O592" i="9" s="1"/>
  <c r="J592" i="9"/>
  <c r="K592" i="9" s="1"/>
  <c r="G592" i="9"/>
  <c r="C592" i="9"/>
  <c r="N591" i="9"/>
  <c r="O591" i="9" s="1"/>
  <c r="J591" i="9"/>
  <c r="K591" i="9" s="1"/>
  <c r="G591" i="9"/>
  <c r="C591" i="9"/>
  <c r="N590" i="9"/>
  <c r="O590" i="9" s="1"/>
  <c r="J590" i="9"/>
  <c r="K590" i="9" s="1"/>
  <c r="G590" i="9"/>
  <c r="C590" i="9"/>
  <c r="O589" i="9"/>
  <c r="N589" i="9"/>
  <c r="J589" i="9"/>
  <c r="K589" i="9" s="1"/>
  <c r="G589" i="9"/>
  <c r="C589" i="9"/>
  <c r="N588" i="9"/>
  <c r="O588" i="9" s="1"/>
  <c r="J588" i="9"/>
  <c r="K588" i="9" s="1"/>
  <c r="G588" i="9"/>
  <c r="C588" i="9"/>
  <c r="N587" i="9"/>
  <c r="O587" i="9" s="1"/>
  <c r="J587" i="9"/>
  <c r="K587" i="9" s="1"/>
  <c r="G587" i="9"/>
  <c r="C587" i="9"/>
  <c r="N586" i="9"/>
  <c r="O586" i="9" s="1"/>
  <c r="J586" i="9"/>
  <c r="K586" i="9" s="1"/>
  <c r="G586" i="9"/>
  <c r="C586" i="9"/>
  <c r="N585" i="9"/>
  <c r="O585" i="9" s="1"/>
  <c r="J585" i="9"/>
  <c r="K585" i="9" s="1"/>
  <c r="G585" i="9"/>
  <c r="C585" i="9"/>
  <c r="N584" i="9"/>
  <c r="O584" i="9" s="1"/>
  <c r="K584" i="9"/>
  <c r="J584" i="9"/>
  <c r="G584" i="9"/>
  <c r="C584" i="9"/>
  <c r="N583" i="9"/>
  <c r="O583" i="9" s="1"/>
  <c r="J583" i="9"/>
  <c r="K583" i="9" s="1"/>
  <c r="G583" i="9"/>
  <c r="C583" i="9"/>
  <c r="N582" i="9"/>
  <c r="O582" i="9" s="1"/>
  <c r="J582" i="9"/>
  <c r="K582" i="9" s="1"/>
  <c r="G582" i="9"/>
  <c r="C582" i="9"/>
  <c r="N581" i="9"/>
  <c r="O581" i="9" s="1"/>
  <c r="J581" i="9"/>
  <c r="K581" i="9" s="1"/>
  <c r="G581" i="9"/>
  <c r="C581" i="9"/>
  <c r="N580" i="9"/>
  <c r="O580" i="9" s="1"/>
  <c r="J580" i="9"/>
  <c r="K580" i="9" s="1"/>
  <c r="G580" i="9"/>
  <c r="C580" i="9"/>
  <c r="N579" i="9"/>
  <c r="O579" i="9" s="1"/>
  <c r="J579" i="9"/>
  <c r="K579" i="9" s="1"/>
  <c r="G579" i="9"/>
  <c r="C579" i="9"/>
  <c r="N578" i="9"/>
  <c r="O578" i="9" s="1"/>
  <c r="J578" i="9"/>
  <c r="K578" i="9" s="1"/>
  <c r="G578" i="9"/>
  <c r="C578" i="9"/>
  <c r="N577" i="9"/>
  <c r="O577" i="9" s="1"/>
  <c r="J577" i="9"/>
  <c r="K577" i="9" s="1"/>
  <c r="G577" i="9"/>
  <c r="C577" i="9"/>
  <c r="N576" i="9"/>
  <c r="O576" i="9" s="1"/>
  <c r="J576" i="9"/>
  <c r="K576" i="9" s="1"/>
  <c r="G576" i="9"/>
  <c r="C576" i="9"/>
  <c r="N575" i="9"/>
  <c r="O575" i="9" s="1"/>
  <c r="J575" i="9"/>
  <c r="K575" i="9" s="1"/>
  <c r="G575" i="9"/>
  <c r="C575" i="9"/>
  <c r="N574" i="9"/>
  <c r="O574" i="9" s="1"/>
  <c r="J574" i="9"/>
  <c r="K574" i="9" s="1"/>
  <c r="G574" i="9"/>
  <c r="C574" i="9"/>
  <c r="N573" i="9"/>
  <c r="O573" i="9" s="1"/>
  <c r="J573" i="9"/>
  <c r="K573" i="9" s="1"/>
  <c r="G573" i="9"/>
  <c r="C573" i="9"/>
  <c r="N572" i="9"/>
  <c r="O572" i="9" s="1"/>
  <c r="J572" i="9"/>
  <c r="K572" i="9" s="1"/>
  <c r="G572" i="9"/>
  <c r="C572" i="9"/>
  <c r="N571" i="9"/>
  <c r="O571" i="9" s="1"/>
  <c r="J571" i="9"/>
  <c r="K571" i="9" s="1"/>
  <c r="G571" i="9"/>
  <c r="C571" i="9"/>
  <c r="N570" i="9"/>
  <c r="O570" i="9" s="1"/>
  <c r="J570" i="9"/>
  <c r="K570" i="9" s="1"/>
  <c r="G570" i="9"/>
  <c r="C570" i="9"/>
  <c r="N569" i="9"/>
  <c r="O569" i="9" s="1"/>
  <c r="J569" i="9"/>
  <c r="K569" i="9" s="1"/>
  <c r="G569" i="9"/>
  <c r="C569" i="9"/>
  <c r="N568" i="9"/>
  <c r="O568" i="9" s="1"/>
  <c r="J568" i="9"/>
  <c r="K568" i="9" s="1"/>
  <c r="G568" i="9"/>
  <c r="C568" i="9"/>
  <c r="N567" i="9"/>
  <c r="O567" i="9" s="1"/>
  <c r="J567" i="9"/>
  <c r="K567" i="9" s="1"/>
  <c r="G567" i="9"/>
  <c r="C567" i="9"/>
  <c r="N566" i="9"/>
  <c r="O566" i="9" s="1"/>
  <c r="J566" i="9"/>
  <c r="K566" i="9" s="1"/>
  <c r="G566" i="9"/>
  <c r="C566" i="9"/>
  <c r="N565" i="9"/>
  <c r="O565" i="9" s="1"/>
  <c r="J565" i="9"/>
  <c r="K565" i="9" s="1"/>
  <c r="G565" i="9"/>
  <c r="C565" i="9"/>
  <c r="N564" i="9"/>
  <c r="O564" i="9" s="1"/>
  <c r="J564" i="9"/>
  <c r="K564" i="9" s="1"/>
  <c r="G564" i="9"/>
  <c r="C564" i="9"/>
  <c r="N563" i="9"/>
  <c r="O563" i="9" s="1"/>
  <c r="J563" i="9"/>
  <c r="K563" i="9" s="1"/>
  <c r="G563" i="9"/>
  <c r="C563" i="9"/>
  <c r="N562" i="9"/>
  <c r="O562" i="9" s="1"/>
  <c r="J562" i="9"/>
  <c r="K562" i="9" s="1"/>
  <c r="G562" i="9"/>
  <c r="C562" i="9"/>
  <c r="N561" i="9"/>
  <c r="O561" i="9" s="1"/>
  <c r="J561" i="9"/>
  <c r="K561" i="9" s="1"/>
  <c r="G561" i="9"/>
  <c r="C561" i="9"/>
  <c r="N560" i="9"/>
  <c r="O560" i="9" s="1"/>
  <c r="J560" i="9"/>
  <c r="K560" i="9" s="1"/>
  <c r="G560" i="9"/>
  <c r="C560" i="9"/>
  <c r="N559" i="9"/>
  <c r="O559" i="9" s="1"/>
  <c r="J559" i="9"/>
  <c r="K559" i="9" s="1"/>
  <c r="G559" i="9"/>
  <c r="C559" i="9"/>
  <c r="N558" i="9"/>
  <c r="O558" i="9" s="1"/>
  <c r="J558" i="9"/>
  <c r="K558" i="9" s="1"/>
  <c r="G558" i="9"/>
  <c r="C558" i="9"/>
  <c r="N557" i="9"/>
  <c r="O557" i="9" s="1"/>
  <c r="J557" i="9"/>
  <c r="K557" i="9" s="1"/>
  <c r="G557" i="9"/>
  <c r="C557" i="9"/>
  <c r="N556" i="9"/>
  <c r="O556" i="9" s="1"/>
  <c r="J556" i="9"/>
  <c r="K556" i="9" s="1"/>
  <c r="G556" i="9"/>
  <c r="C556" i="9"/>
  <c r="N555" i="9"/>
  <c r="O555" i="9" s="1"/>
  <c r="J555" i="9"/>
  <c r="K555" i="9" s="1"/>
  <c r="G555" i="9"/>
  <c r="C555" i="9"/>
  <c r="N554" i="9"/>
  <c r="O554" i="9" s="1"/>
  <c r="J554" i="9"/>
  <c r="K554" i="9" s="1"/>
  <c r="G554" i="9"/>
  <c r="C554" i="9"/>
  <c r="N553" i="9"/>
  <c r="O553" i="9" s="1"/>
  <c r="J553" i="9"/>
  <c r="K553" i="9" s="1"/>
  <c r="G553" i="9"/>
  <c r="C553" i="9"/>
  <c r="N552" i="9"/>
  <c r="O552" i="9" s="1"/>
  <c r="J552" i="9"/>
  <c r="K552" i="9" s="1"/>
  <c r="G552" i="9"/>
  <c r="C552" i="9"/>
  <c r="N551" i="9"/>
  <c r="O551" i="9" s="1"/>
  <c r="J551" i="9"/>
  <c r="K551" i="9" s="1"/>
  <c r="G551" i="9"/>
  <c r="C551" i="9"/>
  <c r="N550" i="9"/>
  <c r="O550" i="9" s="1"/>
  <c r="J550" i="9"/>
  <c r="K550" i="9" s="1"/>
  <c r="G550" i="9"/>
  <c r="C550" i="9"/>
  <c r="N549" i="9"/>
  <c r="O549" i="9" s="1"/>
  <c r="J549" i="9"/>
  <c r="K549" i="9" s="1"/>
  <c r="G549" i="9"/>
  <c r="C549" i="9"/>
  <c r="N548" i="9"/>
  <c r="O548" i="9" s="1"/>
  <c r="J548" i="9"/>
  <c r="K548" i="9" s="1"/>
  <c r="G548" i="9"/>
  <c r="C548" i="9"/>
  <c r="N547" i="9"/>
  <c r="O547" i="9" s="1"/>
  <c r="J547" i="9"/>
  <c r="K547" i="9" s="1"/>
  <c r="G547" i="9"/>
  <c r="C547" i="9"/>
  <c r="N546" i="9"/>
  <c r="O546" i="9" s="1"/>
  <c r="J546" i="9"/>
  <c r="K546" i="9" s="1"/>
  <c r="G546" i="9"/>
  <c r="C546" i="9"/>
  <c r="N545" i="9"/>
  <c r="O545" i="9" s="1"/>
  <c r="J545" i="9"/>
  <c r="K545" i="9" s="1"/>
  <c r="G545" i="9"/>
  <c r="C545" i="9"/>
  <c r="N544" i="9"/>
  <c r="O544" i="9" s="1"/>
  <c r="J544" i="9"/>
  <c r="K544" i="9" s="1"/>
  <c r="G544" i="9"/>
  <c r="C544" i="9"/>
  <c r="N543" i="9"/>
  <c r="O543" i="9" s="1"/>
  <c r="J543" i="9"/>
  <c r="K543" i="9" s="1"/>
  <c r="G543" i="9"/>
  <c r="C543" i="9"/>
  <c r="N542" i="9"/>
  <c r="O542" i="9" s="1"/>
  <c r="J542" i="9"/>
  <c r="K542" i="9" s="1"/>
  <c r="G542" i="9"/>
  <c r="C542" i="9"/>
  <c r="N541" i="9"/>
  <c r="O541" i="9" s="1"/>
  <c r="J541" i="9"/>
  <c r="K541" i="9" s="1"/>
  <c r="G541" i="9"/>
  <c r="C541" i="9"/>
  <c r="N540" i="9"/>
  <c r="O540" i="9" s="1"/>
  <c r="J540" i="9"/>
  <c r="K540" i="9" s="1"/>
  <c r="G540" i="9"/>
  <c r="C540" i="9"/>
  <c r="N539" i="9"/>
  <c r="O539" i="9" s="1"/>
  <c r="J539" i="9"/>
  <c r="K539" i="9" s="1"/>
  <c r="G539" i="9"/>
  <c r="C539" i="9"/>
  <c r="N538" i="9"/>
  <c r="O538" i="9" s="1"/>
  <c r="J538" i="9"/>
  <c r="K538" i="9" s="1"/>
  <c r="G538" i="9"/>
  <c r="C538" i="9"/>
  <c r="N537" i="9"/>
  <c r="O537" i="9" s="1"/>
  <c r="J537" i="9"/>
  <c r="K537" i="9" s="1"/>
  <c r="G537" i="9"/>
  <c r="C537" i="9"/>
  <c r="N536" i="9"/>
  <c r="O536" i="9" s="1"/>
  <c r="J536" i="9"/>
  <c r="K536" i="9" s="1"/>
  <c r="G536" i="9"/>
  <c r="C536" i="9"/>
  <c r="N535" i="9"/>
  <c r="O535" i="9" s="1"/>
  <c r="J535" i="9"/>
  <c r="K535" i="9" s="1"/>
  <c r="G535" i="9"/>
  <c r="C535" i="9"/>
  <c r="N534" i="9"/>
  <c r="O534" i="9" s="1"/>
  <c r="J534" i="9"/>
  <c r="K534" i="9" s="1"/>
  <c r="G534" i="9"/>
  <c r="C534" i="9"/>
  <c r="N533" i="9"/>
  <c r="O533" i="9" s="1"/>
  <c r="J533" i="9"/>
  <c r="K533" i="9" s="1"/>
  <c r="G533" i="9"/>
  <c r="C533" i="9"/>
  <c r="N532" i="9"/>
  <c r="O532" i="9" s="1"/>
  <c r="J532" i="9"/>
  <c r="K532" i="9" s="1"/>
  <c r="G532" i="9"/>
  <c r="C532" i="9"/>
  <c r="N531" i="9"/>
  <c r="O531" i="9" s="1"/>
  <c r="J531" i="9"/>
  <c r="K531" i="9" s="1"/>
  <c r="G531" i="9"/>
  <c r="C531" i="9"/>
  <c r="N530" i="9"/>
  <c r="O530" i="9" s="1"/>
  <c r="J530" i="9"/>
  <c r="K530" i="9" s="1"/>
  <c r="G530" i="9"/>
  <c r="C530" i="9"/>
  <c r="N529" i="9"/>
  <c r="O529" i="9" s="1"/>
  <c r="J529" i="9"/>
  <c r="K529" i="9" s="1"/>
  <c r="G529" i="9"/>
  <c r="C529" i="9"/>
  <c r="N528" i="9"/>
  <c r="O528" i="9" s="1"/>
  <c r="J528" i="9"/>
  <c r="K528" i="9" s="1"/>
  <c r="G528" i="9"/>
  <c r="C528" i="9"/>
  <c r="N527" i="9"/>
  <c r="O527" i="9" s="1"/>
  <c r="J527" i="9"/>
  <c r="K527" i="9" s="1"/>
  <c r="G527" i="9"/>
  <c r="C527" i="9"/>
  <c r="N526" i="9"/>
  <c r="O526" i="9" s="1"/>
  <c r="J526" i="9"/>
  <c r="K526" i="9" s="1"/>
  <c r="G526" i="9"/>
  <c r="C526" i="9"/>
  <c r="N525" i="9"/>
  <c r="O525" i="9" s="1"/>
  <c r="J525" i="9"/>
  <c r="K525" i="9" s="1"/>
  <c r="G525" i="9"/>
  <c r="C525" i="9"/>
  <c r="N524" i="9"/>
  <c r="O524" i="9" s="1"/>
  <c r="J524" i="9"/>
  <c r="K524" i="9" s="1"/>
  <c r="G524" i="9"/>
  <c r="C524" i="9"/>
  <c r="N523" i="9"/>
  <c r="O523" i="9" s="1"/>
  <c r="J523" i="9"/>
  <c r="K523" i="9" s="1"/>
  <c r="G523" i="9"/>
  <c r="C523" i="9"/>
  <c r="N522" i="9"/>
  <c r="O522" i="9" s="1"/>
  <c r="J522" i="9"/>
  <c r="K522" i="9" s="1"/>
  <c r="G522" i="9"/>
  <c r="C522" i="9"/>
  <c r="N521" i="9"/>
  <c r="O521" i="9" s="1"/>
  <c r="J521" i="9"/>
  <c r="K521" i="9" s="1"/>
  <c r="G521" i="9"/>
  <c r="C521" i="9"/>
  <c r="N520" i="9"/>
  <c r="O520" i="9" s="1"/>
  <c r="J520" i="9"/>
  <c r="K520" i="9" s="1"/>
  <c r="G520" i="9"/>
  <c r="C520" i="9"/>
  <c r="N519" i="9"/>
  <c r="O519" i="9" s="1"/>
  <c r="J519" i="9"/>
  <c r="K519" i="9" s="1"/>
  <c r="G519" i="9"/>
  <c r="C519" i="9"/>
  <c r="N518" i="9"/>
  <c r="O518" i="9" s="1"/>
  <c r="J518" i="9"/>
  <c r="K518" i="9" s="1"/>
  <c r="G518" i="9"/>
  <c r="C518" i="9"/>
  <c r="N517" i="9"/>
  <c r="O517" i="9" s="1"/>
  <c r="J517" i="9"/>
  <c r="K517" i="9" s="1"/>
  <c r="G517" i="9"/>
  <c r="C517" i="9"/>
  <c r="N516" i="9"/>
  <c r="O516" i="9" s="1"/>
  <c r="J516" i="9"/>
  <c r="K516" i="9" s="1"/>
  <c r="G516" i="9"/>
  <c r="C516" i="9"/>
  <c r="N515" i="9"/>
  <c r="O515" i="9" s="1"/>
  <c r="J515" i="9"/>
  <c r="K515" i="9" s="1"/>
  <c r="G515" i="9"/>
  <c r="C515" i="9"/>
  <c r="N514" i="9"/>
  <c r="O514" i="9" s="1"/>
  <c r="J514" i="9"/>
  <c r="K514" i="9" s="1"/>
  <c r="G514" i="9"/>
  <c r="C514" i="9"/>
  <c r="N513" i="9"/>
  <c r="O513" i="9" s="1"/>
  <c r="J513" i="9"/>
  <c r="K513" i="9" s="1"/>
  <c r="G513" i="9"/>
  <c r="C513" i="9"/>
  <c r="N512" i="9"/>
  <c r="O512" i="9" s="1"/>
  <c r="J512" i="9"/>
  <c r="K512" i="9" s="1"/>
  <c r="G512" i="9"/>
  <c r="C512" i="9"/>
  <c r="N511" i="9"/>
  <c r="O511" i="9" s="1"/>
  <c r="J511" i="9"/>
  <c r="K511" i="9" s="1"/>
  <c r="G511" i="9"/>
  <c r="C511" i="9"/>
  <c r="N510" i="9"/>
  <c r="O510" i="9" s="1"/>
  <c r="J510" i="9"/>
  <c r="K510" i="9" s="1"/>
  <c r="G510" i="9"/>
  <c r="C510" i="9"/>
  <c r="N509" i="9"/>
  <c r="O509" i="9" s="1"/>
  <c r="J509" i="9"/>
  <c r="K509" i="9" s="1"/>
  <c r="G509" i="9"/>
  <c r="C509" i="9"/>
  <c r="N508" i="9"/>
  <c r="O508" i="9" s="1"/>
  <c r="J508" i="9"/>
  <c r="K508" i="9" s="1"/>
  <c r="G508" i="9"/>
  <c r="C508" i="9"/>
  <c r="N507" i="9"/>
  <c r="O507" i="9" s="1"/>
  <c r="J507" i="9"/>
  <c r="K507" i="9" s="1"/>
  <c r="G507" i="9"/>
  <c r="C507" i="9"/>
  <c r="N506" i="9"/>
  <c r="O506" i="9" s="1"/>
  <c r="J506" i="9"/>
  <c r="K506" i="9" s="1"/>
  <c r="G506" i="9"/>
  <c r="C506" i="9"/>
  <c r="N505" i="9"/>
  <c r="O505" i="9" s="1"/>
  <c r="J505" i="9"/>
  <c r="K505" i="9" s="1"/>
  <c r="G505" i="9"/>
  <c r="C505" i="9"/>
  <c r="N504" i="9"/>
  <c r="O504" i="9" s="1"/>
  <c r="J504" i="9"/>
  <c r="K504" i="9" s="1"/>
  <c r="G504" i="9"/>
  <c r="C504" i="9"/>
  <c r="N503" i="9"/>
  <c r="O503" i="9" s="1"/>
  <c r="J503" i="9"/>
  <c r="K503" i="9" s="1"/>
  <c r="G503" i="9"/>
  <c r="C503" i="9"/>
  <c r="N502" i="9"/>
  <c r="O502" i="9" s="1"/>
  <c r="J502" i="9"/>
  <c r="K502" i="9" s="1"/>
  <c r="G502" i="9"/>
  <c r="C502" i="9"/>
  <c r="N501" i="9"/>
  <c r="O501" i="9" s="1"/>
  <c r="J501" i="9"/>
  <c r="K501" i="9" s="1"/>
  <c r="G501" i="9"/>
  <c r="C501" i="9"/>
  <c r="N500" i="9"/>
  <c r="O500" i="9" s="1"/>
  <c r="J500" i="9"/>
  <c r="K500" i="9" s="1"/>
  <c r="G500" i="9"/>
  <c r="C500" i="9"/>
  <c r="N499" i="9"/>
  <c r="O499" i="9" s="1"/>
  <c r="J499" i="9"/>
  <c r="K499" i="9" s="1"/>
  <c r="G499" i="9"/>
  <c r="C499" i="9"/>
  <c r="N498" i="9"/>
  <c r="O498" i="9" s="1"/>
  <c r="J498" i="9"/>
  <c r="K498" i="9" s="1"/>
  <c r="G498" i="9"/>
  <c r="C498" i="9"/>
  <c r="N497" i="9"/>
  <c r="O497" i="9" s="1"/>
  <c r="J497" i="9"/>
  <c r="K497" i="9" s="1"/>
  <c r="G497" i="9"/>
  <c r="C497" i="9"/>
  <c r="N496" i="9"/>
  <c r="O496" i="9" s="1"/>
  <c r="J496" i="9"/>
  <c r="K496" i="9" s="1"/>
  <c r="G496" i="9"/>
  <c r="C496" i="9"/>
  <c r="N495" i="9"/>
  <c r="O495" i="9" s="1"/>
  <c r="J495" i="9"/>
  <c r="K495" i="9" s="1"/>
  <c r="G495" i="9"/>
  <c r="C495" i="9"/>
  <c r="N494" i="9"/>
  <c r="O494" i="9" s="1"/>
  <c r="J494" i="9"/>
  <c r="K494" i="9" s="1"/>
  <c r="G494" i="9"/>
  <c r="C494" i="9"/>
  <c r="N493" i="9"/>
  <c r="O493" i="9" s="1"/>
  <c r="J493" i="9"/>
  <c r="K493" i="9" s="1"/>
  <c r="G493" i="9"/>
  <c r="C493" i="9"/>
  <c r="N492" i="9"/>
  <c r="O492" i="9" s="1"/>
  <c r="J492" i="9"/>
  <c r="K492" i="9" s="1"/>
  <c r="G492" i="9"/>
  <c r="C492" i="9"/>
  <c r="N491" i="9"/>
  <c r="O491" i="9" s="1"/>
  <c r="J491" i="9"/>
  <c r="K491" i="9" s="1"/>
  <c r="G491" i="9"/>
  <c r="C491" i="9"/>
  <c r="N490" i="9"/>
  <c r="O490" i="9" s="1"/>
  <c r="J490" i="9"/>
  <c r="K490" i="9" s="1"/>
  <c r="G490" i="9"/>
  <c r="C490" i="9"/>
  <c r="N489" i="9"/>
  <c r="O489" i="9" s="1"/>
  <c r="J489" i="9"/>
  <c r="K489" i="9" s="1"/>
  <c r="G489" i="9"/>
  <c r="C489" i="9"/>
  <c r="N488" i="9"/>
  <c r="O488" i="9" s="1"/>
  <c r="J488" i="9"/>
  <c r="K488" i="9" s="1"/>
  <c r="G488" i="9"/>
  <c r="C488" i="9"/>
  <c r="N487" i="9"/>
  <c r="O487" i="9" s="1"/>
  <c r="J487" i="9"/>
  <c r="K487" i="9" s="1"/>
  <c r="G487" i="9"/>
  <c r="C487" i="9"/>
  <c r="N486" i="9"/>
  <c r="O486" i="9" s="1"/>
  <c r="J486" i="9"/>
  <c r="K486" i="9" s="1"/>
  <c r="G486" i="9"/>
  <c r="C486" i="9"/>
  <c r="N485" i="9"/>
  <c r="O485" i="9" s="1"/>
  <c r="J485" i="9"/>
  <c r="K485" i="9" s="1"/>
  <c r="G485" i="9"/>
  <c r="C485" i="9"/>
  <c r="N484" i="9"/>
  <c r="O484" i="9" s="1"/>
  <c r="J484" i="9"/>
  <c r="K484" i="9" s="1"/>
  <c r="G484" i="9"/>
  <c r="C484" i="9"/>
  <c r="N483" i="9"/>
  <c r="O483" i="9" s="1"/>
  <c r="J483" i="9"/>
  <c r="K483" i="9" s="1"/>
  <c r="G483" i="9"/>
  <c r="C483" i="9"/>
  <c r="N482" i="9"/>
  <c r="O482" i="9" s="1"/>
  <c r="J482" i="9"/>
  <c r="K482" i="9" s="1"/>
  <c r="G482" i="9"/>
  <c r="C482" i="9"/>
  <c r="N481" i="9"/>
  <c r="O481" i="9" s="1"/>
  <c r="J481" i="9"/>
  <c r="K481" i="9" s="1"/>
  <c r="G481" i="9"/>
  <c r="C481" i="9"/>
  <c r="N480" i="9"/>
  <c r="O480" i="9" s="1"/>
  <c r="J480" i="9"/>
  <c r="K480" i="9" s="1"/>
  <c r="G480" i="9"/>
  <c r="C480" i="9"/>
  <c r="N479" i="9"/>
  <c r="O479" i="9" s="1"/>
  <c r="J479" i="9"/>
  <c r="K479" i="9" s="1"/>
  <c r="G479" i="9"/>
  <c r="C479" i="9"/>
  <c r="N478" i="9"/>
  <c r="O478" i="9" s="1"/>
  <c r="J478" i="9"/>
  <c r="K478" i="9" s="1"/>
  <c r="G478" i="9"/>
  <c r="C478" i="9"/>
  <c r="N477" i="9"/>
  <c r="O477" i="9" s="1"/>
  <c r="J477" i="9"/>
  <c r="K477" i="9" s="1"/>
  <c r="G477" i="9"/>
  <c r="C477" i="9"/>
  <c r="N476" i="9"/>
  <c r="O476" i="9" s="1"/>
  <c r="J476" i="9"/>
  <c r="K476" i="9" s="1"/>
  <c r="G476" i="9"/>
  <c r="C476" i="9"/>
  <c r="N475" i="9"/>
  <c r="O475" i="9" s="1"/>
  <c r="J475" i="9"/>
  <c r="K475" i="9" s="1"/>
  <c r="G475" i="9"/>
  <c r="C475" i="9"/>
  <c r="N474" i="9"/>
  <c r="O474" i="9" s="1"/>
  <c r="J474" i="9"/>
  <c r="K474" i="9" s="1"/>
  <c r="G474" i="9"/>
  <c r="C474" i="9"/>
  <c r="N473" i="9"/>
  <c r="O473" i="9" s="1"/>
  <c r="J473" i="9"/>
  <c r="K473" i="9" s="1"/>
  <c r="G473" i="9"/>
  <c r="C473" i="9"/>
  <c r="N472" i="9"/>
  <c r="O472" i="9" s="1"/>
  <c r="J472" i="9"/>
  <c r="K472" i="9" s="1"/>
  <c r="G472" i="9"/>
  <c r="C472" i="9"/>
  <c r="N471" i="9"/>
  <c r="O471" i="9" s="1"/>
  <c r="J471" i="9"/>
  <c r="K471" i="9" s="1"/>
  <c r="G471" i="9"/>
  <c r="C471" i="9"/>
  <c r="N470" i="9"/>
  <c r="O470" i="9" s="1"/>
  <c r="J470" i="9"/>
  <c r="K470" i="9" s="1"/>
  <c r="G470" i="9"/>
  <c r="C470" i="9"/>
  <c r="N469" i="9"/>
  <c r="O469" i="9" s="1"/>
  <c r="J469" i="9"/>
  <c r="K469" i="9" s="1"/>
  <c r="G469" i="9"/>
  <c r="C469" i="9"/>
  <c r="N468" i="9"/>
  <c r="O468" i="9" s="1"/>
  <c r="J468" i="9"/>
  <c r="K468" i="9" s="1"/>
  <c r="G468" i="9"/>
  <c r="C468" i="9"/>
  <c r="N467" i="9"/>
  <c r="O467" i="9" s="1"/>
  <c r="J467" i="9"/>
  <c r="K467" i="9" s="1"/>
  <c r="G467" i="9"/>
  <c r="C467" i="9"/>
  <c r="N466" i="9"/>
  <c r="O466" i="9" s="1"/>
  <c r="J466" i="9"/>
  <c r="K466" i="9" s="1"/>
  <c r="G466" i="9"/>
  <c r="C466" i="9"/>
  <c r="N465" i="9"/>
  <c r="O465" i="9" s="1"/>
  <c r="J465" i="9"/>
  <c r="K465" i="9" s="1"/>
  <c r="G465" i="9"/>
  <c r="C465" i="9"/>
  <c r="N464" i="9"/>
  <c r="O464" i="9" s="1"/>
  <c r="J464" i="9"/>
  <c r="K464" i="9" s="1"/>
  <c r="G464" i="9"/>
  <c r="C464" i="9"/>
  <c r="N463" i="9"/>
  <c r="O463" i="9" s="1"/>
  <c r="J463" i="9"/>
  <c r="K463" i="9" s="1"/>
  <c r="G463" i="9"/>
  <c r="C463" i="9"/>
  <c r="N462" i="9"/>
  <c r="O462" i="9" s="1"/>
  <c r="J462" i="9"/>
  <c r="K462" i="9" s="1"/>
  <c r="G462" i="9"/>
  <c r="C462" i="9"/>
  <c r="N461" i="9"/>
  <c r="O461" i="9" s="1"/>
  <c r="J461" i="9"/>
  <c r="K461" i="9" s="1"/>
  <c r="G461" i="9"/>
  <c r="C461" i="9"/>
  <c r="N460" i="9"/>
  <c r="O460" i="9" s="1"/>
  <c r="J460" i="9"/>
  <c r="K460" i="9" s="1"/>
  <c r="G460" i="9"/>
  <c r="C460" i="9"/>
  <c r="N459" i="9"/>
  <c r="O459" i="9" s="1"/>
  <c r="J459" i="9"/>
  <c r="K459" i="9" s="1"/>
  <c r="G459" i="9"/>
  <c r="C459" i="9"/>
  <c r="N458" i="9"/>
  <c r="O458" i="9" s="1"/>
  <c r="J458" i="9"/>
  <c r="K458" i="9" s="1"/>
  <c r="G458" i="9"/>
  <c r="C458" i="9"/>
  <c r="N457" i="9"/>
  <c r="O457" i="9" s="1"/>
  <c r="J457" i="9"/>
  <c r="K457" i="9" s="1"/>
  <c r="G457" i="9"/>
  <c r="C457" i="9"/>
  <c r="N456" i="9"/>
  <c r="O456" i="9" s="1"/>
  <c r="J456" i="9"/>
  <c r="K456" i="9" s="1"/>
  <c r="G456" i="9"/>
  <c r="C456" i="9"/>
  <c r="N455" i="9"/>
  <c r="O455" i="9" s="1"/>
  <c r="J455" i="9"/>
  <c r="K455" i="9" s="1"/>
  <c r="G455" i="9"/>
  <c r="C455" i="9"/>
  <c r="N454" i="9"/>
  <c r="O454" i="9" s="1"/>
  <c r="J454" i="9"/>
  <c r="K454" i="9" s="1"/>
  <c r="G454" i="9"/>
  <c r="C454" i="9"/>
  <c r="N453" i="9"/>
  <c r="O453" i="9" s="1"/>
  <c r="J453" i="9"/>
  <c r="K453" i="9" s="1"/>
  <c r="G453" i="9"/>
  <c r="C453" i="9"/>
  <c r="N452" i="9"/>
  <c r="O452" i="9" s="1"/>
  <c r="J452" i="9"/>
  <c r="K452" i="9" s="1"/>
  <c r="G452" i="9"/>
  <c r="C452" i="9"/>
  <c r="N451" i="9"/>
  <c r="O451" i="9" s="1"/>
  <c r="J451" i="9"/>
  <c r="K451" i="9" s="1"/>
  <c r="G451" i="9"/>
  <c r="C451" i="9"/>
  <c r="N450" i="9"/>
  <c r="O450" i="9" s="1"/>
  <c r="J450" i="9"/>
  <c r="K450" i="9" s="1"/>
  <c r="G450" i="9"/>
  <c r="C450" i="9"/>
  <c r="N449" i="9"/>
  <c r="O449" i="9" s="1"/>
  <c r="J449" i="9"/>
  <c r="K449" i="9" s="1"/>
  <c r="G449" i="9"/>
  <c r="C449" i="9"/>
  <c r="N448" i="9"/>
  <c r="O448" i="9" s="1"/>
  <c r="J448" i="9"/>
  <c r="K448" i="9" s="1"/>
  <c r="G448" i="9"/>
  <c r="C448" i="9"/>
  <c r="N447" i="9"/>
  <c r="O447" i="9" s="1"/>
  <c r="J447" i="9"/>
  <c r="K447" i="9" s="1"/>
  <c r="G447" i="9"/>
  <c r="C447" i="9"/>
  <c r="N446" i="9"/>
  <c r="O446" i="9" s="1"/>
  <c r="J446" i="9"/>
  <c r="K446" i="9" s="1"/>
  <c r="G446" i="9"/>
  <c r="C446" i="9"/>
  <c r="N445" i="9"/>
  <c r="O445" i="9" s="1"/>
  <c r="J445" i="9"/>
  <c r="K445" i="9" s="1"/>
  <c r="G445" i="9"/>
  <c r="C445" i="9"/>
  <c r="N444" i="9"/>
  <c r="O444" i="9" s="1"/>
  <c r="J444" i="9"/>
  <c r="K444" i="9" s="1"/>
  <c r="G444" i="9"/>
  <c r="C444" i="9"/>
  <c r="N443" i="9"/>
  <c r="O443" i="9" s="1"/>
  <c r="J443" i="9"/>
  <c r="K443" i="9" s="1"/>
  <c r="G443" i="9"/>
  <c r="C443" i="9"/>
  <c r="N442" i="9"/>
  <c r="O442" i="9" s="1"/>
  <c r="J442" i="9"/>
  <c r="K442" i="9" s="1"/>
  <c r="G442" i="9"/>
  <c r="C442" i="9"/>
  <c r="N441" i="9"/>
  <c r="O441" i="9" s="1"/>
  <c r="J441" i="9"/>
  <c r="K441" i="9" s="1"/>
  <c r="G441" i="9"/>
  <c r="C441" i="9"/>
  <c r="N440" i="9"/>
  <c r="O440" i="9" s="1"/>
  <c r="J440" i="9"/>
  <c r="K440" i="9" s="1"/>
  <c r="G440" i="9"/>
  <c r="C440" i="9"/>
  <c r="N439" i="9"/>
  <c r="O439" i="9" s="1"/>
  <c r="J439" i="9"/>
  <c r="K439" i="9" s="1"/>
  <c r="G439" i="9"/>
  <c r="C439" i="9"/>
  <c r="N438" i="9"/>
  <c r="O438" i="9" s="1"/>
  <c r="J438" i="9"/>
  <c r="K438" i="9" s="1"/>
  <c r="G438" i="9"/>
  <c r="C438" i="9"/>
  <c r="N437" i="9"/>
  <c r="O437" i="9" s="1"/>
  <c r="J437" i="9"/>
  <c r="K437" i="9" s="1"/>
  <c r="G437" i="9"/>
  <c r="C437" i="9"/>
  <c r="N436" i="9"/>
  <c r="O436" i="9" s="1"/>
  <c r="J436" i="9"/>
  <c r="K436" i="9" s="1"/>
  <c r="G436" i="9"/>
  <c r="C436" i="9"/>
  <c r="N435" i="9"/>
  <c r="O435" i="9" s="1"/>
  <c r="J435" i="9"/>
  <c r="K435" i="9" s="1"/>
  <c r="G435" i="9"/>
  <c r="C435" i="9"/>
  <c r="N434" i="9"/>
  <c r="O434" i="9" s="1"/>
  <c r="J434" i="9"/>
  <c r="K434" i="9" s="1"/>
  <c r="G434" i="9"/>
  <c r="C434" i="9"/>
  <c r="N433" i="9"/>
  <c r="O433" i="9" s="1"/>
  <c r="J433" i="9"/>
  <c r="K433" i="9" s="1"/>
  <c r="G433" i="9"/>
  <c r="C433" i="9"/>
  <c r="N432" i="9"/>
  <c r="O432" i="9" s="1"/>
  <c r="J432" i="9"/>
  <c r="K432" i="9" s="1"/>
  <c r="G432" i="9"/>
  <c r="C432" i="9"/>
  <c r="N431" i="9"/>
  <c r="O431" i="9" s="1"/>
  <c r="J431" i="9"/>
  <c r="K431" i="9" s="1"/>
  <c r="G431" i="9"/>
  <c r="C431" i="9"/>
  <c r="N430" i="9"/>
  <c r="O430" i="9" s="1"/>
  <c r="J430" i="9"/>
  <c r="K430" i="9" s="1"/>
  <c r="G430" i="9"/>
  <c r="C430" i="9"/>
  <c r="N429" i="9"/>
  <c r="O429" i="9" s="1"/>
  <c r="J429" i="9"/>
  <c r="K429" i="9" s="1"/>
  <c r="G429" i="9"/>
  <c r="C429" i="9"/>
  <c r="N428" i="9"/>
  <c r="O428" i="9" s="1"/>
  <c r="J428" i="9"/>
  <c r="K428" i="9" s="1"/>
  <c r="G428" i="9"/>
  <c r="C428" i="9"/>
  <c r="N427" i="9"/>
  <c r="O427" i="9" s="1"/>
  <c r="J427" i="9"/>
  <c r="K427" i="9" s="1"/>
  <c r="G427" i="9"/>
  <c r="C427" i="9"/>
  <c r="N426" i="9"/>
  <c r="O426" i="9" s="1"/>
  <c r="J426" i="9"/>
  <c r="K426" i="9" s="1"/>
  <c r="G426" i="9"/>
  <c r="C426" i="9"/>
  <c r="N425" i="9"/>
  <c r="O425" i="9" s="1"/>
  <c r="J425" i="9"/>
  <c r="K425" i="9" s="1"/>
  <c r="G425" i="9"/>
  <c r="C425" i="9"/>
  <c r="N424" i="9"/>
  <c r="O424" i="9" s="1"/>
  <c r="J424" i="9"/>
  <c r="K424" i="9" s="1"/>
  <c r="G424" i="9"/>
  <c r="C424" i="9"/>
  <c r="N423" i="9"/>
  <c r="O423" i="9" s="1"/>
  <c r="J423" i="9"/>
  <c r="K423" i="9" s="1"/>
  <c r="G423" i="9"/>
  <c r="C423" i="9"/>
  <c r="N422" i="9"/>
  <c r="O422" i="9" s="1"/>
  <c r="J422" i="9"/>
  <c r="K422" i="9" s="1"/>
  <c r="G422" i="9"/>
  <c r="C422" i="9"/>
  <c r="N421" i="9"/>
  <c r="O421" i="9" s="1"/>
  <c r="J421" i="9"/>
  <c r="K421" i="9" s="1"/>
  <c r="G421" i="9"/>
  <c r="C421" i="9"/>
  <c r="N420" i="9"/>
  <c r="O420" i="9" s="1"/>
  <c r="J420" i="9"/>
  <c r="K420" i="9" s="1"/>
  <c r="G420" i="9"/>
  <c r="C420" i="9"/>
  <c r="N419" i="9"/>
  <c r="O419" i="9" s="1"/>
  <c r="J419" i="9"/>
  <c r="K419" i="9" s="1"/>
  <c r="G419" i="9"/>
  <c r="C419" i="9"/>
  <c r="N418" i="9"/>
  <c r="O418" i="9" s="1"/>
  <c r="J418" i="9"/>
  <c r="K418" i="9" s="1"/>
  <c r="G418" i="9"/>
  <c r="C418" i="9"/>
  <c r="N417" i="9"/>
  <c r="O417" i="9" s="1"/>
  <c r="J417" i="9"/>
  <c r="K417" i="9" s="1"/>
  <c r="G417" i="9"/>
  <c r="C417" i="9"/>
  <c r="N416" i="9"/>
  <c r="O416" i="9" s="1"/>
  <c r="J416" i="9"/>
  <c r="K416" i="9" s="1"/>
  <c r="G416" i="9"/>
  <c r="C416" i="9"/>
  <c r="N415" i="9"/>
  <c r="O415" i="9" s="1"/>
  <c r="J415" i="9"/>
  <c r="K415" i="9" s="1"/>
  <c r="G415" i="9"/>
  <c r="C415" i="9"/>
  <c r="N414" i="9"/>
  <c r="O414" i="9" s="1"/>
  <c r="J414" i="9"/>
  <c r="K414" i="9" s="1"/>
  <c r="G414" i="9"/>
  <c r="C414" i="9"/>
  <c r="N413" i="9"/>
  <c r="O413" i="9" s="1"/>
  <c r="J413" i="9"/>
  <c r="K413" i="9" s="1"/>
  <c r="G413" i="9"/>
  <c r="C413" i="9"/>
  <c r="N412" i="9"/>
  <c r="O412" i="9" s="1"/>
  <c r="J412" i="9"/>
  <c r="K412" i="9" s="1"/>
  <c r="G412" i="9"/>
  <c r="C412" i="9"/>
  <c r="N411" i="9"/>
  <c r="O411" i="9" s="1"/>
  <c r="J411" i="9"/>
  <c r="K411" i="9" s="1"/>
  <c r="G411" i="9"/>
  <c r="C411" i="9"/>
  <c r="N410" i="9"/>
  <c r="O410" i="9" s="1"/>
  <c r="J410" i="9"/>
  <c r="K410" i="9" s="1"/>
  <c r="G410" i="9"/>
  <c r="C410" i="9"/>
  <c r="N409" i="9"/>
  <c r="O409" i="9" s="1"/>
  <c r="J409" i="9"/>
  <c r="K409" i="9" s="1"/>
  <c r="G409" i="9"/>
  <c r="C409" i="9"/>
  <c r="N408" i="9"/>
  <c r="O408" i="9" s="1"/>
  <c r="J408" i="9"/>
  <c r="K408" i="9" s="1"/>
  <c r="G408" i="9"/>
  <c r="C408" i="9"/>
  <c r="N407" i="9"/>
  <c r="O407" i="9" s="1"/>
  <c r="J407" i="9"/>
  <c r="K407" i="9" s="1"/>
  <c r="G407" i="9"/>
  <c r="C407" i="9"/>
  <c r="N406" i="9"/>
  <c r="O406" i="9" s="1"/>
  <c r="J406" i="9"/>
  <c r="K406" i="9" s="1"/>
  <c r="G406" i="9"/>
  <c r="C406" i="9"/>
  <c r="N405" i="9"/>
  <c r="O405" i="9" s="1"/>
  <c r="J405" i="9"/>
  <c r="K405" i="9" s="1"/>
  <c r="G405" i="9"/>
  <c r="C405" i="9"/>
  <c r="N404" i="9"/>
  <c r="O404" i="9" s="1"/>
  <c r="J404" i="9"/>
  <c r="K404" i="9" s="1"/>
  <c r="G404" i="9"/>
  <c r="C404" i="9"/>
  <c r="N403" i="9"/>
  <c r="O403" i="9" s="1"/>
  <c r="J403" i="9"/>
  <c r="K403" i="9" s="1"/>
  <c r="G403" i="9"/>
  <c r="C403" i="9"/>
  <c r="N402" i="9"/>
  <c r="O402" i="9" s="1"/>
  <c r="J402" i="9"/>
  <c r="K402" i="9" s="1"/>
  <c r="G402" i="9"/>
  <c r="C402" i="9"/>
  <c r="N401" i="9"/>
  <c r="O401" i="9" s="1"/>
  <c r="J401" i="9"/>
  <c r="K401" i="9" s="1"/>
  <c r="G401" i="9"/>
  <c r="C401" i="9"/>
  <c r="N400" i="9"/>
  <c r="O400" i="9" s="1"/>
  <c r="J400" i="9"/>
  <c r="K400" i="9" s="1"/>
  <c r="G400" i="9"/>
  <c r="C400" i="9"/>
  <c r="N399" i="9"/>
  <c r="O399" i="9" s="1"/>
  <c r="J399" i="9"/>
  <c r="K399" i="9" s="1"/>
  <c r="G399" i="9"/>
  <c r="C399" i="9"/>
  <c r="N398" i="9"/>
  <c r="O398" i="9" s="1"/>
  <c r="J398" i="9"/>
  <c r="K398" i="9" s="1"/>
  <c r="G398" i="9"/>
  <c r="C398" i="9"/>
  <c r="N397" i="9"/>
  <c r="O397" i="9" s="1"/>
  <c r="J397" i="9"/>
  <c r="K397" i="9" s="1"/>
  <c r="G397" i="9"/>
  <c r="C397" i="9"/>
  <c r="N396" i="9"/>
  <c r="O396" i="9" s="1"/>
  <c r="J396" i="9"/>
  <c r="K396" i="9" s="1"/>
  <c r="G396" i="9"/>
  <c r="C396" i="9"/>
  <c r="N395" i="9"/>
  <c r="O395" i="9" s="1"/>
  <c r="J395" i="9"/>
  <c r="K395" i="9" s="1"/>
  <c r="G395" i="9"/>
  <c r="C395" i="9"/>
  <c r="N394" i="9"/>
  <c r="O394" i="9" s="1"/>
  <c r="J394" i="9"/>
  <c r="K394" i="9" s="1"/>
  <c r="G394" i="9"/>
  <c r="C394" i="9"/>
  <c r="N393" i="9"/>
  <c r="O393" i="9" s="1"/>
  <c r="J393" i="9"/>
  <c r="K393" i="9" s="1"/>
  <c r="G393" i="9"/>
  <c r="C393" i="9"/>
  <c r="N392" i="9"/>
  <c r="O392" i="9" s="1"/>
  <c r="J392" i="9"/>
  <c r="K392" i="9" s="1"/>
  <c r="G392" i="9"/>
  <c r="C392" i="9"/>
  <c r="N391" i="9"/>
  <c r="O391" i="9" s="1"/>
  <c r="J391" i="9"/>
  <c r="K391" i="9" s="1"/>
  <c r="G391" i="9"/>
  <c r="C391" i="9"/>
  <c r="N390" i="9"/>
  <c r="O390" i="9" s="1"/>
  <c r="J390" i="9"/>
  <c r="K390" i="9" s="1"/>
  <c r="G390" i="9"/>
  <c r="C390" i="9"/>
  <c r="N389" i="9"/>
  <c r="O389" i="9" s="1"/>
  <c r="J389" i="9"/>
  <c r="K389" i="9" s="1"/>
  <c r="G389" i="9"/>
  <c r="C389" i="9"/>
  <c r="N388" i="9"/>
  <c r="O388" i="9" s="1"/>
  <c r="J388" i="9"/>
  <c r="K388" i="9" s="1"/>
  <c r="G388" i="9"/>
  <c r="C388" i="9"/>
  <c r="N387" i="9"/>
  <c r="O387" i="9" s="1"/>
  <c r="J387" i="9"/>
  <c r="K387" i="9" s="1"/>
  <c r="G387" i="9"/>
  <c r="C387" i="9"/>
  <c r="N386" i="9"/>
  <c r="O386" i="9" s="1"/>
  <c r="J386" i="9"/>
  <c r="K386" i="9" s="1"/>
  <c r="G386" i="9"/>
  <c r="C386" i="9"/>
  <c r="N385" i="9"/>
  <c r="O385" i="9" s="1"/>
  <c r="J385" i="9"/>
  <c r="K385" i="9" s="1"/>
  <c r="G385" i="9"/>
  <c r="C385" i="9"/>
  <c r="N384" i="9"/>
  <c r="O384" i="9" s="1"/>
  <c r="J384" i="9"/>
  <c r="K384" i="9" s="1"/>
  <c r="G384" i="9"/>
  <c r="C384" i="9"/>
  <c r="N383" i="9"/>
  <c r="O383" i="9" s="1"/>
  <c r="J383" i="9"/>
  <c r="K383" i="9" s="1"/>
  <c r="G383" i="9"/>
  <c r="C383" i="9"/>
  <c r="N382" i="9"/>
  <c r="O382" i="9" s="1"/>
  <c r="J382" i="9"/>
  <c r="K382" i="9" s="1"/>
  <c r="G382" i="9"/>
  <c r="C382" i="9"/>
  <c r="N381" i="9"/>
  <c r="O381" i="9" s="1"/>
  <c r="J381" i="9"/>
  <c r="K381" i="9" s="1"/>
  <c r="G381" i="9"/>
  <c r="C381" i="9"/>
  <c r="N380" i="9"/>
  <c r="O380" i="9" s="1"/>
  <c r="J380" i="9"/>
  <c r="K380" i="9" s="1"/>
  <c r="G380" i="9"/>
  <c r="C380" i="9"/>
  <c r="N379" i="9"/>
  <c r="O379" i="9" s="1"/>
  <c r="J379" i="9"/>
  <c r="K379" i="9" s="1"/>
  <c r="G379" i="9"/>
  <c r="C379" i="9"/>
  <c r="N378" i="9"/>
  <c r="O378" i="9" s="1"/>
  <c r="J378" i="9"/>
  <c r="K378" i="9" s="1"/>
  <c r="G378" i="9"/>
  <c r="C378" i="9"/>
  <c r="N377" i="9"/>
  <c r="O377" i="9" s="1"/>
  <c r="J377" i="9"/>
  <c r="K377" i="9" s="1"/>
  <c r="G377" i="9"/>
  <c r="C377" i="9"/>
  <c r="N376" i="9"/>
  <c r="O376" i="9" s="1"/>
  <c r="J376" i="9"/>
  <c r="K376" i="9" s="1"/>
  <c r="G376" i="9"/>
  <c r="C376" i="9"/>
  <c r="N375" i="9"/>
  <c r="O375" i="9" s="1"/>
  <c r="J375" i="9"/>
  <c r="K375" i="9" s="1"/>
  <c r="G375" i="9"/>
  <c r="C375" i="9"/>
  <c r="N374" i="9"/>
  <c r="O374" i="9" s="1"/>
  <c r="J374" i="9"/>
  <c r="K374" i="9" s="1"/>
  <c r="G374" i="9"/>
  <c r="C374" i="9"/>
  <c r="N373" i="9"/>
  <c r="O373" i="9" s="1"/>
  <c r="J373" i="9"/>
  <c r="K373" i="9" s="1"/>
  <c r="G373" i="9"/>
  <c r="C373" i="9"/>
  <c r="N372" i="9"/>
  <c r="O372" i="9" s="1"/>
  <c r="J372" i="9"/>
  <c r="K372" i="9" s="1"/>
  <c r="G372" i="9"/>
  <c r="C372" i="9"/>
  <c r="N371" i="9"/>
  <c r="O371" i="9" s="1"/>
  <c r="J371" i="9"/>
  <c r="K371" i="9" s="1"/>
  <c r="G371" i="9"/>
  <c r="C371" i="9"/>
  <c r="N370" i="9"/>
  <c r="O370" i="9" s="1"/>
  <c r="J370" i="9"/>
  <c r="K370" i="9" s="1"/>
  <c r="G370" i="9"/>
  <c r="C370" i="9"/>
  <c r="N369" i="9"/>
  <c r="O369" i="9" s="1"/>
  <c r="J369" i="9"/>
  <c r="K369" i="9" s="1"/>
  <c r="G369" i="9"/>
  <c r="C369" i="9"/>
  <c r="N368" i="9"/>
  <c r="O368" i="9" s="1"/>
  <c r="J368" i="9"/>
  <c r="K368" i="9" s="1"/>
  <c r="G368" i="9"/>
  <c r="C368" i="9"/>
  <c r="N367" i="9"/>
  <c r="O367" i="9" s="1"/>
  <c r="J367" i="9"/>
  <c r="K367" i="9" s="1"/>
  <c r="G367" i="9"/>
  <c r="C367" i="9"/>
  <c r="N366" i="9"/>
  <c r="O366" i="9" s="1"/>
  <c r="J366" i="9"/>
  <c r="K366" i="9" s="1"/>
  <c r="G366" i="9"/>
  <c r="C366" i="9"/>
  <c r="N365" i="9"/>
  <c r="O365" i="9" s="1"/>
  <c r="J365" i="9"/>
  <c r="K365" i="9" s="1"/>
  <c r="G365" i="9"/>
  <c r="C365" i="9"/>
  <c r="N364" i="9"/>
  <c r="O364" i="9" s="1"/>
  <c r="J364" i="9"/>
  <c r="K364" i="9" s="1"/>
  <c r="G364" i="9"/>
  <c r="C364" i="9"/>
  <c r="N363" i="9"/>
  <c r="O363" i="9" s="1"/>
  <c r="J363" i="9"/>
  <c r="K363" i="9" s="1"/>
  <c r="G363" i="9"/>
  <c r="C363" i="9"/>
  <c r="N362" i="9"/>
  <c r="O362" i="9" s="1"/>
  <c r="J362" i="9"/>
  <c r="K362" i="9" s="1"/>
  <c r="G362" i="9"/>
  <c r="C362" i="9"/>
  <c r="N361" i="9"/>
  <c r="O361" i="9" s="1"/>
  <c r="J361" i="9"/>
  <c r="K361" i="9" s="1"/>
  <c r="G361" i="9"/>
  <c r="C361" i="9"/>
  <c r="N360" i="9"/>
  <c r="O360" i="9" s="1"/>
  <c r="J360" i="9"/>
  <c r="K360" i="9" s="1"/>
  <c r="G360" i="9"/>
  <c r="C360" i="9"/>
  <c r="N359" i="9"/>
  <c r="O359" i="9" s="1"/>
  <c r="J359" i="9"/>
  <c r="K359" i="9" s="1"/>
  <c r="G359" i="9"/>
  <c r="C359" i="9"/>
  <c r="N358" i="9"/>
  <c r="O358" i="9" s="1"/>
  <c r="J358" i="9"/>
  <c r="K358" i="9" s="1"/>
  <c r="G358" i="9"/>
  <c r="C358" i="9"/>
  <c r="N357" i="9"/>
  <c r="O357" i="9" s="1"/>
  <c r="J357" i="9"/>
  <c r="K357" i="9" s="1"/>
  <c r="G357" i="9"/>
  <c r="C357" i="9"/>
  <c r="N356" i="9"/>
  <c r="O356" i="9" s="1"/>
  <c r="J356" i="9"/>
  <c r="K356" i="9" s="1"/>
  <c r="G356" i="9"/>
  <c r="C356" i="9"/>
  <c r="N355" i="9"/>
  <c r="O355" i="9" s="1"/>
  <c r="J355" i="9"/>
  <c r="K355" i="9" s="1"/>
  <c r="G355" i="9"/>
  <c r="C355" i="9"/>
  <c r="N354" i="9"/>
  <c r="O354" i="9" s="1"/>
  <c r="J354" i="9"/>
  <c r="K354" i="9" s="1"/>
  <c r="G354" i="9"/>
  <c r="C354" i="9"/>
  <c r="N353" i="9"/>
  <c r="O353" i="9" s="1"/>
  <c r="J353" i="9"/>
  <c r="K353" i="9" s="1"/>
  <c r="G353" i="9"/>
  <c r="C353" i="9"/>
  <c r="N352" i="9"/>
  <c r="O352" i="9" s="1"/>
  <c r="J352" i="9"/>
  <c r="K352" i="9" s="1"/>
  <c r="G352" i="9"/>
  <c r="C352" i="9"/>
  <c r="N351" i="9"/>
  <c r="O351" i="9" s="1"/>
  <c r="J351" i="9"/>
  <c r="K351" i="9" s="1"/>
  <c r="G351" i="9"/>
  <c r="C351" i="9"/>
  <c r="N350" i="9"/>
  <c r="O350" i="9" s="1"/>
  <c r="J350" i="9"/>
  <c r="K350" i="9" s="1"/>
  <c r="G350" i="9"/>
  <c r="C350" i="9"/>
  <c r="N349" i="9"/>
  <c r="O349" i="9" s="1"/>
  <c r="J349" i="9"/>
  <c r="K349" i="9" s="1"/>
  <c r="G349" i="9"/>
  <c r="C349" i="9"/>
  <c r="N348" i="9"/>
  <c r="O348" i="9" s="1"/>
  <c r="J348" i="9"/>
  <c r="K348" i="9" s="1"/>
  <c r="G348" i="9"/>
  <c r="C348" i="9"/>
  <c r="N347" i="9"/>
  <c r="O347" i="9" s="1"/>
  <c r="J347" i="9"/>
  <c r="K347" i="9" s="1"/>
  <c r="G347" i="9"/>
  <c r="C347" i="9"/>
  <c r="N346" i="9"/>
  <c r="O346" i="9" s="1"/>
  <c r="J346" i="9"/>
  <c r="K346" i="9" s="1"/>
  <c r="G346" i="9"/>
  <c r="C346" i="9"/>
  <c r="N345" i="9"/>
  <c r="O345" i="9" s="1"/>
  <c r="J345" i="9"/>
  <c r="K345" i="9" s="1"/>
  <c r="G345" i="9"/>
  <c r="C345" i="9"/>
  <c r="N344" i="9"/>
  <c r="O344" i="9" s="1"/>
  <c r="J344" i="9"/>
  <c r="K344" i="9" s="1"/>
  <c r="G344" i="9"/>
  <c r="C344" i="9"/>
  <c r="N343" i="9"/>
  <c r="O343" i="9" s="1"/>
  <c r="J343" i="9"/>
  <c r="K343" i="9" s="1"/>
  <c r="G343" i="9"/>
  <c r="C343" i="9"/>
  <c r="N342" i="9"/>
  <c r="O342" i="9" s="1"/>
  <c r="J342" i="9"/>
  <c r="K342" i="9" s="1"/>
  <c r="G342" i="9"/>
  <c r="C342" i="9"/>
  <c r="N341" i="9"/>
  <c r="O341" i="9" s="1"/>
  <c r="J341" i="9"/>
  <c r="K341" i="9" s="1"/>
  <c r="G341" i="9"/>
  <c r="C341" i="9"/>
  <c r="N340" i="9"/>
  <c r="O340" i="9" s="1"/>
  <c r="J340" i="9"/>
  <c r="K340" i="9" s="1"/>
  <c r="G340" i="9"/>
  <c r="C340" i="9"/>
  <c r="N339" i="9"/>
  <c r="O339" i="9" s="1"/>
  <c r="J339" i="9"/>
  <c r="K339" i="9" s="1"/>
  <c r="G339" i="9"/>
  <c r="C339" i="9"/>
  <c r="N338" i="9"/>
  <c r="O338" i="9" s="1"/>
  <c r="J338" i="9"/>
  <c r="K338" i="9" s="1"/>
  <c r="G338" i="9"/>
  <c r="C338" i="9"/>
  <c r="N337" i="9"/>
  <c r="O337" i="9" s="1"/>
  <c r="J337" i="9"/>
  <c r="K337" i="9" s="1"/>
  <c r="G337" i="9"/>
  <c r="C337" i="9"/>
  <c r="N336" i="9"/>
  <c r="O336" i="9" s="1"/>
  <c r="J336" i="9"/>
  <c r="K336" i="9" s="1"/>
  <c r="G336" i="9"/>
  <c r="C336" i="9"/>
  <c r="N335" i="9"/>
  <c r="O335" i="9" s="1"/>
  <c r="J335" i="9"/>
  <c r="K335" i="9" s="1"/>
  <c r="G335" i="9"/>
  <c r="C335" i="9"/>
  <c r="N334" i="9"/>
  <c r="O334" i="9" s="1"/>
  <c r="J334" i="9"/>
  <c r="K334" i="9" s="1"/>
  <c r="G334" i="9"/>
  <c r="C334" i="9"/>
  <c r="N333" i="9"/>
  <c r="O333" i="9" s="1"/>
  <c r="J333" i="9"/>
  <c r="K333" i="9" s="1"/>
  <c r="G333" i="9"/>
  <c r="C333" i="9"/>
  <c r="N332" i="9"/>
  <c r="O332" i="9" s="1"/>
  <c r="J332" i="9"/>
  <c r="K332" i="9" s="1"/>
  <c r="G332" i="9"/>
  <c r="C332" i="9"/>
  <c r="N331" i="9"/>
  <c r="O331" i="9" s="1"/>
  <c r="J331" i="9"/>
  <c r="K331" i="9" s="1"/>
  <c r="G331" i="9"/>
  <c r="C331" i="9"/>
  <c r="N330" i="9"/>
  <c r="O330" i="9" s="1"/>
  <c r="J330" i="9"/>
  <c r="K330" i="9" s="1"/>
  <c r="G330" i="9"/>
  <c r="C330" i="9"/>
  <c r="N329" i="9"/>
  <c r="O329" i="9" s="1"/>
  <c r="J329" i="9"/>
  <c r="K329" i="9" s="1"/>
  <c r="G329" i="9"/>
  <c r="C329" i="9"/>
  <c r="N328" i="9"/>
  <c r="O328" i="9" s="1"/>
  <c r="J328" i="9"/>
  <c r="K328" i="9" s="1"/>
  <c r="G328" i="9"/>
  <c r="C328" i="9"/>
  <c r="N327" i="9"/>
  <c r="O327" i="9" s="1"/>
  <c r="J327" i="9"/>
  <c r="K327" i="9" s="1"/>
  <c r="G327" i="9"/>
  <c r="C327" i="9"/>
  <c r="N326" i="9"/>
  <c r="O326" i="9" s="1"/>
  <c r="J326" i="9"/>
  <c r="K326" i="9" s="1"/>
  <c r="G326" i="9"/>
  <c r="C326" i="9"/>
  <c r="N325" i="9"/>
  <c r="O325" i="9" s="1"/>
  <c r="J325" i="9"/>
  <c r="K325" i="9" s="1"/>
  <c r="G325" i="9"/>
  <c r="C325" i="9"/>
  <c r="N324" i="9"/>
  <c r="O324" i="9" s="1"/>
  <c r="J324" i="9"/>
  <c r="K324" i="9" s="1"/>
  <c r="G324" i="9"/>
  <c r="C324" i="9"/>
  <c r="N323" i="9"/>
  <c r="O323" i="9" s="1"/>
  <c r="J323" i="9"/>
  <c r="K323" i="9" s="1"/>
  <c r="G323" i="9"/>
  <c r="C323" i="9"/>
  <c r="N322" i="9"/>
  <c r="O322" i="9" s="1"/>
  <c r="J322" i="9"/>
  <c r="K322" i="9" s="1"/>
  <c r="G322" i="9"/>
  <c r="C322" i="9"/>
  <c r="N321" i="9"/>
  <c r="O321" i="9" s="1"/>
  <c r="J321" i="9"/>
  <c r="K321" i="9" s="1"/>
  <c r="G321" i="9"/>
  <c r="C321" i="9"/>
  <c r="N320" i="9"/>
  <c r="O320" i="9" s="1"/>
  <c r="J320" i="9"/>
  <c r="K320" i="9" s="1"/>
  <c r="G320" i="9"/>
  <c r="C320" i="9"/>
  <c r="N319" i="9"/>
  <c r="O319" i="9" s="1"/>
  <c r="J319" i="9"/>
  <c r="K319" i="9" s="1"/>
  <c r="G319" i="9"/>
  <c r="C319" i="9"/>
  <c r="N318" i="9"/>
  <c r="O318" i="9" s="1"/>
  <c r="J318" i="9"/>
  <c r="K318" i="9" s="1"/>
  <c r="G318" i="9"/>
  <c r="C318" i="9"/>
  <c r="N317" i="9"/>
  <c r="O317" i="9" s="1"/>
  <c r="J317" i="9"/>
  <c r="K317" i="9" s="1"/>
  <c r="G317" i="9"/>
  <c r="C317" i="9"/>
  <c r="N316" i="9"/>
  <c r="O316" i="9" s="1"/>
  <c r="J316" i="9"/>
  <c r="K316" i="9" s="1"/>
  <c r="G316" i="9"/>
  <c r="C316" i="9"/>
  <c r="N315" i="9"/>
  <c r="O315" i="9" s="1"/>
  <c r="J315" i="9"/>
  <c r="K315" i="9" s="1"/>
  <c r="G315" i="9"/>
  <c r="C315" i="9"/>
  <c r="N314" i="9"/>
  <c r="O314" i="9" s="1"/>
  <c r="J314" i="9"/>
  <c r="K314" i="9" s="1"/>
  <c r="G314" i="9"/>
  <c r="C314" i="9"/>
  <c r="N313" i="9"/>
  <c r="O313" i="9" s="1"/>
  <c r="J313" i="9"/>
  <c r="K313" i="9" s="1"/>
  <c r="G313" i="9"/>
  <c r="C313" i="9"/>
  <c r="N312" i="9"/>
  <c r="O312" i="9" s="1"/>
  <c r="J312" i="9"/>
  <c r="K312" i="9" s="1"/>
  <c r="G312" i="9"/>
  <c r="C312" i="9"/>
  <c r="N311" i="9"/>
  <c r="O311" i="9" s="1"/>
  <c r="J311" i="9"/>
  <c r="K311" i="9" s="1"/>
  <c r="G311" i="9"/>
  <c r="C311" i="9"/>
  <c r="N310" i="9"/>
  <c r="O310" i="9" s="1"/>
  <c r="J310" i="9"/>
  <c r="K310" i="9" s="1"/>
  <c r="G310" i="9"/>
  <c r="C310" i="9"/>
  <c r="N309" i="9"/>
  <c r="O309" i="9" s="1"/>
  <c r="J309" i="9"/>
  <c r="K309" i="9" s="1"/>
  <c r="G309" i="9"/>
  <c r="C309" i="9"/>
  <c r="N308" i="9"/>
  <c r="O308" i="9" s="1"/>
  <c r="J308" i="9"/>
  <c r="K308" i="9" s="1"/>
  <c r="G308" i="9"/>
  <c r="C308" i="9"/>
  <c r="N307" i="9"/>
  <c r="O307" i="9" s="1"/>
  <c r="J307" i="9"/>
  <c r="K307" i="9" s="1"/>
  <c r="G307" i="9"/>
  <c r="C307" i="9"/>
  <c r="N306" i="9"/>
  <c r="O306" i="9" s="1"/>
  <c r="J306" i="9"/>
  <c r="K306" i="9" s="1"/>
  <c r="G306" i="9"/>
  <c r="C306" i="9"/>
  <c r="N305" i="9"/>
  <c r="O305" i="9" s="1"/>
  <c r="J305" i="9"/>
  <c r="K305" i="9" s="1"/>
  <c r="G305" i="9"/>
  <c r="C305" i="9"/>
  <c r="N304" i="9"/>
  <c r="O304" i="9" s="1"/>
  <c r="J304" i="9"/>
  <c r="K304" i="9" s="1"/>
  <c r="G304" i="9"/>
  <c r="C304" i="9"/>
  <c r="N303" i="9"/>
  <c r="O303" i="9" s="1"/>
  <c r="J303" i="9"/>
  <c r="K303" i="9" s="1"/>
  <c r="G303" i="9"/>
  <c r="C303" i="9"/>
  <c r="N302" i="9"/>
  <c r="O302" i="9" s="1"/>
  <c r="J302" i="9"/>
  <c r="K302" i="9" s="1"/>
  <c r="G302" i="9"/>
  <c r="C302" i="9"/>
  <c r="N301" i="9"/>
  <c r="O301" i="9" s="1"/>
  <c r="J301" i="9"/>
  <c r="K301" i="9" s="1"/>
  <c r="G301" i="9"/>
  <c r="C301" i="9"/>
  <c r="N300" i="9"/>
  <c r="O300" i="9" s="1"/>
  <c r="J300" i="9"/>
  <c r="K300" i="9" s="1"/>
  <c r="G300" i="9"/>
  <c r="C300" i="9"/>
  <c r="N299" i="9"/>
  <c r="O299" i="9" s="1"/>
  <c r="J299" i="9"/>
  <c r="K299" i="9" s="1"/>
  <c r="G299" i="9"/>
  <c r="C299" i="9"/>
  <c r="N298" i="9"/>
  <c r="O298" i="9" s="1"/>
  <c r="J298" i="9"/>
  <c r="K298" i="9" s="1"/>
  <c r="G298" i="9"/>
  <c r="C298" i="9"/>
  <c r="N297" i="9"/>
  <c r="O297" i="9" s="1"/>
  <c r="J297" i="9"/>
  <c r="K297" i="9" s="1"/>
  <c r="G297" i="9"/>
  <c r="C297" i="9"/>
  <c r="N296" i="9"/>
  <c r="O296" i="9" s="1"/>
  <c r="J296" i="9"/>
  <c r="K296" i="9" s="1"/>
  <c r="G296" i="9"/>
  <c r="C296" i="9"/>
  <c r="N295" i="9"/>
  <c r="O295" i="9" s="1"/>
  <c r="J295" i="9"/>
  <c r="K295" i="9" s="1"/>
  <c r="G295" i="9"/>
  <c r="C295" i="9"/>
  <c r="N294" i="9"/>
  <c r="O294" i="9" s="1"/>
  <c r="J294" i="9"/>
  <c r="K294" i="9" s="1"/>
  <c r="G294" i="9"/>
  <c r="C294" i="9"/>
  <c r="N293" i="9"/>
  <c r="O293" i="9" s="1"/>
  <c r="J293" i="9"/>
  <c r="K293" i="9" s="1"/>
  <c r="G293" i="9"/>
  <c r="C293" i="9"/>
  <c r="N292" i="9"/>
  <c r="O292" i="9" s="1"/>
  <c r="J292" i="9"/>
  <c r="K292" i="9" s="1"/>
  <c r="G292" i="9"/>
  <c r="C292" i="9"/>
  <c r="N291" i="9"/>
  <c r="O291" i="9" s="1"/>
  <c r="J291" i="9"/>
  <c r="K291" i="9" s="1"/>
  <c r="G291" i="9"/>
  <c r="C291" i="9"/>
  <c r="N290" i="9"/>
  <c r="O290" i="9" s="1"/>
  <c r="J290" i="9"/>
  <c r="K290" i="9" s="1"/>
  <c r="G290" i="9"/>
  <c r="C290" i="9"/>
  <c r="N289" i="9"/>
  <c r="O289" i="9" s="1"/>
  <c r="J289" i="9"/>
  <c r="K289" i="9" s="1"/>
  <c r="G289" i="9"/>
  <c r="C289" i="9"/>
  <c r="N288" i="9"/>
  <c r="O288" i="9" s="1"/>
  <c r="J288" i="9"/>
  <c r="K288" i="9" s="1"/>
  <c r="G288" i="9"/>
  <c r="C288" i="9"/>
  <c r="N287" i="9"/>
  <c r="O287" i="9" s="1"/>
  <c r="J287" i="9"/>
  <c r="K287" i="9" s="1"/>
  <c r="G287" i="9"/>
  <c r="C287" i="9"/>
  <c r="N286" i="9"/>
  <c r="O286" i="9" s="1"/>
  <c r="J286" i="9"/>
  <c r="K286" i="9" s="1"/>
  <c r="G286" i="9"/>
  <c r="C286" i="9"/>
  <c r="N285" i="9"/>
  <c r="O285" i="9" s="1"/>
  <c r="J285" i="9"/>
  <c r="K285" i="9" s="1"/>
  <c r="G285" i="9"/>
  <c r="C285" i="9"/>
  <c r="N284" i="9"/>
  <c r="O284" i="9" s="1"/>
  <c r="J284" i="9"/>
  <c r="K284" i="9" s="1"/>
  <c r="G284" i="9"/>
  <c r="C284" i="9"/>
  <c r="N283" i="9"/>
  <c r="O283" i="9" s="1"/>
  <c r="J283" i="9"/>
  <c r="K283" i="9" s="1"/>
  <c r="G283" i="9"/>
  <c r="C283" i="9"/>
  <c r="N282" i="9"/>
  <c r="O282" i="9" s="1"/>
  <c r="J282" i="9"/>
  <c r="K282" i="9" s="1"/>
  <c r="G282" i="9"/>
  <c r="C282" i="9"/>
  <c r="N281" i="9"/>
  <c r="O281" i="9" s="1"/>
  <c r="J281" i="9"/>
  <c r="K281" i="9" s="1"/>
  <c r="G281" i="9"/>
  <c r="C281" i="9"/>
  <c r="N280" i="9"/>
  <c r="O280" i="9" s="1"/>
  <c r="J280" i="9"/>
  <c r="K280" i="9" s="1"/>
  <c r="G280" i="9"/>
  <c r="C280" i="9"/>
  <c r="N279" i="9"/>
  <c r="O279" i="9" s="1"/>
  <c r="J279" i="9"/>
  <c r="K279" i="9" s="1"/>
  <c r="G279" i="9"/>
  <c r="C279" i="9"/>
  <c r="N278" i="9"/>
  <c r="O278" i="9" s="1"/>
  <c r="J278" i="9"/>
  <c r="K278" i="9" s="1"/>
  <c r="G278" i="9"/>
  <c r="C278" i="9"/>
  <c r="N277" i="9"/>
  <c r="O277" i="9" s="1"/>
  <c r="J277" i="9"/>
  <c r="K277" i="9" s="1"/>
  <c r="G277" i="9"/>
  <c r="C277" i="9"/>
  <c r="N276" i="9"/>
  <c r="O276" i="9" s="1"/>
  <c r="J276" i="9"/>
  <c r="K276" i="9" s="1"/>
  <c r="G276" i="9"/>
  <c r="C276" i="9"/>
  <c r="N275" i="9"/>
  <c r="O275" i="9" s="1"/>
  <c r="J275" i="9"/>
  <c r="K275" i="9" s="1"/>
  <c r="G275" i="9"/>
  <c r="C275" i="9"/>
  <c r="N274" i="9"/>
  <c r="O274" i="9" s="1"/>
  <c r="J274" i="9"/>
  <c r="K274" i="9" s="1"/>
  <c r="G274" i="9"/>
  <c r="C274" i="9"/>
  <c r="N273" i="9"/>
  <c r="O273" i="9" s="1"/>
  <c r="J273" i="9"/>
  <c r="K273" i="9" s="1"/>
  <c r="G273" i="9"/>
  <c r="C273" i="9"/>
  <c r="N272" i="9"/>
  <c r="O272" i="9" s="1"/>
  <c r="J272" i="9"/>
  <c r="K272" i="9" s="1"/>
  <c r="G272" i="9"/>
  <c r="C272" i="9"/>
  <c r="N271" i="9"/>
  <c r="O271" i="9" s="1"/>
  <c r="J271" i="9"/>
  <c r="K271" i="9" s="1"/>
  <c r="G271" i="9"/>
  <c r="C271" i="9"/>
  <c r="N270" i="9"/>
  <c r="O270" i="9" s="1"/>
  <c r="J270" i="9"/>
  <c r="K270" i="9" s="1"/>
  <c r="G270" i="9"/>
  <c r="C270" i="9"/>
  <c r="N269" i="9"/>
  <c r="O269" i="9" s="1"/>
  <c r="J269" i="9"/>
  <c r="K269" i="9" s="1"/>
  <c r="G269" i="9"/>
  <c r="C269" i="9"/>
  <c r="N268" i="9"/>
  <c r="O268" i="9" s="1"/>
  <c r="J268" i="9"/>
  <c r="K268" i="9" s="1"/>
  <c r="G268" i="9"/>
  <c r="C268" i="9"/>
  <c r="N267" i="9"/>
  <c r="O267" i="9" s="1"/>
  <c r="J267" i="9"/>
  <c r="K267" i="9" s="1"/>
  <c r="G267" i="9"/>
  <c r="C267" i="9"/>
  <c r="N266" i="9"/>
  <c r="O266" i="9" s="1"/>
  <c r="J266" i="9"/>
  <c r="K266" i="9" s="1"/>
  <c r="G266" i="9"/>
  <c r="C266" i="9"/>
  <c r="N265" i="9"/>
  <c r="O265" i="9" s="1"/>
  <c r="J265" i="9"/>
  <c r="K265" i="9" s="1"/>
  <c r="G265" i="9"/>
  <c r="C265" i="9"/>
  <c r="N264" i="9"/>
  <c r="O264" i="9" s="1"/>
  <c r="J264" i="9"/>
  <c r="K264" i="9" s="1"/>
  <c r="G264" i="9"/>
  <c r="C264" i="9"/>
  <c r="N263" i="9"/>
  <c r="O263" i="9" s="1"/>
  <c r="J263" i="9"/>
  <c r="K263" i="9" s="1"/>
  <c r="G263" i="9"/>
  <c r="C263" i="9"/>
  <c r="N262" i="9"/>
  <c r="O262" i="9" s="1"/>
  <c r="J262" i="9"/>
  <c r="K262" i="9" s="1"/>
  <c r="G262" i="9"/>
  <c r="C262" i="9"/>
  <c r="N261" i="9"/>
  <c r="O261" i="9" s="1"/>
  <c r="J261" i="9"/>
  <c r="K261" i="9" s="1"/>
  <c r="G261" i="9"/>
  <c r="C261" i="9"/>
  <c r="N260" i="9"/>
  <c r="O260" i="9" s="1"/>
  <c r="J260" i="9"/>
  <c r="K260" i="9" s="1"/>
  <c r="G260" i="9"/>
  <c r="C260" i="9"/>
  <c r="N259" i="9"/>
  <c r="O259" i="9" s="1"/>
  <c r="J259" i="9"/>
  <c r="K259" i="9" s="1"/>
  <c r="G259" i="9"/>
  <c r="C259" i="9"/>
  <c r="N258" i="9"/>
  <c r="O258" i="9" s="1"/>
  <c r="J258" i="9"/>
  <c r="K258" i="9" s="1"/>
  <c r="G258" i="9"/>
  <c r="C258" i="9"/>
  <c r="N257" i="9"/>
  <c r="O257" i="9" s="1"/>
  <c r="J257" i="9"/>
  <c r="K257" i="9" s="1"/>
  <c r="G257" i="9"/>
  <c r="C257" i="9"/>
  <c r="N256" i="9"/>
  <c r="O256" i="9" s="1"/>
  <c r="J256" i="9"/>
  <c r="K256" i="9" s="1"/>
  <c r="G256" i="9"/>
  <c r="C256" i="9"/>
  <c r="N255" i="9"/>
  <c r="O255" i="9" s="1"/>
  <c r="J255" i="9"/>
  <c r="K255" i="9" s="1"/>
  <c r="G255" i="9"/>
  <c r="C255" i="9"/>
  <c r="N254" i="9"/>
  <c r="O254" i="9" s="1"/>
  <c r="J254" i="9"/>
  <c r="K254" i="9" s="1"/>
  <c r="G254" i="9"/>
  <c r="C254" i="9"/>
  <c r="N253" i="9"/>
  <c r="O253" i="9" s="1"/>
  <c r="J253" i="9"/>
  <c r="K253" i="9" s="1"/>
  <c r="G253" i="9"/>
  <c r="C253" i="9"/>
  <c r="N252" i="9"/>
  <c r="O252" i="9" s="1"/>
  <c r="J252" i="9"/>
  <c r="K252" i="9" s="1"/>
  <c r="G252" i="9"/>
  <c r="C252" i="9"/>
  <c r="N251" i="9"/>
  <c r="O251" i="9" s="1"/>
  <c r="J251" i="9"/>
  <c r="K251" i="9" s="1"/>
  <c r="G251" i="9"/>
  <c r="C251" i="9"/>
  <c r="N250" i="9"/>
  <c r="O250" i="9" s="1"/>
  <c r="J250" i="9"/>
  <c r="K250" i="9" s="1"/>
  <c r="G250" i="9"/>
  <c r="C250" i="9"/>
  <c r="N249" i="9"/>
  <c r="O249" i="9" s="1"/>
  <c r="J249" i="9"/>
  <c r="K249" i="9" s="1"/>
  <c r="G249" i="9"/>
  <c r="C249" i="9"/>
  <c r="N248" i="9"/>
  <c r="O248" i="9" s="1"/>
  <c r="J248" i="9"/>
  <c r="K248" i="9" s="1"/>
  <c r="G248" i="9"/>
  <c r="C248" i="9"/>
  <c r="N247" i="9"/>
  <c r="O247" i="9" s="1"/>
  <c r="J247" i="9"/>
  <c r="K247" i="9" s="1"/>
  <c r="G247" i="9"/>
  <c r="C247" i="9"/>
  <c r="N246" i="9"/>
  <c r="O246" i="9" s="1"/>
  <c r="J246" i="9"/>
  <c r="K246" i="9" s="1"/>
  <c r="G246" i="9"/>
  <c r="C246" i="9"/>
  <c r="N245" i="9"/>
  <c r="O245" i="9" s="1"/>
  <c r="J245" i="9"/>
  <c r="K245" i="9" s="1"/>
  <c r="G245" i="9"/>
  <c r="C245" i="9"/>
  <c r="N244" i="9"/>
  <c r="O244" i="9" s="1"/>
  <c r="J244" i="9"/>
  <c r="K244" i="9" s="1"/>
  <c r="G244" i="9"/>
  <c r="C244" i="9"/>
  <c r="N243" i="9"/>
  <c r="O243" i="9" s="1"/>
  <c r="J243" i="9"/>
  <c r="K243" i="9" s="1"/>
  <c r="G243" i="9"/>
  <c r="C243" i="9"/>
  <c r="N242" i="9"/>
  <c r="O242" i="9" s="1"/>
  <c r="J242" i="9"/>
  <c r="K242" i="9" s="1"/>
  <c r="G242" i="9"/>
  <c r="C242" i="9"/>
  <c r="N241" i="9"/>
  <c r="O241" i="9" s="1"/>
  <c r="J241" i="9"/>
  <c r="K241" i="9" s="1"/>
  <c r="G241" i="9"/>
  <c r="C241" i="9"/>
  <c r="N240" i="9"/>
  <c r="O240" i="9" s="1"/>
  <c r="J240" i="9"/>
  <c r="K240" i="9" s="1"/>
  <c r="G240" i="9"/>
  <c r="C240" i="9"/>
  <c r="N239" i="9"/>
  <c r="O239" i="9" s="1"/>
  <c r="J239" i="9"/>
  <c r="K239" i="9" s="1"/>
  <c r="G239" i="9"/>
  <c r="C239" i="9"/>
  <c r="N238" i="9"/>
  <c r="O238" i="9" s="1"/>
  <c r="J238" i="9"/>
  <c r="K238" i="9" s="1"/>
  <c r="G238" i="9"/>
  <c r="C238" i="9"/>
  <c r="N237" i="9"/>
  <c r="O237" i="9" s="1"/>
  <c r="J237" i="9"/>
  <c r="K237" i="9" s="1"/>
  <c r="G237" i="9"/>
  <c r="C237" i="9"/>
  <c r="N236" i="9"/>
  <c r="O236" i="9" s="1"/>
  <c r="J236" i="9"/>
  <c r="K236" i="9" s="1"/>
  <c r="G236" i="9"/>
  <c r="C236" i="9"/>
  <c r="N235" i="9"/>
  <c r="O235" i="9" s="1"/>
  <c r="J235" i="9"/>
  <c r="K235" i="9" s="1"/>
  <c r="G235" i="9"/>
  <c r="C235" i="9"/>
  <c r="N234" i="9"/>
  <c r="O234" i="9" s="1"/>
  <c r="J234" i="9"/>
  <c r="K234" i="9" s="1"/>
  <c r="G234" i="9"/>
  <c r="C234" i="9"/>
  <c r="N233" i="9"/>
  <c r="O233" i="9" s="1"/>
  <c r="J233" i="9"/>
  <c r="K233" i="9" s="1"/>
  <c r="G233" i="9"/>
  <c r="C233" i="9"/>
  <c r="N232" i="9"/>
  <c r="O232" i="9" s="1"/>
  <c r="J232" i="9"/>
  <c r="K232" i="9" s="1"/>
  <c r="G232" i="9"/>
  <c r="C232" i="9"/>
  <c r="N231" i="9"/>
  <c r="O231" i="9" s="1"/>
  <c r="J231" i="9"/>
  <c r="K231" i="9" s="1"/>
  <c r="G231" i="9"/>
  <c r="C231" i="9"/>
  <c r="N230" i="9"/>
  <c r="O230" i="9" s="1"/>
  <c r="J230" i="9"/>
  <c r="K230" i="9" s="1"/>
  <c r="G230" i="9"/>
  <c r="C230" i="9"/>
  <c r="N229" i="9"/>
  <c r="O229" i="9" s="1"/>
  <c r="J229" i="9"/>
  <c r="K229" i="9" s="1"/>
  <c r="G229" i="9"/>
  <c r="C229" i="9"/>
  <c r="N228" i="9"/>
  <c r="O228" i="9" s="1"/>
  <c r="J228" i="9"/>
  <c r="K228" i="9" s="1"/>
  <c r="G228" i="9"/>
  <c r="C228" i="9"/>
  <c r="N227" i="9"/>
  <c r="O227" i="9" s="1"/>
  <c r="J227" i="9"/>
  <c r="K227" i="9" s="1"/>
  <c r="G227" i="9"/>
  <c r="C227" i="9"/>
  <c r="N226" i="9"/>
  <c r="O226" i="9" s="1"/>
  <c r="J226" i="9"/>
  <c r="K226" i="9" s="1"/>
  <c r="G226" i="9"/>
  <c r="C226" i="9"/>
  <c r="N225" i="9"/>
  <c r="O225" i="9" s="1"/>
  <c r="J225" i="9"/>
  <c r="K225" i="9" s="1"/>
  <c r="G225" i="9"/>
  <c r="C225" i="9"/>
  <c r="N224" i="9"/>
  <c r="O224" i="9" s="1"/>
  <c r="J224" i="9"/>
  <c r="K224" i="9" s="1"/>
  <c r="G224" i="9"/>
  <c r="C224" i="9"/>
  <c r="N223" i="9"/>
  <c r="O223" i="9" s="1"/>
  <c r="J223" i="9"/>
  <c r="K223" i="9" s="1"/>
  <c r="G223" i="9"/>
  <c r="C223" i="9"/>
  <c r="N222" i="9"/>
  <c r="O222" i="9" s="1"/>
  <c r="J222" i="9"/>
  <c r="K222" i="9" s="1"/>
  <c r="G222" i="9"/>
  <c r="C222" i="9"/>
  <c r="N221" i="9"/>
  <c r="O221" i="9" s="1"/>
  <c r="J221" i="9"/>
  <c r="K221" i="9" s="1"/>
  <c r="G221" i="9"/>
  <c r="C221" i="9"/>
  <c r="N220" i="9"/>
  <c r="O220" i="9" s="1"/>
  <c r="J220" i="9"/>
  <c r="K220" i="9" s="1"/>
  <c r="G220" i="9"/>
  <c r="C220" i="9"/>
  <c r="N219" i="9"/>
  <c r="O219" i="9" s="1"/>
  <c r="J219" i="9"/>
  <c r="K219" i="9" s="1"/>
  <c r="G219" i="9"/>
  <c r="C219" i="9"/>
  <c r="N218" i="9"/>
  <c r="O218" i="9" s="1"/>
  <c r="J218" i="9"/>
  <c r="K218" i="9" s="1"/>
  <c r="G218" i="9"/>
  <c r="C218" i="9"/>
  <c r="N217" i="9"/>
  <c r="O217" i="9" s="1"/>
  <c r="J217" i="9"/>
  <c r="K217" i="9" s="1"/>
  <c r="G217" i="9"/>
  <c r="C217" i="9"/>
  <c r="N216" i="9"/>
  <c r="O216" i="9" s="1"/>
  <c r="J216" i="9"/>
  <c r="K216" i="9" s="1"/>
  <c r="G216" i="9"/>
  <c r="C216" i="9"/>
  <c r="N215" i="9"/>
  <c r="O215" i="9" s="1"/>
  <c r="J215" i="9"/>
  <c r="K215" i="9" s="1"/>
  <c r="G215" i="9"/>
  <c r="C215" i="9"/>
  <c r="N214" i="9"/>
  <c r="O214" i="9" s="1"/>
  <c r="J214" i="9"/>
  <c r="K214" i="9" s="1"/>
  <c r="G214" i="9"/>
  <c r="C214" i="9"/>
  <c r="N213" i="9"/>
  <c r="O213" i="9" s="1"/>
  <c r="J213" i="9"/>
  <c r="K213" i="9" s="1"/>
  <c r="G213" i="9"/>
  <c r="C213" i="9"/>
  <c r="N212" i="9"/>
  <c r="O212" i="9" s="1"/>
  <c r="J212" i="9"/>
  <c r="K212" i="9" s="1"/>
  <c r="G212" i="9"/>
  <c r="C212" i="9"/>
  <c r="N211" i="9"/>
  <c r="O211" i="9" s="1"/>
  <c r="J211" i="9"/>
  <c r="K211" i="9" s="1"/>
  <c r="G211" i="9"/>
  <c r="C211" i="9"/>
  <c r="N210" i="9"/>
  <c r="O210" i="9" s="1"/>
  <c r="J210" i="9"/>
  <c r="K210" i="9" s="1"/>
  <c r="G210" i="9"/>
  <c r="C210" i="9"/>
  <c r="N209" i="9"/>
  <c r="O209" i="9" s="1"/>
  <c r="J209" i="9"/>
  <c r="K209" i="9" s="1"/>
  <c r="G209" i="9"/>
  <c r="C209" i="9"/>
  <c r="N208" i="9"/>
  <c r="O208" i="9" s="1"/>
  <c r="J208" i="9"/>
  <c r="K208" i="9" s="1"/>
  <c r="G208" i="9"/>
  <c r="C208" i="9"/>
  <c r="N207" i="9"/>
  <c r="O207" i="9" s="1"/>
  <c r="J207" i="9"/>
  <c r="K207" i="9" s="1"/>
  <c r="G207" i="9"/>
  <c r="C207" i="9"/>
  <c r="N206" i="9"/>
  <c r="O206" i="9" s="1"/>
  <c r="J206" i="9"/>
  <c r="K206" i="9" s="1"/>
  <c r="G206" i="9"/>
  <c r="C206" i="9"/>
  <c r="N205" i="9"/>
  <c r="O205" i="9" s="1"/>
  <c r="J205" i="9"/>
  <c r="K205" i="9" s="1"/>
  <c r="G205" i="9"/>
  <c r="C205" i="9"/>
  <c r="N204" i="9"/>
  <c r="O204" i="9" s="1"/>
  <c r="J204" i="9"/>
  <c r="K204" i="9" s="1"/>
  <c r="G204" i="9"/>
  <c r="C204" i="9"/>
  <c r="N203" i="9"/>
  <c r="O203" i="9" s="1"/>
  <c r="J203" i="9"/>
  <c r="K203" i="9" s="1"/>
  <c r="G203" i="9"/>
  <c r="C203" i="9"/>
  <c r="N202" i="9"/>
  <c r="O202" i="9" s="1"/>
  <c r="J202" i="9"/>
  <c r="K202" i="9" s="1"/>
  <c r="G202" i="9"/>
  <c r="C202" i="9"/>
  <c r="N201" i="9"/>
  <c r="O201" i="9" s="1"/>
  <c r="J201" i="9"/>
  <c r="K201" i="9" s="1"/>
  <c r="G201" i="9"/>
  <c r="C201" i="9"/>
  <c r="N200" i="9"/>
  <c r="O200" i="9" s="1"/>
  <c r="J200" i="9"/>
  <c r="K200" i="9" s="1"/>
  <c r="G200" i="9"/>
  <c r="C200" i="9"/>
  <c r="N199" i="9"/>
  <c r="O199" i="9" s="1"/>
  <c r="J199" i="9"/>
  <c r="K199" i="9" s="1"/>
  <c r="G199" i="9"/>
  <c r="C199" i="9"/>
  <c r="N198" i="9"/>
  <c r="O198" i="9" s="1"/>
  <c r="J198" i="9"/>
  <c r="K198" i="9" s="1"/>
  <c r="G198" i="9"/>
  <c r="C198" i="9"/>
  <c r="N197" i="9"/>
  <c r="O197" i="9" s="1"/>
  <c r="J197" i="9"/>
  <c r="K197" i="9" s="1"/>
  <c r="G197" i="9"/>
  <c r="C197" i="9"/>
  <c r="N196" i="9"/>
  <c r="O196" i="9" s="1"/>
  <c r="J196" i="9"/>
  <c r="K196" i="9" s="1"/>
  <c r="G196" i="9"/>
  <c r="C196" i="9"/>
  <c r="N195" i="9"/>
  <c r="O195" i="9" s="1"/>
  <c r="J195" i="9"/>
  <c r="K195" i="9" s="1"/>
  <c r="G195" i="9"/>
  <c r="C195" i="9"/>
  <c r="N194" i="9"/>
  <c r="O194" i="9" s="1"/>
  <c r="J194" i="9"/>
  <c r="K194" i="9" s="1"/>
  <c r="G194" i="9"/>
  <c r="C194" i="9"/>
  <c r="N193" i="9"/>
  <c r="O193" i="9" s="1"/>
  <c r="J193" i="9"/>
  <c r="K193" i="9" s="1"/>
  <c r="G193" i="9"/>
  <c r="C193" i="9"/>
  <c r="N192" i="9"/>
  <c r="O192" i="9" s="1"/>
  <c r="J192" i="9"/>
  <c r="K192" i="9" s="1"/>
  <c r="G192" i="9"/>
  <c r="C192" i="9"/>
  <c r="N191" i="9"/>
  <c r="O191" i="9" s="1"/>
  <c r="J191" i="9"/>
  <c r="K191" i="9" s="1"/>
  <c r="G191" i="9"/>
  <c r="C191" i="9"/>
  <c r="N190" i="9"/>
  <c r="O190" i="9" s="1"/>
  <c r="J190" i="9"/>
  <c r="K190" i="9" s="1"/>
  <c r="G190" i="9"/>
  <c r="C190" i="9"/>
  <c r="N189" i="9"/>
  <c r="O189" i="9" s="1"/>
  <c r="J189" i="9"/>
  <c r="K189" i="9" s="1"/>
  <c r="G189" i="9"/>
  <c r="C189" i="9"/>
  <c r="N188" i="9"/>
  <c r="O188" i="9" s="1"/>
  <c r="J188" i="9"/>
  <c r="K188" i="9" s="1"/>
  <c r="G188" i="9"/>
  <c r="C188" i="9"/>
  <c r="N187" i="9"/>
  <c r="O187" i="9" s="1"/>
  <c r="J187" i="9"/>
  <c r="K187" i="9" s="1"/>
  <c r="G187" i="9"/>
  <c r="C187" i="9"/>
  <c r="N186" i="9"/>
  <c r="O186" i="9" s="1"/>
  <c r="J186" i="9"/>
  <c r="K186" i="9" s="1"/>
  <c r="G186" i="9"/>
  <c r="C186" i="9"/>
  <c r="N185" i="9"/>
  <c r="O185" i="9" s="1"/>
  <c r="J185" i="9"/>
  <c r="K185" i="9" s="1"/>
  <c r="G185" i="9"/>
  <c r="C185" i="9"/>
  <c r="N184" i="9"/>
  <c r="O184" i="9" s="1"/>
  <c r="J184" i="9"/>
  <c r="K184" i="9" s="1"/>
  <c r="G184" i="9"/>
  <c r="C184" i="9"/>
  <c r="N183" i="9"/>
  <c r="O183" i="9" s="1"/>
  <c r="J183" i="9"/>
  <c r="K183" i="9" s="1"/>
  <c r="G183" i="9"/>
  <c r="C183" i="9"/>
  <c r="N182" i="9"/>
  <c r="O182" i="9" s="1"/>
  <c r="J182" i="9"/>
  <c r="K182" i="9" s="1"/>
  <c r="G182" i="9"/>
  <c r="C182" i="9"/>
  <c r="N181" i="9"/>
  <c r="O181" i="9" s="1"/>
  <c r="J181" i="9"/>
  <c r="K181" i="9" s="1"/>
  <c r="G181" i="9"/>
  <c r="C181" i="9"/>
  <c r="N180" i="9"/>
  <c r="O180" i="9" s="1"/>
  <c r="J180" i="9"/>
  <c r="K180" i="9" s="1"/>
  <c r="G180" i="9"/>
  <c r="C180" i="9"/>
  <c r="N179" i="9"/>
  <c r="O179" i="9" s="1"/>
  <c r="J179" i="9"/>
  <c r="K179" i="9" s="1"/>
  <c r="G179" i="9"/>
  <c r="C179" i="9"/>
  <c r="N178" i="9"/>
  <c r="O178" i="9" s="1"/>
  <c r="J178" i="9"/>
  <c r="K178" i="9" s="1"/>
  <c r="G178" i="9"/>
  <c r="C178" i="9"/>
  <c r="N177" i="9"/>
  <c r="O177" i="9" s="1"/>
  <c r="J177" i="9"/>
  <c r="K177" i="9" s="1"/>
  <c r="G177" i="9"/>
  <c r="C177" i="9"/>
  <c r="N176" i="9"/>
  <c r="O176" i="9" s="1"/>
  <c r="J176" i="9"/>
  <c r="K176" i="9" s="1"/>
  <c r="G176" i="9"/>
  <c r="C176" i="9"/>
  <c r="N175" i="9"/>
  <c r="O175" i="9" s="1"/>
  <c r="J175" i="9"/>
  <c r="K175" i="9" s="1"/>
  <c r="G175" i="9"/>
  <c r="C175" i="9"/>
  <c r="N174" i="9"/>
  <c r="O174" i="9" s="1"/>
  <c r="J174" i="9"/>
  <c r="K174" i="9" s="1"/>
  <c r="G174" i="9"/>
  <c r="C174" i="9"/>
  <c r="N173" i="9"/>
  <c r="O173" i="9" s="1"/>
  <c r="J173" i="9"/>
  <c r="K173" i="9" s="1"/>
  <c r="G173" i="9"/>
  <c r="C173" i="9"/>
  <c r="N172" i="9"/>
  <c r="O172" i="9" s="1"/>
  <c r="J172" i="9"/>
  <c r="K172" i="9" s="1"/>
  <c r="G172" i="9"/>
  <c r="C172" i="9"/>
  <c r="N171" i="9"/>
  <c r="O171" i="9" s="1"/>
  <c r="J171" i="9"/>
  <c r="K171" i="9" s="1"/>
  <c r="G171" i="9"/>
  <c r="C171" i="9"/>
  <c r="N170" i="9"/>
  <c r="O170" i="9" s="1"/>
  <c r="J170" i="9"/>
  <c r="K170" i="9" s="1"/>
  <c r="G170" i="9"/>
  <c r="C170" i="9"/>
  <c r="N169" i="9"/>
  <c r="O169" i="9" s="1"/>
  <c r="J169" i="9"/>
  <c r="K169" i="9" s="1"/>
  <c r="G169" i="9"/>
  <c r="C169" i="9"/>
  <c r="N168" i="9"/>
  <c r="O168" i="9" s="1"/>
  <c r="J168" i="9"/>
  <c r="K168" i="9" s="1"/>
  <c r="G168" i="9"/>
  <c r="C168" i="9"/>
  <c r="N167" i="9"/>
  <c r="O167" i="9" s="1"/>
  <c r="J167" i="9"/>
  <c r="K167" i="9" s="1"/>
  <c r="G167" i="9"/>
  <c r="C167" i="9"/>
  <c r="N166" i="9"/>
  <c r="O166" i="9" s="1"/>
  <c r="J166" i="9"/>
  <c r="K166" i="9" s="1"/>
  <c r="G166" i="9"/>
  <c r="C166" i="9"/>
  <c r="N165" i="9"/>
  <c r="O165" i="9" s="1"/>
  <c r="J165" i="9"/>
  <c r="K165" i="9" s="1"/>
  <c r="G165" i="9"/>
  <c r="C165" i="9"/>
  <c r="N164" i="9"/>
  <c r="O164" i="9" s="1"/>
  <c r="J164" i="9"/>
  <c r="K164" i="9" s="1"/>
  <c r="G164" i="9"/>
  <c r="C164" i="9"/>
  <c r="N163" i="9"/>
  <c r="O163" i="9" s="1"/>
  <c r="J163" i="9"/>
  <c r="K163" i="9" s="1"/>
  <c r="G163" i="9"/>
  <c r="C163" i="9"/>
  <c r="N162" i="9"/>
  <c r="O162" i="9" s="1"/>
  <c r="J162" i="9"/>
  <c r="K162" i="9" s="1"/>
  <c r="G162" i="9"/>
  <c r="C162" i="9"/>
  <c r="N161" i="9"/>
  <c r="O161" i="9" s="1"/>
  <c r="J161" i="9"/>
  <c r="K161" i="9" s="1"/>
  <c r="G161" i="9"/>
  <c r="C161" i="9"/>
  <c r="N160" i="9"/>
  <c r="O160" i="9" s="1"/>
  <c r="J160" i="9"/>
  <c r="K160" i="9" s="1"/>
  <c r="G160" i="9"/>
  <c r="C160" i="9"/>
  <c r="N159" i="9"/>
  <c r="O159" i="9" s="1"/>
  <c r="J159" i="9"/>
  <c r="K159" i="9" s="1"/>
  <c r="G159" i="9"/>
  <c r="C159" i="9"/>
  <c r="N158" i="9"/>
  <c r="O158" i="9" s="1"/>
  <c r="J158" i="9"/>
  <c r="K158" i="9" s="1"/>
  <c r="G158" i="9"/>
  <c r="C158" i="9"/>
  <c r="N157" i="9"/>
  <c r="O157" i="9" s="1"/>
  <c r="J157" i="9"/>
  <c r="K157" i="9" s="1"/>
  <c r="G157" i="9"/>
  <c r="C157" i="9"/>
  <c r="N156" i="9"/>
  <c r="O156" i="9" s="1"/>
  <c r="J156" i="9"/>
  <c r="K156" i="9" s="1"/>
  <c r="G156" i="9"/>
  <c r="C156" i="9"/>
  <c r="N155" i="9"/>
  <c r="O155" i="9" s="1"/>
  <c r="J155" i="9"/>
  <c r="K155" i="9" s="1"/>
  <c r="G155" i="9"/>
  <c r="C155" i="9"/>
  <c r="N154" i="9"/>
  <c r="O154" i="9" s="1"/>
  <c r="J154" i="9"/>
  <c r="K154" i="9" s="1"/>
  <c r="G154" i="9"/>
  <c r="C154" i="9"/>
  <c r="N153" i="9"/>
  <c r="O153" i="9" s="1"/>
  <c r="J153" i="9"/>
  <c r="K153" i="9" s="1"/>
  <c r="G153" i="9"/>
  <c r="C153" i="9"/>
  <c r="N152" i="9"/>
  <c r="O152" i="9" s="1"/>
  <c r="J152" i="9"/>
  <c r="K152" i="9" s="1"/>
  <c r="G152" i="9"/>
  <c r="C152" i="9"/>
  <c r="N151" i="9"/>
  <c r="O151" i="9" s="1"/>
  <c r="J151" i="9"/>
  <c r="K151" i="9" s="1"/>
  <c r="G151" i="9"/>
  <c r="C151" i="9"/>
  <c r="N150" i="9"/>
  <c r="O150" i="9" s="1"/>
  <c r="J150" i="9"/>
  <c r="K150" i="9" s="1"/>
  <c r="G150" i="9"/>
  <c r="C150" i="9"/>
  <c r="N149" i="9"/>
  <c r="O149" i="9" s="1"/>
  <c r="J149" i="9"/>
  <c r="K149" i="9" s="1"/>
  <c r="G149" i="9"/>
  <c r="C149" i="9"/>
  <c r="N148" i="9"/>
  <c r="O148" i="9" s="1"/>
  <c r="J148" i="9"/>
  <c r="K148" i="9" s="1"/>
  <c r="G148" i="9"/>
  <c r="C148" i="9"/>
  <c r="N147" i="9"/>
  <c r="O147" i="9" s="1"/>
  <c r="J147" i="9"/>
  <c r="K147" i="9" s="1"/>
  <c r="G147" i="9"/>
  <c r="C147" i="9"/>
  <c r="N146" i="9"/>
  <c r="O146" i="9" s="1"/>
  <c r="J146" i="9"/>
  <c r="K146" i="9" s="1"/>
  <c r="G146" i="9"/>
  <c r="C146" i="9"/>
  <c r="N145" i="9"/>
  <c r="O145" i="9" s="1"/>
  <c r="J145" i="9"/>
  <c r="K145" i="9" s="1"/>
  <c r="G145" i="9"/>
  <c r="C145" i="9"/>
  <c r="N144" i="9"/>
  <c r="O144" i="9" s="1"/>
  <c r="J144" i="9"/>
  <c r="K144" i="9" s="1"/>
  <c r="G144" i="9"/>
  <c r="C144" i="9"/>
  <c r="N143" i="9"/>
  <c r="O143" i="9" s="1"/>
  <c r="J143" i="9"/>
  <c r="K143" i="9" s="1"/>
  <c r="G143" i="9"/>
  <c r="C143" i="9"/>
  <c r="N142" i="9"/>
  <c r="O142" i="9" s="1"/>
  <c r="J142" i="9"/>
  <c r="K142" i="9" s="1"/>
  <c r="G142" i="9"/>
  <c r="C142" i="9"/>
  <c r="N141" i="9"/>
  <c r="O141" i="9" s="1"/>
  <c r="J141" i="9"/>
  <c r="K141" i="9" s="1"/>
  <c r="G141" i="9"/>
  <c r="C141" i="9"/>
  <c r="N140" i="9"/>
  <c r="O140" i="9" s="1"/>
  <c r="J140" i="9"/>
  <c r="K140" i="9" s="1"/>
  <c r="G140" i="9"/>
  <c r="C140" i="9"/>
  <c r="N139" i="9"/>
  <c r="O139" i="9" s="1"/>
  <c r="J139" i="9"/>
  <c r="K139" i="9" s="1"/>
  <c r="G139" i="9"/>
  <c r="C139" i="9"/>
  <c r="N138" i="9"/>
  <c r="O138" i="9" s="1"/>
  <c r="J138" i="9"/>
  <c r="K138" i="9" s="1"/>
  <c r="G138" i="9"/>
  <c r="C138" i="9"/>
  <c r="N137" i="9"/>
  <c r="O137" i="9" s="1"/>
  <c r="J137" i="9"/>
  <c r="K137" i="9" s="1"/>
  <c r="G137" i="9"/>
  <c r="C137" i="9"/>
  <c r="N136" i="9"/>
  <c r="O136" i="9" s="1"/>
  <c r="J136" i="9"/>
  <c r="K136" i="9" s="1"/>
  <c r="G136" i="9"/>
  <c r="C136" i="9"/>
  <c r="N135" i="9"/>
  <c r="O135" i="9" s="1"/>
  <c r="J135" i="9"/>
  <c r="K135" i="9" s="1"/>
  <c r="G135" i="9"/>
  <c r="C135" i="9"/>
  <c r="N134" i="9"/>
  <c r="O134" i="9" s="1"/>
  <c r="J134" i="9"/>
  <c r="K134" i="9" s="1"/>
  <c r="G134" i="9"/>
  <c r="C134" i="9"/>
  <c r="N133" i="9"/>
  <c r="O133" i="9" s="1"/>
  <c r="J133" i="9"/>
  <c r="K133" i="9" s="1"/>
  <c r="G133" i="9"/>
  <c r="C133" i="9"/>
  <c r="N132" i="9"/>
  <c r="O132" i="9" s="1"/>
  <c r="J132" i="9"/>
  <c r="K132" i="9" s="1"/>
  <c r="G132" i="9"/>
  <c r="C132" i="9"/>
  <c r="N131" i="9"/>
  <c r="O131" i="9" s="1"/>
  <c r="J131" i="9"/>
  <c r="K131" i="9" s="1"/>
  <c r="G131" i="9"/>
  <c r="C131" i="9"/>
  <c r="N130" i="9"/>
  <c r="O130" i="9" s="1"/>
  <c r="J130" i="9"/>
  <c r="K130" i="9" s="1"/>
  <c r="G130" i="9"/>
  <c r="C130" i="9"/>
  <c r="N129" i="9"/>
  <c r="O129" i="9" s="1"/>
  <c r="J129" i="9"/>
  <c r="K129" i="9" s="1"/>
  <c r="G129" i="9"/>
  <c r="C129" i="9"/>
  <c r="N128" i="9"/>
  <c r="O128" i="9" s="1"/>
  <c r="J128" i="9"/>
  <c r="K128" i="9" s="1"/>
  <c r="G128" i="9"/>
  <c r="C128" i="9"/>
  <c r="N127" i="9"/>
  <c r="O127" i="9" s="1"/>
  <c r="J127" i="9"/>
  <c r="K127" i="9" s="1"/>
  <c r="G127" i="9"/>
  <c r="C127" i="9"/>
  <c r="N126" i="9"/>
  <c r="O126" i="9" s="1"/>
  <c r="J126" i="9"/>
  <c r="K126" i="9" s="1"/>
  <c r="G126" i="9"/>
  <c r="C126" i="9"/>
  <c r="N125" i="9"/>
  <c r="O125" i="9" s="1"/>
  <c r="J125" i="9"/>
  <c r="K125" i="9" s="1"/>
  <c r="G125" i="9"/>
  <c r="C125" i="9"/>
  <c r="N124" i="9"/>
  <c r="O124" i="9" s="1"/>
  <c r="J124" i="9"/>
  <c r="K124" i="9" s="1"/>
  <c r="G124" i="9"/>
  <c r="C124" i="9"/>
  <c r="N123" i="9"/>
  <c r="O123" i="9" s="1"/>
  <c r="J123" i="9"/>
  <c r="K123" i="9" s="1"/>
  <c r="G123" i="9"/>
  <c r="C123" i="9"/>
  <c r="N122" i="9"/>
  <c r="O122" i="9" s="1"/>
  <c r="J122" i="9"/>
  <c r="K122" i="9" s="1"/>
  <c r="G122" i="9"/>
  <c r="C122" i="9"/>
  <c r="N121" i="9"/>
  <c r="O121" i="9" s="1"/>
  <c r="J121" i="9"/>
  <c r="K121" i="9" s="1"/>
  <c r="G121" i="9"/>
  <c r="C121" i="9"/>
  <c r="N120" i="9"/>
  <c r="O120" i="9" s="1"/>
  <c r="J120" i="9"/>
  <c r="K120" i="9" s="1"/>
  <c r="G120" i="9"/>
  <c r="C120" i="9"/>
  <c r="N119" i="9"/>
  <c r="O119" i="9" s="1"/>
  <c r="J119" i="9"/>
  <c r="K119" i="9" s="1"/>
  <c r="G119" i="9"/>
  <c r="C119" i="9"/>
  <c r="N118" i="9"/>
  <c r="O118" i="9" s="1"/>
  <c r="J118" i="9"/>
  <c r="K118" i="9" s="1"/>
  <c r="G118" i="9"/>
  <c r="C118" i="9"/>
  <c r="N117" i="9"/>
  <c r="O117" i="9" s="1"/>
  <c r="J117" i="9"/>
  <c r="K117" i="9" s="1"/>
  <c r="G117" i="9"/>
  <c r="C117" i="9"/>
  <c r="N116" i="9"/>
  <c r="O116" i="9" s="1"/>
  <c r="J116" i="9"/>
  <c r="K116" i="9" s="1"/>
  <c r="G116" i="9"/>
  <c r="C116" i="9"/>
  <c r="N115" i="9"/>
  <c r="O115" i="9" s="1"/>
  <c r="J115" i="9"/>
  <c r="K115" i="9" s="1"/>
  <c r="G115" i="9"/>
  <c r="C115" i="9"/>
  <c r="N114" i="9"/>
  <c r="O114" i="9" s="1"/>
  <c r="J114" i="9"/>
  <c r="K114" i="9" s="1"/>
  <c r="G114" i="9"/>
  <c r="C114" i="9"/>
  <c r="N113" i="9"/>
  <c r="O113" i="9" s="1"/>
  <c r="J113" i="9"/>
  <c r="K113" i="9" s="1"/>
  <c r="G113" i="9"/>
  <c r="C113" i="9"/>
  <c r="N112" i="9"/>
  <c r="O112" i="9" s="1"/>
  <c r="J112" i="9"/>
  <c r="K112" i="9" s="1"/>
  <c r="G112" i="9"/>
  <c r="C112" i="9"/>
  <c r="N111" i="9"/>
  <c r="O111" i="9" s="1"/>
  <c r="J111" i="9"/>
  <c r="K111" i="9" s="1"/>
  <c r="G111" i="9"/>
  <c r="C111" i="9"/>
  <c r="N110" i="9"/>
  <c r="O110" i="9" s="1"/>
  <c r="J110" i="9"/>
  <c r="K110" i="9" s="1"/>
  <c r="G110" i="9"/>
  <c r="C110" i="9"/>
  <c r="N109" i="9"/>
  <c r="O109" i="9" s="1"/>
  <c r="J109" i="9"/>
  <c r="K109" i="9" s="1"/>
  <c r="G109" i="9"/>
  <c r="C109" i="9"/>
  <c r="N108" i="9"/>
  <c r="O108" i="9" s="1"/>
  <c r="J108" i="9"/>
  <c r="K108" i="9" s="1"/>
  <c r="G108" i="9"/>
  <c r="C108" i="9"/>
  <c r="N107" i="9"/>
  <c r="O107" i="9" s="1"/>
  <c r="J107" i="9"/>
  <c r="K107" i="9" s="1"/>
  <c r="G107" i="9"/>
  <c r="C107" i="9"/>
  <c r="N106" i="9"/>
  <c r="O106" i="9" s="1"/>
  <c r="J106" i="9"/>
  <c r="K106" i="9" s="1"/>
  <c r="G106" i="9"/>
  <c r="C106" i="9"/>
  <c r="N105" i="9"/>
  <c r="O105" i="9" s="1"/>
  <c r="J105" i="9"/>
  <c r="K105" i="9" s="1"/>
  <c r="G105" i="9"/>
  <c r="C105" i="9"/>
  <c r="N104" i="9"/>
  <c r="O104" i="9" s="1"/>
  <c r="J104" i="9"/>
  <c r="K104" i="9" s="1"/>
  <c r="G104" i="9"/>
  <c r="C104" i="9"/>
  <c r="N103" i="9"/>
  <c r="O103" i="9" s="1"/>
  <c r="J103" i="9"/>
  <c r="K103" i="9" s="1"/>
  <c r="G103" i="9"/>
  <c r="C103" i="9"/>
  <c r="N102" i="9"/>
  <c r="O102" i="9" s="1"/>
  <c r="J102" i="9"/>
  <c r="K102" i="9" s="1"/>
  <c r="G102" i="9"/>
  <c r="C102" i="9"/>
  <c r="N101" i="9"/>
  <c r="O101" i="9" s="1"/>
  <c r="J101" i="9"/>
  <c r="K101" i="9" s="1"/>
  <c r="G101" i="9"/>
  <c r="C101" i="9"/>
  <c r="N100" i="9"/>
  <c r="O100" i="9" s="1"/>
  <c r="J100" i="9"/>
  <c r="K100" i="9" s="1"/>
  <c r="G100" i="9"/>
  <c r="C100" i="9"/>
  <c r="N99" i="9"/>
  <c r="O99" i="9" s="1"/>
  <c r="J99" i="9"/>
  <c r="K99" i="9" s="1"/>
  <c r="G99" i="9"/>
  <c r="C99" i="9"/>
  <c r="N98" i="9"/>
  <c r="O98" i="9" s="1"/>
  <c r="J98" i="9"/>
  <c r="K98" i="9" s="1"/>
  <c r="G98" i="9"/>
  <c r="C98" i="9"/>
  <c r="N97" i="9"/>
  <c r="O97" i="9" s="1"/>
  <c r="J97" i="9"/>
  <c r="K97" i="9" s="1"/>
  <c r="G97" i="9"/>
  <c r="C97" i="9"/>
  <c r="N96" i="9"/>
  <c r="O96" i="9" s="1"/>
  <c r="J96" i="9"/>
  <c r="K96" i="9" s="1"/>
  <c r="G96" i="9"/>
  <c r="C96" i="9"/>
  <c r="N95" i="9"/>
  <c r="O95" i="9" s="1"/>
  <c r="J95" i="9"/>
  <c r="K95" i="9" s="1"/>
  <c r="G95" i="9"/>
  <c r="C95" i="9"/>
  <c r="N94" i="9"/>
  <c r="O94" i="9" s="1"/>
  <c r="J94" i="9"/>
  <c r="K94" i="9" s="1"/>
  <c r="G94" i="9"/>
  <c r="C94" i="9"/>
  <c r="N93" i="9"/>
  <c r="O93" i="9" s="1"/>
  <c r="J93" i="9"/>
  <c r="K93" i="9" s="1"/>
  <c r="G93" i="9"/>
  <c r="C93" i="9"/>
  <c r="N92" i="9"/>
  <c r="O92" i="9" s="1"/>
  <c r="J92" i="9"/>
  <c r="K92" i="9" s="1"/>
  <c r="G92" i="9"/>
  <c r="C92" i="9"/>
  <c r="N91" i="9"/>
  <c r="O91" i="9" s="1"/>
  <c r="J91" i="9"/>
  <c r="K91" i="9" s="1"/>
  <c r="G91" i="9"/>
  <c r="C91" i="9"/>
  <c r="N90" i="9"/>
  <c r="O90" i="9" s="1"/>
  <c r="J90" i="9"/>
  <c r="K90" i="9" s="1"/>
  <c r="G90" i="9"/>
  <c r="C90" i="9"/>
  <c r="N89" i="9"/>
  <c r="O89" i="9" s="1"/>
  <c r="J89" i="9"/>
  <c r="K89" i="9" s="1"/>
  <c r="G89" i="9"/>
  <c r="C89" i="9"/>
  <c r="N88" i="9"/>
  <c r="O88" i="9" s="1"/>
  <c r="J88" i="9"/>
  <c r="K88" i="9" s="1"/>
  <c r="G88" i="9"/>
  <c r="C88" i="9"/>
  <c r="N87" i="9"/>
  <c r="O87" i="9" s="1"/>
  <c r="J87" i="9"/>
  <c r="K87" i="9" s="1"/>
  <c r="G87" i="9"/>
  <c r="C87" i="9"/>
  <c r="N86" i="9"/>
  <c r="O86" i="9" s="1"/>
  <c r="J86" i="9"/>
  <c r="K86" i="9" s="1"/>
  <c r="G86" i="9"/>
  <c r="C86" i="9"/>
  <c r="N85" i="9"/>
  <c r="O85" i="9" s="1"/>
  <c r="J85" i="9"/>
  <c r="K85" i="9" s="1"/>
  <c r="G85" i="9"/>
  <c r="C85" i="9"/>
  <c r="N84" i="9"/>
  <c r="O84" i="9" s="1"/>
  <c r="J84" i="9"/>
  <c r="K84" i="9" s="1"/>
  <c r="G84" i="9"/>
  <c r="C84" i="9"/>
  <c r="N83" i="9"/>
  <c r="O83" i="9" s="1"/>
  <c r="J83" i="9"/>
  <c r="K83" i="9" s="1"/>
  <c r="G83" i="9"/>
  <c r="C83" i="9"/>
  <c r="N82" i="9"/>
  <c r="O82" i="9" s="1"/>
  <c r="J82" i="9"/>
  <c r="K82" i="9" s="1"/>
  <c r="G82" i="9"/>
  <c r="C82" i="9"/>
  <c r="O81" i="9"/>
  <c r="N81" i="9"/>
  <c r="J81" i="9"/>
  <c r="K81" i="9" s="1"/>
  <c r="G81" i="9"/>
  <c r="C81" i="9"/>
  <c r="N80" i="9"/>
  <c r="O80" i="9" s="1"/>
  <c r="J80" i="9"/>
  <c r="K80" i="9" s="1"/>
  <c r="G80" i="9"/>
  <c r="C80" i="9"/>
  <c r="N79" i="9"/>
  <c r="O79" i="9" s="1"/>
  <c r="J79" i="9"/>
  <c r="K79" i="9" s="1"/>
  <c r="G79" i="9"/>
  <c r="C79" i="9"/>
  <c r="N78" i="9"/>
  <c r="O78" i="9" s="1"/>
  <c r="J78" i="9"/>
  <c r="K78" i="9" s="1"/>
  <c r="G78" i="9"/>
  <c r="C78" i="9"/>
  <c r="N77" i="9"/>
  <c r="O77" i="9" s="1"/>
  <c r="J77" i="9"/>
  <c r="K77" i="9" s="1"/>
  <c r="G77" i="9"/>
  <c r="C77" i="9"/>
  <c r="N76" i="9"/>
  <c r="O76" i="9" s="1"/>
  <c r="J76" i="9"/>
  <c r="K76" i="9" s="1"/>
  <c r="G76" i="9"/>
  <c r="C76" i="9"/>
  <c r="N75" i="9"/>
  <c r="O75" i="9" s="1"/>
  <c r="J75" i="9"/>
  <c r="K75" i="9" s="1"/>
  <c r="G75" i="9"/>
  <c r="C75" i="9"/>
  <c r="N74" i="9"/>
  <c r="O74" i="9" s="1"/>
  <c r="J74" i="9"/>
  <c r="K74" i="9" s="1"/>
  <c r="G74" i="9"/>
  <c r="C74" i="9"/>
  <c r="N73" i="9"/>
  <c r="O73" i="9" s="1"/>
  <c r="J73" i="9"/>
  <c r="K73" i="9" s="1"/>
  <c r="G73" i="9"/>
  <c r="C73" i="9"/>
  <c r="N72" i="9"/>
  <c r="O72" i="9" s="1"/>
  <c r="J72" i="9"/>
  <c r="K72" i="9" s="1"/>
  <c r="G72" i="9"/>
  <c r="C72" i="9"/>
  <c r="N71" i="9"/>
  <c r="O71" i="9" s="1"/>
  <c r="J71" i="9"/>
  <c r="K71" i="9" s="1"/>
  <c r="G71" i="9"/>
  <c r="C71" i="9"/>
  <c r="N70" i="9"/>
  <c r="O70" i="9" s="1"/>
  <c r="J70" i="9"/>
  <c r="K70" i="9" s="1"/>
  <c r="G70" i="9"/>
  <c r="C70" i="9"/>
  <c r="N69" i="9"/>
  <c r="O69" i="9" s="1"/>
  <c r="J69" i="9"/>
  <c r="K69" i="9" s="1"/>
  <c r="G69" i="9"/>
  <c r="C69" i="9"/>
  <c r="N68" i="9"/>
  <c r="O68" i="9" s="1"/>
  <c r="J68" i="9"/>
  <c r="K68" i="9" s="1"/>
  <c r="G68" i="9"/>
  <c r="C68" i="9"/>
  <c r="N67" i="9"/>
  <c r="O67" i="9" s="1"/>
  <c r="J67" i="9"/>
  <c r="K67" i="9" s="1"/>
  <c r="G67" i="9"/>
  <c r="C67" i="9"/>
  <c r="N66" i="9"/>
  <c r="O66" i="9" s="1"/>
  <c r="J66" i="9"/>
  <c r="K66" i="9" s="1"/>
  <c r="G66" i="9"/>
  <c r="C66" i="9"/>
  <c r="N65" i="9"/>
  <c r="O65" i="9" s="1"/>
  <c r="J65" i="9"/>
  <c r="K65" i="9" s="1"/>
  <c r="G65" i="9"/>
  <c r="C65" i="9"/>
  <c r="N64" i="9"/>
  <c r="O64" i="9" s="1"/>
  <c r="J64" i="9"/>
  <c r="K64" i="9" s="1"/>
  <c r="G64" i="9"/>
  <c r="C64" i="9"/>
  <c r="N63" i="9"/>
  <c r="O63" i="9" s="1"/>
  <c r="J63" i="9"/>
  <c r="K63" i="9" s="1"/>
  <c r="G63" i="9"/>
  <c r="C63" i="9"/>
  <c r="N62" i="9"/>
  <c r="O62" i="9" s="1"/>
  <c r="J62" i="9"/>
  <c r="K62" i="9" s="1"/>
  <c r="G62" i="9"/>
  <c r="C62" i="9"/>
  <c r="N61" i="9"/>
  <c r="O61" i="9" s="1"/>
  <c r="J61" i="9"/>
  <c r="K61" i="9" s="1"/>
  <c r="G61" i="9"/>
  <c r="C61" i="9"/>
  <c r="N60" i="9"/>
  <c r="O60" i="9" s="1"/>
  <c r="K60" i="9"/>
  <c r="J60" i="9"/>
  <c r="G60" i="9"/>
  <c r="C60" i="9"/>
  <c r="N59" i="9"/>
  <c r="O59" i="9" s="1"/>
  <c r="J59" i="9"/>
  <c r="K59" i="9" s="1"/>
  <c r="G59" i="9"/>
  <c r="C59" i="9"/>
  <c r="N58" i="9"/>
  <c r="O58" i="9" s="1"/>
  <c r="J58" i="9"/>
  <c r="K58" i="9" s="1"/>
  <c r="G58" i="9"/>
  <c r="C58" i="9"/>
  <c r="N57" i="9"/>
  <c r="O57" i="9" s="1"/>
  <c r="J57" i="9"/>
  <c r="K57" i="9" s="1"/>
  <c r="G57" i="9"/>
  <c r="C57" i="9"/>
  <c r="N56" i="9"/>
  <c r="O56" i="9" s="1"/>
  <c r="J56" i="9"/>
  <c r="K56" i="9" s="1"/>
  <c r="G56" i="9"/>
  <c r="C56" i="9"/>
  <c r="N55" i="9"/>
  <c r="O55" i="9" s="1"/>
  <c r="J55" i="9"/>
  <c r="K55" i="9" s="1"/>
  <c r="G55" i="9"/>
  <c r="C55" i="9"/>
  <c r="N54" i="9"/>
  <c r="O54" i="9" s="1"/>
  <c r="J54" i="9"/>
  <c r="K54" i="9" s="1"/>
  <c r="G54" i="9"/>
  <c r="C54" i="9"/>
  <c r="N53" i="9"/>
  <c r="O53" i="9" s="1"/>
  <c r="J53" i="9"/>
  <c r="K53" i="9" s="1"/>
  <c r="G53" i="9"/>
  <c r="C53" i="9"/>
  <c r="N52" i="9"/>
  <c r="O52" i="9" s="1"/>
  <c r="J52" i="9"/>
  <c r="K52" i="9" s="1"/>
  <c r="G52" i="9"/>
  <c r="C52" i="9"/>
  <c r="N51" i="9"/>
  <c r="O51" i="9" s="1"/>
  <c r="J51" i="9"/>
  <c r="K51" i="9" s="1"/>
  <c r="G51" i="9"/>
  <c r="C51" i="9"/>
  <c r="N50" i="9"/>
  <c r="O50" i="9" s="1"/>
  <c r="J50" i="9"/>
  <c r="K50" i="9" s="1"/>
  <c r="G50" i="9"/>
  <c r="C50" i="9"/>
  <c r="N49" i="9"/>
  <c r="O49" i="9" s="1"/>
  <c r="J49" i="9"/>
  <c r="K49" i="9" s="1"/>
  <c r="G49" i="9"/>
  <c r="C49" i="9"/>
  <c r="N48" i="9"/>
  <c r="O48" i="9" s="1"/>
  <c r="J48" i="9"/>
  <c r="K48" i="9" s="1"/>
  <c r="G48" i="9"/>
  <c r="C48" i="9"/>
  <c r="N47" i="9"/>
  <c r="O47" i="9" s="1"/>
  <c r="J47" i="9"/>
  <c r="K47" i="9" s="1"/>
  <c r="G47" i="9"/>
  <c r="C47" i="9"/>
  <c r="N46" i="9"/>
  <c r="O46" i="9" s="1"/>
  <c r="J46" i="9"/>
  <c r="K46" i="9" s="1"/>
  <c r="G46" i="9"/>
  <c r="C46" i="9"/>
  <c r="N45" i="9"/>
  <c r="O45" i="9" s="1"/>
  <c r="J45" i="9"/>
  <c r="K45" i="9" s="1"/>
  <c r="G45" i="9"/>
  <c r="C45" i="9"/>
  <c r="N44" i="9"/>
  <c r="O44" i="9" s="1"/>
  <c r="J44" i="9"/>
  <c r="K44" i="9" s="1"/>
  <c r="G44" i="9"/>
  <c r="C44" i="9"/>
  <c r="N43" i="9"/>
  <c r="O43" i="9" s="1"/>
  <c r="J43" i="9"/>
  <c r="K43" i="9" s="1"/>
  <c r="G43" i="9"/>
  <c r="C43" i="9"/>
  <c r="N42" i="9"/>
  <c r="O42" i="9" s="1"/>
  <c r="J42" i="9"/>
  <c r="K42" i="9" s="1"/>
  <c r="G42" i="9"/>
  <c r="C42" i="9"/>
  <c r="N41" i="9"/>
  <c r="O41" i="9" s="1"/>
  <c r="J41" i="9"/>
  <c r="K41" i="9" s="1"/>
  <c r="G41" i="9"/>
  <c r="C41" i="9"/>
  <c r="N40" i="9"/>
  <c r="O40" i="9" s="1"/>
  <c r="J40" i="9"/>
  <c r="K40" i="9" s="1"/>
  <c r="G40" i="9"/>
  <c r="C40" i="9"/>
  <c r="N39" i="9"/>
  <c r="O39" i="9" s="1"/>
  <c r="J39" i="9"/>
  <c r="K39" i="9" s="1"/>
  <c r="G39" i="9"/>
  <c r="C39" i="9"/>
  <c r="N38" i="9"/>
  <c r="O38" i="9" s="1"/>
  <c r="J38" i="9"/>
  <c r="K38" i="9" s="1"/>
  <c r="G38" i="9"/>
  <c r="C38" i="9"/>
  <c r="N37" i="9"/>
  <c r="O37" i="9" s="1"/>
  <c r="J37" i="9"/>
  <c r="K37" i="9" s="1"/>
  <c r="G37" i="9"/>
  <c r="C37" i="9"/>
  <c r="N36" i="9"/>
  <c r="O36" i="9" s="1"/>
  <c r="J36" i="9"/>
  <c r="K36" i="9" s="1"/>
  <c r="G36" i="9"/>
  <c r="C36" i="9"/>
  <c r="N35" i="9"/>
  <c r="O35" i="9" s="1"/>
  <c r="J35" i="9"/>
  <c r="K35" i="9" s="1"/>
  <c r="G35" i="9"/>
  <c r="C35" i="9"/>
  <c r="N34" i="9"/>
  <c r="O34" i="9" s="1"/>
  <c r="J34" i="9"/>
  <c r="K34" i="9" s="1"/>
  <c r="G34" i="9"/>
  <c r="C34" i="9"/>
  <c r="N33" i="9"/>
  <c r="O33" i="9" s="1"/>
  <c r="J33" i="9"/>
  <c r="K33" i="9" s="1"/>
  <c r="G33" i="9"/>
  <c r="C33" i="9"/>
  <c r="N32" i="9"/>
  <c r="O32" i="9" s="1"/>
  <c r="J32" i="9"/>
  <c r="K32" i="9" s="1"/>
  <c r="G32" i="9"/>
  <c r="C32" i="9"/>
  <c r="N31" i="9"/>
  <c r="O31" i="9" s="1"/>
  <c r="J31" i="9"/>
  <c r="K31" i="9" s="1"/>
  <c r="G31" i="9"/>
  <c r="C31" i="9"/>
  <c r="N30" i="9"/>
  <c r="O30" i="9" s="1"/>
  <c r="J30" i="9"/>
  <c r="K30" i="9" s="1"/>
  <c r="G30" i="9"/>
  <c r="C30" i="9"/>
  <c r="N29" i="9"/>
  <c r="O29" i="9" s="1"/>
  <c r="J29" i="9"/>
  <c r="K29" i="9" s="1"/>
  <c r="G29" i="9"/>
  <c r="C29" i="9"/>
  <c r="N28" i="9"/>
  <c r="O28" i="9" s="1"/>
  <c r="J28" i="9"/>
  <c r="K28" i="9" s="1"/>
  <c r="G28" i="9"/>
  <c r="C28" i="9"/>
  <c r="N27" i="9"/>
  <c r="O27" i="9" s="1"/>
  <c r="J27" i="9"/>
  <c r="K27" i="9" s="1"/>
  <c r="G27" i="9"/>
  <c r="C27" i="9"/>
  <c r="N26" i="9"/>
  <c r="O26" i="9" s="1"/>
  <c r="J26" i="9"/>
  <c r="K26" i="9" s="1"/>
  <c r="G26" i="9"/>
  <c r="C26" i="9"/>
  <c r="N25" i="9"/>
  <c r="O25" i="9" s="1"/>
  <c r="J25" i="9"/>
  <c r="K25" i="9" s="1"/>
  <c r="G25" i="9"/>
  <c r="C25" i="9"/>
  <c r="N24" i="9"/>
  <c r="O24" i="9" s="1"/>
  <c r="J24" i="9"/>
  <c r="K24" i="9" s="1"/>
  <c r="G24" i="9"/>
  <c r="C24" i="9"/>
  <c r="N23" i="9"/>
  <c r="O23" i="9" s="1"/>
  <c r="J23" i="9"/>
  <c r="K23" i="9" s="1"/>
  <c r="G23" i="9"/>
  <c r="C23" i="9"/>
  <c r="N22" i="9"/>
  <c r="O22" i="9" s="1"/>
  <c r="J22" i="9"/>
  <c r="K22" i="9" s="1"/>
  <c r="G22" i="9"/>
  <c r="C22" i="9"/>
  <c r="N21" i="9"/>
  <c r="O21" i="9" s="1"/>
  <c r="J21" i="9"/>
  <c r="K21" i="9" s="1"/>
  <c r="G21" i="9"/>
  <c r="C21" i="9"/>
  <c r="N20" i="9"/>
  <c r="O20" i="9" s="1"/>
  <c r="J20" i="9"/>
  <c r="K20" i="9" s="1"/>
  <c r="G20" i="9"/>
  <c r="C20" i="9"/>
  <c r="N19" i="9"/>
  <c r="O19" i="9" s="1"/>
  <c r="J19" i="9"/>
  <c r="K19" i="9" s="1"/>
  <c r="G19" i="9"/>
  <c r="C19" i="9"/>
  <c r="N18" i="9"/>
  <c r="O18" i="9" s="1"/>
  <c r="J18" i="9"/>
  <c r="K18" i="9" s="1"/>
  <c r="G18" i="9"/>
  <c r="C18" i="9"/>
  <c r="O17" i="9"/>
  <c r="N17" i="9"/>
  <c r="J17" i="9"/>
  <c r="K17" i="9" s="1"/>
  <c r="G17" i="9"/>
  <c r="C17" i="9"/>
  <c r="N16" i="9"/>
  <c r="O16" i="9" s="1"/>
  <c r="J16" i="9"/>
  <c r="K16" i="9" s="1"/>
  <c r="G16" i="9"/>
  <c r="C16" i="9"/>
  <c r="N15" i="9"/>
  <c r="O15" i="9" s="1"/>
  <c r="J15" i="9"/>
  <c r="K15" i="9" s="1"/>
  <c r="G15" i="9"/>
  <c r="C15" i="9"/>
  <c r="N14" i="9"/>
  <c r="O14" i="9" s="1"/>
  <c r="J14" i="9"/>
  <c r="K14" i="9" s="1"/>
  <c r="G14" i="9"/>
  <c r="C14" i="9"/>
  <c r="N13" i="9"/>
  <c r="O13" i="9" s="1"/>
  <c r="J13" i="9"/>
  <c r="K13" i="9" s="1"/>
  <c r="G13" i="9"/>
  <c r="C13" i="9"/>
  <c r="N12" i="9"/>
  <c r="O12" i="9" s="1"/>
  <c r="J12" i="9"/>
  <c r="K12" i="9" s="1"/>
  <c r="G12" i="9"/>
  <c r="C12" i="9"/>
  <c r="N11" i="9"/>
  <c r="O11" i="9" s="1"/>
  <c r="J11" i="9"/>
  <c r="K11" i="9" s="1"/>
  <c r="G11" i="9"/>
  <c r="C11" i="9"/>
  <c r="N10" i="9"/>
  <c r="O10" i="9" s="1"/>
  <c r="J10" i="9"/>
  <c r="K10" i="9" s="1"/>
  <c r="G10" i="9"/>
  <c r="C10" i="9"/>
  <c r="N9" i="9"/>
  <c r="O9" i="9" s="1"/>
  <c r="J9" i="9"/>
  <c r="K9" i="9" s="1"/>
  <c r="G9" i="9"/>
  <c r="C9" i="9"/>
  <c r="N8" i="9"/>
  <c r="O8" i="9" s="1"/>
  <c r="J8" i="9"/>
  <c r="K8" i="9" s="1"/>
  <c r="G8" i="9"/>
  <c r="C8" i="9"/>
  <c r="N7" i="9"/>
  <c r="O7" i="9" s="1"/>
  <c r="J7" i="9"/>
  <c r="K7" i="9" s="1"/>
  <c r="G7" i="9"/>
  <c r="C7" i="9"/>
  <c r="T359" i="8"/>
  <c r="Q359" i="8"/>
  <c r="N359" i="8"/>
  <c r="M359" i="8"/>
  <c r="T358" i="8"/>
  <c r="Q358" i="8"/>
  <c r="N358" i="8"/>
  <c r="M358" i="8"/>
  <c r="T357" i="8"/>
  <c r="Q357" i="8"/>
  <c r="N357" i="8"/>
  <c r="M357" i="8"/>
  <c r="T356" i="8"/>
  <c r="Q356" i="8"/>
  <c r="N356" i="8"/>
  <c r="M356" i="8"/>
  <c r="T355" i="8"/>
  <c r="Q355" i="8"/>
  <c r="N355" i="8"/>
  <c r="M355" i="8"/>
  <c r="T354" i="8"/>
  <c r="Q354" i="8"/>
  <c r="N354" i="8"/>
  <c r="M354" i="8"/>
  <c r="T353" i="8"/>
  <c r="Q353" i="8"/>
  <c r="N353" i="8"/>
  <c r="M353" i="8"/>
  <c r="T352" i="8"/>
  <c r="P352" i="8"/>
  <c r="O352" i="8"/>
  <c r="N352" i="8"/>
  <c r="M352" i="8"/>
  <c r="T351" i="8"/>
  <c r="Q351" i="8"/>
  <c r="N351" i="8"/>
  <c r="M351" i="8"/>
  <c r="T350" i="8"/>
  <c r="Q350" i="8"/>
  <c r="N350" i="8"/>
  <c r="M350" i="8"/>
  <c r="T349" i="8"/>
  <c r="Q349" i="8"/>
  <c r="N349" i="8"/>
  <c r="M349" i="8"/>
  <c r="T348" i="8"/>
  <c r="Q348" i="8"/>
  <c r="N348" i="8"/>
  <c r="M348" i="8"/>
  <c r="T347" i="8"/>
  <c r="Q347" i="8"/>
  <c r="N347" i="8"/>
  <c r="M347" i="8"/>
  <c r="T346" i="8"/>
  <c r="Q346" i="8"/>
  <c r="N346" i="8"/>
  <c r="M346" i="8"/>
  <c r="T345" i="8"/>
  <c r="Q345" i="8"/>
  <c r="N345" i="8"/>
  <c r="M345" i="8"/>
  <c r="T344" i="8"/>
  <c r="Q344" i="8"/>
  <c r="N344" i="8"/>
  <c r="M344" i="8"/>
  <c r="T343" i="8"/>
  <c r="Q343" i="8"/>
  <c r="N343" i="8"/>
  <c r="M343" i="8"/>
  <c r="T342" i="8"/>
  <c r="Q342" i="8"/>
  <c r="N342" i="8"/>
  <c r="M342" i="8"/>
  <c r="T341" i="8"/>
  <c r="Q341" i="8"/>
  <c r="N341" i="8"/>
  <c r="M341" i="8"/>
  <c r="T340" i="8"/>
  <c r="Q340" i="8"/>
  <c r="N340" i="8"/>
  <c r="M340" i="8"/>
  <c r="T339" i="8"/>
  <c r="Q339" i="8"/>
  <c r="N339" i="8"/>
  <c r="M339" i="8"/>
  <c r="T338" i="8"/>
  <c r="Q338" i="8"/>
  <c r="N338" i="8"/>
  <c r="M338" i="8"/>
  <c r="T337" i="8"/>
  <c r="Q337" i="8"/>
  <c r="N337" i="8"/>
  <c r="M337" i="8"/>
  <c r="T336" i="8"/>
  <c r="Q336" i="8"/>
  <c r="N336" i="8"/>
  <c r="M336" i="8"/>
  <c r="T335" i="8"/>
  <c r="Q335" i="8"/>
  <c r="N335" i="8"/>
  <c r="M335" i="8"/>
  <c r="T334" i="8"/>
  <c r="Q334" i="8"/>
  <c r="N334" i="8"/>
  <c r="M334" i="8"/>
  <c r="T333" i="8"/>
  <c r="Q333" i="8"/>
  <c r="N333" i="8"/>
  <c r="M333" i="8"/>
  <c r="T332" i="8"/>
  <c r="Q332" i="8"/>
  <c r="N332" i="8"/>
  <c r="M332" i="8"/>
  <c r="T331" i="8"/>
  <c r="Q331" i="8"/>
  <c r="N331" i="8"/>
  <c r="M331" i="8"/>
  <c r="T330" i="8"/>
  <c r="Q330" i="8"/>
  <c r="N330" i="8"/>
  <c r="M330" i="8"/>
  <c r="T329" i="8"/>
  <c r="Q329" i="8"/>
  <c r="N329" i="8"/>
  <c r="M329" i="8"/>
  <c r="T328" i="8"/>
  <c r="Q328" i="8"/>
  <c r="N328" i="8"/>
  <c r="M328" i="8"/>
  <c r="T327" i="8"/>
  <c r="Q327" i="8"/>
  <c r="N327" i="8"/>
  <c r="M327" i="8"/>
  <c r="T326" i="8"/>
  <c r="Q326" i="8"/>
  <c r="N326" i="8"/>
  <c r="M326" i="8"/>
  <c r="T325" i="8"/>
  <c r="Q325" i="8"/>
  <c r="N325" i="8"/>
  <c r="M325" i="8"/>
  <c r="T324" i="8"/>
  <c r="Q324" i="8"/>
  <c r="N324" i="8"/>
  <c r="M324" i="8"/>
  <c r="T323" i="8"/>
  <c r="Q323" i="8"/>
  <c r="N323" i="8"/>
  <c r="M323" i="8"/>
  <c r="T322" i="8"/>
  <c r="Q322" i="8"/>
  <c r="N322" i="8"/>
  <c r="M322" i="8"/>
  <c r="T321" i="8"/>
  <c r="Q321" i="8"/>
  <c r="N321" i="8"/>
  <c r="M321" i="8"/>
  <c r="T320" i="8"/>
  <c r="Q320" i="8"/>
  <c r="N320" i="8"/>
  <c r="M320" i="8"/>
  <c r="T319" i="8"/>
  <c r="Q319" i="8"/>
  <c r="N319" i="8"/>
  <c r="M319" i="8"/>
  <c r="T318" i="8"/>
  <c r="Q318" i="8"/>
  <c r="N318" i="8"/>
  <c r="M318" i="8"/>
  <c r="T317" i="8"/>
  <c r="Q317" i="8"/>
  <c r="N317" i="8"/>
  <c r="M317" i="8"/>
  <c r="T316" i="8"/>
  <c r="Q316" i="8"/>
  <c r="N316" i="8"/>
  <c r="M316" i="8"/>
  <c r="T315" i="8"/>
  <c r="Q315" i="8"/>
  <c r="N315" i="8"/>
  <c r="M315" i="8"/>
  <c r="T314" i="8"/>
  <c r="Q314" i="8"/>
  <c r="N314" i="8"/>
  <c r="M314" i="8"/>
  <c r="T313" i="8"/>
  <c r="Q313" i="8"/>
  <c r="N313" i="8"/>
  <c r="M313" i="8"/>
  <c r="T312" i="8"/>
  <c r="Q312" i="8"/>
  <c r="N312" i="8"/>
  <c r="M312" i="8"/>
  <c r="T311" i="8"/>
  <c r="Q311" i="8"/>
  <c r="N311" i="8"/>
  <c r="M311" i="8"/>
  <c r="T310" i="8"/>
  <c r="Q310" i="8"/>
  <c r="N310" i="8"/>
  <c r="M310" i="8"/>
  <c r="T309" i="8"/>
  <c r="Q309" i="8"/>
  <c r="N309" i="8"/>
  <c r="M309" i="8"/>
  <c r="T308" i="8"/>
  <c r="Q308" i="8"/>
  <c r="N308" i="8"/>
  <c r="M308" i="8"/>
  <c r="T307" i="8"/>
  <c r="Q307" i="8"/>
  <c r="N307" i="8"/>
  <c r="M307" i="8"/>
  <c r="T306" i="8"/>
  <c r="Q306" i="8"/>
  <c r="N306" i="8"/>
  <c r="M306" i="8"/>
  <c r="T305" i="8"/>
  <c r="Q305" i="8"/>
  <c r="N305" i="8"/>
  <c r="M305" i="8"/>
  <c r="T304" i="8"/>
  <c r="Q304" i="8"/>
  <c r="N304" i="8"/>
  <c r="M304" i="8"/>
  <c r="T303" i="8"/>
  <c r="Q303" i="8"/>
  <c r="N303" i="8"/>
  <c r="M303" i="8"/>
  <c r="T302" i="8"/>
  <c r="Q302" i="8"/>
  <c r="N302" i="8"/>
  <c r="M302" i="8"/>
  <c r="T301" i="8"/>
  <c r="Q301" i="8"/>
  <c r="N301" i="8"/>
  <c r="M301" i="8"/>
  <c r="T300" i="8"/>
  <c r="Q300" i="8"/>
  <c r="N300" i="8"/>
  <c r="M300" i="8"/>
  <c r="T299" i="8"/>
  <c r="Q299" i="8"/>
  <c r="N299" i="8"/>
  <c r="M299" i="8"/>
  <c r="T298" i="8"/>
  <c r="Q298" i="8"/>
  <c r="N298" i="8"/>
  <c r="M298" i="8"/>
  <c r="T297" i="8"/>
  <c r="Q297" i="8"/>
  <c r="N297" i="8"/>
  <c r="M297" i="8"/>
  <c r="T296" i="8"/>
  <c r="Q296" i="8"/>
  <c r="N296" i="8"/>
  <c r="M296" i="8"/>
  <c r="T295" i="8"/>
  <c r="Q295" i="8"/>
  <c r="N295" i="8"/>
  <c r="M295" i="8"/>
  <c r="T294" i="8"/>
  <c r="Q294" i="8"/>
  <c r="N294" i="8"/>
  <c r="M294" i="8"/>
  <c r="T293" i="8"/>
  <c r="Q293" i="8"/>
  <c r="N293" i="8"/>
  <c r="M293" i="8"/>
  <c r="T292" i="8"/>
  <c r="Q292" i="8"/>
  <c r="N292" i="8"/>
  <c r="M292" i="8"/>
  <c r="T291" i="8"/>
  <c r="Q291" i="8"/>
  <c r="N291" i="8"/>
  <c r="M291" i="8"/>
  <c r="T290" i="8"/>
  <c r="Q290" i="8"/>
  <c r="N290" i="8"/>
  <c r="M290" i="8"/>
  <c r="T289" i="8"/>
  <c r="Q289" i="8"/>
  <c r="N289" i="8"/>
  <c r="M289" i="8"/>
  <c r="T288" i="8"/>
  <c r="Q288" i="8"/>
  <c r="N288" i="8"/>
  <c r="M288" i="8"/>
  <c r="T287" i="8"/>
  <c r="P287" i="8"/>
  <c r="O287" i="8"/>
  <c r="N287" i="8"/>
  <c r="M287" i="8"/>
  <c r="T286" i="8"/>
  <c r="Q286" i="8"/>
  <c r="N286" i="8"/>
  <c r="M286" i="8"/>
  <c r="T285" i="8"/>
  <c r="Q285" i="8"/>
  <c r="N285" i="8"/>
  <c r="M285" i="8"/>
  <c r="T284" i="8"/>
  <c r="Q284" i="8"/>
  <c r="N284" i="8"/>
  <c r="M284" i="8"/>
  <c r="T283" i="8"/>
  <c r="Q283" i="8"/>
  <c r="N283" i="8"/>
  <c r="M283" i="8"/>
  <c r="T282" i="8"/>
  <c r="Q282" i="8"/>
  <c r="N282" i="8"/>
  <c r="M282" i="8"/>
  <c r="T281" i="8"/>
  <c r="Q281" i="8"/>
  <c r="N281" i="8"/>
  <c r="M281" i="8"/>
  <c r="T280" i="8"/>
  <c r="Q280" i="8"/>
  <c r="N280" i="8"/>
  <c r="M280" i="8"/>
  <c r="T279" i="8"/>
  <c r="Q279" i="8"/>
  <c r="N279" i="8"/>
  <c r="M279" i="8"/>
  <c r="T278" i="8"/>
  <c r="Q278" i="8"/>
  <c r="N278" i="8"/>
  <c r="M278" i="8"/>
  <c r="T277" i="8"/>
  <c r="Q277" i="8"/>
  <c r="N277" i="8"/>
  <c r="M277" i="8"/>
  <c r="T276" i="8"/>
  <c r="Q276" i="8"/>
  <c r="N276" i="8"/>
  <c r="M276" i="8"/>
  <c r="T275" i="8"/>
  <c r="Q275" i="8"/>
  <c r="N275" i="8"/>
  <c r="M275" i="8"/>
  <c r="T274" i="8"/>
  <c r="Q274" i="8"/>
  <c r="N274" i="8"/>
  <c r="M274" i="8"/>
  <c r="T273" i="8"/>
  <c r="Q273" i="8"/>
  <c r="N273" i="8"/>
  <c r="M273" i="8"/>
  <c r="T272" i="8"/>
  <c r="Q272" i="8"/>
  <c r="N272" i="8"/>
  <c r="M272" i="8"/>
  <c r="T271" i="8"/>
  <c r="Q271" i="8"/>
  <c r="N271" i="8"/>
  <c r="M271" i="8"/>
  <c r="T270" i="8"/>
  <c r="Q270" i="8"/>
  <c r="N270" i="8"/>
  <c r="M270" i="8"/>
  <c r="T269" i="8"/>
  <c r="Q269" i="8"/>
  <c r="N269" i="8"/>
  <c r="M269" i="8"/>
  <c r="T268" i="8"/>
  <c r="Q268" i="8"/>
  <c r="N268" i="8"/>
  <c r="M268" i="8"/>
  <c r="T267" i="8"/>
  <c r="Q267" i="8"/>
  <c r="N267" i="8"/>
  <c r="M267" i="8"/>
  <c r="T266" i="8"/>
  <c r="Q266" i="8"/>
  <c r="N266" i="8"/>
  <c r="M266" i="8"/>
  <c r="T265" i="8"/>
  <c r="Q265" i="8"/>
  <c r="N265" i="8"/>
  <c r="M265" i="8"/>
  <c r="T264" i="8"/>
  <c r="Q264" i="8"/>
  <c r="N264" i="8"/>
  <c r="M264" i="8"/>
  <c r="T263" i="8"/>
  <c r="Q263" i="8"/>
  <c r="N263" i="8"/>
  <c r="M263" i="8"/>
  <c r="T262" i="8"/>
  <c r="Q262" i="8"/>
  <c r="N262" i="8"/>
  <c r="M262" i="8"/>
  <c r="T261" i="8"/>
  <c r="Q261" i="8"/>
  <c r="N261" i="8"/>
  <c r="M261" i="8"/>
  <c r="T260" i="8"/>
  <c r="Q260" i="8"/>
  <c r="N260" i="8"/>
  <c r="M260" i="8"/>
  <c r="T259" i="8"/>
  <c r="Q259" i="8"/>
  <c r="N259" i="8"/>
  <c r="M259" i="8"/>
  <c r="T258" i="8"/>
  <c r="Q258" i="8"/>
  <c r="N258" i="8"/>
  <c r="M258" i="8"/>
  <c r="T257" i="8"/>
  <c r="Q257" i="8"/>
  <c r="N257" i="8"/>
  <c r="M257" i="8"/>
  <c r="T256" i="8"/>
  <c r="Q256" i="8"/>
  <c r="N256" i="8"/>
  <c r="M256" i="8"/>
  <c r="T255" i="8"/>
  <c r="Q255" i="8"/>
  <c r="N255" i="8"/>
  <c r="M255" i="8"/>
  <c r="T254" i="8"/>
  <c r="Q254" i="8"/>
  <c r="N254" i="8"/>
  <c r="M254" i="8"/>
  <c r="T253" i="8"/>
  <c r="P253" i="8"/>
  <c r="O253" i="8"/>
  <c r="N253" i="8"/>
  <c r="M253" i="8"/>
  <c r="T252" i="8"/>
  <c r="Q252" i="8"/>
  <c r="N252" i="8"/>
  <c r="M252" i="8"/>
  <c r="T251" i="8"/>
  <c r="Q251" i="8"/>
  <c r="N251" i="8"/>
  <c r="M251" i="8"/>
  <c r="T250" i="8"/>
  <c r="Q250" i="8"/>
  <c r="N250" i="8"/>
  <c r="M250" i="8"/>
  <c r="T249" i="8"/>
  <c r="Q249" i="8"/>
  <c r="N249" i="8"/>
  <c r="M249" i="8"/>
  <c r="T248" i="8"/>
  <c r="Q248" i="8"/>
  <c r="N248" i="8"/>
  <c r="M248" i="8"/>
  <c r="T247" i="8"/>
  <c r="Q247" i="8"/>
  <c r="N247" i="8"/>
  <c r="M247" i="8"/>
  <c r="T246" i="8"/>
  <c r="Q246" i="8"/>
  <c r="N246" i="8"/>
  <c r="M246" i="8"/>
  <c r="T245" i="8"/>
  <c r="Q245" i="8"/>
  <c r="N245" i="8"/>
  <c r="M245" i="8"/>
  <c r="T244" i="8"/>
  <c r="Q244" i="8"/>
  <c r="N244" i="8"/>
  <c r="M244" i="8"/>
  <c r="T243" i="8"/>
  <c r="Q243" i="8"/>
  <c r="N243" i="8"/>
  <c r="M243" i="8"/>
  <c r="T242" i="8"/>
  <c r="Q242" i="8"/>
  <c r="N242" i="8"/>
  <c r="M242" i="8"/>
  <c r="T241" i="8"/>
  <c r="Q241" i="8"/>
  <c r="N241" i="8"/>
  <c r="M241" i="8"/>
  <c r="T240" i="8"/>
  <c r="Q240" i="8"/>
  <c r="N240" i="8"/>
  <c r="M240" i="8"/>
  <c r="T239" i="8"/>
  <c r="Q239" i="8"/>
  <c r="N239" i="8"/>
  <c r="M239" i="8"/>
  <c r="T238" i="8"/>
  <c r="Q238" i="8"/>
  <c r="N238" i="8"/>
  <c r="M238" i="8"/>
  <c r="T237" i="8"/>
  <c r="Q237" i="8"/>
  <c r="N237" i="8"/>
  <c r="M237" i="8"/>
  <c r="T236" i="8"/>
  <c r="Q236" i="8"/>
  <c r="N236" i="8"/>
  <c r="M236" i="8"/>
  <c r="T235" i="8"/>
  <c r="Q235" i="8"/>
  <c r="N235" i="8"/>
  <c r="M235" i="8"/>
  <c r="T234" i="8"/>
  <c r="Q234" i="8"/>
  <c r="N234" i="8"/>
  <c r="M234" i="8"/>
  <c r="T233" i="8"/>
  <c r="Q233" i="8"/>
  <c r="N233" i="8"/>
  <c r="M233" i="8"/>
  <c r="T232" i="8"/>
  <c r="Q232" i="8"/>
  <c r="N232" i="8"/>
  <c r="M232" i="8"/>
  <c r="T231" i="8"/>
  <c r="Q231" i="8"/>
  <c r="N231" i="8"/>
  <c r="M231" i="8"/>
  <c r="T230" i="8"/>
  <c r="Q230" i="8"/>
  <c r="N230" i="8"/>
  <c r="M230" i="8"/>
  <c r="T229" i="8"/>
  <c r="Q229" i="8"/>
  <c r="N229" i="8"/>
  <c r="M229" i="8"/>
  <c r="T228" i="8"/>
  <c r="Q228" i="8"/>
  <c r="N228" i="8"/>
  <c r="M228" i="8"/>
  <c r="T227" i="8"/>
  <c r="P227" i="8"/>
  <c r="O227" i="8"/>
  <c r="N227" i="8"/>
  <c r="M227" i="8"/>
  <c r="T226" i="8"/>
  <c r="Q226" i="8"/>
  <c r="N226" i="8"/>
  <c r="M226" i="8"/>
  <c r="T225" i="8"/>
  <c r="Q225" i="8"/>
  <c r="N225" i="8"/>
  <c r="M225" i="8"/>
  <c r="T224" i="8"/>
  <c r="Q224" i="8"/>
  <c r="N224" i="8"/>
  <c r="M224" i="8"/>
  <c r="T223" i="8"/>
  <c r="Q223" i="8"/>
  <c r="N223" i="8"/>
  <c r="M223" i="8"/>
  <c r="T222" i="8"/>
  <c r="Q222" i="8"/>
  <c r="N222" i="8"/>
  <c r="M222" i="8"/>
  <c r="T221" i="8"/>
  <c r="Q221" i="8"/>
  <c r="N221" i="8"/>
  <c r="M221" i="8"/>
  <c r="T220" i="8"/>
  <c r="Q220" i="8"/>
  <c r="N220" i="8"/>
  <c r="M220" i="8"/>
  <c r="T219" i="8"/>
  <c r="Q219" i="8"/>
  <c r="N219" i="8"/>
  <c r="M219" i="8"/>
  <c r="T218" i="8"/>
  <c r="Q218" i="8"/>
  <c r="N218" i="8"/>
  <c r="M218" i="8"/>
  <c r="T217" i="8"/>
  <c r="Q217" i="8"/>
  <c r="N217" i="8"/>
  <c r="M217" i="8"/>
  <c r="T216" i="8"/>
  <c r="Q216" i="8"/>
  <c r="N216" i="8"/>
  <c r="M216" i="8"/>
  <c r="T215" i="8"/>
  <c r="Q215" i="8"/>
  <c r="N215" i="8"/>
  <c r="M215" i="8"/>
  <c r="T214" i="8"/>
  <c r="Q214" i="8"/>
  <c r="N214" i="8"/>
  <c r="M214" i="8"/>
  <c r="T213" i="8"/>
  <c r="Q213" i="8"/>
  <c r="N213" i="8"/>
  <c r="M213" i="8"/>
  <c r="T212" i="8"/>
  <c r="Q212" i="8"/>
  <c r="N212" i="8"/>
  <c r="M212" i="8"/>
  <c r="T211" i="8"/>
  <c r="Q211" i="8"/>
  <c r="N211" i="8"/>
  <c r="M211" i="8"/>
  <c r="T210" i="8"/>
  <c r="Q210" i="8"/>
  <c r="N210" i="8"/>
  <c r="M210" i="8"/>
  <c r="T209" i="8"/>
  <c r="Q209" i="8"/>
  <c r="N209" i="8"/>
  <c r="M209" i="8"/>
  <c r="T208" i="8"/>
  <c r="Q208" i="8"/>
  <c r="N208" i="8"/>
  <c r="M208" i="8"/>
  <c r="T207" i="8"/>
  <c r="Q207" i="8"/>
  <c r="N207" i="8"/>
  <c r="M207" i="8"/>
  <c r="T206" i="8"/>
  <c r="Q206" i="8"/>
  <c r="N206" i="8"/>
  <c r="M206" i="8"/>
  <c r="T205" i="8"/>
  <c r="Q205" i="8"/>
  <c r="N205" i="8"/>
  <c r="M205" i="8"/>
  <c r="T204" i="8"/>
  <c r="Q204" i="8"/>
  <c r="N204" i="8"/>
  <c r="M204" i="8"/>
  <c r="T203" i="8"/>
  <c r="Q203" i="8"/>
  <c r="N203" i="8"/>
  <c r="M203" i="8"/>
  <c r="T202" i="8"/>
  <c r="Q202" i="8"/>
  <c r="N202" i="8"/>
  <c r="M202" i="8"/>
  <c r="T201" i="8"/>
  <c r="Q201" i="8"/>
  <c r="N201" i="8"/>
  <c r="M201" i="8"/>
  <c r="T200" i="8"/>
  <c r="Q200" i="8"/>
  <c r="N200" i="8"/>
  <c r="M200" i="8"/>
  <c r="T199" i="8"/>
  <c r="Q199" i="8"/>
  <c r="N199" i="8"/>
  <c r="M199" i="8"/>
  <c r="T198" i="8"/>
  <c r="Q198" i="8"/>
  <c r="N198" i="8"/>
  <c r="M198" i="8"/>
  <c r="T197" i="8"/>
  <c r="Q197" i="8"/>
  <c r="N197" i="8"/>
  <c r="M197" i="8"/>
  <c r="T196" i="8"/>
  <c r="Q196" i="8"/>
  <c r="N196" i="8"/>
  <c r="M196" i="8"/>
  <c r="T195" i="8"/>
  <c r="Q195" i="8"/>
  <c r="N195" i="8"/>
  <c r="M195" i="8"/>
  <c r="T194" i="8"/>
  <c r="Q194" i="8"/>
  <c r="N194" i="8"/>
  <c r="M194" i="8"/>
  <c r="T193" i="8"/>
  <c r="Q193" i="8"/>
  <c r="N193" i="8"/>
  <c r="M193" i="8"/>
  <c r="T192" i="8"/>
  <c r="Q192" i="8"/>
  <c r="N192" i="8"/>
  <c r="M192" i="8"/>
  <c r="T191" i="8"/>
  <c r="Q191" i="8"/>
  <c r="N191" i="8"/>
  <c r="M191" i="8"/>
  <c r="T190" i="8"/>
  <c r="Q190" i="8"/>
  <c r="N190" i="8"/>
  <c r="M190" i="8"/>
  <c r="T189" i="8"/>
  <c r="Q189" i="8"/>
  <c r="N189" i="8"/>
  <c r="M189" i="8"/>
  <c r="T188" i="8"/>
  <c r="Q188" i="8"/>
  <c r="N188" i="8"/>
  <c r="M188" i="8"/>
  <c r="T187" i="8"/>
  <c r="Q187" i="8"/>
  <c r="N187" i="8"/>
  <c r="M187" i="8"/>
  <c r="T186" i="8"/>
  <c r="Q186" i="8"/>
  <c r="N186" i="8"/>
  <c r="M186" i="8"/>
  <c r="T185" i="8"/>
  <c r="Q185" i="8"/>
  <c r="N185" i="8"/>
  <c r="M185" i="8"/>
  <c r="T184" i="8"/>
  <c r="Q184" i="8"/>
  <c r="N184" i="8"/>
  <c r="M184" i="8"/>
  <c r="T183" i="8"/>
  <c r="Q183" i="8"/>
  <c r="N183" i="8"/>
  <c r="M183" i="8"/>
  <c r="T182" i="8"/>
  <c r="Q182" i="8"/>
  <c r="N182" i="8"/>
  <c r="M182" i="8"/>
  <c r="T181" i="8"/>
  <c r="Q181" i="8"/>
  <c r="N181" i="8"/>
  <c r="M181" i="8"/>
  <c r="T180" i="8"/>
  <c r="Q180" i="8"/>
  <c r="N180" i="8"/>
  <c r="M180" i="8"/>
  <c r="T179" i="8"/>
  <c r="Q179" i="8"/>
  <c r="N179" i="8"/>
  <c r="M179" i="8"/>
  <c r="T178" i="8"/>
  <c r="Q178" i="8"/>
  <c r="N178" i="8"/>
  <c r="M178" i="8"/>
  <c r="T177" i="8"/>
  <c r="Q177" i="8"/>
  <c r="N177" i="8"/>
  <c r="M177" i="8"/>
  <c r="T176" i="8"/>
  <c r="Q176" i="8"/>
  <c r="N176" i="8"/>
  <c r="M176" i="8"/>
  <c r="T175" i="8"/>
  <c r="Q175" i="8"/>
  <c r="N175" i="8"/>
  <c r="M175" i="8"/>
  <c r="T174" i="8"/>
  <c r="Q174" i="8"/>
  <c r="N174" i="8"/>
  <c r="M174" i="8"/>
  <c r="T173" i="8"/>
  <c r="Q173" i="8"/>
  <c r="N173" i="8"/>
  <c r="M173" i="8"/>
  <c r="T172" i="8"/>
  <c r="Q172" i="8"/>
  <c r="N172" i="8"/>
  <c r="M172" i="8"/>
  <c r="T171" i="8"/>
  <c r="Q171" i="8"/>
  <c r="N171" i="8"/>
  <c r="M171" i="8"/>
  <c r="T170" i="8"/>
  <c r="Q170" i="8"/>
  <c r="N170" i="8"/>
  <c r="M170" i="8"/>
  <c r="T169" i="8"/>
  <c r="Q169" i="8"/>
  <c r="N169" i="8"/>
  <c r="M169" i="8"/>
  <c r="T168" i="8"/>
  <c r="Q168" i="8"/>
  <c r="N168" i="8"/>
  <c r="M168" i="8"/>
  <c r="T167" i="8"/>
  <c r="Q167" i="8"/>
  <c r="N167" i="8"/>
  <c r="M167" i="8"/>
  <c r="T166" i="8"/>
  <c r="Q166" i="8"/>
  <c r="N166" i="8"/>
  <c r="M166" i="8"/>
  <c r="T165" i="8"/>
  <c r="Q165" i="8"/>
  <c r="N165" i="8"/>
  <c r="M165" i="8"/>
  <c r="T164" i="8"/>
  <c r="Q164" i="8"/>
  <c r="N164" i="8"/>
  <c r="M164" i="8"/>
  <c r="T163" i="8"/>
  <c r="Q163" i="8"/>
  <c r="N163" i="8"/>
  <c r="M163" i="8"/>
  <c r="T162" i="8"/>
  <c r="Q162" i="8"/>
  <c r="N162" i="8"/>
  <c r="M162" i="8"/>
  <c r="T161" i="8"/>
  <c r="Q161" i="8"/>
  <c r="N161" i="8"/>
  <c r="M161" i="8"/>
  <c r="T160" i="8"/>
  <c r="Q160" i="8"/>
  <c r="N160" i="8"/>
  <c r="M160" i="8"/>
  <c r="T159" i="8"/>
  <c r="Q159" i="8"/>
  <c r="N159" i="8"/>
  <c r="M159" i="8"/>
  <c r="T158" i="8"/>
  <c r="Q158" i="8"/>
  <c r="N158" i="8"/>
  <c r="M158" i="8"/>
  <c r="T157" i="8"/>
  <c r="Q157" i="8"/>
  <c r="N157" i="8"/>
  <c r="M157" i="8"/>
  <c r="T156" i="8"/>
  <c r="Q156" i="8"/>
  <c r="N156" i="8"/>
  <c r="M156" i="8"/>
  <c r="T155" i="8"/>
  <c r="Q155" i="8"/>
  <c r="N155" i="8"/>
  <c r="M155" i="8"/>
  <c r="T154" i="8"/>
  <c r="Q154" i="8"/>
  <c r="N154" i="8"/>
  <c r="M154" i="8"/>
  <c r="T153" i="8"/>
  <c r="Q153" i="8"/>
  <c r="N153" i="8"/>
  <c r="M153" i="8"/>
  <c r="T152" i="8"/>
  <c r="Q152" i="8"/>
  <c r="N152" i="8"/>
  <c r="M152" i="8"/>
  <c r="T151" i="8"/>
  <c r="Q151" i="8"/>
  <c r="N151" i="8"/>
  <c r="M151" i="8"/>
  <c r="T150" i="8"/>
  <c r="Q150" i="8"/>
  <c r="N150" i="8"/>
  <c r="M150" i="8"/>
  <c r="T149" i="8"/>
  <c r="Q149" i="8"/>
  <c r="N149" i="8"/>
  <c r="M149" i="8"/>
  <c r="T148" i="8"/>
  <c r="Q148" i="8"/>
  <c r="N148" i="8"/>
  <c r="M148" i="8"/>
  <c r="T147" i="8"/>
  <c r="Q147" i="8"/>
  <c r="N147" i="8"/>
  <c r="M147" i="8"/>
  <c r="T146" i="8"/>
  <c r="Q146" i="8"/>
  <c r="N146" i="8"/>
  <c r="M146" i="8"/>
  <c r="T145" i="8"/>
  <c r="Q145" i="8"/>
  <c r="N145" i="8"/>
  <c r="M145" i="8"/>
  <c r="T144" i="8"/>
  <c r="Q144" i="8"/>
  <c r="N144" i="8"/>
  <c r="M144" i="8"/>
  <c r="T143" i="8"/>
  <c r="Q143" i="8"/>
  <c r="N143" i="8"/>
  <c r="M143" i="8"/>
  <c r="T142" i="8"/>
  <c r="Q142" i="8"/>
  <c r="N142" i="8"/>
  <c r="M142" i="8"/>
  <c r="T141" i="8"/>
  <c r="P141" i="8"/>
  <c r="O141" i="8"/>
  <c r="N141" i="8"/>
  <c r="M141" i="8"/>
  <c r="T140" i="8"/>
  <c r="Q140" i="8"/>
  <c r="N140" i="8"/>
  <c r="M140" i="8"/>
  <c r="T139" i="8"/>
  <c r="Q139" i="8"/>
  <c r="N139" i="8"/>
  <c r="M139" i="8"/>
  <c r="T138" i="8"/>
  <c r="Q138" i="8"/>
  <c r="N138" i="8"/>
  <c r="M138" i="8"/>
  <c r="T137" i="8"/>
  <c r="Q137" i="8"/>
  <c r="N137" i="8"/>
  <c r="M137" i="8"/>
  <c r="T136" i="8"/>
  <c r="Q136" i="8"/>
  <c r="N136" i="8"/>
  <c r="M136" i="8"/>
  <c r="T135" i="8"/>
  <c r="Q135" i="8"/>
  <c r="N135" i="8"/>
  <c r="M135" i="8"/>
  <c r="T134" i="8"/>
  <c r="Q134" i="8"/>
  <c r="N134" i="8"/>
  <c r="M134" i="8"/>
  <c r="T133" i="8"/>
  <c r="Q133" i="8"/>
  <c r="N133" i="8"/>
  <c r="M133" i="8"/>
  <c r="T132" i="8"/>
  <c r="Q132" i="8"/>
  <c r="N132" i="8"/>
  <c r="M132" i="8"/>
  <c r="T131" i="8"/>
  <c r="Q131" i="8"/>
  <c r="N131" i="8"/>
  <c r="M131" i="8"/>
  <c r="T130" i="8"/>
  <c r="Q130" i="8"/>
  <c r="N130" i="8"/>
  <c r="M130" i="8"/>
  <c r="T129" i="8"/>
  <c r="Q129" i="8"/>
  <c r="N129" i="8"/>
  <c r="M129" i="8"/>
  <c r="T128" i="8"/>
  <c r="Q128" i="8"/>
  <c r="N128" i="8"/>
  <c r="M128" i="8"/>
  <c r="T127" i="8"/>
  <c r="Q127" i="8"/>
  <c r="N127" i="8"/>
  <c r="M127" i="8"/>
  <c r="T126" i="8"/>
  <c r="Q126" i="8"/>
  <c r="N126" i="8"/>
  <c r="M126" i="8"/>
  <c r="T125" i="8"/>
  <c r="Q125" i="8"/>
  <c r="N125" i="8"/>
  <c r="M125" i="8"/>
  <c r="T124" i="8"/>
  <c r="Q124" i="8"/>
  <c r="N124" i="8"/>
  <c r="M124" i="8"/>
  <c r="T123" i="8"/>
  <c r="Q123" i="8"/>
  <c r="N123" i="8"/>
  <c r="M123" i="8"/>
  <c r="T122" i="8"/>
  <c r="Q122" i="8"/>
  <c r="N122" i="8"/>
  <c r="M122" i="8"/>
  <c r="T121" i="8"/>
  <c r="Q121" i="8"/>
  <c r="N121" i="8"/>
  <c r="M121" i="8"/>
  <c r="T120" i="8"/>
  <c r="Q120" i="8"/>
  <c r="N120" i="8"/>
  <c r="M120" i="8"/>
  <c r="T119" i="8"/>
  <c r="Q119" i="8"/>
  <c r="N119" i="8"/>
  <c r="M119" i="8"/>
  <c r="T118" i="8"/>
  <c r="Q118" i="8"/>
  <c r="N118" i="8"/>
  <c r="M118" i="8"/>
  <c r="T117" i="8"/>
  <c r="Q117" i="8"/>
  <c r="N117" i="8"/>
  <c r="M117" i="8"/>
  <c r="T116" i="8"/>
  <c r="Q116" i="8"/>
  <c r="N116" i="8"/>
  <c r="M116" i="8"/>
  <c r="T115" i="8"/>
  <c r="Q115" i="8"/>
  <c r="N115" i="8"/>
  <c r="M115" i="8"/>
  <c r="T114" i="8"/>
  <c r="Q114" i="8"/>
  <c r="N114" i="8"/>
  <c r="M114" i="8"/>
  <c r="T113" i="8"/>
  <c r="Q113" i="8"/>
  <c r="N113" i="8"/>
  <c r="M113" i="8"/>
  <c r="T112" i="8"/>
  <c r="Q112" i="8"/>
  <c r="N112" i="8"/>
  <c r="M112" i="8"/>
  <c r="T111" i="8"/>
  <c r="Q111" i="8"/>
  <c r="N111" i="8"/>
  <c r="M111" i="8"/>
  <c r="T110" i="8"/>
  <c r="Q110" i="8"/>
  <c r="N110" i="8"/>
  <c r="M110" i="8"/>
  <c r="T109" i="8"/>
  <c r="Q109" i="8"/>
  <c r="N109" i="8"/>
  <c r="M109" i="8"/>
  <c r="T108" i="8"/>
  <c r="Q108" i="8"/>
  <c r="N108" i="8"/>
  <c r="M108" i="8"/>
  <c r="T107" i="8"/>
  <c r="Q107" i="8"/>
  <c r="N107" i="8"/>
  <c r="M107" i="8"/>
  <c r="T106" i="8"/>
  <c r="Q106" i="8"/>
  <c r="N106" i="8"/>
  <c r="M106" i="8"/>
  <c r="T105" i="8"/>
  <c r="Q105" i="8"/>
  <c r="N105" i="8"/>
  <c r="M105" i="8"/>
  <c r="T104" i="8"/>
  <c r="Q104" i="8"/>
  <c r="N104" i="8"/>
  <c r="M104" i="8"/>
  <c r="T103" i="8"/>
  <c r="Q103" i="8"/>
  <c r="N103" i="8"/>
  <c r="M103" i="8"/>
  <c r="T102" i="8"/>
  <c r="Q102" i="8"/>
  <c r="N102" i="8"/>
  <c r="M102" i="8"/>
  <c r="T101" i="8"/>
  <c r="Q101" i="8"/>
  <c r="N101" i="8"/>
  <c r="M101" i="8"/>
  <c r="T100" i="8"/>
  <c r="Q100" i="8"/>
  <c r="N100" i="8"/>
  <c r="M100" i="8"/>
  <c r="T99" i="8"/>
  <c r="Q99" i="8"/>
  <c r="N99" i="8"/>
  <c r="M99" i="8"/>
  <c r="T98" i="8"/>
  <c r="Q98" i="8"/>
  <c r="N98" i="8"/>
  <c r="M98" i="8"/>
  <c r="T97" i="8"/>
  <c r="Q97" i="8"/>
  <c r="N97" i="8"/>
  <c r="M97" i="8"/>
  <c r="T96" i="8"/>
  <c r="Q96" i="8"/>
  <c r="N96" i="8"/>
  <c r="M96" i="8"/>
  <c r="T95" i="8"/>
  <c r="Q95" i="8"/>
  <c r="N95" i="8"/>
  <c r="M95" i="8"/>
  <c r="T94" i="8"/>
  <c r="Q94" i="8"/>
  <c r="N94" i="8"/>
  <c r="M94" i="8"/>
  <c r="T93" i="8"/>
  <c r="Q93" i="8"/>
  <c r="N93" i="8"/>
  <c r="M93" i="8"/>
  <c r="T92" i="8"/>
  <c r="Q92" i="8"/>
  <c r="N92" i="8"/>
  <c r="M92" i="8"/>
  <c r="T91" i="8"/>
  <c r="Q91" i="8"/>
  <c r="N91" i="8"/>
  <c r="M91" i="8"/>
  <c r="T90" i="8"/>
  <c r="P90" i="8"/>
  <c r="O90" i="8"/>
  <c r="N90" i="8"/>
  <c r="M90" i="8"/>
  <c r="T89" i="8"/>
  <c r="Q89" i="8"/>
  <c r="N89" i="8"/>
  <c r="M89" i="8"/>
  <c r="T88" i="8"/>
  <c r="Q88" i="8"/>
  <c r="N88" i="8"/>
  <c r="M88" i="8"/>
  <c r="T87" i="8"/>
  <c r="Q87" i="8"/>
  <c r="N87" i="8"/>
  <c r="M87" i="8"/>
  <c r="T86" i="8"/>
  <c r="Q86" i="8"/>
  <c r="N86" i="8"/>
  <c r="M86" i="8"/>
  <c r="T85" i="8"/>
  <c r="Q85" i="8"/>
  <c r="N85" i="8"/>
  <c r="M85" i="8"/>
  <c r="T84" i="8"/>
  <c r="Q84" i="8"/>
  <c r="N84" i="8"/>
  <c r="M84" i="8"/>
  <c r="T83" i="8"/>
  <c r="Q83" i="8"/>
  <c r="N83" i="8"/>
  <c r="M83" i="8"/>
  <c r="T82" i="8"/>
  <c r="Q82" i="8"/>
  <c r="N82" i="8"/>
  <c r="M82" i="8"/>
  <c r="T81" i="8"/>
  <c r="Q81" i="8"/>
  <c r="N81" i="8"/>
  <c r="M81" i="8"/>
  <c r="T80" i="8"/>
  <c r="Q80" i="8"/>
  <c r="N80" i="8"/>
  <c r="M80" i="8"/>
  <c r="T79" i="8"/>
  <c r="Q79" i="8"/>
  <c r="N79" i="8"/>
  <c r="M79" i="8"/>
  <c r="T78" i="8"/>
  <c r="Q78" i="8"/>
  <c r="N78" i="8"/>
  <c r="M78" i="8"/>
  <c r="T77" i="8"/>
  <c r="Q77" i="8"/>
  <c r="N77" i="8"/>
  <c r="M77" i="8"/>
  <c r="T76" i="8"/>
  <c r="Q76" i="8"/>
  <c r="N76" i="8"/>
  <c r="M76" i="8"/>
  <c r="T75" i="8"/>
  <c r="Q75" i="8"/>
  <c r="N75" i="8"/>
  <c r="M75" i="8"/>
  <c r="T74" i="8"/>
  <c r="Q74" i="8"/>
  <c r="N74" i="8"/>
  <c r="M74" i="8"/>
  <c r="T73" i="8"/>
  <c r="Q73" i="8"/>
  <c r="N73" i="8"/>
  <c r="M73" i="8"/>
  <c r="T72" i="8"/>
  <c r="Q72" i="8"/>
  <c r="N72" i="8"/>
  <c r="M72" i="8"/>
  <c r="T71" i="8"/>
  <c r="Q71" i="8"/>
  <c r="N71" i="8"/>
  <c r="M71" i="8"/>
  <c r="T70" i="8"/>
  <c r="P70" i="8"/>
  <c r="O70" i="8"/>
  <c r="N70" i="8"/>
  <c r="M70" i="8"/>
  <c r="T69" i="8"/>
  <c r="Q69" i="8"/>
  <c r="N69" i="8"/>
  <c r="M69" i="8"/>
  <c r="T68" i="8"/>
  <c r="Q68" i="8"/>
  <c r="N68" i="8"/>
  <c r="M68" i="8"/>
  <c r="T67" i="8"/>
  <c r="Q67" i="8"/>
  <c r="N67" i="8"/>
  <c r="M67" i="8"/>
  <c r="T66" i="8"/>
  <c r="Q66" i="8"/>
  <c r="N66" i="8"/>
  <c r="M66" i="8"/>
  <c r="T65" i="8"/>
  <c r="Q65" i="8"/>
  <c r="N65" i="8"/>
  <c r="M65" i="8"/>
  <c r="T64" i="8"/>
  <c r="Q64" i="8"/>
  <c r="N64" i="8"/>
  <c r="M64" i="8"/>
  <c r="T63" i="8"/>
  <c r="Q63" i="8"/>
  <c r="N63" i="8"/>
  <c r="M63" i="8"/>
  <c r="T62" i="8"/>
  <c r="Q62" i="8"/>
  <c r="N62" i="8"/>
  <c r="M62" i="8"/>
  <c r="T61" i="8"/>
  <c r="P61" i="8"/>
  <c r="O61" i="8"/>
  <c r="N61" i="8"/>
  <c r="M61" i="8"/>
  <c r="T60" i="8"/>
  <c r="Q60" i="8"/>
  <c r="N60" i="8"/>
  <c r="M60" i="8"/>
  <c r="T59" i="8"/>
  <c r="Q59" i="8"/>
  <c r="N59" i="8"/>
  <c r="M59" i="8"/>
  <c r="T58" i="8"/>
  <c r="Q58" i="8"/>
  <c r="N58" i="8"/>
  <c r="M58" i="8"/>
  <c r="T57" i="8"/>
  <c r="Q57" i="8"/>
  <c r="N57" i="8"/>
  <c r="M57" i="8"/>
  <c r="T56" i="8"/>
  <c r="Q56" i="8"/>
  <c r="N56" i="8"/>
  <c r="M56" i="8"/>
  <c r="T55" i="8"/>
  <c r="Q55" i="8"/>
  <c r="N55" i="8"/>
  <c r="M55" i="8"/>
  <c r="T54" i="8"/>
  <c r="Q54" i="8"/>
  <c r="N54" i="8"/>
  <c r="M54" i="8"/>
  <c r="T53" i="8"/>
  <c r="Q53" i="8"/>
  <c r="N53" i="8"/>
  <c r="M53" i="8"/>
  <c r="T52" i="8"/>
  <c r="Q52" i="8"/>
  <c r="N52" i="8"/>
  <c r="M52" i="8"/>
  <c r="T51" i="8"/>
  <c r="Q51" i="8"/>
  <c r="N51" i="8"/>
  <c r="M51" i="8"/>
  <c r="T50" i="8"/>
  <c r="Q50" i="8"/>
  <c r="N50" i="8"/>
  <c r="M50" i="8"/>
  <c r="T49" i="8"/>
  <c r="Q49" i="8"/>
  <c r="N49" i="8"/>
  <c r="M49" i="8"/>
  <c r="T48" i="8"/>
  <c r="Q48" i="8"/>
  <c r="N48" i="8"/>
  <c r="M48" i="8"/>
  <c r="T47" i="8"/>
  <c r="Q47" i="8"/>
  <c r="N47" i="8"/>
  <c r="M47" i="8"/>
  <c r="T46" i="8"/>
  <c r="Q46" i="8"/>
  <c r="N46" i="8"/>
  <c r="M46" i="8"/>
  <c r="T45" i="8"/>
  <c r="Q45" i="8"/>
  <c r="N45" i="8"/>
  <c r="M45" i="8"/>
  <c r="T44" i="8"/>
  <c r="Q44" i="8"/>
  <c r="N44" i="8"/>
  <c r="M44" i="8"/>
  <c r="T43" i="8"/>
  <c r="Q43" i="8"/>
  <c r="N43" i="8"/>
  <c r="M43" i="8"/>
  <c r="T42" i="8"/>
  <c r="Q42" i="8"/>
  <c r="N42" i="8"/>
  <c r="M42" i="8"/>
  <c r="T41" i="8"/>
  <c r="Q41" i="8"/>
  <c r="N41" i="8"/>
  <c r="M41" i="8"/>
  <c r="T40" i="8"/>
  <c r="Q40" i="8"/>
  <c r="N40" i="8"/>
  <c r="M40" i="8"/>
  <c r="T39" i="8"/>
  <c r="Q39" i="8"/>
  <c r="N39" i="8"/>
  <c r="M39" i="8"/>
  <c r="T38" i="8"/>
  <c r="Q38" i="8"/>
  <c r="N38" i="8"/>
  <c r="M38" i="8"/>
  <c r="T37" i="8"/>
  <c r="Q37" i="8"/>
  <c r="N37" i="8"/>
  <c r="M37" i="8"/>
  <c r="T36" i="8"/>
  <c r="Q36" i="8"/>
  <c r="N36" i="8"/>
  <c r="M36" i="8"/>
  <c r="T35" i="8"/>
  <c r="Q35" i="8"/>
  <c r="N35" i="8"/>
  <c r="M35" i="8"/>
  <c r="T34" i="8"/>
  <c r="Q34" i="8"/>
  <c r="N34" i="8"/>
  <c r="M34" i="8"/>
  <c r="T33" i="8"/>
  <c r="Q33" i="8"/>
  <c r="N33" i="8"/>
  <c r="M33" i="8"/>
  <c r="T32" i="8"/>
  <c r="Q32" i="8"/>
  <c r="N32" i="8"/>
  <c r="M32" i="8"/>
  <c r="T31" i="8"/>
  <c r="Q31" i="8"/>
  <c r="N31" i="8"/>
  <c r="M31" i="8"/>
  <c r="T30" i="8"/>
  <c r="Q30" i="8"/>
  <c r="N30" i="8"/>
  <c r="M30" i="8"/>
  <c r="T29" i="8"/>
  <c r="Q29" i="8"/>
  <c r="N29" i="8"/>
  <c r="M29" i="8"/>
  <c r="T28" i="8"/>
  <c r="Q28" i="8"/>
  <c r="N28" i="8"/>
  <c r="M28" i="8"/>
  <c r="T27" i="8"/>
  <c r="Q27" i="8"/>
  <c r="N27" i="8"/>
  <c r="M27" i="8"/>
  <c r="T26" i="8"/>
  <c r="Q26" i="8"/>
  <c r="N26" i="8"/>
  <c r="M26" i="8"/>
  <c r="T25" i="8"/>
  <c r="Q25" i="8"/>
  <c r="N25" i="8"/>
  <c r="M25" i="8"/>
  <c r="T24" i="8"/>
  <c r="Q24" i="8"/>
  <c r="N24" i="8"/>
  <c r="M24" i="8"/>
  <c r="T23" i="8"/>
  <c r="Q23" i="8"/>
  <c r="N23" i="8"/>
  <c r="M23" i="8"/>
  <c r="T22" i="8"/>
  <c r="Q22" i="8"/>
  <c r="N22" i="8"/>
  <c r="M22" i="8"/>
  <c r="T21" i="8"/>
  <c r="Q21" i="8"/>
  <c r="N21" i="8"/>
  <c r="M21" i="8"/>
  <c r="T20" i="8"/>
  <c r="Q20" i="8"/>
  <c r="N20" i="8"/>
  <c r="M20" i="8"/>
  <c r="T19" i="8"/>
  <c r="Q19" i="8"/>
  <c r="N19" i="8"/>
  <c r="M19" i="8"/>
  <c r="T18" i="8"/>
  <c r="Q18" i="8"/>
  <c r="N18" i="8"/>
  <c r="M18" i="8"/>
  <c r="T17" i="8"/>
  <c r="Q17" i="8"/>
  <c r="N17" i="8"/>
  <c r="M17" i="8"/>
  <c r="T16" i="8"/>
  <c r="Q16" i="8"/>
  <c r="N16" i="8"/>
  <c r="M16" i="8"/>
  <c r="T15" i="8"/>
  <c r="Q15" i="8"/>
  <c r="N15" i="8"/>
  <c r="M15" i="8"/>
  <c r="T14" i="8"/>
  <c r="Q14" i="8"/>
  <c r="N14" i="8"/>
  <c r="M14" i="8"/>
  <c r="T13" i="8"/>
  <c r="Q13" i="8"/>
  <c r="N13" i="8"/>
  <c r="M13" i="8"/>
  <c r="T12" i="8"/>
  <c r="Q12" i="8"/>
  <c r="N12" i="8"/>
  <c r="M12" i="8"/>
  <c r="T11" i="8"/>
  <c r="Q11" i="8"/>
  <c r="N11" i="8"/>
  <c r="M11" i="8"/>
  <c r="T10" i="8"/>
  <c r="Q10" i="8"/>
  <c r="N10" i="8"/>
  <c r="M10" i="8"/>
  <c r="T9" i="8"/>
  <c r="Q9" i="8"/>
  <c r="N9" i="8"/>
  <c r="M9" i="8"/>
  <c r="T8" i="8"/>
  <c r="Q8" i="8"/>
  <c r="N8" i="8"/>
  <c r="M8" i="8"/>
  <c r="T7" i="8"/>
  <c r="Q7" i="8"/>
  <c r="N7" i="8"/>
  <c r="M7" i="8"/>
  <c r="T6" i="8"/>
  <c r="Q6" i="8"/>
  <c r="N6" i="8"/>
  <c r="M6" i="8"/>
  <c r="T5" i="8"/>
  <c r="Q5" i="8"/>
  <c r="N5" i="8"/>
  <c r="M5" i="8"/>
  <c r="C52" i="6"/>
  <c r="C51" i="6"/>
  <c r="J50" i="6"/>
  <c r="C50" i="6"/>
  <c r="C49" i="6"/>
  <c r="P48" i="6"/>
  <c r="C48" i="6"/>
  <c r="C47" i="6"/>
  <c r="V46" i="6"/>
  <c r="C46" i="6"/>
  <c r="C45" i="6"/>
  <c r="C44" i="6"/>
  <c r="C43" i="6"/>
  <c r="V42" i="6"/>
  <c r="J42" i="6"/>
  <c r="C42" i="6"/>
  <c r="C41" i="6"/>
  <c r="AB40" i="6"/>
  <c r="P40" i="6"/>
  <c r="C40" i="6"/>
  <c r="C39" i="6"/>
  <c r="V38" i="6"/>
  <c r="C38" i="6"/>
  <c r="C37" i="6"/>
  <c r="P36" i="6"/>
  <c r="C36" i="6"/>
  <c r="C35" i="6"/>
  <c r="AH34" i="6"/>
  <c r="V34" i="6"/>
  <c r="C34" i="6"/>
  <c r="C33" i="6"/>
  <c r="AB32" i="6"/>
  <c r="C32" i="6"/>
  <c r="C31" i="6"/>
  <c r="C30" i="6"/>
  <c r="C29" i="6"/>
  <c r="P28" i="6"/>
  <c r="C28" i="6"/>
  <c r="C27" i="6"/>
  <c r="AH26" i="6"/>
  <c r="C26" i="6"/>
  <c r="C25" i="6"/>
  <c r="C24" i="6"/>
  <c r="C23" i="6"/>
  <c r="C22" i="6"/>
  <c r="C21" i="6"/>
  <c r="C20" i="6"/>
  <c r="C19" i="6"/>
  <c r="J18" i="6"/>
  <c r="C18" i="6"/>
  <c r="C17" i="6"/>
  <c r="P16" i="6"/>
  <c r="C16" i="6"/>
  <c r="C15" i="6"/>
  <c r="C14" i="6"/>
  <c r="C13" i="6"/>
  <c r="C12" i="6"/>
  <c r="C11" i="6"/>
  <c r="J10" i="6"/>
  <c r="C10" i="6"/>
  <c r="C9" i="6"/>
  <c r="AB8" i="6"/>
  <c r="P8" i="6"/>
  <c r="C8" i="6"/>
  <c r="C7" i="6"/>
  <c r="V6" i="6"/>
  <c r="C6" i="6"/>
  <c r="C5" i="6"/>
  <c r="F15" i="5"/>
  <c r="G15" i="5" s="1"/>
  <c r="H15" i="5" s="1"/>
  <c r="H14" i="5"/>
  <c r="G14" i="5"/>
  <c r="F14" i="5"/>
  <c r="G13" i="5"/>
  <c r="H13" i="5" s="1"/>
  <c r="F13" i="5"/>
  <c r="F12" i="5"/>
  <c r="G12" i="5" s="1"/>
  <c r="H12" i="5" s="1"/>
  <c r="H11" i="5"/>
  <c r="G11" i="5"/>
  <c r="F11" i="5"/>
  <c r="F10" i="5"/>
  <c r="G10" i="5" s="1"/>
  <c r="H10" i="5" s="1"/>
  <c r="G9" i="5"/>
  <c r="H9" i="5" s="1"/>
  <c r="F9" i="5"/>
  <c r="A81" i="4"/>
  <c r="A80" i="4"/>
  <c r="A79" i="4"/>
  <c r="A78" i="4"/>
  <c r="A77" i="4"/>
  <c r="A76" i="4"/>
  <c r="A75" i="4"/>
  <c r="A74" i="4"/>
  <c r="A73" i="4"/>
  <c r="A72" i="4"/>
  <c r="A71" i="4"/>
  <c r="A70" i="4"/>
  <c r="A69" i="4"/>
  <c r="C68" i="4"/>
  <c r="B68" i="4"/>
  <c r="A68" i="4"/>
  <c r="B55" i="4"/>
  <c r="D53" i="4"/>
  <c r="G52" i="4"/>
  <c r="C52" i="4"/>
  <c r="C48" i="4"/>
  <c r="B47" i="4"/>
  <c r="E46" i="4"/>
  <c r="L38" i="4"/>
  <c r="K38" i="4"/>
  <c r="J38" i="4"/>
  <c r="I38" i="4"/>
  <c r="H38" i="4"/>
  <c r="G38" i="4"/>
  <c r="F38" i="4"/>
  <c r="E38" i="4"/>
  <c r="E55" i="4" s="1"/>
  <c r="D38" i="4"/>
  <c r="D55" i="4" s="1"/>
  <c r="C38" i="4"/>
  <c r="C55" i="4" s="1"/>
  <c r="B38" i="4"/>
  <c r="L37" i="4"/>
  <c r="K37" i="4"/>
  <c r="J37" i="4"/>
  <c r="I37" i="4"/>
  <c r="H37" i="4"/>
  <c r="G37" i="4"/>
  <c r="F37" i="4"/>
  <c r="E37" i="4"/>
  <c r="D37" i="4"/>
  <c r="C37" i="4"/>
  <c r="B37" i="4"/>
  <c r="L36" i="4"/>
  <c r="K36" i="4"/>
  <c r="J36" i="4"/>
  <c r="I36" i="4"/>
  <c r="H36" i="4"/>
  <c r="G36" i="4"/>
  <c r="F36" i="4"/>
  <c r="E36" i="4"/>
  <c r="E53" i="4" s="1"/>
  <c r="D36" i="4"/>
  <c r="C36" i="4"/>
  <c r="C53" i="4" s="1"/>
  <c r="B36" i="4"/>
  <c r="B53" i="4" s="1"/>
  <c r="L35" i="4"/>
  <c r="K35" i="4"/>
  <c r="J35" i="4"/>
  <c r="I35" i="4"/>
  <c r="I52" i="4" s="1"/>
  <c r="H35" i="4"/>
  <c r="H52" i="4" s="1"/>
  <c r="G35" i="4"/>
  <c r="F35" i="4"/>
  <c r="F52" i="4" s="1"/>
  <c r="E35" i="4"/>
  <c r="E52" i="4" s="1"/>
  <c r="D35" i="4"/>
  <c r="D52" i="4" s="1"/>
  <c r="C35" i="4"/>
  <c r="B35" i="4"/>
  <c r="B52" i="4" s="1"/>
  <c r="L34" i="4"/>
  <c r="K34" i="4"/>
  <c r="J34" i="4"/>
  <c r="I34" i="4"/>
  <c r="H34" i="4"/>
  <c r="G34" i="4"/>
  <c r="F34" i="4"/>
  <c r="E34" i="4"/>
  <c r="D34" i="4"/>
  <c r="C34" i="4"/>
  <c r="B34" i="4"/>
  <c r="L33" i="4"/>
  <c r="K33" i="4"/>
  <c r="J33" i="4"/>
  <c r="I33" i="4"/>
  <c r="H33" i="4"/>
  <c r="G33" i="4"/>
  <c r="F33" i="4"/>
  <c r="E33" i="4"/>
  <c r="D33" i="4"/>
  <c r="C33" i="4"/>
  <c r="C50" i="4" s="1"/>
  <c r="B33" i="4"/>
  <c r="B50" i="4" s="1"/>
  <c r="L32" i="4"/>
  <c r="K32" i="4"/>
  <c r="J32" i="4"/>
  <c r="I32" i="4"/>
  <c r="H32" i="4"/>
  <c r="G32" i="4"/>
  <c r="F32" i="4"/>
  <c r="E32" i="4"/>
  <c r="D32" i="4"/>
  <c r="C32" i="4"/>
  <c r="B32" i="4"/>
  <c r="L31" i="4"/>
  <c r="K31" i="4"/>
  <c r="J31" i="4"/>
  <c r="I31" i="4"/>
  <c r="H31" i="4"/>
  <c r="G31" i="4"/>
  <c r="F31" i="4"/>
  <c r="E31" i="4"/>
  <c r="D31" i="4"/>
  <c r="D48" i="4" s="1"/>
  <c r="C31" i="4"/>
  <c r="B31" i="4"/>
  <c r="B48" i="4" s="1"/>
  <c r="L30" i="4"/>
  <c r="K30" i="4"/>
  <c r="J30" i="4"/>
  <c r="I30" i="4"/>
  <c r="H30" i="4"/>
  <c r="G30" i="4"/>
  <c r="F30" i="4"/>
  <c r="E30" i="4"/>
  <c r="E47" i="4" s="1"/>
  <c r="D30" i="4"/>
  <c r="D47" i="4" s="1"/>
  <c r="C30" i="4"/>
  <c r="C47" i="4" s="1"/>
  <c r="B30" i="4"/>
  <c r="L29" i="4"/>
  <c r="K29" i="4"/>
  <c r="J29" i="4"/>
  <c r="I29" i="4"/>
  <c r="H29" i="4"/>
  <c r="G29" i="4"/>
  <c r="F29" i="4"/>
  <c r="E29" i="4"/>
  <c r="D29" i="4"/>
  <c r="D46" i="4" s="1"/>
  <c r="C29" i="4"/>
  <c r="C46" i="4" s="1"/>
  <c r="B29" i="4"/>
  <c r="B46" i="4" s="1"/>
  <c r="K28" i="4"/>
  <c r="G28" i="4"/>
  <c r="L27" i="4"/>
  <c r="J27" i="4"/>
  <c r="J20" i="4" s="1"/>
  <c r="F27" i="4"/>
  <c r="D27" i="4"/>
  <c r="B27" i="4"/>
  <c r="B20" i="4" s="1"/>
  <c r="L26" i="4"/>
  <c r="K26" i="4"/>
  <c r="K27" i="4" s="1"/>
  <c r="J26" i="4"/>
  <c r="J28" i="4" s="1"/>
  <c r="I26" i="4"/>
  <c r="H26" i="4"/>
  <c r="G26" i="4"/>
  <c r="F26" i="4"/>
  <c r="F28" i="4" s="1"/>
  <c r="E26" i="4"/>
  <c r="E27" i="4" s="1"/>
  <c r="D26" i="4"/>
  <c r="C26" i="4"/>
  <c r="C27" i="4" s="1"/>
  <c r="B26" i="4"/>
  <c r="B28" i="4" s="1"/>
  <c r="B45" i="4" s="1"/>
  <c r="L20" i="4"/>
  <c r="D20" i="4"/>
  <c r="D17" i="4"/>
  <c r="A81" i="3"/>
  <c r="A80" i="3"/>
  <c r="A79" i="3"/>
  <c r="A78" i="3"/>
  <c r="A77" i="3"/>
  <c r="A76" i="3"/>
  <c r="A75" i="3"/>
  <c r="A74" i="3"/>
  <c r="A73" i="3"/>
  <c r="A72" i="3"/>
  <c r="A71" i="3"/>
  <c r="A70" i="3"/>
  <c r="A69" i="3"/>
  <c r="B55" i="3"/>
  <c r="D53" i="3"/>
  <c r="G52" i="3"/>
  <c r="C52" i="3"/>
  <c r="D49" i="3"/>
  <c r="C48" i="3"/>
  <c r="B47" i="3"/>
  <c r="H38" i="3"/>
  <c r="F38" i="3"/>
  <c r="E38" i="3"/>
  <c r="D38" i="3"/>
  <c r="D55" i="3" s="1"/>
  <c r="C38" i="3"/>
  <c r="C55" i="3" s="1"/>
  <c r="B38" i="3"/>
  <c r="H37" i="3"/>
  <c r="F37" i="3"/>
  <c r="E37" i="3"/>
  <c r="D37" i="3"/>
  <c r="C37" i="3"/>
  <c r="B37" i="3"/>
  <c r="H36" i="3"/>
  <c r="F36" i="3"/>
  <c r="E36" i="3"/>
  <c r="D36" i="3"/>
  <c r="C36" i="3"/>
  <c r="C53" i="3" s="1"/>
  <c r="B36" i="3"/>
  <c r="B53" i="3" s="1"/>
  <c r="H35" i="3"/>
  <c r="G35" i="3"/>
  <c r="F35" i="3"/>
  <c r="F52" i="3" s="1"/>
  <c r="E35" i="3"/>
  <c r="E52" i="3" s="1"/>
  <c r="D35" i="3"/>
  <c r="D52" i="3" s="1"/>
  <c r="C35" i="3"/>
  <c r="B35" i="3"/>
  <c r="B52" i="3" s="1"/>
  <c r="H34" i="3"/>
  <c r="F34" i="3"/>
  <c r="E34" i="3"/>
  <c r="D34" i="3"/>
  <c r="C34" i="3"/>
  <c r="B34" i="3"/>
  <c r="H33" i="3"/>
  <c r="F33" i="3"/>
  <c r="E33" i="3"/>
  <c r="D33" i="3"/>
  <c r="C33" i="3"/>
  <c r="C50" i="3" s="1"/>
  <c r="B33" i="3"/>
  <c r="B50" i="3" s="1"/>
  <c r="H32" i="3"/>
  <c r="F32" i="3"/>
  <c r="E32" i="3"/>
  <c r="D32" i="3"/>
  <c r="C32" i="3"/>
  <c r="C49" i="3" s="1"/>
  <c r="B32" i="3"/>
  <c r="B49" i="3" s="1"/>
  <c r="H31" i="3"/>
  <c r="F31" i="3"/>
  <c r="E31" i="3"/>
  <c r="D31" i="3"/>
  <c r="C31" i="3"/>
  <c r="B31" i="3"/>
  <c r="B48" i="3" s="1"/>
  <c r="H30" i="3"/>
  <c r="F30" i="3"/>
  <c r="E30" i="3"/>
  <c r="D30" i="3"/>
  <c r="C30" i="3"/>
  <c r="C47" i="3" s="1"/>
  <c r="B30" i="3"/>
  <c r="H29" i="3"/>
  <c r="F29" i="3"/>
  <c r="E29" i="3"/>
  <c r="D29" i="3"/>
  <c r="D46" i="3" s="1"/>
  <c r="C29" i="3"/>
  <c r="C46" i="3" s="1"/>
  <c r="B29" i="3"/>
  <c r="B46" i="3" s="1"/>
  <c r="C28" i="3"/>
  <c r="C45" i="3" s="1"/>
  <c r="F27" i="3"/>
  <c r="B27" i="3"/>
  <c r="H26" i="3"/>
  <c r="F26" i="3"/>
  <c r="F28" i="3" s="1"/>
  <c r="E26" i="3"/>
  <c r="E27" i="3" s="1"/>
  <c r="D26" i="3"/>
  <c r="D27" i="3" s="1"/>
  <c r="C26" i="3"/>
  <c r="C27" i="3" s="1"/>
  <c r="B26" i="3"/>
  <c r="B28" i="3" s="1"/>
  <c r="B45" i="3" s="1"/>
  <c r="G18" i="3"/>
  <c r="G38" i="3" s="1"/>
  <c r="G17" i="3"/>
  <c r="G37" i="3" s="1"/>
  <c r="G16" i="3"/>
  <c r="G36" i="3" s="1"/>
  <c r="G14" i="3"/>
  <c r="G34" i="3" s="1"/>
  <c r="G13" i="3"/>
  <c r="G33" i="3" s="1"/>
  <c r="G12" i="3"/>
  <c r="G32" i="3" s="1"/>
  <c r="G11" i="3"/>
  <c r="G31" i="3" s="1"/>
  <c r="G10" i="3"/>
  <c r="G30" i="3" s="1"/>
  <c r="G9" i="3"/>
  <c r="G29" i="3" s="1"/>
  <c r="G8" i="3"/>
  <c r="G7" i="3"/>
  <c r="G6" i="3"/>
  <c r="G26" i="3" s="1"/>
  <c r="B166" i="2"/>
  <c r="B122" i="2"/>
  <c r="C122" i="2" s="1"/>
  <c r="B121" i="2"/>
  <c r="AB51" i="6" s="1"/>
  <c r="B120" i="2"/>
  <c r="V49" i="6" s="1"/>
  <c r="B119" i="2"/>
  <c r="C119" i="2" s="1"/>
  <c r="B118" i="2"/>
  <c r="P47" i="6" s="1"/>
  <c r="B117" i="2"/>
  <c r="J45" i="6" s="1"/>
  <c r="B116" i="2"/>
  <c r="D51" i="6" s="1"/>
  <c r="B115" i="2"/>
  <c r="B81" i="4" s="1"/>
  <c r="B114" i="2"/>
  <c r="C114" i="2" s="1"/>
  <c r="B113" i="2"/>
  <c r="C113" i="2" s="1"/>
  <c r="B112" i="2"/>
  <c r="B78" i="4" s="1"/>
  <c r="B111" i="2"/>
  <c r="B77" i="3" s="1"/>
  <c r="B110" i="2"/>
  <c r="C110" i="2" s="1"/>
  <c r="B109" i="2"/>
  <c r="B75" i="3" s="1"/>
  <c r="B108" i="2"/>
  <c r="B74" i="4" s="1"/>
  <c r="B107" i="2"/>
  <c r="B73" i="3" s="1"/>
  <c r="B106" i="2"/>
  <c r="C106" i="2" s="1"/>
  <c r="B105" i="2"/>
  <c r="C105" i="2" s="1"/>
  <c r="B104" i="2"/>
  <c r="B70" i="4" s="1"/>
  <c r="B103" i="2"/>
  <c r="B69" i="3" s="1"/>
  <c r="B100" i="2"/>
  <c r="B97" i="2"/>
  <c r="B96" i="2"/>
  <c r="B80" i="2"/>
  <c r="B76" i="2"/>
  <c r="B74" i="2"/>
  <c r="B71" i="2"/>
  <c r="C39" i="2"/>
  <c r="B39" i="2"/>
  <c r="C38" i="2"/>
  <c r="C55" i="2" s="1"/>
  <c r="B38" i="2"/>
  <c r="B55" i="2" s="1"/>
  <c r="C37" i="2"/>
  <c r="B37" i="2"/>
  <c r="C36" i="2"/>
  <c r="B36" i="2"/>
  <c r="C35" i="2"/>
  <c r="B35" i="2"/>
  <c r="C34" i="2"/>
  <c r="C51" i="2" s="1"/>
  <c r="B34" i="2"/>
  <c r="B51" i="2" s="1"/>
  <c r="C33" i="2"/>
  <c r="B33" i="2"/>
  <c r="C32" i="2"/>
  <c r="B32" i="2"/>
  <c r="C31" i="2"/>
  <c r="B31" i="2"/>
  <c r="C30" i="2"/>
  <c r="C47" i="2" s="1"/>
  <c r="B30" i="2"/>
  <c r="B47" i="2" s="1"/>
  <c r="C28" i="2"/>
  <c r="C22" i="2" s="1"/>
  <c r="C27" i="2"/>
  <c r="C29" i="2" s="1"/>
  <c r="C46" i="2" s="1"/>
  <c r="B27" i="2"/>
  <c r="B28" i="2" s="1"/>
  <c r="B22" i="2" s="1"/>
  <c r="K52" i="1"/>
  <c r="J52" i="1"/>
  <c r="J51" i="1"/>
  <c r="G51" i="1"/>
  <c r="J50" i="1"/>
  <c r="K49" i="1"/>
  <c r="J49" i="1"/>
  <c r="G49" i="1"/>
  <c r="K48" i="1"/>
  <c r="J48" i="1"/>
  <c r="J47" i="1"/>
  <c r="G47" i="1"/>
  <c r="J46" i="1"/>
  <c r="K45" i="1"/>
  <c r="G45" i="1"/>
  <c r="K44" i="1"/>
  <c r="J44" i="1"/>
  <c r="J43" i="1"/>
  <c r="G43" i="1"/>
  <c r="K42" i="1"/>
  <c r="J42" i="1"/>
  <c r="K41" i="1"/>
  <c r="J41" i="1"/>
  <c r="G41" i="1"/>
  <c r="K40" i="1"/>
  <c r="J40" i="1"/>
  <c r="J39" i="1"/>
  <c r="G39" i="1"/>
  <c r="J38" i="1"/>
  <c r="K37" i="1"/>
  <c r="J37" i="1"/>
  <c r="G37" i="1"/>
  <c r="K36" i="1"/>
  <c r="J36" i="1"/>
  <c r="J35" i="1"/>
  <c r="G35" i="1"/>
  <c r="J34" i="1"/>
  <c r="K33" i="1"/>
  <c r="J33" i="1"/>
  <c r="G33" i="1"/>
  <c r="K32" i="1"/>
  <c r="J32" i="1"/>
  <c r="J31" i="1"/>
  <c r="G31" i="1"/>
  <c r="J30" i="1"/>
  <c r="K29" i="1"/>
  <c r="J29" i="1"/>
  <c r="G29" i="1"/>
  <c r="K28" i="1"/>
  <c r="J28" i="1"/>
  <c r="J27" i="1"/>
  <c r="G27" i="1"/>
  <c r="K26" i="1"/>
  <c r="J26" i="1"/>
  <c r="K25" i="1"/>
  <c r="J25" i="1"/>
  <c r="G25" i="1"/>
  <c r="K24" i="1"/>
  <c r="J24" i="1"/>
  <c r="K23" i="1"/>
  <c r="J23" i="1"/>
  <c r="G23" i="1"/>
  <c r="K22" i="1"/>
  <c r="J22" i="1"/>
  <c r="K21" i="1"/>
  <c r="J21" i="1"/>
  <c r="G21" i="1"/>
  <c r="K20" i="1"/>
  <c r="J20" i="1"/>
  <c r="K19" i="1"/>
  <c r="J19" i="1"/>
  <c r="G19" i="1"/>
  <c r="K18" i="1"/>
  <c r="J18" i="1"/>
  <c r="K17" i="1"/>
  <c r="J17" i="1"/>
  <c r="G17" i="1"/>
  <c r="K16" i="1"/>
  <c r="J16" i="1"/>
  <c r="K15" i="1"/>
  <c r="J15" i="1"/>
  <c r="G15" i="1"/>
  <c r="K14" i="1"/>
  <c r="J14" i="1"/>
  <c r="K13" i="1"/>
  <c r="J13" i="1"/>
  <c r="G13" i="1"/>
  <c r="K12" i="1"/>
  <c r="J12" i="1"/>
  <c r="K11" i="1"/>
  <c r="J11" i="1"/>
  <c r="G11" i="1"/>
  <c r="K10" i="1"/>
  <c r="J10" i="1"/>
  <c r="K9" i="1"/>
  <c r="J9" i="1"/>
  <c r="G9" i="1"/>
  <c r="J8" i="1"/>
  <c r="K7" i="1"/>
  <c r="J7" i="1"/>
  <c r="G7" i="1"/>
  <c r="K6" i="1"/>
  <c r="J6" i="1"/>
  <c r="G5" i="1"/>
  <c r="AH272" i="12" l="1"/>
  <c r="AH283" i="12"/>
  <c r="AH266" i="12"/>
  <c r="B74" i="3"/>
  <c r="P12" i="6"/>
  <c r="AB16" i="6"/>
  <c r="D20" i="6"/>
  <c r="P24" i="6"/>
  <c r="D32" i="6"/>
  <c r="AH42" i="6"/>
  <c r="V50" i="6"/>
  <c r="P20" i="6"/>
  <c r="AB24" i="6"/>
  <c r="D28" i="6"/>
  <c r="P32" i="6"/>
  <c r="D40" i="6"/>
  <c r="AH50" i="6"/>
  <c r="D12" i="6"/>
  <c r="D48" i="6"/>
  <c r="B70" i="3"/>
  <c r="V10" i="6"/>
  <c r="D24" i="6"/>
  <c r="D36" i="6"/>
  <c r="V14" i="6"/>
  <c r="D44" i="6"/>
  <c r="AH10" i="6"/>
  <c r="V18" i="6"/>
  <c r="V22" i="6"/>
  <c r="J26" i="6"/>
  <c r="P44" i="6"/>
  <c r="AB48" i="6"/>
  <c r="D52" i="6"/>
  <c r="B78" i="3"/>
  <c r="D8" i="6"/>
  <c r="AH18" i="6"/>
  <c r="V26" i="6"/>
  <c r="V30" i="6"/>
  <c r="J34" i="6"/>
  <c r="P52" i="6"/>
  <c r="D16" i="6"/>
  <c r="AE24" i="12"/>
  <c r="AB24" i="12"/>
  <c r="X24" i="12"/>
  <c r="N550" i="14"/>
  <c r="O550" i="14" s="1"/>
  <c r="AE53" i="12"/>
  <c r="AB53" i="12"/>
  <c r="X53" i="12"/>
  <c r="AE194" i="12"/>
  <c r="AB194" i="12"/>
  <c r="X194" i="12"/>
  <c r="AE210" i="12"/>
  <c r="AB210" i="12"/>
  <c r="X210" i="12"/>
  <c r="AL226" i="12"/>
  <c r="AM226" i="12"/>
  <c r="AB60" i="12"/>
  <c r="X60" i="12"/>
  <c r="AE120" i="12"/>
  <c r="AB120" i="12"/>
  <c r="X120" i="12"/>
  <c r="AB20" i="12"/>
  <c r="AE20" i="12"/>
  <c r="N106" i="14"/>
  <c r="O106" i="14" s="1"/>
  <c r="AE65" i="12"/>
  <c r="AB65" i="12"/>
  <c r="X65" i="12"/>
  <c r="AE106" i="12"/>
  <c r="AB106" i="12"/>
  <c r="X106" i="12"/>
  <c r="X345" i="12"/>
  <c r="AE345" i="12"/>
  <c r="N357" i="14"/>
  <c r="O357" i="14"/>
  <c r="AL13" i="12"/>
  <c r="AM13" i="12"/>
  <c r="AL14" i="12"/>
  <c r="AM14" i="12"/>
  <c r="AE72" i="12"/>
  <c r="AB72" i="12"/>
  <c r="X72" i="12"/>
  <c r="Y105" i="12"/>
  <c r="Y9" i="12"/>
  <c r="AE42" i="12"/>
  <c r="AB42" i="12"/>
  <c r="X42" i="12"/>
  <c r="AE241" i="12"/>
  <c r="AB241" i="12"/>
  <c r="X241" i="12"/>
  <c r="AL258" i="12"/>
  <c r="AM258" i="12"/>
  <c r="AE275" i="12"/>
  <c r="X275" i="12"/>
  <c r="AE286" i="12"/>
  <c r="AB286" i="12"/>
  <c r="X286" i="12"/>
  <c r="AE293" i="12"/>
  <c r="AB293" i="12"/>
  <c r="X293" i="12"/>
  <c r="AE307" i="12"/>
  <c r="AB307" i="12"/>
  <c r="AB334" i="12"/>
  <c r="AE334" i="12"/>
  <c r="X334" i="12"/>
  <c r="O144" i="14"/>
  <c r="O166" i="14"/>
  <c r="N486" i="14"/>
  <c r="O486" i="14" s="1"/>
  <c r="N524" i="14"/>
  <c r="O524" i="14"/>
  <c r="AH26" i="12"/>
  <c r="AE59" i="12"/>
  <c r="AE67" i="12"/>
  <c r="AE129" i="12"/>
  <c r="AB129" i="12"/>
  <c r="AB305" i="12"/>
  <c r="AE305" i="12"/>
  <c r="N144" i="14"/>
  <c r="N166" i="14"/>
  <c r="N521" i="14"/>
  <c r="O521" i="14" s="1"/>
  <c r="W361" i="12"/>
  <c r="AH98" i="12"/>
  <c r="Y99" i="12"/>
  <c r="AE181" i="12"/>
  <c r="AB181" i="12"/>
  <c r="X181" i="12"/>
  <c r="AM261" i="12"/>
  <c r="AL261" i="12"/>
  <c r="AE300" i="12"/>
  <c r="AB300" i="12"/>
  <c r="X300" i="12"/>
  <c r="AH23" i="12"/>
  <c r="AB240" i="12"/>
  <c r="AE240" i="12"/>
  <c r="AE277" i="12"/>
  <c r="X277" i="12"/>
  <c r="AE294" i="12"/>
  <c r="AB294" i="12"/>
  <c r="AB330" i="12"/>
  <c r="AE330" i="12"/>
  <c r="X330" i="12"/>
  <c r="N118" i="14"/>
  <c r="O118" i="14" s="1"/>
  <c r="O548" i="14"/>
  <c r="AM5" i="12"/>
  <c r="AH19" i="12"/>
  <c r="AB246" i="12"/>
  <c r="AE246" i="12"/>
  <c r="X307" i="12"/>
  <c r="AB341" i="12"/>
  <c r="AE341" i="12"/>
  <c r="X341" i="12"/>
  <c r="N475" i="14"/>
  <c r="O475" i="14" s="1"/>
  <c r="AM30" i="12"/>
  <c r="AM34" i="12"/>
  <c r="AM44" i="12"/>
  <c r="X52" i="12"/>
  <c r="X63" i="12"/>
  <c r="AL80" i="12"/>
  <c r="AL82" i="12"/>
  <c r="X305" i="12"/>
  <c r="AE306" i="12"/>
  <c r="AB306" i="12"/>
  <c r="X306" i="12"/>
  <c r="N44" i="14"/>
  <c r="O44" i="14" s="1"/>
  <c r="N256" i="14"/>
  <c r="O256" i="14"/>
  <c r="AH25" i="12"/>
  <c r="Y98" i="12"/>
  <c r="AH103" i="12"/>
  <c r="AH125" i="12"/>
  <c r="AB132" i="12"/>
  <c r="AL142" i="12"/>
  <c r="AM142" i="12"/>
  <c r="X225" i="12"/>
  <c r="AE225" i="12"/>
  <c r="AB243" i="12"/>
  <c r="AE243" i="12"/>
  <c r="AH260" i="12"/>
  <c r="Y272" i="12"/>
  <c r="AH357" i="12"/>
  <c r="N351" i="14"/>
  <c r="O351" i="14"/>
  <c r="Y173" i="12"/>
  <c r="X268" i="12"/>
  <c r="AB276" i="12"/>
  <c r="O143" i="14"/>
  <c r="O428" i="14"/>
  <c r="O498" i="14"/>
  <c r="O556" i="14"/>
  <c r="AH235" i="12"/>
  <c r="Y297" i="12"/>
  <c r="AM356" i="12"/>
  <c r="AH265" i="12"/>
  <c r="AL328" i="12"/>
  <c r="O128" i="14"/>
  <c r="O199" i="14"/>
  <c r="O278" i="14"/>
  <c r="Y357" i="12"/>
  <c r="O104" i="14"/>
  <c r="O261" i="14"/>
  <c r="O293" i="14"/>
  <c r="O452" i="14"/>
  <c r="AM141" i="12"/>
  <c r="AL168" i="12"/>
  <c r="Y224" i="12"/>
  <c r="AH259" i="12"/>
  <c r="X280" i="12"/>
  <c r="AH297" i="12"/>
  <c r="AH310" i="12"/>
  <c r="AM331" i="12"/>
  <c r="AE342" i="12"/>
  <c r="AH354" i="12"/>
  <c r="C71" i="3"/>
  <c r="C71" i="4"/>
  <c r="AC51" i="6"/>
  <c r="AD51" i="6" s="1"/>
  <c r="K45" i="6"/>
  <c r="L45" i="6" s="1"/>
  <c r="W49" i="6"/>
  <c r="X49" i="6" s="1"/>
  <c r="E51" i="6"/>
  <c r="F51" i="6" s="1"/>
  <c r="G27" i="3"/>
  <c r="G20" i="3" s="1"/>
  <c r="G28" i="3"/>
  <c r="C76" i="3"/>
  <c r="C76" i="4"/>
  <c r="Q47" i="6"/>
  <c r="R47" i="6" s="1"/>
  <c r="C79" i="3"/>
  <c r="C54" i="2"/>
  <c r="C79" i="4"/>
  <c r="C20" i="3"/>
  <c r="B54" i="2"/>
  <c r="C72" i="3"/>
  <c r="C72" i="4"/>
  <c r="C80" i="3"/>
  <c r="C80" i="4"/>
  <c r="D20" i="3"/>
  <c r="C20" i="4"/>
  <c r="C28" i="4"/>
  <c r="C45" i="4" s="1"/>
  <c r="K20" i="4"/>
  <c r="N361" i="8"/>
  <c r="B73" i="4"/>
  <c r="B29" i="2"/>
  <c r="B46" i="2" s="1"/>
  <c r="C103" i="2"/>
  <c r="C107" i="2"/>
  <c r="C111" i="2"/>
  <c r="C115" i="2"/>
  <c r="AQ353" i="12"/>
  <c r="AQ350" i="12"/>
  <c r="AQ345" i="12"/>
  <c r="AQ342" i="12"/>
  <c r="AQ341" i="12"/>
  <c r="AQ334" i="12"/>
  <c r="AP353" i="12"/>
  <c r="AP350" i="12"/>
  <c r="AP345" i="12"/>
  <c r="AR345" i="12" s="1"/>
  <c r="AP342" i="12"/>
  <c r="AP341" i="12"/>
  <c r="AP334" i="12"/>
  <c r="AQ356" i="12"/>
  <c r="AQ330" i="12"/>
  <c r="AQ329" i="12"/>
  <c r="AP330" i="12"/>
  <c r="AP329" i="12"/>
  <c r="AR329" i="12" s="1"/>
  <c r="AQ333" i="12"/>
  <c r="AP294" i="12"/>
  <c r="AP293" i="12"/>
  <c r="AP333" i="12"/>
  <c r="AQ293" i="12"/>
  <c r="AP286" i="12"/>
  <c r="AQ306" i="12"/>
  <c r="AQ300" i="12"/>
  <c r="AQ277" i="12"/>
  <c r="AQ243" i="12"/>
  <c r="AP306" i="12"/>
  <c r="AP300" i="12"/>
  <c r="AP280" i="12"/>
  <c r="AR280" i="12" s="1"/>
  <c r="AQ294" i="12"/>
  <c r="AP275" i="12"/>
  <c r="AP270" i="12"/>
  <c r="AQ268" i="12"/>
  <c r="AP258" i="12"/>
  <c r="AQ307" i="12"/>
  <c r="AQ305" i="12"/>
  <c r="AP268" i="12"/>
  <c r="AR268" i="12" s="1"/>
  <c r="AP246" i="12"/>
  <c r="AP307" i="12"/>
  <c r="AP305" i="12"/>
  <c r="AR305" i="12" s="1"/>
  <c r="AQ289" i="12"/>
  <c r="AQ242" i="12"/>
  <c r="AP289" i="12"/>
  <c r="AR289" i="12" s="1"/>
  <c r="AQ286" i="12"/>
  <c r="AP276" i="12"/>
  <c r="AP242" i="12"/>
  <c r="AR242" i="12" s="1"/>
  <c r="AP240" i="12"/>
  <c r="AQ270" i="12"/>
  <c r="AQ241" i="12"/>
  <c r="AQ258" i="12"/>
  <c r="AP241" i="12"/>
  <c r="AR241" i="12" s="1"/>
  <c r="AQ210" i="12"/>
  <c r="AQ208" i="12"/>
  <c r="AQ205" i="12"/>
  <c r="AQ204" i="12"/>
  <c r="AQ195" i="12"/>
  <c r="AQ194" i="12"/>
  <c r="AP277" i="12"/>
  <c r="AQ246" i="12"/>
  <c r="AQ280" i="12"/>
  <c r="AQ214" i="12"/>
  <c r="AQ181" i="12"/>
  <c r="AP243" i="12"/>
  <c r="AR243" i="12" s="1"/>
  <c r="AQ240" i="12"/>
  <c r="AP205" i="12"/>
  <c r="AP204" i="12"/>
  <c r="AP195" i="12"/>
  <c r="AP194" i="12"/>
  <c r="AQ192" i="12"/>
  <c r="AP181" i="12"/>
  <c r="AR181" i="12" s="1"/>
  <c r="AP192" i="12"/>
  <c r="AP228" i="12"/>
  <c r="AP208" i="12"/>
  <c r="AP210" i="12"/>
  <c r="AP184" i="12"/>
  <c r="AQ275" i="12"/>
  <c r="AQ185" i="12"/>
  <c r="AP180" i="12"/>
  <c r="AQ164" i="12"/>
  <c r="AP132" i="12"/>
  <c r="AP123" i="12"/>
  <c r="AQ180" i="12"/>
  <c r="AQ124" i="12"/>
  <c r="AP119" i="12"/>
  <c r="AQ90" i="12"/>
  <c r="AQ82" i="12"/>
  <c r="AQ184" i="12"/>
  <c r="AQ120" i="12"/>
  <c r="AP185" i="12"/>
  <c r="AP171" i="12"/>
  <c r="AP120" i="12"/>
  <c r="AQ83" i="12"/>
  <c r="AQ76" i="12"/>
  <c r="AQ127" i="12"/>
  <c r="AQ119" i="12"/>
  <c r="AP118" i="12"/>
  <c r="AR118" i="12" s="1"/>
  <c r="AQ114" i="12"/>
  <c r="AP66" i="12"/>
  <c r="AP59" i="12"/>
  <c r="AR59" i="12" s="1"/>
  <c r="AP46" i="12"/>
  <c r="AQ44" i="12"/>
  <c r="AP172" i="12"/>
  <c r="AP114" i="12"/>
  <c r="AP90" i="12"/>
  <c r="AQ74" i="12"/>
  <c r="AQ53" i="12"/>
  <c r="AP44" i="12"/>
  <c r="AQ42" i="12"/>
  <c r="AQ129" i="12"/>
  <c r="AQ78" i="12"/>
  <c r="AQ77" i="12"/>
  <c r="AP76" i="12"/>
  <c r="AP74" i="12"/>
  <c r="AR74" i="12" s="1"/>
  <c r="AQ106" i="12"/>
  <c r="AQ95" i="12"/>
  <c r="AP124" i="12"/>
  <c r="AP106" i="12"/>
  <c r="AR106" i="12" s="1"/>
  <c r="AQ72" i="12"/>
  <c r="AP65" i="12"/>
  <c r="AQ63" i="12"/>
  <c r="AP58" i="12"/>
  <c r="AP146" i="12"/>
  <c r="AQ123" i="12"/>
  <c r="AQ88" i="12"/>
  <c r="AP83" i="12"/>
  <c r="AR83" i="12" s="1"/>
  <c r="AQ118" i="12"/>
  <c r="AP102" i="12"/>
  <c r="AQ66" i="12"/>
  <c r="AQ59" i="12"/>
  <c r="AP52" i="12"/>
  <c r="AQ46" i="12"/>
  <c r="AP39" i="12"/>
  <c r="AP72" i="12"/>
  <c r="AR72" i="12" s="1"/>
  <c r="AP42" i="12"/>
  <c r="AP78" i="12"/>
  <c r="AR78" i="12" s="1"/>
  <c r="AP33" i="12"/>
  <c r="AP82" i="12"/>
  <c r="AP53" i="12"/>
  <c r="AR53" i="12" s="1"/>
  <c r="AQ67" i="12"/>
  <c r="AQ60" i="12"/>
  <c r="AQ20" i="12"/>
  <c r="AP110" i="12"/>
  <c r="AP77" i="12"/>
  <c r="AR77" i="12" s="1"/>
  <c r="AP67" i="12"/>
  <c r="AQ65" i="12"/>
  <c r="AP60" i="12"/>
  <c r="AQ58" i="12"/>
  <c r="AQ52" i="12"/>
  <c r="AQ87" i="12"/>
  <c r="AQ24" i="12"/>
  <c r="AP63" i="12"/>
  <c r="AQ39" i="12"/>
  <c r="AP24" i="12"/>
  <c r="E20" i="3"/>
  <c r="H28" i="3"/>
  <c r="B81" i="3"/>
  <c r="E20" i="4"/>
  <c r="G27" i="4"/>
  <c r="D28" i="4"/>
  <c r="D45" i="4" s="1"/>
  <c r="L28" i="4"/>
  <c r="B76" i="4"/>
  <c r="D5" i="6"/>
  <c r="AB5" i="6"/>
  <c r="W6" i="6"/>
  <c r="X6" i="6" s="1"/>
  <c r="J7" i="6"/>
  <c r="AH7" i="6"/>
  <c r="E8" i="6"/>
  <c r="F8" i="6" s="1"/>
  <c r="AC8" i="6"/>
  <c r="AD8" i="6" s="1"/>
  <c r="P9" i="6"/>
  <c r="K10" i="6"/>
  <c r="L10" i="6" s="1"/>
  <c r="AI10" i="6"/>
  <c r="AJ10" i="6" s="1"/>
  <c r="V11" i="6"/>
  <c r="Q12" i="6"/>
  <c r="R12" i="6" s="1"/>
  <c r="D13" i="6"/>
  <c r="AB13" i="6"/>
  <c r="W14" i="6"/>
  <c r="X14" i="6" s="1"/>
  <c r="J15" i="6"/>
  <c r="AH15" i="6"/>
  <c r="E16" i="6"/>
  <c r="F16" i="6" s="1"/>
  <c r="AC16" i="6"/>
  <c r="AD16" i="6" s="1"/>
  <c r="P17" i="6"/>
  <c r="K18" i="6"/>
  <c r="L18" i="6" s="1"/>
  <c r="AI18" i="6"/>
  <c r="AJ18" i="6" s="1"/>
  <c r="V19" i="6"/>
  <c r="Q20" i="6"/>
  <c r="R20" i="6" s="1"/>
  <c r="D21" i="6"/>
  <c r="AB21" i="6"/>
  <c r="W22" i="6"/>
  <c r="X22" i="6" s="1"/>
  <c r="J23" i="6"/>
  <c r="AH23" i="6"/>
  <c r="E24" i="6"/>
  <c r="F24" i="6" s="1"/>
  <c r="AC24" i="6"/>
  <c r="AD24" i="6" s="1"/>
  <c r="P25" i="6"/>
  <c r="K26" i="6"/>
  <c r="L26" i="6" s="1"/>
  <c r="AI26" i="6"/>
  <c r="AJ26" i="6" s="1"/>
  <c r="V27" i="6"/>
  <c r="Q28" i="6"/>
  <c r="R28" i="6" s="1"/>
  <c r="D29" i="6"/>
  <c r="AB29" i="6"/>
  <c r="W30" i="6"/>
  <c r="X30" i="6" s="1"/>
  <c r="J31" i="6"/>
  <c r="AH31" i="6"/>
  <c r="E32" i="6"/>
  <c r="F32" i="6" s="1"/>
  <c r="AC32" i="6"/>
  <c r="AD32" i="6" s="1"/>
  <c r="P33" i="6"/>
  <c r="K34" i="6"/>
  <c r="L34" i="6" s="1"/>
  <c r="AI34" i="6"/>
  <c r="AJ34" i="6" s="1"/>
  <c r="V35" i="6"/>
  <c r="Q36" i="6"/>
  <c r="R36" i="6" s="1"/>
  <c r="D37" i="6"/>
  <c r="AB37" i="6"/>
  <c r="W38" i="6"/>
  <c r="X38" i="6" s="1"/>
  <c r="J39" i="6"/>
  <c r="AH39" i="6"/>
  <c r="E40" i="6"/>
  <c r="F40" i="6" s="1"/>
  <c r="AC40" i="6"/>
  <c r="AD40" i="6" s="1"/>
  <c r="P41" i="6"/>
  <c r="K42" i="6"/>
  <c r="L42" i="6" s="1"/>
  <c r="AI42" i="6"/>
  <c r="AJ42" i="6" s="1"/>
  <c r="V43" i="6"/>
  <c r="Q44" i="6"/>
  <c r="R44" i="6" s="1"/>
  <c r="D45" i="6"/>
  <c r="AB45" i="6"/>
  <c r="W46" i="6"/>
  <c r="X46" i="6" s="1"/>
  <c r="J47" i="6"/>
  <c r="AH47" i="6"/>
  <c r="E48" i="6"/>
  <c r="F48" i="6" s="1"/>
  <c r="AC48" i="6"/>
  <c r="AD48" i="6" s="1"/>
  <c r="P49" i="6"/>
  <c r="K50" i="6"/>
  <c r="L50" i="6" s="1"/>
  <c r="AI50" i="6"/>
  <c r="AJ50" i="6" s="1"/>
  <c r="V51" i="6"/>
  <c r="Q52" i="6"/>
  <c r="R52" i="6" s="1"/>
  <c r="F20" i="3"/>
  <c r="H27" i="3"/>
  <c r="B76" i="3"/>
  <c r="F20" i="4"/>
  <c r="H27" i="4"/>
  <c r="E28" i="4"/>
  <c r="E45" i="4" s="1"/>
  <c r="B71" i="4"/>
  <c r="B79" i="4"/>
  <c r="P6" i="6"/>
  <c r="V8" i="6"/>
  <c r="D10" i="6"/>
  <c r="AB10" i="6"/>
  <c r="J12" i="6"/>
  <c r="AH12" i="6"/>
  <c r="P14" i="6"/>
  <c r="V16" i="6"/>
  <c r="D18" i="6"/>
  <c r="AB18" i="6"/>
  <c r="J20" i="6"/>
  <c r="AH20" i="6"/>
  <c r="P22" i="6"/>
  <c r="V24" i="6"/>
  <c r="D26" i="6"/>
  <c r="AB26" i="6"/>
  <c r="J28" i="6"/>
  <c r="AH28" i="6"/>
  <c r="P30" i="6"/>
  <c r="V32" i="6"/>
  <c r="D34" i="6"/>
  <c r="AB34" i="6"/>
  <c r="J36" i="6"/>
  <c r="AH36" i="6"/>
  <c r="P38" i="6"/>
  <c r="V40" i="6"/>
  <c r="D42" i="6"/>
  <c r="AB42" i="6"/>
  <c r="J44" i="6"/>
  <c r="AH44" i="6"/>
  <c r="P46" i="6"/>
  <c r="V48" i="6"/>
  <c r="D50" i="6"/>
  <c r="AB50" i="6"/>
  <c r="J52" i="6"/>
  <c r="AH52" i="6"/>
  <c r="C104" i="2"/>
  <c r="C108" i="2"/>
  <c r="B49" i="2" s="1"/>
  <c r="C112" i="2"/>
  <c r="C53" i="2" s="1"/>
  <c r="C116" i="2"/>
  <c r="C120" i="2"/>
  <c r="B71" i="3"/>
  <c r="B79" i="3"/>
  <c r="I27" i="4"/>
  <c r="V5" i="6"/>
  <c r="D7" i="6"/>
  <c r="AB7" i="6"/>
  <c r="J9" i="6"/>
  <c r="AH9" i="6"/>
  <c r="P11" i="6"/>
  <c r="V13" i="6"/>
  <c r="D15" i="6"/>
  <c r="AB15" i="6"/>
  <c r="J17" i="6"/>
  <c r="AH17" i="6"/>
  <c r="P19" i="6"/>
  <c r="V21" i="6"/>
  <c r="D23" i="6"/>
  <c r="AB23" i="6"/>
  <c r="J25" i="6"/>
  <c r="AH25" i="6"/>
  <c r="P27" i="6"/>
  <c r="V29" i="6"/>
  <c r="D31" i="6"/>
  <c r="AB31" i="6"/>
  <c r="J33" i="6"/>
  <c r="AH33" i="6"/>
  <c r="P35" i="6"/>
  <c r="V37" i="6"/>
  <c r="D39" i="6"/>
  <c r="AB39" i="6"/>
  <c r="J41" i="6"/>
  <c r="AH41" i="6"/>
  <c r="P43" i="6"/>
  <c r="V45" i="6"/>
  <c r="D47" i="6"/>
  <c r="AB47" i="6"/>
  <c r="J49" i="6"/>
  <c r="AH49" i="6"/>
  <c r="P51" i="6"/>
  <c r="B69" i="4"/>
  <c r="B77" i="4"/>
  <c r="J6" i="6"/>
  <c r="AH6" i="6"/>
  <c r="AB12" i="6"/>
  <c r="J14" i="6"/>
  <c r="AH14" i="6"/>
  <c r="AB20" i="6"/>
  <c r="J22" i="6"/>
  <c r="AH22" i="6"/>
  <c r="AB28" i="6"/>
  <c r="J30" i="6"/>
  <c r="AH30" i="6"/>
  <c r="AB36" i="6"/>
  <c r="J38" i="6"/>
  <c r="AH38" i="6"/>
  <c r="AB44" i="6"/>
  <c r="J46" i="6"/>
  <c r="AH46" i="6"/>
  <c r="AB52" i="6"/>
  <c r="C109" i="2"/>
  <c r="C117" i="2"/>
  <c r="C121" i="2"/>
  <c r="D28" i="3"/>
  <c r="I20" i="4"/>
  <c r="H28" i="4"/>
  <c r="B72" i="4"/>
  <c r="B80" i="4"/>
  <c r="P5" i="6"/>
  <c r="V7" i="6"/>
  <c r="Q8" i="6"/>
  <c r="R8" i="6" s="1"/>
  <c r="D9" i="6"/>
  <c r="AB9" i="6"/>
  <c r="W10" i="6"/>
  <c r="X10" i="6" s="1"/>
  <c r="J11" i="6"/>
  <c r="AH11" i="6"/>
  <c r="E12" i="6"/>
  <c r="F12" i="6" s="1"/>
  <c r="P13" i="6"/>
  <c r="V15" i="6"/>
  <c r="Q16" i="6"/>
  <c r="R16" i="6" s="1"/>
  <c r="D17" i="6"/>
  <c r="AB17" i="6"/>
  <c r="W18" i="6"/>
  <c r="X18" i="6" s="1"/>
  <c r="J19" i="6"/>
  <c r="AH19" i="6"/>
  <c r="E20" i="6"/>
  <c r="F20" i="6" s="1"/>
  <c r="P21" i="6"/>
  <c r="V23" i="6"/>
  <c r="Q24" i="6"/>
  <c r="R24" i="6" s="1"/>
  <c r="D25" i="6"/>
  <c r="AB25" i="6"/>
  <c r="W26" i="6"/>
  <c r="X26" i="6" s="1"/>
  <c r="J27" i="6"/>
  <c r="AH27" i="6"/>
  <c r="E28" i="6"/>
  <c r="F28" i="6" s="1"/>
  <c r="P29" i="6"/>
  <c r="V31" i="6"/>
  <c r="Q32" i="6"/>
  <c r="R32" i="6" s="1"/>
  <c r="D33" i="6"/>
  <c r="AB33" i="6"/>
  <c r="W34" i="6"/>
  <c r="X34" i="6" s="1"/>
  <c r="J35" i="6"/>
  <c r="AH35" i="6"/>
  <c r="E36" i="6"/>
  <c r="F36" i="6" s="1"/>
  <c r="P37" i="6"/>
  <c r="V39" i="6"/>
  <c r="Q40" i="6"/>
  <c r="R40" i="6" s="1"/>
  <c r="D41" i="6"/>
  <c r="AB41" i="6"/>
  <c r="W42" i="6"/>
  <c r="X42" i="6" s="1"/>
  <c r="J43" i="6"/>
  <c r="AH43" i="6"/>
  <c r="E44" i="6"/>
  <c r="F44" i="6" s="1"/>
  <c r="P45" i="6"/>
  <c r="V47" i="6"/>
  <c r="Q48" i="6"/>
  <c r="R48" i="6" s="1"/>
  <c r="D49" i="6"/>
  <c r="AB49" i="6"/>
  <c r="W50" i="6"/>
  <c r="X50" i="6" s="1"/>
  <c r="J51" i="6"/>
  <c r="AH51" i="6"/>
  <c r="E52" i="6"/>
  <c r="F52" i="6" s="1"/>
  <c r="B20" i="3"/>
  <c r="E28" i="3"/>
  <c r="B72" i="3"/>
  <c r="B80" i="3"/>
  <c r="I28" i="4"/>
  <c r="B75" i="4"/>
  <c r="D6" i="6"/>
  <c r="AB6" i="6"/>
  <c r="J8" i="6"/>
  <c r="AH8" i="6"/>
  <c r="P10" i="6"/>
  <c r="V12" i="6"/>
  <c r="D14" i="6"/>
  <c r="AB14" i="6"/>
  <c r="J16" i="6"/>
  <c r="AH16" i="6"/>
  <c r="P18" i="6"/>
  <c r="V20" i="6"/>
  <c r="D22" i="6"/>
  <c r="AB22" i="6"/>
  <c r="J24" i="6"/>
  <c r="AH24" i="6"/>
  <c r="P26" i="6"/>
  <c r="V28" i="6"/>
  <c r="D30" i="6"/>
  <c r="AB30" i="6"/>
  <c r="J32" i="6"/>
  <c r="AH32" i="6"/>
  <c r="P34" i="6"/>
  <c r="V36" i="6"/>
  <c r="D38" i="6"/>
  <c r="AB38" i="6"/>
  <c r="J40" i="6"/>
  <c r="AH40" i="6"/>
  <c r="P42" i="6"/>
  <c r="V44" i="6"/>
  <c r="D46" i="6"/>
  <c r="AB46" i="6"/>
  <c r="J48" i="6"/>
  <c r="AH48" i="6"/>
  <c r="P50" i="6"/>
  <c r="V52" i="6"/>
  <c r="C118" i="2"/>
  <c r="J5" i="6"/>
  <c r="AH5" i="6"/>
  <c r="P7" i="6"/>
  <c r="V9" i="6"/>
  <c r="D11" i="6"/>
  <c r="AB11" i="6"/>
  <c r="J13" i="6"/>
  <c r="AH13" i="6"/>
  <c r="P15" i="6"/>
  <c r="V17" i="6"/>
  <c r="D19" i="6"/>
  <c r="AB19" i="6"/>
  <c r="J21" i="6"/>
  <c r="AH21" i="6"/>
  <c r="P23" i="6"/>
  <c r="V25" i="6"/>
  <c r="D27" i="6"/>
  <c r="AB27" i="6"/>
  <c r="J29" i="6"/>
  <c r="AH29" i="6"/>
  <c r="P31" i="6"/>
  <c r="V33" i="6"/>
  <c r="D35" i="6"/>
  <c r="AB35" i="6"/>
  <c r="J37" i="6"/>
  <c r="AH37" i="6"/>
  <c r="P39" i="6"/>
  <c r="V41" i="6"/>
  <c r="D43" i="6"/>
  <c r="AB43" i="6"/>
  <c r="AH45" i="6"/>
  <c r="M361" i="8"/>
  <c r="AQ28" i="12"/>
  <c r="T6" i="10"/>
  <c r="G6" i="1" s="1"/>
  <c r="T14" i="10"/>
  <c r="G14" i="1" s="1"/>
  <c r="T22" i="10"/>
  <c r="G22" i="1" s="1"/>
  <c r="T30" i="10"/>
  <c r="G30" i="1" s="1"/>
  <c r="T38" i="10"/>
  <c r="G38" i="1" s="1"/>
  <c r="T46" i="10"/>
  <c r="G46" i="1" s="1"/>
  <c r="AQ33" i="12"/>
  <c r="T12" i="10"/>
  <c r="G12" i="1" s="1"/>
  <c r="T20" i="10"/>
  <c r="G20" i="1" s="1"/>
  <c r="T28" i="10"/>
  <c r="G28" i="1" s="1"/>
  <c r="T36" i="10"/>
  <c r="G36" i="1" s="1"/>
  <c r="T44" i="10"/>
  <c r="G44" i="1" s="1"/>
  <c r="T52" i="10"/>
  <c r="G52" i="1" s="1"/>
  <c r="T10" i="10"/>
  <c r="G10" i="1" s="1"/>
  <c r="T18" i="10"/>
  <c r="G18" i="1" s="1"/>
  <c r="T26" i="10"/>
  <c r="G26" i="1" s="1"/>
  <c r="T34" i="10"/>
  <c r="G34" i="1" s="1"/>
  <c r="T42" i="10"/>
  <c r="G42" i="1" s="1"/>
  <c r="T50" i="10"/>
  <c r="G50" i="1" s="1"/>
  <c r="AQ32" i="12"/>
  <c r="S54" i="10"/>
  <c r="T8" i="10"/>
  <c r="G8" i="1" s="1"/>
  <c r="T16" i="10"/>
  <c r="G16" i="1" s="1"/>
  <c r="T24" i="10"/>
  <c r="G24" i="1" s="1"/>
  <c r="T32" i="10"/>
  <c r="G32" i="1" s="1"/>
  <c r="T40" i="10"/>
  <c r="G40" i="1" s="1"/>
  <c r="T48" i="10"/>
  <c r="G48" i="1" s="1"/>
  <c r="T5" i="12"/>
  <c r="T6" i="12"/>
  <c r="T7" i="12"/>
  <c r="T8" i="12"/>
  <c r="X20" i="12"/>
  <c r="AE28" i="12"/>
  <c r="AE32" i="12"/>
  <c r="AM58" i="12"/>
  <c r="AM65" i="12"/>
  <c r="AE96" i="12"/>
  <c r="AP96" i="12"/>
  <c r="X96" i="12"/>
  <c r="AB96" i="12"/>
  <c r="AQ96" i="12"/>
  <c r="AE17" i="12"/>
  <c r="AP28" i="12"/>
  <c r="AR28" i="12" s="1"/>
  <c r="AP32" i="12"/>
  <c r="AR32" i="12" s="1"/>
  <c r="AL37" i="12"/>
  <c r="AL45" i="12"/>
  <c r="AL51" i="12"/>
  <c r="AM51" i="12"/>
  <c r="AM72" i="12"/>
  <c r="T93" i="12"/>
  <c r="AQ111" i="12"/>
  <c r="AD361" i="12"/>
  <c r="X17" i="12"/>
  <c r="AP20" i="12"/>
  <c r="AR20" i="12" s="1"/>
  <c r="X28" i="12"/>
  <c r="X32" i="12"/>
  <c r="AL35" i="12"/>
  <c r="AP141" i="12"/>
  <c r="AP17" i="12"/>
  <c r="AL24" i="12"/>
  <c r="AE33" i="12"/>
  <c r="AH99" i="12"/>
  <c r="AQ17" i="12"/>
  <c r="AL64" i="12"/>
  <c r="AL86" i="12"/>
  <c r="Y26" i="12"/>
  <c r="X33" i="12"/>
  <c r="AL36" i="12"/>
  <c r="AL71" i="12"/>
  <c r="AE93" i="12"/>
  <c r="X93" i="12"/>
  <c r="AQ93" i="12"/>
  <c r="AP93" i="12"/>
  <c r="AR93" i="12" s="1"/>
  <c r="AB93" i="12"/>
  <c r="T86" i="12"/>
  <c r="AE87" i="12"/>
  <c r="AP87" i="12"/>
  <c r="AR87" i="12" s="1"/>
  <c r="X87" i="12"/>
  <c r="AL91" i="12"/>
  <c r="AM95" i="12"/>
  <c r="Y103" i="12"/>
  <c r="AE127" i="12"/>
  <c r="AB127" i="12"/>
  <c r="AP127" i="12"/>
  <c r="AR127" i="12" s="1"/>
  <c r="X127" i="12"/>
  <c r="T139" i="12"/>
  <c r="AQ168" i="12"/>
  <c r="AP168" i="12"/>
  <c r="X168" i="12"/>
  <c r="AB168" i="12"/>
  <c r="AE168" i="12"/>
  <c r="AM87" i="12"/>
  <c r="AL101" i="12"/>
  <c r="AB110" i="12"/>
  <c r="AQ110" i="12"/>
  <c r="X110" i="12"/>
  <c r="T127" i="12"/>
  <c r="AH131" i="12"/>
  <c r="AQ138" i="12"/>
  <c r="X138" i="12"/>
  <c r="AE138" i="12"/>
  <c r="AB138" i="12"/>
  <c r="AQ141" i="12"/>
  <c r="AB141" i="12"/>
  <c r="X141" i="12"/>
  <c r="T155" i="12"/>
  <c r="T85" i="12"/>
  <c r="AL104" i="12"/>
  <c r="AH105" i="12"/>
  <c r="Y130" i="12"/>
  <c r="T133" i="12"/>
  <c r="T147" i="12"/>
  <c r="AL94" i="12"/>
  <c r="AL108" i="12"/>
  <c r="AE141" i="12"/>
  <c r="AP170" i="12"/>
  <c r="AR170" i="12" s="1"/>
  <c r="AL79" i="12"/>
  <c r="T87" i="12"/>
  <c r="AE88" i="12"/>
  <c r="AP88" i="12"/>
  <c r="AR88" i="12" s="1"/>
  <c r="X88" i="12"/>
  <c r="AL96" i="12"/>
  <c r="AE110" i="12"/>
  <c r="AP111" i="12"/>
  <c r="AR111" i="12" s="1"/>
  <c r="AM83" i="12"/>
  <c r="AM100" i="12"/>
  <c r="X111" i="12"/>
  <c r="AL120" i="12"/>
  <c r="AL122" i="12"/>
  <c r="AM132" i="12"/>
  <c r="AQ146" i="12"/>
  <c r="X146" i="12"/>
  <c r="AE146" i="12"/>
  <c r="AB146" i="12"/>
  <c r="Y84" i="12"/>
  <c r="AB88" i="12"/>
  <c r="AE95" i="12"/>
  <c r="AP95" i="12"/>
  <c r="AR95" i="12" s="1"/>
  <c r="X95" i="12"/>
  <c r="T100" i="12"/>
  <c r="AL107" i="12"/>
  <c r="AM123" i="12"/>
  <c r="AM129" i="12"/>
  <c r="AL129" i="12"/>
  <c r="AH130" i="12"/>
  <c r="AP138" i="12"/>
  <c r="X170" i="12"/>
  <c r="Y109" i="12"/>
  <c r="AQ142" i="12"/>
  <c r="AP142" i="12"/>
  <c r="AR142" i="12" s="1"/>
  <c r="AQ150" i="12"/>
  <c r="AP150" i="12"/>
  <c r="AR150" i="12" s="1"/>
  <c r="X164" i="12"/>
  <c r="AQ169" i="12"/>
  <c r="X169" i="12"/>
  <c r="AQ172" i="12"/>
  <c r="X172" i="12"/>
  <c r="AQ143" i="12"/>
  <c r="AP143" i="12"/>
  <c r="AL162" i="12"/>
  <c r="AB170" i="12"/>
  <c r="AM172" i="12"/>
  <c r="T167" i="12"/>
  <c r="T172" i="12"/>
  <c r="AL174" i="12"/>
  <c r="AQ102" i="12"/>
  <c r="AE102" i="12"/>
  <c r="AL128" i="12"/>
  <c r="X129" i="12"/>
  <c r="AP129" i="12"/>
  <c r="AR129" i="12" s="1"/>
  <c r="AQ132" i="12"/>
  <c r="AE132" i="12"/>
  <c r="AQ171" i="12"/>
  <c r="AM180" i="12"/>
  <c r="AL193" i="12"/>
  <c r="AL201" i="12"/>
  <c r="AQ139" i="12"/>
  <c r="AP139" i="12"/>
  <c r="AB143" i="12"/>
  <c r="AQ155" i="12"/>
  <c r="AP155" i="12"/>
  <c r="AE164" i="12"/>
  <c r="AP164" i="12"/>
  <c r="AR164" i="12" s="1"/>
  <c r="AE169" i="12"/>
  <c r="AP169" i="12"/>
  <c r="AQ170" i="12"/>
  <c r="AM199" i="12"/>
  <c r="AL199" i="12"/>
  <c r="AM242" i="12"/>
  <c r="AL203" i="12"/>
  <c r="AL205" i="12"/>
  <c r="AB228" i="12"/>
  <c r="AQ228" i="12"/>
  <c r="AP216" i="12"/>
  <c r="AB216" i="12"/>
  <c r="AQ216" i="12"/>
  <c r="T227" i="12"/>
  <c r="AB231" i="12"/>
  <c r="AQ231" i="12"/>
  <c r="X231" i="12"/>
  <c r="AM243" i="12"/>
  <c r="AL243" i="12"/>
  <c r="AL247" i="12"/>
  <c r="AE274" i="12"/>
  <c r="AQ274" i="12"/>
  <c r="AP274" i="12"/>
  <c r="X274" i="12"/>
  <c r="AB274" i="12"/>
  <c r="AP217" i="12"/>
  <c r="AR217" i="12" s="1"/>
  <c r="AB217" i="12"/>
  <c r="T228" i="12"/>
  <c r="AB232" i="12"/>
  <c r="AQ232" i="12"/>
  <c r="AB233" i="12"/>
  <c r="AQ233" i="12"/>
  <c r="AP233" i="12"/>
  <c r="AP214" i="12"/>
  <c r="AR214" i="12" s="1"/>
  <c r="AE216" i="12"/>
  <c r="T217" i="12"/>
  <c r="AQ217" i="12"/>
  <c r="AL219" i="12"/>
  <c r="AL220" i="12"/>
  <c r="AE228" i="12"/>
  <c r="T231" i="12"/>
  <c r="AP231" i="12"/>
  <c r="AR231" i="12" s="1"/>
  <c r="AL251" i="12"/>
  <c r="T284" i="12"/>
  <c r="AL211" i="12"/>
  <c r="T232" i="12"/>
  <c r="AP232" i="12"/>
  <c r="AR232" i="12" s="1"/>
  <c r="AE217" i="12"/>
  <c r="AE232" i="12"/>
  <c r="AL245" i="12"/>
  <c r="AL264" i="12"/>
  <c r="AB225" i="12"/>
  <c r="AQ225" i="12"/>
  <c r="AP225" i="12"/>
  <c r="AE233" i="12"/>
  <c r="AL257" i="12"/>
  <c r="AL269" i="12"/>
  <c r="AM274" i="12"/>
  <c r="AE279" i="12"/>
  <c r="AP279" i="12"/>
  <c r="X279" i="12"/>
  <c r="AB279" i="12"/>
  <c r="AQ279" i="12"/>
  <c r="Y259" i="12"/>
  <c r="AL262" i="12"/>
  <c r="AM277" i="12"/>
  <c r="AL277" i="12"/>
  <c r="T274" i="12"/>
  <c r="T279" i="12"/>
  <c r="AL267" i="12"/>
  <c r="AM282" i="12"/>
  <c r="AL282" i="12"/>
  <c r="AQ313" i="12"/>
  <c r="AP313" i="12"/>
  <c r="X313" i="12"/>
  <c r="AE313" i="12"/>
  <c r="AL324" i="12"/>
  <c r="Y260" i="12"/>
  <c r="T262" i="12"/>
  <c r="T264" i="12"/>
  <c r="AQ276" i="12"/>
  <c r="AB277" i="12"/>
  <c r="T323" i="12"/>
  <c r="T324" i="12"/>
  <c r="T282" i="12"/>
  <c r="AB282" i="12"/>
  <c r="AL327" i="12"/>
  <c r="AL295" i="12"/>
  <c r="Y299" i="12"/>
  <c r="AQ317" i="12"/>
  <c r="AP317" i="12"/>
  <c r="X317" i="12"/>
  <c r="AE317" i="12"/>
  <c r="T318" i="12"/>
  <c r="AQ314" i="12"/>
  <c r="AP314" i="12"/>
  <c r="X314" i="12"/>
  <c r="AE314" i="12"/>
  <c r="T327" i="12"/>
  <c r="AL273" i="12"/>
  <c r="AL281" i="12"/>
  <c r="X282" i="12"/>
  <c r="AP282" i="12"/>
  <c r="AQ311" i="12"/>
  <c r="AP311" i="12"/>
  <c r="X311" i="12"/>
  <c r="AE311" i="12"/>
  <c r="T312" i="12"/>
  <c r="T320" i="12"/>
  <c r="AM323" i="12"/>
  <c r="AL323" i="12"/>
  <c r="AB275" i="12"/>
  <c r="AL278" i="12"/>
  <c r="AQ282" i="12"/>
  <c r="Y283" i="12"/>
  <c r="AB313" i="12"/>
  <c r="T317" i="12"/>
  <c r="T322" i="12"/>
  <c r="AL312" i="12"/>
  <c r="AL315" i="12"/>
  <c r="AL316" i="12"/>
  <c r="AL318" i="12"/>
  <c r="AL319" i="12"/>
  <c r="AL320" i="12"/>
  <c r="AL321" i="12"/>
  <c r="W5" i="13"/>
  <c r="O5" i="13"/>
  <c r="V5" i="13"/>
  <c r="N5" i="13"/>
  <c r="U5" i="13"/>
  <c r="M5" i="13"/>
  <c r="T5" i="13"/>
  <c r="L5" i="13"/>
  <c r="S5" i="13"/>
  <c r="K5" i="13"/>
  <c r="V36" i="13"/>
  <c r="N36" i="13"/>
  <c r="U36" i="13"/>
  <c r="M36" i="13"/>
  <c r="T36" i="13"/>
  <c r="L36" i="13"/>
  <c r="S36" i="13"/>
  <c r="K36" i="13"/>
  <c r="W36" i="13"/>
  <c r="O36" i="13"/>
  <c r="V44" i="13"/>
  <c r="N44" i="13"/>
  <c r="U44" i="13"/>
  <c r="M44" i="13"/>
  <c r="T44" i="13"/>
  <c r="L44" i="13"/>
  <c r="S44" i="13"/>
  <c r="K44" i="13"/>
  <c r="W44" i="13"/>
  <c r="O44" i="13"/>
  <c r="W72" i="13"/>
  <c r="O72" i="13"/>
  <c r="V72" i="13"/>
  <c r="N72" i="13"/>
  <c r="U72" i="13"/>
  <c r="M72" i="13"/>
  <c r="T72" i="13"/>
  <c r="L72" i="13"/>
  <c r="S72" i="13"/>
  <c r="K72" i="13"/>
  <c r="AL350" i="12"/>
  <c r="S57" i="13"/>
  <c r="K57" i="13"/>
  <c r="W57" i="13"/>
  <c r="O57" i="13"/>
  <c r="V57" i="13"/>
  <c r="N57" i="13"/>
  <c r="U57" i="13"/>
  <c r="M57" i="13"/>
  <c r="T57" i="13"/>
  <c r="L57" i="13"/>
  <c r="AL335" i="12"/>
  <c r="AL343" i="12"/>
  <c r="AP356" i="12"/>
  <c r="AR356" i="12" s="1"/>
  <c r="V15" i="13"/>
  <c r="N15" i="13"/>
  <c r="U15" i="13"/>
  <c r="M15" i="13"/>
  <c r="T15" i="13"/>
  <c r="L15" i="13"/>
  <c r="S15" i="13"/>
  <c r="K15" i="13"/>
  <c r="W15" i="13"/>
  <c r="O15" i="13"/>
  <c r="W40" i="13"/>
  <c r="O40" i="13"/>
  <c r="V40" i="13"/>
  <c r="N40" i="13"/>
  <c r="U40" i="13"/>
  <c r="M40" i="13"/>
  <c r="T40" i="13"/>
  <c r="L40" i="13"/>
  <c r="S40" i="13"/>
  <c r="K40" i="13"/>
  <c r="AL332" i="12"/>
  <c r="AL333" i="12"/>
  <c r="AL340" i="12"/>
  <c r="AL353" i="12"/>
  <c r="W78" i="13"/>
  <c r="O78" i="13"/>
  <c r="T78" i="13"/>
  <c r="L78" i="13"/>
  <c r="S78" i="13"/>
  <c r="K78" i="13"/>
  <c r="N78" i="13"/>
  <c r="M78" i="13"/>
  <c r="V78" i="13"/>
  <c r="U78" i="13"/>
  <c r="AL346" i="12"/>
  <c r="AL351" i="12"/>
  <c r="W61" i="13"/>
  <c r="O61" i="13"/>
  <c r="V61" i="13"/>
  <c r="N61" i="13"/>
  <c r="U61" i="13"/>
  <c r="M61" i="13"/>
  <c r="T61" i="13"/>
  <c r="L61" i="13"/>
  <c r="S61" i="13"/>
  <c r="K61" i="13"/>
  <c r="W69" i="13"/>
  <c r="O69" i="13"/>
  <c r="V69" i="13"/>
  <c r="N69" i="13"/>
  <c r="U69" i="13"/>
  <c r="M69" i="13"/>
  <c r="T69" i="13"/>
  <c r="L69" i="13"/>
  <c r="S69" i="13"/>
  <c r="K69" i="13"/>
  <c r="T342" i="12"/>
  <c r="AB342" i="12"/>
  <c r="T343" i="12"/>
  <c r="T344" i="12"/>
  <c r="T345" i="12"/>
  <c r="AB345" i="12"/>
  <c r="T346" i="12"/>
  <c r="T347" i="12"/>
  <c r="T348" i="12"/>
  <c r="T349" i="12"/>
  <c r="T350" i="12"/>
  <c r="AB350" i="12"/>
  <c r="T351" i="12"/>
  <c r="T352" i="12"/>
  <c r="T353" i="12"/>
  <c r="AB353" i="12"/>
  <c r="X359" i="12"/>
  <c r="V88" i="13"/>
  <c r="K89" i="13"/>
  <c r="W89" i="13"/>
  <c r="W90" i="13"/>
  <c r="AE356" i="12"/>
  <c r="L90" i="13"/>
  <c r="AP359" i="12"/>
  <c r="U76" i="13"/>
  <c r="M76" i="13"/>
  <c r="S76" i="13"/>
  <c r="AQ359" i="12"/>
  <c r="T75" i="13"/>
  <c r="L75" i="13"/>
  <c r="W75" i="13"/>
  <c r="O75" i="13"/>
  <c r="S75" i="13"/>
  <c r="AB359" i="12"/>
  <c r="M17" i="13"/>
  <c r="U17" i="13"/>
  <c r="M70" i="13"/>
  <c r="U70" i="13"/>
  <c r="N71" i="13"/>
  <c r="V71" i="13"/>
  <c r="U75" i="13"/>
  <c r="V76" i="13"/>
  <c r="U141" i="13"/>
  <c r="M141" i="13"/>
  <c r="T141" i="13"/>
  <c r="L141" i="13"/>
  <c r="S141" i="13"/>
  <c r="K141" i="13"/>
  <c r="W141" i="13"/>
  <c r="O141" i="13"/>
  <c r="V141" i="13"/>
  <c r="N141" i="13"/>
  <c r="N17" i="13"/>
  <c r="V17" i="13"/>
  <c r="N70" i="13"/>
  <c r="V70" i="13"/>
  <c r="O71" i="13"/>
  <c r="S74" i="13"/>
  <c r="W74" i="13"/>
  <c r="O74" i="13"/>
  <c r="V74" i="13"/>
  <c r="N74" i="13"/>
  <c r="T74" i="13"/>
  <c r="V75" i="13"/>
  <c r="K76" i="13"/>
  <c r="W76" i="13"/>
  <c r="U89" i="13"/>
  <c r="M89" i="13"/>
  <c r="S89" i="13"/>
  <c r="AL358" i="12"/>
  <c r="AL359" i="12"/>
  <c r="I361" i="13"/>
  <c r="Q361" i="13"/>
  <c r="O17" i="13"/>
  <c r="O70" i="13"/>
  <c r="U74" i="13"/>
  <c r="K75" i="13"/>
  <c r="L76" i="13"/>
  <c r="T88" i="13"/>
  <c r="L88" i="13"/>
  <c r="W88" i="13"/>
  <c r="O88" i="13"/>
  <c r="S88" i="13"/>
  <c r="T89" i="13"/>
  <c r="N28" i="13"/>
  <c r="M75" i="13"/>
  <c r="N76" i="13"/>
  <c r="V90" i="13"/>
  <c r="N90" i="13"/>
  <c r="S90" i="13"/>
  <c r="K90" i="13"/>
  <c r="U90" i="13"/>
  <c r="L123" i="13"/>
  <c r="T123" i="13"/>
  <c r="S186" i="13"/>
  <c r="S187" i="13"/>
  <c r="K187" i="13"/>
  <c r="N542" i="14"/>
  <c r="O542" i="14" s="1"/>
  <c r="N545" i="14"/>
  <c r="O545" i="14" s="1"/>
  <c r="M85" i="13"/>
  <c r="M123" i="13"/>
  <c r="U123" i="13"/>
  <c r="T186" i="13"/>
  <c r="T187" i="13"/>
  <c r="N15" i="14"/>
  <c r="O15" i="14" s="1"/>
  <c r="N21" i="14"/>
  <c r="O21" i="14" s="1"/>
  <c r="N81" i="14"/>
  <c r="O81" i="14" s="1"/>
  <c r="N109" i="14"/>
  <c r="O109" i="14" s="1"/>
  <c r="N123" i="13"/>
  <c r="V123" i="13"/>
  <c r="O133" i="13"/>
  <c r="K186" i="13"/>
  <c r="U186" i="13"/>
  <c r="U187" i="13"/>
  <c r="W227" i="13"/>
  <c r="V253" i="13"/>
  <c r="N253" i="13"/>
  <c r="W253" i="13"/>
  <c r="M253" i="13"/>
  <c r="U253" i="13"/>
  <c r="L253" i="13"/>
  <c r="T253" i="13"/>
  <c r="K253" i="13"/>
  <c r="S253" i="13"/>
  <c r="V190" i="13"/>
  <c r="N190" i="13"/>
  <c r="U190" i="13"/>
  <c r="M190" i="13"/>
  <c r="T190" i="13"/>
  <c r="L190" i="13"/>
  <c r="S190" i="13"/>
  <c r="K190" i="13"/>
  <c r="O114" i="13"/>
  <c r="M187" i="13"/>
  <c r="W198" i="13"/>
  <c r="O198" i="13"/>
  <c r="V198" i="13"/>
  <c r="N198" i="13"/>
  <c r="U198" i="13"/>
  <c r="M198" i="13"/>
  <c r="T198" i="13"/>
  <c r="L198" i="13"/>
  <c r="S198" i="13"/>
  <c r="K198" i="13"/>
  <c r="V233" i="13"/>
  <c r="N233" i="13"/>
  <c r="U233" i="13"/>
  <c r="M233" i="13"/>
  <c r="T233" i="13"/>
  <c r="L233" i="13"/>
  <c r="S233" i="13"/>
  <c r="K233" i="13"/>
  <c r="K123" i="13"/>
  <c r="W186" i="13"/>
  <c r="O186" i="13"/>
  <c r="O187" i="13"/>
  <c r="L191" i="13"/>
  <c r="T191" i="13"/>
  <c r="K214" i="13"/>
  <c r="S214" i="13"/>
  <c r="N27" i="14"/>
  <c r="O27" i="14" s="1"/>
  <c r="N33" i="14"/>
  <c r="O33" i="14" s="1"/>
  <c r="N36" i="14"/>
  <c r="O36" i="14" s="1"/>
  <c r="N100" i="14"/>
  <c r="O100" i="14" s="1"/>
  <c r="M191" i="13"/>
  <c r="U191" i="13"/>
  <c r="L214" i="13"/>
  <c r="T214" i="13"/>
  <c r="K221" i="13"/>
  <c r="S221" i="13"/>
  <c r="K227" i="13"/>
  <c r="S227" i="13"/>
  <c r="N12" i="14"/>
  <c r="O12" i="14" s="1"/>
  <c r="O66" i="14"/>
  <c r="N66" i="14"/>
  <c r="N73" i="14"/>
  <c r="O73" i="14" s="1"/>
  <c r="N191" i="13"/>
  <c r="V191" i="13"/>
  <c r="M214" i="13"/>
  <c r="U214" i="13"/>
  <c r="L221" i="13"/>
  <c r="T221" i="13"/>
  <c r="L227" i="13"/>
  <c r="T227" i="13"/>
  <c r="N69" i="14"/>
  <c r="O69" i="14" s="1"/>
  <c r="N246" i="14"/>
  <c r="O246" i="14" s="1"/>
  <c r="O191" i="13"/>
  <c r="N214" i="13"/>
  <c r="V214" i="13"/>
  <c r="M221" i="13"/>
  <c r="U221" i="13"/>
  <c r="M227" i="13"/>
  <c r="U227" i="13"/>
  <c r="N63" i="14"/>
  <c r="O63" i="14" s="1"/>
  <c r="O214" i="13"/>
  <c r="N221" i="13"/>
  <c r="V221" i="13"/>
  <c r="N227" i="13"/>
  <c r="V227" i="13"/>
  <c r="V261" i="13"/>
  <c r="N261" i="13"/>
  <c r="O9" i="14"/>
  <c r="N9" i="14"/>
  <c r="N183" i="14"/>
  <c r="O183" i="14" s="1"/>
  <c r="N191" i="14"/>
  <c r="O191" i="14" s="1"/>
  <c r="O221" i="13"/>
  <c r="O227" i="13"/>
  <c r="N53" i="14"/>
  <c r="O53" i="14" s="1"/>
  <c r="O10" i="14"/>
  <c r="N10" i="14"/>
  <c r="N24" i="14"/>
  <c r="O24" i="14" s="1"/>
  <c r="N72" i="14"/>
  <c r="O72" i="14" s="1"/>
  <c r="N317" i="13"/>
  <c r="V317" i="13"/>
  <c r="N18" i="14"/>
  <c r="O18" i="14" s="1"/>
  <c r="O22" i="14"/>
  <c r="N30" i="14"/>
  <c r="O30" i="14" s="1"/>
  <c r="O34" i="14"/>
  <c r="N40" i="14"/>
  <c r="O40" i="14" s="1"/>
  <c r="N47" i="14"/>
  <c r="O47" i="14" s="1"/>
  <c r="O50" i="14"/>
  <c r="N50" i="14"/>
  <c r="N56" i="14"/>
  <c r="O56" i="14" s="1"/>
  <c r="N61" i="14"/>
  <c r="O61" i="14" s="1"/>
  <c r="N70" i="14"/>
  <c r="O70" i="14" s="1"/>
  <c r="O74" i="14"/>
  <c r="N77" i="14"/>
  <c r="O77" i="14" s="1"/>
  <c r="N84" i="14"/>
  <c r="O84" i="14" s="1"/>
  <c r="N93" i="14"/>
  <c r="O93" i="14" s="1"/>
  <c r="N116" i="14"/>
  <c r="O116" i="14" s="1"/>
  <c r="N119" i="14"/>
  <c r="O119" i="14" s="1"/>
  <c r="N132" i="14"/>
  <c r="O132" i="14" s="1"/>
  <c r="N154" i="14"/>
  <c r="O154" i="14" s="1"/>
  <c r="N213" i="14"/>
  <c r="O213" i="14" s="1"/>
  <c r="N220" i="14"/>
  <c r="O220" i="14" s="1"/>
  <c r="O223" i="14"/>
  <c r="N223" i="14"/>
  <c r="N292" i="14"/>
  <c r="O292" i="14" s="1"/>
  <c r="N299" i="14"/>
  <c r="O299" i="14"/>
  <c r="O267" i="13"/>
  <c r="K271" i="13"/>
  <c r="S271" i="13"/>
  <c r="N284" i="13"/>
  <c r="O317" i="13"/>
  <c r="W317" i="13"/>
  <c r="N6" i="14"/>
  <c r="O6" i="14" s="1"/>
  <c r="O16" i="14"/>
  <c r="N19" i="14"/>
  <c r="O19" i="14" s="1"/>
  <c r="O54" i="14"/>
  <c r="O67" i="14"/>
  <c r="N78" i="14"/>
  <c r="O78" i="14" s="1"/>
  <c r="O82" i="14"/>
  <c r="N91" i="14"/>
  <c r="O91" i="14" s="1"/>
  <c r="N149" i="14"/>
  <c r="O149" i="14" s="1"/>
  <c r="N169" i="14"/>
  <c r="O169" i="14" s="1"/>
  <c r="N13" i="14"/>
  <c r="O13" i="14" s="1"/>
  <c r="N37" i="14"/>
  <c r="O37" i="14" s="1"/>
  <c r="N41" i="14"/>
  <c r="O41" i="14" s="1"/>
  <c r="N59" i="14"/>
  <c r="O59" i="14" s="1"/>
  <c r="N64" i="14"/>
  <c r="O64" i="14" s="1"/>
  <c r="O71" i="14"/>
  <c r="N71" i="14"/>
  <c r="N85" i="14"/>
  <c r="O85" i="14" s="1"/>
  <c r="N88" i="14"/>
  <c r="O88" i="14" s="1"/>
  <c r="N114" i="14"/>
  <c r="O114" i="14" s="1"/>
  <c r="N159" i="14"/>
  <c r="O159" i="14" s="1"/>
  <c r="O163" i="14"/>
  <c r="N163" i="14"/>
  <c r="N208" i="14"/>
  <c r="O208" i="14" s="1"/>
  <c r="N238" i="14"/>
  <c r="O238" i="14" s="1"/>
  <c r="N289" i="14"/>
  <c r="O289" i="14" s="1"/>
  <c r="N426" i="14"/>
  <c r="O426" i="14" s="1"/>
  <c r="N465" i="14"/>
  <c r="O465" i="14" s="1"/>
  <c r="W342" i="13"/>
  <c r="O342" i="13"/>
  <c r="V342" i="13"/>
  <c r="N342" i="13"/>
  <c r="U342" i="13"/>
  <c r="M342" i="13"/>
  <c r="T342" i="13"/>
  <c r="L342" i="13"/>
  <c r="N45" i="14"/>
  <c r="O45" i="14" s="1"/>
  <c r="N51" i="14"/>
  <c r="O51" i="14" s="1"/>
  <c r="N57" i="14"/>
  <c r="O57" i="14" s="1"/>
  <c r="O79" i="14"/>
  <c r="N79" i="14"/>
  <c r="N94" i="14"/>
  <c r="O94" i="14" s="1"/>
  <c r="N101" i="14"/>
  <c r="O101" i="14" s="1"/>
  <c r="N121" i="14"/>
  <c r="O121" i="14" s="1"/>
  <c r="N170" i="14"/>
  <c r="O170" i="14" s="1"/>
  <c r="N229" i="14"/>
  <c r="O229" i="14" s="1"/>
  <c r="O286" i="14"/>
  <c r="N286" i="14"/>
  <c r="N271" i="13"/>
  <c r="V271" i="13"/>
  <c r="L287" i="13"/>
  <c r="T287" i="13"/>
  <c r="N7" i="14"/>
  <c r="O7" i="14" s="1"/>
  <c r="N14" i="14"/>
  <c r="O14" i="14" s="1"/>
  <c r="N20" i="14"/>
  <c r="O20" i="14" s="1"/>
  <c r="N23" i="14"/>
  <c r="O23" i="14" s="1"/>
  <c r="N32" i="14"/>
  <c r="O32" i="14" s="1"/>
  <c r="N35" i="14"/>
  <c r="O35" i="14" s="1"/>
  <c r="O49" i="14"/>
  <c r="N62" i="14"/>
  <c r="O62" i="14" s="1"/>
  <c r="N65" i="14"/>
  <c r="O65" i="14" s="1"/>
  <c r="O75" i="14"/>
  <c r="O92" i="14"/>
  <c r="O102" i="14"/>
  <c r="N102" i="14"/>
  <c r="N283" i="14"/>
  <c r="O283" i="14" s="1"/>
  <c r="N404" i="14"/>
  <c r="O404" i="14" s="1"/>
  <c r="O271" i="13"/>
  <c r="K317" i="13"/>
  <c r="S317" i="13"/>
  <c r="N17" i="14"/>
  <c r="O17" i="14" s="1"/>
  <c r="N42" i="14"/>
  <c r="O42" i="14" s="1"/>
  <c r="O52" i="14"/>
  <c r="N52" i="14"/>
  <c r="O55" i="14"/>
  <c r="N55" i="14"/>
  <c r="N60" i="14"/>
  <c r="O60" i="14" s="1"/>
  <c r="N76" i="14"/>
  <c r="O76" i="14" s="1"/>
  <c r="O80" i="14"/>
  <c r="N80" i="14"/>
  <c r="O83" i="14"/>
  <c r="N83" i="14"/>
  <c r="N89" i="14"/>
  <c r="O89" i="14" s="1"/>
  <c r="O112" i="14"/>
  <c r="N135" i="14"/>
  <c r="O135" i="14" s="1"/>
  <c r="N156" i="14"/>
  <c r="O156" i="14"/>
  <c r="N190" i="14"/>
  <c r="O190" i="14" s="1"/>
  <c r="N230" i="14"/>
  <c r="O230" i="14" s="1"/>
  <c r="N254" i="14"/>
  <c r="O254" i="14" s="1"/>
  <c r="N399" i="14"/>
  <c r="O399" i="14" s="1"/>
  <c r="N287" i="13"/>
  <c r="L317" i="13"/>
  <c r="N8" i="14"/>
  <c r="O8" i="14" s="1"/>
  <c r="O11" i="14"/>
  <c r="O39" i="14"/>
  <c r="O43" i="14"/>
  <c r="N46" i="14"/>
  <c r="O46" i="14" s="1"/>
  <c r="O58" i="14"/>
  <c r="O87" i="14"/>
  <c r="O105" i="14"/>
  <c r="N105" i="14"/>
  <c r="N122" i="14"/>
  <c r="O122" i="14" s="1"/>
  <c r="N125" i="14"/>
  <c r="O125" i="14" s="1"/>
  <c r="N187" i="14"/>
  <c r="O187" i="14" s="1"/>
  <c r="N273" i="14"/>
  <c r="O273" i="14" s="1"/>
  <c r="N309" i="14"/>
  <c r="O309" i="14" s="1"/>
  <c r="N338" i="14"/>
  <c r="O338" i="14" s="1"/>
  <c r="K352" i="13"/>
  <c r="S352" i="13"/>
  <c r="O130" i="14"/>
  <c r="N153" i="14"/>
  <c r="O153" i="14" s="1"/>
  <c r="N164" i="14"/>
  <c r="O164" i="14" s="1"/>
  <c r="N172" i="14"/>
  <c r="O172" i="14" s="1"/>
  <c r="O176" i="14"/>
  <c r="N180" i="14"/>
  <c r="O180" i="14" s="1"/>
  <c r="N194" i="14"/>
  <c r="O194" i="14" s="1"/>
  <c r="O198" i="14"/>
  <c r="N201" i="14"/>
  <c r="O201" i="14" s="1"/>
  <c r="N234" i="14"/>
  <c r="O234" i="14" s="1"/>
  <c r="N242" i="14"/>
  <c r="O242" i="14" s="1"/>
  <c r="N250" i="14"/>
  <c r="O250" i="14" s="1"/>
  <c r="O266" i="14"/>
  <c r="N270" i="14"/>
  <c r="O270" i="14" s="1"/>
  <c r="O276" i="14"/>
  <c r="N276" i="14"/>
  <c r="N280" i="14"/>
  <c r="O280" i="14" s="1"/>
  <c r="N296" i="14"/>
  <c r="O296" i="14" s="1"/>
  <c r="N369" i="14"/>
  <c r="O369" i="14" s="1"/>
  <c r="N373" i="14"/>
  <c r="O373" i="14" s="1"/>
  <c r="N431" i="14"/>
  <c r="O431" i="14" s="1"/>
  <c r="L352" i="13"/>
  <c r="T352" i="13"/>
  <c r="N136" i="14"/>
  <c r="O136" i="14" s="1"/>
  <c r="N138" i="14"/>
  <c r="O138" i="14" s="1"/>
  <c r="N141" i="14"/>
  <c r="O141" i="14" s="1"/>
  <c r="N146" i="14"/>
  <c r="O146" i="14" s="1"/>
  <c r="O160" i="14"/>
  <c r="N160" i="14"/>
  <c r="O173" i="14"/>
  <c r="N173" i="14"/>
  <c r="N184" i="14"/>
  <c r="O184" i="14" s="1"/>
  <c r="N195" i="14"/>
  <c r="O195" i="14" s="1"/>
  <c r="O214" i="14"/>
  <c r="N214" i="14"/>
  <c r="O227" i="14"/>
  <c r="N227" i="14"/>
  <c r="O235" i="14"/>
  <c r="N235" i="14"/>
  <c r="N243" i="14"/>
  <c r="O243" i="14" s="1"/>
  <c r="O247" i="14"/>
  <c r="N251" i="14"/>
  <c r="O251" i="14" s="1"/>
  <c r="N259" i="14"/>
  <c r="O259" i="14" s="1"/>
  <c r="O274" i="14"/>
  <c r="N274" i="14"/>
  <c r="N290" i="14"/>
  <c r="O290" i="14" s="1"/>
  <c r="O314" i="14"/>
  <c r="N314" i="14"/>
  <c r="O339" i="14"/>
  <c r="N339" i="14"/>
  <c r="N343" i="14"/>
  <c r="O343" i="14" s="1"/>
  <c r="N355" i="14"/>
  <c r="O355" i="14"/>
  <c r="N360" i="14"/>
  <c r="O360" i="14" s="1"/>
  <c r="N366" i="14"/>
  <c r="O366" i="14" s="1"/>
  <c r="N392" i="14"/>
  <c r="O392" i="14" s="1"/>
  <c r="N397" i="14"/>
  <c r="O397" i="14" s="1"/>
  <c r="N421" i="14"/>
  <c r="O421" i="14" s="1"/>
  <c r="N461" i="14"/>
  <c r="O461" i="14" s="1"/>
  <c r="N466" i="14"/>
  <c r="O466" i="14" s="1"/>
  <c r="N478" i="14"/>
  <c r="O478" i="14" s="1"/>
  <c r="N495" i="14"/>
  <c r="O495" i="14" s="1"/>
  <c r="N538" i="14"/>
  <c r="O538" i="14" s="1"/>
  <c r="O103" i="14"/>
  <c r="N107" i="14"/>
  <c r="O107" i="14" s="1"/>
  <c r="N113" i="14"/>
  <c r="O113" i="14" s="1"/>
  <c r="O115" i="14"/>
  <c r="N117" i="14"/>
  <c r="O117" i="14" s="1"/>
  <c r="N123" i="14"/>
  <c r="O123" i="14" s="1"/>
  <c r="N133" i="14"/>
  <c r="O133" i="14" s="1"/>
  <c r="N150" i="14"/>
  <c r="O150" i="14" s="1"/>
  <c r="N157" i="14"/>
  <c r="O157" i="14" s="1"/>
  <c r="O167" i="14"/>
  <c r="O205" i="14"/>
  <c r="N205" i="14"/>
  <c r="O217" i="14"/>
  <c r="N217" i="14"/>
  <c r="O221" i="14"/>
  <c r="N224" i="14"/>
  <c r="O224" i="14" s="1"/>
  <c r="N231" i="14"/>
  <c r="O231" i="14" s="1"/>
  <c r="N239" i="14"/>
  <c r="O239" i="14" s="1"/>
  <c r="N247" i="14"/>
  <c r="N255" i="14"/>
  <c r="O255" i="14" s="1"/>
  <c r="N277" i="14"/>
  <c r="O277" i="14" s="1"/>
  <c r="N300" i="14"/>
  <c r="O300" i="14" s="1"/>
  <c r="N311" i="14"/>
  <c r="O311" i="14" s="1"/>
  <c r="N318" i="14"/>
  <c r="O318" i="14"/>
  <c r="N386" i="14"/>
  <c r="O386" i="14" s="1"/>
  <c r="N416" i="14"/>
  <c r="O416" i="14" s="1"/>
  <c r="N445" i="14"/>
  <c r="O445" i="14" s="1"/>
  <c r="K341" i="13"/>
  <c r="S341" i="13"/>
  <c r="N352" i="13"/>
  <c r="V352" i="13"/>
  <c r="N142" i="14"/>
  <c r="O142" i="14" s="1"/>
  <c r="N147" i="14"/>
  <c r="O147" i="14" s="1"/>
  <c r="N165" i="14"/>
  <c r="O165" i="14" s="1"/>
  <c r="N174" i="14"/>
  <c r="O174" i="14" s="1"/>
  <c r="N177" i="14"/>
  <c r="O177" i="14" s="1"/>
  <c r="N181" i="14"/>
  <c r="O181" i="14" s="1"/>
  <c r="N188" i="14"/>
  <c r="O188" i="14" s="1"/>
  <c r="N196" i="14"/>
  <c r="O196" i="14" s="1"/>
  <c r="N202" i="14"/>
  <c r="O202" i="14" s="1"/>
  <c r="N206" i="14"/>
  <c r="O206" i="14" s="1"/>
  <c r="N211" i="14"/>
  <c r="O211" i="14" s="1"/>
  <c r="F25" i="11" s="1"/>
  <c r="N218" i="14"/>
  <c r="O218" i="14" s="1"/>
  <c r="N228" i="14"/>
  <c r="O228" i="14" s="1"/>
  <c r="N236" i="14"/>
  <c r="O236" i="14" s="1"/>
  <c r="N244" i="14"/>
  <c r="O244" i="14" s="1"/>
  <c r="N252" i="14"/>
  <c r="O252" i="14" s="1"/>
  <c r="O267" i="14"/>
  <c r="N284" i="14"/>
  <c r="O284" i="14" s="1"/>
  <c r="N287" i="14"/>
  <c r="O287" i="14" s="1"/>
  <c r="N291" i="14"/>
  <c r="O291" i="14" s="1"/>
  <c r="N294" i="14"/>
  <c r="O294" i="14" s="1"/>
  <c r="N306" i="14"/>
  <c r="O306" i="14" s="1"/>
  <c r="N324" i="14"/>
  <c r="O324" i="14" s="1"/>
  <c r="N328" i="14"/>
  <c r="O328" i="14"/>
  <c r="N336" i="14"/>
  <c r="O336" i="14" s="1"/>
  <c r="O356" i="14"/>
  <c r="O398" i="14"/>
  <c r="N398" i="14"/>
  <c r="N412" i="14"/>
  <c r="O412" i="14" s="1"/>
  <c r="N432" i="14"/>
  <c r="O432" i="14"/>
  <c r="N442" i="14"/>
  <c r="O442" i="14" s="1"/>
  <c r="L341" i="13"/>
  <c r="T341" i="13"/>
  <c r="O352" i="13"/>
  <c r="N97" i="14"/>
  <c r="O97" i="14" s="1"/>
  <c r="O131" i="14"/>
  <c r="O134" i="14"/>
  <c r="N139" i="14"/>
  <c r="O139" i="14" s="1"/>
  <c r="O151" i="14"/>
  <c r="N151" i="14"/>
  <c r="O158" i="14"/>
  <c r="N158" i="14"/>
  <c r="O182" i="14"/>
  <c r="F20" i="11" s="1"/>
  <c r="N189" i="14"/>
  <c r="O189" i="14" s="1"/>
  <c r="N192" i="14"/>
  <c r="O192" i="14" s="1"/>
  <c r="O203" i="14"/>
  <c r="O215" i="14"/>
  <c r="O232" i="14"/>
  <c r="O240" i="14"/>
  <c r="N260" i="14"/>
  <c r="O260" i="14" s="1"/>
  <c r="N265" i="14"/>
  <c r="O265" i="14" s="1"/>
  <c r="O272" i="14"/>
  <c r="N275" i="14"/>
  <c r="O275" i="14" s="1"/>
  <c r="N297" i="14"/>
  <c r="O297" i="14" s="1"/>
  <c r="N301" i="14"/>
  <c r="O301" i="14" s="1"/>
  <c r="N312" i="14"/>
  <c r="O312" i="14" s="1"/>
  <c r="N325" i="14"/>
  <c r="O325" i="14"/>
  <c r="N332" i="14"/>
  <c r="O332" i="14" s="1"/>
  <c r="O347" i="14"/>
  <c r="N347" i="14"/>
  <c r="N361" i="14"/>
  <c r="O361" i="14" s="1"/>
  <c r="N382" i="14"/>
  <c r="O382" i="14"/>
  <c r="N418" i="14"/>
  <c r="O418" i="14" s="1"/>
  <c r="N422" i="14"/>
  <c r="O422" i="14" s="1"/>
  <c r="N436" i="14"/>
  <c r="O436" i="14" s="1"/>
  <c r="N440" i="14"/>
  <c r="O440" i="14" s="1"/>
  <c r="N456" i="14"/>
  <c r="O456" i="14" s="1"/>
  <c r="N484" i="14"/>
  <c r="O484" i="14" s="1"/>
  <c r="N518" i="14"/>
  <c r="O518" i="14" s="1"/>
  <c r="O99" i="14"/>
  <c r="O110" i="14"/>
  <c r="O148" i="14"/>
  <c r="N148" i="14"/>
  <c r="O155" i="14"/>
  <c r="N155" i="14"/>
  <c r="N162" i="14"/>
  <c r="O162" i="14" s="1"/>
  <c r="N168" i="14"/>
  <c r="O168" i="14" s="1"/>
  <c r="N175" i="14"/>
  <c r="O175" i="14" s="1"/>
  <c r="O178" i="14"/>
  <c r="N178" i="14"/>
  <c r="N186" i="14"/>
  <c r="O186" i="14" s="1"/>
  <c r="N207" i="14"/>
  <c r="O207" i="14" s="1"/>
  <c r="O212" i="14"/>
  <c r="N212" i="14"/>
  <c r="N219" i="14"/>
  <c r="O219" i="14" s="1"/>
  <c r="N222" i="14"/>
  <c r="O222" i="14" s="1"/>
  <c r="N237" i="14"/>
  <c r="O237" i="14" s="1"/>
  <c r="O245" i="14"/>
  <c r="N245" i="14"/>
  <c r="O253" i="14"/>
  <c r="N253" i="14"/>
  <c r="N268" i="14"/>
  <c r="O268" i="14" s="1"/>
  <c r="N282" i="14"/>
  <c r="O282" i="14" s="1"/>
  <c r="O285" i="14"/>
  <c r="N285" i="14"/>
  <c r="O295" i="14"/>
  <c r="N295" i="14"/>
  <c r="N320" i="14"/>
  <c r="O320" i="14" s="1"/>
  <c r="N387" i="14"/>
  <c r="O387" i="14"/>
  <c r="N393" i="14"/>
  <c r="O393" i="14" s="1"/>
  <c r="N410" i="14"/>
  <c r="O410" i="14" s="1"/>
  <c r="N446" i="14"/>
  <c r="O446" i="14"/>
  <c r="N454" i="14"/>
  <c r="O454" i="14" s="1"/>
  <c r="N477" i="14"/>
  <c r="O477" i="14" s="1"/>
  <c r="N509" i="14"/>
  <c r="O509" i="14" s="1"/>
  <c r="N513" i="14"/>
  <c r="O513" i="14" s="1"/>
  <c r="N341" i="13"/>
  <c r="M5" i="14"/>
  <c r="N99" i="14"/>
  <c r="N110" i="14"/>
  <c r="N120" i="14"/>
  <c r="O120" i="14" s="1"/>
  <c r="O126" i="14"/>
  <c r="N129" i="14"/>
  <c r="O129" i="14" s="1"/>
  <c r="O140" i="14"/>
  <c r="O145" i="14"/>
  <c r="N152" i="14"/>
  <c r="O152" i="14" s="1"/>
  <c r="O179" i="14"/>
  <c r="N179" i="14"/>
  <c r="N193" i="14"/>
  <c r="O193" i="14" s="1"/>
  <c r="N200" i="14"/>
  <c r="O200" i="14" s="1"/>
  <c r="F23" i="11" s="1"/>
  <c r="O226" i="14"/>
  <c r="N233" i="14"/>
  <c r="O233" i="14" s="1"/>
  <c r="N241" i="14"/>
  <c r="O241" i="14" s="1"/>
  <c r="N249" i="14"/>
  <c r="O249" i="14" s="1"/>
  <c r="N257" i="14"/>
  <c r="O257" i="14" s="1"/>
  <c r="N279" i="14"/>
  <c r="O279" i="14" s="1"/>
  <c r="N298" i="14"/>
  <c r="O298" i="14" s="1"/>
  <c r="N302" i="14"/>
  <c r="O302" i="14"/>
  <c r="N308" i="14"/>
  <c r="O308" i="14"/>
  <c r="N321" i="14"/>
  <c r="O321" i="14" s="1"/>
  <c r="N326" i="14"/>
  <c r="O326" i="14" s="1"/>
  <c r="N333" i="14"/>
  <c r="O333" i="14" s="1"/>
  <c r="N354" i="14"/>
  <c r="O354" i="14" s="1"/>
  <c r="N368" i="14"/>
  <c r="O368" i="14" s="1"/>
  <c r="O388" i="14"/>
  <c r="O437" i="14"/>
  <c r="O447" i="14"/>
  <c r="N463" i="14"/>
  <c r="O463" i="14" s="1"/>
  <c r="O468" i="14"/>
  <c r="N468" i="14"/>
  <c r="N342" i="14"/>
  <c r="O342" i="14" s="1"/>
  <c r="N372" i="14"/>
  <c r="O372" i="14" s="1"/>
  <c r="O380" i="14"/>
  <c r="N380" i="14"/>
  <c r="N391" i="14"/>
  <c r="O391" i="14" s="1"/>
  <c r="N429" i="14"/>
  <c r="O429" i="14" s="1"/>
  <c r="N435" i="14"/>
  <c r="O435" i="14" s="1"/>
  <c r="O476" i="14"/>
  <c r="N476" i="14"/>
  <c r="O522" i="14"/>
  <c r="N522" i="14"/>
  <c r="N525" i="14"/>
  <c r="O525" i="14" s="1"/>
  <c r="N528" i="14"/>
  <c r="O528" i="14" s="1"/>
  <c r="O531" i="14"/>
  <c r="N531" i="14"/>
  <c r="O535" i="14"/>
  <c r="N402" i="14"/>
  <c r="O402" i="14" s="1"/>
  <c r="O407" i="14"/>
  <c r="N424" i="14"/>
  <c r="O424" i="14" s="1"/>
  <c r="N450" i="14"/>
  <c r="O450" i="14" s="1"/>
  <c r="O459" i="14"/>
  <c r="N459" i="14"/>
  <c r="N470" i="14"/>
  <c r="O470" i="14" s="1"/>
  <c r="N481" i="14"/>
  <c r="O481" i="14" s="1"/>
  <c r="O485" i="14"/>
  <c r="N488" i="14"/>
  <c r="O488" i="14" s="1"/>
  <c r="O492" i="14"/>
  <c r="N499" i="14"/>
  <c r="O499" i="14" s="1"/>
  <c r="N504" i="14"/>
  <c r="O504" i="14" s="1"/>
  <c r="N507" i="14"/>
  <c r="O507" i="14" s="1"/>
  <c r="O514" i="14"/>
  <c r="N539" i="14"/>
  <c r="O539" i="14" s="1"/>
  <c r="O543" i="14"/>
  <c r="O310" i="14"/>
  <c r="N317" i="14"/>
  <c r="O317" i="14" s="1"/>
  <c r="N331" i="14"/>
  <c r="O331" i="14" s="1"/>
  <c r="O337" i="14"/>
  <c r="N337" i="14"/>
  <c r="N348" i="14"/>
  <c r="O348" i="14" s="1"/>
  <c r="N364" i="14"/>
  <c r="O364" i="14" s="1"/>
  <c r="N367" i="14"/>
  <c r="O367" i="14"/>
  <c r="N378" i="14"/>
  <c r="O378" i="14" s="1"/>
  <c r="N381" i="14"/>
  <c r="O381" i="14" s="1"/>
  <c r="O430" i="14"/>
  <c r="N430" i="14"/>
  <c r="N438" i="14"/>
  <c r="O438" i="14" s="1"/>
  <c r="N467" i="14"/>
  <c r="O467" i="14"/>
  <c r="N489" i="14"/>
  <c r="O489" i="14" s="1"/>
  <c r="N496" i="14"/>
  <c r="O496" i="14" s="1"/>
  <c r="N500" i="14"/>
  <c r="O500" i="14" s="1"/>
  <c r="N510" i="14"/>
  <c r="O510" i="14" s="1"/>
  <c r="O515" i="14"/>
  <c r="N515" i="14"/>
  <c r="N520" i="14"/>
  <c r="O520" i="14" s="1"/>
  <c r="N523" i="14"/>
  <c r="O523" i="14" s="1"/>
  <c r="N536" i="14"/>
  <c r="O536" i="14" s="1"/>
  <c r="N557" i="14"/>
  <c r="O557" i="14"/>
  <c r="N310" i="14"/>
  <c r="N322" i="14"/>
  <c r="O322" i="14" s="1"/>
  <c r="N327" i="14"/>
  <c r="O327" i="14" s="1"/>
  <c r="N329" i="14"/>
  <c r="O329" i="14" s="1"/>
  <c r="O334" i="14"/>
  <c r="N340" i="14"/>
  <c r="O340" i="14" s="1"/>
  <c r="O345" i="14"/>
  <c r="O370" i="14"/>
  <c r="N400" i="14"/>
  <c r="O400" i="14" s="1"/>
  <c r="N405" i="14"/>
  <c r="O405" i="14" s="1"/>
  <c r="N413" i="14"/>
  <c r="O413" i="14" s="1"/>
  <c r="N419" i="14"/>
  <c r="O419" i="14" s="1"/>
  <c r="N425" i="14"/>
  <c r="O425" i="14" s="1"/>
  <c r="N433" i="14"/>
  <c r="O433" i="14" s="1"/>
  <c r="N443" i="14"/>
  <c r="O443" i="14" s="1"/>
  <c r="O448" i="14"/>
  <c r="O457" i="14"/>
  <c r="N471" i="14"/>
  <c r="O471" i="14" s="1"/>
  <c r="N479" i="14"/>
  <c r="O479" i="14" s="1"/>
  <c r="N482" i="14"/>
  <c r="O482" i="14" s="1"/>
  <c r="N493" i="14"/>
  <c r="O493" i="14" s="1"/>
  <c r="N511" i="14"/>
  <c r="O511" i="14" s="1"/>
  <c r="N516" i="14"/>
  <c r="O516" i="14" s="1"/>
  <c r="N526" i="14"/>
  <c r="O526" i="14" s="1"/>
  <c r="N529" i="14"/>
  <c r="O529" i="14" s="1"/>
  <c r="N540" i="14"/>
  <c r="O540" i="14" s="1"/>
  <c r="N549" i="14"/>
  <c r="O549" i="14" s="1"/>
  <c r="N553" i="14"/>
  <c r="O553" i="14" s="1"/>
  <c r="N315" i="14"/>
  <c r="O315" i="14" s="1"/>
  <c r="O352" i="14"/>
  <c r="N352" i="14"/>
  <c r="O358" i="14"/>
  <c r="N358" i="14"/>
  <c r="N365" i="14"/>
  <c r="O365" i="14" s="1"/>
  <c r="N376" i="14"/>
  <c r="O376" i="14" s="1"/>
  <c r="N384" i="14"/>
  <c r="O384" i="14" s="1"/>
  <c r="O395" i="14"/>
  <c r="N395" i="14"/>
  <c r="N408" i="14"/>
  <c r="O408" i="14" s="1"/>
  <c r="N441" i="14"/>
  <c r="O441" i="14" s="1"/>
  <c r="O455" i="14"/>
  <c r="O462" i="14"/>
  <c r="N497" i="14"/>
  <c r="O497" i="14" s="1"/>
  <c r="N501" i="14"/>
  <c r="O501" i="14" s="1"/>
  <c r="N532" i="14"/>
  <c r="O532" i="14" s="1"/>
  <c r="O537" i="14"/>
  <c r="N537" i="14"/>
  <c r="N335" i="14"/>
  <c r="O335" i="14" s="1"/>
  <c r="N346" i="14"/>
  <c r="O346" i="14" s="1"/>
  <c r="N411" i="14"/>
  <c r="O411" i="14" s="1"/>
  <c r="N420" i="14"/>
  <c r="O420" i="14" s="1"/>
  <c r="N444" i="14"/>
  <c r="O444" i="14" s="1"/>
  <c r="O453" i="14"/>
  <c r="N453" i="14"/>
  <c r="N460" i="14"/>
  <c r="O460" i="14" s="1"/>
  <c r="N483" i="14"/>
  <c r="O483" i="14" s="1"/>
  <c r="N490" i="14"/>
  <c r="O490" i="14" s="1"/>
  <c r="N494" i="14"/>
  <c r="O494" i="14" s="1"/>
  <c r="N512" i="14"/>
  <c r="O512" i="14" s="1"/>
  <c r="N517" i="14"/>
  <c r="O517" i="14" s="1"/>
  <c r="N527" i="14"/>
  <c r="O527" i="14" s="1"/>
  <c r="N544" i="14"/>
  <c r="O544" i="14" s="1"/>
  <c r="O555" i="14"/>
  <c r="N555" i="14"/>
  <c r="O304" i="14"/>
  <c r="O344" i="14"/>
  <c r="N353" i="14"/>
  <c r="O353" i="14" s="1"/>
  <c r="N359" i="14"/>
  <c r="O359" i="14" s="1"/>
  <c r="N371" i="14"/>
  <c r="O371" i="14" s="1"/>
  <c r="N377" i="14"/>
  <c r="O377" i="14" s="1"/>
  <c r="N385" i="14"/>
  <c r="O385" i="14" s="1"/>
  <c r="N396" i="14"/>
  <c r="O396" i="14" s="1"/>
  <c r="F37" i="11" s="1"/>
  <c r="O401" i="14"/>
  <c r="N409" i="14"/>
  <c r="O409" i="14" s="1"/>
  <c r="N414" i="14"/>
  <c r="O414" i="14" s="1"/>
  <c r="N434" i="14"/>
  <c r="O434" i="14" s="1"/>
  <c r="N449" i="14"/>
  <c r="O449" i="14" s="1"/>
  <c r="N451" i="14"/>
  <c r="O451" i="14" s="1"/>
  <c r="N458" i="14"/>
  <c r="O458" i="14" s="1"/>
  <c r="O480" i="14"/>
  <c r="N487" i="14"/>
  <c r="O487" i="14" s="1"/>
  <c r="N506" i="14"/>
  <c r="O506" i="14" s="1"/>
  <c r="O530" i="14"/>
  <c r="N530" i="14"/>
  <c r="N534" i="14"/>
  <c r="O534" i="14" s="1"/>
  <c r="N547" i="14"/>
  <c r="O547" i="14" s="1"/>
  <c r="C7" i="15"/>
  <c r="D13" i="15"/>
  <c r="D7" i="15"/>
  <c r="N552" i="14"/>
  <c r="O552" i="14"/>
  <c r="C9" i="15"/>
  <c r="O546" i="14"/>
  <c r="C52" i="15"/>
  <c r="C50" i="15"/>
  <c r="C48" i="15"/>
  <c r="C46" i="15"/>
  <c r="C44" i="15"/>
  <c r="C42" i="15"/>
  <c r="C40" i="15"/>
  <c r="C38" i="15"/>
  <c r="C36" i="15"/>
  <c r="C34" i="15"/>
  <c r="C32" i="15"/>
  <c r="C30" i="15"/>
  <c r="C28" i="15"/>
  <c r="C26" i="15"/>
  <c r="C24" i="15"/>
  <c r="C22" i="15"/>
  <c r="C20" i="15"/>
  <c r="C18" i="15"/>
  <c r="C16" i="15"/>
  <c r="C14" i="15"/>
  <c r="C12" i="15"/>
  <c r="C10" i="15"/>
  <c r="C8" i="15"/>
  <c r="C6" i="15"/>
  <c r="D49" i="15"/>
  <c r="D47" i="15"/>
  <c r="D35" i="15"/>
  <c r="D33" i="15"/>
  <c r="D29" i="15"/>
  <c r="D25" i="15"/>
  <c r="D23" i="15"/>
  <c r="D21" i="15"/>
  <c r="D19" i="15"/>
  <c r="D17" i="15"/>
  <c r="D15" i="15"/>
  <c r="C51" i="15"/>
  <c r="C49" i="15"/>
  <c r="C47" i="15"/>
  <c r="C45" i="15"/>
  <c r="C43" i="15"/>
  <c r="C41" i="15"/>
  <c r="C39" i="15"/>
  <c r="C37" i="15"/>
  <c r="C35" i="15"/>
  <c r="C33" i="15"/>
  <c r="C31" i="15"/>
  <c r="C29" i="15"/>
  <c r="C27" i="15"/>
  <c r="C25" i="15"/>
  <c r="C23" i="15"/>
  <c r="C21" i="15"/>
  <c r="C19" i="15"/>
  <c r="C17" i="15"/>
  <c r="C15" i="15"/>
  <c r="C13" i="15"/>
  <c r="C11" i="15"/>
  <c r="D52" i="15"/>
  <c r="D48" i="15"/>
  <c r="D46" i="15"/>
  <c r="D34" i="15"/>
  <c r="D32" i="15"/>
  <c r="D28" i="15"/>
  <c r="D26" i="15"/>
  <c r="D22" i="15"/>
  <c r="D20" i="15"/>
  <c r="D18" i="15"/>
  <c r="D16" i="15"/>
  <c r="D14" i="15"/>
  <c r="D10" i="15"/>
  <c r="D8" i="15"/>
  <c r="D6" i="15"/>
  <c r="D5" i="15"/>
  <c r="D11" i="15"/>
  <c r="AA361" i="16"/>
  <c r="BI361" i="16"/>
  <c r="T361" i="16"/>
  <c r="AB361" i="16"/>
  <c r="BW361" i="16"/>
  <c r="AG62" i="16"/>
  <c r="U361" i="16"/>
  <c r="AC361" i="16"/>
  <c r="AG50" i="16"/>
  <c r="AG66" i="16"/>
  <c r="D12" i="15" s="1"/>
  <c r="AG54" i="16"/>
  <c r="AG5" i="16"/>
  <c r="Z361" i="16"/>
  <c r="AU361" i="16"/>
  <c r="AG58" i="16"/>
  <c r="AG131" i="16"/>
  <c r="D24" i="15" s="1"/>
  <c r="AG135" i="16"/>
  <c r="AG155" i="16"/>
  <c r="AG157" i="16"/>
  <c r="AG159" i="16"/>
  <c r="AG161" i="16"/>
  <c r="AG163" i="16"/>
  <c r="AG171" i="16"/>
  <c r="AG177" i="16"/>
  <c r="AG173" i="16"/>
  <c r="AG175" i="16"/>
  <c r="AG165" i="16"/>
  <c r="AG222" i="16"/>
  <c r="AG229" i="16"/>
  <c r="AG197" i="16"/>
  <c r="AG205" i="16"/>
  <c r="AG207" i="16"/>
  <c r="AG217" i="16"/>
  <c r="AG213" i="16"/>
  <c r="AG220" i="16"/>
  <c r="AG218" i="16"/>
  <c r="AG193" i="16"/>
  <c r="AG201" i="16"/>
  <c r="D31" i="15" s="1"/>
  <c r="AG211" i="16"/>
  <c r="AG221" i="16"/>
  <c r="AG225" i="16"/>
  <c r="AG272" i="16"/>
  <c r="AG271" i="16"/>
  <c r="AG274" i="16"/>
  <c r="AG261" i="16"/>
  <c r="AG263" i="16"/>
  <c r="D36" i="15" s="1"/>
  <c r="AG265" i="16"/>
  <c r="D37" i="15" s="1"/>
  <c r="AG267" i="16"/>
  <c r="AG269" i="16"/>
  <c r="D38" i="15" s="1"/>
  <c r="AG278" i="16"/>
  <c r="AG279" i="16"/>
  <c r="AG276" i="16"/>
  <c r="AG289" i="16"/>
  <c r="D41" i="15" s="1"/>
  <c r="AG283" i="16"/>
  <c r="AG303" i="16"/>
  <c r="AG307" i="16"/>
  <c r="AG309" i="16"/>
  <c r="AG293" i="16"/>
  <c r="D42" i="15" s="1"/>
  <c r="AG287" i="16"/>
  <c r="D40" i="15" s="1"/>
  <c r="AG301" i="16"/>
  <c r="AG291" i="16"/>
  <c r="AG299" i="16"/>
  <c r="D43" i="15" s="1"/>
  <c r="AG306" i="16"/>
  <c r="AG310" i="16"/>
  <c r="AG318" i="16"/>
  <c r="AG322" i="16"/>
  <c r="AG326" i="16"/>
  <c r="D45" i="15" s="1"/>
  <c r="AG330" i="16"/>
  <c r="AG316" i="16"/>
  <c r="AG320" i="16"/>
  <c r="AG324" i="16"/>
  <c r="AG328" i="16"/>
  <c r="P54" i="18"/>
  <c r="K54" i="20"/>
  <c r="V45" i="20"/>
  <c r="X45" i="20" s="1"/>
  <c r="J45" i="1" s="1"/>
  <c r="AG356" i="16"/>
  <c r="D51" i="15" s="1"/>
  <c r="W8" i="18"/>
  <c r="AG352" i="16"/>
  <c r="D50" i="15" s="1"/>
  <c r="O7" i="18"/>
  <c r="S8" i="18"/>
  <c r="X5" i="20"/>
  <c r="O5" i="18"/>
  <c r="O9" i="18"/>
  <c r="O10" i="18"/>
  <c r="O11" i="18"/>
  <c r="O12" i="18"/>
  <c r="O13" i="18"/>
  <c r="O14" i="18"/>
  <c r="O15" i="18"/>
  <c r="O16" i="18"/>
  <c r="O17" i="18"/>
  <c r="O18" i="18"/>
  <c r="O19" i="18"/>
  <c r="O20" i="18"/>
  <c r="O21" i="18"/>
  <c r="O22" i="18"/>
  <c r="O23" i="18"/>
  <c r="O24" i="18"/>
  <c r="O25" i="18"/>
  <c r="O26" i="18"/>
  <c r="O27" i="18"/>
  <c r="O28" i="18"/>
  <c r="O29" i="18"/>
  <c r="O30" i="18"/>
  <c r="O31" i="18"/>
  <c r="O32" i="18"/>
  <c r="O33" i="18"/>
  <c r="O34" i="18"/>
  <c r="O35" i="18"/>
  <c r="O36" i="18"/>
  <c r="O37" i="18"/>
  <c r="O38" i="18"/>
  <c r="O39" i="18"/>
  <c r="O40" i="18"/>
  <c r="O41" i="18"/>
  <c r="O42" i="18"/>
  <c r="O43" i="18"/>
  <c r="O44" i="18"/>
  <c r="O45" i="18"/>
  <c r="O46" i="18"/>
  <c r="O47" i="18"/>
  <c r="O48" i="18"/>
  <c r="O49" i="18"/>
  <c r="O50" i="18"/>
  <c r="O51" i="18"/>
  <c r="O52" i="18"/>
  <c r="I54" i="18"/>
  <c r="O54" i="18" s="1"/>
  <c r="J54" i="18"/>
  <c r="S6" i="18" s="1"/>
  <c r="X6" i="18" s="1"/>
  <c r="O8" i="18"/>
  <c r="G54" i="1" l="1"/>
  <c r="F29" i="11"/>
  <c r="AR63" i="12"/>
  <c r="AR314" i="12"/>
  <c r="AR143" i="12"/>
  <c r="AR96" i="12"/>
  <c r="F13" i="11"/>
  <c r="AR44" i="12"/>
  <c r="AR120" i="12"/>
  <c r="AR184" i="12"/>
  <c r="AR195" i="12"/>
  <c r="AR306" i="12"/>
  <c r="AR293" i="12"/>
  <c r="AR334" i="12"/>
  <c r="F50" i="11"/>
  <c r="AR210" i="12"/>
  <c r="AR317" i="12"/>
  <c r="AR24" i="12"/>
  <c r="AR82" i="12"/>
  <c r="AR205" i="12"/>
  <c r="Y34" i="6"/>
  <c r="G12" i="6"/>
  <c r="M50" i="6"/>
  <c r="M34" i="6"/>
  <c r="M18" i="6"/>
  <c r="V54" i="20"/>
  <c r="D30" i="15"/>
  <c r="S48" i="6"/>
  <c r="Y26" i="6"/>
  <c r="S44" i="6"/>
  <c r="S28" i="6"/>
  <c r="S12" i="6"/>
  <c r="G51" i="6"/>
  <c r="X8" i="18"/>
  <c r="F35" i="11"/>
  <c r="S40" i="6"/>
  <c r="Y18" i="6"/>
  <c r="AE48" i="6"/>
  <c r="Y38" i="6"/>
  <c r="AE32" i="6"/>
  <c r="Y22" i="6"/>
  <c r="AE16" i="6"/>
  <c r="Y6" i="6"/>
  <c r="Y49" i="6"/>
  <c r="D39" i="15"/>
  <c r="E39" i="15" s="1"/>
  <c r="F49" i="11"/>
  <c r="G52" i="6"/>
  <c r="S32" i="6"/>
  <c r="Y10" i="6"/>
  <c r="G48" i="6"/>
  <c r="AK42" i="6"/>
  <c r="G32" i="6"/>
  <c r="AK26" i="6"/>
  <c r="G16" i="6"/>
  <c r="AK10" i="6"/>
  <c r="S47" i="6"/>
  <c r="M45" i="6"/>
  <c r="D44" i="15"/>
  <c r="F7" i="11"/>
  <c r="G44" i="6"/>
  <c r="S24" i="6"/>
  <c r="M42" i="6"/>
  <c r="M26" i="6"/>
  <c r="M10" i="6"/>
  <c r="F5" i="15"/>
  <c r="E5" i="15"/>
  <c r="E19" i="15"/>
  <c r="F19" i="15"/>
  <c r="F9" i="11"/>
  <c r="G36" i="6"/>
  <c r="S16" i="6"/>
  <c r="S52" i="6"/>
  <c r="S36" i="6"/>
  <c r="S20" i="6"/>
  <c r="X54" i="20"/>
  <c r="J5" i="1"/>
  <c r="J54" i="1" s="1"/>
  <c r="D27" i="15"/>
  <c r="D54" i="15" s="1"/>
  <c r="Y50" i="6"/>
  <c r="G28" i="6"/>
  <c r="S8" i="6"/>
  <c r="Y46" i="6"/>
  <c r="AE40" i="6"/>
  <c r="Y30" i="6"/>
  <c r="AE24" i="6"/>
  <c r="Y14" i="6"/>
  <c r="AE8" i="6"/>
  <c r="Y42" i="6"/>
  <c r="G20" i="6"/>
  <c r="AK50" i="6"/>
  <c r="G40" i="6"/>
  <c r="AK34" i="6"/>
  <c r="G24" i="6"/>
  <c r="AK18" i="6"/>
  <c r="G8" i="6"/>
  <c r="E23" i="15"/>
  <c r="F23" i="15"/>
  <c r="F6" i="15"/>
  <c r="E6" i="15"/>
  <c r="F22" i="15"/>
  <c r="E22" i="15"/>
  <c r="F38" i="15"/>
  <c r="E38" i="15"/>
  <c r="E9" i="15"/>
  <c r="F9" i="15"/>
  <c r="AR279" i="12"/>
  <c r="AR139" i="12"/>
  <c r="AR138" i="12"/>
  <c r="AR141" i="12"/>
  <c r="K37" i="6"/>
  <c r="L37" i="6"/>
  <c r="E27" i="6"/>
  <c r="F27" i="6" s="1"/>
  <c r="Q15" i="6"/>
  <c r="R15" i="6" s="1"/>
  <c r="K5" i="6"/>
  <c r="L5" i="6" s="1"/>
  <c r="W44" i="6"/>
  <c r="X44" i="6"/>
  <c r="AI32" i="6"/>
  <c r="AJ32" i="6" s="1"/>
  <c r="AC22" i="6"/>
  <c r="AD22" i="6"/>
  <c r="W12" i="6"/>
  <c r="X12" i="6" s="1"/>
  <c r="AI51" i="6"/>
  <c r="AJ51" i="6" s="1"/>
  <c r="Q37" i="6"/>
  <c r="R37" i="6" s="1"/>
  <c r="W31" i="6"/>
  <c r="X31" i="6" s="1"/>
  <c r="E17" i="6"/>
  <c r="F17" i="6" s="1"/>
  <c r="AC9" i="6"/>
  <c r="AD9" i="6" s="1"/>
  <c r="L38" i="6"/>
  <c r="K38" i="6"/>
  <c r="AI14" i="6"/>
  <c r="AJ14" i="6" s="1"/>
  <c r="AI41" i="6"/>
  <c r="AJ41" i="6" s="1"/>
  <c r="AC31" i="6"/>
  <c r="AD31" i="6" s="1"/>
  <c r="W21" i="6"/>
  <c r="X21" i="6" s="1"/>
  <c r="AJ9" i="6"/>
  <c r="AI9" i="6"/>
  <c r="C70" i="3"/>
  <c r="C70" i="4"/>
  <c r="R46" i="6"/>
  <c r="Q46" i="6"/>
  <c r="K36" i="6"/>
  <c r="L36" i="6" s="1"/>
  <c r="E26" i="6"/>
  <c r="F26" i="6" s="1"/>
  <c r="Q14" i="6"/>
  <c r="R14" i="6" s="1"/>
  <c r="C45" i="2"/>
  <c r="W43" i="6"/>
  <c r="X43" i="6" s="1"/>
  <c r="W27" i="6"/>
  <c r="X27" i="6" s="1"/>
  <c r="W11" i="6"/>
  <c r="X11" i="6" s="1"/>
  <c r="G20" i="4"/>
  <c r="AR102" i="12"/>
  <c r="AR65" i="12"/>
  <c r="AR114" i="12"/>
  <c r="AR192" i="12"/>
  <c r="AR240" i="12"/>
  <c r="AR307" i="12"/>
  <c r="AR275" i="12"/>
  <c r="AR330" i="12"/>
  <c r="AR350" i="12"/>
  <c r="C56" i="2"/>
  <c r="C81" i="3"/>
  <c r="C81" i="4"/>
  <c r="B45" i="2"/>
  <c r="E25" i="15"/>
  <c r="F25" i="15"/>
  <c r="E41" i="15"/>
  <c r="F41" i="15"/>
  <c r="F8" i="15"/>
  <c r="E8" i="15"/>
  <c r="F24" i="15"/>
  <c r="E24" i="15"/>
  <c r="F40" i="15"/>
  <c r="E40" i="15"/>
  <c r="F40" i="11"/>
  <c r="F42" i="11"/>
  <c r="F16" i="11"/>
  <c r="F18" i="11"/>
  <c r="AC35" i="6"/>
  <c r="AD35" i="6" s="1"/>
  <c r="W25" i="6"/>
  <c r="X25" i="6" s="1"/>
  <c r="AI13" i="6"/>
  <c r="AJ13" i="6"/>
  <c r="Q42" i="6"/>
  <c r="R42" i="6"/>
  <c r="K32" i="6"/>
  <c r="L32" i="6"/>
  <c r="E22" i="6"/>
  <c r="F22" i="6" s="1"/>
  <c r="Q10" i="6"/>
  <c r="R10" i="6"/>
  <c r="K51" i="6"/>
  <c r="L51" i="6" s="1"/>
  <c r="AI43" i="6"/>
  <c r="AJ43" i="6" s="1"/>
  <c r="Q29" i="6"/>
  <c r="R29" i="6" s="1"/>
  <c r="W23" i="6"/>
  <c r="X23" i="6" s="1"/>
  <c r="E9" i="6"/>
  <c r="F9" i="6" s="1"/>
  <c r="AC36" i="6"/>
  <c r="AD36" i="6" s="1"/>
  <c r="K14" i="6"/>
  <c r="L14" i="6" s="1"/>
  <c r="Q51" i="6"/>
  <c r="R51" i="6" s="1"/>
  <c r="K41" i="6"/>
  <c r="L41" i="6" s="1"/>
  <c r="F31" i="6"/>
  <c r="E31" i="6"/>
  <c r="Q19" i="6"/>
  <c r="R19" i="6" s="1"/>
  <c r="K9" i="6"/>
  <c r="L9" i="6" s="1"/>
  <c r="AI44" i="6"/>
  <c r="AJ44" i="6" s="1"/>
  <c r="AC34" i="6"/>
  <c r="AD34" i="6" s="1"/>
  <c r="W24" i="6"/>
  <c r="X24" i="6" s="1"/>
  <c r="AI12" i="6"/>
  <c r="AJ12" i="6" s="1"/>
  <c r="AC37" i="6"/>
  <c r="AD37" i="6" s="1"/>
  <c r="AD21" i="6"/>
  <c r="AC21" i="6"/>
  <c r="AC5" i="6"/>
  <c r="AD5" i="6" s="1"/>
  <c r="AR110" i="12"/>
  <c r="AR42" i="12"/>
  <c r="AR172" i="12"/>
  <c r="AR180" i="12"/>
  <c r="AR246" i="12"/>
  <c r="AR286" i="12"/>
  <c r="AR353" i="12"/>
  <c r="C77" i="3"/>
  <c r="C77" i="4"/>
  <c r="C52" i="2"/>
  <c r="C49" i="2"/>
  <c r="E11" i="15"/>
  <c r="F11" i="15"/>
  <c r="E27" i="15"/>
  <c r="E43" i="15"/>
  <c r="F43" i="15"/>
  <c r="F10" i="15"/>
  <c r="E10" i="15"/>
  <c r="F26" i="15"/>
  <c r="E26" i="15"/>
  <c r="F42" i="15"/>
  <c r="E42" i="15"/>
  <c r="C54" i="15"/>
  <c r="AR274" i="12"/>
  <c r="AR168" i="12"/>
  <c r="AI45" i="6"/>
  <c r="AJ45" i="6" s="1"/>
  <c r="E35" i="6"/>
  <c r="F35" i="6"/>
  <c r="Q23" i="6"/>
  <c r="R23" i="6" s="1"/>
  <c r="K13" i="6"/>
  <c r="L13" i="6" s="1"/>
  <c r="W52" i="6"/>
  <c r="X52" i="6" s="1"/>
  <c r="AI40" i="6"/>
  <c r="AJ40" i="6"/>
  <c r="AC30" i="6"/>
  <c r="AD30" i="6" s="1"/>
  <c r="W20" i="6"/>
  <c r="X20" i="6"/>
  <c r="AI8" i="6"/>
  <c r="AJ8" i="6" s="1"/>
  <c r="K43" i="6"/>
  <c r="L43" i="6" s="1"/>
  <c r="AI35" i="6"/>
  <c r="AJ35" i="6" s="1"/>
  <c r="Q21" i="6"/>
  <c r="R21" i="6" s="1"/>
  <c r="W15" i="6"/>
  <c r="X15" i="6" s="1"/>
  <c r="AI30" i="6"/>
  <c r="AJ30" i="6" s="1"/>
  <c r="AC12" i="6"/>
  <c r="AD12" i="6" s="1"/>
  <c r="AI49" i="6"/>
  <c r="AJ49" i="6" s="1"/>
  <c r="AC39" i="6"/>
  <c r="AD39" i="6" s="1"/>
  <c r="W29" i="6"/>
  <c r="X29" i="6" s="1"/>
  <c r="AI17" i="6"/>
  <c r="AJ17" i="6" s="1"/>
  <c r="AC7" i="6"/>
  <c r="AD7" i="6" s="1"/>
  <c r="K44" i="6"/>
  <c r="L44" i="6" s="1"/>
  <c r="E34" i="6"/>
  <c r="F34" i="6" s="1"/>
  <c r="Q22" i="6"/>
  <c r="R22" i="6" s="1"/>
  <c r="K12" i="6"/>
  <c r="L12" i="6" s="1"/>
  <c r="H20" i="4"/>
  <c r="AI47" i="6"/>
  <c r="AJ47" i="6" s="1"/>
  <c r="E37" i="6"/>
  <c r="F37" i="6" s="1"/>
  <c r="AI31" i="6"/>
  <c r="AJ31" i="6" s="1"/>
  <c r="F21" i="6"/>
  <c r="E21" i="6"/>
  <c r="AI15" i="6"/>
  <c r="AJ15" i="6" s="1"/>
  <c r="E5" i="6"/>
  <c r="F5" i="6" s="1"/>
  <c r="AR276" i="12"/>
  <c r="C48" i="2"/>
  <c r="C73" i="3"/>
  <c r="C73" i="4"/>
  <c r="E13" i="15"/>
  <c r="F13" i="15"/>
  <c r="E29" i="15"/>
  <c r="F29" i="15"/>
  <c r="E45" i="15"/>
  <c r="F45" i="15"/>
  <c r="F12" i="15"/>
  <c r="E12" i="15"/>
  <c r="F28" i="15"/>
  <c r="E28" i="15"/>
  <c r="F44" i="15"/>
  <c r="E44" i="15"/>
  <c r="F15" i="11"/>
  <c r="AR359" i="12"/>
  <c r="AR311" i="12"/>
  <c r="AC43" i="6"/>
  <c r="AD43" i="6" s="1"/>
  <c r="W33" i="6"/>
  <c r="X33" i="6" s="1"/>
  <c r="AI21" i="6"/>
  <c r="AJ21" i="6" s="1"/>
  <c r="AC11" i="6"/>
  <c r="AD11" i="6"/>
  <c r="Q50" i="6"/>
  <c r="R50" i="6" s="1"/>
  <c r="K40" i="6"/>
  <c r="L40" i="6"/>
  <c r="E30" i="6"/>
  <c r="F30" i="6" s="1"/>
  <c r="Q18" i="6"/>
  <c r="R18" i="6"/>
  <c r="K8" i="6"/>
  <c r="L8" i="6" s="1"/>
  <c r="AD49" i="6"/>
  <c r="AC49" i="6"/>
  <c r="K35" i="6"/>
  <c r="L35" i="6" s="1"/>
  <c r="AI27" i="6"/>
  <c r="AJ27" i="6" s="1"/>
  <c r="Q13" i="6"/>
  <c r="R13" i="6" s="1"/>
  <c r="W7" i="6"/>
  <c r="X7" i="6" s="1"/>
  <c r="AD52" i="6"/>
  <c r="AC52" i="6"/>
  <c r="K30" i="6"/>
  <c r="L30" i="6" s="1"/>
  <c r="AI6" i="6"/>
  <c r="AJ6" i="6" s="1"/>
  <c r="L49" i="6"/>
  <c r="K49" i="6"/>
  <c r="E39" i="6"/>
  <c r="F39" i="6" s="1"/>
  <c r="Q27" i="6"/>
  <c r="R27" i="6" s="1"/>
  <c r="K17" i="6"/>
  <c r="L17" i="6" s="1"/>
  <c r="E7" i="6"/>
  <c r="F7" i="6" s="1"/>
  <c r="AJ52" i="6"/>
  <c r="AI52" i="6"/>
  <c r="AC42" i="6"/>
  <c r="AD42" i="6" s="1"/>
  <c r="W32" i="6"/>
  <c r="X32" i="6" s="1"/>
  <c r="AJ20" i="6"/>
  <c r="AI20" i="6"/>
  <c r="AC10" i="6"/>
  <c r="AD10" i="6" s="1"/>
  <c r="L47" i="6"/>
  <c r="K47" i="6"/>
  <c r="Q41" i="6"/>
  <c r="R41" i="6" s="1"/>
  <c r="K31" i="6"/>
  <c r="L31" i="6" s="1"/>
  <c r="Q25" i="6"/>
  <c r="R25" i="6" s="1"/>
  <c r="K15" i="6"/>
  <c r="L15" i="6" s="1"/>
  <c r="Q9" i="6"/>
  <c r="R9" i="6" s="1"/>
  <c r="AR39" i="12"/>
  <c r="AR124" i="12"/>
  <c r="AR46" i="12"/>
  <c r="AR119" i="12"/>
  <c r="AR194" i="12"/>
  <c r="AR300" i="12"/>
  <c r="AR333" i="12"/>
  <c r="C69" i="3"/>
  <c r="C69" i="4"/>
  <c r="B94" i="2"/>
  <c r="C44" i="2"/>
  <c r="AE51" i="6"/>
  <c r="AG361" i="16"/>
  <c r="E15" i="15"/>
  <c r="F15" i="15"/>
  <c r="E31" i="15"/>
  <c r="F31" i="15"/>
  <c r="E47" i="15"/>
  <c r="F47" i="15"/>
  <c r="F14" i="15"/>
  <c r="E14" i="15"/>
  <c r="F30" i="15"/>
  <c r="E30" i="15"/>
  <c r="F46" i="15"/>
  <c r="E46" i="15"/>
  <c r="F14" i="11"/>
  <c r="N5" i="14"/>
  <c r="F19" i="11"/>
  <c r="AR233" i="12"/>
  <c r="AR155" i="12"/>
  <c r="E43" i="6"/>
  <c r="F43" i="6" s="1"/>
  <c r="Q31" i="6"/>
  <c r="R31" i="6" s="1"/>
  <c r="K21" i="6"/>
  <c r="L21" i="6" s="1"/>
  <c r="E11" i="6"/>
  <c r="F11" i="6" s="1"/>
  <c r="AI48" i="6"/>
  <c r="AJ48" i="6" s="1"/>
  <c r="AC38" i="6"/>
  <c r="AD38" i="6" s="1"/>
  <c r="W28" i="6"/>
  <c r="X28" i="6" s="1"/>
  <c r="AI16" i="6"/>
  <c r="AJ16" i="6"/>
  <c r="AC6" i="6"/>
  <c r="AD6" i="6" s="1"/>
  <c r="E49" i="6"/>
  <c r="F49" i="6" s="1"/>
  <c r="AC41" i="6"/>
  <c r="AD41" i="6" s="1"/>
  <c r="K27" i="6"/>
  <c r="L27" i="6" s="1"/>
  <c r="AI19" i="6"/>
  <c r="AJ19" i="6" s="1"/>
  <c r="R5" i="6"/>
  <c r="Q5" i="6"/>
  <c r="C75" i="4"/>
  <c r="C50" i="2"/>
  <c r="C75" i="3"/>
  <c r="AI46" i="6"/>
  <c r="AJ46" i="6" s="1"/>
  <c r="AC28" i="6"/>
  <c r="AD28" i="6" s="1"/>
  <c r="K6" i="6"/>
  <c r="L6" i="6" s="1"/>
  <c r="AD47" i="6"/>
  <c r="AC47" i="6"/>
  <c r="W37" i="6"/>
  <c r="X37" i="6" s="1"/>
  <c r="AI25" i="6"/>
  <c r="AJ25" i="6" s="1"/>
  <c r="AC15" i="6"/>
  <c r="AD15" i="6" s="1"/>
  <c r="W5" i="6"/>
  <c r="X5" i="6" s="1"/>
  <c r="K52" i="6"/>
  <c r="L52" i="6" s="1"/>
  <c r="E42" i="6"/>
  <c r="F42" i="6" s="1"/>
  <c r="Q30" i="6"/>
  <c r="R30" i="6" s="1"/>
  <c r="K20" i="6"/>
  <c r="L20" i="6" s="1"/>
  <c r="E10" i="6"/>
  <c r="F10" i="6" s="1"/>
  <c r="W51" i="6"/>
  <c r="X51" i="6" s="1"/>
  <c r="W35" i="6"/>
  <c r="X35" i="6" s="1"/>
  <c r="W19" i="6"/>
  <c r="X19" i="6" s="1"/>
  <c r="B44" i="2"/>
  <c r="B56" i="2"/>
  <c r="E17" i="15"/>
  <c r="F17" i="15"/>
  <c r="E33" i="15"/>
  <c r="F33" i="15"/>
  <c r="E49" i="15"/>
  <c r="F49" i="15"/>
  <c r="F16" i="15"/>
  <c r="E16" i="15"/>
  <c r="F32" i="15"/>
  <c r="E32" i="15"/>
  <c r="F48" i="15"/>
  <c r="E48" i="15"/>
  <c r="AR313" i="12"/>
  <c r="AR225" i="12"/>
  <c r="AR17" i="12"/>
  <c r="W41" i="6"/>
  <c r="X41" i="6" s="1"/>
  <c r="AI29" i="6"/>
  <c r="AJ29" i="6"/>
  <c r="AC19" i="6"/>
  <c r="AD19" i="6"/>
  <c r="W9" i="6"/>
  <c r="X9" i="6" s="1"/>
  <c r="K48" i="6"/>
  <c r="L48" i="6" s="1"/>
  <c r="E38" i="6"/>
  <c r="F38" i="6"/>
  <c r="Q26" i="6"/>
  <c r="R26" i="6" s="1"/>
  <c r="K16" i="6"/>
  <c r="L16" i="6" s="1"/>
  <c r="E6" i="6"/>
  <c r="F6" i="6"/>
  <c r="E41" i="6"/>
  <c r="F41" i="6" s="1"/>
  <c r="AC33" i="6"/>
  <c r="AD33" i="6" s="1"/>
  <c r="K19" i="6"/>
  <c r="L19" i="6" s="1"/>
  <c r="AI11" i="6"/>
  <c r="AJ11" i="6" s="1"/>
  <c r="K46" i="6"/>
  <c r="L46" i="6" s="1"/>
  <c r="AI22" i="6"/>
  <c r="AJ22" i="6" s="1"/>
  <c r="F47" i="6"/>
  <c r="E47" i="6"/>
  <c r="Q35" i="6"/>
  <c r="R35" i="6" s="1"/>
  <c r="K25" i="6"/>
  <c r="L25" i="6" s="1"/>
  <c r="E15" i="6"/>
  <c r="F15" i="6" s="1"/>
  <c r="AC50" i="6"/>
  <c r="AD50" i="6" s="1"/>
  <c r="W40" i="6"/>
  <c r="X40" i="6" s="1"/>
  <c r="AI28" i="6"/>
  <c r="AJ28" i="6" s="1"/>
  <c r="AC18" i="6"/>
  <c r="AD18" i="6" s="1"/>
  <c r="W8" i="6"/>
  <c r="X8" i="6" s="1"/>
  <c r="AC45" i="6"/>
  <c r="AD45" i="6" s="1"/>
  <c r="AC29" i="6"/>
  <c r="AD29" i="6" s="1"/>
  <c r="AC13" i="6"/>
  <c r="AD13" i="6" s="1"/>
  <c r="AR60" i="12"/>
  <c r="AR52" i="12"/>
  <c r="AR146" i="12"/>
  <c r="AR66" i="12"/>
  <c r="AR171" i="12"/>
  <c r="AR204" i="12"/>
  <c r="AR277" i="12"/>
  <c r="AR258" i="12"/>
  <c r="AR294" i="12"/>
  <c r="AR341" i="12"/>
  <c r="B52" i="2"/>
  <c r="E35" i="15"/>
  <c r="F35" i="15"/>
  <c r="S253" i="8" s="1"/>
  <c r="E51" i="15"/>
  <c r="F51" i="15"/>
  <c r="F18" i="15"/>
  <c r="E18" i="15"/>
  <c r="F34" i="15"/>
  <c r="E34" i="15"/>
  <c r="F50" i="15"/>
  <c r="S352" i="8" s="1"/>
  <c r="E50" i="15"/>
  <c r="F48" i="11"/>
  <c r="F32" i="11"/>
  <c r="AR282" i="12"/>
  <c r="Q39" i="6"/>
  <c r="R39" i="6" s="1"/>
  <c r="K29" i="6"/>
  <c r="L29" i="6" s="1"/>
  <c r="E19" i="6"/>
  <c r="F19" i="6"/>
  <c r="Q7" i="6"/>
  <c r="R7" i="6" s="1"/>
  <c r="AC46" i="6"/>
  <c r="AD46" i="6"/>
  <c r="W36" i="6"/>
  <c r="X36" i="6" s="1"/>
  <c r="AI24" i="6"/>
  <c r="AJ24" i="6"/>
  <c r="AC14" i="6"/>
  <c r="AD14" i="6" s="1"/>
  <c r="W47" i="6"/>
  <c r="X47" i="6" s="1"/>
  <c r="E33" i="6"/>
  <c r="F33" i="6" s="1"/>
  <c r="AC25" i="6"/>
  <c r="AD25" i="6" s="1"/>
  <c r="K11" i="6"/>
  <c r="L11" i="6" s="1"/>
  <c r="AC44" i="6"/>
  <c r="AD44" i="6" s="1"/>
  <c r="K22" i="6"/>
  <c r="L22" i="6" s="1"/>
  <c r="W45" i="6"/>
  <c r="X45" i="6" s="1"/>
  <c r="AI33" i="6"/>
  <c r="AJ33" i="6" s="1"/>
  <c r="AC23" i="6"/>
  <c r="AD23" i="6" s="1"/>
  <c r="W13" i="6"/>
  <c r="X13" i="6" s="1"/>
  <c r="C78" i="4"/>
  <c r="C78" i="3"/>
  <c r="E50" i="6"/>
  <c r="F50" i="6" s="1"/>
  <c r="Q38" i="6"/>
  <c r="R38" i="6" s="1"/>
  <c r="K28" i="6"/>
  <c r="L28" i="6" s="1"/>
  <c r="E18" i="6"/>
  <c r="F18" i="6" s="1"/>
  <c r="Q6" i="6"/>
  <c r="R6" i="6" s="1"/>
  <c r="H20" i="3"/>
  <c r="E45" i="6"/>
  <c r="F45" i="6" s="1"/>
  <c r="AI39" i="6"/>
  <c r="AJ39" i="6" s="1"/>
  <c r="E29" i="6"/>
  <c r="F29" i="6" s="1"/>
  <c r="AI23" i="6"/>
  <c r="AJ23" i="6" s="1"/>
  <c r="E13" i="6"/>
  <c r="F13" i="6" s="1"/>
  <c r="AI7" i="6"/>
  <c r="AJ7" i="6" s="1"/>
  <c r="AR58" i="12"/>
  <c r="AR185" i="12"/>
  <c r="AR123" i="12"/>
  <c r="J23" i="11" s="1"/>
  <c r="AR208" i="12"/>
  <c r="AR342" i="12"/>
  <c r="B48" i="2"/>
  <c r="E21" i="15"/>
  <c r="F21" i="15"/>
  <c r="E37" i="15"/>
  <c r="F37" i="15"/>
  <c r="F20" i="15"/>
  <c r="E20" i="15"/>
  <c r="F36" i="15"/>
  <c r="E36" i="15"/>
  <c r="F52" i="15"/>
  <c r="E52" i="15"/>
  <c r="E7" i="15"/>
  <c r="F7" i="15"/>
  <c r="F17" i="11"/>
  <c r="AR216" i="12"/>
  <c r="AR169" i="12"/>
  <c r="T54" i="10"/>
  <c r="AI37" i="6"/>
  <c r="AJ37" i="6" s="1"/>
  <c r="AC27" i="6"/>
  <c r="AD27" i="6" s="1"/>
  <c r="W17" i="6"/>
  <c r="X17" i="6" s="1"/>
  <c r="AI5" i="6"/>
  <c r="AJ5" i="6" s="1"/>
  <c r="E46" i="6"/>
  <c r="F46" i="6" s="1"/>
  <c r="Q34" i="6"/>
  <c r="R34" i="6" s="1"/>
  <c r="K24" i="6"/>
  <c r="L24" i="6" s="1"/>
  <c r="E14" i="6"/>
  <c r="F14" i="6" s="1"/>
  <c r="Q45" i="6"/>
  <c r="R45" i="6" s="1"/>
  <c r="W39" i="6"/>
  <c r="X39" i="6" s="1"/>
  <c r="E25" i="6"/>
  <c r="F25" i="6" s="1"/>
  <c r="AC17" i="6"/>
  <c r="AD17" i="6" s="1"/>
  <c r="AJ38" i="6"/>
  <c r="AI38" i="6"/>
  <c r="AC20" i="6"/>
  <c r="AD20" i="6" s="1"/>
  <c r="R43" i="6"/>
  <c r="Q43" i="6"/>
  <c r="K33" i="6"/>
  <c r="L33" i="6" s="1"/>
  <c r="F23" i="6"/>
  <c r="E23" i="6"/>
  <c r="Q11" i="6"/>
  <c r="R11" i="6" s="1"/>
  <c r="C74" i="3"/>
  <c r="C74" i="4"/>
  <c r="W48" i="6"/>
  <c r="X48" i="6" s="1"/>
  <c r="AJ36" i="6"/>
  <c r="AI36" i="6"/>
  <c r="AC26" i="6"/>
  <c r="AD26" i="6" s="1"/>
  <c r="X16" i="6"/>
  <c r="W16" i="6"/>
  <c r="Q49" i="6"/>
  <c r="R49" i="6" s="1"/>
  <c r="K39" i="6"/>
  <c r="L39" i="6" s="1"/>
  <c r="Q33" i="6"/>
  <c r="R33" i="6" s="1"/>
  <c r="K23" i="6"/>
  <c r="L23" i="6" s="1"/>
  <c r="Q17" i="6"/>
  <c r="R17" i="6" s="1"/>
  <c r="K7" i="6"/>
  <c r="L7" i="6" s="1"/>
  <c r="AR67" i="12"/>
  <c r="AR33" i="12"/>
  <c r="AR76" i="12"/>
  <c r="AR90" i="12"/>
  <c r="AR132" i="12"/>
  <c r="AR228" i="12"/>
  <c r="AR270" i="12"/>
  <c r="B50" i="2"/>
  <c r="B53" i="2"/>
  <c r="G13" i="6" l="1"/>
  <c r="AK23" i="6"/>
  <c r="M22" i="6"/>
  <c r="M25" i="6"/>
  <c r="AK48" i="6"/>
  <c r="Y32" i="6"/>
  <c r="M8" i="6"/>
  <c r="S17" i="6"/>
  <c r="M24" i="6"/>
  <c r="G29" i="6"/>
  <c r="G50" i="6"/>
  <c r="AE44" i="6"/>
  <c r="S35" i="6"/>
  <c r="AE33" i="6"/>
  <c r="Y41" i="6"/>
  <c r="Y37" i="6"/>
  <c r="G11" i="6"/>
  <c r="S41" i="6"/>
  <c r="AE42" i="6"/>
  <c r="AK21" i="6"/>
  <c r="AK17" i="6"/>
  <c r="M23" i="6"/>
  <c r="S34" i="6"/>
  <c r="AK39" i="6"/>
  <c r="M11" i="6"/>
  <c r="AE18" i="6"/>
  <c r="G41" i="6"/>
  <c r="S30" i="6"/>
  <c r="M21" i="6"/>
  <c r="S13" i="6"/>
  <c r="Y29" i="6"/>
  <c r="AE30" i="6"/>
  <c r="G9" i="6"/>
  <c r="G22" i="6"/>
  <c r="AE31" i="6"/>
  <c r="AK32" i="6"/>
  <c r="S33" i="6"/>
  <c r="G46" i="6"/>
  <c r="G45" i="6"/>
  <c r="AE25" i="6"/>
  <c r="AK28" i="6"/>
  <c r="G42" i="6"/>
  <c r="AE6" i="6"/>
  <c r="S31" i="6"/>
  <c r="S9" i="6"/>
  <c r="AK27" i="6"/>
  <c r="G30" i="6"/>
  <c r="S22" i="6"/>
  <c r="AK45" i="6"/>
  <c r="Y24" i="6"/>
  <c r="Y23" i="6"/>
  <c r="AK41" i="6"/>
  <c r="Y31" i="6"/>
  <c r="M39" i="6"/>
  <c r="AK5" i="6"/>
  <c r="G33" i="6"/>
  <c r="Y40" i="6"/>
  <c r="Y9" i="6"/>
  <c r="M6" i="6"/>
  <c r="G43" i="6"/>
  <c r="AK6" i="6"/>
  <c r="AE43" i="6"/>
  <c r="G34" i="6"/>
  <c r="M41" i="6"/>
  <c r="AE17" i="6"/>
  <c r="Y13" i="6"/>
  <c r="S39" i="6"/>
  <c r="AK22" i="6"/>
  <c r="M52" i="6"/>
  <c r="S49" i="6"/>
  <c r="G25" i="6"/>
  <c r="Y17" i="6"/>
  <c r="S6" i="6"/>
  <c r="AE23" i="6"/>
  <c r="Y47" i="6"/>
  <c r="AE13" i="6"/>
  <c r="M46" i="6"/>
  <c r="M16" i="6"/>
  <c r="Y35" i="6"/>
  <c r="AE28" i="6"/>
  <c r="M30" i="6"/>
  <c r="AK35" i="6"/>
  <c r="Y52" i="6"/>
  <c r="AE5" i="6"/>
  <c r="M5" i="6"/>
  <c r="Y39" i="6"/>
  <c r="AE27" i="6"/>
  <c r="AK7" i="6"/>
  <c r="G18" i="6"/>
  <c r="AK33" i="6"/>
  <c r="AE29" i="6"/>
  <c r="AK11" i="6"/>
  <c r="Y51" i="6"/>
  <c r="AK46" i="6"/>
  <c r="M27" i="6"/>
  <c r="Y28" i="6"/>
  <c r="S25" i="6"/>
  <c r="M17" i="6"/>
  <c r="S50" i="6"/>
  <c r="G37" i="6"/>
  <c r="M43" i="6"/>
  <c r="AK44" i="6"/>
  <c r="AK43" i="6"/>
  <c r="S14" i="6"/>
  <c r="AK51" i="6"/>
  <c r="S15" i="6"/>
  <c r="S45" i="6"/>
  <c r="M28" i="6"/>
  <c r="Y45" i="6"/>
  <c r="AE45" i="6"/>
  <c r="G15" i="6"/>
  <c r="G10" i="6"/>
  <c r="AE15" i="6"/>
  <c r="AE38" i="6"/>
  <c r="S27" i="6"/>
  <c r="AK47" i="6"/>
  <c r="AE12" i="6"/>
  <c r="AK8" i="6"/>
  <c r="M14" i="6"/>
  <c r="M51" i="6"/>
  <c r="Y12" i="6"/>
  <c r="G27" i="6"/>
  <c r="AK25" i="6"/>
  <c r="G5" i="6"/>
  <c r="AK30" i="6"/>
  <c r="S23" i="6"/>
  <c r="AE37" i="6"/>
  <c r="Y11" i="6"/>
  <c r="AE9" i="6"/>
  <c r="AK37" i="6"/>
  <c r="M7" i="6"/>
  <c r="G14" i="6"/>
  <c r="S38" i="6"/>
  <c r="AK15" i="6"/>
  <c r="S19" i="6"/>
  <c r="Y25" i="6"/>
  <c r="M36" i="6"/>
  <c r="G285" i="16"/>
  <c r="H284" i="16"/>
  <c r="O283" i="16"/>
  <c r="Q282" i="16"/>
  <c r="G282" i="16"/>
  <c r="Q281" i="16"/>
  <c r="F285" i="16"/>
  <c r="R284" i="16"/>
  <c r="G284" i="16"/>
  <c r="N283" i="16"/>
  <c r="P282" i="16"/>
  <c r="Q284" i="16"/>
  <c r="M283" i="16"/>
  <c r="O282" i="16"/>
  <c r="N281" i="16"/>
  <c r="P280" i="16"/>
  <c r="O279" i="16"/>
  <c r="Q278" i="16"/>
  <c r="O285" i="16"/>
  <c r="P284" i="16"/>
  <c r="O280" i="16"/>
  <c r="N279" i="16"/>
  <c r="P278" i="16"/>
  <c r="O277" i="16"/>
  <c r="N285" i="16"/>
  <c r="O284" i="16"/>
  <c r="K282" i="16"/>
  <c r="L281" i="16"/>
  <c r="M280" i="16"/>
  <c r="M279" i="16"/>
  <c r="O278" i="16"/>
  <c r="N277" i="16"/>
  <c r="M285" i="16"/>
  <c r="K284" i="16"/>
  <c r="K280" i="16"/>
  <c r="L279" i="16"/>
  <c r="M278" i="16"/>
  <c r="M277" i="16"/>
  <c r="O276" i="16"/>
  <c r="G276" i="16"/>
  <c r="L285" i="16"/>
  <c r="K285" i="16"/>
  <c r="I284" i="16"/>
  <c r="I280" i="16"/>
  <c r="I279" i="16"/>
  <c r="F281" i="16"/>
  <c r="Q280" i="16"/>
  <c r="L276" i="16"/>
  <c r="H280" i="16"/>
  <c r="Q279" i="16"/>
  <c r="K276" i="16"/>
  <c r="G280" i="16"/>
  <c r="G279" i="16"/>
  <c r="R278" i="16"/>
  <c r="J276" i="16"/>
  <c r="F279" i="16"/>
  <c r="I278" i="16"/>
  <c r="H276" i="16"/>
  <c r="H278" i="16"/>
  <c r="Q277" i="16"/>
  <c r="G278" i="16"/>
  <c r="I277" i="16"/>
  <c r="G277" i="16"/>
  <c r="R276" i="16"/>
  <c r="O281" i="16"/>
  <c r="R280" i="16"/>
  <c r="F277" i="16"/>
  <c r="P276" i="16"/>
  <c r="Q276" i="16"/>
  <c r="P277" i="16"/>
  <c r="H282" i="16"/>
  <c r="F276" i="16"/>
  <c r="K279" i="16"/>
  <c r="F284" i="16"/>
  <c r="N282" i="16"/>
  <c r="I276" i="16"/>
  <c r="Q285" i="16"/>
  <c r="N278" i="16"/>
  <c r="K278" i="16"/>
  <c r="L280" i="16"/>
  <c r="G280" i="8" s="1"/>
  <c r="J284" i="16"/>
  <c r="R281" i="16"/>
  <c r="J282" i="16"/>
  <c r="Q283" i="16"/>
  <c r="L283" i="16"/>
  <c r="R277" i="16"/>
  <c r="R282" i="16"/>
  <c r="N276" i="16"/>
  <c r="J280" i="16"/>
  <c r="J277" i="16"/>
  <c r="L277" i="16"/>
  <c r="G277" i="8" s="1"/>
  <c r="J281" i="16"/>
  <c r="R283" i="16"/>
  <c r="I281" i="16"/>
  <c r="F283" i="16"/>
  <c r="G283" i="16"/>
  <c r="J285" i="16"/>
  <c r="H277" i="16"/>
  <c r="R279" i="16"/>
  <c r="P281" i="16"/>
  <c r="J283" i="16"/>
  <c r="M281" i="16"/>
  <c r="H285" i="16"/>
  <c r="M276" i="16"/>
  <c r="K277" i="16"/>
  <c r="J279" i="16"/>
  <c r="N284" i="16"/>
  <c r="H281" i="16"/>
  <c r="P283" i="16"/>
  <c r="M282" i="16"/>
  <c r="P285" i="16"/>
  <c r="I285" i="16"/>
  <c r="I282" i="16"/>
  <c r="N280" i="16"/>
  <c r="I283" i="16"/>
  <c r="F278" i="16"/>
  <c r="S278" i="16" s="1"/>
  <c r="P279" i="16"/>
  <c r="M284" i="16"/>
  <c r="K281" i="16"/>
  <c r="H283" i="16"/>
  <c r="L282" i="16"/>
  <c r="L278" i="16"/>
  <c r="G278" i="8" s="1"/>
  <c r="H279" i="16"/>
  <c r="L284" i="16"/>
  <c r="G284" i="8" s="1"/>
  <c r="F282" i="16"/>
  <c r="K283" i="16"/>
  <c r="J278" i="16"/>
  <c r="R285" i="16"/>
  <c r="G281" i="16"/>
  <c r="F280" i="16"/>
  <c r="S110" i="8"/>
  <c r="S109" i="8"/>
  <c r="S111" i="8"/>
  <c r="AK24" i="6"/>
  <c r="G19" i="6"/>
  <c r="AK36" i="6"/>
  <c r="G23" i="6"/>
  <c r="AK38" i="6"/>
  <c r="S357" i="8"/>
  <c r="S359" i="8"/>
  <c r="S358" i="8"/>
  <c r="L114" i="16"/>
  <c r="L112" i="16"/>
  <c r="K114" i="16"/>
  <c r="K112" i="16"/>
  <c r="O114" i="16"/>
  <c r="G114" i="16"/>
  <c r="O112" i="16"/>
  <c r="G112" i="16"/>
  <c r="M114" i="16"/>
  <c r="M112" i="16"/>
  <c r="P113" i="16"/>
  <c r="I113" i="16"/>
  <c r="K113" i="16"/>
  <c r="N112" i="16"/>
  <c r="H114" i="16"/>
  <c r="M113" i="16"/>
  <c r="H113" i="16"/>
  <c r="J113" i="16"/>
  <c r="P114" i="16"/>
  <c r="R113" i="16"/>
  <c r="Q114" i="16"/>
  <c r="F113" i="16"/>
  <c r="F114" i="16"/>
  <c r="N113" i="16"/>
  <c r="H112" i="16"/>
  <c r="O113" i="16"/>
  <c r="R112" i="16"/>
  <c r="F112" i="16"/>
  <c r="P112" i="16"/>
  <c r="G113" i="16"/>
  <c r="R114" i="16"/>
  <c r="N114" i="16"/>
  <c r="L113" i="16"/>
  <c r="Q113" i="16"/>
  <c r="J112" i="16"/>
  <c r="J114" i="16"/>
  <c r="I112" i="16"/>
  <c r="Q112" i="16"/>
  <c r="I114" i="16"/>
  <c r="AE46" i="6"/>
  <c r="S85" i="8"/>
  <c r="S83" i="8"/>
  <c r="S82" i="8"/>
  <c r="S84" i="8"/>
  <c r="S86" i="8"/>
  <c r="S18" i="6"/>
  <c r="AE11" i="6"/>
  <c r="P322" i="16"/>
  <c r="P318" i="16"/>
  <c r="Q315" i="16"/>
  <c r="M322" i="16"/>
  <c r="M318" i="16"/>
  <c r="L322" i="16"/>
  <c r="Q321" i="16"/>
  <c r="L318" i="16"/>
  <c r="Q317" i="16"/>
  <c r="H322" i="16"/>
  <c r="H318" i="16"/>
  <c r="P324" i="16"/>
  <c r="L321" i="16"/>
  <c r="P320" i="16"/>
  <c r="L317" i="16"/>
  <c r="Q316" i="16"/>
  <c r="I315" i="16"/>
  <c r="Q314" i="16"/>
  <c r="M324" i="16"/>
  <c r="I321" i="16"/>
  <c r="M320" i="16"/>
  <c r="I317" i="16"/>
  <c r="H315" i="16"/>
  <c r="L324" i="16"/>
  <c r="Q323" i="16"/>
  <c r="H321" i="16"/>
  <c r="L320" i="16"/>
  <c r="Q319" i="16"/>
  <c r="H317" i="16"/>
  <c r="H324" i="16"/>
  <c r="H320" i="16"/>
  <c r="L315" i="16"/>
  <c r="G315" i="8" s="1"/>
  <c r="M319" i="16"/>
  <c r="N323" i="16"/>
  <c r="P323" i="16"/>
  <c r="J314" i="16"/>
  <c r="J316" i="16"/>
  <c r="M317" i="16"/>
  <c r="N321" i="16"/>
  <c r="P321" i="16"/>
  <c r="F315" i="16"/>
  <c r="H323" i="16"/>
  <c r="I316" i="16"/>
  <c r="J319" i="16"/>
  <c r="K323" i="16"/>
  <c r="N314" i="16"/>
  <c r="N316" i="16"/>
  <c r="P316" i="16"/>
  <c r="J317" i="16"/>
  <c r="K321" i="16"/>
  <c r="J315" i="16"/>
  <c r="O314" i="16"/>
  <c r="L314" i="16"/>
  <c r="N319" i="16"/>
  <c r="F323" i="16"/>
  <c r="G314" i="16"/>
  <c r="K316" i="16"/>
  <c r="R324" i="16"/>
  <c r="G317" i="16"/>
  <c r="G321" i="16"/>
  <c r="I323" i="16"/>
  <c r="R318" i="16"/>
  <c r="F324" i="16"/>
  <c r="G324" i="16"/>
  <c r="Q318" i="16"/>
  <c r="J320" i="16"/>
  <c r="M323" i="16"/>
  <c r="F314" i="16"/>
  <c r="P317" i="16"/>
  <c r="L319" i="16"/>
  <c r="G316" i="16"/>
  <c r="H319" i="16"/>
  <c r="O322" i="16"/>
  <c r="I318" i="16"/>
  <c r="F319" i="16"/>
  <c r="M316" i="16"/>
  <c r="N315" i="16"/>
  <c r="K318" i="16"/>
  <c r="N324" i="16"/>
  <c r="O324" i="16"/>
  <c r="I320" i="16"/>
  <c r="J322" i="16"/>
  <c r="K315" i="16"/>
  <c r="K320" i="16"/>
  <c r="F320" i="8" s="1"/>
  <c r="F318" i="16"/>
  <c r="G318" i="16"/>
  <c r="Q320" i="16"/>
  <c r="J324" i="16"/>
  <c r="I319" i="16"/>
  <c r="K319" i="16"/>
  <c r="R323" i="16"/>
  <c r="K314" i="16"/>
  <c r="F314" i="8" s="1"/>
  <c r="R322" i="16"/>
  <c r="J321" i="16"/>
  <c r="F322" i="16"/>
  <c r="F316" i="16"/>
  <c r="O317" i="16"/>
  <c r="I314" i="16"/>
  <c r="J318" i="16"/>
  <c r="R319" i="16"/>
  <c r="J323" i="16"/>
  <c r="M314" i="16"/>
  <c r="N317" i="16"/>
  <c r="F321" i="16"/>
  <c r="R315" i="16"/>
  <c r="L323" i="16"/>
  <c r="K322" i="16"/>
  <c r="N318" i="16"/>
  <c r="O318" i="16"/>
  <c r="I322" i="16"/>
  <c r="O319" i="16"/>
  <c r="O323" i="16"/>
  <c r="R316" i="16"/>
  <c r="P314" i="16"/>
  <c r="F317" i="16"/>
  <c r="M321" i="16"/>
  <c r="O315" i="16"/>
  <c r="H314" i="16"/>
  <c r="K324" i="16"/>
  <c r="F320" i="16"/>
  <c r="G320" i="16"/>
  <c r="Q322" i="16"/>
  <c r="R314" i="16"/>
  <c r="R317" i="16"/>
  <c r="M315" i="16"/>
  <c r="Q324" i="16"/>
  <c r="L316" i="16"/>
  <c r="R320" i="16"/>
  <c r="O321" i="16"/>
  <c r="N322" i="16"/>
  <c r="G319" i="16"/>
  <c r="G323" i="16"/>
  <c r="O316" i="16"/>
  <c r="K317" i="16"/>
  <c r="R321" i="16"/>
  <c r="G315" i="16"/>
  <c r="P315" i="16"/>
  <c r="N320" i="16"/>
  <c r="O320" i="16"/>
  <c r="I324" i="16"/>
  <c r="P319" i="16"/>
  <c r="H316" i="16"/>
  <c r="G322" i="16"/>
  <c r="S189" i="8"/>
  <c r="S190" i="8"/>
  <c r="S191" i="8"/>
  <c r="S188" i="8"/>
  <c r="AK40" i="6"/>
  <c r="G35" i="6"/>
  <c r="M143" i="16"/>
  <c r="H142" i="16"/>
  <c r="L139" i="16"/>
  <c r="L143" i="16"/>
  <c r="H140" i="16"/>
  <c r="M141" i="16"/>
  <c r="P142" i="16"/>
  <c r="L141" i="16"/>
  <c r="P140" i="16"/>
  <c r="M139" i="16"/>
  <c r="L140" i="16"/>
  <c r="Q140" i="16"/>
  <c r="R140" i="16"/>
  <c r="J141" i="16"/>
  <c r="J142" i="16"/>
  <c r="O139" i="16"/>
  <c r="H143" i="16"/>
  <c r="J140" i="16"/>
  <c r="O140" i="16"/>
  <c r="Q139" i="16"/>
  <c r="Q141" i="16"/>
  <c r="G140" i="16"/>
  <c r="M142" i="16"/>
  <c r="I140" i="16"/>
  <c r="N142" i="16"/>
  <c r="K139" i="16"/>
  <c r="I142" i="16"/>
  <c r="N143" i="16"/>
  <c r="K142" i="16"/>
  <c r="F142" i="8" s="1"/>
  <c r="I142" i="8" s="1"/>
  <c r="H139" i="16"/>
  <c r="I139" i="16"/>
  <c r="M140" i="16"/>
  <c r="F140" i="16"/>
  <c r="R143" i="16"/>
  <c r="G142" i="16"/>
  <c r="N139" i="16"/>
  <c r="O143" i="16"/>
  <c r="H141" i="16"/>
  <c r="I143" i="16"/>
  <c r="R141" i="16"/>
  <c r="F141" i="16"/>
  <c r="O141" i="16"/>
  <c r="K140" i="16"/>
  <c r="F142" i="16"/>
  <c r="N141" i="16"/>
  <c r="G143" i="16"/>
  <c r="P139" i="16"/>
  <c r="N140" i="16"/>
  <c r="J143" i="16"/>
  <c r="R142" i="16"/>
  <c r="P141" i="16"/>
  <c r="I141" i="16"/>
  <c r="Q143" i="16"/>
  <c r="K141" i="16"/>
  <c r="Q142" i="16"/>
  <c r="F143" i="16"/>
  <c r="L142" i="16"/>
  <c r="G142" i="8" s="1"/>
  <c r="O142" i="16"/>
  <c r="P143" i="16"/>
  <c r="K143" i="16"/>
  <c r="R139" i="16"/>
  <c r="J139" i="16"/>
  <c r="G139" i="16"/>
  <c r="F139" i="16"/>
  <c r="G141" i="16"/>
  <c r="S64" i="8"/>
  <c r="S63" i="8"/>
  <c r="S60" i="8"/>
  <c r="S62" i="8"/>
  <c r="S61" i="8"/>
  <c r="S135" i="8"/>
  <c r="S128" i="8"/>
  <c r="S132" i="8"/>
  <c r="S134" i="8"/>
  <c r="S127" i="8"/>
  <c r="S133" i="8"/>
  <c r="S126" i="8"/>
  <c r="S131" i="8"/>
  <c r="S125" i="8"/>
  <c r="S129" i="8"/>
  <c r="S130" i="8"/>
  <c r="Y27" i="6"/>
  <c r="AK9" i="6"/>
  <c r="AK14" i="6"/>
  <c r="AE22" i="6"/>
  <c r="S36" i="8"/>
  <c r="S35" i="8"/>
  <c r="F39" i="15"/>
  <c r="G356" i="16"/>
  <c r="O354" i="16"/>
  <c r="M354" i="16"/>
  <c r="I355" i="16"/>
  <c r="G354" i="16"/>
  <c r="Q353" i="16"/>
  <c r="O356" i="16"/>
  <c r="M356" i="16"/>
  <c r="G355" i="16"/>
  <c r="H355" i="16"/>
  <c r="K354" i="16"/>
  <c r="P355" i="16"/>
  <c r="I353" i="16"/>
  <c r="M353" i="16"/>
  <c r="N354" i="16"/>
  <c r="I356" i="16"/>
  <c r="J356" i="16"/>
  <c r="R353" i="16"/>
  <c r="N356" i="16"/>
  <c r="R355" i="16"/>
  <c r="K356" i="16"/>
  <c r="N353" i="16"/>
  <c r="L356" i="16"/>
  <c r="Q354" i="16"/>
  <c r="O355" i="16"/>
  <c r="L353" i="16"/>
  <c r="F356" i="16"/>
  <c r="H354" i="16"/>
  <c r="Q356" i="16"/>
  <c r="R356" i="16"/>
  <c r="K353" i="16"/>
  <c r="N355" i="16"/>
  <c r="R354" i="16"/>
  <c r="P354" i="16"/>
  <c r="J355" i="16"/>
  <c r="F355" i="16"/>
  <c r="J353" i="16"/>
  <c r="Q355" i="16"/>
  <c r="H356" i="16"/>
  <c r="M355" i="16"/>
  <c r="O353" i="16"/>
  <c r="P353" i="16"/>
  <c r="P356" i="16"/>
  <c r="F353" i="16"/>
  <c r="F354" i="16"/>
  <c r="L355" i="16"/>
  <c r="G353" i="16"/>
  <c r="H353" i="16"/>
  <c r="K355" i="16"/>
  <c r="L354" i="16"/>
  <c r="J354" i="16"/>
  <c r="I354" i="16"/>
  <c r="S26" i="6"/>
  <c r="AE19" i="6"/>
  <c r="I236" i="16"/>
  <c r="R235" i="16"/>
  <c r="F236" i="16"/>
  <c r="S236" i="16" s="1"/>
  <c r="Q235" i="16"/>
  <c r="K234" i="16"/>
  <c r="Q236" i="16"/>
  <c r="N236" i="16"/>
  <c r="K236" i="16"/>
  <c r="Q237" i="16"/>
  <c r="N234" i="16"/>
  <c r="J237" i="16"/>
  <c r="P236" i="16"/>
  <c r="M235" i="16"/>
  <c r="L237" i="16"/>
  <c r="M234" i="16"/>
  <c r="J235" i="16"/>
  <c r="I234" i="16"/>
  <c r="G236" i="16"/>
  <c r="F235" i="16"/>
  <c r="H237" i="16"/>
  <c r="P234" i="16"/>
  <c r="O236" i="16"/>
  <c r="N235" i="16"/>
  <c r="F237" i="16"/>
  <c r="L236" i="16"/>
  <c r="I235" i="16"/>
  <c r="L235" i="16"/>
  <c r="G235" i="8" s="1"/>
  <c r="K237" i="16"/>
  <c r="R234" i="16"/>
  <c r="P237" i="16"/>
  <c r="M236" i="16"/>
  <c r="K235" i="16"/>
  <c r="J234" i="16"/>
  <c r="Q234" i="16"/>
  <c r="R237" i="16"/>
  <c r="P235" i="16"/>
  <c r="M237" i="16"/>
  <c r="H234" i="16"/>
  <c r="G235" i="16"/>
  <c r="G237" i="16"/>
  <c r="H235" i="16"/>
  <c r="O235" i="16"/>
  <c r="O234" i="16"/>
  <c r="F234" i="16"/>
  <c r="R236" i="16"/>
  <c r="I237" i="16"/>
  <c r="G234" i="16"/>
  <c r="H236" i="16"/>
  <c r="N237" i="16"/>
  <c r="J236" i="16"/>
  <c r="L234" i="16"/>
  <c r="G234" i="8" s="1"/>
  <c r="O237" i="16"/>
  <c r="S100" i="8"/>
  <c r="S99" i="8"/>
  <c r="S98" i="8"/>
  <c r="AE41" i="6"/>
  <c r="O264" i="16"/>
  <c r="M263" i="16"/>
  <c r="O262" i="16"/>
  <c r="M261" i="16"/>
  <c r="O260" i="16"/>
  <c r="O256" i="16"/>
  <c r="L264" i="16"/>
  <c r="L263" i="16"/>
  <c r="L262" i="16"/>
  <c r="L261" i="16"/>
  <c r="K264" i="16"/>
  <c r="K263" i="16"/>
  <c r="K262" i="16"/>
  <c r="K261" i="16"/>
  <c r="L260" i="16"/>
  <c r="N259" i="16"/>
  <c r="Q258" i="16"/>
  <c r="H258" i="16"/>
  <c r="L256" i="16"/>
  <c r="N255" i="16"/>
  <c r="H263" i="16"/>
  <c r="H261" i="16"/>
  <c r="I264" i="16"/>
  <c r="G263" i="16"/>
  <c r="I262" i="16"/>
  <c r="G261" i="16"/>
  <c r="R264" i="16"/>
  <c r="H264" i="16"/>
  <c r="P263" i="16"/>
  <c r="F263" i="16"/>
  <c r="S263" i="16" s="1"/>
  <c r="R262" i="16"/>
  <c r="H262" i="16"/>
  <c r="P261" i="16"/>
  <c r="F261" i="16"/>
  <c r="R260" i="16"/>
  <c r="I260" i="16"/>
  <c r="R256" i="16"/>
  <c r="I256" i="16"/>
  <c r="Q264" i="16"/>
  <c r="G264" i="16"/>
  <c r="O263" i="16"/>
  <c r="Q262" i="16"/>
  <c r="G262" i="16"/>
  <c r="O261" i="16"/>
  <c r="Q260" i="16"/>
  <c r="H260" i="16"/>
  <c r="L258" i="16"/>
  <c r="Q256" i="16"/>
  <c r="H256" i="16"/>
  <c r="N263" i="16"/>
  <c r="N261" i="16"/>
  <c r="N257" i="16"/>
  <c r="O257" i="16"/>
  <c r="F256" i="16"/>
  <c r="J260" i="16"/>
  <c r="M255" i="16"/>
  <c r="N262" i="16"/>
  <c r="J264" i="16"/>
  <c r="R261" i="16"/>
  <c r="F255" i="16"/>
  <c r="P255" i="16"/>
  <c r="Q255" i="16"/>
  <c r="G256" i="16"/>
  <c r="I259" i="16"/>
  <c r="P257" i="16"/>
  <c r="G258" i="16"/>
  <c r="J262" i="16"/>
  <c r="I254" i="16"/>
  <c r="K257" i="16"/>
  <c r="F258" i="16"/>
  <c r="I261" i="16"/>
  <c r="Q257" i="16"/>
  <c r="P264" i="16"/>
  <c r="R255" i="16"/>
  <c r="N256" i="16"/>
  <c r="K260" i="16"/>
  <c r="L254" i="16"/>
  <c r="J255" i="16"/>
  <c r="F254" i="16"/>
  <c r="J256" i="16"/>
  <c r="R257" i="16"/>
  <c r="F259" i="16"/>
  <c r="H255" i="16"/>
  <c r="F262" i="16"/>
  <c r="O259" i="16"/>
  <c r="M259" i="16"/>
  <c r="Q254" i="16"/>
  <c r="I255" i="16"/>
  <c r="N254" i="16"/>
  <c r="G257" i="16"/>
  <c r="H254" i="16"/>
  <c r="J257" i="16"/>
  <c r="G255" i="16"/>
  <c r="R258" i="16"/>
  <c r="M257" i="16"/>
  <c r="R259" i="16"/>
  <c r="K255" i="16"/>
  <c r="O258" i="16"/>
  <c r="P254" i="16"/>
  <c r="M262" i="16"/>
  <c r="I257" i="16"/>
  <c r="M260" i="16"/>
  <c r="L257" i="16"/>
  <c r="Q261" i="16"/>
  <c r="M254" i="16"/>
  <c r="L255" i="16"/>
  <c r="K258" i="16"/>
  <c r="J259" i="16"/>
  <c r="F257" i="16"/>
  <c r="L259" i="16"/>
  <c r="G259" i="8" s="1"/>
  <c r="K256" i="16"/>
  <c r="R263" i="16"/>
  <c r="J254" i="16"/>
  <c r="N258" i="16"/>
  <c r="I263" i="16"/>
  <c r="P256" i="16"/>
  <c r="M264" i="16"/>
  <c r="M256" i="16"/>
  <c r="P260" i="16"/>
  <c r="K254" i="16"/>
  <c r="Q259" i="16"/>
  <c r="H259" i="16"/>
  <c r="M258" i="16"/>
  <c r="G254" i="16"/>
  <c r="N260" i="16"/>
  <c r="H257" i="16"/>
  <c r="N264" i="16"/>
  <c r="R254" i="16"/>
  <c r="J258" i="16"/>
  <c r="Q263" i="16"/>
  <c r="P259" i="16"/>
  <c r="J261" i="16"/>
  <c r="J263" i="16"/>
  <c r="P262" i="16"/>
  <c r="G260" i="16"/>
  <c r="K259" i="16"/>
  <c r="O254" i="16"/>
  <c r="F260" i="16"/>
  <c r="P258" i="16"/>
  <c r="F264" i="16"/>
  <c r="O255" i="16"/>
  <c r="G259" i="16"/>
  <c r="I258" i="16"/>
  <c r="O352" i="16"/>
  <c r="M352" i="16"/>
  <c r="H352" i="16"/>
  <c r="P352" i="16"/>
  <c r="N352" i="16"/>
  <c r="K352" i="16"/>
  <c r="F352" i="16"/>
  <c r="S352" i="16" s="1"/>
  <c r="I352" i="16"/>
  <c r="R352" i="16"/>
  <c r="L352" i="16"/>
  <c r="J352" i="16"/>
  <c r="G352" i="16"/>
  <c r="Q352" i="16"/>
  <c r="S235" i="8"/>
  <c r="S236" i="8"/>
  <c r="S234" i="8"/>
  <c r="S237" i="8"/>
  <c r="L100" i="16"/>
  <c r="L98" i="16"/>
  <c r="K100" i="16"/>
  <c r="K98" i="16"/>
  <c r="O100" i="16"/>
  <c r="G100" i="16"/>
  <c r="O98" i="16"/>
  <c r="G98" i="16"/>
  <c r="M98" i="16"/>
  <c r="Q99" i="16"/>
  <c r="M100" i="16"/>
  <c r="L99" i="16"/>
  <c r="R98" i="16"/>
  <c r="N98" i="16"/>
  <c r="H99" i="16"/>
  <c r="R99" i="16"/>
  <c r="N100" i="16"/>
  <c r="P100" i="16"/>
  <c r="I100" i="16"/>
  <c r="O99" i="16"/>
  <c r="J99" i="16"/>
  <c r="I99" i="16"/>
  <c r="G99" i="16"/>
  <c r="R100" i="16"/>
  <c r="N99" i="16"/>
  <c r="M99" i="16"/>
  <c r="F98" i="16"/>
  <c r="H98" i="16"/>
  <c r="P99" i="16"/>
  <c r="F99" i="16"/>
  <c r="P98" i="16"/>
  <c r="K99" i="16"/>
  <c r="H100" i="16"/>
  <c r="F100" i="16"/>
  <c r="I98" i="16"/>
  <c r="J98" i="16"/>
  <c r="Q98" i="16"/>
  <c r="J100" i="16"/>
  <c r="Q100" i="16"/>
  <c r="B85" i="2"/>
  <c r="S343" i="8"/>
  <c r="S342" i="8"/>
  <c r="C85" i="2"/>
  <c r="S322" i="8"/>
  <c r="S316" i="8"/>
  <c r="S319" i="8"/>
  <c r="S321" i="8"/>
  <c r="S314" i="8"/>
  <c r="S320" i="8"/>
  <c r="S317" i="8"/>
  <c r="S323" i="8"/>
  <c r="S315" i="8"/>
  <c r="S324" i="8"/>
  <c r="S318" i="8"/>
  <c r="M189" i="16"/>
  <c r="N188" i="16"/>
  <c r="I191" i="16"/>
  <c r="K189" i="16"/>
  <c r="M188" i="16"/>
  <c r="K188" i="16"/>
  <c r="O191" i="16"/>
  <c r="R189" i="16"/>
  <c r="G189" i="16"/>
  <c r="I188" i="16"/>
  <c r="O189" i="16"/>
  <c r="Q188" i="16"/>
  <c r="F188" i="16"/>
  <c r="K191" i="16"/>
  <c r="F189" i="16"/>
  <c r="Q191" i="16"/>
  <c r="H189" i="16"/>
  <c r="H190" i="16"/>
  <c r="L191" i="16"/>
  <c r="N191" i="16"/>
  <c r="F190" i="16"/>
  <c r="L188" i="16"/>
  <c r="H191" i="16"/>
  <c r="O188" i="16"/>
  <c r="G190" i="16"/>
  <c r="I189" i="16"/>
  <c r="M191" i="16"/>
  <c r="G188" i="16"/>
  <c r="P188" i="16"/>
  <c r="R188" i="16"/>
  <c r="Q189" i="16"/>
  <c r="H188" i="16"/>
  <c r="G191" i="16"/>
  <c r="O190" i="16"/>
  <c r="J188" i="16"/>
  <c r="K190" i="16"/>
  <c r="Q190" i="16"/>
  <c r="R190" i="16"/>
  <c r="L189" i="16"/>
  <c r="G189" i="8" s="1"/>
  <c r="R191" i="16"/>
  <c r="I190" i="16"/>
  <c r="N189" i="16"/>
  <c r="F191" i="16"/>
  <c r="P189" i="16"/>
  <c r="P190" i="16"/>
  <c r="P191" i="16"/>
  <c r="M190" i="16"/>
  <c r="J189" i="16"/>
  <c r="L190" i="16"/>
  <c r="J191" i="16"/>
  <c r="J190" i="16"/>
  <c r="N190" i="16"/>
  <c r="S140" i="8"/>
  <c r="S142" i="8"/>
  <c r="S141" i="8"/>
  <c r="S139" i="8"/>
  <c r="S143" i="8"/>
  <c r="M64" i="16"/>
  <c r="H63" i="16"/>
  <c r="O62" i="16"/>
  <c r="L64" i="16"/>
  <c r="G63" i="16"/>
  <c r="M62" i="16"/>
  <c r="H61" i="16"/>
  <c r="O60" i="16"/>
  <c r="K64" i="16"/>
  <c r="L62" i="16"/>
  <c r="M60" i="16"/>
  <c r="G64" i="16"/>
  <c r="Q63" i="16"/>
  <c r="K62" i="16"/>
  <c r="L60" i="16"/>
  <c r="G60" i="8" s="1"/>
  <c r="P63" i="16"/>
  <c r="G62" i="16"/>
  <c r="K60" i="16"/>
  <c r="O63" i="16"/>
  <c r="P61" i="16"/>
  <c r="G60" i="16"/>
  <c r="O64" i="16"/>
  <c r="I63" i="16"/>
  <c r="J61" i="16"/>
  <c r="J63" i="16"/>
  <c r="I61" i="16"/>
  <c r="R62" i="16"/>
  <c r="N60" i="16"/>
  <c r="P60" i="16"/>
  <c r="I60" i="16"/>
  <c r="N61" i="16"/>
  <c r="N63" i="16"/>
  <c r="F62" i="16"/>
  <c r="H62" i="16"/>
  <c r="Q60" i="16"/>
  <c r="F61" i="16"/>
  <c r="F63" i="16"/>
  <c r="N62" i="16"/>
  <c r="P62" i="16"/>
  <c r="I62" i="16"/>
  <c r="M61" i="16"/>
  <c r="M63" i="16"/>
  <c r="R60" i="16"/>
  <c r="F64" i="16"/>
  <c r="H64" i="16"/>
  <c r="Q62" i="16"/>
  <c r="J60" i="16"/>
  <c r="R61" i="16"/>
  <c r="R63" i="16"/>
  <c r="Q64" i="16"/>
  <c r="J64" i="16"/>
  <c r="L61" i="16"/>
  <c r="L63" i="16"/>
  <c r="I64" i="16"/>
  <c r="K61" i="16"/>
  <c r="K63" i="16"/>
  <c r="F60" i="16"/>
  <c r="G61" i="16"/>
  <c r="N64" i="16"/>
  <c r="J62" i="16"/>
  <c r="H60" i="16"/>
  <c r="O61" i="16"/>
  <c r="Q61" i="16"/>
  <c r="P64" i="16"/>
  <c r="R64" i="16"/>
  <c r="M34" i="16"/>
  <c r="M32" i="16"/>
  <c r="O32" i="16"/>
  <c r="H34" i="16"/>
  <c r="G34" i="16"/>
  <c r="Q32" i="16"/>
  <c r="J32" i="16"/>
  <c r="G33" i="16"/>
  <c r="H33" i="16"/>
  <c r="N32" i="16"/>
  <c r="O34" i="16"/>
  <c r="M33" i="16"/>
  <c r="R32" i="16"/>
  <c r="O33" i="16"/>
  <c r="P33" i="16"/>
  <c r="F32" i="16"/>
  <c r="R33" i="16"/>
  <c r="I34" i="16"/>
  <c r="F33" i="16"/>
  <c r="K34" i="16"/>
  <c r="F34" i="8" s="1"/>
  <c r="L34" i="16"/>
  <c r="J33" i="16"/>
  <c r="N34" i="16"/>
  <c r="H32" i="16"/>
  <c r="Q34" i="16"/>
  <c r="N33" i="16"/>
  <c r="F34" i="16"/>
  <c r="G32" i="16"/>
  <c r="L33" i="16"/>
  <c r="R34" i="16"/>
  <c r="Q33" i="16"/>
  <c r="P34" i="16"/>
  <c r="K33" i="16"/>
  <c r="L32" i="16"/>
  <c r="J34" i="16"/>
  <c r="I32" i="16"/>
  <c r="K32" i="16"/>
  <c r="I33" i="16"/>
  <c r="P32" i="16"/>
  <c r="M36" i="16"/>
  <c r="Q36" i="16"/>
  <c r="F35" i="16"/>
  <c r="I35" i="16"/>
  <c r="L35" i="16"/>
  <c r="J36" i="16"/>
  <c r="N36" i="16"/>
  <c r="H36" i="16"/>
  <c r="R36" i="16"/>
  <c r="R35" i="16"/>
  <c r="K35" i="16"/>
  <c r="P36" i="16"/>
  <c r="G36" i="16"/>
  <c r="G35" i="16"/>
  <c r="H35" i="16"/>
  <c r="I36" i="16"/>
  <c r="K36" i="16"/>
  <c r="L36" i="16"/>
  <c r="F36" i="16"/>
  <c r="Q35" i="16"/>
  <c r="O36" i="16"/>
  <c r="P35" i="16"/>
  <c r="N35" i="16"/>
  <c r="O35" i="16"/>
  <c r="J35" i="16"/>
  <c r="M35" i="16"/>
  <c r="M33" i="6"/>
  <c r="L343" i="16"/>
  <c r="M342" i="16"/>
  <c r="P343" i="16"/>
  <c r="H343" i="16"/>
  <c r="L342" i="16"/>
  <c r="P342" i="16"/>
  <c r="H342" i="16"/>
  <c r="Q343" i="16"/>
  <c r="R342" i="16"/>
  <c r="O342" i="16"/>
  <c r="J342" i="16"/>
  <c r="K343" i="16"/>
  <c r="F343" i="16"/>
  <c r="O343" i="16"/>
  <c r="I343" i="16"/>
  <c r="J343" i="16"/>
  <c r="K342" i="16"/>
  <c r="F342" i="16"/>
  <c r="I342" i="16"/>
  <c r="N343" i="16"/>
  <c r="G343" i="16"/>
  <c r="N342" i="16"/>
  <c r="Q342" i="16"/>
  <c r="M343" i="16"/>
  <c r="R343" i="16"/>
  <c r="G342" i="16"/>
  <c r="AE10" i="6"/>
  <c r="AK52" i="6"/>
  <c r="G39" i="6"/>
  <c r="AE52" i="6"/>
  <c r="M35" i="6"/>
  <c r="O187" i="16"/>
  <c r="F187" i="16"/>
  <c r="N185" i="16"/>
  <c r="F185" i="16"/>
  <c r="N183" i="16"/>
  <c r="F183" i="16"/>
  <c r="N187" i="16"/>
  <c r="M185" i="16"/>
  <c r="M183" i="16"/>
  <c r="M187" i="16"/>
  <c r="L185" i="16"/>
  <c r="L183" i="16"/>
  <c r="L187" i="16"/>
  <c r="K185" i="16"/>
  <c r="K183" i="16"/>
  <c r="K187" i="16"/>
  <c r="R185" i="16"/>
  <c r="J185" i="16"/>
  <c r="N184" i="16"/>
  <c r="F184" i="16"/>
  <c r="S184" i="16" s="1"/>
  <c r="R183" i="16"/>
  <c r="J183" i="16"/>
  <c r="N182" i="16"/>
  <c r="F182" i="16"/>
  <c r="R187" i="16"/>
  <c r="I187" i="16"/>
  <c r="P185" i="16"/>
  <c r="H185" i="16"/>
  <c r="P183" i="16"/>
  <c r="H183" i="16"/>
  <c r="K184" i="16"/>
  <c r="L186" i="16"/>
  <c r="I183" i="16"/>
  <c r="O186" i="16"/>
  <c r="H182" i="16"/>
  <c r="R182" i="16"/>
  <c r="K186" i="16"/>
  <c r="M186" i="16"/>
  <c r="G182" i="16"/>
  <c r="P184" i="16"/>
  <c r="I184" i="16"/>
  <c r="R184" i="16"/>
  <c r="K182" i="16"/>
  <c r="H187" i="16"/>
  <c r="G184" i="16"/>
  <c r="P186" i="16"/>
  <c r="I186" i="16"/>
  <c r="O183" i="16"/>
  <c r="P182" i="16"/>
  <c r="I182" i="16"/>
  <c r="J184" i="16"/>
  <c r="Q183" i="16"/>
  <c r="Q185" i="16"/>
  <c r="G185" i="16"/>
  <c r="F186" i="16"/>
  <c r="H184" i="16"/>
  <c r="Q182" i="16"/>
  <c r="J186" i="16"/>
  <c r="O185" i="16"/>
  <c r="N186" i="16"/>
  <c r="H186" i="16"/>
  <c r="Q184" i="16"/>
  <c r="G187" i="16"/>
  <c r="M182" i="16"/>
  <c r="Q186" i="16"/>
  <c r="M184" i="16"/>
  <c r="L182" i="16"/>
  <c r="I185" i="16"/>
  <c r="O182" i="16"/>
  <c r="Q187" i="16"/>
  <c r="J182" i="16"/>
  <c r="R186" i="16"/>
  <c r="L184" i="16"/>
  <c r="P187" i="16"/>
  <c r="O184" i="16"/>
  <c r="G183" i="16"/>
  <c r="J187" i="16"/>
  <c r="G186" i="16"/>
  <c r="S76" i="8"/>
  <c r="S78" i="8"/>
  <c r="S77" i="8"/>
  <c r="S81" i="8"/>
  <c r="S75" i="8"/>
  <c r="S80" i="8"/>
  <c r="S73" i="8"/>
  <c r="S74" i="8"/>
  <c r="S79" i="8"/>
  <c r="S72" i="8"/>
  <c r="G21" i="6"/>
  <c r="M44" i="6"/>
  <c r="AE39" i="6"/>
  <c r="Y15" i="6"/>
  <c r="P55" i="16"/>
  <c r="G54" i="16"/>
  <c r="K52" i="16"/>
  <c r="L50" i="16"/>
  <c r="I59" i="16"/>
  <c r="O55" i="16"/>
  <c r="P53" i="16"/>
  <c r="G52" i="16"/>
  <c r="Q51" i="16"/>
  <c r="K50" i="16"/>
  <c r="M38" i="16"/>
  <c r="O58" i="16"/>
  <c r="G50" i="16"/>
  <c r="G59" i="16"/>
  <c r="M58" i="16"/>
  <c r="O56" i="16"/>
  <c r="I55" i="16"/>
  <c r="O51" i="16"/>
  <c r="L58" i="16"/>
  <c r="M56" i="16"/>
  <c r="H55" i="16"/>
  <c r="O54" i="16"/>
  <c r="Q59" i="16"/>
  <c r="K58" i="16"/>
  <c r="L56" i="16"/>
  <c r="G55" i="16"/>
  <c r="M54" i="16"/>
  <c r="H53" i="16"/>
  <c r="O52" i="16"/>
  <c r="I51" i="16"/>
  <c r="G58" i="16"/>
  <c r="K56" i="16"/>
  <c r="L54" i="16"/>
  <c r="M52" i="16"/>
  <c r="O50" i="16"/>
  <c r="O59" i="16"/>
  <c r="G56" i="16"/>
  <c r="Q55" i="16"/>
  <c r="K54" i="16"/>
  <c r="L52" i="16"/>
  <c r="G51" i="16"/>
  <c r="M50" i="16"/>
  <c r="R45" i="16"/>
  <c r="G38" i="16"/>
  <c r="K43" i="16"/>
  <c r="H49" i="16"/>
  <c r="L39" i="16"/>
  <c r="P44" i="16"/>
  <c r="P59" i="16"/>
  <c r="I42" i="16"/>
  <c r="M47" i="16"/>
  <c r="M49" i="16"/>
  <c r="F39" i="16"/>
  <c r="F43" i="16"/>
  <c r="S43" i="16" s="1"/>
  <c r="F47" i="16"/>
  <c r="L51" i="16"/>
  <c r="G37" i="16"/>
  <c r="K42" i="16"/>
  <c r="O47" i="16"/>
  <c r="J53" i="16"/>
  <c r="H37" i="16"/>
  <c r="L42" i="16"/>
  <c r="P47" i="16"/>
  <c r="M55" i="16"/>
  <c r="Q41" i="16"/>
  <c r="I47" i="16"/>
  <c r="J57" i="16"/>
  <c r="J37" i="16"/>
  <c r="J45" i="16"/>
  <c r="N50" i="16"/>
  <c r="N58" i="16"/>
  <c r="I53" i="16"/>
  <c r="N38" i="16"/>
  <c r="K39" i="16"/>
  <c r="O44" i="16"/>
  <c r="P57" i="16"/>
  <c r="P40" i="16"/>
  <c r="H46" i="16"/>
  <c r="I38" i="16"/>
  <c r="M43" i="16"/>
  <c r="J48" i="16"/>
  <c r="R49" i="16"/>
  <c r="J40" i="16"/>
  <c r="J44" i="16"/>
  <c r="L48" i="16"/>
  <c r="J51" i="16"/>
  <c r="K38" i="16"/>
  <c r="O43" i="16"/>
  <c r="P49" i="16"/>
  <c r="H57" i="16"/>
  <c r="L38" i="16"/>
  <c r="P43" i="16"/>
  <c r="Q49" i="16"/>
  <c r="R55" i="16"/>
  <c r="I37" i="16"/>
  <c r="I43" i="16"/>
  <c r="O48" i="16"/>
  <c r="J39" i="16"/>
  <c r="J47" i="16"/>
  <c r="F59" i="16"/>
  <c r="N52" i="16"/>
  <c r="P52" i="16"/>
  <c r="I52" i="16"/>
  <c r="J54" i="16"/>
  <c r="N46" i="16"/>
  <c r="G40" i="16"/>
  <c r="K45" i="16"/>
  <c r="L41" i="16"/>
  <c r="P46" i="16"/>
  <c r="Q38" i="16"/>
  <c r="I44" i="16"/>
  <c r="P48" i="16"/>
  <c r="J49" i="16"/>
  <c r="R40" i="16"/>
  <c r="R44" i="16"/>
  <c r="O49" i="16"/>
  <c r="K51" i="16"/>
  <c r="G39" i="16"/>
  <c r="K44" i="16"/>
  <c r="N53" i="16"/>
  <c r="R58" i="16"/>
  <c r="H39" i="16"/>
  <c r="L44" i="16"/>
  <c r="P51" i="16"/>
  <c r="J55" i="16"/>
  <c r="Q37" i="16"/>
  <c r="Q43" i="16"/>
  <c r="N57" i="16"/>
  <c r="F40" i="16"/>
  <c r="F48" i="16"/>
  <c r="M59" i="16"/>
  <c r="F54" i="16"/>
  <c r="H54" i="16"/>
  <c r="Q52" i="16"/>
  <c r="R39" i="16"/>
  <c r="N44" i="16"/>
  <c r="N40" i="16"/>
  <c r="O40" i="16"/>
  <c r="G46" i="16"/>
  <c r="H42" i="16"/>
  <c r="L47" i="16"/>
  <c r="M39" i="16"/>
  <c r="Q44" i="16"/>
  <c r="H48" i="16"/>
  <c r="K49" i="16"/>
  <c r="F37" i="16"/>
  <c r="F41" i="16"/>
  <c r="F45" i="16"/>
  <c r="R56" i="16"/>
  <c r="O39" i="16"/>
  <c r="G45" i="16"/>
  <c r="F53" i="16"/>
  <c r="S53" i="16" s="1"/>
  <c r="P39" i="16"/>
  <c r="H45" i="16"/>
  <c r="O53" i="16"/>
  <c r="K55" i="16"/>
  <c r="I39" i="16"/>
  <c r="M44" i="16"/>
  <c r="F57" i="16"/>
  <c r="J41" i="16"/>
  <c r="Q48" i="16"/>
  <c r="L59" i="16"/>
  <c r="N54" i="16"/>
  <c r="P54" i="16"/>
  <c r="I54" i="16"/>
  <c r="J58" i="16"/>
  <c r="R47" i="16"/>
  <c r="R41" i="16"/>
  <c r="R43" i="16"/>
  <c r="I48" i="16"/>
  <c r="K41" i="16"/>
  <c r="O46" i="16"/>
  <c r="L37" i="16"/>
  <c r="P42" i="16"/>
  <c r="R52" i="16"/>
  <c r="I40" i="16"/>
  <c r="M45" i="16"/>
  <c r="K48" i="16"/>
  <c r="R54" i="16"/>
  <c r="N37" i="16"/>
  <c r="N41" i="16"/>
  <c r="N45" i="16"/>
  <c r="N51" i="16"/>
  <c r="G57" i="16"/>
  <c r="K40" i="16"/>
  <c r="O45" i="16"/>
  <c r="M53" i="16"/>
  <c r="L40" i="16"/>
  <c r="P45" i="16"/>
  <c r="Q39" i="16"/>
  <c r="I45" i="16"/>
  <c r="M57" i="16"/>
  <c r="F42" i="16"/>
  <c r="G49" i="16"/>
  <c r="R59" i="16"/>
  <c r="F56" i="16"/>
  <c r="H56" i="16"/>
  <c r="Q54" i="16"/>
  <c r="N42" i="16"/>
  <c r="I49" i="16"/>
  <c r="R37" i="16"/>
  <c r="I57" i="16"/>
  <c r="H59" i="16"/>
  <c r="K37" i="16"/>
  <c r="O42" i="16"/>
  <c r="G48" i="16"/>
  <c r="P38" i="16"/>
  <c r="H44" i="16"/>
  <c r="Q57" i="16"/>
  <c r="M41" i="16"/>
  <c r="Q46" i="16"/>
  <c r="F49" i="16"/>
  <c r="R38" i="16"/>
  <c r="R42" i="16"/>
  <c r="R46" i="16"/>
  <c r="M51" i="16"/>
  <c r="O41" i="16"/>
  <c r="G47" i="16"/>
  <c r="R53" i="16"/>
  <c r="P41" i="16"/>
  <c r="H47" i="16"/>
  <c r="F55" i="16"/>
  <c r="S55" i="16" s="1"/>
  <c r="I41" i="16"/>
  <c r="M46" i="16"/>
  <c r="R57" i="16"/>
  <c r="F44" i="16"/>
  <c r="O57" i="16"/>
  <c r="K59" i="16"/>
  <c r="F50" i="16"/>
  <c r="F58" i="16"/>
  <c r="S58" i="16" s="1"/>
  <c r="H50" i="16"/>
  <c r="H58" i="16"/>
  <c r="Q56" i="16"/>
  <c r="H51" i="16"/>
  <c r="M37" i="16"/>
  <c r="N43" i="16"/>
  <c r="O37" i="16"/>
  <c r="N48" i="16"/>
  <c r="F38" i="16"/>
  <c r="H38" i="16"/>
  <c r="Q40" i="16"/>
  <c r="J46" i="16"/>
  <c r="G41" i="16"/>
  <c r="M40" i="16"/>
  <c r="J43" i="16"/>
  <c r="F52" i="16"/>
  <c r="S52" i="16" s="1"/>
  <c r="P50" i="16"/>
  <c r="J50" i="16"/>
  <c r="H40" i="16"/>
  <c r="Q42" i="16"/>
  <c r="N47" i="16"/>
  <c r="G43" i="16"/>
  <c r="N55" i="16"/>
  <c r="M42" i="16"/>
  <c r="F46" i="16"/>
  <c r="N56" i="16"/>
  <c r="H52" i="16"/>
  <c r="J52" i="16"/>
  <c r="O38" i="16"/>
  <c r="L43" i="16"/>
  <c r="I46" i="16"/>
  <c r="K46" i="16"/>
  <c r="F46" i="8" s="1"/>
  <c r="I46" i="8" s="1"/>
  <c r="L55" i="16"/>
  <c r="Q45" i="16"/>
  <c r="Q53" i="16"/>
  <c r="P56" i="16"/>
  <c r="I50" i="16"/>
  <c r="J56" i="16"/>
  <c r="G42" i="16"/>
  <c r="L45" i="16"/>
  <c r="G45" i="8" s="1"/>
  <c r="R48" i="16"/>
  <c r="F51" i="16"/>
  <c r="M48" i="16"/>
  <c r="P37" i="16"/>
  <c r="Q47" i="16"/>
  <c r="P58" i="16"/>
  <c r="Q50" i="16"/>
  <c r="G44" i="16"/>
  <c r="G53" i="16"/>
  <c r="N49" i="16"/>
  <c r="J38" i="16"/>
  <c r="R51" i="16"/>
  <c r="L53" i="16"/>
  <c r="H41" i="16"/>
  <c r="L57" i="16"/>
  <c r="N59" i="16"/>
  <c r="I56" i="16"/>
  <c r="K47" i="16"/>
  <c r="L49" i="16"/>
  <c r="N39" i="16"/>
  <c r="K53" i="16"/>
  <c r="H43" i="16"/>
  <c r="K57" i="16"/>
  <c r="J59" i="16"/>
  <c r="I58" i="16"/>
  <c r="L46" i="16"/>
  <c r="G46" i="8" s="1"/>
  <c r="Q58" i="16"/>
  <c r="R50" i="16"/>
  <c r="J42" i="16"/>
  <c r="S29" i="6"/>
  <c r="S33" i="8"/>
  <c r="S32" i="8"/>
  <c r="S34" i="8"/>
  <c r="Y43" i="6"/>
  <c r="Y21" i="6"/>
  <c r="M38" i="6"/>
  <c r="M275" i="16"/>
  <c r="M273" i="16"/>
  <c r="M271" i="16"/>
  <c r="K275" i="16"/>
  <c r="O274" i="16"/>
  <c r="G274" i="16"/>
  <c r="L274" i="16"/>
  <c r="G273" i="16"/>
  <c r="R272" i="16"/>
  <c r="N271" i="16"/>
  <c r="O270" i="16"/>
  <c r="M269" i="16"/>
  <c r="O268" i="16"/>
  <c r="P275" i="16"/>
  <c r="K274" i="16"/>
  <c r="F273" i="16"/>
  <c r="P272" i="16"/>
  <c r="L271" i="16"/>
  <c r="L270" i="16"/>
  <c r="L269" i="16"/>
  <c r="L268" i="16"/>
  <c r="O275" i="16"/>
  <c r="J274" i="16"/>
  <c r="P273" i="16"/>
  <c r="O272" i="16"/>
  <c r="K271" i="16"/>
  <c r="K270" i="16"/>
  <c r="K269" i="16"/>
  <c r="K268" i="16"/>
  <c r="N275" i="16"/>
  <c r="H274" i="16"/>
  <c r="O273" i="16"/>
  <c r="L272" i="16"/>
  <c r="G272" i="8" s="1"/>
  <c r="H271" i="16"/>
  <c r="H269" i="16"/>
  <c r="L275" i="16"/>
  <c r="N273" i="16"/>
  <c r="K272" i="16"/>
  <c r="G271" i="16"/>
  <c r="I270" i="16"/>
  <c r="G269" i="16"/>
  <c r="I268" i="16"/>
  <c r="H275" i="16"/>
  <c r="L273" i="16"/>
  <c r="J272" i="16"/>
  <c r="F271" i="16"/>
  <c r="P269" i="16"/>
  <c r="F269" i="16"/>
  <c r="R268" i="16"/>
  <c r="H268" i="16"/>
  <c r="G275" i="16"/>
  <c r="R274" i="16"/>
  <c r="K273" i="16"/>
  <c r="H272" i="16"/>
  <c r="P271" i="16"/>
  <c r="Q270" i="16"/>
  <c r="G270" i="16"/>
  <c r="O269" i="16"/>
  <c r="Q268" i="16"/>
  <c r="G268" i="16"/>
  <c r="F275" i="16"/>
  <c r="P274" i="16"/>
  <c r="H273" i="16"/>
  <c r="G272" i="16"/>
  <c r="O271" i="16"/>
  <c r="N269" i="16"/>
  <c r="P270" i="16"/>
  <c r="F268" i="16"/>
  <c r="I273" i="16"/>
  <c r="J269" i="16"/>
  <c r="R270" i="16"/>
  <c r="H270" i="16"/>
  <c r="I269" i="16"/>
  <c r="I275" i="16"/>
  <c r="N272" i="16"/>
  <c r="Q272" i="16"/>
  <c r="N270" i="16"/>
  <c r="Q269" i="16"/>
  <c r="I272" i="16"/>
  <c r="R275" i="16"/>
  <c r="F270" i="16"/>
  <c r="I274" i="16"/>
  <c r="R271" i="16"/>
  <c r="N274" i="16"/>
  <c r="Q274" i="16"/>
  <c r="I271" i="16"/>
  <c r="M270" i="16"/>
  <c r="Q271" i="16"/>
  <c r="J271" i="16"/>
  <c r="J268" i="16"/>
  <c r="J275" i="16"/>
  <c r="J270" i="16"/>
  <c r="M272" i="16"/>
  <c r="F272" i="16"/>
  <c r="S272" i="16" s="1"/>
  <c r="Q275" i="16"/>
  <c r="N268" i="16"/>
  <c r="Q273" i="16"/>
  <c r="J273" i="16"/>
  <c r="P268" i="16"/>
  <c r="R273" i="16"/>
  <c r="M268" i="16"/>
  <c r="R269" i="16"/>
  <c r="M274" i="16"/>
  <c r="F274" i="16"/>
  <c r="S123" i="8"/>
  <c r="S124" i="8"/>
  <c r="S258" i="8"/>
  <c r="S259" i="8"/>
  <c r="S263" i="8"/>
  <c r="S257" i="8"/>
  <c r="S261" i="8"/>
  <c r="S260" i="8"/>
  <c r="S262" i="8"/>
  <c r="S256" i="8"/>
  <c r="S264" i="8"/>
  <c r="S254" i="8"/>
  <c r="S255" i="8"/>
  <c r="AE14" i="6"/>
  <c r="S7" i="6"/>
  <c r="M253" i="16"/>
  <c r="P253" i="16"/>
  <c r="Q253" i="16"/>
  <c r="R253" i="16"/>
  <c r="K253" i="16"/>
  <c r="O253" i="16"/>
  <c r="H253" i="16"/>
  <c r="J253" i="16"/>
  <c r="L253" i="16"/>
  <c r="G253" i="16"/>
  <c r="F253" i="16"/>
  <c r="N253" i="16"/>
  <c r="I253" i="16"/>
  <c r="G38" i="6"/>
  <c r="AK29" i="6"/>
  <c r="L96" i="16"/>
  <c r="G96" i="8" s="1"/>
  <c r="L94" i="16"/>
  <c r="L92" i="16"/>
  <c r="K96" i="16"/>
  <c r="K94" i="16"/>
  <c r="K92" i="16"/>
  <c r="O96" i="16"/>
  <c r="G96" i="16"/>
  <c r="O94" i="16"/>
  <c r="G94" i="16"/>
  <c r="O92" i="16"/>
  <c r="G92" i="16"/>
  <c r="M94" i="16"/>
  <c r="Q95" i="16"/>
  <c r="M96" i="16"/>
  <c r="M92" i="16"/>
  <c r="P95" i="16"/>
  <c r="K95" i="16"/>
  <c r="F93" i="16"/>
  <c r="R92" i="16"/>
  <c r="G97" i="16"/>
  <c r="O95" i="16"/>
  <c r="J95" i="16"/>
  <c r="L93" i="16"/>
  <c r="F97" i="16"/>
  <c r="N92" i="16"/>
  <c r="P92" i="16"/>
  <c r="I92" i="16"/>
  <c r="Q97" i="16"/>
  <c r="G95" i="16"/>
  <c r="R96" i="16"/>
  <c r="P93" i="16"/>
  <c r="K93" i="16"/>
  <c r="M97" i="16"/>
  <c r="F94" i="16"/>
  <c r="H94" i="16"/>
  <c r="Q92" i="16"/>
  <c r="N95" i="16"/>
  <c r="H93" i="16"/>
  <c r="R93" i="16"/>
  <c r="I97" i="16"/>
  <c r="L97" i="16"/>
  <c r="N94" i="16"/>
  <c r="P94" i="16"/>
  <c r="I94" i="16"/>
  <c r="Q93" i="16"/>
  <c r="F95" i="16"/>
  <c r="O93" i="16"/>
  <c r="J93" i="16"/>
  <c r="P97" i="16"/>
  <c r="K97" i="16"/>
  <c r="F96" i="16"/>
  <c r="H96" i="16"/>
  <c r="Q94" i="16"/>
  <c r="J92" i="16"/>
  <c r="L95" i="16"/>
  <c r="N93" i="16"/>
  <c r="O97" i="16"/>
  <c r="J97" i="16"/>
  <c r="I93" i="16"/>
  <c r="Q96" i="16"/>
  <c r="J96" i="16"/>
  <c r="M93" i="16"/>
  <c r="N97" i="16"/>
  <c r="R94" i="16"/>
  <c r="R97" i="16"/>
  <c r="H92" i="16"/>
  <c r="P96" i="16"/>
  <c r="H95" i="16"/>
  <c r="F92" i="16"/>
  <c r="M95" i="16"/>
  <c r="N96" i="16"/>
  <c r="I96" i="16"/>
  <c r="J94" i="16"/>
  <c r="R95" i="16"/>
  <c r="I95" i="16"/>
  <c r="H97" i="16"/>
  <c r="G93" i="16"/>
  <c r="S5" i="6"/>
  <c r="G49" i="6"/>
  <c r="L110" i="16"/>
  <c r="K110" i="16"/>
  <c r="O110" i="16"/>
  <c r="G110" i="16"/>
  <c r="M110" i="16"/>
  <c r="P109" i="16"/>
  <c r="R110" i="16"/>
  <c r="R111" i="16"/>
  <c r="N111" i="16"/>
  <c r="G109" i="16"/>
  <c r="P111" i="16"/>
  <c r="J109" i="16"/>
  <c r="L109" i="16"/>
  <c r="I109" i="16"/>
  <c r="R109" i="16"/>
  <c r="H110" i="16"/>
  <c r="M109" i="16"/>
  <c r="G111" i="16"/>
  <c r="Q109" i="16"/>
  <c r="F110" i="16"/>
  <c r="P110" i="16"/>
  <c r="I110" i="16"/>
  <c r="O111" i="16"/>
  <c r="Q111" i="16"/>
  <c r="J111" i="16"/>
  <c r="K111" i="16"/>
  <c r="M111" i="16"/>
  <c r="N109" i="16"/>
  <c r="N110" i="16"/>
  <c r="L111" i="16"/>
  <c r="F109" i="16"/>
  <c r="S109" i="16" s="1"/>
  <c r="O109" i="16"/>
  <c r="J110" i="16"/>
  <c r="I111" i="16"/>
  <c r="F111" i="16"/>
  <c r="H109" i="16"/>
  <c r="H111" i="16"/>
  <c r="K109" i="16"/>
  <c r="Q110" i="16"/>
  <c r="M251" i="16"/>
  <c r="M247" i="16"/>
  <c r="I246" i="16"/>
  <c r="M249" i="16"/>
  <c r="M245" i="16"/>
  <c r="Q246" i="16"/>
  <c r="N248" i="16"/>
  <c r="R246" i="16"/>
  <c r="M246" i="16"/>
  <c r="K252" i="16"/>
  <c r="I248" i="16"/>
  <c r="K250" i="16"/>
  <c r="F250" i="16"/>
  <c r="H247" i="16"/>
  <c r="Q251" i="16"/>
  <c r="J245" i="16"/>
  <c r="F252" i="16"/>
  <c r="K251" i="16"/>
  <c r="L247" i="16"/>
  <c r="F251" i="16"/>
  <c r="J248" i="16"/>
  <c r="L248" i="16"/>
  <c r="H246" i="16"/>
  <c r="P250" i="16"/>
  <c r="O251" i="16"/>
  <c r="P249" i="16"/>
  <c r="I247" i="16"/>
  <c r="R247" i="16"/>
  <c r="H252" i="16"/>
  <c r="N245" i="16"/>
  <c r="R252" i="16"/>
  <c r="G247" i="16"/>
  <c r="Q250" i="16"/>
  <c r="R248" i="16"/>
  <c r="F246" i="16"/>
  <c r="O250" i="16"/>
  <c r="Q245" i="16"/>
  <c r="K245" i="16"/>
  <c r="P252" i="16"/>
  <c r="P248" i="16"/>
  <c r="L246" i="16"/>
  <c r="G250" i="16"/>
  <c r="H245" i="16"/>
  <c r="Q247" i="16"/>
  <c r="R245" i="16"/>
  <c r="K247" i="16"/>
  <c r="J252" i="16"/>
  <c r="N250" i="16"/>
  <c r="I249" i="16"/>
  <c r="J247" i="16"/>
  <c r="K249" i="16"/>
  <c r="H250" i="16"/>
  <c r="I245" i="16"/>
  <c r="H248" i="16"/>
  <c r="K246" i="16"/>
  <c r="O247" i="16"/>
  <c r="P245" i="16"/>
  <c r="O248" i="16"/>
  <c r="J246" i="16"/>
  <c r="M250" i="16"/>
  <c r="P247" i="16"/>
  <c r="Q249" i="16"/>
  <c r="J249" i="16"/>
  <c r="G252" i="16"/>
  <c r="F245" i="16"/>
  <c r="G249" i="16"/>
  <c r="N251" i="16"/>
  <c r="G248" i="16"/>
  <c r="P246" i="16"/>
  <c r="I250" i="16"/>
  <c r="Q248" i="16"/>
  <c r="L250" i="16"/>
  <c r="H249" i="16"/>
  <c r="I251" i="16"/>
  <c r="R249" i="16"/>
  <c r="O252" i="16"/>
  <c r="F247" i="16"/>
  <c r="F248" i="16"/>
  <c r="O246" i="16"/>
  <c r="R250" i="16"/>
  <c r="H251" i="16"/>
  <c r="M252" i="16"/>
  <c r="J251" i="16"/>
  <c r="L245" i="16"/>
  <c r="G245" i="8" s="1"/>
  <c r="N247" i="16"/>
  <c r="K248" i="16"/>
  <c r="O249" i="16"/>
  <c r="N246" i="16"/>
  <c r="O245" i="16"/>
  <c r="L252" i="16"/>
  <c r="G252" i="8" s="1"/>
  <c r="N252" i="16"/>
  <c r="L251" i="16"/>
  <c r="Q252" i="16"/>
  <c r="G251" i="16"/>
  <c r="M248" i="16"/>
  <c r="G246" i="16"/>
  <c r="J250" i="16"/>
  <c r="P251" i="16"/>
  <c r="R251" i="16"/>
  <c r="L249" i="16"/>
  <c r="I252" i="16"/>
  <c r="F249" i="16"/>
  <c r="G245" i="16"/>
  <c r="N249" i="16"/>
  <c r="S96" i="8"/>
  <c r="S95" i="8"/>
  <c r="S92" i="8"/>
  <c r="S94" i="8"/>
  <c r="S93" i="8"/>
  <c r="S97" i="8"/>
  <c r="M340" i="16"/>
  <c r="M338" i="16"/>
  <c r="M336" i="16"/>
  <c r="M334" i="16"/>
  <c r="P341" i="16"/>
  <c r="P340" i="16"/>
  <c r="P339" i="16"/>
  <c r="P338" i="16"/>
  <c r="P337" i="16"/>
  <c r="P336" i="16"/>
  <c r="P335" i="16"/>
  <c r="P334" i="16"/>
  <c r="L341" i="16"/>
  <c r="L340" i="16"/>
  <c r="L339" i="16"/>
  <c r="L338" i="16"/>
  <c r="L337" i="16"/>
  <c r="L336" i="16"/>
  <c r="G336" i="8" s="1"/>
  <c r="L335" i="16"/>
  <c r="L334" i="16"/>
  <c r="H341" i="16"/>
  <c r="H340" i="16"/>
  <c r="H339" i="16"/>
  <c r="H338" i="16"/>
  <c r="H337" i="16"/>
  <c r="H336" i="16"/>
  <c r="H335" i="16"/>
  <c r="H334" i="16"/>
  <c r="N339" i="16"/>
  <c r="K336" i="16"/>
  <c r="O341" i="16"/>
  <c r="Q335" i="16"/>
  <c r="R334" i="16"/>
  <c r="K338" i="16"/>
  <c r="R339" i="16"/>
  <c r="O336" i="16"/>
  <c r="Q338" i="16"/>
  <c r="N341" i="16"/>
  <c r="G339" i="16"/>
  <c r="I337" i="16"/>
  <c r="F336" i="16"/>
  <c r="F340" i="16"/>
  <c r="K337" i="16"/>
  <c r="I334" i="16"/>
  <c r="M339" i="16"/>
  <c r="J334" i="16"/>
  <c r="Q337" i="16"/>
  <c r="N336" i="16"/>
  <c r="J335" i="16"/>
  <c r="K341" i="16"/>
  <c r="F341" i="8" s="1"/>
  <c r="I338" i="16"/>
  <c r="R340" i="16"/>
  <c r="O339" i="16"/>
  <c r="N340" i="16"/>
  <c r="G338" i="16"/>
  <c r="Q334" i="16"/>
  <c r="I340" i="16"/>
  <c r="F335" i="16"/>
  <c r="K340" i="16"/>
  <c r="I339" i="16"/>
  <c r="J341" i="16"/>
  <c r="M335" i="16"/>
  <c r="K334" i="16"/>
  <c r="J337" i="16"/>
  <c r="O338" i="16"/>
  <c r="Q340" i="16"/>
  <c r="J336" i="16"/>
  <c r="J340" i="16"/>
  <c r="R335" i="16"/>
  <c r="N335" i="16"/>
  <c r="G335" i="16"/>
  <c r="G341" i="16"/>
  <c r="Q339" i="16"/>
  <c r="R337" i="16"/>
  <c r="R341" i="16"/>
  <c r="G334" i="16"/>
  <c r="K339" i="16"/>
  <c r="I336" i="16"/>
  <c r="M341" i="16"/>
  <c r="F337" i="16"/>
  <c r="R336" i="16"/>
  <c r="O335" i="16"/>
  <c r="I341" i="16"/>
  <c r="F334" i="16"/>
  <c r="F338" i="16"/>
  <c r="O334" i="16"/>
  <c r="G340" i="16"/>
  <c r="Q336" i="16"/>
  <c r="J338" i="16"/>
  <c r="R338" i="16"/>
  <c r="G336" i="16"/>
  <c r="I335" i="16"/>
  <c r="N337" i="16"/>
  <c r="G337" i="16"/>
  <c r="Q341" i="16"/>
  <c r="N334" i="16"/>
  <c r="N338" i="16"/>
  <c r="K335" i="16"/>
  <c r="F335" i="8" s="1"/>
  <c r="O340" i="16"/>
  <c r="M337" i="16"/>
  <c r="F339" i="16"/>
  <c r="O337" i="16"/>
  <c r="J339" i="16"/>
  <c r="F341" i="16"/>
  <c r="S226" i="8"/>
  <c r="S211" i="8"/>
  <c r="S227" i="8"/>
  <c r="S225" i="8"/>
  <c r="S229" i="8"/>
  <c r="S230" i="8"/>
  <c r="S210" i="8"/>
  <c r="S215" i="8"/>
  <c r="S216" i="8"/>
  <c r="S217" i="8"/>
  <c r="S221" i="8"/>
  <c r="S208" i="8"/>
  <c r="S204" i="8"/>
  <c r="S223" i="8"/>
  <c r="S214" i="8"/>
  <c r="S202" i="8"/>
  <c r="S222" i="8"/>
  <c r="S228" i="8"/>
  <c r="S212" i="8"/>
  <c r="S209" i="8"/>
  <c r="S213" i="8"/>
  <c r="S220" i="8"/>
  <c r="S207" i="8"/>
  <c r="S219" i="8"/>
  <c r="S232" i="8"/>
  <c r="S231" i="8"/>
  <c r="S206" i="8"/>
  <c r="S203" i="8"/>
  <c r="S233" i="8"/>
  <c r="S201" i="8"/>
  <c r="S205" i="8"/>
  <c r="S218" i="8"/>
  <c r="S224" i="8"/>
  <c r="M31" i="6"/>
  <c r="S185" i="8"/>
  <c r="S186" i="8"/>
  <c r="S184" i="8"/>
  <c r="S187" i="8"/>
  <c r="S183" i="8"/>
  <c r="S182" i="8"/>
  <c r="L80" i="16"/>
  <c r="L78" i="16"/>
  <c r="L76" i="16"/>
  <c r="L74" i="16"/>
  <c r="L72" i="16"/>
  <c r="K80" i="16"/>
  <c r="K78" i="16"/>
  <c r="O80" i="16"/>
  <c r="G80" i="16"/>
  <c r="O78" i="16"/>
  <c r="G76" i="16"/>
  <c r="Q79" i="16"/>
  <c r="M78" i="16"/>
  <c r="I73" i="16"/>
  <c r="O72" i="16"/>
  <c r="M80" i="16"/>
  <c r="G78" i="16"/>
  <c r="M72" i="16"/>
  <c r="O74" i="16"/>
  <c r="K72" i="16"/>
  <c r="M74" i="16"/>
  <c r="G72" i="16"/>
  <c r="I77" i="16"/>
  <c r="O76" i="16"/>
  <c r="K74" i="16"/>
  <c r="M76" i="16"/>
  <c r="G74" i="16"/>
  <c r="K76" i="16"/>
  <c r="N73" i="16"/>
  <c r="P79" i="16"/>
  <c r="K79" i="16"/>
  <c r="P77" i="16"/>
  <c r="O77" i="16"/>
  <c r="M75" i="16"/>
  <c r="G81" i="16"/>
  <c r="N74" i="16"/>
  <c r="Q81" i="16"/>
  <c r="M73" i="16"/>
  <c r="O79" i="16"/>
  <c r="J79" i="16"/>
  <c r="I81" i="16"/>
  <c r="N77" i="16"/>
  <c r="G73" i="16"/>
  <c r="R75" i="16"/>
  <c r="F81" i="16"/>
  <c r="N76" i="16"/>
  <c r="P76" i="16"/>
  <c r="I76" i="16"/>
  <c r="K77" i="16"/>
  <c r="L73" i="16"/>
  <c r="G79" i="16"/>
  <c r="R80" i="16"/>
  <c r="F77" i="16"/>
  <c r="Q77" i="16"/>
  <c r="R72" i="16"/>
  <c r="J75" i="16"/>
  <c r="M81" i="16"/>
  <c r="F78" i="16"/>
  <c r="H78" i="16"/>
  <c r="Q76" i="16"/>
  <c r="R73" i="16"/>
  <c r="N79" i="16"/>
  <c r="Q73" i="16"/>
  <c r="M77" i="16"/>
  <c r="I79" i="16"/>
  <c r="P75" i="16"/>
  <c r="O75" i="16"/>
  <c r="L81" i="16"/>
  <c r="K73" i="16"/>
  <c r="N78" i="16"/>
  <c r="P78" i="16"/>
  <c r="I78" i="16"/>
  <c r="J74" i="16"/>
  <c r="J73" i="16"/>
  <c r="F79" i="16"/>
  <c r="G77" i="16"/>
  <c r="L77" i="16"/>
  <c r="H75" i="16"/>
  <c r="P81" i="16"/>
  <c r="K81" i="16"/>
  <c r="Q75" i="16"/>
  <c r="F72" i="16"/>
  <c r="F80" i="16"/>
  <c r="H72" i="16"/>
  <c r="H80" i="16"/>
  <c r="Q78" i="16"/>
  <c r="J76" i="16"/>
  <c r="H73" i="16"/>
  <c r="R78" i="16"/>
  <c r="L79" i="16"/>
  <c r="I75" i="16"/>
  <c r="J77" i="16"/>
  <c r="F75" i="16"/>
  <c r="O81" i="16"/>
  <c r="J81" i="16"/>
  <c r="F74" i="16"/>
  <c r="H74" i="16"/>
  <c r="Q72" i="16"/>
  <c r="Q80" i="16"/>
  <c r="J80" i="16"/>
  <c r="L75" i="16"/>
  <c r="N80" i="16"/>
  <c r="J78" i="16"/>
  <c r="K75" i="16"/>
  <c r="R74" i="16"/>
  <c r="H81" i="16"/>
  <c r="P72" i="16"/>
  <c r="P73" i="16"/>
  <c r="G75" i="16"/>
  <c r="H77" i="16"/>
  <c r="N81" i="16"/>
  <c r="P74" i="16"/>
  <c r="F73" i="16"/>
  <c r="R76" i="16"/>
  <c r="R77" i="16"/>
  <c r="R81" i="16"/>
  <c r="H76" i="16"/>
  <c r="I72" i="16"/>
  <c r="O73" i="16"/>
  <c r="P80" i="16"/>
  <c r="I74" i="16"/>
  <c r="H79" i="16"/>
  <c r="Q74" i="16"/>
  <c r="J72" i="16"/>
  <c r="M79" i="16"/>
  <c r="N72" i="16"/>
  <c r="I80" i="16"/>
  <c r="N75" i="16"/>
  <c r="F76" i="16"/>
  <c r="R79" i="16"/>
  <c r="S59" i="8"/>
  <c r="S53" i="8"/>
  <c r="S42" i="8"/>
  <c r="S44" i="8"/>
  <c r="S46" i="8"/>
  <c r="S57" i="8"/>
  <c r="S58" i="8"/>
  <c r="S38" i="8"/>
  <c r="S37" i="8"/>
  <c r="S51" i="8"/>
  <c r="S45" i="8"/>
  <c r="S56" i="8"/>
  <c r="S49" i="8"/>
  <c r="S50" i="8"/>
  <c r="S55" i="8"/>
  <c r="S48" i="8"/>
  <c r="S41" i="8"/>
  <c r="S40" i="8"/>
  <c r="S52" i="8"/>
  <c r="S54" i="8"/>
  <c r="S47" i="8"/>
  <c r="S39" i="8"/>
  <c r="S43" i="8"/>
  <c r="AE21" i="6"/>
  <c r="AE34" i="6"/>
  <c r="G31" i="6"/>
  <c r="AE36" i="6"/>
  <c r="M32" i="6"/>
  <c r="AE35" i="6"/>
  <c r="S290" i="8"/>
  <c r="S289" i="8"/>
  <c r="S292" i="8"/>
  <c r="S288" i="8"/>
  <c r="S291" i="8"/>
  <c r="S46" i="6"/>
  <c r="S37" i="6"/>
  <c r="S272" i="8"/>
  <c r="S270" i="8"/>
  <c r="S274" i="8"/>
  <c r="S273" i="8"/>
  <c r="S271" i="8"/>
  <c r="S268" i="8"/>
  <c r="S269" i="8"/>
  <c r="S275" i="8"/>
  <c r="I123" i="16"/>
  <c r="I124" i="16"/>
  <c r="H123" i="16"/>
  <c r="M123" i="16"/>
  <c r="M124" i="16"/>
  <c r="K123" i="16"/>
  <c r="H124" i="16"/>
  <c r="R123" i="16"/>
  <c r="L123" i="16"/>
  <c r="P124" i="16"/>
  <c r="K124" i="16"/>
  <c r="O124" i="16"/>
  <c r="O123" i="16"/>
  <c r="J124" i="16"/>
  <c r="G123" i="16"/>
  <c r="N124" i="16"/>
  <c r="F123" i="16"/>
  <c r="P123" i="16"/>
  <c r="L124" i="16"/>
  <c r="G124" i="8" s="1"/>
  <c r="R124" i="16"/>
  <c r="F124" i="16"/>
  <c r="Q123" i="16"/>
  <c r="N123" i="16"/>
  <c r="G124" i="16"/>
  <c r="J123" i="16"/>
  <c r="Q124" i="16"/>
  <c r="S108" i="8"/>
  <c r="S107" i="8"/>
  <c r="S106" i="8"/>
  <c r="Y48" i="6"/>
  <c r="Y16" i="6"/>
  <c r="S43" i="6"/>
  <c r="AK31" i="6"/>
  <c r="M12" i="6"/>
  <c r="AE7" i="6"/>
  <c r="AK49" i="6"/>
  <c r="S21" i="6"/>
  <c r="Y20" i="6"/>
  <c r="M13" i="6"/>
  <c r="S310" i="8"/>
  <c r="S312" i="8"/>
  <c r="S308" i="8"/>
  <c r="S302" i="8"/>
  <c r="S311" i="8"/>
  <c r="S299" i="8"/>
  <c r="S313" i="8"/>
  <c r="S300" i="8"/>
  <c r="S307" i="8"/>
  <c r="S306" i="8"/>
  <c r="S303" i="8"/>
  <c r="S305" i="8"/>
  <c r="S309" i="8"/>
  <c r="S304" i="8"/>
  <c r="S298" i="8"/>
  <c r="S297" i="8"/>
  <c r="S301" i="8"/>
  <c r="O292" i="16"/>
  <c r="K291" i="16"/>
  <c r="I290" i="16"/>
  <c r="Q288" i="16"/>
  <c r="K292" i="16"/>
  <c r="G291" i="16"/>
  <c r="H290" i="16"/>
  <c r="O289" i="16"/>
  <c r="P288" i="16"/>
  <c r="F291" i="16"/>
  <c r="R290" i="16"/>
  <c r="G290" i="16"/>
  <c r="N289" i="16"/>
  <c r="O288" i="16"/>
  <c r="Q290" i="16"/>
  <c r="M289" i="16"/>
  <c r="O291" i="16"/>
  <c r="P290" i="16"/>
  <c r="L289" i="16"/>
  <c r="N291" i="16"/>
  <c r="O290" i="16"/>
  <c r="K289" i="16"/>
  <c r="M291" i="16"/>
  <c r="G289" i="16"/>
  <c r="L291" i="16"/>
  <c r="F289" i="16"/>
  <c r="F290" i="16"/>
  <c r="Q292" i="16"/>
  <c r="H292" i="16"/>
  <c r="J292" i="16"/>
  <c r="J290" i="16"/>
  <c r="F288" i="16"/>
  <c r="H291" i="16"/>
  <c r="I289" i="16"/>
  <c r="P291" i="16"/>
  <c r="I288" i="16"/>
  <c r="R291" i="16"/>
  <c r="H288" i="16"/>
  <c r="G292" i="16"/>
  <c r="N288" i="16"/>
  <c r="Q291" i="16"/>
  <c r="P292" i="16"/>
  <c r="K290" i="16"/>
  <c r="M288" i="16"/>
  <c r="L292" i="16"/>
  <c r="L290" i="16"/>
  <c r="R292" i="16"/>
  <c r="I292" i="16"/>
  <c r="G288" i="16"/>
  <c r="L288" i="16"/>
  <c r="M290" i="16"/>
  <c r="P289" i="16"/>
  <c r="R288" i="16"/>
  <c r="J288" i="16"/>
  <c r="N292" i="16"/>
  <c r="R289" i="16"/>
  <c r="F292" i="16"/>
  <c r="J289" i="16"/>
  <c r="Q289" i="16"/>
  <c r="N290" i="16"/>
  <c r="K288" i="16"/>
  <c r="M292" i="16"/>
  <c r="H289" i="16"/>
  <c r="J291" i="16"/>
  <c r="I291" i="16"/>
  <c r="Y44" i="6"/>
  <c r="M37" i="6"/>
  <c r="L120" i="16"/>
  <c r="G120" i="8" s="1"/>
  <c r="L118" i="16"/>
  <c r="L116" i="16"/>
  <c r="P122" i="16"/>
  <c r="K120" i="16"/>
  <c r="K118" i="16"/>
  <c r="K116" i="16"/>
  <c r="O120" i="16"/>
  <c r="G120" i="16"/>
  <c r="O118" i="16"/>
  <c r="G118" i="16"/>
  <c r="O116" i="16"/>
  <c r="G116" i="16"/>
  <c r="H122" i="16"/>
  <c r="M120" i="16"/>
  <c r="M118" i="16"/>
  <c r="M116" i="16"/>
  <c r="R121" i="16"/>
  <c r="R115" i="16"/>
  <c r="R119" i="16"/>
  <c r="F122" i="16"/>
  <c r="R120" i="16"/>
  <c r="I115" i="16"/>
  <c r="I121" i="16"/>
  <c r="N116" i="16"/>
  <c r="N120" i="16"/>
  <c r="K117" i="16"/>
  <c r="L119" i="16"/>
  <c r="Q118" i="16"/>
  <c r="F117" i="16"/>
  <c r="O122" i="16"/>
  <c r="G117" i="16"/>
  <c r="Q115" i="16"/>
  <c r="J117" i="16"/>
  <c r="K121" i="16"/>
  <c r="F121" i="8" s="1"/>
  <c r="K119" i="16"/>
  <c r="H120" i="16"/>
  <c r="P119" i="16"/>
  <c r="I117" i="16"/>
  <c r="R117" i="16"/>
  <c r="L121" i="16"/>
  <c r="G121" i="8" s="1"/>
  <c r="L115" i="16"/>
  <c r="P120" i="16"/>
  <c r="I120" i="16"/>
  <c r="J118" i="16"/>
  <c r="G119" i="16"/>
  <c r="H117" i="16"/>
  <c r="P115" i="16"/>
  <c r="Q117" i="16"/>
  <c r="F118" i="16"/>
  <c r="K122" i="16"/>
  <c r="H116" i="16"/>
  <c r="M121" i="16"/>
  <c r="M115" i="16"/>
  <c r="Q120" i="16"/>
  <c r="F119" i="16"/>
  <c r="O119" i="16"/>
  <c r="H119" i="16"/>
  <c r="I122" i="16"/>
  <c r="R116" i="16"/>
  <c r="Q119" i="16"/>
  <c r="J115" i="16"/>
  <c r="J119" i="16"/>
  <c r="N122" i="16"/>
  <c r="L117" i="16"/>
  <c r="Q116" i="16"/>
  <c r="M122" i="16"/>
  <c r="F115" i="16"/>
  <c r="J120" i="16"/>
  <c r="P121" i="16"/>
  <c r="Q121" i="16"/>
  <c r="I116" i="16"/>
  <c r="N119" i="16"/>
  <c r="P117" i="16"/>
  <c r="M117" i="16"/>
  <c r="F121" i="16"/>
  <c r="I118" i="16"/>
  <c r="O121" i="16"/>
  <c r="G115" i="16"/>
  <c r="F116" i="16"/>
  <c r="P116" i="16"/>
  <c r="M119" i="16"/>
  <c r="O115" i="16"/>
  <c r="I119" i="16"/>
  <c r="N118" i="16"/>
  <c r="H118" i="16"/>
  <c r="N121" i="16"/>
  <c r="O117" i="16"/>
  <c r="H115" i="16"/>
  <c r="J121" i="16"/>
  <c r="F120" i="16"/>
  <c r="S120" i="16" s="1"/>
  <c r="K115" i="16"/>
  <c r="P118" i="16"/>
  <c r="N115" i="16"/>
  <c r="G121" i="16"/>
  <c r="H121" i="16"/>
  <c r="N117" i="16"/>
  <c r="Q122" i="16"/>
  <c r="R122" i="16"/>
  <c r="L122" i="16"/>
  <c r="J116" i="16"/>
  <c r="G122" i="16"/>
  <c r="R118" i="16"/>
  <c r="J122" i="16"/>
  <c r="L108" i="16"/>
  <c r="L106" i="16"/>
  <c r="K108" i="16"/>
  <c r="K106" i="16"/>
  <c r="O108" i="16"/>
  <c r="G108" i="16"/>
  <c r="O106" i="16"/>
  <c r="G106" i="16"/>
  <c r="M108" i="16"/>
  <c r="M106" i="16"/>
  <c r="Q107" i="16"/>
  <c r="G107" i="16"/>
  <c r="N106" i="16"/>
  <c r="F107" i="16"/>
  <c r="N108" i="16"/>
  <c r="P108" i="16"/>
  <c r="I108" i="16"/>
  <c r="M107" i="16"/>
  <c r="L107" i="16"/>
  <c r="R106" i="16"/>
  <c r="J106" i="16"/>
  <c r="I107" i="16"/>
  <c r="P107" i="16"/>
  <c r="K107" i="16"/>
  <c r="J108" i="16"/>
  <c r="O107" i="16"/>
  <c r="J107" i="16"/>
  <c r="F106" i="16"/>
  <c r="H106" i="16"/>
  <c r="I106" i="16"/>
  <c r="Q106" i="16"/>
  <c r="R108" i="16"/>
  <c r="Q108" i="16"/>
  <c r="H107" i="16"/>
  <c r="N107" i="16"/>
  <c r="P106" i="16"/>
  <c r="R107" i="16"/>
  <c r="F108" i="16"/>
  <c r="H108" i="16"/>
  <c r="S341" i="8"/>
  <c r="S340" i="8"/>
  <c r="S335" i="8"/>
  <c r="S334" i="8"/>
  <c r="S337" i="8"/>
  <c r="S338" i="8"/>
  <c r="S339" i="8"/>
  <c r="S336" i="8"/>
  <c r="G232" i="16"/>
  <c r="G231" i="16"/>
  <c r="Q230" i="16"/>
  <c r="Q229" i="16"/>
  <c r="N228" i="16"/>
  <c r="N227" i="16"/>
  <c r="O226" i="16"/>
  <c r="Q225" i="16"/>
  <c r="F225" i="16"/>
  <c r="N223" i="16"/>
  <c r="F223" i="16"/>
  <c r="N221" i="16"/>
  <c r="F221" i="16"/>
  <c r="N219" i="16"/>
  <c r="F219" i="16"/>
  <c r="N217" i="16"/>
  <c r="F217" i="16"/>
  <c r="R216" i="16"/>
  <c r="J216" i="16"/>
  <c r="N215" i="16"/>
  <c r="F232" i="16"/>
  <c r="R231" i="16"/>
  <c r="O230" i="16"/>
  <c r="O229" i="16"/>
  <c r="M228" i="16"/>
  <c r="M227" i="16"/>
  <c r="N226" i="16"/>
  <c r="O225" i="16"/>
  <c r="M223" i="16"/>
  <c r="M221" i="16"/>
  <c r="M219" i="16"/>
  <c r="M217" i="16"/>
  <c r="M215" i="16"/>
  <c r="M213" i="16"/>
  <c r="O232" i="16"/>
  <c r="O231" i="16"/>
  <c r="M230" i="16"/>
  <c r="I228" i="16"/>
  <c r="K226" i="16"/>
  <c r="M225" i="16"/>
  <c r="K223" i="16"/>
  <c r="K221" i="16"/>
  <c r="K219" i="16"/>
  <c r="K217" i="16"/>
  <c r="K215" i="16"/>
  <c r="K213" i="16"/>
  <c r="K211" i="16"/>
  <c r="K209" i="16"/>
  <c r="K207" i="16"/>
  <c r="N232" i="16"/>
  <c r="G228" i="16"/>
  <c r="M232" i="16"/>
  <c r="I230" i="16"/>
  <c r="F228" i="16"/>
  <c r="I226" i="16"/>
  <c r="I231" i="16"/>
  <c r="R225" i="16"/>
  <c r="K224" i="16"/>
  <c r="O217" i="16"/>
  <c r="K216" i="16"/>
  <c r="F215" i="16"/>
  <c r="K214" i="16"/>
  <c r="N213" i="16"/>
  <c r="F211" i="16"/>
  <c r="K208" i="16"/>
  <c r="O207" i="16"/>
  <c r="J206" i="16"/>
  <c r="F203" i="16"/>
  <c r="R202" i="16"/>
  <c r="K201" i="16"/>
  <c r="Q226" i="16"/>
  <c r="G225" i="16"/>
  <c r="G217" i="16"/>
  <c r="J214" i="16"/>
  <c r="G213" i="16"/>
  <c r="J208" i="16"/>
  <c r="N207" i="16"/>
  <c r="I206" i="16"/>
  <c r="O205" i="16"/>
  <c r="Q202" i="16"/>
  <c r="G201" i="16"/>
  <c r="I232" i="16"/>
  <c r="O227" i="16"/>
  <c r="F226" i="16"/>
  <c r="O219" i="16"/>
  <c r="K218" i="16"/>
  <c r="F213" i="16"/>
  <c r="R212" i="16"/>
  <c r="O209" i="16"/>
  <c r="I208" i="16"/>
  <c r="M207" i="16"/>
  <c r="G206" i="16"/>
  <c r="N205" i="16"/>
  <c r="F201" i="16"/>
  <c r="G219" i="16"/>
  <c r="N209" i="16"/>
  <c r="G207" i="16"/>
  <c r="M205" i="16"/>
  <c r="O203" i="16"/>
  <c r="K233" i="16"/>
  <c r="O228" i="16"/>
  <c r="O221" i="16"/>
  <c r="K220" i="16"/>
  <c r="K212" i="16"/>
  <c r="O211" i="16"/>
  <c r="M209" i="16"/>
  <c r="F207" i="16"/>
  <c r="R206" i="16"/>
  <c r="K205" i="16"/>
  <c r="N203" i="16"/>
  <c r="J202" i="16"/>
  <c r="R229" i="16"/>
  <c r="G221" i="16"/>
  <c r="N211" i="16"/>
  <c r="G209" i="16"/>
  <c r="G205" i="16"/>
  <c r="M203" i="16"/>
  <c r="O201" i="16"/>
  <c r="O223" i="16"/>
  <c r="K222" i="16"/>
  <c r="O215" i="16"/>
  <c r="I212" i="16"/>
  <c r="M211" i="16"/>
  <c r="F209" i="16"/>
  <c r="R208" i="16"/>
  <c r="O206" i="16"/>
  <c r="F205" i="16"/>
  <c r="K203" i="16"/>
  <c r="F203" i="8" s="1"/>
  <c r="G202" i="16"/>
  <c r="N201" i="16"/>
  <c r="F230" i="16"/>
  <c r="G223" i="16"/>
  <c r="G215" i="16"/>
  <c r="R214" i="16"/>
  <c r="O213" i="16"/>
  <c r="G211" i="16"/>
  <c r="G203" i="16"/>
  <c r="M201" i="16"/>
  <c r="F206" i="16"/>
  <c r="N208" i="16"/>
  <c r="R226" i="16"/>
  <c r="Q206" i="16"/>
  <c r="I210" i="16"/>
  <c r="F202" i="16"/>
  <c r="P212" i="16"/>
  <c r="Q212" i="16"/>
  <c r="L207" i="16"/>
  <c r="L210" i="16"/>
  <c r="H233" i="16"/>
  <c r="H205" i="16"/>
  <c r="H213" i="16"/>
  <c r="L218" i="16"/>
  <c r="P223" i="16"/>
  <c r="P232" i="16"/>
  <c r="Q207" i="16"/>
  <c r="I215" i="16"/>
  <c r="M220" i="16"/>
  <c r="P225" i="16"/>
  <c r="L231" i="16"/>
  <c r="J207" i="16"/>
  <c r="F214" i="16"/>
  <c r="F218" i="16"/>
  <c r="F222" i="16"/>
  <c r="H226" i="16"/>
  <c r="K230" i="16"/>
  <c r="O218" i="16"/>
  <c r="P227" i="16"/>
  <c r="K229" i="16"/>
  <c r="H216" i="16"/>
  <c r="H224" i="16"/>
  <c r="H228" i="16"/>
  <c r="I220" i="16"/>
  <c r="J224" i="16"/>
  <c r="L201" i="16"/>
  <c r="K206" i="16"/>
  <c r="L208" i="16"/>
  <c r="L217" i="16"/>
  <c r="L215" i="16"/>
  <c r="G215" i="8" s="1"/>
  <c r="K202" i="16"/>
  <c r="G212" i="16"/>
  <c r="N204" i="16"/>
  <c r="O210" i="16"/>
  <c r="Q228" i="16"/>
  <c r="G233" i="16"/>
  <c r="P207" i="16"/>
  <c r="H215" i="16"/>
  <c r="L220" i="16"/>
  <c r="F227" i="16"/>
  <c r="K232" i="16"/>
  <c r="I203" i="16"/>
  <c r="I211" i="16"/>
  <c r="I217" i="16"/>
  <c r="M222" i="16"/>
  <c r="G227" i="16"/>
  <c r="K231" i="16"/>
  <c r="R201" i="16"/>
  <c r="R209" i="16"/>
  <c r="R215" i="16"/>
  <c r="R219" i="16"/>
  <c r="R223" i="16"/>
  <c r="R230" i="16"/>
  <c r="G214" i="16"/>
  <c r="G222" i="16"/>
  <c r="N229" i="16"/>
  <c r="P218" i="16"/>
  <c r="M226" i="16"/>
  <c r="M229" i="16"/>
  <c r="Q222" i="16"/>
  <c r="J212" i="16"/>
  <c r="P206" i="16"/>
  <c r="H208" i="16"/>
  <c r="L213" i="16"/>
  <c r="I225" i="16"/>
  <c r="P202" i="16"/>
  <c r="L205" i="16"/>
  <c r="F212" i="16"/>
  <c r="S212" i="16" s="1"/>
  <c r="O202" i="16"/>
  <c r="M204" i="16"/>
  <c r="N210" i="16"/>
  <c r="K210" i="16"/>
  <c r="M206" i="16"/>
  <c r="R218" i="16"/>
  <c r="J231" i="16"/>
  <c r="L202" i="16"/>
  <c r="G202" i="8" s="1"/>
  <c r="L212" i="16"/>
  <c r="H204" i="16"/>
  <c r="M210" i="16"/>
  <c r="I233" i="16"/>
  <c r="P203" i="16"/>
  <c r="L214" i="16"/>
  <c r="P221" i="16"/>
  <c r="J232" i="16"/>
  <c r="Q209" i="16"/>
  <c r="M218" i="16"/>
  <c r="L225" i="16"/>
  <c r="H231" i="16"/>
  <c r="J201" i="16"/>
  <c r="R211" i="16"/>
  <c r="R217" i="16"/>
  <c r="J223" i="16"/>
  <c r="P230" i="16"/>
  <c r="G216" i="16"/>
  <c r="L227" i="16"/>
  <c r="P222" i="16"/>
  <c r="K228" i="16"/>
  <c r="I216" i="16"/>
  <c r="J222" i="16"/>
  <c r="L206" i="16"/>
  <c r="G206" i="8" s="1"/>
  <c r="I204" i="16"/>
  <c r="L221" i="16"/>
  <c r="F204" i="16"/>
  <c r="Q210" i="16"/>
  <c r="R233" i="16"/>
  <c r="P205" i="16"/>
  <c r="P215" i="16"/>
  <c r="L222" i="16"/>
  <c r="H232" i="16"/>
  <c r="I201" i="16"/>
  <c r="Q211" i="16"/>
  <c r="I219" i="16"/>
  <c r="H225" i="16"/>
  <c r="J203" i="16"/>
  <c r="J213" i="16"/>
  <c r="N218" i="16"/>
  <c r="F224" i="16"/>
  <c r="H230" i="16"/>
  <c r="O216" i="16"/>
  <c r="H227" i="16"/>
  <c r="H214" i="16"/>
  <c r="P224" i="16"/>
  <c r="N230" i="16"/>
  <c r="I218" i="16"/>
  <c r="J219" i="16"/>
  <c r="N225" i="16"/>
  <c r="J204" i="16"/>
  <c r="P208" i="16"/>
  <c r="I227" i="16"/>
  <c r="L203" i="16"/>
  <c r="L209" i="16"/>
  <c r="R222" i="16"/>
  <c r="L204" i="16"/>
  <c r="R220" i="16"/>
  <c r="Q233" i="16"/>
  <c r="H207" i="16"/>
  <c r="L216" i="16"/>
  <c r="H223" i="16"/>
  <c r="L232" i="16"/>
  <c r="Q201" i="16"/>
  <c r="I213" i="16"/>
  <c r="Q219" i="16"/>
  <c r="J225" i="16"/>
  <c r="R203" i="16"/>
  <c r="R213" i="16"/>
  <c r="N224" i="16"/>
  <c r="L230" i="16"/>
  <c r="G230" i="8" s="1"/>
  <c r="G218" i="16"/>
  <c r="J227" i="16"/>
  <c r="P214" i="16"/>
  <c r="Q231" i="16"/>
  <c r="Q218" i="16"/>
  <c r="O208" i="16"/>
  <c r="R204" i="16"/>
  <c r="L211" i="16"/>
  <c r="J210" i="16"/>
  <c r="K204" i="16"/>
  <c r="N233" i="16"/>
  <c r="O233" i="16"/>
  <c r="H209" i="16"/>
  <c r="H217" i="16"/>
  <c r="L224" i="16"/>
  <c r="Q203" i="16"/>
  <c r="Q213" i="16"/>
  <c r="I221" i="16"/>
  <c r="R227" i="16"/>
  <c r="J205" i="16"/>
  <c r="N214" i="16"/>
  <c r="F220" i="16"/>
  <c r="K225" i="16"/>
  <c r="M231" i="16"/>
  <c r="G220" i="16"/>
  <c r="F229" i="16"/>
  <c r="P216" i="16"/>
  <c r="K227" i="16"/>
  <c r="Q232" i="16"/>
  <c r="Q220" i="16"/>
  <c r="O214" i="16"/>
  <c r="J220" i="16"/>
  <c r="G208" i="16"/>
  <c r="H212" i="16"/>
  <c r="J229" i="16"/>
  <c r="P210" i="16"/>
  <c r="F233" i="16"/>
  <c r="M233" i="16"/>
  <c r="O204" i="16"/>
  <c r="P209" i="16"/>
  <c r="P217" i="16"/>
  <c r="G226" i="16"/>
  <c r="I205" i="16"/>
  <c r="M214" i="16"/>
  <c r="Q221" i="16"/>
  <c r="I229" i="16"/>
  <c r="R205" i="16"/>
  <c r="J215" i="16"/>
  <c r="N220" i="16"/>
  <c r="P226" i="16"/>
  <c r="O220" i="16"/>
  <c r="L229" i="16"/>
  <c r="H218" i="16"/>
  <c r="R228" i="16"/>
  <c r="I222" i="16"/>
  <c r="Q204" i="16"/>
  <c r="F208" i="16"/>
  <c r="Q216" i="16"/>
  <c r="G204" i="16"/>
  <c r="H202" i="16"/>
  <c r="O212" i="16"/>
  <c r="H210" i="16"/>
  <c r="L233" i="16"/>
  <c r="R210" i="16"/>
  <c r="H201" i="16"/>
  <c r="H211" i="16"/>
  <c r="H219" i="16"/>
  <c r="Q227" i="16"/>
  <c r="Q205" i="16"/>
  <c r="Q215" i="16"/>
  <c r="I223" i="16"/>
  <c r="N231" i="16"/>
  <c r="R207" i="16"/>
  <c r="F216" i="16"/>
  <c r="J221" i="16"/>
  <c r="L226" i="16"/>
  <c r="G226" i="8" s="1"/>
  <c r="O222" i="16"/>
  <c r="P229" i="16"/>
  <c r="H220" i="16"/>
  <c r="J228" i="16"/>
  <c r="I224" i="16"/>
  <c r="Q208" i="16"/>
  <c r="G230" i="16"/>
  <c r="M212" i="16"/>
  <c r="P204" i="16"/>
  <c r="F210" i="16"/>
  <c r="J233" i="16"/>
  <c r="H203" i="16"/>
  <c r="P213" i="16"/>
  <c r="H221" i="16"/>
  <c r="R232" i="16"/>
  <c r="I209" i="16"/>
  <c r="Q217" i="16"/>
  <c r="M224" i="16"/>
  <c r="P231" i="16"/>
  <c r="J211" i="16"/>
  <c r="J217" i="16"/>
  <c r="N222" i="16"/>
  <c r="J230" i="16"/>
  <c r="O224" i="16"/>
  <c r="H222" i="16"/>
  <c r="L228" i="16"/>
  <c r="I214" i="16"/>
  <c r="H206" i="16"/>
  <c r="M208" i="16"/>
  <c r="Q214" i="16"/>
  <c r="L223" i="16"/>
  <c r="G223" i="8" s="1"/>
  <c r="N202" i="16"/>
  <c r="N212" i="16"/>
  <c r="G210" i="16"/>
  <c r="P233" i="16"/>
  <c r="L219" i="16"/>
  <c r="P201" i="16"/>
  <c r="P211" i="16"/>
  <c r="P219" i="16"/>
  <c r="G229" i="16"/>
  <c r="I207" i="16"/>
  <c r="M216" i="16"/>
  <c r="Q223" i="16"/>
  <c r="F231" i="16"/>
  <c r="J209" i="16"/>
  <c r="N216" i="16"/>
  <c r="R221" i="16"/>
  <c r="J226" i="16"/>
  <c r="G224" i="16"/>
  <c r="H229" i="16"/>
  <c r="P220" i="16"/>
  <c r="P228" i="16"/>
  <c r="Q224" i="16"/>
  <c r="J218" i="16"/>
  <c r="I202" i="16"/>
  <c r="N206" i="16"/>
  <c r="R224" i="16"/>
  <c r="M202" i="16"/>
  <c r="AK20" i="6"/>
  <c r="G7" i="6"/>
  <c r="M49" i="6"/>
  <c r="Y7" i="6"/>
  <c r="AE49" i="6"/>
  <c r="M40" i="6"/>
  <c r="Y33" i="6"/>
  <c r="L70" i="16"/>
  <c r="M70" i="16"/>
  <c r="K68" i="16"/>
  <c r="L66" i="16"/>
  <c r="K70" i="16"/>
  <c r="G68" i="16"/>
  <c r="Q67" i="16"/>
  <c r="K66" i="16"/>
  <c r="G70" i="16"/>
  <c r="G66" i="16"/>
  <c r="O67" i="16"/>
  <c r="I69" i="16"/>
  <c r="O68" i="16"/>
  <c r="I67" i="16"/>
  <c r="M68" i="16"/>
  <c r="O66" i="16"/>
  <c r="O70" i="16"/>
  <c r="L68" i="16"/>
  <c r="G67" i="16"/>
  <c r="M66" i="16"/>
  <c r="I65" i="16"/>
  <c r="H67" i="16"/>
  <c r="M65" i="16"/>
  <c r="F71" i="16"/>
  <c r="Q71" i="16"/>
  <c r="F69" i="16"/>
  <c r="P67" i="16"/>
  <c r="N66" i="16"/>
  <c r="K69" i="16"/>
  <c r="H65" i="16"/>
  <c r="R68" i="16"/>
  <c r="R65" i="16"/>
  <c r="L71" i="16"/>
  <c r="F67" i="16"/>
  <c r="L69" i="16"/>
  <c r="G65" i="16"/>
  <c r="N68" i="16"/>
  <c r="P68" i="16"/>
  <c r="I68" i="16"/>
  <c r="J70" i="16"/>
  <c r="R66" i="16"/>
  <c r="G69" i="16"/>
  <c r="J65" i="16"/>
  <c r="R71" i="16"/>
  <c r="M67" i="16"/>
  <c r="R69" i="16"/>
  <c r="G71" i="16"/>
  <c r="F70" i="16"/>
  <c r="S70" i="16" s="1"/>
  <c r="H70" i="16"/>
  <c r="Q68" i="16"/>
  <c r="R70" i="16"/>
  <c r="K65" i="16"/>
  <c r="J71" i="16"/>
  <c r="L67" i="16"/>
  <c r="G67" i="8" s="1"/>
  <c r="P65" i="16"/>
  <c r="J69" i="16"/>
  <c r="N70" i="16"/>
  <c r="P70" i="16"/>
  <c r="I70" i="16"/>
  <c r="I71" i="16"/>
  <c r="P71" i="16"/>
  <c r="O71" i="16"/>
  <c r="R67" i="16"/>
  <c r="P69" i="16"/>
  <c r="O69" i="16"/>
  <c r="Q70" i="16"/>
  <c r="K71" i="16"/>
  <c r="F65" i="16"/>
  <c r="N71" i="16"/>
  <c r="O65" i="16"/>
  <c r="K67" i="16"/>
  <c r="N69" i="16"/>
  <c r="Q65" i="16"/>
  <c r="F66" i="16"/>
  <c r="H66" i="16"/>
  <c r="L65" i="16"/>
  <c r="N67" i="16"/>
  <c r="M69" i="16"/>
  <c r="H68" i="16"/>
  <c r="H71" i="16"/>
  <c r="J67" i="16"/>
  <c r="I66" i="16"/>
  <c r="M71" i="16"/>
  <c r="Q66" i="16"/>
  <c r="Q69" i="16"/>
  <c r="F68" i="16"/>
  <c r="S68" i="16" s="1"/>
  <c r="J66" i="16"/>
  <c r="J68" i="16"/>
  <c r="H69" i="16"/>
  <c r="P66" i="16"/>
  <c r="N65" i="16"/>
  <c r="S31" i="8"/>
  <c r="S30" i="8"/>
  <c r="S29" i="8"/>
  <c r="S267" i="8"/>
  <c r="S266" i="8"/>
  <c r="S265" i="8"/>
  <c r="L104" i="16"/>
  <c r="L102" i="16"/>
  <c r="K104" i="16"/>
  <c r="K102" i="16"/>
  <c r="O104" i="16"/>
  <c r="G104" i="16"/>
  <c r="O102" i="16"/>
  <c r="G102" i="16"/>
  <c r="M102" i="16"/>
  <c r="Q103" i="16"/>
  <c r="M104" i="16"/>
  <c r="N103" i="16"/>
  <c r="H101" i="16"/>
  <c r="R101" i="16"/>
  <c r="L105" i="16"/>
  <c r="I101" i="16"/>
  <c r="M103" i="16"/>
  <c r="G101" i="16"/>
  <c r="R102" i="16"/>
  <c r="H105" i="16"/>
  <c r="R105" i="16"/>
  <c r="J102" i="16"/>
  <c r="L103" i="16"/>
  <c r="N101" i="16"/>
  <c r="O105" i="16"/>
  <c r="J105" i="16"/>
  <c r="F102" i="16"/>
  <c r="H102" i="16"/>
  <c r="Q105" i="16"/>
  <c r="P103" i="16"/>
  <c r="K103" i="16"/>
  <c r="F101" i="16"/>
  <c r="G105" i="16"/>
  <c r="N102" i="16"/>
  <c r="P102" i="16"/>
  <c r="I102" i="16"/>
  <c r="H103" i="16"/>
  <c r="R103" i="16"/>
  <c r="M101" i="16"/>
  <c r="I105" i="16"/>
  <c r="N105" i="16"/>
  <c r="F104" i="16"/>
  <c r="S104" i="16" s="1"/>
  <c r="H104" i="16"/>
  <c r="Q102" i="16"/>
  <c r="Q101" i="16"/>
  <c r="G103" i="16"/>
  <c r="R104" i="16"/>
  <c r="P101" i="16"/>
  <c r="K101" i="16"/>
  <c r="I103" i="16"/>
  <c r="M105" i="16"/>
  <c r="Q104" i="16"/>
  <c r="J103" i="16"/>
  <c r="I104" i="16"/>
  <c r="O101" i="16"/>
  <c r="P105" i="16"/>
  <c r="L101" i="16"/>
  <c r="F105" i="16"/>
  <c r="S105" i="16" s="1"/>
  <c r="J101" i="16"/>
  <c r="K105" i="16"/>
  <c r="P104" i="16"/>
  <c r="O103" i="16"/>
  <c r="N104" i="16"/>
  <c r="J104" i="16"/>
  <c r="F103" i="16"/>
  <c r="P350" i="16"/>
  <c r="H350" i="16"/>
  <c r="L349" i="16"/>
  <c r="P348" i="16"/>
  <c r="H348" i="16"/>
  <c r="L347" i="16"/>
  <c r="M350" i="16"/>
  <c r="M348" i="16"/>
  <c r="L351" i="16"/>
  <c r="L350" i="16"/>
  <c r="P349" i="16"/>
  <c r="H349" i="16"/>
  <c r="L348" i="16"/>
  <c r="P347" i="16"/>
  <c r="H347" i="16"/>
  <c r="G347" i="16"/>
  <c r="R350" i="16"/>
  <c r="N351" i="16"/>
  <c r="F351" i="16"/>
  <c r="F348" i="16"/>
  <c r="G348" i="16"/>
  <c r="I350" i="16"/>
  <c r="J350" i="16"/>
  <c r="R351" i="16"/>
  <c r="Q351" i="16"/>
  <c r="J348" i="16"/>
  <c r="R348" i="16"/>
  <c r="I347" i="16"/>
  <c r="N348" i="16"/>
  <c r="O348" i="16"/>
  <c r="Q350" i="16"/>
  <c r="I351" i="16"/>
  <c r="N347" i="16"/>
  <c r="J351" i="16"/>
  <c r="K350" i="16"/>
  <c r="R347" i="16"/>
  <c r="K347" i="16"/>
  <c r="M349" i="16"/>
  <c r="F349" i="16"/>
  <c r="Q347" i="16"/>
  <c r="J349" i="16"/>
  <c r="K349" i="16"/>
  <c r="N349" i="16"/>
  <c r="O347" i="16"/>
  <c r="I349" i="16"/>
  <c r="P351" i="16"/>
  <c r="R349" i="16"/>
  <c r="G350" i="16"/>
  <c r="K348" i="16"/>
  <c r="F348" i="8" s="1"/>
  <c r="Q349" i="16"/>
  <c r="H351" i="16"/>
  <c r="F350" i="16"/>
  <c r="O350" i="16"/>
  <c r="M347" i="16"/>
  <c r="O349" i="16"/>
  <c r="G351" i="16"/>
  <c r="J347" i="16"/>
  <c r="Q348" i="16"/>
  <c r="G349" i="16"/>
  <c r="O351" i="16"/>
  <c r="M351" i="16"/>
  <c r="N350" i="16"/>
  <c r="I348" i="16"/>
  <c r="F347" i="16"/>
  <c r="K351" i="16"/>
  <c r="F351" i="8" s="1"/>
  <c r="AK16" i="6"/>
  <c r="G200" i="16"/>
  <c r="N199" i="16"/>
  <c r="J198" i="16"/>
  <c r="F195" i="16"/>
  <c r="R194" i="16"/>
  <c r="M199" i="16"/>
  <c r="I198" i="16"/>
  <c r="O197" i="16"/>
  <c r="Q194" i="16"/>
  <c r="J192" i="16"/>
  <c r="R200" i="16"/>
  <c r="K199" i="16"/>
  <c r="G198" i="16"/>
  <c r="N197" i="16"/>
  <c r="G199" i="16"/>
  <c r="M197" i="16"/>
  <c r="O195" i="16"/>
  <c r="O200" i="16"/>
  <c r="F199" i="16"/>
  <c r="R198" i="16"/>
  <c r="K197" i="16"/>
  <c r="N195" i="16"/>
  <c r="J194" i="16"/>
  <c r="R192" i="16"/>
  <c r="G197" i="16"/>
  <c r="M195" i="16"/>
  <c r="J200" i="16"/>
  <c r="O198" i="16"/>
  <c r="F197" i="16"/>
  <c r="K195" i="16"/>
  <c r="G194" i="16"/>
  <c r="O199" i="16"/>
  <c r="G195" i="16"/>
  <c r="I194" i="16"/>
  <c r="I193" i="16"/>
  <c r="M198" i="16"/>
  <c r="P200" i="16"/>
  <c r="L194" i="16"/>
  <c r="K193" i="16"/>
  <c r="L199" i="16"/>
  <c r="F192" i="16"/>
  <c r="H197" i="16"/>
  <c r="Q199" i="16"/>
  <c r="J199" i="16"/>
  <c r="J196" i="16"/>
  <c r="Q196" i="16"/>
  <c r="O192" i="16"/>
  <c r="F200" i="16"/>
  <c r="P194" i="16"/>
  <c r="L197" i="16"/>
  <c r="O194" i="16"/>
  <c r="L193" i="16"/>
  <c r="N196" i="16"/>
  <c r="M193" i="16"/>
  <c r="P199" i="16"/>
  <c r="I195" i="16"/>
  <c r="H198" i="16"/>
  <c r="R196" i="16"/>
  <c r="Q193" i="16"/>
  <c r="L200" i="16"/>
  <c r="F193" i="16"/>
  <c r="S193" i="16" s="1"/>
  <c r="N194" i="16"/>
  <c r="J193" i="16"/>
  <c r="M196" i="16"/>
  <c r="P198" i="16"/>
  <c r="M200" i="16"/>
  <c r="F194" i="16"/>
  <c r="P193" i="16"/>
  <c r="N192" i="16"/>
  <c r="I199" i="16"/>
  <c r="N198" i="16"/>
  <c r="O193" i="16"/>
  <c r="K200" i="16"/>
  <c r="M194" i="16"/>
  <c r="H193" i="16"/>
  <c r="L192" i="16"/>
  <c r="H195" i="16"/>
  <c r="F198" i="16"/>
  <c r="K194" i="16"/>
  <c r="P196" i="16"/>
  <c r="K192" i="16"/>
  <c r="P195" i="16"/>
  <c r="I192" i="16"/>
  <c r="L198" i="16"/>
  <c r="Q192" i="16"/>
  <c r="I196" i="16"/>
  <c r="H196" i="16"/>
  <c r="O196" i="16"/>
  <c r="P197" i="16"/>
  <c r="J195" i="16"/>
  <c r="I200" i="16"/>
  <c r="K198" i="16"/>
  <c r="L195" i="16"/>
  <c r="G195" i="8" s="1"/>
  <c r="G196" i="16"/>
  <c r="Q200" i="16"/>
  <c r="F196" i="16"/>
  <c r="H199" i="16"/>
  <c r="R195" i="16"/>
  <c r="Q198" i="16"/>
  <c r="G192" i="16"/>
  <c r="L196" i="16"/>
  <c r="G196" i="8" s="1"/>
  <c r="Q195" i="16"/>
  <c r="J197" i="16"/>
  <c r="N193" i="16"/>
  <c r="N200" i="16"/>
  <c r="H194" i="16"/>
  <c r="R193" i="16"/>
  <c r="H192" i="16"/>
  <c r="Q197" i="16"/>
  <c r="R199" i="16"/>
  <c r="M192" i="16"/>
  <c r="H200" i="16"/>
  <c r="G193" i="16"/>
  <c r="K196" i="16"/>
  <c r="P192" i="16"/>
  <c r="I197" i="16"/>
  <c r="R197" i="16"/>
  <c r="S91" i="8"/>
  <c r="S89" i="8"/>
  <c r="S90" i="8"/>
  <c r="S88" i="8"/>
  <c r="S87" i="8"/>
  <c r="S71" i="8"/>
  <c r="S68" i="8"/>
  <c r="S70" i="8"/>
  <c r="S69" i="8"/>
  <c r="S67" i="8"/>
  <c r="S65" i="8"/>
  <c r="S66" i="8"/>
  <c r="Q313" i="16"/>
  <c r="K311" i="16"/>
  <c r="K309" i="16"/>
  <c r="K307" i="16"/>
  <c r="K305" i="16"/>
  <c r="K303" i="16"/>
  <c r="K301" i="16"/>
  <c r="K299" i="16"/>
  <c r="K297" i="16"/>
  <c r="I313" i="16"/>
  <c r="K312" i="16"/>
  <c r="H313" i="16"/>
  <c r="N311" i="16"/>
  <c r="F311" i="16"/>
  <c r="R310" i="16"/>
  <c r="J310" i="16"/>
  <c r="N309" i="16"/>
  <c r="F309" i="16"/>
  <c r="M311" i="16"/>
  <c r="M309" i="16"/>
  <c r="M307" i="16"/>
  <c r="L311" i="16"/>
  <c r="L309" i="16"/>
  <c r="L307" i="16"/>
  <c r="L305" i="16"/>
  <c r="L303" i="16"/>
  <c r="L301" i="16"/>
  <c r="G301" i="8" s="1"/>
  <c r="L299" i="16"/>
  <c r="L297" i="16"/>
  <c r="G297" i="8" s="1"/>
  <c r="G309" i="16"/>
  <c r="K308" i="16"/>
  <c r="N307" i="16"/>
  <c r="J304" i="16"/>
  <c r="N303" i="16"/>
  <c r="G301" i="16"/>
  <c r="O311" i="16"/>
  <c r="K310" i="16"/>
  <c r="J308" i="16"/>
  <c r="G307" i="16"/>
  <c r="R306" i="16"/>
  <c r="O305" i="16"/>
  <c r="I304" i="16"/>
  <c r="M303" i="16"/>
  <c r="F301" i="16"/>
  <c r="R300" i="16"/>
  <c r="O297" i="16"/>
  <c r="G311" i="16"/>
  <c r="F307" i="16"/>
  <c r="K306" i="16"/>
  <c r="N305" i="16"/>
  <c r="G303" i="16"/>
  <c r="N297" i="16"/>
  <c r="J306" i="16"/>
  <c r="M305" i="16"/>
  <c r="F303" i="16"/>
  <c r="O299" i="16"/>
  <c r="M297" i="16"/>
  <c r="G305" i="16"/>
  <c r="N299" i="16"/>
  <c r="G297" i="16"/>
  <c r="F305" i="16"/>
  <c r="R304" i="16"/>
  <c r="O301" i="16"/>
  <c r="M299" i="16"/>
  <c r="F297" i="16"/>
  <c r="N301" i="16"/>
  <c r="G299" i="16"/>
  <c r="O309" i="16"/>
  <c r="R308" i="16"/>
  <c r="O307" i="16"/>
  <c r="K304" i="16"/>
  <c r="O303" i="16"/>
  <c r="M301" i="16"/>
  <c r="F299" i="16"/>
  <c r="R298" i="16"/>
  <c r="F304" i="16"/>
  <c r="R309" i="16"/>
  <c r="M302" i="16"/>
  <c r="I298" i="16"/>
  <c r="N300" i="16"/>
  <c r="H298" i="16"/>
  <c r="P308" i="16"/>
  <c r="Q306" i="16"/>
  <c r="J312" i="16"/>
  <c r="P303" i="16"/>
  <c r="P309" i="16"/>
  <c r="Q301" i="16"/>
  <c r="M308" i="16"/>
  <c r="F313" i="16"/>
  <c r="N306" i="16"/>
  <c r="F312" i="16"/>
  <c r="R311" i="16"/>
  <c r="J302" i="16"/>
  <c r="P304" i="16"/>
  <c r="H302" i="16"/>
  <c r="R297" i="16"/>
  <c r="L300" i="16"/>
  <c r="N298" i="16"/>
  <c r="O306" i="16"/>
  <c r="H312" i="16"/>
  <c r="I310" i="16"/>
  <c r="H299" i="16"/>
  <c r="L306" i="16"/>
  <c r="P311" i="16"/>
  <c r="I297" i="16"/>
  <c r="I305" i="16"/>
  <c r="M310" i="16"/>
  <c r="J313" i="16"/>
  <c r="J299" i="16"/>
  <c r="N308" i="16"/>
  <c r="K298" i="16"/>
  <c r="R303" i="16"/>
  <c r="J297" i="16"/>
  <c r="M304" i="16"/>
  <c r="I300" i="16"/>
  <c r="O302" i="16"/>
  <c r="R302" i="16"/>
  <c r="H300" i="16"/>
  <c r="O298" i="16"/>
  <c r="O312" i="16"/>
  <c r="I306" i="16"/>
  <c r="H303" i="16"/>
  <c r="H311" i="16"/>
  <c r="I303" i="16"/>
  <c r="I311" i="16"/>
  <c r="M313" i="16"/>
  <c r="J301" i="16"/>
  <c r="N310" i="16"/>
  <c r="K302" i="16"/>
  <c r="J298" i="16"/>
  <c r="H306" i="16"/>
  <c r="H305" i="16"/>
  <c r="Q311" i="16"/>
  <c r="J311" i="16"/>
  <c r="P312" i="16"/>
  <c r="H301" i="16"/>
  <c r="I309" i="16"/>
  <c r="J309" i="16"/>
  <c r="N304" i="16"/>
  <c r="L304" i="16"/>
  <c r="G302" i="16"/>
  <c r="L313" i="16"/>
  <c r="Q300" i="16"/>
  <c r="G298" i="16"/>
  <c r="I308" i="16"/>
  <c r="L312" i="16"/>
  <c r="Q303" i="16"/>
  <c r="J303" i="16"/>
  <c r="Q305" i="16"/>
  <c r="M312" i="16"/>
  <c r="J305" i="16"/>
  <c r="N312" i="16"/>
  <c r="L310" i="16"/>
  <c r="I301" i="16"/>
  <c r="H304" i="16"/>
  <c r="N302" i="16"/>
  <c r="R305" i="16"/>
  <c r="F298" i="16"/>
  <c r="P306" i="16"/>
  <c r="Q308" i="16"/>
  <c r="P305" i="16"/>
  <c r="G304" i="16"/>
  <c r="Q298" i="16"/>
  <c r="Q299" i="16"/>
  <c r="P300" i="16"/>
  <c r="Q309" i="16"/>
  <c r="K300" i="16"/>
  <c r="R301" i="16"/>
  <c r="Q304" i="16"/>
  <c r="F302" i="16"/>
  <c r="O300" i="16"/>
  <c r="M298" i="16"/>
  <c r="H308" i="16"/>
  <c r="Q310" i="16"/>
  <c r="R312" i="16"/>
  <c r="H297" i="16"/>
  <c r="H307" i="16"/>
  <c r="M306" i="16"/>
  <c r="N313" i="16"/>
  <c r="F306" i="16"/>
  <c r="P313" i="16"/>
  <c r="G306" i="16"/>
  <c r="J300" i="16"/>
  <c r="I302" i="16"/>
  <c r="L302" i="16"/>
  <c r="G300" i="16"/>
  <c r="L298" i="16"/>
  <c r="G298" i="8" s="1"/>
  <c r="H310" i="16"/>
  <c r="I312" i="16"/>
  <c r="P297" i="16"/>
  <c r="P307" i="16"/>
  <c r="Q297" i="16"/>
  <c r="I307" i="16"/>
  <c r="K313" i="16"/>
  <c r="J307" i="16"/>
  <c r="G308" i="16"/>
  <c r="Q302" i="16"/>
  <c r="G312" i="16"/>
  <c r="G313" i="16"/>
  <c r="R307" i="16"/>
  <c r="O304" i="16"/>
  <c r="O308" i="16"/>
  <c r="R299" i="16"/>
  <c r="P302" i="16"/>
  <c r="F300" i="16"/>
  <c r="P298" i="16"/>
  <c r="P310" i="16"/>
  <c r="Q312" i="16"/>
  <c r="P299" i="16"/>
  <c r="L308" i="16"/>
  <c r="I299" i="16"/>
  <c r="Q307" i="16"/>
  <c r="R313" i="16"/>
  <c r="F308" i="16"/>
  <c r="G310" i="16"/>
  <c r="M300" i="16"/>
  <c r="H309" i="16"/>
  <c r="O313" i="16"/>
  <c r="O310" i="16"/>
  <c r="P301" i="16"/>
  <c r="F310" i="16"/>
  <c r="S42" i="6"/>
  <c r="M287" i="16"/>
  <c r="L287" i="16"/>
  <c r="K287" i="16"/>
  <c r="G287" i="16"/>
  <c r="F287" i="16"/>
  <c r="O287" i="16"/>
  <c r="N287" i="16"/>
  <c r="R286" i="16"/>
  <c r="P287" i="16"/>
  <c r="O286" i="16"/>
  <c r="F286" i="16"/>
  <c r="I286" i="16"/>
  <c r="J286" i="16"/>
  <c r="R287" i="16"/>
  <c r="Q286" i="16"/>
  <c r="K286" i="16"/>
  <c r="J287" i="16"/>
  <c r="M286" i="16"/>
  <c r="H286" i="16"/>
  <c r="H287" i="16"/>
  <c r="I287" i="16"/>
  <c r="P286" i="16"/>
  <c r="L286" i="16"/>
  <c r="N286" i="16"/>
  <c r="Q287" i="16"/>
  <c r="G286" i="16"/>
  <c r="S137" i="8"/>
  <c r="S138" i="8"/>
  <c r="S136" i="8"/>
  <c r="D44" i="3"/>
  <c r="E44" i="3"/>
  <c r="S117" i="8"/>
  <c r="S121" i="8"/>
  <c r="S122" i="8"/>
  <c r="S115" i="8"/>
  <c r="S120" i="8"/>
  <c r="S119" i="8"/>
  <c r="S116" i="8"/>
  <c r="S118" i="8"/>
  <c r="M22" i="16"/>
  <c r="M20" i="16"/>
  <c r="M18" i="16"/>
  <c r="M16" i="16"/>
  <c r="M14" i="16"/>
  <c r="M12" i="16"/>
  <c r="M10" i="16"/>
  <c r="M8" i="16"/>
  <c r="M6" i="16"/>
  <c r="R7" i="16"/>
  <c r="N12" i="16"/>
  <c r="Q5" i="16"/>
  <c r="N22" i="16"/>
  <c r="P5" i="16"/>
  <c r="F5" i="16"/>
  <c r="K5" i="16"/>
  <c r="N8" i="16"/>
  <c r="G6" i="16"/>
  <c r="K11" i="16"/>
  <c r="O16" i="16"/>
  <c r="G22" i="16"/>
  <c r="L7" i="16"/>
  <c r="P12" i="16"/>
  <c r="H18" i="16"/>
  <c r="I10" i="16"/>
  <c r="M15" i="16"/>
  <c r="Q20" i="16"/>
  <c r="F7" i="16"/>
  <c r="F11" i="16"/>
  <c r="F15" i="16"/>
  <c r="F19" i="16"/>
  <c r="K10" i="16"/>
  <c r="O15" i="16"/>
  <c r="G21" i="16"/>
  <c r="L10" i="16"/>
  <c r="P15" i="16"/>
  <c r="H21" i="16"/>
  <c r="I11" i="16"/>
  <c r="I19" i="16"/>
  <c r="J13" i="16"/>
  <c r="J21" i="16"/>
  <c r="R15" i="16"/>
  <c r="N20" i="16"/>
  <c r="R9" i="16"/>
  <c r="H5" i="16"/>
  <c r="N10" i="16"/>
  <c r="R17" i="16"/>
  <c r="O5" i="16"/>
  <c r="R19" i="16"/>
  <c r="K7" i="16"/>
  <c r="O12" i="16"/>
  <c r="G18" i="16"/>
  <c r="P8" i="16"/>
  <c r="H14" i="16"/>
  <c r="L19" i="16"/>
  <c r="I6" i="16"/>
  <c r="M11" i="16"/>
  <c r="Q16" i="16"/>
  <c r="I22" i="16"/>
  <c r="J8" i="16"/>
  <c r="J12" i="16"/>
  <c r="J16" i="16"/>
  <c r="J20" i="16"/>
  <c r="K6" i="16"/>
  <c r="O11" i="16"/>
  <c r="G17" i="16"/>
  <c r="K22" i="16"/>
  <c r="L6" i="16"/>
  <c r="P11" i="16"/>
  <c r="H17" i="16"/>
  <c r="L22" i="16"/>
  <c r="I13" i="16"/>
  <c r="I21" i="16"/>
  <c r="J7" i="16"/>
  <c r="J15" i="16"/>
  <c r="N18" i="16"/>
  <c r="G5" i="16"/>
  <c r="G8" i="16"/>
  <c r="K13" i="16"/>
  <c r="O18" i="16"/>
  <c r="L9" i="16"/>
  <c r="P14" i="16"/>
  <c r="H20" i="16"/>
  <c r="Q6" i="16"/>
  <c r="I12" i="16"/>
  <c r="M17" i="16"/>
  <c r="Q22" i="16"/>
  <c r="R8" i="16"/>
  <c r="R12" i="16"/>
  <c r="R16" i="16"/>
  <c r="R20" i="16"/>
  <c r="G7" i="16"/>
  <c r="K12" i="16"/>
  <c r="O17" i="16"/>
  <c r="H7" i="16"/>
  <c r="L12" i="16"/>
  <c r="P17" i="16"/>
  <c r="Q13" i="16"/>
  <c r="Q21" i="16"/>
  <c r="F8" i="16"/>
  <c r="F16" i="16"/>
  <c r="R13" i="16"/>
  <c r="O8" i="16"/>
  <c r="G14" i="16"/>
  <c r="K19" i="16"/>
  <c r="H10" i="16"/>
  <c r="L15" i="16"/>
  <c r="P20" i="16"/>
  <c r="M7" i="16"/>
  <c r="Q12" i="16"/>
  <c r="I18" i="16"/>
  <c r="F9" i="16"/>
  <c r="F13" i="16"/>
  <c r="F17" i="16"/>
  <c r="F21" i="16"/>
  <c r="O7" i="16"/>
  <c r="G13" i="16"/>
  <c r="K18" i="16"/>
  <c r="P7" i="16"/>
  <c r="H13" i="16"/>
  <c r="L18" i="16"/>
  <c r="I7" i="16"/>
  <c r="I15" i="16"/>
  <c r="J9" i="16"/>
  <c r="J17" i="16"/>
  <c r="R21" i="16"/>
  <c r="K9" i="16"/>
  <c r="O14" i="16"/>
  <c r="G20" i="16"/>
  <c r="P10" i="16"/>
  <c r="H16" i="16"/>
  <c r="L21" i="16"/>
  <c r="I8" i="16"/>
  <c r="M13" i="16"/>
  <c r="Q18" i="16"/>
  <c r="N9" i="16"/>
  <c r="N13" i="16"/>
  <c r="N17" i="16"/>
  <c r="N21" i="16"/>
  <c r="K8" i="16"/>
  <c r="F8" i="8" s="1"/>
  <c r="O13" i="16"/>
  <c r="G19" i="16"/>
  <c r="L8" i="16"/>
  <c r="P13" i="16"/>
  <c r="H19" i="16"/>
  <c r="Q7" i="16"/>
  <c r="Q15" i="16"/>
  <c r="F10" i="16"/>
  <c r="F18" i="16"/>
  <c r="N6" i="16"/>
  <c r="R5" i="16"/>
  <c r="M5" i="16"/>
  <c r="I5" i="16"/>
  <c r="N14" i="16"/>
  <c r="J5" i="16"/>
  <c r="N5" i="16"/>
  <c r="L5" i="16"/>
  <c r="O10" i="16"/>
  <c r="G16" i="16"/>
  <c r="K21" i="16"/>
  <c r="P6" i="16"/>
  <c r="H12" i="16"/>
  <c r="L17" i="16"/>
  <c r="P22" i="16"/>
  <c r="M9" i="16"/>
  <c r="Q14" i="16"/>
  <c r="I20" i="16"/>
  <c r="R6" i="16"/>
  <c r="R10" i="16"/>
  <c r="R14" i="16"/>
  <c r="R18" i="16"/>
  <c r="R22" i="16"/>
  <c r="O9" i="16"/>
  <c r="G15" i="16"/>
  <c r="K20" i="16"/>
  <c r="P9" i="16"/>
  <c r="H15" i="16"/>
  <c r="L20" i="16"/>
  <c r="G20" i="8" s="1"/>
  <c r="Q9" i="16"/>
  <c r="Q17" i="16"/>
  <c r="F12" i="16"/>
  <c r="F20" i="16"/>
  <c r="G10" i="16"/>
  <c r="L13" i="16"/>
  <c r="I16" i="16"/>
  <c r="N11" i="16"/>
  <c r="K16" i="16"/>
  <c r="F6" i="16"/>
  <c r="G12" i="16"/>
  <c r="P16" i="16"/>
  <c r="M19" i="16"/>
  <c r="J14" i="16"/>
  <c r="O19" i="16"/>
  <c r="H9" i="16"/>
  <c r="I9" i="16"/>
  <c r="J11" i="16"/>
  <c r="K15" i="16"/>
  <c r="P18" i="16"/>
  <c r="M21" i="16"/>
  <c r="N15" i="16"/>
  <c r="O21" i="16"/>
  <c r="H11" i="16"/>
  <c r="Q11" i="16"/>
  <c r="F14" i="16"/>
  <c r="K17" i="16"/>
  <c r="H22" i="16"/>
  <c r="J18" i="16"/>
  <c r="L14" i="16"/>
  <c r="I17" i="16"/>
  <c r="J19" i="16"/>
  <c r="N16" i="16"/>
  <c r="O20" i="16"/>
  <c r="N19" i="16"/>
  <c r="L16" i="16"/>
  <c r="Q19" i="16"/>
  <c r="F22" i="16"/>
  <c r="O22" i="16"/>
  <c r="H6" i="16"/>
  <c r="Q8" i="16"/>
  <c r="J6" i="16"/>
  <c r="J22" i="16"/>
  <c r="G9" i="16"/>
  <c r="P19" i="16"/>
  <c r="H8" i="16"/>
  <c r="Q10" i="16"/>
  <c r="N7" i="16"/>
  <c r="G11" i="16"/>
  <c r="P21" i="16"/>
  <c r="K14" i="16"/>
  <c r="R11" i="16"/>
  <c r="O6" i="16"/>
  <c r="L11" i="16"/>
  <c r="I14" i="16"/>
  <c r="J10" i="16"/>
  <c r="A134" i="2"/>
  <c r="A93" i="3"/>
  <c r="D48" i="3" s="1"/>
  <c r="A93" i="4"/>
  <c r="L49" i="4" s="1"/>
  <c r="S246" i="8"/>
  <c r="S247" i="8"/>
  <c r="S251" i="8"/>
  <c r="S250" i="8"/>
  <c r="S249" i="8"/>
  <c r="S245" i="8"/>
  <c r="S248" i="8"/>
  <c r="S252" i="8"/>
  <c r="G6" i="6"/>
  <c r="M48" i="6"/>
  <c r="S351" i="8"/>
  <c r="S350" i="8"/>
  <c r="S349" i="8"/>
  <c r="S347" i="8"/>
  <c r="S348" i="8"/>
  <c r="AK19" i="6"/>
  <c r="AE26" i="6"/>
  <c r="S11" i="6"/>
  <c r="AE20" i="6"/>
  <c r="M30" i="16"/>
  <c r="M31" i="16"/>
  <c r="F31" i="16"/>
  <c r="O31" i="16"/>
  <c r="P31" i="16"/>
  <c r="J29" i="16"/>
  <c r="N30" i="16"/>
  <c r="H30" i="16"/>
  <c r="I29" i="16"/>
  <c r="J31" i="16"/>
  <c r="R31" i="16"/>
  <c r="K29" i="16"/>
  <c r="P30" i="16"/>
  <c r="Q29" i="16"/>
  <c r="G30" i="16"/>
  <c r="L31" i="16"/>
  <c r="F29" i="16"/>
  <c r="G29" i="16"/>
  <c r="H29" i="16"/>
  <c r="I31" i="16"/>
  <c r="O30" i="16"/>
  <c r="M29" i="16"/>
  <c r="N29" i="16"/>
  <c r="O29" i="16"/>
  <c r="P29" i="16"/>
  <c r="Q31" i="16"/>
  <c r="R29" i="16"/>
  <c r="Q30" i="16"/>
  <c r="R30" i="16"/>
  <c r="G31" i="16"/>
  <c r="H31" i="16"/>
  <c r="K31" i="16"/>
  <c r="J30" i="16"/>
  <c r="L30" i="16"/>
  <c r="N31" i="16"/>
  <c r="I30" i="16"/>
  <c r="K30" i="16"/>
  <c r="F30" i="8" s="1"/>
  <c r="L29" i="16"/>
  <c r="F30" i="16"/>
  <c r="M267" i="16"/>
  <c r="O266" i="16"/>
  <c r="M265" i="16"/>
  <c r="L267" i="16"/>
  <c r="G267" i="8" s="1"/>
  <c r="L266" i="16"/>
  <c r="L265" i="16"/>
  <c r="G265" i="8" s="1"/>
  <c r="K267" i="16"/>
  <c r="K266" i="16"/>
  <c r="K265" i="16"/>
  <c r="H267" i="16"/>
  <c r="H265" i="16"/>
  <c r="G267" i="16"/>
  <c r="I266" i="16"/>
  <c r="G265" i="16"/>
  <c r="P267" i="16"/>
  <c r="F267" i="16"/>
  <c r="R266" i="16"/>
  <c r="H266" i="16"/>
  <c r="P265" i="16"/>
  <c r="F265" i="16"/>
  <c r="S265" i="16" s="1"/>
  <c r="O267" i="16"/>
  <c r="Q266" i="16"/>
  <c r="G266" i="16"/>
  <c r="O265" i="16"/>
  <c r="N267" i="16"/>
  <c r="N265" i="16"/>
  <c r="Q265" i="16"/>
  <c r="F266" i="16"/>
  <c r="R267" i="16"/>
  <c r="N266" i="16"/>
  <c r="J265" i="16"/>
  <c r="I267" i="16"/>
  <c r="M266" i="16"/>
  <c r="J267" i="16"/>
  <c r="J266" i="16"/>
  <c r="P266" i="16"/>
  <c r="R265" i="16"/>
  <c r="Q267" i="16"/>
  <c r="I265" i="16"/>
  <c r="S103" i="8"/>
  <c r="S102" i="8"/>
  <c r="S101" i="8"/>
  <c r="S105" i="8"/>
  <c r="S104" i="8"/>
  <c r="P346" i="16"/>
  <c r="H346" i="16"/>
  <c r="L345" i="16"/>
  <c r="P344" i="16"/>
  <c r="H344" i="16"/>
  <c r="M346" i="16"/>
  <c r="M344" i="16"/>
  <c r="L346" i="16"/>
  <c r="P345" i="16"/>
  <c r="H345" i="16"/>
  <c r="L344" i="16"/>
  <c r="G345" i="16"/>
  <c r="Q345" i="16"/>
  <c r="F344" i="16"/>
  <c r="Q344" i="16"/>
  <c r="O345" i="16"/>
  <c r="N344" i="16"/>
  <c r="J345" i="16"/>
  <c r="I346" i="16"/>
  <c r="J344" i="16"/>
  <c r="I345" i="16"/>
  <c r="N345" i="16"/>
  <c r="M345" i="16"/>
  <c r="G344" i="16"/>
  <c r="R346" i="16"/>
  <c r="K346" i="16"/>
  <c r="R345" i="16"/>
  <c r="O344" i="16"/>
  <c r="Q346" i="16"/>
  <c r="F345" i="16"/>
  <c r="F346" i="16"/>
  <c r="S346" i="16" s="1"/>
  <c r="K345" i="16"/>
  <c r="J346" i="16"/>
  <c r="R344" i="16"/>
  <c r="N346" i="16"/>
  <c r="G346" i="16"/>
  <c r="O346" i="16"/>
  <c r="K344" i="16"/>
  <c r="I344" i="16"/>
  <c r="S238" i="8"/>
  <c r="S244" i="8"/>
  <c r="S240" i="8"/>
  <c r="S242" i="8"/>
  <c r="S241" i="8"/>
  <c r="S239" i="8"/>
  <c r="S243" i="8"/>
  <c r="H49" i="3"/>
  <c r="E49" i="3"/>
  <c r="F49" i="3"/>
  <c r="O5" i="14"/>
  <c r="S197" i="8"/>
  <c r="S198" i="8"/>
  <c r="S194" i="8"/>
  <c r="S192" i="8"/>
  <c r="S196" i="8"/>
  <c r="S200" i="8"/>
  <c r="S199" i="8"/>
  <c r="S193" i="8"/>
  <c r="S195" i="8"/>
  <c r="L90" i="16"/>
  <c r="L88" i="16"/>
  <c r="K90" i="16"/>
  <c r="K88" i="16"/>
  <c r="O90" i="16"/>
  <c r="G90" i="16"/>
  <c r="O88" i="16"/>
  <c r="G88" i="16"/>
  <c r="Q87" i="16"/>
  <c r="M88" i="16"/>
  <c r="M90" i="16"/>
  <c r="Q91" i="16"/>
  <c r="N87" i="16"/>
  <c r="G91" i="16"/>
  <c r="L89" i="16"/>
  <c r="N90" i="16"/>
  <c r="Q89" i="16"/>
  <c r="M87" i="16"/>
  <c r="F91" i="16"/>
  <c r="H89" i="16"/>
  <c r="R89" i="16"/>
  <c r="I91" i="16"/>
  <c r="L87" i="16"/>
  <c r="I89" i="16"/>
  <c r="M91" i="16"/>
  <c r="O89" i="16"/>
  <c r="J89" i="16"/>
  <c r="P87" i="16"/>
  <c r="K87" i="16"/>
  <c r="L91" i="16"/>
  <c r="G89" i="16"/>
  <c r="R90" i="16"/>
  <c r="J90" i="16"/>
  <c r="H87" i="16"/>
  <c r="R87" i="16"/>
  <c r="P91" i="16"/>
  <c r="K91" i="16"/>
  <c r="I87" i="16"/>
  <c r="N89" i="16"/>
  <c r="F88" i="16"/>
  <c r="H88" i="16"/>
  <c r="G87" i="16"/>
  <c r="R88" i="16"/>
  <c r="O91" i="16"/>
  <c r="J91" i="16"/>
  <c r="M89" i="16"/>
  <c r="F90" i="16"/>
  <c r="H90" i="16"/>
  <c r="Q88" i="16"/>
  <c r="O87" i="16"/>
  <c r="N91" i="16"/>
  <c r="P90" i="16"/>
  <c r="F87" i="16"/>
  <c r="R91" i="16"/>
  <c r="I88" i="16"/>
  <c r="J87" i="16"/>
  <c r="N88" i="16"/>
  <c r="I90" i="16"/>
  <c r="Q90" i="16"/>
  <c r="J88" i="16"/>
  <c r="P89" i="16"/>
  <c r="F89" i="16"/>
  <c r="K89" i="16"/>
  <c r="H91" i="16"/>
  <c r="P88" i="16"/>
  <c r="S331" i="8"/>
  <c r="S325" i="8"/>
  <c r="S332" i="8"/>
  <c r="S326" i="8"/>
  <c r="S328" i="8"/>
  <c r="S333" i="8"/>
  <c r="S330" i="8"/>
  <c r="S327" i="8"/>
  <c r="S329" i="8"/>
  <c r="F295" i="16"/>
  <c r="R294" i="16"/>
  <c r="G294" i="16"/>
  <c r="N293" i="16"/>
  <c r="Q294" i="16"/>
  <c r="M293" i="16"/>
  <c r="O295" i="16"/>
  <c r="P294" i="16"/>
  <c r="L293" i="16"/>
  <c r="G293" i="8" s="1"/>
  <c r="N295" i="16"/>
  <c r="K293" i="16"/>
  <c r="M295" i="16"/>
  <c r="K294" i="16"/>
  <c r="G293" i="16"/>
  <c r="L295" i="16"/>
  <c r="F293" i="16"/>
  <c r="K295" i="16"/>
  <c r="F295" i="8" s="1"/>
  <c r="G295" i="16"/>
  <c r="O293" i="16"/>
  <c r="I294" i="16"/>
  <c r="N294" i="16"/>
  <c r="K296" i="16"/>
  <c r="P295" i="16"/>
  <c r="Q293" i="16"/>
  <c r="J293" i="16"/>
  <c r="L294" i="16"/>
  <c r="F296" i="16"/>
  <c r="R293" i="16"/>
  <c r="I296" i="16"/>
  <c r="H293" i="16"/>
  <c r="J296" i="16"/>
  <c r="P293" i="16"/>
  <c r="I293" i="16"/>
  <c r="R295" i="16"/>
  <c r="G296" i="16"/>
  <c r="H296" i="16"/>
  <c r="I295" i="16"/>
  <c r="H294" i="16"/>
  <c r="Q296" i="16"/>
  <c r="H295" i="16"/>
  <c r="O294" i="16"/>
  <c r="J295" i="16"/>
  <c r="R296" i="16"/>
  <c r="O296" i="16"/>
  <c r="F294" i="16"/>
  <c r="N296" i="16"/>
  <c r="Q295" i="16"/>
  <c r="M294" i="16"/>
  <c r="M296" i="16"/>
  <c r="P296" i="16"/>
  <c r="J294" i="16"/>
  <c r="L296" i="16"/>
  <c r="F27" i="15"/>
  <c r="F51" i="4"/>
  <c r="E51" i="4"/>
  <c r="G51" i="4"/>
  <c r="H51" i="4"/>
  <c r="D51" i="4"/>
  <c r="S287" i="8"/>
  <c r="S286" i="8"/>
  <c r="M137" i="16"/>
  <c r="L137" i="16"/>
  <c r="P136" i="16"/>
  <c r="J138" i="16"/>
  <c r="G138" i="16"/>
  <c r="M136" i="16"/>
  <c r="F136" i="16"/>
  <c r="I136" i="16"/>
  <c r="N138" i="16"/>
  <c r="M138" i="16"/>
  <c r="F138" i="16"/>
  <c r="K136" i="16"/>
  <c r="P138" i="16"/>
  <c r="L138" i="16"/>
  <c r="Q138" i="16"/>
  <c r="H136" i="16"/>
  <c r="H138" i="16"/>
  <c r="I138" i="16"/>
  <c r="R136" i="16"/>
  <c r="N137" i="16"/>
  <c r="R138" i="16"/>
  <c r="O136" i="16"/>
  <c r="R137" i="16"/>
  <c r="G137" i="16"/>
  <c r="Q137" i="16"/>
  <c r="Q136" i="16"/>
  <c r="P137" i="16"/>
  <c r="I137" i="16"/>
  <c r="K137" i="16"/>
  <c r="L136" i="16"/>
  <c r="J136" i="16"/>
  <c r="J137" i="16"/>
  <c r="O137" i="16"/>
  <c r="O138" i="16"/>
  <c r="N136" i="16"/>
  <c r="K138" i="16"/>
  <c r="G136" i="16"/>
  <c r="F137" i="16"/>
  <c r="H137" i="16"/>
  <c r="I44" i="4"/>
  <c r="M28" i="16"/>
  <c r="M26" i="16"/>
  <c r="M24" i="16"/>
  <c r="K27" i="16"/>
  <c r="L23" i="16"/>
  <c r="P28" i="16"/>
  <c r="I26" i="16"/>
  <c r="F23" i="16"/>
  <c r="F27" i="16"/>
  <c r="K26" i="16"/>
  <c r="L26" i="16"/>
  <c r="I27" i="16"/>
  <c r="R23" i="16"/>
  <c r="N28" i="16"/>
  <c r="N24" i="16"/>
  <c r="K23" i="16"/>
  <c r="O28" i="16"/>
  <c r="P24" i="16"/>
  <c r="M27" i="16"/>
  <c r="J24" i="16"/>
  <c r="J28" i="16"/>
  <c r="O27" i="16"/>
  <c r="P27" i="16"/>
  <c r="J23" i="16"/>
  <c r="R25" i="16"/>
  <c r="R27" i="16"/>
  <c r="G24" i="16"/>
  <c r="L25" i="16"/>
  <c r="I28" i="16"/>
  <c r="R24" i="16"/>
  <c r="R28" i="16"/>
  <c r="G23" i="16"/>
  <c r="K28" i="16"/>
  <c r="H23" i="16"/>
  <c r="L28" i="16"/>
  <c r="F24" i="16"/>
  <c r="N26" i="16"/>
  <c r="O24" i="16"/>
  <c r="H26" i="16"/>
  <c r="M23" i="16"/>
  <c r="Q28" i="16"/>
  <c r="F25" i="16"/>
  <c r="O23" i="16"/>
  <c r="P23" i="16"/>
  <c r="I23" i="16"/>
  <c r="J25" i="16"/>
  <c r="K25" i="16"/>
  <c r="P26" i="16"/>
  <c r="I24" i="16"/>
  <c r="N25" i="16"/>
  <c r="K24" i="16"/>
  <c r="L24" i="16"/>
  <c r="Q23" i="16"/>
  <c r="F26" i="16"/>
  <c r="O26" i="16"/>
  <c r="H28" i="16"/>
  <c r="M25" i="16"/>
  <c r="R26" i="16"/>
  <c r="O25" i="16"/>
  <c r="P25" i="16"/>
  <c r="Q25" i="16"/>
  <c r="F28" i="16"/>
  <c r="N27" i="16"/>
  <c r="H27" i="16"/>
  <c r="Q24" i="16"/>
  <c r="G25" i="16"/>
  <c r="H24" i="16"/>
  <c r="Q26" i="16"/>
  <c r="G27" i="16"/>
  <c r="L27" i="16"/>
  <c r="I25" i="16"/>
  <c r="J27" i="16"/>
  <c r="G26" i="16"/>
  <c r="N23" i="16"/>
  <c r="Q27" i="16"/>
  <c r="H25" i="16"/>
  <c r="G28" i="16"/>
  <c r="J26" i="16"/>
  <c r="F54" i="15"/>
  <c r="S14" i="8"/>
  <c r="S6" i="8"/>
  <c r="S20" i="8"/>
  <c r="S10" i="8"/>
  <c r="S15" i="8"/>
  <c r="S5" i="8"/>
  <c r="S19" i="8"/>
  <c r="S18" i="8"/>
  <c r="S13" i="8"/>
  <c r="S9" i="8"/>
  <c r="S8" i="8"/>
  <c r="S22" i="8"/>
  <c r="S21" i="8"/>
  <c r="S12" i="8"/>
  <c r="S17" i="8"/>
  <c r="S16" i="8"/>
  <c r="S7" i="8"/>
  <c r="S11" i="8"/>
  <c r="Y36" i="6"/>
  <c r="M29" i="6"/>
  <c r="O358" i="16"/>
  <c r="M358" i="16"/>
  <c r="G358" i="16"/>
  <c r="Q357" i="16"/>
  <c r="G357" i="16"/>
  <c r="H357" i="16"/>
  <c r="L358" i="16"/>
  <c r="O359" i="16"/>
  <c r="I358" i="16"/>
  <c r="P358" i="16"/>
  <c r="K357" i="16"/>
  <c r="N357" i="16"/>
  <c r="H359" i="16"/>
  <c r="P357" i="16"/>
  <c r="F357" i="16"/>
  <c r="P359" i="16"/>
  <c r="J358" i="16"/>
  <c r="R359" i="16"/>
  <c r="K359" i="16"/>
  <c r="G359" i="16"/>
  <c r="M357" i="16"/>
  <c r="F358" i="16"/>
  <c r="Q358" i="16"/>
  <c r="R358" i="16"/>
  <c r="L357" i="16"/>
  <c r="G357" i="8" s="1"/>
  <c r="I357" i="16"/>
  <c r="N358" i="16"/>
  <c r="M359" i="16"/>
  <c r="F359" i="16"/>
  <c r="Q359" i="16"/>
  <c r="R357" i="16"/>
  <c r="K358" i="16"/>
  <c r="I359" i="16"/>
  <c r="J359" i="16"/>
  <c r="H358" i="16"/>
  <c r="N359" i="16"/>
  <c r="J357" i="16"/>
  <c r="O357" i="16"/>
  <c r="L359" i="16"/>
  <c r="G359" i="8" s="1"/>
  <c r="S113" i="8"/>
  <c r="S114" i="8"/>
  <c r="S112" i="8"/>
  <c r="S354" i="8"/>
  <c r="S353" i="8"/>
  <c r="S356" i="8"/>
  <c r="S355" i="8"/>
  <c r="Y8" i="6"/>
  <c r="AE50" i="6"/>
  <c r="G47" i="6"/>
  <c r="M19" i="6"/>
  <c r="S345" i="8"/>
  <c r="S346" i="8"/>
  <c r="S344" i="8"/>
  <c r="I243" i="16"/>
  <c r="M242" i="16"/>
  <c r="I242" i="16"/>
  <c r="Q240" i="16"/>
  <c r="Q238" i="16"/>
  <c r="Q244" i="16"/>
  <c r="M238" i="16"/>
  <c r="I244" i="16"/>
  <c r="M243" i="16"/>
  <c r="Q242" i="16"/>
  <c r="F238" i="16"/>
  <c r="Q239" i="16"/>
  <c r="F241" i="16"/>
  <c r="M241" i="16"/>
  <c r="M240" i="16"/>
  <c r="R242" i="16"/>
  <c r="L242" i="16"/>
  <c r="F243" i="16"/>
  <c r="O238" i="16"/>
  <c r="P244" i="16"/>
  <c r="F239" i="16"/>
  <c r="G240" i="16"/>
  <c r="R241" i="16"/>
  <c r="H242" i="16"/>
  <c r="R243" i="16"/>
  <c r="K238" i="16"/>
  <c r="N238" i="16"/>
  <c r="G244" i="16"/>
  <c r="I240" i="16"/>
  <c r="R239" i="16"/>
  <c r="R240" i="16"/>
  <c r="L240" i="16"/>
  <c r="G240" i="8" s="1"/>
  <c r="O241" i="16"/>
  <c r="P241" i="16"/>
  <c r="M244" i="16"/>
  <c r="J241" i="16"/>
  <c r="G242" i="16"/>
  <c r="P243" i="16"/>
  <c r="H238" i="16"/>
  <c r="O244" i="16"/>
  <c r="K239" i="16"/>
  <c r="K240" i="16"/>
  <c r="H241" i="16"/>
  <c r="N242" i="16"/>
  <c r="H243" i="16"/>
  <c r="G238" i="16"/>
  <c r="N244" i="16"/>
  <c r="J239" i="16"/>
  <c r="J240" i="16"/>
  <c r="P240" i="16"/>
  <c r="H244" i="16"/>
  <c r="Q241" i="16"/>
  <c r="F242" i="16"/>
  <c r="O243" i="16"/>
  <c r="L238" i="16"/>
  <c r="F244" i="16"/>
  <c r="S244" i="16" s="1"/>
  <c r="P239" i="16"/>
  <c r="I238" i="16"/>
  <c r="I241" i="16"/>
  <c r="G243" i="16"/>
  <c r="I239" i="16"/>
  <c r="L244" i="16"/>
  <c r="H239" i="16"/>
  <c r="H240" i="16"/>
  <c r="G241" i="16"/>
  <c r="K242" i="16"/>
  <c r="N243" i="16"/>
  <c r="K244" i="16"/>
  <c r="O239" i="16"/>
  <c r="O240" i="16"/>
  <c r="N241" i="16"/>
  <c r="Q243" i="16"/>
  <c r="J242" i="16"/>
  <c r="L243" i="16"/>
  <c r="R238" i="16"/>
  <c r="R244" i="16"/>
  <c r="G239" i="16"/>
  <c r="N240" i="16"/>
  <c r="O242" i="16"/>
  <c r="J243" i="16"/>
  <c r="P238" i="16"/>
  <c r="L239" i="16"/>
  <c r="L241" i="16"/>
  <c r="P242" i="16"/>
  <c r="K243" i="16"/>
  <c r="J238" i="16"/>
  <c r="J244" i="16"/>
  <c r="M239" i="16"/>
  <c r="N239" i="16"/>
  <c r="F240" i="16"/>
  <c r="K241" i="16"/>
  <c r="Y19" i="6"/>
  <c r="M20" i="6"/>
  <c r="Y5" i="6"/>
  <c r="AE47" i="6"/>
  <c r="L86" i="16"/>
  <c r="L84" i="16"/>
  <c r="L82" i="16"/>
  <c r="K86" i="16"/>
  <c r="K84" i="16"/>
  <c r="K82" i="16"/>
  <c r="O86" i="16"/>
  <c r="G86" i="16"/>
  <c r="O84" i="16"/>
  <c r="G84" i="16"/>
  <c r="O82" i="16"/>
  <c r="G82" i="16"/>
  <c r="M86" i="16"/>
  <c r="M82" i="16"/>
  <c r="Q83" i="16"/>
  <c r="M84" i="16"/>
  <c r="H85" i="16"/>
  <c r="R85" i="16"/>
  <c r="L83" i="16"/>
  <c r="R82" i="16"/>
  <c r="N82" i="16"/>
  <c r="I83" i="16"/>
  <c r="G85" i="16"/>
  <c r="R86" i="16"/>
  <c r="H83" i="16"/>
  <c r="R83" i="16"/>
  <c r="N84" i="16"/>
  <c r="P84" i="16"/>
  <c r="I84" i="16"/>
  <c r="J86" i="16"/>
  <c r="N85" i="16"/>
  <c r="O83" i="16"/>
  <c r="J83" i="16"/>
  <c r="F86" i="16"/>
  <c r="H86" i="16"/>
  <c r="Q84" i="16"/>
  <c r="Q85" i="16"/>
  <c r="F85" i="16"/>
  <c r="G83" i="16"/>
  <c r="R84" i="16"/>
  <c r="N86" i="16"/>
  <c r="P86" i="16"/>
  <c r="I86" i="16"/>
  <c r="M85" i="16"/>
  <c r="N83" i="16"/>
  <c r="Q86" i="16"/>
  <c r="P85" i="16"/>
  <c r="K85" i="16"/>
  <c r="M83" i="16"/>
  <c r="F82" i="16"/>
  <c r="H82" i="16"/>
  <c r="I85" i="16"/>
  <c r="Q82" i="16"/>
  <c r="F84" i="16"/>
  <c r="J82" i="16"/>
  <c r="J84" i="16"/>
  <c r="O85" i="16"/>
  <c r="P83" i="16"/>
  <c r="L85" i="16"/>
  <c r="F83" i="16"/>
  <c r="P82" i="16"/>
  <c r="J85" i="16"/>
  <c r="K83" i="16"/>
  <c r="H84" i="16"/>
  <c r="I82" i="16"/>
  <c r="M15" i="6"/>
  <c r="M47" i="6"/>
  <c r="M332" i="16"/>
  <c r="P330" i="16"/>
  <c r="P326" i="16"/>
  <c r="M330" i="16"/>
  <c r="M326" i="16"/>
  <c r="L330" i="16"/>
  <c r="G330" i="8" s="1"/>
  <c r="Q329" i="16"/>
  <c r="L326" i="16"/>
  <c r="Q325" i="16"/>
  <c r="H330" i="16"/>
  <c r="H326" i="16"/>
  <c r="L329" i="16"/>
  <c r="P328" i="16"/>
  <c r="L325" i="16"/>
  <c r="P333" i="16"/>
  <c r="P332" i="16"/>
  <c r="I329" i="16"/>
  <c r="M328" i="16"/>
  <c r="I325" i="16"/>
  <c r="L333" i="16"/>
  <c r="L332" i="16"/>
  <c r="Q331" i="16"/>
  <c r="H329" i="16"/>
  <c r="L328" i="16"/>
  <c r="Q327" i="16"/>
  <c r="H325" i="16"/>
  <c r="H333" i="16"/>
  <c r="H332" i="16"/>
  <c r="H328" i="16"/>
  <c r="O327" i="16"/>
  <c r="R331" i="16"/>
  <c r="R328" i="16"/>
  <c r="O325" i="16"/>
  <c r="R329" i="16"/>
  <c r="I327" i="16"/>
  <c r="L331" i="16"/>
  <c r="K328" i="16"/>
  <c r="F327" i="16"/>
  <c r="G331" i="16"/>
  <c r="F325" i="16"/>
  <c r="S325" i="16" s="1"/>
  <c r="G329" i="16"/>
  <c r="O329" i="16"/>
  <c r="F333" i="16"/>
  <c r="M327" i="16"/>
  <c r="F331" i="16"/>
  <c r="P325" i="16"/>
  <c r="P329" i="16"/>
  <c r="H327" i="16"/>
  <c r="G333" i="16"/>
  <c r="F332" i="16"/>
  <c r="G332" i="16"/>
  <c r="Q326" i="16"/>
  <c r="M331" i="16"/>
  <c r="R332" i="16"/>
  <c r="H331" i="16"/>
  <c r="O333" i="16"/>
  <c r="N332" i="16"/>
  <c r="Q328" i="16"/>
  <c r="J325" i="16"/>
  <c r="K330" i="16"/>
  <c r="G325" i="16"/>
  <c r="K332" i="16"/>
  <c r="N330" i="16"/>
  <c r="K327" i="16"/>
  <c r="I331" i="16"/>
  <c r="O332" i="16"/>
  <c r="I328" i="16"/>
  <c r="N325" i="16"/>
  <c r="N329" i="16"/>
  <c r="J333" i="16"/>
  <c r="K333" i="16"/>
  <c r="R327" i="16"/>
  <c r="K331" i="16"/>
  <c r="N333" i="16"/>
  <c r="F326" i="16"/>
  <c r="G326" i="16"/>
  <c r="R330" i="16"/>
  <c r="G330" i="16"/>
  <c r="Q332" i="16"/>
  <c r="N327" i="16"/>
  <c r="O330" i="16"/>
  <c r="M333" i="16"/>
  <c r="J327" i="16"/>
  <c r="J331" i="16"/>
  <c r="M325" i="16"/>
  <c r="F329" i="16"/>
  <c r="S329" i="16" s="1"/>
  <c r="N326" i="16"/>
  <c r="R333" i="16"/>
  <c r="O326" i="16"/>
  <c r="I330" i="16"/>
  <c r="J326" i="16"/>
  <c r="G327" i="16"/>
  <c r="O331" i="16"/>
  <c r="K325" i="16"/>
  <c r="M329" i="16"/>
  <c r="R326" i="16"/>
  <c r="F328" i="16"/>
  <c r="G328" i="16"/>
  <c r="Q330" i="16"/>
  <c r="J328" i="16"/>
  <c r="F330" i="16"/>
  <c r="J332" i="16"/>
  <c r="N331" i="16"/>
  <c r="I326" i="16"/>
  <c r="P327" i="16"/>
  <c r="P331" i="16"/>
  <c r="R325" i="16"/>
  <c r="K329" i="16"/>
  <c r="L327" i="16"/>
  <c r="K326" i="16"/>
  <c r="I333" i="16"/>
  <c r="N328" i="16"/>
  <c r="O328" i="16"/>
  <c r="I332" i="16"/>
  <c r="J330" i="16"/>
  <c r="J329" i="16"/>
  <c r="Q333" i="16"/>
  <c r="S293" i="8"/>
  <c r="S294" i="8"/>
  <c r="S295" i="8"/>
  <c r="S296" i="8"/>
  <c r="N181" i="16"/>
  <c r="F181" i="16"/>
  <c r="N179" i="16"/>
  <c r="F179" i="16"/>
  <c r="N177" i="16"/>
  <c r="F177" i="16"/>
  <c r="M181" i="16"/>
  <c r="M179" i="16"/>
  <c r="M177" i="16"/>
  <c r="L181" i="16"/>
  <c r="L179" i="16"/>
  <c r="L177" i="16"/>
  <c r="L175" i="16"/>
  <c r="L173" i="16"/>
  <c r="L171" i="16"/>
  <c r="G171" i="8" s="1"/>
  <c r="L169" i="16"/>
  <c r="L167" i="16"/>
  <c r="K181" i="16"/>
  <c r="K179" i="16"/>
  <c r="K177" i="16"/>
  <c r="K175" i="16"/>
  <c r="K173" i="16"/>
  <c r="K171" i="16"/>
  <c r="K169" i="16"/>
  <c r="K167" i="16"/>
  <c r="K165" i="16"/>
  <c r="R181" i="16"/>
  <c r="J181" i="16"/>
  <c r="N180" i="16"/>
  <c r="P181" i="16"/>
  <c r="H181" i="16"/>
  <c r="P179" i="16"/>
  <c r="H179" i="16"/>
  <c r="P177" i="16"/>
  <c r="H177" i="16"/>
  <c r="P175" i="16"/>
  <c r="F180" i="16"/>
  <c r="F175" i="16"/>
  <c r="Q174" i="16"/>
  <c r="H173" i="16"/>
  <c r="R172" i="16"/>
  <c r="J171" i="16"/>
  <c r="M169" i="16"/>
  <c r="N167" i="16"/>
  <c r="F165" i="16"/>
  <c r="R163" i="16"/>
  <c r="F163" i="16"/>
  <c r="R161" i="16"/>
  <c r="F161" i="16"/>
  <c r="R159" i="16"/>
  <c r="F159" i="16"/>
  <c r="G158" i="16"/>
  <c r="R157" i="16"/>
  <c r="F157" i="16"/>
  <c r="Q156" i="16"/>
  <c r="G156" i="16"/>
  <c r="N174" i="16"/>
  <c r="F173" i="16"/>
  <c r="Q172" i="16"/>
  <c r="H171" i="16"/>
  <c r="J169" i="16"/>
  <c r="M167" i="16"/>
  <c r="I166" i="16"/>
  <c r="R165" i="16"/>
  <c r="P163" i="16"/>
  <c r="P161" i="16"/>
  <c r="P159" i="16"/>
  <c r="P157" i="16"/>
  <c r="F171" i="16"/>
  <c r="H169" i="16"/>
  <c r="J167" i="16"/>
  <c r="P165" i="16"/>
  <c r="N163" i="16"/>
  <c r="N161" i="16"/>
  <c r="N159" i="16"/>
  <c r="N157" i="16"/>
  <c r="N176" i="16"/>
  <c r="R175" i="16"/>
  <c r="J174" i="16"/>
  <c r="R173" i="16"/>
  <c r="F169" i="16"/>
  <c r="H167" i="16"/>
  <c r="N165" i="16"/>
  <c r="M163" i="16"/>
  <c r="M161" i="16"/>
  <c r="M159" i="16"/>
  <c r="M157" i="16"/>
  <c r="R177" i="16"/>
  <c r="J176" i="16"/>
  <c r="N175" i="16"/>
  <c r="I174" i="16"/>
  <c r="P173" i="16"/>
  <c r="J172" i="16"/>
  <c r="R171" i="16"/>
  <c r="F167" i="16"/>
  <c r="Q166" i="16"/>
  <c r="M165" i="16"/>
  <c r="L164" i="16"/>
  <c r="L163" i="16"/>
  <c r="L162" i="16"/>
  <c r="L161" i="16"/>
  <c r="L160" i="16"/>
  <c r="L159" i="16"/>
  <c r="L158" i="16"/>
  <c r="L157" i="16"/>
  <c r="L156" i="16"/>
  <c r="M155" i="16"/>
  <c r="M153" i="16"/>
  <c r="M151" i="16"/>
  <c r="M149" i="16"/>
  <c r="M147" i="16"/>
  <c r="M145" i="16"/>
  <c r="N178" i="16"/>
  <c r="J177" i="16"/>
  <c r="F176" i="16"/>
  <c r="M175" i="16"/>
  <c r="F174" i="16"/>
  <c r="N173" i="16"/>
  <c r="I172" i="16"/>
  <c r="P171" i="16"/>
  <c r="J170" i="16"/>
  <c r="R169" i="16"/>
  <c r="P166" i="16"/>
  <c r="L165" i="16"/>
  <c r="J164" i="16"/>
  <c r="K163" i="16"/>
  <c r="J162" i="16"/>
  <c r="K161" i="16"/>
  <c r="J160" i="16"/>
  <c r="K159" i="16"/>
  <c r="J158" i="16"/>
  <c r="K157" i="16"/>
  <c r="J156" i="16"/>
  <c r="L155" i="16"/>
  <c r="P154" i="16"/>
  <c r="H154" i="16"/>
  <c r="L153" i="16"/>
  <c r="P152" i="16"/>
  <c r="H152" i="16"/>
  <c r="L151" i="16"/>
  <c r="P150" i="16"/>
  <c r="H150" i="16"/>
  <c r="L149" i="16"/>
  <c r="R179" i="16"/>
  <c r="F178" i="16"/>
  <c r="J175" i="16"/>
  <c r="M173" i="16"/>
  <c r="F172" i="16"/>
  <c r="N171" i="16"/>
  <c r="P169" i="16"/>
  <c r="R167" i="16"/>
  <c r="N166" i="16"/>
  <c r="J165" i="16"/>
  <c r="J163" i="16"/>
  <c r="J161" i="16"/>
  <c r="J159" i="16"/>
  <c r="J157" i="16"/>
  <c r="J179" i="16"/>
  <c r="H175" i="16"/>
  <c r="J173" i="16"/>
  <c r="M171" i="16"/>
  <c r="N169" i="16"/>
  <c r="P167" i="16"/>
  <c r="H165" i="16"/>
  <c r="H163" i="16"/>
  <c r="H161" i="16"/>
  <c r="H159" i="16"/>
  <c r="H157" i="16"/>
  <c r="P148" i="16"/>
  <c r="H148" i="16"/>
  <c r="P144" i="16"/>
  <c r="H144" i="16"/>
  <c r="L145" i="16"/>
  <c r="P146" i="16"/>
  <c r="H146" i="16"/>
  <c r="L147" i="16"/>
  <c r="M148" i="16"/>
  <c r="J145" i="16"/>
  <c r="J149" i="16"/>
  <c r="J153" i="16"/>
  <c r="H162" i="16"/>
  <c r="G144" i="16"/>
  <c r="K149" i="16"/>
  <c r="O154" i="16"/>
  <c r="K158" i="16"/>
  <c r="K162" i="16"/>
  <c r="P168" i="16"/>
  <c r="R180" i="16"/>
  <c r="Q146" i="16"/>
  <c r="Q154" i="16"/>
  <c r="L170" i="16"/>
  <c r="G170" i="8" s="1"/>
  <c r="J146" i="16"/>
  <c r="J150" i="16"/>
  <c r="J154" i="16"/>
  <c r="N164" i="16"/>
  <c r="O172" i="16"/>
  <c r="O145" i="16"/>
  <c r="G151" i="16"/>
  <c r="O156" i="16"/>
  <c r="L148" i="16"/>
  <c r="P153" i="16"/>
  <c r="P160" i="16"/>
  <c r="I149" i="16"/>
  <c r="Q160" i="16"/>
  <c r="M166" i="16"/>
  <c r="G157" i="16"/>
  <c r="G165" i="16"/>
  <c r="G173" i="16"/>
  <c r="G179" i="16"/>
  <c r="I159" i="16"/>
  <c r="I175" i="16"/>
  <c r="O178" i="16"/>
  <c r="Q180" i="16"/>
  <c r="M154" i="16"/>
  <c r="R162" i="16"/>
  <c r="I170" i="16"/>
  <c r="Q147" i="16"/>
  <c r="N146" i="16"/>
  <c r="N150" i="16"/>
  <c r="N154" i="16"/>
  <c r="I168" i="16"/>
  <c r="G146" i="16"/>
  <c r="K151" i="16"/>
  <c r="M156" i="16"/>
  <c r="M160" i="16"/>
  <c r="M164" i="16"/>
  <c r="Q157" i="16"/>
  <c r="G168" i="16"/>
  <c r="I150" i="16"/>
  <c r="H170" i="16"/>
  <c r="N147" i="16"/>
  <c r="N151" i="16"/>
  <c r="N155" i="16"/>
  <c r="Q168" i="16"/>
  <c r="K172" i="16"/>
  <c r="O147" i="16"/>
  <c r="G153" i="16"/>
  <c r="O162" i="16"/>
  <c r="O174" i="16"/>
  <c r="H145" i="16"/>
  <c r="L150" i="16"/>
  <c r="F156" i="16"/>
  <c r="F164" i="16"/>
  <c r="O155" i="16"/>
  <c r="G164" i="16"/>
  <c r="F168" i="16"/>
  <c r="O159" i="16"/>
  <c r="O167" i="16"/>
  <c r="O175" i="16"/>
  <c r="G181" i="16"/>
  <c r="L176" i="16"/>
  <c r="I165" i="16"/>
  <c r="M178" i="16"/>
  <c r="P176" i="16"/>
  <c r="I176" i="16"/>
  <c r="J180" i="16"/>
  <c r="R164" i="16"/>
  <c r="Q153" i="16"/>
  <c r="R158" i="16"/>
  <c r="Q155" i="16"/>
  <c r="M152" i="16"/>
  <c r="R147" i="16"/>
  <c r="R151" i="16"/>
  <c r="H156" i="16"/>
  <c r="Q171" i="16"/>
  <c r="K147" i="16"/>
  <c r="O152" i="16"/>
  <c r="I156" i="16"/>
  <c r="I160" i="16"/>
  <c r="I164" i="16"/>
  <c r="Q161" i="16"/>
  <c r="K168" i="16"/>
  <c r="I144" i="16"/>
  <c r="I152" i="16"/>
  <c r="G170" i="16"/>
  <c r="R144" i="16"/>
  <c r="R148" i="16"/>
  <c r="R152" i="16"/>
  <c r="N158" i="16"/>
  <c r="G149" i="16"/>
  <c r="K154" i="16"/>
  <c r="R168" i="16"/>
  <c r="M174" i="16"/>
  <c r="L146" i="16"/>
  <c r="P151" i="16"/>
  <c r="F158" i="16"/>
  <c r="Q167" i="16"/>
  <c r="R155" i="16"/>
  <c r="O161" i="16"/>
  <c r="O169" i="16"/>
  <c r="G177" i="16"/>
  <c r="L180" i="16"/>
  <c r="I169" i="16"/>
  <c r="M180" i="16"/>
  <c r="G176" i="16"/>
  <c r="P178" i="16"/>
  <c r="I178" i="16"/>
  <c r="Q149" i="16"/>
  <c r="Q151" i="16"/>
  <c r="M146" i="16"/>
  <c r="F148" i="16"/>
  <c r="F154" i="16"/>
  <c r="O146" i="16"/>
  <c r="K155" i="16"/>
  <c r="Q175" i="16"/>
  <c r="Q150" i="16"/>
  <c r="Q179" i="16"/>
  <c r="F147" i="16"/>
  <c r="N153" i="16"/>
  <c r="N170" i="16"/>
  <c r="R178" i="16"/>
  <c r="K150" i="16"/>
  <c r="O164" i="16"/>
  <c r="L174" i="16"/>
  <c r="P147" i="16"/>
  <c r="P156" i="16"/>
  <c r="Q158" i="16"/>
  <c r="K166" i="16"/>
  <c r="G163" i="16"/>
  <c r="G175" i="16"/>
  <c r="I177" i="16"/>
  <c r="Q145" i="16"/>
  <c r="M144" i="16"/>
  <c r="N148" i="16"/>
  <c r="J155" i="16"/>
  <c r="G148" i="16"/>
  <c r="M162" i="16"/>
  <c r="Q159" i="16"/>
  <c r="Q152" i="16"/>
  <c r="J148" i="16"/>
  <c r="R154" i="16"/>
  <c r="O151" i="16"/>
  <c r="Q170" i="16"/>
  <c r="H149" i="16"/>
  <c r="P158" i="16"/>
  <c r="G160" i="16"/>
  <c r="J166" i="16"/>
  <c r="O163" i="16"/>
  <c r="K176" i="16"/>
  <c r="I157" i="16"/>
  <c r="I179" i="16"/>
  <c r="O176" i="16"/>
  <c r="R156" i="16"/>
  <c r="R160" i="16"/>
  <c r="R149" i="16"/>
  <c r="H158" i="16"/>
  <c r="O148" i="16"/>
  <c r="K156" i="16"/>
  <c r="I162" i="16"/>
  <c r="Q163" i="16"/>
  <c r="I154" i="16"/>
  <c r="F149" i="16"/>
  <c r="F155" i="16"/>
  <c r="P172" i="16"/>
  <c r="K144" i="16"/>
  <c r="K152" i="16"/>
  <c r="N172" i="16"/>
  <c r="R176" i="16"/>
  <c r="P149" i="16"/>
  <c r="F160" i="16"/>
  <c r="G162" i="16"/>
  <c r="Q169" i="16"/>
  <c r="O165" i="16"/>
  <c r="O177" i="16"/>
  <c r="I161" i="16"/>
  <c r="I181" i="16"/>
  <c r="G178" i="16"/>
  <c r="J168" i="16"/>
  <c r="F144" i="16"/>
  <c r="F150" i="16"/>
  <c r="H160" i="16"/>
  <c r="G150" i="16"/>
  <c r="Q165" i="16"/>
  <c r="N168" i="16"/>
  <c r="N149" i="16"/>
  <c r="N156" i="16"/>
  <c r="H172" i="16"/>
  <c r="G145" i="16"/>
  <c r="O153" i="16"/>
  <c r="Q177" i="16"/>
  <c r="H151" i="16"/>
  <c r="F162" i="16"/>
  <c r="I145" i="16"/>
  <c r="Q162" i="16"/>
  <c r="G167" i="16"/>
  <c r="K178" i="16"/>
  <c r="I163" i="16"/>
  <c r="G180" i="16"/>
  <c r="N144" i="16"/>
  <c r="J151" i="16"/>
  <c r="H164" i="16"/>
  <c r="O150" i="16"/>
  <c r="M158" i="16"/>
  <c r="K164" i="16"/>
  <c r="H168" i="16"/>
  <c r="Q144" i="16"/>
  <c r="P170" i="16"/>
  <c r="J144" i="16"/>
  <c r="R150" i="16"/>
  <c r="N160" i="16"/>
  <c r="G172" i="16"/>
  <c r="K146" i="16"/>
  <c r="G155" i="16"/>
  <c r="P174" i="16"/>
  <c r="L152" i="16"/>
  <c r="G152" i="8" s="1"/>
  <c r="P162" i="16"/>
  <c r="I147" i="16"/>
  <c r="Q164" i="16"/>
  <c r="G169" i="16"/>
  <c r="O179" i="16"/>
  <c r="L178" i="16"/>
  <c r="I167" i="16"/>
  <c r="O180" i="16"/>
  <c r="H176" i="16"/>
  <c r="M150" i="16"/>
  <c r="R145" i="16"/>
  <c r="F152" i="16"/>
  <c r="S152" i="16" s="1"/>
  <c r="L166" i="16"/>
  <c r="G152" i="16"/>
  <c r="I158" i="16"/>
  <c r="Q173" i="16"/>
  <c r="O168" i="16"/>
  <c r="I146" i="16"/>
  <c r="O170" i="16"/>
  <c r="F145" i="16"/>
  <c r="F151" i="16"/>
  <c r="N162" i="16"/>
  <c r="M172" i="16"/>
  <c r="G147" i="16"/>
  <c r="P155" i="16"/>
  <c r="H174" i="16"/>
  <c r="L144" i="16"/>
  <c r="H153" i="16"/>
  <c r="P164" i="16"/>
  <c r="I151" i="16"/>
  <c r="O157" i="16"/>
  <c r="G171" i="16"/>
  <c r="K180" i="16"/>
  <c r="I171" i="16"/>
  <c r="H178" i="16"/>
  <c r="Q176" i="16"/>
  <c r="R174" i="16"/>
  <c r="J147" i="16"/>
  <c r="R153" i="16"/>
  <c r="K145" i="16"/>
  <c r="G154" i="16"/>
  <c r="K160" i="16"/>
  <c r="F160" i="8" s="1"/>
  <c r="L168" i="16"/>
  <c r="G168" i="8" s="1"/>
  <c r="K170" i="16"/>
  <c r="R146" i="16"/>
  <c r="R166" i="16"/>
  <c r="O149" i="16"/>
  <c r="K174" i="16"/>
  <c r="H147" i="16"/>
  <c r="G166" i="16"/>
  <c r="O173" i="16"/>
  <c r="M176" i="16"/>
  <c r="P180" i="16"/>
  <c r="I180" i="16"/>
  <c r="H166" i="16"/>
  <c r="F146" i="16"/>
  <c r="N152" i="16"/>
  <c r="F170" i="16"/>
  <c r="S170" i="16" s="1"/>
  <c r="O144" i="16"/>
  <c r="K153" i="16"/>
  <c r="M168" i="16"/>
  <c r="I148" i="16"/>
  <c r="M170" i="16"/>
  <c r="N145" i="16"/>
  <c r="J152" i="16"/>
  <c r="F166" i="16"/>
  <c r="S166" i="16" s="1"/>
  <c r="L172" i="16"/>
  <c r="K148" i="16"/>
  <c r="O158" i="16"/>
  <c r="G174" i="16"/>
  <c r="P145" i="16"/>
  <c r="L154" i="16"/>
  <c r="R170" i="16"/>
  <c r="I153" i="16"/>
  <c r="O166" i="16"/>
  <c r="G159" i="16"/>
  <c r="O171" i="16"/>
  <c r="O181" i="16"/>
  <c r="I173" i="16"/>
  <c r="H180" i="16"/>
  <c r="Q178" i="16"/>
  <c r="J178" i="16"/>
  <c r="Q181" i="16"/>
  <c r="Q148" i="16"/>
  <c r="F153" i="16"/>
  <c r="O160" i="16"/>
  <c r="H155" i="16"/>
  <c r="I155" i="16"/>
  <c r="G161" i="16"/>
  <c r="F51" i="3"/>
  <c r="B51" i="3"/>
  <c r="G51" i="3"/>
  <c r="H51" i="3"/>
  <c r="E51" i="3"/>
  <c r="C51" i="3"/>
  <c r="D51" i="3"/>
  <c r="AK12" i="6"/>
  <c r="M9" i="6"/>
  <c r="S51" i="6"/>
  <c r="S10" i="6"/>
  <c r="AK13" i="6"/>
  <c r="P125" i="16"/>
  <c r="M135" i="16"/>
  <c r="L129" i="16"/>
  <c r="L127" i="16"/>
  <c r="M125" i="16"/>
  <c r="L135" i="16"/>
  <c r="M133" i="16"/>
  <c r="Q128" i="16"/>
  <c r="Q126" i="16"/>
  <c r="L133" i="16"/>
  <c r="P132" i="16"/>
  <c r="Q130" i="16"/>
  <c r="P128" i="16"/>
  <c r="P126" i="16"/>
  <c r="K125" i="16"/>
  <c r="M130" i="16"/>
  <c r="L128" i="16"/>
  <c r="L126" i="16"/>
  <c r="H125" i="16"/>
  <c r="I130" i="16"/>
  <c r="I128" i="16"/>
  <c r="I126" i="16"/>
  <c r="H130" i="16"/>
  <c r="P129" i="16"/>
  <c r="H128" i="16"/>
  <c r="P127" i="16"/>
  <c r="H126" i="16"/>
  <c r="Q125" i="16"/>
  <c r="I125" i="16"/>
  <c r="P134" i="16"/>
  <c r="R126" i="16"/>
  <c r="R128" i="16"/>
  <c r="K130" i="16"/>
  <c r="L131" i="16"/>
  <c r="H127" i="16"/>
  <c r="N132" i="16"/>
  <c r="P131" i="16"/>
  <c r="J131" i="16"/>
  <c r="N134" i="16"/>
  <c r="N127" i="16"/>
  <c r="N129" i="16"/>
  <c r="J133" i="16"/>
  <c r="K133" i="16"/>
  <c r="F135" i="16"/>
  <c r="P135" i="16"/>
  <c r="I133" i="16"/>
  <c r="Q135" i="16"/>
  <c r="H132" i="16"/>
  <c r="J126" i="16"/>
  <c r="J128" i="16"/>
  <c r="R130" i="16"/>
  <c r="H134" i="16"/>
  <c r="Q127" i="16"/>
  <c r="O126" i="16"/>
  <c r="O128" i="16"/>
  <c r="J130" i="16"/>
  <c r="I134" i="16"/>
  <c r="G125" i="16"/>
  <c r="L132" i="16"/>
  <c r="Q132" i="16"/>
  <c r="O131" i="16"/>
  <c r="L134" i="16"/>
  <c r="Q134" i="16"/>
  <c r="K127" i="16"/>
  <c r="K129" i="16"/>
  <c r="J135" i="16"/>
  <c r="I127" i="16"/>
  <c r="Q129" i="16"/>
  <c r="G126" i="16"/>
  <c r="G128" i="16"/>
  <c r="O130" i="16"/>
  <c r="N125" i="16"/>
  <c r="K132" i="16"/>
  <c r="G131" i="16"/>
  <c r="K134" i="16"/>
  <c r="R127" i="16"/>
  <c r="R129" i="16"/>
  <c r="R135" i="16"/>
  <c r="G135" i="16"/>
  <c r="F126" i="16"/>
  <c r="F128" i="16"/>
  <c r="N130" i="16"/>
  <c r="R125" i="16"/>
  <c r="J132" i="16"/>
  <c r="F131" i="16"/>
  <c r="J134" i="16"/>
  <c r="M127" i="16"/>
  <c r="M129" i="16"/>
  <c r="H133" i="16"/>
  <c r="I129" i="16"/>
  <c r="K126" i="16"/>
  <c r="F130" i="16"/>
  <c r="M132" i="16"/>
  <c r="H131" i="16"/>
  <c r="F134" i="16"/>
  <c r="F129" i="16"/>
  <c r="I135" i="16"/>
  <c r="N126" i="16"/>
  <c r="P130" i="16"/>
  <c r="R132" i="16"/>
  <c r="N131" i="16"/>
  <c r="J129" i="16"/>
  <c r="K135" i="16"/>
  <c r="F135" i="8" s="1"/>
  <c r="M126" i="16"/>
  <c r="O132" i="16"/>
  <c r="K131" i="16"/>
  <c r="O127" i="16"/>
  <c r="Q133" i="16"/>
  <c r="G133" i="16"/>
  <c r="K128" i="16"/>
  <c r="O125" i="16"/>
  <c r="G132" i="16"/>
  <c r="R131" i="16"/>
  <c r="G127" i="16"/>
  <c r="F133" i="16"/>
  <c r="O133" i="16"/>
  <c r="I132" i="16"/>
  <c r="N128" i="16"/>
  <c r="F125" i="16"/>
  <c r="F132" i="16"/>
  <c r="M134" i="16"/>
  <c r="F127" i="16"/>
  <c r="R133" i="16"/>
  <c r="N133" i="16"/>
  <c r="O135" i="16"/>
  <c r="M131" i="16"/>
  <c r="M128" i="16"/>
  <c r="J125" i="16"/>
  <c r="R134" i="16"/>
  <c r="J127" i="16"/>
  <c r="N135" i="16"/>
  <c r="P133" i="16"/>
  <c r="I131" i="16"/>
  <c r="G134" i="16"/>
  <c r="G129" i="16"/>
  <c r="L130" i="16"/>
  <c r="L125" i="16"/>
  <c r="G125" i="8" s="1"/>
  <c r="Q131" i="16"/>
  <c r="O134" i="16"/>
  <c r="O129" i="16"/>
  <c r="H135" i="16"/>
  <c r="G130" i="16"/>
  <c r="H129" i="16"/>
  <c r="F55" i="4"/>
  <c r="J55" i="4"/>
  <c r="G55" i="4"/>
  <c r="H55" i="4"/>
  <c r="L55" i="4"/>
  <c r="K55" i="4"/>
  <c r="I55" i="4"/>
  <c r="G26" i="6"/>
  <c r="G17" i="6"/>
  <c r="S25" i="8"/>
  <c r="S24" i="8"/>
  <c r="S28" i="8"/>
  <c r="S23" i="8"/>
  <c r="S27" i="8"/>
  <c r="S26" i="8"/>
  <c r="S134" i="16" l="1"/>
  <c r="G149" i="8"/>
  <c r="S167" i="16"/>
  <c r="S163" i="16"/>
  <c r="F171" i="8"/>
  <c r="I171" i="8" s="1"/>
  <c r="F327" i="8"/>
  <c r="G328" i="8"/>
  <c r="K244" i="8"/>
  <c r="F25" i="8"/>
  <c r="S136" i="16"/>
  <c r="I295" i="8"/>
  <c r="S295" i="16"/>
  <c r="S91" i="16"/>
  <c r="F128" i="8"/>
  <c r="G134" i="8"/>
  <c r="G135" i="8"/>
  <c r="F180" i="8"/>
  <c r="S162" i="16"/>
  <c r="F166" i="8"/>
  <c r="S154" i="16"/>
  <c r="S158" i="16"/>
  <c r="S168" i="16"/>
  <c r="G155" i="8"/>
  <c r="F163" i="8"/>
  <c r="G160" i="8"/>
  <c r="I160" i="8" s="1"/>
  <c r="S157" i="16"/>
  <c r="S175" i="16"/>
  <c r="F173" i="8"/>
  <c r="G173" i="8"/>
  <c r="S177" i="16"/>
  <c r="F333" i="8"/>
  <c r="S83" i="16"/>
  <c r="F86" i="8"/>
  <c r="G238" i="8"/>
  <c r="F358" i="8"/>
  <c r="G27" i="8"/>
  <c r="S28" i="16"/>
  <c r="S26" i="16"/>
  <c r="S137" i="16"/>
  <c r="G136" i="8"/>
  <c r="G138" i="8"/>
  <c r="L51" i="4"/>
  <c r="J51" i="4"/>
  <c r="S293" i="16"/>
  <c r="G88" i="8"/>
  <c r="F344" i="8"/>
  <c r="S345" i="16"/>
  <c r="S344" i="16"/>
  <c r="G266" i="8"/>
  <c r="F29" i="8"/>
  <c r="F16" i="8"/>
  <c r="G17" i="8"/>
  <c r="J361" i="16"/>
  <c r="S21" i="16"/>
  <c r="G15" i="8"/>
  <c r="F22" i="8"/>
  <c r="G10" i="8"/>
  <c r="F11" i="8"/>
  <c r="S287" i="16"/>
  <c r="S306" i="16"/>
  <c r="G304" i="8"/>
  <c r="S304" i="16"/>
  <c r="S301" i="16"/>
  <c r="G299" i="8"/>
  <c r="F307" i="8"/>
  <c r="S198" i="16"/>
  <c r="G194" i="8"/>
  <c r="F195" i="8"/>
  <c r="I195" i="8" s="1"/>
  <c r="F349" i="8"/>
  <c r="G350" i="8"/>
  <c r="S102" i="16"/>
  <c r="F104" i="8"/>
  <c r="F67" i="8"/>
  <c r="I67" i="8" s="1"/>
  <c r="D43" i="3"/>
  <c r="S216" i="16"/>
  <c r="S229" i="16"/>
  <c r="F204" i="8"/>
  <c r="I204" i="8" s="1"/>
  <c r="G204" i="8"/>
  <c r="S224" i="16"/>
  <c r="G212" i="8"/>
  <c r="G217" i="8"/>
  <c r="S214" i="16"/>
  <c r="F208" i="8"/>
  <c r="F207" i="8"/>
  <c r="F223" i="8"/>
  <c r="I223" i="8" s="1"/>
  <c r="S217" i="16"/>
  <c r="S225" i="16"/>
  <c r="G106" i="8"/>
  <c r="S118" i="16"/>
  <c r="G115" i="8"/>
  <c r="G118" i="8"/>
  <c r="E44" i="4"/>
  <c r="S288" i="16"/>
  <c r="F79" i="8"/>
  <c r="F78" i="8"/>
  <c r="G43" i="4"/>
  <c r="J43" i="4"/>
  <c r="F340" i="8"/>
  <c r="F337" i="8"/>
  <c r="G335" i="8"/>
  <c r="S245" i="16"/>
  <c r="G246" i="8"/>
  <c r="S252" i="16"/>
  <c r="I48" i="4"/>
  <c r="G97" i="8"/>
  <c r="F95" i="8"/>
  <c r="G94" i="8"/>
  <c r="S253" i="16"/>
  <c r="F274" i="8"/>
  <c r="I274" i="8" s="1"/>
  <c r="G274" i="8"/>
  <c r="G55" i="8"/>
  <c r="S46" i="16"/>
  <c r="S38" i="16"/>
  <c r="S57" i="16"/>
  <c r="F44" i="8"/>
  <c r="F38" i="8"/>
  <c r="S47" i="16"/>
  <c r="G39" i="8"/>
  <c r="F54" i="8"/>
  <c r="D47" i="3"/>
  <c r="F186" i="8"/>
  <c r="G187" i="8"/>
  <c r="F342" i="8"/>
  <c r="G343" i="8"/>
  <c r="G35" i="8"/>
  <c r="F32" i="8"/>
  <c r="G33" i="8"/>
  <c r="G34" i="8"/>
  <c r="F63" i="8"/>
  <c r="H47" i="4"/>
  <c r="S99" i="16"/>
  <c r="F256" i="8"/>
  <c r="G257" i="8"/>
  <c r="S254" i="16"/>
  <c r="G258" i="8"/>
  <c r="G260" i="8"/>
  <c r="G264" i="8"/>
  <c r="I49" i="4"/>
  <c r="S234" i="16"/>
  <c r="F237" i="8"/>
  <c r="S353" i="16"/>
  <c r="S355" i="16"/>
  <c r="F141" i="8"/>
  <c r="S318" i="16"/>
  <c r="G314" i="8"/>
  <c r="F323" i="8"/>
  <c r="G321" i="8"/>
  <c r="G113" i="8"/>
  <c r="G114" i="8"/>
  <c r="S282" i="16"/>
  <c r="G283" i="8"/>
  <c r="H44" i="4"/>
  <c r="H251" i="14"/>
  <c r="K166" i="8"/>
  <c r="S131" i="16"/>
  <c r="G154" i="8"/>
  <c r="F145" i="8"/>
  <c r="I145" i="8" s="1"/>
  <c r="S148" i="16"/>
  <c r="G145" i="8"/>
  <c r="G161" i="8"/>
  <c r="G175" i="8"/>
  <c r="G85" i="8"/>
  <c r="S357" i="16"/>
  <c r="G358" i="8"/>
  <c r="G23" i="8"/>
  <c r="F137" i="8"/>
  <c r="I137" i="8" s="1"/>
  <c r="G295" i="8"/>
  <c r="G90" i="8"/>
  <c r="S266" i="16"/>
  <c r="H396" i="14" s="1"/>
  <c r="K265" i="8"/>
  <c r="S31" i="16"/>
  <c r="S17" i="16"/>
  <c r="F7" i="8"/>
  <c r="S312" i="16"/>
  <c r="F312" i="8"/>
  <c r="I312" i="8" s="1"/>
  <c r="F309" i="8"/>
  <c r="H297" i="14"/>
  <c r="K193" i="8"/>
  <c r="S197" i="16"/>
  <c r="F197" i="8"/>
  <c r="I351" i="8"/>
  <c r="G351" i="8"/>
  <c r="K105" i="8"/>
  <c r="K104" i="8"/>
  <c r="G102" i="8"/>
  <c r="H120" i="14"/>
  <c r="K68" i="8"/>
  <c r="G43" i="3"/>
  <c r="S208" i="16"/>
  <c r="G222" i="8"/>
  <c r="H321" i="14"/>
  <c r="K212" i="8"/>
  <c r="G208" i="8"/>
  <c r="F229" i="8"/>
  <c r="G218" i="8"/>
  <c r="S202" i="16"/>
  <c r="F222" i="8"/>
  <c r="I222" i="8" s="1"/>
  <c r="F212" i="8"/>
  <c r="I212" i="8" s="1"/>
  <c r="S211" i="16"/>
  <c r="F209" i="8"/>
  <c r="G108" i="8"/>
  <c r="G117" i="8"/>
  <c r="J44" i="4"/>
  <c r="F80" i="8"/>
  <c r="D43" i="4"/>
  <c r="F43" i="4"/>
  <c r="I335" i="8"/>
  <c r="S335" i="16"/>
  <c r="S340" i="16"/>
  <c r="F338" i="8"/>
  <c r="G250" i="8"/>
  <c r="K109" i="8"/>
  <c r="H48" i="4"/>
  <c r="F93" i="8"/>
  <c r="S97" i="16"/>
  <c r="J272" i="8"/>
  <c r="K272" i="8"/>
  <c r="S271" i="16"/>
  <c r="F272" i="8"/>
  <c r="I272" i="8" s="1"/>
  <c r="AE46" i="8"/>
  <c r="H95" i="14"/>
  <c r="J95" i="14" s="1"/>
  <c r="K95" i="14" s="1"/>
  <c r="L95" i="14" s="1"/>
  <c r="M95" i="14" s="1"/>
  <c r="K52" i="8"/>
  <c r="H98" i="14"/>
  <c r="J98" i="14" s="1"/>
  <c r="K98" i="14" s="1"/>
  <c r="L98" i="14" s="1"/>
  <c r="M98" i="14" s="1"/>
  <c r="K58" i="8"/>
  <c r="H79" i="14"/>
  <c r="K55" i="8"/>
  <c r="G42" i="8"/>
  <c r="H70" i="14"/>
  <c r="K43" i="8"/>
  <c r="G47" i="3"/>
  <c r="K184" i="8"/>
  <c r="G183" i="8"/>
  <c r="S185" i="16"/>
  <c r="I34" i="8"/>
  <c r="F61" i="8"/>
  <c r="G47" i="4"/>
  <c r="S189" i="16"/>
  <c r="H544" i="14"/>
  <c r="K352" i="8"/>
  <c r="C50" i="1"/>
  <c r="C50" i="7"/>
  <c r="P352" i="12"/>
  <c r="S258" i="16"/>
  <c r="S256" i="16"/>
  <c r="K263" i="8"/>
  <c r="F261" i="8"/>
  <c r="G49" i="4"/>
  <c r="S235" i="16"/>
  <c r="K236" i="8"/>
  <c r="S356" i="16"/>
  <c r="F354" i="8"/>
  <c r="H55" i="3"/>
  <c r="AE142" i="8"/>
  <c r="O142" i="8"/>
  <c r="I314" i="8"/>
  <c r="I320" i="8"/>
  <c r="S314" i="16"/>
  <c r="H408" i="14"/>
  <c r="K278" i="8"/>
  <c r="G279" i="8"/>
  <c r="G281" i="8"/>
  <c r="I135" i="8"/>
  <c r="H269" i="14"/>
  <c r="J269" i="14" s="1"/>
  <c r="K269" i="14" s="1"/>
  <c r="L269" i="14" s="1"/>
  <c r="M269" i="14" s="1"/>
  <c r="K170" i="8"/>
  <c r="S180" i="16"/>
  <c r="F175" i="8"/>
  <c r="I175" i="8" s="1"/>
  <c r="F326" i="8"/>
  <c r="H500" i="14"/>
  <c r="K329" i="8"/>
  <c r="G82" i="8"/>
  <c r="S130" i="16"/>
  <c r="S135" i="16"/>
  <c r="G127" i="8"/>
  <c r="F152" i="8"/>
  <c r="I152" i="8" s="1"/>
  <c r="F156" i="8"/>
  <c r="S147" i="16"/>
  <c r="G180" i="8"/>
  <c r="G146" i="8"/>
  <c r="S172" i="16"/>
  <c r="G151" i="8"/>
  <c r="F157" i="8"/>
  <c r="G165" i="8"/>
  <c r="G162" i="8"/>
  <c r="F177" i="8"/>
  <c r="I177" i="8" s="1"/>
  <c r="G177" i="8"/>
  <c r="S179" i="16"/>
  <c r="G327" i="8"/>
  <c r="S330" i="16"/>
  <c r="S331" i="16"/>
  <c r="F328" i="8"/>
  <c r="I328" i="8" s="1"/>
  <c r="G332" i="8"/>
  <c r="S82" i="16"/>
  <c r="S86" i="16"/>
  <c r="G84" i="8"/>
  <c r="F243" i="8"/>
  <c r="S242" i="16"/>
  <c r="S239" i="16"/>
  <c r="S241" i="16"/>
  <c r="S358" i="16"/>
  <c r="G24" i="8"/>
  <c r="S24" i="16"/>
  <c r="G25" i="8"/>
  <c r="F27" i="8"/>
  <c r="I27" i="8" s="1"/>
  <c r="F138" i="8"/>
  <c r="I138" i="8" s="1"/>
  <c r="F136" i="8"/>
  <c r="I136" i="8" s="1"/>
  <c r="K51" i="4"/>
  <c r="B51" i="4"/>
  <c r="F296" i="8"/>
  <c r="S88" i="16"/>
  <c r="G30" i="8"/>
  <c r="I361" i="16"/>
  <c r="G18" i="8"/>
  <c r="S13" i="16"/>
  <c r="F19" i="8"/>
  <c r="G9" i="8"/>
  <c r="S286" i="16"/>
  <c r="F287" i="8"/>
  <c r="I287" i="8" s="1"/>
  <c r="G308" i="8"/>
  <c r="F313" i="8"/>
  <c r="S302" i="16"/>
  <c r="G312" i="8"/>
  <c r="S299" i="16"/>
  <c r="G303" i="8"/>
  <c r="S309" i="16"/>
  <c r="F311" i="8"/>
  <c r="F198" i="8"/>
  <c r="I198" i="8" s="1"/>
  <c r="G198" i="8"/>
  <c r="G192" i="8"/>
  <c r="G200" i="8"/>
  <c r="G193" i="8"/>
  <c r="F199" i="8"/>
  <c r="S195" i="16"/>
  <c r="S347" i="16"/>
  <c r="S103" i="16"/>
  <c r="G101" i="8"/>
  <c r="F101" i="8"/>
  <c r="G104" i="8"/>
  <c r="F69" i="8"/>
  <c r="F70" i="8"/>
  <c r="I70" i="8" s="1"/>
  <c r="B43" i="3"/>
  <c r="S231" i="16"/>
  <c r="G219" i="8"/>
  <c r="G211" i="8"/>
  <c r="G232" i="8"/>
  <c r="G209" i="8"/>
  <c r="G205" i="8"/>
  <c r="F206" i="8"/>
  <c r="I206" i="8" s="1"/>
  <c r="G231" i="8"/>
  <c r="S205" i="16"/>
  <c r="F220" i="8"/>
  <c r="I220" i="8" s="1"/>
  <c r="S213" i="16"/>
  <c r="F211" i="8"/>
  <c r="F226" i="8"/>
  <c r="I226" i="8" s="1"/>
  <c r="S219" i="16"/>
  <c r="F107" i="8"/>
  <c r="S116" i="16"/>
  <c r="S119" i="16"/>
  <c r="L44" i="4"/>
  <c r="G290" i="8"/>
  <c r="F289" i="8"/>
  <c r="F48" i="3"/>
  <c r="F123" i="8"/>
  <c r="G75" i="8"/>
  <c r="S75" i="16"/>
  <c r="G77" i="8"/>
  <c r="F73" i="8"/>
  <c r="S77" i="16"/>
  <c r="S81" i="16"/>
  <c r="G72" i="8"/>
  <c r="K43" i="4"/>
  <c r="S336" i="16"/>
  <c r="G337" i="8"/>
  <c r="F246" i="8"/>
  <c r="I246" i="8" s="1"/>
  <c r="F109" i="8"/>
  <c r="G111" i="8"/>
  <c r="F48" i="4"/>
  <c r="G95" i="8"/>
  <c r="G93" i="8"/>
  <c r="G253" i="8"/>
  <c r="S275" i="16"/>
  <c r="F273" i="8"/>
  <c r="F268" i="8"/>
  <c r="I268" i="8" s="1"/>
  <c r="G268" i="8"/>
  <c r="F57" i="8"/>
  <c r="I57" i="8" s="1"/>
  <c r="G57" i="8"/>
  <c r="S50" i="16"/>
  <c r="G37" i="8"/>
  <c r="G47" i="8"/>
  <c r="F51" i="8"/>
  <c r="G48" i="8"/>
  <c r="S39" i="16"/>
  <c r="F43" i="8"/>
  <c r="H47" i="3"/>
  <c r="G182" i="8"/>
  <c r="F182" i="8"/>
  <c r="I182" i="8" s="1"/>
  <c r="G185" i="8"/>
  <c r="S36" i="16"/>
  <c r="F35" i="8"/>
  <c r="I35" i="8" s="1"/>
  <c r="S35" i="16"/>
  <c r="S34" i="16"/>
  <c r="S33" i="16"/>
  <c r="F62" i="8"/>
  <c r="I62" i="8" s="1"/>
  <c r="J47" i="4"/>
  <c r="G188" i="8"/>
  <c r="F191" i="8"/>
  <c r="F188" i="8"/>
  <c r="G99" i="8"/>
  <c r="F98" i="8"/>
  <c r="I98" i="8" s="1"/>
  <c r="F352" i="8"/>
  <c r="S257" i="16"/>
  <c r="G254" i="8"/>
  <c r="F257" i="8"/>
  <c r="I257" i="8" s="1"/>
  <c r="F262" i="8"/>
  <c r="F49" i="4"/>
  <c r="H49" i="4"/>
  <c r="G354" i="8"/>
  <c r="G353" i="8"/>
  <c r="E55" i="3"/>
  <c r="F143" i="8"/>
  <c r="S142" i="16"/>
  <c r="G143" i="8"/>
  <c r="S317" i="16"/>
  <c r="F322" i="8"/>
  <c r="F315" i="8"/>
  <c r="I315" i="8" s="1"/>
  <c r="S319" i="16"/>
  <c r="G320" i="8"/>
  <c r="S114" i="16"/>
  <c r="S277" i="16"/>
  <c r="F276" i="8"/>
  <c r="F280" i="8"/>
  <c r="I280" i="8" s="1"/>
  <c r="F282" i="8"/>
  <c r="F174" i="8"/>
  <c r="S174" i="16"/>
  <c r="S171" i="16"/>
  <c r="S165" i="16"/>
  <c r="F325" i="8"/>
  <c r="I325" i="8" s="1"/>
  <c r="F332" i="8"/>
  <c r="I332" i="8" s="1"/>
  <c r="S327" i="16"/>
  <c r="G325" i="8"/>
  <c r="G83" i="8"/>
  <c r="G244" i="8"/>
  <c r="S133" i="16"/>
  <c r="F126" i="8"/>
  <c r="F134" i="8"/>
  <c r="I134" i="8" s="1"/>
  <c r="G132" i="8"/>
  <c r="F133" i="8"/>
  <c r="G129" i="8"/>
  <c r="G178" i="8"/>
  <c r="F144" i="8"/>
  <c r="F176" i="8"/>
  <c r="I176" i="8" s="1"/>
  <c r="G176" i="8"/>
  <c r="S164" i="16"/>
  <c r="F172" i="8"/>
  <c r="I172" i="8" s="1"/>
  <c r="S176" i="16"/>
  <c r="G163" i="8"/>
  <c r="S159" i="16"/>
  <c r="F179" i="8"/>
  <c r="G179" i="8"/>
  <c r="F329" i="8"/>
  <c r="I329" i="8" s="1"/>
  <c r="F330" i="8"/>
  <c r="I330" i="8" s="1"/>
  <c r="G331" i="8"/>
  <c r="G333" i="8"/>
  <c r="G329" i="8"/>
  <c r="G86" i="8"/>
  <c r="F244" i="8"/>
  <c r="I244" i="8" s="1"/>
  <c r="S359" i="16"/>
  <c r="F24" i="8"/>
  <c r="G28" i="8"/>
  <c r="G26" i="8"/>
  <c r="S138" i="16"/>
  <c r="C51" i="4"/>
  <c r="S155" i="8"/>
  <c r="S181" i="8"/>
  <c r="S149" i="8"/>
  <c r="S172" i="8"/>
  <c r="S174" i="8"/>
  <c r="S167" i="8"/>
  <c r="S160" i="8"/>
  <c r="S153" i="8"/>
  <c r="S154" i="8"/>
  <c r="S179" i="8"/>
  <c r="S147" i="8"/>
  <c r="S173" i="8"/>
  <c r="S164" i="8"/>
  <c r="S166" i="8"/>
  <c r="S159" i="8"/>
  <c r="S152" i="8"/>
  <c r="S177" i="8"/>
  <c r="S145" i="8"/>
  <c r="S178" i="8"/>
  <c r="S146" i="8"/>
  <c r="S171" i="8"/>
  <c r="S165" i="8"/>
  <c r="S156" i="8"/>
  <c r="S158" i="8"/>
  <c r="S151" i="8"/>
  <c r="S176" i="8"/>
  <c r="S144" i="8"/>
  <c r="S169" i="8"/>
  <c r="S170" i="8"/>
  <c r="S163" i="8"/>
  <c r="S157" i="8"/>
  <c r="S180" i="8"/>
  <c r="S148" i="8"/>
  <c r="S150" i="8"/>
  <c r="S175" i="8"/>
  <c r="S168" i="8"/>
  <c r="S161" i="8"/>
  <c r="S162" i="8"/>
  <c r="S294" i="16"/>
  <c r="F294" i="8"/>
  <c r="F89" i="8"/>
  <c r="I89" i="8" s="1"/>
  <c r="S90" i="16"/>
  <c r="G87" i="8"/>
  <c r="G89" i="8"/>
  <c r="G344" i="8"/>
  <c r="G345" i="8"/>
  <c r="S29" i="16"/>
  <c r="G11" i="8"/>
  <c r="S22" i="16"/>
  <c r="G14" i="8"/>
  <c r="G13" i="8"/>
  <c r="F21" i="8"/>
  <c r="M361" i="16"/>
  <c r="S9" i="16"/>
  <c r="G12" i="8"/>
  <c r="F6" i="8"/>
  <c r="O361" i="16"/>
  <c r="F10" i="8"/>
  <c r="I10" i="8" s="1"/>
  <c r="K361" i="16"/>
  <c r="F5" i="8"/>
  <c r="C44" i="3"/>
  <c r="G287" i="8"/>
  <c r="G302" i="8"/>
  <c r="G310" i="8"/>
  <c r="F302" i="8"/>
  <c r="I302" i="8" s="1"/>
  <c r="G300" i="8"/>
  <c r="S313" i="16"/>
  <c r="S297" i="16"/>
  <c r="F306" i="8"/>
  <c r="G305" i="8"/>
  <c r="F297" i="8"/>
  <c r="I297" i="8" s="1"/>
  <c r="S194" i="16"/>
  <c r="S199" i="16"/>
  <c r="S349" i="16"/>
  <c r="S101" i="16"/>
  <c r="L52" i="4"/>
  <c r="G65" i="8"/>
  <c r="S65" i="16"/>
  <c r="F65" i="8"/>
  <c r="I65" i="8" s="1"/>
  <c r="G66" i="8"/>
  <c r="F43" i="3"/>
  <c r="G233" i="8"/>
  <c r="F225" i="8"/>
  <c r="G224" i="8"/>
  <c r="G203" i="8"/>
  <c r="I203" i="8" s="1"/>
  <c r="G214" i="8"/>
  <c r="G201" i="8"/>
  <c r="S201" i="16"/>
  <c r="F218" i="8"/>
  <c r="I218" i="8" s="1"/>
  <c r="F201" i="8"/>
  <c r="F214" i="8"/>
  <c r="S228" i="16"/>
  <c r="F213" i="8"/>
  <c r="I213" i="8" s="1"/>
  <c r="F116" i="8"/>
  <c r="B44" i="4"/>
  <c r="F288" i="8"/>
  <c r="G292" i="8"/>
  <c r="F292" i="8"/>
  <c r="G48" i="3"/>
  <c r="S124" i="16"/>
  <c r="G81" i="8"/>
  <c r="F76" i="8"/>
  <c r="F72" i="8"/>
  <c r="I72" i="8" s="1"/>
  <c r="G74" i="8"/>
  <c r="C43" i="4"/>
  <c r="S341" i="16"/>
  <c r="S337" i="16"/>
  <c r="G338" i="8"/>
  <c r="S249" i="16"/>
  <c r="F248" i="8"/>
  <c r="S248" i="16"/>
  <c r="F247" i="8"/>
  <c r="I247" i="8" s="1"/>
  <c r="F245" i="8"/>
  <c r="I245" i="8" s="1"/>
  <c r="G248" i="8"/>
  <c r="G109" i="8"/>
  <c r="E48" i="4"/>
  <c r="S95" i="16"/>
  <c r="S268" i="16"/>
  <c r="G273" i="8"/>
  <c r="G275" i="8"/>
  <c r="F269" i="8"/>
  <c r="G269" i="8"/>
  <c r="F275" i="8"/>
  <c r="G43" i="8"/>
  <c r="F59" i="8"/>
  <c r="S49" i="16"/>
  <c r="F37" i="8"/>
  <c r="I37" i="8" s="1"/>
  <c r="S56" i="16"/>
  <c r="G40" i="8"/>
  <c r="F55" i="8"/>
  <c r="I55" i="8" s="1"/>
  <c r="S45" i="16"/>
  <c r="S54" i="16"/>
  <c r="G41" i="8"/>
  <c r="S59" i="16"/>
  <c r="G50" i="8"/>
  <c r="E47" i="3"/>
  <c r="S187" i="16"/>
  <c r="G36" i="8"/>
  <c r="G32" i="8"/>
  <c r="H111" i="14"/>
  <c r="J111" i="14" s="1"/>
  <c r="K111" i="14" s="1"/>
  <c r="L111" i="14" s="1"/>
  <c r="M111" i="14" s="1"/>
  <c r="G63" i="8"/>
  <c r="S63" i="16"/>
  <c r="F47" i="4"/>
  <c r="S190" i="16"/>
  <c r="S188" i="16"/>
  <c r="S98" i="16"/>
  <c r="F100" i="8"/>
  <c r="S264" i="16"/>
  <c r="S262" i="16"/>
  <c r="F260" i="8"/>
  <c r="I260" i="8" s="1"/>
  <c r="S255" i="16"/>
  <c r="F263" i="8"/>
  <c r="E49" i="4"/>
  <c r="D49" i="4"/>
  <c r="G236" i="8"/>
  <c r="F355" i="8"/>
  <c r="G55" i="3"/>
  <c r="F140" i="8"/>
  <c r="I140" i="8" s="1"/>
  <c r="G140" i="8"/>
  <c r="G139" i="8"/>
  <c r="G323" i="8"/>
  <c r="F319" i="8"/>
  <c r="F321" i="8"/>
  <c r="I321" i="8" s="1"/>
  <c r="S113" i="16"/>
  <c r="S280" i="16"/>
  <c r="S284" i="16"/>
  <c r="F285" i="8"/>
  <c r="I285" i="8" s="1"/>
  <c r="F284" i="8"/>
  <c r="I284" i="8" s="1"/>
  <c r="S125" i="16"/>
  <c r="S146" i="16"/>
  <c r="S127" i="16"/>
  <c r="F131" i="8"/>
  <c r="G131" i="8"/>
  <c r="G126" i="8"/>
  <c r="G133" i="8"/>
  <c r="S153" i="16"/>
  <c r="S151" i="16"/>
  <c r="G166" i="8"/>
  <c r="F146" i="8"/>
  <c r="F164" i="8"/>
  <c r="F178" i="8"/>
  <c r="I178" i="8" s="1"/>
  <c r="S150" i="16"/>
  <c r="G174" i="8"/>
  <c r="F147" i="8"/>
  <c r="I147" i="8" s="1"/>
  <c r="S156" i="16"/>
  <c r="F162" i="8"/>
  <c r="I162" i="8" s="1"/>
  <c r="F159" i="8"/>
  <c r="G156" i="8"/>
  <c r="G164" i="8"/>
  <c r="S173" i="16"/>
  <c r="F165" i="8"/>
  <c r="I165" i="8" s="1"/>
  <c r="F181" i="8"/>
  <c r="I181" i="8" s="1"/>
  <c r="G181" i="8"/>
  <c r="S181" i="16"/>
  <c r="S326" i="16"/>
  <c r="S333" i="16"/>
  <c r="F85" i="8"/>
  <c r="I85" i="8" s="1"/>
  <c r="F241" i="8"/>
  <c r="I241" i="8" s="1"/>
  <c r="G241" i="8"/>
  <c r="S238" i="16"/>
  <c r="S25" i="16"/>
  <c r="F26" i="8"/>
  <c r="I26" i="8" s="1"/>
  <c r="G137" i="8"/>
  <c r="I51" i="4"/>
  <c r="G296" i="8"/>
  <c r="S89" i="16"/>
  <c r="G91" i="8"/>
  <c r="G49" i="3"/>
  <c r="F346" i="8"/>
  <c r="F265" i="8"/>
  <c r="I265" i="8" s="1"/>
  <c r="F31" i="8"/>
  <c r="I31" i="8" s="1"/>
  <c r="G31" i="8"/>
  <c r="F20" i="8"/>
  <c r="I20" i="8" s="1"/>
  <c r="R361" i="16"/>
  <c r="G8" i="8"/>
  <c r="F9" i="8"/>
  <c r="I9" i="8" s="1"/>
  <c r="F13" i="8"/>
  <c r="G22" i="8"/>
  <c r="G19" i="8"/>
  <c r="S19" i="16"/>
  <c r="F361" i="16"/>
  <c r="S5" i="16"/>
  <c r="F44" i="3"/>
  <c r="S307" i="16"/>
  <c r="G307" i="8"/>
  <c r="F299" i="8"/>
  <c r="I299" i="8" s="1"/>
  <c r="F196" i="8"/>
  <c r="I196" i="8" s="1"/>
  <c r="G197" i="8"/>
  <c r="G347" i="8"/>
  <c r="F103" i="8"/>
  <c r="I103" i="8" s="1"/>
  <c r="G103" i="8"/>
  <c r="G105" i="8"/>
  <c r="J52" i="4"/>
  <c r="F71" i="8"/>
  <c r="I71" i="8" s="1"/>
  <c r="G69" i="8"/>
  <c r="F68" i="8"/>
  <c r="G228" i="8"/>
  <c r="S210" i="16"/>
  <c r="S220" i="16"/>
  <c r="G216" i="8"/>
  <c r="F228" i="8"/>
  <c r="I228" i="8" s="1"/>
  <c r="F232" i="8"/>
  <c r="I232" i="8" s="1"/>
  <c r="F230" i="8"/>
  <c r="I230" i="8" s="1"/>
  <c r="F205" i="8"/>
  <c r="I205" i="8" s="1"/>
  <c r="S215" i="16"/>
  <c r="F215" i="8"/>
  <c r="I215" i="8" s="1"/>
  <c r="S232" i="16"/>
  <c r="S221" i="16"/>
  <c r="S108" i="16"/>
  <c r="S107" i="16"/>
  <c r="S117" i="16"/>
  <c r="F118" i="8"/>
  <c r="I118" i="8" s="1"/>
  <c r="D44" i="4"/>
  <c r="E48" i="3"/>
  <c r="S80" i="16"/>
  <c r="S79" i="16"/>
  <c r="G76" i="8"/>
  <c r="I43" i="4"/>
  <c r="F334" i="8"/>
  <c r="G339" i="8"/>
  <c r="S247" i="16"/>
  <c r="S250" i="16"/>
  <c r="S110" i="16"/>
  <c r="C20" i="1" s="1"/>
  <c r="L48" i="4"/>
  <c r="S92" i="16"/>
  <c r="F92" i="8"/>
  <c r="F270" i="8"/>
  <c r="G270" i="8"/>
  <c r="F53" i="8"/>
  <c r="I53" i="8" s="1"/>
  <c r="G53" i="8"/>
  <c r="F41" i="8"/>
  <c r="I41" i="8" s="1"/>
  <c r="S41" i="16"/>
  <c r="G44" i="8"/>
  <c r="F45" i="8"/>
  <c r="I45" i="8" s="1"/>
  <c r="G38" i="8"/>
  <c r="G58" i="8"/>
  <c r="F52" i="8"/>
  <c r="F47" i="3"/>
  <c r="G184" i="8"/>
  <c r="S343" i="16"/>
  <c r="G342" i="8"/>
  <c r="F36" i="8"/>
  <c r="I36" i="8" s="1"/>
  <c r="F33" i="8"/>
  <c r="I33" i="8" s="1"/>
  <c r="G61" i="8"/>
  <c r="S64" i="16"/>
  <c r="S61" i="16"/>
  <c r="G64" i="8"/>
  <c r="F190" i="8"/>
  <c r="F189" i="8"/>
  <c r="I189" i="8" s="1"/>
  <c r="S100" i="16"/>
  <c r="G98" i="8"/>
  <c r="F258" i="8"/>
  <c r="I258" i="8" s="1"/>
  <c r="G256" i="8"/>
  <c r="F264" i="8"/>
  <c r="I264" i="8" s="1"/>
  <c r="K49" i="4"/>
  <c r="F235" i="8"/>
  <c r="I235" i="8" s="1"/>
  <c r="S237" i="16"/>
  <c r="F236" i="8"/>
  <c r="F55" i="3"/>
  <c r="F139" i="8"/>
  <c r="I139" i="8" s="1"/>
  <c r="F316" i="8"/>
  <c r="S315" i="16"/>
  <c r="F113" i="8"/>
  <c r="I113" i="8" s="1"/>
  <c r="G282" i="8"/>
  <c r="F277" i="8"/>
  <c r="I277" i="8" s="1"/>
  <c r="F279" i="8"/>
  <c r="I279" i="8" s="1"/>
  <c r="G285" i="8"/>
  <c r="F132" i="8"/>
  <c r="I132" i="8" s="1"/>
  <c r="F130" i="8"/>
  <c r="F148" i="8"/>
  <c r="F170" i="8"/>
  <c r="I170" i="8" s="1"/>
  <c r="S145" i="16"/>
  <c r="H237" i="14"/>
  <c r="K152" i="8"/>
  <c r="J152" i="8" s="1"/>
  <c r="S144" i="16"/>
  <c r="S155" i="16"/>
  <c r="F154" i="8"/>
  <c r="I154" i="8" s="1"/>
  <c r="G150" i="8"/>
  <c r="F158" i="8"/>
  <c r="S178" i="16"/>
  <c r="G153" i="8"/>
  <c r="G157" i="8"/>
  <c r="S169" i="16"/>
  <c r="S161" i="16"/>
  <c r="F167" i="8"/>
  <c r="I167" i="8" s="1"/>
  <c r="G167" i="8"/>
  <c r="S332" i="16"/>
  <c r="F83" i="8"/>
  <c r="I83" i="8" s="1"/>
  <c r="S240" i="16"/>
  <c r="G239" i="8"/>
  <c r="G243" i="8"/>
  <c r="F242" i="8"/>
  <c r="F240" i="8"/>
  <c r="I240" i="8" s="1"/>
  <c r="F238" i="8"/>
  <c r="I238" i="8" s="1"/>
  <c r="S243" i="16"/>
  <c r="F359" i="8"/>
  <c r="I359" i="8" s="1"/>
  <c r="F357" i="8"/>
  <c r="I357" i="8" s="1"/>
  <c r="F28" i="8"/>
  <c r="I28" i="8" s="1"/>
  <c r="S27" i="16"/>
  <c r="S296" i="16"/>
  <c r="F293" i="8"/>
  <c r="I293" i="8" s="1"/>
  <c r="S87" i="16"/>
  <c r="F91" i="8"/>
  <c r="I91" i="8" s="1"/>
  <c r="F87" i="8"/>
  <c r="I87" i="8" s="1"/>
  <c r="S267" i="16"/>
  <c r="P267" i="12" s="1"/>
  <c r="F266" i="8"/>
  <c r="I266" i="8" s="1"/>
  <c r="S30" i="16"/>
  <c r="J46" i="4"/>
  <c r="K46" i="4"/>
  <c r="F45" i="4"/>
  <c r="K45" i="4"/>
  <c r="L46" i="4"/>
  <c r="D50" i="4"/>
  <c r="J45" i="4"/>
  <c r="G45" i="4"/>
  <c r="K53" i="4"/>
  <c r="B54" i="4"/>
  <c r="I54" i="4"/>
  <c r="F54" i="4"/>
  <c r="I50" i="4"/>
  <c r="F46" i="4"/>
  <c r="I46" i="4"/>
  <c r="G53" i="4"/>
  <c r="E50" i="4"/>
  <c r="J53" i="4"/>
  <c r="G50" i="4"/>
  <c r="L54" i="4"/>
  <c r="F53" i="4"/>
  <c r="G44" i="4"/>
  <c r="K50" i="4"/>
  <c r="D54" i="4"/>
  <c r="H53" i="4"/>
  <c r="K54" i="4"/>
  <c r="L45" i="4"/>
  <c r="L50" i="4"/>
  <c r="L53" i="4"/>
  <c r="C54" i="4"/>
  <c r="F50" i="4"/>
  <c r="I45" i="4"/>
  <c r="H46" i="4"/>
  <c r="J50" i="4"/>
  <c r="G54" i="4"/>
  <c r="H45" i="4"/>
  <c r="G46" i="4"/>
  <c r="I53" i="4"/>
  <c r="H54" i="4"/>
  <c r="H50" i="4"/>
  <c r="E54" i="4"/>
  <c r="J54" i="4"/>
  <c r="G16" i="8"/>
  <c r="S20" i="16"/>
  <c r="F18" i="8"/>
  <c r="I18" i="8" s="1"/>
  <c r="S15" i="16"/>
  <c r="G7" i="8"/>
  <c r="P361" i="16"/>
  <c r="F286" i="8"/>
  <c r="F300" i="8"/>
  <c r="F298" i="8"/>
  <c r="I298" i="8" s="1"/>
  <c r="G306" i="8"/>
  <c r="F304" i="8"/>
  <c r="I304" i="8" s="1"/>
  <c r="S303" i="16"/>
  <c r="F308" i="8"/>
  <c r="I308" i="8" s="1"/>
  <c r="G309" i="8"/>
  <c r="F301" i="8"/>
  <c r="I301" i="8" s="1"/>
  <c r="F192" i="8"/>
  <c r="I192" i="8" s="1"/>
  <c r="F200" i="8"/>
  <c r="I200" i="8" s="1"/>
  <c r="S192" i="16"/>
  <c r="F347" i="8"/>
  <c r="I347" i="8" s="1"/>
  <c r="G348" i="8"/>
  <c r="I348" i="8" s="1"/>
  <c r="K52" i="4"/>
  <c r="S66" i="16"/>
  <c r="S67" i="16"/>
  <c r="S69" i="16"/>
  <c r="G68" i="8"/>
  <c r="H43" i="3"/>
  <c r="S233" i="16"/>
  <c r="F210" i="8"/>
  <c r="G213" i="8"/>
  <c r="S227" i="16"/>
  <c r="G210" i="8"/>
  <c r="S209" i="16"/>
  <c r="F233" i="8"/>
  <c r="I233" i="8" s="1"/>
  <c r="S226" i="16"/>
  <c r="S203" i="16"/>
  <c r="F216" i="8"/>
  <c r="F217" i="8"/>
  <c r="I217" i="8" s="1"/>
  <c r="S122" i="16"/>
  <c r="F120" i="8"/>
  <c r="I120" i="8" s="1"/>
  <c r="K44" i="4"/>
  <c r="F290" i="8"/>
  <c r="I290" i="8" s="1"/>
  <c r="S290" i="16"/>
  <c r="G289" i="8"/>
  <c r="F124" i="8"/>
  <c r="I124" i="8" s="1"/>
  <c r="G79" i="8"/>
  <c r="S72" i="16"/>
  <c r="S78" i="16"/>
  <c r="G73" i="8"/>
  <c r="G78" i="8"/>
  <c r="H43" i="4"/>
  <c r="H59" i="4" s="1"/>
  <c r="H60" i="4" s="1"/>
  <c r="F336" i="8"/>
  <c r="I336" i="8" s="1"/>
  <c r="G340" i="8"/>
  <c r="G249" i="8"/>
  <c r="G251" i="8"/>
  <c r="S251" i="16"/>
  <c r="F250" i="8"/>
  <c r="I250" i="8" s="1"/>
  <c r="S111" i="16"/>
  <c r="J48" i="4"/>
  <c r="F94" i="8"/>
  <c r="I94" i="8" s="1"/>
  <c r="F271" i="8"/>
  <c r="I271" i="8" s="1"/>
  <c r="G271" i="8"/>
  <c r="S44" i="16"/>
  <c r="F48" i="8"/>
  <c r="I48" i="8" s="1"/>
  <c r="G59" i="8"/>
  <c r="S37" i="16"/>
  <c r="S48" i="16"/>
  <c r="F39" i="8"/>
  <c r="I39" i="8" s="1"/>
  <c r="F42" i="8"/>
  <c r="I42" i="8" s="1"/>
  <c r="F50" i="8"/>
  <c r="G186" i="8"/>
  <c r="S182" i="16"/>
  <c r="F187" i="8"/>
  <c r="I187" i="8" s="1"/>
  <c r="F343" i="8"/>
  <c r="I343" i="8" s="1"/>
  <c r="S32" i="16"/>
  <c r="L47" i="4"/>
  <c r="S191" i="16"/>
  <c r="G191" i="8"/>
  <c r="G100" i="8"/>
  <c r="S260" i="16"/>
  <c r="G255" i="8"/>
  <c r="S259" i="16"/>
  <c r="S261" i="16"/>
  <c r="G261" i="8"/>
  <c r="C49" i="4"/>
  <c r="F353" i="8"/>
  <c r="I353" i="8" s="1"/>
  <c r="G356" i="8"/>
  <c r="S141" i="16"/>
  <c r="S140" i="16"/>
  <c r="S320" i="16"/>
  <c r="S321" i="16"/>
  <c r="S316" i="16"/>
  <c r="G324" i="8"/>
  <c r="G318" i="8"/>
  <c r="S112" i="16"/>
  <c r="F112" i="8"/>
  <c r="S276" i="16"/>
  <c r="S279" i="16"/>
  <c r="G276" i="8"/>
  <c r="S128" i="16"/>
  <c r="F129" i="8"/>
  <c r="I129" i="8" s="1"/>
  <c r="G128" i="8"/>
  <c r="F153" i="8"/>
  <c r="G130" i="8"/>
  <c r="S132" i="16"/>
  <c r="S129" i="16"/>
  <c r="S126" i="16"/>
  <c r="F127" i="8"/>
  <c r="I127" i="8" s="1"/>
  <c r="G172" i="8"/>
  <c r="G144" i="8"/>
  <c r="S160" i="16"/>
  <c r="S149" i="16"/>
  <c r="F150" i="8"/>
  <c r="I150" i="8" s="1"/>
  <c r="F155" i="8"/>
  <c r="I155" i="8" s="1"/>
  <c r="F168" i="8"/>
  <c r="I168" i="8" s="1"/>
  <c r="G148" i="8"/>
  <c r="G147" i="8"/>
  <c r="F161" i="8"/>
  <c r="I161" i="8" s="1"/>
  <c r="G158" i="8"/>
  <c r="F169" i="8"/>
  <c r="I169" i="8" s="1"/>
  <c r="G169" i="8"/>
  <c r="S328" i="16"/>
  <c r="F331" i="8"/>
  <c r="I331" i="8" s="1"/>
  <c r="S84" i="16"/>
  <c r="S85" i="16"/>
  <c r="F82" i="8"/>
  <c r="I82" i="8" s="1"/>
  <c r="F239" i="8"/>
  <c r="I239" i="8" s="1"/>
  <c r="G242" i="8"/>
  <c r="F23" i="8"/>
  <c r="I23" i="8" s="1"/>
  <c r="S23" i="16"/>
  <c r="G294" i="8"/>
  <c r="F88" i="8"/>
  <c r="I88" i="8" s="1"/>
  <c r="F345" i="8"/>
  <c r="I345" i="8" s="1"/>
  <c r="G346" i="8"/>
  <c r="F267" i="8"/>
  <c r="I267" i="8" s="1"/>
  <c r="G29" i="8"/>
  <c r="H50" i="3"/>
  <c r="G53" i="3"/>
  <c r="E54" i="3"/>
  <c r="H46" i="3"/>
  <c r="E50" i="3"/>
  <c r="G44" i="3"/>
  <c r="E46" i="3"/>
  <c r="B54" i="3"/>
  <c r="G45" i="3"/>
  <c r="H45" i="3"/>
  <c r="H53" i="3"/>
  <c r="F45" i="3"/>
  <c r="D45" i="3"/>
  <c r="G54" i="3"/>
  <c r="F46" i="3"/>
  <c r="F53" i="3"/>
  <c r="C54" i="3"/>
  <c r="D54" i="3"/>
  <c r="D50" i="3"/>
  <c r="F50" i="3"/>
  <c r="H54" i="3"/>
  <c r="E53" i="3"/>
  <c r="E45" i="3"/>
  <c r="H44" i="3"/>
  <c r="G50" i="3"/>
  <c r="F54" i="3"/>
  <c r="G46" i="3"/>
  <c r="F14" i="8"/>
  <c r="I14" i="8" s="1"/>
  <c r="F17" i="8"/>
  <c r="I17" i="8" s="1"/>
  <c r="F15" i="8"/>
  <c r="I15" i="8" s="1"/>
  <c r="S12" i="16"/>
  <c r="L361" i="16"/>
  <c r="G5" i="8"/>
  <c r="S18" i="16"/>
  <c r="S16" i="16"/>
  <c r="F12" i="8"/>
  <c r="I12" i="8" s="1"/>
  <c r="G361" i="16"/>
  <c r="H361" i="16"/>
  <c r="S11" i="16"/>
  <c r="B44" i="3"/>
  <c r="G286" i="8"/>
  <c r="S308" i="16"/>
  <c r="S298" i="16"/>
  <c r="G313" i="8"/>
  <c r="G311" i="8"/>
  <c r="S311" i="16"/>
  <c r="F303" i="8"/>
  <c r="I303" i="8" s="1"/>
  <c r="S196" i="16"/>
  <c r="S200" i="16"/>
  <c r="G199" i="8"/>
  <c r="S350" i="16"/>
  <c r="S348" i="16"/>
  <c r="G71" i="8"/>
  <c r="G70" i="8"/>
  <c r="E43" i="3"/>
  <c r="G229" i="8"/>
  <c r="F227" i="8"/>
  <c r="I227" i="8" s="1"/>
  <c r="S204" i="16"/>
  <c r="G227" i="8"/>
  <c r="G225" i="8"/>
  <c r="F231" i="8"/>
  <c r="I231" i="8" s="1"/>
  <c r="G220" i="8"/>
  <c r="F202" i="8"/>
  <c r="I202" i="8" s="1"/>
  <c r="S222" i="16"/>
  <c r="G207" i="8"/>
  <c r="S206" i="16"/>
  <c r="S230" i="16"/>
  <c r="S207" i="16"/>
  <c r="F219" i="8"/>
  <c r="I219" i="8" s="1"/>
  <c r="S223" i="16"/>
  <c r="S106" i="16"/>
  <c r="F106" i="8"/>
  <c r="I106" i="8" s="1"/>
  <c r="G122" i="8"/>
  <c r="F115" i="8"/>
  <c r="I115" i="8" s="1"/>
  <c r="S121" i="16"/>
  <c r="S115" i="16"/>
  <c r="F119" i="8"/>
  <c r="G119" i="8"/>
  <c r="F44" i="4"/>
  <c r="G288" i="8"/>
  <c r="S289" i="16"/>
  <c r="S291" i="16"/>
  <c r="F291" i="8"/>
  <c r="H48" i="3"/>
  <c r="S76" i="16"/>
  <c r="S73" i="16"/>
  <c r="F77" i="8"/>
  <c r="I77" i="8" s="1"/>
  <c r="F74" i="8"/>
  <c r="I74" i="8" s="1"/>
  <c r="G80" i="8"/>
  <c r="E43" i="4"/>
  <c r="E59" i="4" s="1"/>
  <c r="E60" i="4" s="1"/>
  <c r="S339" i="16"/>
  <c r="S338" i="16"/>
  <c r="F339" i="8"/>
  <c r="I339" i="8" s="1"/>
  <c r="G341" i="8"/>
  <c r="I341" i="8" s="1"/>
  <c r="F249" i="8"/>
  <c r="I249" i="8" s="1"/>
  <c r="S246" i="16"/>
  <c r="G247" i="8"/>
  <c r="F111" i="8"/>
  <c r="I111" i="8" s="1"/>
  <c r="F110" i="8"/>
  <c r="K48" i="4"/>
  <c r="S96" i="16"/>
  <c r="F96" i="8"/>
  <c r="I96" i="8" s="1"/>
  <c r="F253" i="8"/>
  <c r="I253" i="8" s="1"/>
  <c r="S270" i="16"/>
  <c r="G49" i="8"/>
  <c r="S42" i="16"/>
  <c r="F40" i="8"/>
  <c r="I40" i="8" s="1"/>
  <c r="F49" i="8"/>
  <c r="S40" i="16"/>
  <c r="G54" i="8"/>
  <c r="G56" i="8"/>
  <c r="S186" i="16"/>
  <c r="F184" i="8"/>
  <c r="I184" i="8" s="1"/>
  <c r="F183" i="8"/>
  <c r="I183" i="8" s="1"/>
  <c r="F60" i="8"/>
  <c r="I60" i="8" s="1"/>
  <c r="G62" i="8"/>
  <c r="K47" i="4"/>
  <c r="F99" i="8"/>
  <c r="I99" i="8" s="1"/>
  <c r="G352" i="8"/>
  <c r="F255" i="8"/>
  <c r="G262" i="8"/>
  <c r="J49" i="4"/>
  <c r="G237" i="8"/>
  <c r="G355" i="8"/>
  <c r="S278" i="8"/>
  <c r="S276" i="8"/>
  <c r="S282" i="8"/>
  <c r="S280" i="8"/>
  <c r="S281" i="8"/>
  <c r="S285" i="8"/>
  <c r="S283" i="8"/>
  <c r="S284" i="8"/>
  <c r="S277" i="8"/>
  <c r="S279" i="8"/>
  <c r="S139" i="16"/>
  <c r="S143" i="16"/>
  <c r="G141" i="8"/>
  <c r="G316" i="8"/>
  <c r="F324" i="8"/>
  <c r="I324" i="8" s="1"/>
  <c r="S322" i="16"/>
  <c r="S324" i="16"/>
  <c r="S323" i="16"/>
  <c r="G317" i="8"/>
  <c r="F114" i="8"/>
  <c r="I114" i="8" s="1"/>
  <c r="H52" i="3"/>
  <c r="F281" i="8"/>
  <c r="I281" i="8" s="1"/>
  <c r="S283" i="16"/>
  <c r="F278" i="8"/>
  <c r="I278" i="8" s="1"/>
  <c r="S285" i="16"/>
  <c r="F125" i="8"/>
  <c r="I125" i="8" s="1"/>
  <c r="F151" i="8"/>
  <c r="I151" i="8" s="1"/>
  <c r="F149" i="8"/>
  <c r="I149" i="8" s="1"/>
  <c r="G159" i="8"/>
  <c r="H495" i="14"/>
  <c r="P330" i="12"/>
  <c r="AN330" i="12" s="1"/>
  <c r="P331" i="12"/>
  <c r="AN331" i="12" s="1"/>
  <c r="P326" i="12"/>
  <c r="AN326" i="12" s="1"/>
  <c r="P333" i="12"/>
  <c r="AN333" i="12" s="1"/>
  <c r="P332" i="12"/>
  <c r="AN332" i="12" s="1"/>
  <c r="P325" i="12"/>
  <c r="AN325" i="12" s="1"/>
  <c r="P329" i="12"/>
  <c r="AN329" i="12" s="1"/>
  <c r="K325" i="8"/>
  <c r="J325" i="8"/>
  <c r="C45" i="1"/>
  <c r="C45" i="7"/>
  <c r="P327" i="12"/>
  <c r="AN327" i="12" s="1"/>
  <c r="P328" i="12"/>
  <c r="AN328" i="12" s="1"/>
  <c r="G326" i="8"/>
  <c r="F84" i="8"/>
  <c r="I84" i="8" s="1"/>
  <c r="F90" i="8"/>
  <c r="I90" i="8" s="1"/>
  <c r="H537" i="14"/>
  <c r="K346" i="8"/>
  <c r="I30" i="8"/>
  <c r="T51" i="6"/>
  <c r="U51" i="6" s="1"/>
  <c r="AL49" i="6"/>
  <c r="AM49" i="6" s="1"/>
  <c r="N49" i="6"/>
  <c r="O49" i="6" s="1"/>
  <c r="AF47" i="6"/>
  <c r="AG47" i="6" s="1"/>
  <c r="H47" i="6"/>
  <c r="I47" i="6" s="1"/>
  <c r="Z45" i="6"/>
  <c r="AA45" i="6" s="1"/>
  <c r="T43" i="6"/>
  <c r="U43" i="6" s="1"/>
  <c r="AL41" i="6"/>
  <c r="AM41" i="6" s="1"/>
  <c r="N41" i="6"/>
  <c r="O41" i="6" s="1"/>
  <c r="AF39" i="6"/>
  <c r="AG39" i="6" s="1"/>
  <c r="H39" i="6"/>
  <c r="I39" i="6" s="1"/>
  <c r="Z37" i="6"/>
  <c r="AA37" i="6" s="1"/>
  <c r="T35" i="6"/>
  <c r="U35" i="6" s="1"/>
  <c r="AL33" i="6"/>
  <c r="AM33" i="6" s="1"/>
  <c r="N33" i="6"/>
  <c r="O33" i="6" s="1"/>
  <c r="AF31" i="6"/>
  <c r="AG31" i="6" s="1"/>
  <c r="H31" i="6"/>
  <c r="I31" i="6" s="1"/>
  <c r="Z29" i="6"/>
  <c r="AA29" i="6" s="1"/>
  <c r="T27" i="6"/>
  <c r="U27" i="6" s="1"/>
  <c r="AL25" i="6"/>
  <c r="AM25" i="6" s="1"/>
  <c r="N25" i="6"/>
  <c r="O25" i="6" s="1"/>
  <c r="AF23" i="6"/>
  <c r="AG23" i="6" s="1"/>
  <c r="I23" i="11" s="1"/>
  <c r="H23" i="6"/>
  <c r="I23" i="6" s="1"/>
  <c r="Z21" i="6"/>
  <c r="AA21" i="6" s="1"/>
  <c r="T19" i="6"/>
  <c r="U19" i="6" s="1"/>
  <c r="AL17" i="6"/>
  <c r="AM17" i="6" s="1"/>
  <c r="N17" i="6"/>
  <c r="O17" i="6" s="1"/>
  <c r="AF15" i="6"/>
  <c r="AG15" i="6" s="1"/>
  <c r="I15" i="11" s="1"/>
  <c r="H15" i="6"/>
  <c r="I15" i="6" s="1"/>
  <c r="Z13" i="6"/>
  <c r="AA13" i="6" s="1"/>
  <c r="T11" i="6"/>
  <c r="U11" i="6" s="1"/>
  <c r="AL9" i="6"/>
  <c r="AM9" i="6" s="1"/>
  <c r="N9" i="6"/>
  <c r="O9" i="6" s="1"/>
  <c r="AF7" i="6"/>
  <c r="AG7" i="6" s="1"/>
  <c r="I7" i="11" s="1"/>
  <c r="H7" i="6"/>
  <c r="I7" i="6" s="1"/>
  <c r="Z5" i="6"/>
  <c r="AA5" i="6" s="1"/>
  <c r="B86" i="2"/>
  <c r="B87" i="2" s="1"/>
  <c r="Z50" i="6"/>
  <c r="AA50" i="6" s="1"/>
  <c r="Z34" i="6"/>
  <c r="AA34" i="6" s="1"/>
  <c r="AL30" i="6"/>
  <c r="AM30" i="6" s="1"/>
  <c r="H28" i="6"/>
  <c r="I28" i="6" s="1"/>
  <c r="T24" i="6"/>
  <c r="U24" i="6" s="1"/>
  <c r="T16" i="6"/>
  <c r="U16" i="6" s="1"/>
  <c r="AL52" i="6"/>
  <c r="AM52" i="6" s="1"/>
  <c r="N52" i="6"/>
  <c r="O52" i="6" s="1"/>
  <c r="AF50" i="6"/>
  <c r="AG50" i="6" s="1"/>
  <c r="I50" i="11" s="1"/>
  <c r="H50" i="6"/>
  <c r="I50" i="6" s="1"/>
  <c r="Z48" i="6"/>
  <c r="AA48" i="6" s="1"/>
  <c r="T46" i="6"/>
  <c r="U46" i="6" s="1"/>
  <c r="AL44" i="6"/>
  <c r="AM44" i="6" s="1"/>
  <c r="N44" i="6"/>
  <c r="O44" i="6" s="1"/>
  <c r="AF42" i="6"/>
  <c r="AG42" i="6" s="1"/>
  <c r="I42" i="11" s="1"/>
  <c r="H42" i="6"/>
  <c r="I42" i="6" s="1"/>
  <c r="Z40" i="6"/>
  <c r="AA40" i="6" s="1"/>
  <c r="T38" i="6"/>
  <c r="U38" i="6" s="1"/>
  <c r="AL36" i="6"/>
  <c r="AM36" i="6" s="1"/>
  <c r="N36" i="6"/>
  <c r="O36" i="6" s="1"/>
  <c r="AF34" i="6"/>
  <c r="AG34" i="6" s="1"/>
  <c r="H34" i="6"/>
  <c r="I34" i="6" s="1"/>
  <c r="Z32" i="6"/>
  <c r="AA32" i="6" s="1"/>
  <c r="T30" i="6"/>
  <c r="U30" i="6" s="1"/>
  <c r="AL28" i="6"/>
  <c r="AM28" i="6" s="1"/>
  <c r="N28" i="6"/>
  <c r="O28" i="6" s="1"/>
  <c r="AF26" i="6"/>
  <c r="AG26" i="6" s="1"/>
  <c r="H26" i="6"/>
  <c r="I26" i="6" s="1"/>
  <c r="Z24" i="6"/>
  <c r="AA24" i="6" s="1"/>
  <c r="T22" i="6"/>
  <c r="U22" i="6" s="1"/>
  <c r="AL20" i="6"/>
  <c r="AM20" i="6" s="1"/>
  <c r="N20" i="6"/>
  <c r="O20" i="6" s="1"/>
  <c r="AF18" i="6"/>
  <c r="AG18" i="6" s="1"/>
  <c r="I18" i="11" s="1"/>
  <c r="H18" i="6"/>
  <c r="I18" i="6" s="1"/>
  <c r="Z16" i="6"/>
  <c r="AA16" i="6" s="1"/>
  <c r="T14" i="6"/>
  <c r="U14" i="6" s="1"/>
  <c r="AL12" i="6"/>
  <c r="AM12" i="6" s="1"/>
  <c r="N12" i="6"/>
  <c r="O12" i="6" s="1"/>
  <c r="AF10" i="6"/>
  <c r="AG10" i="6" s="1"/>
  <c r="H10" i="6"/>
  <c r="I10" i="6" s="1"/>
  <c r="Z8" i="6"/>
  <c r="AA8" i="6" s="1"/>
  <c r="T6" i="6"/>
  <c r="U6" i="6" s="1"/>
  <c r="AF52" i="6"/>
  <c r="AG52" i="6" s="1"/>
  <c r="T48" i="6"/>
  <c r="U48" i="6" s="1"/>
  <c r="AL46" i="6"/>
  <c r="AM46" i="6" s="1"/>
  <c r="H44" i="6"/>
  <c r="I44" i="6" s="1"/>
  <c r="Z42" i="6"/>
  <c r="AA42" i="6" s="1"/>
  <c r="AF36" i="6"/>
  <c r="AG36" i="6" s="1"/>
  <c r="N22" i="6"/>
  <c r="O22" i="6" s="1"/>
  <c r="H20" i="6"/>
  <c r="I20" i="6" s="1"/>
  <c r="Z18" i="6"/>
  <c r="AA18" i="6" s="1"/>
  <c r="AL14" i="6"/>
  <c r="AM14" i="6" s="1"/>
  <c r="Z51" i="6"/>
  <c r="AA51" i="6" s="1"/>
  <c r="T49" i="6"/>
  <c r="U49" i="6" s="1"/>
  <c r="AL47" i="6"/>
  <c r="AM47" i="6" s="1"/>
  <c r="N47" i="6"/>
  <c r="O47" i="6" s="1"/>
  <c r="AF45" i="6"/>
  <c r="AG45" i="6" s="1"/>
  <c r="H45" i="6"/>
  <c r="I45" i="6" s="1"/>
  <c r="Z43" i="6"/>
  <c r="AA43" i="6" s="1"/>
  <c r="T41" i="6"/>
  <c r="U41" i="6" s="1"/>
  <c r="AL39" i="6"/>
  <c r="AM39" i="6" s="1"/>
  <c r="N39" i="6"/>
  <c r="O39" i="6" s="1"/>
  <c r="AF37" i="6"/>
  <c r="AG37" i="6" s="1"/>
  <c r="I37" i="11" s="1"/>
  <c r="H37" i="6"/>
  <c r="I37" i="6" s="1"/>
  <c r="Z35" i="6"/>
  <c r="AA35" i="6" s="1"/>
  <c r="T33" i="6"/>
  <c r="U33" i="6" s="1"/>
  <c r="AL31" i="6"/>
  <c r="AM31" i="6" s="1"/>
  <c r="N31" i="6"/>
  <c r="O31" i="6" s="1"/>
  <c r="AF29" i="6"/>
  <c r="AG29" i="6" s="1"/>
  <c r="I29" i="11" s="1"/>
  <c r="H29" i="6"/>
  <c r="I29" i="6" s="1"/>
  <c r="Z27" i="6"/>
  <c r="AA27" i="6" s="1"/>
  <c r="T25" i="6"/>
  <c r="U25" i="6" s="1"/>
  <c r="AL23" i="6"/>
  <c r="AM23" i="6" s="1"/>
  <c r="N23" i="6"/>
  <c r="O23" i="6" s="1"/>
  <c r="AF21" i="6"/>
  <c r="AG21" i="6" s="1"/>
  <c r="H21" i="6"/>
  <c r="I21" i="6" s="1"/>
  <c r="Z19" i="6"/>
  <c r="AA19" i="6" s="1"/>
  <c r="T17" i="6"/>
  <c r="U17" i="6" s="1"/>
  <c r="AL15" i="6"/>
  <c r="AM15" i="6" s="1"/>
  <c r="N15" i="6"/>
  <c r="O15" i="6" s="1"/>
  <c r="AF13" i="6"/>
  <c r="AG13" i="6" s="1"/>
  <c r="I13" i="11" s="1"/>
  <c r="H13" i="6"/>
  <c r="I13" i="6" s="1"/>
  <c r="Z11" i="6"/>
  <c r="AA11" i="6" s="1"/>
  <c r="T9" i="6"/>
  <c r="U9" i="6" s="1"/>
  <c r="AL7" i="6"/>
  <c r="AM7" i="6" s="1"/>
  <c r="N7" i="6"/>
  <c r="O7" i="6" s="1"/>
  <c r="AF5" i="6"/>
  <c r="AG5" i="6" s="1"/>
  <c r="H5" i="6"/>
  <c r="I5" i="6" s="1"/>
  <c r="T52" i="6"/>
  <c r="U52" i="6" s="1"/>
  <c r="AL50" i="6"/>
  <c r="AM50" i="6" s="1"/>
  <c r="N50" i="6"/>
  <c r="O50" i="6" s="1"/>
  <c r="AF48" i="6"/>
  <c r="AG48" i="6" s="1"/>
  <c r="I48" i="11" s="1"/>
  <c r="H48" i="6"/>
  <c r="I48" i="6" s="1"/>
  <c r="Z46" i="6"/>
  <c r="AA46" i="6" s="1"/>
  <c r="T44" i="6"/>
  <c r="U44" i="6" s="1"/>
  <c r="AL42" i="6"/>
  <c r="AM42" i="6" s="1"/>
  <c r="N42" i="6"/>
  <c r="O42" i="6" s="1"/>
  <c r="AF40" i="6"/>
  <c r="AG40" i="6" s="1"/>
  <c r="I40" i="11" s="1"/>
  <c r="H40" i="6"/>
  <c r="I40" i="6" s="1"/>
  <c r="Z38" i="6"/>
  <c r="AA38" i="6" s="1"/>
  <c r="T36" i="6"/>
  <c r="U36" i="6" s="1"/>
  <c r="AL34" i="6"/>
  <c r="AM34" i="6" s="1"/>
  <c r="N34" i="6"/>
  <c r="O34" i="6" s="1"/>
  <c r="AF32" i="6"/>
  <c r="AG32" i="6" s="1"/>
  <c r="I32" i="11" s="1"/>
  <c r="H32" i="6"/>
  <c r="I32" i="6" s="1"/>
  <c r="Z30" i="6"/>
  <c r="AA30" i="6" s="1"/>
  <c r="T28" i="6"/>
  <c r="U28" i="6" s="1"/>
  <c r="AL26" i="6"/>
  <c r="AM26" i="6" s="1"/>
  <c r="N26" i="6"/>
  <c r="O26" i="6" s="1"/>
  <c r="AF24" i="6"/>
  <c r="AG24" i="6" s="1"/>
  <c r="H24" i="6"/>
  <c r="I24" i="6" s="1"/>
  <c r="Z22" i="6"/>
  <c r="AA22" i="6" s="1"/>
  <c r="T20" i="6"/>
  <c r="U20" i="6" s="1"/>
  <c r="AL18" i="6"/>
  <c r="AM18" i="6" s="1"/>
  <c r="N18" i="6"/>
  <c r="O18" i="6" s="1"/>
  <c r="AF16" i="6"/>
  <c r="AG16" i="6" s="1"/>
  <c r="I16" i="11" s="1"/>
  <c r="H16" i="6"/>
  <c r="I16" i="6" s="1"/>
  <c r="Z14" i="6"/>
  <c r="AA14" i="6" s="1"/>
  <c r="T12" i="6"/>
  <c r="U12" i="6" s="1"/>
  <c r="AL10" i="6"/>
  <c r="AM10" i="6" s="1"/>
  <c r="N10" i="6"/>
  <c r="O10" i="6" s="1"/>
  <c r="AF8" i="6"/>
  <c r="AG8" i="6" s="1"/>
  <c r="H8" i="6"/>
  <c r="I8" i="6" s="1"/>
  <c r="Z6" i="6"/>
  <c r="AA6" i="6" s="1"/>
  <c r="B95" i="2"/>
  <c r="AF51" i="6"/>
  <c r="AG51" i="6" s="1"/>
  <c r="H51" i="6"/>
  <c r="I51" i="6" s="1"/>
  <c r="Z49" i="6"/>
  <c r="AA49" i="6" s="1"/>
  <c r="T47" i="6"/>
  <c r="U47" i="6" s="1"/>
  <c r="AL45" i="6"/>
  <c r="AM45" i="6" s="1"/>
  <c r="N45" i="6"/>
  <c r="O45" i="6" s="1"/>
  <c r="AF43" i="6"/>
  <c r="AG43" i="6" s="1"/>
  <c r="H43" i="6"/>
  <c r="I43" i="6" s="1"/>
  <c r="Z41" i="6"/>
  <c r="AA41" i="6" s="1"/>
  <c r="T39" i="6"/>
  <c r="U39" i="6" s="1"/>
  <c r="AL37" i="6"/>
  <c r="AM37" i="6" s="1"/>
  <c r="N37" i="6"/>
  <c r="O37" i="6" s="1"/>
  <c r="AF35" i="6"/>
  <c r="AG35" i="6" s="1"/>
  <c r="I35" i="11" s="1"/>
  <c r="H35" i="6"/>
  <c r="I35" i="6" s="1"/>
  <c r="Z33" i="6"/>
  <c r="AA33" i="6" s="1"/>
  <c r="T31" i="6"/>
  <c r="U31" i="6" s="1"/>
  <c r="AL29" i="6"/>
  <c r="AM29" i="6" s="1"/>
  <c r="N29" i="6"/>
  <c r="O29" i="6" s="1"/>
  <c r="AF27" i="6"/>
  <c r="AG27" i="6" s="1"/>
  <c r="H27" i="6"/>
  <c r="I27" i="6" s="1"/>
  <c r="Z25" i="6"/>
  <c r="AA25" i="6" s="1"/>
  <c r="T23" i="6"/>
  <c r="U23" i="6" s="1"/>
  <c r="AL21" i="6"/>
  <c r="AM21" i="6" s="1"/>
  <c r="N21" i="6"/>
  <c r="O21" i="6" s="1"/>
  <c r="AF19" i="6"/>
  <c r="AG19" i="6" s="1"/>
  <c r="I19" i="11" s="1"/>
  <c r="H19" i="6"/>
  <c r="I19" i="6" s="1"/>
  <c r="Z17" i="6"/>
  <c r="AA17" i="6" s="1"/>
  <c r="T15" i="6"/>
  <c r="U15" i="6" s="1"/>
  <c r="AL13" i="6"/>
  <c r="AM13" i="6" s="1"/>
  <c r="N13" i="6"/>
  <c r="O13" i="6" s="1"/>
  <c r="AF11" i="6"/>
  <c r="AG11" i="6" s="1"/>
  <c r="H11" i="6"/>
  <c r="I11" i="6" s="1"/>
  <c r="Z9" i="6"/>
  <c r="AA9" i="6" s="1"/>
  <c r="T7" i="6"/>
  <c r="U7" i="6" s="1"/>
  <c r="AL5" i="6"/>
  <c r="AM5" i="6" s="1"/>
  <c r="N5" i="6"/>
  <c r="O5" i="6" s="1"/>
  <c r="T40" i="6"/>
  <c r="U40" i="6" s="1"/>
  <c r="T32" i="6"/>
  <c r="U32" i="6" s="1"/>
  <c r="N30" i="6"/>
  <c r="O30" i="6" s="1"/>
  <c r="AF28" i="6"/>
  <c r="AG28" i="6" s="1"/>
  <c r="AL22" i="6"/>
  <c r="AM22" i="6" s="1"/>
  <c r="Z10" i="6"/>
  <c r="AA10" i="6" s="1"/>
  <c r="N6" i="6"/>
  <c r="O6" i="6" s="1"/>
  <c r="Z52" i="6"/>
  <c r="AA52" i="6" s="1"/>
  <c r="T50" i="6"/>
  <c r="U50" i="6" s="1"/>
  <c r="AL48" i="6"/>
  <c r="AM48" i="6" s="1"/>
  <c r="N48" i="6"/>
  <c r="O48" i="6" s="1"/>
  <c r="AF46" i="6"/>
  <c r="AG46" i="6" s="1"/>
  <c r="H46" i="6"/>
  <c r="I46" i="6" s="1"/>
  <c r="Z44" i="6"/>
  <c r="AA44" i="6" s="1"/>
  <c r="T42" i="6"/>
  <c r="U42" i="6" s="1"/>
  <c r="AL40" i="6"/>
  <c r="AM40" i="6" s="1"/>
  <c r="N40" i="6"/>
  <c r="O40" i="6" s="1"/>
  <c r="AF38" i="6"/>
  <c r="AG38" i="6" s="1"/>
  <c r="H38" i="6"/>
  <c r="I38" i="6" s="1"/>
  <c r="Z36" i="6"/>
  <c r="AA36" i="6" s="1"/>
  <c r="T34" i="6"/>
  <c r="U34" i="6" s="1"/>
  <c r="AL32" i="6"/>
  <c r="AM32" i="6" s="1"/>
  <c r="N32" i="6"/>
  <c r="O32" i="6" s="1"/>
  <c r="AF30" i="6"/>
  <c r="AG30" i="6" s="1"/>
  <c r="H30" i="6"/>
  <c r="I30" i="6" s="1"/>
  <c r="Z28" i="6"/>
  <c r="AA28" i="6" s="1"/>
  <c r="T26" i="6"/>
  <c r="U26" i="6" s="1"/>
  <c r="AL24" i="6"/>
  <c r="AM24" i="6" s="1"/>
  <c r="N24" i="6"/>
  <c r="O24" i="6" s="1"/>
  <c r="AF22" i="6"/>
  <c r="AG22" i="6" s="1"/>
  <c r="H22" i="6"/>
  <c r="I22" i="6" s="1"/>
  <c r="Z20" i="6"/>
  <c r="AA20" i="6" s="1"/>
  <c r="T18" i="6"/>
  <c r="U18" i="6" s="1"/>
  <c r="AL16" i="6"/>
  <c r="AM16" i="6" s="1"/>
  <c r="N16" i="6"/>
  <c r="O16" i="6" s="1"/>
  <c r="AF14" i="6"/>
  <c r="AG14" i="6" s="1"/>
  <c r="I14" i="11" s="1"/>
  <c r="H14" i="6"/>
  <c r="I14" i="6" s="1"/>
  <c r="Z12" i="6"/>
  <c r="AA12" i="6" s="1"/>
  <c r="T10" i="6"/>
  <c r="U10" i="6" s="1"/>
  <c r="AL8" i="6"/>
  <c r="AM8" i="6" s="1"/>
  <c r="N8" i="6"/>
  <c r="O8" i="6" s="1"/>
  <c r="AF6" i="6"/>
  <c r="AG6" i="6" s="1"/>
  <c r="H6" i="6"/>
  <c r="I6" i="6" s="1"/>
  <c r="H36" i="6"/>
  <c r="I36" i="6" s="1"/>
  <c r="H12" i="6"/>
  <c r="I12" i="6" s="1"/>
  <c r="AL51" i="6"/>
  <c r="AM51" i="6" s="1"/>
  <c r="N51" i="6"/>
  <c r="O51" i="6" s="1"/>
  <c r="AF49" i="6"/>
  <c r="AG49" i="6" s="1"/>
  <c r="I49" i="11" s="1"/>
  <c r="H49" i="6"/>
  <c r="I49" i="6" s="1"/>
  <c r="Z47" i="6"/>
  <c r="AA47" i="6" s="1"/>
  <c r="T45" i="6"/>
  <c r="U45" i="6" s="1"/>
  <c r="AL43" i="6"/>
  <c r="AM43" i="6" s="1"/>
  <c r="N43" i="6"/>
  <c r="O43" i="6" s="1"/>
  <c r="AF41" i="6"/>
  <c r="AG41" i="6" s="1"/>
  <c r="H41" i="6"/>
  <c r="I41" i="6" s="1"/>
  <c r="Z39" i="6"/>
  <c r="AA39" i="6" s="1"/>
  <c r="T37" i="6"/>
  <c r="U37" i="6" s="1"/>
  <c r="AL35" i="6"/>
  <c r="AM35" i="6" s="1"/>
  <c r="N35" i="6"/>
  <c r="O35" i="6" s="1"/>
  <c r="AF33" i="6"/>
  <c r="AG33" i="6" s="1"/>
  <c r="H33" i="6"/>
  <c r="I33" i="6" s="1"/>
  <c r="Z31" i="6"/>
  <c r="AA31" i="6" s="1"/>
  <c r="T29" i="6"/>
  <c r="U29" i="6" s="1"/>
  <c r="AL27" i="6"/>
  <c r="AM27" i="6" s="1"/>
  <c r="N27" i="6"/>
  <c r="O27" i="6" s="1"/>
  <c r="AF25" i="6"/>
  <c r="AG25" i="6" s="1"/>
  <c r="I25" i="11" s="1"/>
  <c r="H25" i="6"/>
  <c r="I25" i="6" s="1"/>
  <c r="Z23" i="6"/>
  <c r="AA23" i="6" s="1"/>
  <c r="T21" i="6"/>
  <c r="U21" i="6" s="1"/>
  <c r="AL19" i="6"/>
  <c r="AM19" i="6" s="1"/>
  <c r="N19" i="6"/>
  <c r="O19" i="6" s="1"/>
  <c r="AF17" i="6"/>
  <c r="AG17" i="6" s="1"/>
  <c r="I17" i="11" s="1"/>
  <c r="H17" i="6"/>
  <c r="I17" i="6" s="1"/>
  <c r="Z15" i="6"/>
  <c r="AA15" i="6" s="1"/>
  <c r="T13" i="6"/>
  <c r="U13" i="6" s="1"/>
  <c r="AL11" i="6"/>
  <c r="AM11" i="6" s="1"/>
  <c r="N11" i="6"/>
  <c r="O11" i="6" s="1"/>
  <c r="AF9" i="6"/>
  <c r="AG9" i="6" s="1"/>
  <c r="I9" i="11" s="1"/>
  <c r="H9" i="6"/>
  <c r="I9" i="6" s="1"/>
  <c r="Z7" i="6"/>
  <c r="AA7" i="6" s="1"/>
  <c r="T5" i="6"/>
  <c r="U5" i="6" s="1"/>
  <c r="N14" i="6"/>
  <c r="O14" i="6" s="1"/>
  <c r="AF12" i="6"/>
  <c r="AG12" i="6" s="1"/>
  <c r="T8" i="6"/>
  <c r="U8" i="6" s="1"/>
  <c r="AL6" i="6"/>
  <c r="AM6" i="6" s="1"/>
  <c r="C86" i="2"/>
  <c r="C87" i="2" s="1"/>
  <c r="B63" i="4" s="1"/>
  <c r="H52" i="6"/>
  <c r="I52" i="6" s="1"/>
  <c r="N46" i="6"/>
  <c r="O46" i="6" s="1"/>
  <c r="AF44" i="6"/>
  <c r="AG44" i="6" s="1"/>
  <c r="AL38" i="6"/>
  <c r="AM38" i="6" s="1"/>
  <c r="N38" i="6"/>
  <c r="O38" i="6" s="1"/>
  <c r="Z26" i="6"/>
  <c r="AA26" i="6" s="1"/>
  <c r="AF20" i="6"/>
  <c r="AG20" i="6" s="1"/>
  <c r="I20" i="11" s="1"/>
  <c r="S14" i="16"/>
  <c r="S6" i="16"/>
  <c r="N361" i="16"/>
  <c r="S10" i="16"/>
  <c r="I8" i="8"/>
  <c r="G21" i="8"/>
  <c r="S8" i="16"/>
  <c r="G6" i="8"/>
  <c r="S7" i="16"/>
  <c r="Q361" i="16"/>
  <c r="S310" i="16"/>
  <c r="S300" i="16"/>
  <c r="S305" i="16"/>
  <c r="F310" i="8"/>
  <c r="I310" i="8" s="1"/>
  <c r="F305" i="8"/>
  <c r="I305" i="8" s="1"/>
  <c r="F194" i="8"/>
  <c r="I194" i="8" s="1"/>
  <c r="F193" i="8"/>
  <c r="I193" i="8" s="1"/>
  <c r="F350" i="8"/>
  <c r="I350" i="8" s="1"/>
  <c r="S351" i="16"/>
  <c r="G349" i="8"/>
  <c r="F105" i="8"/>
  <c r="I105" i="8" s="1"/>
  <c r="J105" i="8" s="1"/>
  <c r="F102" i="8"/>
  <c r="I102" i="8" s="1"/>
  <c r="H121" i="14"/>
  <c r="K70" i="8"/>
  <c r="J70" i="8"/>
  <c r="AF70" i="8" s="1"/>
  <c r="S71" i="16"/>
  <c r="F66" i="8"/>
  <c r="I66" i="8" s="1"/>
  <c r="C43" i="3"/>
  <c r="C59" i="3" s="1"/>
  <c r="C60" i="3" s="1"/>
  <c r="G221" i="8"/>
  <c r="S218" i="16"/>
  <c r="F224" i="8"/>
  <c r="I224" i="8" s="1"/>
  <c r="F221" i="8"/>
  <c r="G107" i="8"/>
  <c r="F108" i="8"/>
  <c r="I108" i="8" s="1"/>
  <c r="H195" i="14"/>
  <c r="K120" i="8"/>
  <c r="J120" i="8" s="1"/>
  <c r="F122" i="8"/>
  <c r="I122" i="8" s="1"/>
  <c r="I121" i="8"/>
  <c r="F117" i="8"/>
  <c r="I117" i="8" s="1"/>
  <c r="G116" i="8"/>
  <c r="C44" i="4"/>
  <c r="S292" i="16"/>
  <c r="G291" i="8"/>
  <c r="S123" i="16"/>
  <c r="G123" i="8"/>
  <c r="F75" i="8"/>
  <c r="I75" i="8" s="1"/>
  <c r="S74" i="16"/>
  <c r="F81" i="8"/>
  <c r="I81" i="8" s="1"/>
  <c r="L43" i="4"/>
  <c r="L59" i="4" s="1"/>
  <c r="B43" i="4"/>
  <c r="B59" i="4" s="1"/>
  <c r="B60" i="4" s="1"/>
  <c r="B66" i="4" s="1"/>
  <c r="S334" i="16"/>
  <c r="G334" i="8"/>
  <c r="F251" i="8"/>
  <c r="I251" i="8" s="1"/>
  <c r="F252" i="8"/>
  <c r="I252" i="8" s="1"/>
  <c r="G110" i="8"/>
  <c r="G48" i="4"/>
  <c r="F97" i="8"/>
  <c r="I97" i="8" s="1"/>
  <c r="S94" i="16"/>
  <c r="S93" i="16"/>
  <c r="G92" i="8"/>
  <c r="S274" i="16"/>
  <c r="S269" i="16"/>
  <c r="S273" i="16"/>
  <c r="F47" i="8"/>
  <c r="I47" i="8" s="1"/>
  <c r="S51" i="16"/>
  <c r="H72" i="14"/>
  <c r="K53" i="8"/>
  <c r="G51" i="8"/>
  <c r="G52" i="8"/>
  <c r="F56" i="8"/>
  <c r="I56" i="8" s="1"/>
  <c r="F58" i="8"/>
  <c r="I58" i="8" s="1"/>
  <c r="F185" i="8"/>
  <c r="I185" i="8" s="1"/>
  <c r="S183" i="16"/>
  <c r="S342" i="16"/>
  <c r="S60" i="16"/>
  <c r="H107" i="14"/>
  <c r="S62" i="16"/>
  <c r="F64" i="8"/>
  <c r="I64" i="8" s="1"/>
  <c r="I47" i="4"/>
  <c r="G190" i="8"/>
  <c r="F259" i="8"/>
  <c r="I259" i="8" s="1"/>
  <c r="F254" i="8"/>
  <c r="I254" i="8" s="1"/>
  <c r="G263" i="8"/>
  <c r="B49" i="4"/>
  <c r="F234" i="8"/>
  <c r="I234" i="8" s="1"/>
  <c r="S354" i="16"/>
  <c r="F356" i="8"/>
  <c r="I356" i="8" s="1"/>
  <c r="F317" i="8"/>
  <c r="I317" i="8" s="1"/>
  <c r="F318" i="8"/>
  <c r="I318" i="8" s="1"/>
  <c r="G319" i="8"/>
  <c r="G322" i="8"/>
  <c r="G112" i="8"/>
  <c r="F283" i="8"/>
  <c r="I283" i="8" s="1"/>
  <c r="S281" i="16"/>
  <c r="AF120" i="8" l="1"/>
  <c r="AE348" i="8"/>
  <c r="G102" i="4"/>
  <c r="H102" i="4" s="1"/>
  <c r="I102" i="4" s="1"/>
  <c r="G94" i="4"/>
  <c r="H94" i="4" s="1"/>
  <c r="I94" i="4" s="1"/>
  <c r="G99" i="4"/>
  <c r="H99" i="4" s="1"/>
  <c r="I99" i="4" s="1"/>
  <c r="G104" i="4"/>
  <c r="H104" i="4" s="1"/>
  <c r="I104" i="4" s="1"/>
  <c r="G96" i="4"/>
  <c r="H96" i="4" s="1"/>
  <c r="I96" i="4" s="1"/>
  <c r="G91" i="4"/>
  <c r="H91" i="4" s="1"/>
  <c r="I91" i="4" s="1"/>
  <c r="G92" i="4"/>
  <c r="H92" i="4" s="1"/>
  <c r="I92" i="4" s="1"/>
  <c r="G101" i="4"/>
  <c r="H101" i="4" s="1"/>
  <c r="I101" i="4" s="1"/>
  <c r="G93" i="4"/>
  <c r="H93" i="4" s="1"/>
  <c r="I93" i="4" s="1"/>
  <c r="G97" i="4"/>
  <c r="H97" i="4" s="1"/>
  <c r="I97" i="4" s="1"/>
  <c r="G98" i="4"/>
  <c r="H98" i="4" s="1"/>
  <c r="I98" i="4" s="1"/>
  <c r="G103" i="4"/>
  <c r="H103" i="4" s="1"/>
  <c r="I103" i="4" s="1"/>
  <c r="G95" i="4"/>
  <c r="H95" i="4" s="1"/>
  <c r="I95" i="4" s="1"/>
  <c r="G90" i="4"/>
  <c r="H90" i="4" s="1"/>
  <c r="I90" i="4" s="1"/>
  <c r="G100" i="4"/>
  <c r="H100" i="4" s="1"/>
  <c r="I100" i="4" s="1"/>
  <c r="G105" i="4"/>
  <c r="H105" i="4" s="1"/>
  <c r="I105" i="4" s="1"/>
  <c r="AE203" i="8"/>
  <c r="AF105" i="8"/>
  <c r="AE341" i="8"/>
  <c r="O341" i="8"/>
  <c r="AF152" i="8"/>
  <c r="P152" i="8"/>
  <c r="AE160" i="8"/>
  <c r="AG53" i="8"/>
  <c r="AM53" i="8"/>
  <c r="AL53" i="8"/>
  <c r="H429" i="14"/>
  <c r="K292" i="8"/>
  <c r="AE185" i="8"/>
  <c r="AE108" i="8"/>
  <c r="O108" i="8"/>
  <c r="H10" i="14"/>
  <c r="K8" i="8"/>
  <c r="J8" i="8" s="1"/>
  <c r="H77" i="14"/>
  <c r="K51" i="8"/>
  <c r="AE90" i="8"/>
  <c r="AE64" i="8"/>
  <c r="O64" i="8"/>
  <c r="AE81" i="8"/>
  <c r="O81" i="8"/>
  <c r="AE278" i="8"/>
  <c r="H487" i="14"/>
  <c r="K322" i="8"/>
  <c r="AE183" i="8"/>
  <c r="I49" i="8"/>
  <c r="AE253" i="8"/>
  <c r="AE249" i="8"/>
  <c r="I291" i="8"/>
  <c r="K121" i="8"/>
  <c r="J121" i="8" s="1"/>
  <c r="H315" i="14"/>
  <c r="K207" i="8"/>
  <c r="AE303" i="8"/>
  <c r="AE88" i="8"/>
  <c r="H505" i="14"/>
  <c r="J505" i="14" s="1"/>
  <c r="K505" i="14" s="1"/>
  <c r="L505" i="14" s="1"/>
  <c r="M505" i="14" s="1"/>
  <c r="K328" i="8"/>
  <c r="AE168" i="8"/>
  <c r="H204" i="14"/>
  <c r="K126" i="8"/>
  <c r="H203" i="14"/>
  <c r="K128" i="8"/>
  <c r="H48" i="14"/>
  <c r="J48" i="14" s="1"/>
  <c r="K48" i="14" s="1"/>
  <c r="L48" i="14" s="1"/>
  <c r="M48" i="14" s="1"/>
  <c r="P33" i="12"/>
  <c r="P34" i="12"/>
  <c r="P32" i="12"/>
  <c r="K32" i="8"/>
  <c r="C8" i="1"/>
  <c r="C8" i="7"/>
  <c r="AE42" i="8"/>
  <c r="AE271" i="8"/>
  <c r="O271" i="8"/>
  <c r="H430" i="14"/>
  <c r="K290" i="8"/>
  <c r="J290" i="8"/>
  <c r="H310" i="14"/>
  <c r="K203" i="8"/>
  <c r="K233" i="8"/>
  <c r="J233" i="8" s="1"/>
  <c r="AE347" i="8"/>
  <c r="AE308" i="8"/>
  <c r="O308" i="8"/>
  <c r="AE91" i="8"/>
  <c r="O91" i="8"/>
  <c r="I242" i="8"/>
  <c r="H246" i="14"/>
  <c r="K161" i="8"/>
  <c r="J161" i="8"/>
  <c r="H240" i="14"/>
  <c r="K155" i="8"/>
  <c r="J155" i="8" s="1"/>
  <c r="I130" i="8"/>
  <c r="H480" i="14"/>
  <c r="J315" i="8"/>
  <c r="K315" i="8"/>
  <c r="H354" i="14"/>
  <c r="K237" i="8"/>
  <c r="I52" i="8"/>
  <c r="AE53" i="8"/>
  <c r="H371" i="14"/>
  <c r="K250" i="8"/>
  <c r="J250" i="8"/>
  <c r="AE118" i="8"/>
  <c r="H324" i="14"/>
  <c r="K215" i="8"/>
  <c r="J215" i="8"/>
  <c r="AE9" i="8"/>
  <c r="AE265" i="8"/>
  <c r="H241" i="14"/>
  <c r="K156" i="8"/>
  <c r="H236" i="14"/>
  <c r="K151" i="8"/>
  <c r="J151" i="8" s="1"/>
  <c r="H206" i="14"/>
  <c r="P134" i="12"/>
  <c r="AN134" i="12" s="1"/>
  <c r="P135" i="12"/>
  <c r="AN135" i="12" s="1"/>
  <c r="K125" i="8"/>
  <c r="J125" i="8" s="1"/>
  <c r="C24" i="1"/>
  <c r="C24" i="7"/>
  <c r="P132" i="12"/>
  <c r="AN132" i="12" s="1"/>
  <c r="P133" i="12"/>
  <c r="AN133" i="12" s="1"/>
  <c r="P129" i="12"/>
  <c r="AN129" i="12" s="1"/>
  <c r="P126" i="12"/>
  <c r="AN126" i="12" s="1"/>
  <c r="P128" i="12"/>
  <c r="AN128" i="12" s="1"/>
  <c r="P127" i="12"/>
  <c r="AN127" i="12" s="1"/>
  <c r="H390" i="14"/>
  <c r="K255" i="8"/>
  <c r="H286" i="14"/>
  <c r="P190" i="12"/>
  <c r="P188" i="12"/>
  <c r="P191" i="12"/>
  <c r="P189" i="12"/>
  <c r="K188" i="8"/>
  <c r="C29" i="7"/>
  <c r="C29" i="1"/>
  <c r="H71" i="14"/>
  <c r="K45" i="8"/>
  <c r="J45" i="8" s="1"/>
  <c r="I275" i="8"/>
  <c r="C59" i="4"/>
  <c r="C60" i="4" s="1"/>
  <c r="I201" i="8"/>
  <c r="H174" i="14"/>
  <c r="P104" i="12"/>
  <c r="K101" i="8"/>
  <c r="C18" i="1"/>
  <c r="C18" i="7"/>
  <c r="P101" i="12"/>
  <c r="P102" i="12"/>
  <c r="H473" i="14"/>
  <c r="J473" i="14" s="1"/>
  <c r="K473" i="14" s="1"/>
  <c r="L473" i="14" s="1"/>
  <c r="M473" i="14" s="1"/>
  <c r="K313" i="8"/>
  <c r="F361" i="8"/>
  <c r="I5" i="8"/>
  <c r="I21" i="8"/>
  <c r="H152" i="14"/>
  <c r="J90" i="8"/>
  <c r="AF90" i="8" s="1"/>
  <c r="K90" i="8"/>
  <c r="AE172" i="8"/>
  <c r="AE332" i="8"/>
  <c r="O332" i="8"/>
  <c r="AE280" i="8"/>
  <c r="R315" i="12"/>
  <c r="S315" i="12" s="1"/>
  <c r="U315" i="12" s="1"/>
  <c r="L315" i="8"/>
  <c r="O315" i="8" s="1"/>
  <c r="AE315" i="8"/>
  <c r="I191" i="8"/>
  <c r="AE35" i="8"/>
  <c r="H90" i="14"/>
  <c r="J90" i="14" s="1"/>
  <c r="K90" i="14" s="1"/>
  <c r="L90" i="14" s="1"/>
  <c r="M90" i="14" s="1"/>
  <c r="K39" i="8"/>
  <c r="J39" i="8"/>
  <c r="H138" i="14"/>
  <c r="K77" i="8"/>
  <c r="J77" i="8" s="1"/>
  <c r="H197" i="14"/>
  <c r="J197" i="14" s="1"/>
  <c r="K197" i="14" s="1"/>
  <c r="L197" i="14" s="1"/>
  <c r="M197" i="14" s="1"/>
  <c r="K119" i="8"/>
  <c r="AE220" i="8"/>
  <c r="H461" i="14"/>
  <c r="K302" i="8"/>
  <c r="I19" i="8"/>
  <c r="AE138" i="8"/>
  <c r="O138" i="8"/>
  <c r="I156" i="8"/>
  <c r="J156" i="8" s="1"/>
  <c r="AM329" i="8"/>
  <c r="AL329" i="8"/>
  <c r="AG329" i="8"/>
  <c r="AE135" i="8"/>
  <c r="O135" i="8"/>
  <c r="H394" i="14"/>
  <c r="J394" i="14" s="1"/>
  <c r="K394" i="14" s="1"/>
  <c r="L394" i="14" s="1"/>
  <c r="M394" i="14" s="1"/>
  <c r="K258" i="8"/>
  <c r="J258" i="8" s="1"/>
  <c r="K97" i="8"/>
  <c r="P110" i="12"/>
  <c r="G59" i="3"/>
  <c r="G60" i="3" s="1"/>
  <c r="AM193" i="8"/>
  <c r="AL193" i="8"/>
  <c r="AG193" i="8"/>
  <c r="I7" i="8"/>
  <c r="H73" i="14"/>
  <c r="K47" i="8"/>
  <c r="J47" i="8"/>
  <c r="I79" i="8"/>
  <c r="H349" i="14"/>
  <c r="J349" i="14" s="1"/>
  <c r="K349" i="14" s="1"/>
  <c r="L349" i="14" s="1"/>
  <c r="M349" i="14" s="1"/>
  <c r="K225" i="8"/>
  <c r="H337" i="14"/>
  <c r="J224" i="8"/>
  <c r="K224" i="8"/>
  <c r="I104" i="8"/>
  <c r="H536" i="14"/>
  <c r="K345" i="8"/>
  <c r="J345" i="8" s="1"/>
  <c r="I333" i="8"/>
  <c r="I163" i="8"/>
  <c r="I25" i="8"/>
  <c r="H248" i="14"/>
  <c r="K163" i="8"/>
  <c r="J163" i="8" s="1"/>
  <c r="AE251" i="8"/>
  <c r="O251" i="8"/>
  <c r="R105" i="12"/>
  <c r="AE105" i="8"/>
  <c r="O105" i="8"/>
  <c r="L105" i="8"/>
  <c r="L60" i="4"/>
  <c r="AE66" i="8"/>
  <c r="H164" i="14"/>
  <c r="K93" i="8"/>
  <c r="H124" i="14"/>
  <c r="K71" i="8"/>
  <c r="J71" i="8" s="1"/>
  <c r="H472" i="14"/>
  <c r="J472" i="14" s="1"/>
  <c r="K472" i="14" s="1"/>
  <c r="L472" i="14" s="1"/>
  <c r="M472" i="14" s="1"/>
  <c r="K305" i="8"/>
  <c r="J305" i="8"/>
  <c r="AE317" i="8"/>
  <c r="AE47" i="8"/>
  <c r="L47" i="8"/>
  <c r="H511" i="14"/>
  <c r="P341" i="12"/>
  <c r="AN341" i="12" s="1"/>
  <c r="P336" i="12"/>
  <c r="AN336" i="12" s="1"/>
  <c r="P339" i="12"/>
  <c r="AN339" i="12" s="1"/>
  <c r="P337" i="12"/>
  <c r="AN337" i="12" s="1"/>
  <c r="P334" i="12"/>
  <c r="AN334" i="12" s="1"/>
  <c r="P340" i="12"/>
  <c r="AN340" i="12" s="1"/>
  <c r="P335" i="12"/>
  <c r="AN335" i="12" s="1"/>
  <c r="P338" i="12"/>
  <c r="AN338" i="12" s="1"/>
  <c r="K334" i="8"/>
  <c r="C46" i="1"/>
  <c r="C46" i="7"/>
  <c r="AE117" i="8"/>
  <c r="AE350" i="8"/>
  <c r="O350" i="8"/>
  <c r="AE8" i="8"/>
  <c r="H411" i="14"/>
  <c r="K281" i="8"/>
  <c r="J281" i="8" s="1"/>
  <c r="H110" i="14"/>
  <c r="K62" i="8"/>
  <c r="J62" i="8" s="1"/>
  <c r="AE56" i="8"/>
  <c r="O56" i="8"/>
  <c r="AE97" i="8"/>
  <c r="O97" i="8"/>
  <c r="H134" i="14"/>
  <c r="K74" i="8"/>
  <c r="H199" i="14"/>
  <c r="P124" i="12"/>
  <c r="P123" i="12"/>
  <c r="K123" i="8"/>
  <c r="C23" i="1"/>
  <c r="C23" i="7"/>
  <c r="AE121" i="8"/>
  <c r="O121" i="8"/>
  <c r="I221" i="8"/>
  <c r="AL70" i="8"/>
  <c r="AO70" i="8"/>
  <c r="AG70" i="8"/>
  <c r="H70" i="8"/>
  <c r="AM70" i="8"/>
  <c r="AE193" i="8"/>
  <c r="K310" i="8"/>
  <c r="J310" i="8" s="1"/>
  <c r="H12" i="14"/>
  <c r="K10" i="8"/>
  <c r="AE283" i="8"/>
  <c r="O283" i="8"/>
  <c r="AE254" i="8"/>
  <c r="H400" i="14"/>
  <c r="K273" i="8"/>
  <c r="AE75" i="8"/>
  <c r="AE122" i="8"/>
  <c r="O122" i="8"/>
  <c r="R224" i="12"/>
  <c r="L224" i="8"/>
  <c r="AE224" i="8"/>
  <c r="O224" i="8"/>
  <c r="AE194" i="8"/>
  <c r="AE30" i="8"/>
  <c r="O30" i="8"/>
  <c r="AF325" i="8"/>
  <c r="P325" i="8"/>
  <c r="O259" i="8"/>
  <c r="AE259" i="8"/>
  <c r="P64" i="12"/>
  <c r="AN64" i="12" s="1"/>
  <c r="P63" i="12"/>
  <c r="AN63" i="12" s="1"/>
  <c r="P60" i="12"/>
  <c r="AN60" i="12" s="1"/>
  <c r="P61" i="12"/>
  <c r="AN61" i="12" s="1"/>
  <c r="P62" i="12"/>
  <c r="AN62" i="12" s="1"/>
  <c r="K60" i="8"/>
  <c r="J60" i="8"/>
  <c r="C11" i="1"/>
  <c r="C11" i="7"/>
  <c r="H398" i="14"/>
  <c r="K269" i="8"/>
  <c r="H327" i="14"/>
  <c r="K218" i="8"/>
  <c r="J218" i="8"/>
  <c r="H8" i="14"/>
  <c r="K6" i="8"/>
  <c r="AM325" i="8"/>
  <c r="AL325" i="8"/>
  <c r="AO325" i="8"/>
  <c r="AG325" i="8"/>
  <c r="H325" i="8"/>
  <c r="H407" i="14"/>
  <c r="J283" i="8"/>
  <c r="K283" i="8"/>
  <c r="O324" i="8"/>
  <c r="AE324" i="8"/>
  <c r="AE184" i="8"/>
  <c r="AE40" i="8"/>
  <c r="AE96" i="8"/>
  <c r="O96" i="8"/>
  <c r="H431" i="14"/>
  <c r="K291" i="8"/>
  <c r="J291" i="8"/>
  <c r="AE115" i="8"/>
  <c r="H338" i="14"/>
  <c r="K230" i="8"/>
  <c r="J230" i="8"/>
  <c r="H540" i="14"/>
  <c r="K348" i="8"/>
  <c r="J348" i="8"/>
  <c r="K311" i="8"/>
  <c r="H14" i="14"/>
  <c r="K11" i="8"/>
  <c r="H15" i="14"/>
  <c r="K12" i="8"/>
  <c r="J12" i="8"/>
  <c r="AE155" i="8"/>
  <c r="H209" i="14"/>
  <c r="J209" i="14" s="1"/>
  <c r="K209" i="14" s="1"/>
  <c r="L209" i="14" s="1"/>
  <c r="M209" i="14" s="1"/>
  <c r="K129" i="8"/>
  <c r="H481" i="14"/>
  <c r="K316" i="8"/>
  <c r="K260" i="8"/>
  <c r="O343" i="8"/>
  <c r="AE343" i="8"/>
  <c r="R39" i="12"/>
  <c r="S39" i="12" s="1"/>
  <c r="U39" i="12" s="1"/>
  <c r="AE39" i="8"/>
  <c r="L39" i="8"/>
  <c r="O39" i="8" s="1"/>
  <c r="R290" i="12"/>
  <c r="S290" i="12" s="1"/>
  <c r="U290" i="12" s="1"/>
  <c r="L290" i="8"/>
  <c r="AE290" i="8"/>
  <c r="O290" i="8"/>
  <c r="K226" i="8"/>
  <c r="J226" i="8"/>
  <c r="H59" i="3"/>
  <c r="H303" i="14"/>
  <c r="J303" i="14" s="1"/>
  <c r="K303" i="14" s="1"/>
  <c r="L303" i="14" s="1"/>
  <c r="M303" i="14" s="1"/>
  <c r="P197" i="12"/>
  <c r="AN197" i="12" s="1"/>
  <c r="P198" i="12"/>
  <c r="AN198" i="12" s="1"/>
  <c r="P194" i="12"/>
  <c r="AN194" i="12" s="1"/>
  <c r="P199" i="12"/>
  <c r="AN199" i="12" s="1"/>
  <c r="P192" i="12"/>
  <c r="AN192" i="12" s="1"/>
  <c r="P200" i="12"/>
  <c r="AN200" i="12" s="1"/>
  <c r="P196" i="12"/>
  <c r="AN196" i="12" s="1"/>
  <c r="P195" i="12"/>
  <c r="AN195" i="12" s="1"/>
  <c r="P193" i="12"/>
  <c r="AN193" i="12" s="1"/>
  <c r="K192" i="8"/>
  <c r="J192" i="8" s="1"/>
  <c r="C30" i="1"/>
  <c r="C30" i="7"/>
  <c r="H463" i="14"/>
  <c r="K303" i="8"/>
  <c r="R303" i="12" s="1"/>
  <c r="S303" i="12" s="1"/>
  <c r="U303" i="12" s="1"/>
  <c r="J303" i="8"/>
  <c r="H155" i="14"/>
  <c r="P90" i="12"/>
  <c r="AN90" i="12" s="1"/>
  <c r="P89" i="12"/>
  <c r="AN89" i="12" s="1"/>
  <c r="P91" i="12"/>
  <c r="AN91" i="12" s="1"/>
  <c r="K87" i="8"/>
  <c r="J87" i="8" s="1"/>
  <c r="C15" i="1"/>
  <c r="C15" i="7"/>
  <c r="P88" i="12"/>
  <c r="AN88" i="12" s="1"/>
  <c r="P87" i="12"/>
  <c r="AN87" i="12" s="1"/>
  <c r="H267" i="14"/>
  <c r="K169" i="8"/>
  <c r="H229" i="14"/>
  <c r="P181" i="12"/>
  <c r="AN181" i="12" s="1"/>
  <c r="P179" i="12"/>
  <c r="AN179" i="12" s="1"/>
  <c r="P177" i="12"/>
  <c r="AN177" i="12" s="1"/>
  <c r="P178" i="12"/>
  <c r="AN178" i="12" s="1"/>
  <c r="P171" i="12"/>
  <c r="AN171" i="12" s="1"/>
  <c r="P168" i="12"/>
  <c r="AN168" i="12" s="1"/>
  <c r="P166" i="12"/>
  <c r="AN166" i="12" s="1"/>
  <c r="P152" i="12"/>
  <c r="AN152" i="12" s="1"/>
  <c r="P144" i="12"/>
  <c r="AN144" i="12" s="1"/>
  <c r="P180" i="12"/>
  <c r="AN180" i="12" s="1"/>
  <c r="P174" i="12"/>
  <c r="AN174" i="12" s="1"/>
  <c r="P175" i="12"/>
  <c r="AN175" i="12" s="1"/>
  <c r="P157" i="12"/>
  <c r="AN157" i="12" s="1"/>
  <c r="P149" i="12"/>
  <c r="AN149" i="12" s="1"/>
  <c r="P170" i="12"/>
  <c r="AN170" i="12" s="1"/>
  <c r="P165" i="12"/>
  <c r="AN165" i="12" s="1"/>
  <c r="P176" i="12"/>
  <c r="AN176" i="12" s="1"/>
  <c r="P154" i="12"/>
  <c r="AN154" i="12" s="1"/>
  <c r="P146" i="12"/>
  <c r="AN146" i="12" s="1"/>
  <c r="P151" i="12"/>
  <c r="AN151" i="12" s="1"/>
  <c r="P159" i="12"/>
  <c r="AN159" i="12" s="1"/>
  <c r="P161" i="12"/>
  <c r="AN161" i="12" s="1"/>
  <c r="K144" i="8"/>
  <c r="C27" i="7"/>
  <c r="C27" i="1"/>
  <c r="P156" i="12"/>
  <c r="AN156" i="12" s="1"/>
  <c r="P172" i="12"/>
  <c r="AN172" i="12" s="1"/>
  <c r="P162" i="12"/>
  <c r="AN162" i="12" s="1"/>
  <c r="P164" i="12"/>
  <c r="AN164" i="12" s="1"/>
  <c r="P158" i="12"/>
  <c r="AN158" i="12" s="1"/>
  <c r="P145" i="12"/>
  <c r="AN145" i="12" s="1"/>
  <c r="P148" i="12"/>
  <c r="AN148" i="12" s="1"/>
  <c r="P150" i="12"/>
  <c r="AN150" i="12" s="1"/>
  <c r="P169" i="12"/>
  <c r="AN169" i="12" s="1"/>
  <c r="P155" i="12"/>
  <c r="AN155" i="12" s="1"/>
  <c r="P160" i="12"/>
  <c r="AN160" i="12" s="1"/>
  <c r="P147" i="12"/>
  <c r="AN147" i="12" s="1"/>
  <c r="P163" i="12"/>
  <c r="AN163" i="12" s="1"/>
  <c r="P153" i="12"/>
  <c r="AN153" i="12" s="1"/>
  <c r="P167" i="12"/>
  <c r="AN167" i="12" s="1"/>
  <c r="AE132" i="8"/>
  <c r="O132" i="8"/>
  <c r="I316" i="8"/>
  <c r="J316" i="8" s="1"/>
  <c r="AE235" i="8"/>
  <c r="AE33" i="8"/>
  <c r="O33" i="8"/>
  <c r="H368" i="14"/>
  <c r="K247" i="8"/>
  <c r="I59" i="4"/>
  <c r="I60" i="4" s="1"/>
  <c r="H192" i="14"/>
  <c r="K117" i="8"/>
  <c r="J117" i="8"/>
  <c r="L117" i="8" s="1"/>
  <c r="AE205" i="8"/>
  <c r="I68" i="8"/>
  <c r="H357" i="14"/>
  <c r="P243" i="12"/>
  <c r="AN243" i="12" s="1"/>
  <c r="P244" i="12"/>
  <c r="AN244" i="12" s="1"/>
  <c r="P242" i="12"/>
  <c r="AN242" i="12" s="1"/>
  <c r="P238" i="12"/>
  <c r="AN238" i="12" s="1"/>
  <c r="P240" i="12"/>
  <c r="AN240" i="12" s="1"/>
  <c r="P241" i="12"/>
  <c r="AN241" i="12" s="1"/>
  <c r="P239" i="12"/>
  <c r="AN239" i="12" s="1"/>
  <c r="K238" i="8"/>
  <c r="J238" i="8"/>
  <c r="C33" i="1"/>
  <c r="C33" i="7"/>
  <c r="AE181" i="8"/>
  <c r="O181" i="8"/>
  <c r="AE147" i="8"/>
  <c r="H238" i="14"/>
  <c r="K153" i="8"/>
  <c r="AE321" i="8"/>
  <c r="AE260" i="8"/>
  <c r="O260" i="8"/>
  <c r="H291" i="14"/>
  <c r="K190" i="8"/>
  <c r="K187" i="8"/>
  <c r="J187" i="8"/>
  <c r="AE55" i="8"/>
  <c r="O55" i="8"/>
  <c r="I288" i="8"/>
  <c r="R218" i="12"/>
  <c r="S218" i="12" s="1"/>
  <c r="U218" i="12" s="1"/>
  <c r="L218" i="8"/>
  <c r="AE218" i="8"/>
  <c r="O218" i="8"/>
  <c r="F59" i="3"/>
  <c r="F60" i="3" s="1"/>
  <c r="H541" i="14"/>
  <c r="K349" i="8"/>
  <c r="AE89" i="8"/>
  <c r="O89" i="8"/>
  <c r="AE330" i="8"/>
  <c r="H249" i="14"/>
  <c r="K164" i="8"/>
  <c r="AE134" i="8"/>
  <c r="O134" i="8"/>
  <c r="R325" i="12"/>
  <c r="S325" i="12" s="1"/>
  <c r="U325" i="12" s="1"/>
  <c r="AE325" i="8"/>
  <c r="AH325" i="8" s="1"/>
  <c r="O325" i="8"/>
  <c r="R325" i="8" s="1"/>
  <c r="L325" i="8"/>
  <c r="I276" i="8"/>
  <c r="I322" i="8"/>
  <c r="J322" i="8" s="1"/>
  <c r="H386" i="14"/>
  <c r="K257" i="8"/>
  <c r="J257" i="8"/>
  <c r="H54" i="14"/>
  <c r="K36" i="8"/>
  <c r="AE268" i="8"/>
  <c r="I73" i="8"/>
  <c r="I123" i="8"/>
  <c r="J123" i="8" s="1"/>
  <c r="H194" i="14"/>
  <c r="K116" i="8"/>
  <c r="H347" i="14"/>
  <c r="K205" i="8"/>
  <c r="J205" i="8" s="1"/>
  <c r="H339" i="14"/>
  <c r="K231" i="8"/>
  <c r="J231" i="8" s="1"/>
  <c r="H175" i="14"/>
  <c r="K103" i="8"/>
  <c r="J103" i="8"/>
  <c r="AE198" i="8"/>
  <c r="O198" i="8"/>
  <c r="I313" i="8"/>
  <c r="J313" i="8" s="1"/>
  <c r="H18" i="14"/>
  <c r="K13" i="8"/>
  <c r="AE27" i="8"/>
  <c r="O27" i="8"/>
  <c r="H359" i="14"/>
  <c r="K241" i="8"/>
  <c r="J241" i="8"/>
  <c r="AE328" i="8"/>
  <c r="R152" i="12"/>
  <c r="S152" i="12" s="1"/>
  <c r="U152" i="12" s="1"/>
  <c r="AE152" i="8"/>
  <c r="L152" i="8"/>
  <c r="H479" i="14"/>
  <c r="K314" i="8"/>
  <c r="J314" i="8" s="1"/>
  <c r="C44" i="1"/>
  <c r="C44" i="7"/>
  <c r="P324" i="12"/>
  <c r="AN324" i="12" s="1"/>
  <c r="P321" i="12"/>
  <c r="AN321" i="12" s="1"/>
  <c r="P317" i="12"/>
  <c r="AN317" i="12" s="1"/>
  <c r="P314" i="12"/>
  <c r="AN314" i="12" s="1"/>
  <c r="P316" i="12"/>
  <c r="AN316" i="12" s="1"/>
  <c r="P318" i="12"/>
  <c r="AN318" i="12" s="1"/>
  <c r="P319" i="12"/>
  <c r="AN319" i="12" s="1"/>
  <c r="P323" i="12"/>
  <c r="AN323" i="12" s="1"/>
  <c r="P315" i="12"/>
  <c r="AN315" i="12" s="1"/>
  <c r="P320" i="12"/>
  <c r="AN320" i="12" s="1"/>
  <c r="P322" i="12"/>
  <c r="AN322" i="12" s="1"/>
  <c r="H353" i="14"/>
  <c r="K235" i="8"/>
  <c r="J235" i="8" s="1"/>
  <c r="J184" i="8"/>
  <c r="L184" i="8" s="1"/>
  <c r="AG52" i="8"/>
  <c r="AM52" i="8"/>
  <c r="AL52" i="8"/>
  <c r="AN52" i="8" s="1"/>
  <c r="R272" i="12"/>
  <c r="L272" i="8"/>
  <c r="AE272" i="8"/>
  <c r="O272" i="8"/>
  <c r="I93" i="8"/>
  <c r="H182" i="14"/>
  <c r="I229" i="8"/>
  <c r="AO105" i="8"/>
  <c r="AG105" i="8"/>
  <c r="H105" i="8"/>
  <c r="AM105" i="8"/>
  <c r="AL105" i="8"/>
  <c r="AN105" i="8" s="1"/>
  <c r="H29" i="14"/>
  <c r="J29" i="14" s="1"/>
  <c r="K29" i="14" s="1"/>
  <c r="L29" i="14" s="1"/>
  <c r="M29" i="14" s="1"/>
  <c r="K17" i="8"/>
  <c r="J17" i="8" s="1"/>
  <c r="AE137" i="8"/>
  <c r="O137" i="8"/>
  <c r="I342" i="8"/>
  <c r="I38" i="8"/>
  <c r="AE274" i="8"/>
  <c r="O274" i="8"/>
  <c r="J252" i="8"/>
  <c r="K252" i="8"/>
  <c r="H428" i="14"/>
  <c r="P288" i="12"/>
  <c r="AN288" i="12" s="1"/>
  <c r="P292" i="12"/>
  <c r="AN292" i="12" s="1"/>
  <c r="P290" i="12"/>
  <c r="AN290" i="12" s="1"/>
  <c r="P291" i="12"/>
  <c r="AN291" i="12" s="1"/>
  <c r="P289" i="12"/>
  <c r="AN289" i="12" s="1"/>
  <c r="J288" i="8"/>
  <c r="K288" i="8"/>
  <c r="C41" i="1"/>
  <c r="C41" i="7"/>
  <c r="H326" i="14"/>
  <c r="K217" i="8"/>
  <c r="J217" i="8"/>
  <c r="H173" i="14"/>
  <c r="K102" i="8"/>
  <c r="J102" i="8" s="1"/>
  <c r="I307" i="8"/>
  <c r="I16" i="8"/>
  <c r="I344" i="8"/>
  <c r="H252" i="14"/>
  <c r="K167" i="8"/>
  <c r="J167" i="8" s="1"/>
  <c r="K354" i="8"/>
  <c r="H276" i="14"/>
  <c r="K183" i="8"/>
  <c r="J183" i="8" s="1"/>
  <c r="AE356" i="8"/>
  <c r="O356" i="8"/>
  <c r="H533" i="14"/>
  <c r="J533" i="14" s="1"/>
  <c r="K533" i="14" s="1"/>
  <c r="L533" i="14" s="1"/>
  <c r="M533" i="14" s="1"/>
  <c r="K342" i="8"/>
  <c r="C47" i="1"/>
  <c r="C47" i="7"/>
  <c r="P342" i="12"/>
  <c r="P343" i="12"/>
  <c r="J53" i="8"/>
  <c r="K274" i="8"/>
  <c r="J274" i="8" s="1"/>
  <c r="L252" i="8"/>
  <c r="AE252" i="8"/>
  <c r="O252" i="8"/>
  <c r="H120" i="8"/>
  <c r="AM120" i="8"/>
  <c r="AL120" i="8"/>
  <c r="AO120" i="8"/>
  <c r="AG120" i="8"/>
  <c r="AE102" i="8"/>
  <c r="H9" i="14"/>
  <c r="K7" i="8"/>
  <c r="J7" i="8"/>
  <c r="H19" i="14"/>
  <c r="K14" i="8"/>
  <c r="AM346" i="8"/>
  <c r="AG346" i="8"/>
  <c r="AL346" i="8"/>
  <c r="AN346" i="8" s="1"/>
  <c r="H346" i="8"/>
  <c r="AE84" i="8"/>
  <c r="AE281" i="8"/>
  <c r="AE99" i="8"/>
  <c r="O99" i="8"/>
  <c r="H279" i="14"/>
  <c r="K186" i="8"/>
  <c r="H96" i="14"/>
  <c r="J96" i="14" s="1"/>
  <c r="K96" i="14" s="1"/>
  <c r="L96" i="14" s="1"/>
  <c r="M96" i="14" s="1"/>
  <c r="J42" i="8"/>
  <c r="L42" i="8" s="1"/>
  <c r="K42" i="8"/>
  <c r="H157" i="14"/>
  <c r="K96" i="8"/>
  <c r="J96" i="8" s="1"/>
  <c r="H439" i="14"/>
  <c r="J439" i="14" s="1"/>
  <c r="K439" i="14" s="1"/>
  <c r="L439" i="14" s="1"/>
  <c r="M439" i="14" s="1"/>
  <c r="K289" i="8"/>
  <c r="H313" i="14"/>
  <c r="K206" i="8"/>
  <c r="H316" i="14"/>
  <c r="K204" i="8"/>
  <c r="H542" i="14"/>
  <c r="K350" i="8"/>
  <c r="J350" i="8"/>
  <c r="AE15" i="8"/>
  <c r="AE150" i="8"/>
  <c r="H210" i="14"/>
  <c r="J210" i="14" s="1"/>
  <c r="K210" i="14" s="1"/>
  <c r="L210" i="14" s="1"/>
  <c r="M210" i="14" s="1"/>
  <c r="K132" i="8"/>
  <c r="J132" i="8" s="1"/>
  <c r="H417" i="14"/>
  <c r="J417" i="14" s="1"/>
  <c r="K417" i="14" s="1"/>
  <c r="L417" i="14" s="1"/>
  <c r="M417" i="14" s="1"/>
  <c r="K279" i="8"/>
  <c r="J279" i="8"/>
  <c r="H488" i="14"/>
  <c r="K321" i="8"/>
  <c r="R321" i="12" s="1"/>
  <c r="S321" i="12" s="1"/>
  <c r="U321" i="12" s="1"/>
  <c r="J321" i="8"/>
  <c r="L321" i="8" s="1"/>
  <c r="AE353" i="8"/>
  <c r="R187" i="12"/>
  <c r="S187" i="12" s="1"/>
  <c r="U187" i="12" s="1"/>
  <c r="L187" i="8"/>
  <c r="O187" i="8"/>
  <c r="AE187" i="8"/>
  <c r="H74" i="14"/>
  <c r="K48" i="8"/>
  <c r="J48" i="8" s="1"/>
  <c r="AE233" i="8"/>
  <c r="O233" i="8"/>
  <c r="AE200" i="8"/>
  <c r="O200" i="8"/>
  <c r="AE304" i="8"/>
  <c r="H26" i="14"/>
  <c r="J26" i="14" s="1"/>
  <c r="K26" i="14" s="1"/>
  <c r="L26" i="14" s="1"/>
  <c r="M26" i="14" s="1"/>
  <c r="K15" i="8"/>
  <c r="H44" i="14"/>
  <c r="K30" i="8"/>
  <c r="J30" i="8" s="1"/>
  <c r="AE357" i="8"/>
  <c r="AE189" i="8"/>
  <c r="AE36" i="8"/>
  <c r="O36" i="8"/>
  <c r="I270" i="8"/>
  <c r="H179" i="14"/>
  <c r="K107" i="8"/>
  <c r="R230" i="12"/>
  <c r="S230" i="12" s="1"/>
  <c r="U230" i="12" s="1"/>
  <c r="AE230" i="8"/>
  <c r="O230" i="8"/>
  <c r="L230" i="8"/>
  <c r="AE196" i="8"/>
  <c r="S361" i="16"/>
  <c r="H25" i="14"/>
  <c r="J25" i="14" s="1"/>
  <c r="K5" i="8"/>
  <c r="J5" i="8"/>
  <c r="C5" i="1"/>
  <c r="C5" i="7"/>
  <c r="P21" i="12"/>
  <c r="AN21" i="12" s="1"/>
  <c r="P14" i="12"/>
  <c r="AN14" i="12" s="1"/>
  <c r="P22" i="12"/>
  <c r="AN22" i="12" s="1"/>
  <c r="P15" i="12"/>
  <c r="AN15" i="12" s="1"/>
  <c r="P5" i="12"/>
  <c r="P6" i="12"/>
  <c r="AN6" i="12" s="1"/>
  <c r="P16" i="12"/>
  <c r="AN16" i="12" s="1"/>
  <c r="P7" i="12"/>
  <c r="AN7" i="12" s="1"/>
  <c r="P17" i="12"/>
  <c r="AN17" i="12" s="1"/>
  <c r="P8" i="12"/>
  <c r="AN8" i="12" s="1"/>
  <c r="P10" i="12"/>
  <c r="AN10" i="12" s="1"/>
  <c r="P11" i="12"/>
  <c r="AN11" i="12" s="1"/>
  <c r="P18" i="12"/>
  <c r="AN18" i="12" s="1"/>
  <c r="P20" i="12"/>
  <c r="AN20" i="12" s="1"/>
  <c r="P12" i="12"/>
  <c r="AN12" i="12" s="1"/>
  <c r="P13" i="12"/>
  <c r="AN13" i="12" s="1"/>
  <c r="I346" i="8"/>
  <c r="AE165" i="8"/>
  <c r="AE284" i="8"/>
  <c r="O284" i="8"/>
  <c r="I319" i="8"/>
  <c r="K262" i="8"/>
  <c r="I269" i="8"/>
  <c r="H514" i="14"/>
  <c r="K337" i="8"/>
  <c r="K124" i="8"/>
  <c r="J124" i="8"/>
  <c r="H308" i="14"/>
  <c r="P219" i="12"/>
  <c r="AN219" i="12" s="1"/>
  <c r="P218" i="12"/>
  <c r="AN218" i="12" s="1"/>
  <c r="P208" i="12"/>
  <c r="AN208" i="12" s="1"/>
  <c r="P207" i="12"/>
  <c r="AN207" i="12" s="1"/>
  <c r="P210" i="12"/>
  <c r="AN210" i="12" s="1"/>
  <c r="P209" i="12"/>
  <c r="AN209" i="12" s="1"/>
  <c r="P211" i="12"/>
  <c r="AN211" i="12" s="1"/>
  <c r="P212" i="12"/>
  <c r="AN212" i="12" s="1"/>
  <c r="P201" i="12"/>
  <c r="AN201" i="12" s="1"/>
  <c r="P202" i="12"/>
  <c r="AN202" i="12" s="1"/>
  <c r="P221" i="12"/>
  <c r="AN221" i="12" s="1"/>
  <c r="P205" i="12"/>
  <c r="AN205" i="12" s="1"/>
  <c r="P204" i="12"/>
  <c r="AN204" i="12" s="1"/>
  <c r="P203" i="12"/>
  <c r="AN203" i="12" s="1"/>
  <c r="P206" i="12"/>
  <c r="AN206" i="12" s="1"/>
  <c r="K201" i="8"/>
  <c r="J201" i="8" s="1"/>
  <c r="C31" i="1"/>
  <c r="C31" i="7"/>
  <c r="P227" i="12"/>
  <c r="AN227" i="12" s="1"/>
  <c r="P229" i="12"/>
  <c r="AN229" i="12" s="1"/>
  <c r="P233" i="12"/>
  <c r="AN233" i="12" s="1"/>
  <c r="P220" i="12"/>
  <c r="AN220" i="12" s="1"/>
  <c r="P215" i="12"/>
  <c r="AN215" i="12" s="1"/>
  <c r="P217" i="12"/>
  <c r="AN217" i="12" s="1"/>
  <c r="P230" i="12"/>
  <c r="AN230" i="12" s="1"/>
  <c r="P232" i="12"/>
  <c r="AN232" i="12" s="1"/>
  <c r="P223" i="12"/>
  <c r="AN223" i="12" s="1"/>
  <c r="P225" i="12"/>
  <c r="AN225" i="12" s="1"/>
  <c r="P231" i="12"/>
  <c r="AN231" i="12" s="1"/>
  <c r="P213" i="12"/>
  <c r="AN213" i="12" s="1"/>
  <c r="P226" i="12"/>
  <c r="AN226" i="12" s="1"/>
  <c r="P228" i="12"/>
  <c r="AN228" i="12" s="1"/>
  <c r="P222" i="12"/>
  <c r="AN222" i="12" s="1"/>
  <c r="P216" i="12"/>
  <c r="AN216" i="12" s="1"/>
  <c r="P214" i="12"/>
  <c r="AN214" i="12" s="1"/>
  <c r="H300" i="14"/>
  <c r="K199" i="8"/>
  <c r="AE302" i="8"/>
  <c r="AE10" i="8"/>
  <c r="H554" i="14"/>
  <c r="J554" i="14" s="1"/>
  <c r="K554" i="14" s="1"/>
  <c r="L554" i="14" s="1"/>
  <c r="M554" i="14" s="1"/>
  <c r="K359" i="8"/>
  <c r="AE329" i="8"/>
  <c r="I126" i="8"/>
  <c r="J126" i="8" s="1"/>
  <c r="H415" i="14"/>
  <c r="J415" i="14" s="1"/>
  <c r="K415" i="14" s="1"/>
  <c r="L415" i="14" s="1"/>
  <c r="M415" i="14" s="1"/>
  <c r="K277" i="8"/>
  <c r="J277" i="8" s="1"/>
  <c r="H482" i="14"/>
  <c r="K317" i="8"/>
  <c r="I352" i="8"/>
  <c r="I51" i="8"/>
  <c r="I273" i="8"/>
  <c r="J273" i="8" s="1"/>
  <c r="I107" i="8"/>
  <c r="J107" i="8" s="1"/>
  <c r="B59" i="3"/>
  <c r="B60" i="3" s="1"/>
  <c r="B66" i="3" s="1"/>
  <c r="H539" i="14"/>
  <c r="K347" i="8"/>
  <c r="C49" i="1"/>
  <c r="C49" i="7"/>
  <c r="P347" i="12"/>
  <c r="AN347" i="12" s="1"/>
  <c r="P350" i="12"/>
  <c r="AN350" i="12" s="1"/>
  <c r="P351" i="12"/>
  <c r="AN351" i="12" s="1"/>
  <c r="P349" i="12"/>
  <c r="AN349" i="12" s="1"/>
  <c r="P348" i="12"/>
  <c r="AN348" i="12" s="1"/>
  <c r="H154" i="14"/>
  <c r="K88" i="8"/>
  <c r="R88" i="12" s="1"/>
  <c r="S88" i="12" s="1"/>
  <c r="U88" i="12" s="1"/>
  <c r="J88" i="8"/>
  <c r="H358" i="14"/>
  <c r="K239" i="8"/>
  <c r="J239" i="8" s="1"/>
  <c r="H501" i="14"/>
  <c r="J331" i="8"/>
  <c r="K331" i="8"/>
  <c r="I157" i="8"/>
  <c r="I326" i="8"/>
  <c r="AE320" i="8"/>
  <c r="I50" i="7"/>
  <c r="E50" i="7"/>
  <c r="H50" i="7" s="1"/>
  <c r="D50" i="7"/>
  <c r="H288" i="14"/>
  <c r="K189" i="8"/>
  <c r="J189" i="8"/>
  <c r="H184" i="8"/>
  <c r="AM184" i="8"/>
  <c r="AL184" i="8"/>
  <c r="AO184" i="8"/>
  <c r="AG184" i="8"/>
  <c r="J55" i="8"/>
  <c r="N95" i="14"/>
  <c r="O95" i="14" s="1"/>
  <c r="H402" i="14"/>
  <c r="K271" i="8"/>
  <c r="J271" i="8"/>
  <c r="I209" i="8"/>
  <c r="AG68" i="8"/>
  <c r="AM68" i="8"/>
  <c r="AL68" i="8"/>
  <c r="K266" i="8"/>
  <c r="J266" i="8"/>
  <c r="AL166" i="8"/>
  <c r="AN166" i="8" s="1"/>
  <c r="AG166" i="8"/>
  <c r="AM166" i="8"/>
  <c r="H549" i="14"/>
  <c r="K355" i="8"/>
  <c r="H388" i="14"/>
  <c r="P257" i="12"/>
  <c r="AN257" i="12" s="1"/>
  <c r="P255" i="12"/>
  <c r="AN255" i="12" s="1"/>
  <c r="P256" i="12"/>
  <c r="AN256" i="12" s="1"/>
  <c r="P263" i="12"/>
  <c r="AN263" i="12" s="1"/>
  <c r="P261" i="12"/>
  <c r="AN261" i="12" s="1"/>
  <c r="P254" i="12"/>
  <c r="AN254" i="12" s="1"/>
  <c r="P258" i="12"/>
  <c r="AN258" i="12" s="1"/>
  <c r="K254" i="8"/>
  <c r="R254" i="12" s="1"/>
  <c r="S254" i="12" s="1"/>
  <c r="U254" i="12" s="1"/>
  <c r="J254" i="8"/>
  <c r="C36" i="1"/>
  <c r="C36" i="7"/>
  <c r="P264" i="12"/>
  <c r="AN264" i="12" s="1"/>
  <c r="P262" i="12"/>
  <c r="AN262" i="12" s="1"/>
  <c r="I44" i="8"/>
  <c r="AE223" i="8"/>
  <c r="AE204" i="8"/>
  <c r="I11" i="8"/>
  <c r="I358" i="8"/>
  <c r="H255" i="14"/>
  <c r="K177" i="8"/>
  <c r="J177" i="8"/>
  <c r="H262" i="14"/>
  <c r="J262" i="14" s="1"/>
  <c r="K262" i="14" s="1"/>
  <c r="L262" i="14" s="1"/>
  <c r="M262" i="14" s="1"/>
  <c r="K168" i="8"/>
  <c r="R168" i="12" s="1"/>
  <c r="S168" i="12" s="1"/>
  <c r="U168" i="12" s="1"/>
  <c r="J168" i="8"/>
  <c r="I128" i="8"/>
  <c r="AK315" i="8"/>
  <c r="AJ290" i="8"/>
  <c r="AJ218" i="8"/>
  <c r="AJ315" i="8"/>
  <c r="AK252" i="8"/>
  <c r="AJ325" i="8"/>
  <c r="AJ230" i="8"/>
  <c r="AK272" i="8"/>
  <c r="AK325" i="8"/>
  <c r="AK290" i="8"/>
  <c r="AJ252" i="8"/>
  <c r="AJ272" i="8"/>
  <c r="AK230" i="8"/>
  <c r="AK218" i="8"/>
  <c r="AK224" i="8"/>
  <c r="AJ224" i="8"/>
  <c r="AK187" i="8"/>
  <c r="AJ187" i="8"/>
  <c r="AK47" i="8"/>
  <c r="AK152" i="8"/>
  <c r="AJ47" i="8"/>
  <c r="AJ152" i="8"/>
  <c r="AK105" i="8"/>
  <c r="AJ105" i="8"/>
  <c r="AK39" i="8"/>
  <c r="AJ39" i="8"/>
  <c r="B63" i="3"/>
  <c r="O339" i="8"/>
  <c r="AE339" i="8"/>
  <c r="AE106" i="8"/>
  <c r="AE227" i="8"/>
  <c r="AE17" i="8"/>
  <c r="AE267" i="8"/>
  <c r="O267" i="8"/>
  <c r="AE239" i="8"/>
  <c r="AE169" i="8"/>
  <c r="H234" i="14"/>
  <c r="K149" i="8"/>
  <c r="J149" i="8"/>
  <c r="H406" i="14"/>
  <c r="P280" i="12"/>
  <c r="AN280" i="12" s="1"/>
  <c r="P285" i="12"/>
  <c r="AN285" i="12" s="1"/>
  <c r="P281" i="12"/>
  <c r="AN281" i="12" s="1"/>
  <c r="P276" i="12"/>
  <c r="AN276" i="12" s="1"/>
  <c r="P277" i="12"/>
  <c r="AN277" i="12" s="1"/>
  <c r="K276" i="8"/>
  <c r="C39" i="1"/>
  <c r="C39" i="7"/>
  <c r="P282" i="12"/>
  <c r="AN282" i="12" s="1"/>
  <c r="P278" i="12"/>
  <c r="AN278" i="12" s="1"/>
  <c r="P279" i="12"/>
  <c r="AN279" i="12" s="1"/>
  <c r="P284" i="12"/>
  <c r="AN284" i="12" s="1"/>
  <c r="H486" i="14"/>
  <c r="K320" i="8"/>
  <c r="H278" i="14"/>
  <c r="P183" i="12"/>
  <c r="AN183" i="12" s="1"/>
  <c r="P186" i="12"/>
  <c r="AN186" i="12" s="1"/>
  <c r="P182" i="12"/>
  <c r="AN182" i="12" s="1"/>
  <c r="P187" i="12"/>
  <c r="AN187" i="12" s="1"/>
  <c r="P185" i="12"/>
  <c r="AN185" i="12" s="1"/>
  <c r="P184" i="12"/>
  <c r="AN184" i="12" s="1"/>
  <c r="K182" i="8"/>
  <c r="J182" i="8"/>
  <c r="C28" i="7"/>
  <c r="C28" i="1"/>
  <c r="H65" i="14"/>
  <c r="P44" i="12"/>
  <c r="AN44" i="12" s="1"/>
  <c r="P57" i="12"/>
  <c r="AN57" i="12" s="1"/>
  <c r="P55" i="12"/>
  <c r="AN55" i="12" s="1"/>
  <c r="P53" i="12"/>
  <c r="AN53" i="12" s="1"/>
  <c r="P42" i="12"/>
  <c r="AN42" i="12" s="1"/>
  <c r="P56" i="12"/>
  <c r="AN56" i="12" s="1"/>
  <c r="P59" i="12"/>
  <c r="AN59" i="12" s="1"/>
  <c r="P50" i="12"/>
  <c r="AN50" i="12" s="1"/>
  <c r="P48" i="12"/>
  <c r="AN48" i="12" s="1"/>
  <c r="P43" i="12"/>
  <c r="AN43" i="12" s="1"/>
  <c r="P37" i="12"/>
  <c r="AN37" i="12" s="1"/>
  <c r="P54" i="12"/>
  <c r="AN54" i="12" s="1"/>
  <c r="P49" i="12"/>
  <c r="AN49" i="12" s="1"/>
  <c r="P41" i="12"/>
  <c r="AN41" i="12" s="1"/>
  <c r="P40" i="12"/>
  <c r="AN40" i="12" s="1"/>
  <c r="P51" i="12"/>
  <c r="AN51" i="12" s="1"/>
  <c r="P46" i="12"/>
  <c r="AN46" i="12" s="1"/>
  <c r="P45" i="12"/>
  <c r="AN45" i="12" s="1"/>
  <c r="P47" i="12"/>
  <c r="AN47" i="12" s="1"/>
  <c r="P39" i="12"/>
  <c r="AN39" i="12" s="1"/>
  <c r="P58" i="12"/>
  <c r="AN58" i="12" s="1"/>
  <c r="P52" i="12"/>
  <c r="AN52" i="12" s="1"/>
  <c r="P38" i="12"/>
  <c r="AN38" i="12" s="1"/>
  <c r="C10" i="1"/>
  <c r="K37" i="8"/>
  <c r="J37" i="8" s="1"/>
  <c r="C10" i="7"/>
  <c r="AE94" i="8"/>
  <c r="R124" i="12"/>
  <c r="S124" i="12" s="1"/>
  <c r="U124" i="12" s="1"/>
  <c r="L124" i="8"/>
  <c r="AJ124" i="8" s="1"/>
  <c r="AE124" i="8"/>
  <c r="O124" i="8"/>
  <c r="R120" i="12"/>
  <c r="S120" i="12" s="1"/>
  <c r="U120" i="12" s="1"/>
  <c r="AE120" i="8"/>
  <c r="AH120" i="8" s="1"/>
  <c r="O120" i="8"/>
  <c r="L120" i="8"/>
  <c r="H318" i="14"/>
  <c r="K209" i="8"/>
  <c r="H122" i="14"/>
  <c r="K69" i="8"/>
  <c r="AE192" i="8"/>
  <c r="AE18" i="8"/>
  <c r="O18" i="8"/>
  <c r="R266" i="12"/>
  <c r="L266" i="8"/>
  <c r="AJ266" i="8" s="1"/>
  <c r="AE266" i="8"/>
  <c r="O266" i="8"/>
  <c r="AE293" i="8"/>
  <c r="AE359" i="8"/>
  <c r="O359" i="8"/>
  <c r="H363" i="14"/>
  <c r="J363" i="14" s="1"/>
  <c r="K363" i="14" s="1"/>
  <c r="L363" i="14" s="1"/>
  <c r="M363" i="14" s="1"/>
  <c r="K240" i="8"/>
  <c r="H152" i="8"/>
  <c r="AM152" i="8"/>
  <c r="AL152" i="8"/>
  <c r="AO152" i="8"/>
  <c r="AG152" i="8"/>
  <c r="R279" i="12"/>
  <c r="S279" i="12" s="1"/>
  <c r="U279" i="12" s="1"/>
  <c r="L279" i="8"/>
  <c r="AE279" i="8"/>
  <c r="O279" i="8"/>
  <c r="AE139" i="8"/>
  <c r="AE264" i="8"/>
  <c r="O264" i="8"/>
  <c r="I190" i="8"/>
  <c r="J190" i="8" s="1"/>
  <c r="AE45" i="8"/>
  <c r="H180" i="14"/>
  <c r="K108" i="8"/>
  <c r="R108" i="12" s="1"/>
  <c r="S108" i="12" s="1"/>
  <c r="U108" i="12" s="1"/>
  <c r="J108" i="8"/>
  <c r="L108" i="8" s="1"/>
  <c r="AE232" i="8"/>
  <c r="O232" i="8"/>
  <c r="AE71" i="8"/>
  <c r="O71" i="8"/>
  <c r="AE20" i="8"/>
  <c r="O20" i="8"/>
  <c r="R241" i="12"/>
  <c r="S241" i="12" s="1"/>
  <c r="U241" i="12" s="1"/>
  <c r="AE241" i="8"/>
  <c r="L241" i="8"/>
  <c r="AJ241" i="8" s="1"/>
  <c r="H258" i="14"/>
  <c r="J258" i="14" s="1"/>
  <c r="K258" i="14" s="1"/>
  <c r="L258" i="14" s="1"/>
  <c r="M258" i="14" s="1"/>
  <c r="K173" i="8"/>
  <c r="H235" i="14"/>
  <c r="K150" i="8"/>
  <c r="R150" i="12" s="1"/>
  <c r="S150" i="12" s="1"/>
  <c r="U150" i="12" s="1"/>
  <c r="J150" i="8"/>
  <c r="L150" i="8" s="1"/>
  <c r="AE285" i="8"/>
  <c r="O285" i="8"/>
  <c r="I355" i="8"/>
  <c r="K264" i="8"/>
  <c r="H82" i="14"/>
  <c r="K56" i="8"/>
  <c r="J56" i="8"/>
  <c r="AE245" i="8"/>
  <c r="H519" i="14"/>
  <c r="J519" i="14" s="1"/>
  <c r="K519" i="14" s="1"/>
  <c r="L519" i="14" s="1"/>
  <c r="M519" i="14" s="1"/>
  <c r="K341" i="8"/>
  <c r="AE72" i="8"/>
  <c r="I116" i="8"/>
  <c r="AE65" i="8"/>
  <c r="H304" i="14"/>
  <c r="K194" i="8"/>
  <c r="H24" i="14"/>
  <c r="K22" i="8"/>
  <c r="I294" i="8"/>
  <c r="AA152" i="8"/>
  <c r="AE176" i="8"/>
  <c r="O176" i="8"/>
  <c r="K133" i="8"/>
  <c r="H250" i="14"/>
  <c r="K165" i="8"/>
  <c r="R165" i="12" s="1"/>
  <c r="S165" i="12" s="1"/>
  <c r="U165" i="12" s="1"/>
  <c r="J165" i="8"/>
  <c r="L165" i="8" s="1"/>
  <c r="AE98" i="8"/>
  <c r="L182" i="8"/>
  <c r="AE182" i="8"/>
  <c r="O182" i="8"/>
  <c r="K275" i="8"/>
  <c r="J275" i="8"/>
  <c r="I109" i="8"/>
  <c r="H136" i="14"/>
  <c r="K75" i="8"/>
  <c r="R75" i="12" s="1"/>
  <c r="S75" i="12" s="1"/>
  <c r="U75" i="12" s="1"/>
  <c r="J75" i="8"/>
  <c r="AE206" i="8"/>
  <c r="R70" i="12"/>
  <c r="S70" i="12" s="1"/>
  <c r="U70" i="12" s="1"/>
  <c r="L70" i="8"/>
  <c r="AE70" i="8"/>
  <c r="AH70" i="8" s="1"/>
  <c r="H305" i="14"/>
  <c r="J305" i="14" s="1"/>
  <c r="K305" i="14" s="1"/>
  <c r="L305" i="14" s="1"/>
  <c r="M305" i="14" s="1"/>
  <c r="K195" i="8"/>
  <c r="I311" i="8"/>
  <c r="AE287" i="8"/>
  <c r="H34" i="14"/>
  <c r="K24" i="8"/>
  <c r="H360" i="14"/>
  <c r="K242" i="8"/>
  <c r="J242" i="8"/>
  <c r="H496" i="14"/>
  <c r="K330" i="8"/>
  <c r="R330" i="12" s="1"/>
  <c r="S330" i="12" s="1"/>
  <c r="U330" i="12" s="1"/>
  <c r="J330" i="8"/>
  <c r="L330" i="8" s="1"/>
  <c r="H208" i="14"/>
  <c r="K135" i="8"/>
  <c r="J135" i="8"/>
  <c r="AE175" i="8"/>
  <c r="O175" i="8"/>
  <c r="J278" i="8"/>
  <c r="AE314" i="8"/>
  <c r="I261" i="8"/>
  <c r="H277" i="14"/>
  <c r="AM55" i="8"/>
  <c r="AL55" i="8"/>
  <c r="AO55" i="8"/>
  <c r="AG55" i="8"/>
  <c r="H55" i="8"/>
  <c r="AO272" i="8"/>
  <c r="AG272" i="8"/>
  <c r="AL272" i="8"/>
  <c r="AM272" i="8"/>
  <c r="H272" i="8"/>
  <c r="C20" i="7"/>
  <c r="I338" i="8"/>
  <c r="H320" i="14"/>
  <c r="K211" i="8"/>
  <c r="AL212" i="8"/>
  <c r="AM212" i="8"/>
  <c r="AG212" i="8"/>
  <c r="I309" i="8"/>
  <c r="H45" i="14"/>
  <c r="K31" i="8"/>
  <c r="J31" i="8"/>
  <c r="I323" i="8"/>
  <c r="H551" i="14"/>
  <c r="J551" i="14" s="1"/>
  <c r="K551" i="14" s="1"/>
  <c r="L551" i="14" s="1"/>
  <c r="M551" i="14" s="1"/>
  <c r="P356" i="12"/>
  <c r="P355" i="12"/>
  <c r="K353" i="8"/>
  <c r="J353" i="8"/>
  <c r="L353" i="8" s="1"/>
  <c r="C51" i="1"/>
  <c r="C51" i="7"/>
  <c r="P353" i="12"/>
  <c r="I63" i="8"/>
  <c r="I186" i="8"/>
  <c r="J186" i="8" s="1"/>
  <c r="H80" i="14"/>
  <c r="K57" i="8"/>
  <c r="J57" i="8"/>
  <c r="H366" i="14"/>
  <c r="P251" i="12"/>
  <c r="AN251" i="12" s="1"/>
  <c r="P245" i="12"/>
  <c r="AN245" i="12" s="1"/>
  <c r="P250" i="12"/>
  <c r="AN250" i="12" s="1"/>
  <c r="P246" i="12"/>
  <c r="AN246" i="12" s="1"/>
  <c r="P249" i="12"/>
  <c r="AN249" i="12" s="1"/>
  <c r="P247" i="12"/>
  <c r="AN247" i="12" s="1"/>
  <c r="P252" i="12"/>
  <c r="AN252" i="12" s="1"/>
  <c r="P248" i="12"/>
  <c r="AN248" i="12" s="1"/>
  <c r="K245" i="8"/>
  <c r="J245" i="8"/>
  <c r="C34" i="1"/>
  <c r="C34" i="7"/>
  <c r="I207" i="8"/>
  <c r="J207" i="8" s="1"/>
  <c r="H336" i="14"/>
  <c r="K229" i="8"/>
  <c r="J229" i="8"/>
  <c r="I349" i="8"/>
  <c r="J349" i="8" s="1"/>
  <c r="H460" i="14"/>
  <c r="K301" i="8"/>
  <c r="J301" i="8"/>
  <c r="H243" i="14"/>
  <c r="K158" i="8"/>
  <c r="AL244" i="8"/>
  <c r="AN244" i="8" s="1"/>
  <c r="AG244" i="8"/>
  <c r="AM244" i="8"/>
  <c r="H244" i="8"/>
  <c r="R149" i="12"/>
  <c r="S149" i="12" s="1"/>
  <c r="U149" i="12" s="1"/>
  <c r="L149" i="8"/>
  <c r="AK149" i="8" s="1"/>
  <c r="AE149" i="8"/>
  <c r="O149" i="8"/>
  <c r="AE114" i="8"/>
  <c r="O114" i="8"/>
  <c r="H216" i="14"/>
  <c r="K143" i="8"/>
  <c r="I110" i="8"/>
  <c r="H515" i="14"/>
  <c r="K338" i="8"/>
  <c r="J338" i="8"/>
  <c r="AE74" i="8"/>
  <c r="H178" i="14"/>
  <c r="P106" i="12"/>
  <c r="P107" i="12"/>
  <c r="P108" i="12"/>
  <c r="K106" i="8"/>
  <c r="C19" i="7"/>
  <c r="C19" i="1"/>
  <c r="H333" i="14"/>
  <c r="K222" i="8"/>
  <c r="J222" i="8"/>
  <c r="H294" i="14"/>
  <c r="K200" i="8"/>
  <c r="J200" i="8"/>
  <c r="H457" i="14"/>
  <c r="K298" i="8"/>
  <c r="J298" i="8" s="1"/>
  <c r="R12" i="12"/>
  <c r="S12" i="12" s="1"/>
  <c r="U12" i="12" s="1"/>
  <c r="L12" i="8"/>
  <c r="AE12" i="8"/>
  <c r="AE14" i="8"/>
  <c r="H33" i="14"/>
  <c r="P27" i="12"/>
  <c r="AN27" i="12" s="1"/>
  <c r="P28" i="12"/>
  <c r="AN28" i="12" s="1"/>
  <c r="P24" i="12"/>
  <c r="AN24" i="12" s="1"/>
  <c r="K23" i="8"/>
  <c r="C6" i="1"/>
  <c r="C6" i="7"/>
  <c r="AE82" i="8"/>
  <c r="H245" i="14"/>
  <c r="K160" i="8"/>
  <c r="R160" i="12" s="1"/>
  <c r="S160" i="12" s="1"/>
  <c r="U160" i="12" s="1"/>
  <c r="J160" i="8"/>
  <c r="L160" i="8" s="1"/>
  <c r="I112" i="8"/>
  <c r="AE336" i="8"/>
  <c r="H139" i="14"/>
  <c r="K78" i="8"/>
  <c r="H189" i="14"/>
  <c r="K122" i="8"/>
  <c r="H127" i="14"/>
  <c r="J127" i="14" s="1"/>
  <c r="K127" i="14" s="1"/>
  <c r="L127" i="14" s="1"/>
  <c r="M127" i="14" s="1"/>
  <c r="K67" i="8"/>
  <c r="J67" i="8"/>
  <c r="AE298" i="8"/>
  <c r="H28" i="14"/>
  <c r="J28" i="14" s="1"/>
  <c r="K28" i="14" s="1"/>
  <c r="L28" i="14" s="1"/>
  <c r="M28" i="14" s="1"/>
  <c r="K20" i="8"/>
  <c r="J267" i="8"/>
  <c r="K267" i="8"/>
  <c r="R267" i="12" s="1"/>
  <c r="H447" i="14"/>
  <c r="K296" i="8"/>
  <c r="AE83" i="8"/>
  <c r="H256" i="14"/>
  <c r="J178" i="8"/>
  <c r="K178" i="8"/>
  <c r="AE277" i="8"/>
  <c r="H525" i="14"/>
  <c r="K343" i="8"/>
  <c r="I92" i="8"/>
  <c r="I334" i="8"/>
  <c r="K79" i="8"/>
  <c r="J79" i="8"/>
  <c r="AE228" i="8"/>
  <c r="O228" i="8"/>
  <c r="K19" i="8"/>
  <c r="J19" i="8"/>
  <c r="AE26" i="8"/>
  <c r="O26" i="8"/>
  <c r="AE85" i="8"/>
  <c r="O85" i="8"/>
  <c r="AE178" i="8"/>
  <c r="O178" i="8"/>
  <c r="L178" i="8"/>
  <c r="K284" i="8"/>
  <c r="I100" i="8"/>
  <c r="H109" i="14"/>
  <c r="K63" i="8"/>
  <c r="J63" i="8"/>
  <c r="AE37" i="8"/>
  <c r="AE247" i="8"/>
  <c r="I76" i="8"/>
  <c r="H116" i="14"/>
  <c r="P69" i="12"/>
  <c r="P66" i="12"/>
  <c r="P71" i="12"/>
  <c r="P67" i="12"/>
  <c r="P68" i="12"/>
  <c r="P70" i="12"/>
  <c r="P65" i="12"/>
  <c r="K65" i="8"/>
  <c r="J65" i="8" s="1"/>
  <c r="C12" i="1"/>
  <c r="C12" i="7"/>
  <c r="AE297" i="8"/>
  <c r="I6" i="8"/>
  <c r="J6" i="8" s="1"/>
  <c r="H445" i="14"/>
  <c r="K294" i="8"/>
  <c r="K138" i="8"/>
  <c r="R244" i="12"/>
  <c r="S244" i="12" s="1"/>
  <c r="U244" i="12" s="1"/>
  <c r="AE244" i="8"/>
  <c r="O244" i="8"/>
  <c r="I179" i="8"/>
  <c r="I144" i="8"/>
  <c r="H271" i="14"/>
  <c r="J271" i="14" s="1"/>
  <c r="K271" i="14" s="1"/>
  <c r="L271" i="14" s="1"/>
  <c r="M271" i="14" s="1"/>
  <c r="K171" i="8"/>
  <c r="J171" i="8"/>
  <c r="K114" i="8"/>
  <c r="AE62" i="8"/>
  <c r="O62" i="8"/>
  <c r="AE246" i="8"/>
  <c r="K59" i="4"/>
  <c r="K60" i="4" s="1"/>
  <c r="H328" i="14"/>
  <c r="K219" i="8"/>
  <c r="J219" i="8" s="1"/>
  <c r="I69" i="8"/>
  <c r="I199" i="8"/>
  <c r="J199" i="8" s="1"/>
  <c r="K309" i="8"/>
  <c r="J309" i="8"/>
  <c r="H420" i="14"/>
  <c r="P287" i="12"/>
  <c r="P286" i="12"/>
  <c r="K286" i="8"/>
  <c r="C40" i="1"/>
  <c r="C40" i="7"/>
  <c r="I296" i="8"/>
  <c r="I243" i="8"/>
  <c r="H268" i="14"/>
  <c r="K172" i="8"/>
  <c r="J172" i="8" s="1"/>
  <c r="K130" i="8"/>
  <c r="H264" i="14"/>
  <c r="J264" i="14" s="1"/>
  <c r="K264" i="14" s="1"/>
  <c r="L264" i="14" s="1"/>
  <c r="M264" i="14" s="1"/>
  <c r="K180" i="8"/>
  <c r="H278" i="8"/>
  <c r="AM278" i="8"/>
  <c r="AO278" i="8"/>
  <c r="AL278" i="8"/>
  <c r="AG278" i="8"/>
  <c r="AF272" i="8"/>
  <c r="P272" i="8"/>
  <c r="H517" i="14"/>
  <c r="K340" i="8"/>
  <c r="F59" i="4"/>
  <c r="F60" i="4" s="1"/>
  <c r="R212" i="12"/>
  <c r="S212" i="12" s="1"/>
  <c r="U212" i="12" s="1"/>
  <c r="L212" i="8"/>
  <c r="AJ212" i="8" s="1"/>
  <c r="AE212" i="8"/>
  <c r="J212" i="8"/>
  <c r="O351" i="8"/>
  <c r="AE351" i="8"/>
  <c r="AE312" i="8"/>
  <c r="O312" i="8"/>
  <c r="C37" i="1"/>
  <c r="H233" i="14"/>
  <c r="K148" i="8"/>
  <c r="I237" i="8"/>
  <c r="I256" i="8"/>
  <c r="H66" i="14"/>
  <c r="K38" i="8"/>
  <c r="J38" i="8"/>
  <c r="H375" i="14"/>
  <c r="P253" i="12"/>
  <c r="K253" i="8"/>
  <c r="R253" i="12" s="1"/>
  <c r="S253" i="12" s="1"/>
  <c r="U253" i="12" s="1"/>
  <c r="J253" i="8"/>
  <c r="AF253" i="8" s="1"/>
  <c r="C35" i="7"/>
  <c r="C35" i="1"/>
  <c r="J59" i="4"/>
  <c r="J60" i="4" s="1"/>
  <c r="I208" i="8"/>
  <c r="H325" i="14"/>
  <c r="K216" i="8"/>
  <c r="AE195" i="8"/>
  <c r="H464" i="14"/>
  <c r="J464" i="14" s="1"/>
  <c r="K464" i="14" s="1"/>
  <c r="L464" i="14" s="1"/>
  <c r="M464" i="14" s="1"/>
  <c r="K304" i="8"/>
  <c r="I22" i="8"/>
  <c r="I29" i="8"/>
  <c r="H213" i="14"/>
  <c r="K137" i="8"/>
  <c r="J137" i="8" s="1"/>
  <c r="I173" i="8"/>
  <c r="H239" i="14"/>
  <c r="K154" i="8"/>
  <c r="K91" i="8"/>
  <c r="J244" i="8"/>
  <c r="L244" i="8" s="1"/>
  <c r="K134" i="8"/>
  <c r="R134" i="12" s="1"/>
  <c r="J134" i="8"/>
  <c r="AE151" i="8"/>
  <c r="H225" i="14"/>
  <c r="J225" i="14" s="1"/>
  <c r="K225" i="14" s="1"/>
  <c r="L225" i="14" s="1"/>
  <c r="M225" i="14" s="1"/>
  <c r="P141" i="12"/>
  <c r="AN141" i="12" s="1"/>
  <c r="K139" i="8"/>
  <c r="J139" i="8"/>
  <c r="C26" i="1"/>
  <c r="C26" i="7"/>
  <c r="P139" i="12"/>
  <c r="AN139" i="12" s="1"/>
  <c r="P140" i="12"/>
  <c r="AN140" i="12" s="1"/>
  <c r="P142" i="12"/>
  <c r="AN142" i="12" s="1"/>
  <c r="P143" i="12"/>
  <c r="AN143" i="12" s="1"/>
  <c r="H403" i="14"/>
  <c r="J403" i="14" s="1"/>
  <c r="K403" i="14" s="1"/>
  <c r="L403" i="14" s="1"/>
  <c r="M403" i="14" s="1"/>
  <c r="K270" i="8"/>
  <c r="J270" i="8" s="1"/>
  <c r="AE111" i="8"/>
  <c r="O111" i="8"/>
  <c r="H516" i="14"/>
  <c r="J339" i="8"/>
  <c r="K339" i="8"/>
  <c r="R339" i="12" s="1"/>
  <c r="S339" i="12" s="1"/>
  <c r="U339" i="12" s="1"/>
  <c r="AE77" i="8"/>
  <c r="AE202" i="8"/>
  <c r="E59" i="3"/>
  <c r="E60" i="3" s="1"/>
  <c r="H298" i="14"/>
  <c r="J196" i="8"/>
  <c r="K196" i="8"/>
  <c r="R196" i="12" s="1"/>
  <c r="S196" i="12" s="1"/>
  <c r="U196" i="12" s="1"/>
  <c r="H466" i="14"/>
  <c r="K308" i="8"/>
  <c r="R308" i="12" s="1"/>
  <c r="S308" i="12" s="1"/>
  <c r="U308" i="12" s="1"/>
  <c r="J308" i="8"/>
  <c r="H31" i="14"/>
  <c r="J31" i="14" s="1"/>
  <c r="K31" i="14" s="1"/>
  <c r="L31" i="14" s="1"/>
  <c r="M31" i="14" s="1"/>
  <c r="K16" i="8"/>
  <c r="J16" i="8"/>
  <c r="AE345" i="8"/>
  <c r="O345" i="8"/>
  <c r="AE23" i="8"/>
  <c r="K85" i="8"/>
  <c r="R161" i="12"/>
  <c r="S161" i="12" s="1"/>
  <c r="U161" i="12" s="1"/>
  <c r="AE161" i="8"/>
  <c r="O161" i="8"/>
  <c r="L161" i="8"/>
  <c r="AK161" i="8" s="1"/>
  <c r="I153" i="8"/>
  <c r="J153" i="8" s="1"/>
  <c r="H185" i="14"/>
  <c r="J185" i="14" s="1"/>
  <c r="K185" i="14" s="1"/>
  <c r="L185" i="14" s="1"/>
  <c r="M185" i="14" s="1"/>
  <c r="P114" i="12"/>
  <c r="K112" i="8"/>
  <c r="J112" i="8" s="1"/>
  <c r="C21" i="7"/>
  <c r="C21" i="1"/>
  <c r="H218" i="14"/>
  <c r="K140" i="8"/>
  <c r="J140" i="8" s="1"/>
  <c r="AE48" i="8"/>
  <c r="K111" i="8"/>
  <c r="J111" i="8" s="1"/>
  <c r="H132" i="14"/>
  <c r="P76" i="12"/>
  <c r="AN76" i="12" s="1"/>
  <c r="P79" i="12"/>
  <c r="AN79" i="12" s="1"/>
  <c r="P73" i="12"/>
  <c r="AN73" i="12" s="1"/>
  <c r="P80" i="12"/>
  <c r="AN80" i="12" s="1"/>
  <c r="P72" i="12"/>
  <c r="AN72" i="12" s="1"/>
  <c r="P81" i="12"/>
  <c r="AN81" i="12" s="1"/>
  <c r="P78" i="12"/>
  <c r="AN78" i="12" s="1"/>
  <c r="P77" i="12"/>
  <c r="AN77" i="12" s="1"/>
  <c r="P75" i="12"/>
  <c r="AN75" i="12" s="1"/>
  <c r="P74" i="12"/>
  <c r="AN74" i="12" s="1"/>
  <c r="K72" i="8"/>
  <c r="R72" i="12" s="1"/>
  <c r="S72" i="12" s="1"/>
  <c r="U72" i="12" s="1"/>
  <c r="J72" i="8"/>
  <c r="L72" i="8" s="1"/>
  <c r="C13" i="7"/>
  <c r="C13" i="1"/>
  <c r="H340" i="14"/>
  <c r="K227" i="8"/>
  <c r="J227" i="8"/>
  <c r="AF227" i="8" s="1"/>
  <c r="H119" i="14"/>
  <c r="K66" i="8"/>
  <c r="I300" i="8"/>
  <c r="K27" i="8"/>
  <c r="J27" i="8" s="1"/>
  <c r="H362" i="14"/>
  <c r="J362" i="14" s="1"/>
  <c r="K362" i="14" s="1"/>
  <c r="L362" i="14" s="1"/>
  <c r="M362" i="14" s="1"/>
  <c r="K243" i="8"/>
  <c r="J243" i="8" s="1"/>
  <c r="H502" i="14"/>
  <c r="J502" i="14" s="1"/>
  <c r="K502" i="14" s="1"/>
  <c r="L502" i="14" s="1"/>
  <c r="M502" i="14" s="1"/>
  <c r="K332" i="8"/>
  <c r="J332" i="8" s="1"/>
  <c r="I158" i="8"/>
  <c r="J158" i="8" s="1"/>
  <c r="H230" i="14"/>
  <c r="K145" i="8"/>
  <c r="J145" i="8"/>
  <c r="AE258" i="8"/>
  <c r="O258" i="8"/>
  <c r="H68" i="14"/>
  <c r="K41" i="8"/>
  <c r="J41" i="8" s="1"/>
  <c r="H163" i="14"/>
  <c r="P97" i="12"/>
  <c r="AN97" i="12" s="1"/>
  <c r="P94" i="12"/>
  <c r="AN94" i="12" s="1"/>
  <c r="K92" i="8"/>
  <c r="J92" i="8" s="1"/>
  <c r="C16" i="7"/>
  <c r="C16" i="1"/>
  <c r="P92" i="12"/>
  <c r="AN92" i="12" s="1"/>
  <c r="P95" i="12"/>
  <c r="AN95" i="12" s="1"/>
  <c r="P93" i="12"/>
  <c r="AN93" i="12" s="1"/>
  <c r="P96" i="12"/>
  <c r="AN96" i="12" s="1"/>
  <c r="H140" i="14"/>
  <c r="K80" i="8"/>
  <c r="H332" i="14"/>
  <c r="K221" i="8"/>
  <c r="AE299" i="8"/>
  <c r="K25" i="8"/>
  <c r="H503" i="14"/>
  <c r="J333" i="8"/>
  <c r="K333" i="8"/>
  <c r="I164" i="8"/>
  <c r="I131" i="8"/>
  <c r="H410" i="14"/>
  <c r="J280" i="8"/>
  <c r="K280" i="8"/>
  <c r="R280" i="12" s="1"/>
  <c r="S280" i="12" s="1"/>
  <c r="U280" i="12" s="1"/>
  <c r="H167" i="14"/>
  <c r="J98" i="8"/>
  <c r="K98" i="8"/>
  <c r="R98" i="12" s="1"/>
  <c r="C17" i="1"/>
  <c r="C17" i="7"/>
  <c r="P100" i="12"/>
  <c r="H85" i="14"/>
  <c r="K59" i="8"/>
  <c r="H75" i="14"/>
  <c r="K49" i="8"/>
  <c r="J49" i="8" s="1"/>
  <c r="H397" i="14"/>
  <c r="P269" i="12"/>
  <c r="P275" i="12"/>
  <c r="P268" i="12"/>
  <c r="P273" i="12"/>
  <c r="P271" i="12"/>
  <c r="P270" i="12"/>
  <c r="K268" i="8"/>
  <c r="C38" i="1"/>
  <c r="C38" i="7"/>
  <c r="P274" i="12"/>
  <c r="H369" i="14"/>
  <c r="K248" i="8"/>
  <c r="AE213" i="8"/>
  <c r="H244" i="14"/>
  <c r="K159" i="8"/>
  <c r="J159" i="8"/>
  <c r="K174" i="8"/>
  <c r="H219" i="14"/>
  <c r="K142" i="8"/>
  <c r="J142" i="8"/>
  <c r="H47" i="14"/>
  <c r="K33" i="8"/>
  <c r="J33" i="8"/>
  <c r="L33" i="8" s="1"/>
  <c r="H76" i="14"/>
  <c r="K50" i="8"/>
  <c r="I289" i="8"/>
  <c r="R226" i="12"/>
  <c r="L226" i="8"/>
  <c r="AE226" i="8"/>
  <c r="O226" i="8"/>
  <c r="H257" i="14"/>
  <c r="K179" i="8"/>
  <c r="J179" i="8"/>
  <c r="AG170" i="8"/>
  <c r="AM170" i="8"/>
  <c r="AL170" i="8"/>
  <c r="I354" i="8"/>
  <c r="AG263" i="8"/>
  <c r="H263" i="8"/>
  <c r="AM263" i="8"/>
  <c r="AL263" i="8"/>
  <c r="AL352" i="8"/>
  <c r="AG352" i="8"/>
  <c r="AM352" i="8"/>
  <c r="H352" i="8"/>
  <c r="I61" i="8"/>
  <c r="AO58" i="8"/>
  <c r="AG58" i="8"/>
  <c r="H58" i="8"/>
  <c r="AM58" i="8"/>
  <c r="AL58" i="8"/>
  <c r="AN58" i="8" s="1"/>
  <c r="H401" i="14"/>
  <c r="D59" i="4"/>
  <c r="D60" i="4" s="1"/>
  <c r="R222" i="12"/>
  <c r="S222" i="12" s="1"/>
  <c r="U222" i="12" s="1"/>
  <c r="L222" i="8"/>
  <c r="AJ222" i="8" s="1"/>
  <c r="AE222" i="8"/>
  <c r="I197" i="8"/>
  <c r="H468" i="14"/>
  <c r="K312" i="8"/>
  <c r="C37" i="7"/>
  <c r="AE145" i="8"/>
  <c r="H483" i="14"/>
  <c r="K318" i="8"/>
  <c r="J318" i="8" s="1"/>
  <c r="H352" i="14"/>
  <c r="P236" i="12"/>
  <c r="P237" i="12"/>
  <c r="K234" i="8"/>
  <c r="C32" i="1"/>
  <c r="C32" i="7"/>
  <c r="P234" i="12"/>
  <c r="H89" i="14"/>
  <c r="K46" i="8"/>
  <c r="J46" i="8"/>
  <c r="G59" i="4"/>
  <c r="G60" i="4" s="1"/>
  <c r="H196" i="14"/>
  <c r="K118" i="8"/>
  <c r="J118" i="8" s="1"/>
  <c r="H323" i="14"/>
  <c r="K214" i="8"/>
  <c r="D59" i="3"/>
  <c r="D60" i="3" s="1"/>
  <c r="H38" i="14"/>
  <c r="J38" i="14" s="1"/>
  <c r="K38" i="14" s="1"/>
  <c r="L38" i="14" s="1"/>
  <c r="M38" i="14" s="1"/>
  <c r="K26" i="8"/>
  <c r="H253" i="14"/>
  <c r="K175" i="8"/>
  <c r="J175" i="8" s="1"/>
  <c r="I166" i="8"/>
  <c r="H446" i="14"/>
  <c r="K295" i="8"/>
  <c r="R305" i="12"/>
  <c r="S305" i="12" s="1"/>
  <c r="U305" i="12" s="1"/>
  <c r="AE305" i="8"/>
  <c r="L305" i="8"/>
  <c r="AE234" i="8"/>
  <c r="AE310" i="8"/>
  <c r="O310" i="8"/>
  <c r="AE318" i="8"/>
  <c r="J351" i="8"/>
  <c r="L351" i="8" s="1"/>
  <c r="K351" i="8"/>
  <c r="R351" i="12" s="1"/>
  <c r="S351" i="12" s="1"/>
  <c r="U351" i="12" s="1"/>
  <c r="R58" i="12"/>
  <c r="S58" i="12" s="1"/>
  <c r="U58" i="12" s="1"/>
  <c r="AE58" i="8"/>
  <c r="O58" i="8"/>
  <c r="H162" i="14"/>
  <c r="K94" i="8"/>
  <c r="J94" i="8" s="1"/>
  <c r="H465" i="14"/>
  <c r="K300" i="8"/>
  <c r="I45" i="7"/>
  <c r="E45" i="7"/>
  <c r="H45" i="7" s="1"/>
  <c r="D45" i="7"/>
  <c r="AE125" i="8"/>
  <c r="H489" i="14"/>
  <c r="J323" i="8"/>
  <c r="K323" i="8"/>
  <c r="H133" i="14"/>
  <c r="K73" i="8"/>
  <c r="J73" i="8" s="1"/>
  <c r="I119" i="8"/>
  <c r="H334" i="14"/>
  <c r="K223" i="8"/>
  <c r="J223" i="8" s="1"/>
  <c r="H21" i="14"/>
  <c r="K18" i="8"/>
  <c r="H149" i="14"/>
  <c r="K84" i="8"/>
  <c r="R84" i="12" s="1"/>
  <c r="J84" i="8"/>
  <c r="L84" i="8" s="1"/>
  <c r="H220" i="14"/>
  <c r="K141" i="8"/>
  <c r="K261" i="8"/>
  <c r="J261" i="8"/>
  <c r="H289" i="14"/>
  <c r="K191" i="8"/>
  <c r="J191" i="8"/>
  <c r="H86" i="14"/>
  <c r="J86" i="14" s="1"/>
  <c r="K86" i="14" s="1"/>
  <c r="L86" i="14" s="1"/>
  <c r="M86" i="14" s="1"/>
  <c r="K44" i="8"/>
  <c r="J44" i="8" s="1"/>
  <c r="R250" i="12"/>
  <c r="S250" i="12" s="1"/>
  <c r="U250" i="12" s="1"/>
  <c r="L250" i="8"/>
  <c r="AE250" i="8"/>
  <c r="O250" i="8"/>
  <c r="R217" i="12"/>
  <c r="S217" i="12" s="1"/>
  <c r="U217" i="12" s="1"/>
  <c r="AE217" i="8"/>
  <c r="L217" i="8"/>
  <c r="R301" i="12"/>
  <c r="S301" i="12" s="1"/>
  <c r="U301" i="12" s="1"/>
  <c r="AE301" i="8"/>
  <c r="L301" i="8"/>
  <c r="I286" i="8"/>
  <c r="L28" i="8"/>
  <c r="AE28" i="8"/>
  <c r="O28" i="8"/>
  <c r="R238" i="12"/>
  <c r="S238" i="12" s="1"/>
  <c r="U238" i="12" s="1"/>
  <c r="AE238" i="8"/>
  <c r="L238" i="8"/>
  <c r="AK238" i="8" s="1"/>
  <c r="AE170" i="8"/>
  <c r="AE113" i="8"/>
  <c r="O113" i="8"/>
  <c r="H102" i="14"/>
  <c r="K61" i="8"/>
  <c r="J61" i="8" s="1"/>
  <c r="AF61" i="8" s="1"/>
  <c r="AE41" i="8"/>
  <c r="H341" i="14"/>
  <c r="J232" i="8"/>
  <c r="K232" i="8"/>
  <c r="R232" i="12" s="1"/>
  <c r="S232" i="12" s="1"/>
  <c r="U232" i="12" s="1"/>
  <c r="H330" i="14"/>
  <c r="K220" i="8"/>
  <c r="H497" i="14"/>
  <c r="K326" i="8"/>
  <c r="J326" i="8"/>
  <c r="I159" i="8"/>
  <c r="I146" i="8"/>
  <c r="H207" i="14"/>
  <c r="K127" i="8"/>
  <c r="J127" i="8"/>
  <c r="N111" i="14"/>
  <c r="O111" i="14" s="1"/>
  <c r="F11" i="11" s="1"/>
  <c r="I11" i="11" s="1"/>
  <c r="I59" i="8"/>
  <c r="I248" i="8"/>
  <c r="H348" i="14"/>
  <c r="K228" i="8"/>
  <c r="I306" i="8"/>
  <c r="H22" i="14"/>
  <c r="K9" i="8"/>
  <c r="R9" i="12" s="1"/>
  <c r="J9" i="8"/>
  <c r="L9" i="8" s="1"/>
  <c r="H43" i="14"/>
  <c r="P31" i="12"/>
  <c r="P29" i="12"/>
  <c r="P30" i="12"/>
  <c r="C7" i="1"/>
  <c r="C7" i="7"/>
  <c r="K29" i="8"/>
  <c r="J29" i="8"/>
  <c r="AA161" i="8"/>
  <c r="I174" i="8"/>
  <c r="I143" i="8"/>
  <c r="I262" i="8"/>
  <c r="J34" i="8"/>
  <c r="K34" i="8"/>
  <c r="H513" i="14"/>
  <c r="K336" i="8"/>
  <c r="J336" i="8"/>
  <c r="L336" i="8" s="1"/>
  <c r="I211" i="8"/>
  <c r="H467" i="14"/>
  <c r="J299" i="8"/>
  <c r="L299" i="8" s="1"/>
  <c r="K299" i="8"/>
  <c r="H150" i="14"/>
  <c r="K86" i="8"/>
  <c r="J170" i="8"/>
  <c r="AO170" i="8" s="1"/>
  <c r="K356" i="8"/>
  <c r="H389" i="14"/>
  <c r="R34" i="12"/>
  <c r="S34" i="12" s="1"/>
  <c r="U34" i="12" s="1"/>
  <c r="AE34" i="8"/>
  <c r="O34" i="8"/>
  <c r="L34" i="8"/>
  <c r="J58" i="8"/>
  <c r="AG109" i="8"/>
  <c r="AM109" i="8"/>
  <c r="AL109" i="8"/>
  <c r="AN109" i="8" s="1"/>
  <c r="H512" i="14"/>
  <c r="J335" i="8"/>
  <c r="K335" i="8"/>
  <c r="H299" i="14"/>
  <c r="K197" i="8"/>
  <c r="J265" i="8"/>
  <c r="R265" i="12" s="1"/>
  <c r="S267" i="12" s="1"/>
  <c r="U267" i="12" s="1"/>
  <c r="H553" i="14"/>
  <c r="J357" i="8"/>
  <c r="K357" i="8"/>
  <c r="C52" i="1"/>
  <c r="C52" i="7"/>
  <c r="P358" i="12"/>
  <c r="P359" i="12"/>
  <c r="H412" i="14"/>
  <c r="K282" i="8"/>
  <c r="J282" i="8"/>
  <c r="I141" i="8"/>
  <c r="K99" i="8"/>
  <c r="R99" i="12" s="1"/>
  <c r="J99" i="8"/>
  <c r="I32" i="8"/>
  <c r="I54" i="8"/>
  <c r="I95" i="8"/>
  <c r="I337" i="8"/>
  <c r="J337" i="8" s="1"/>
  <c r="R67" i="12"/>
  <c r="S67" i="12" s="1"/>
  <c r="U67" i="12" s="1"/>
  <c r="AE67" i="8"/>
  <c r="L67" i="8"/>
  <c r="H301" i="14"/>
  <c r="K198" i="8"/>
  <c r="H469" i="14"/>
  <c r="J469" i="14" s="1"/>
  <c r="K469" i="14" s="1"/>
  <c r="L469" i="14" s="1"/>
  <c r="M469" i="14" s="1"/>
  <c r="K306" i="8"/>
  <c r="K21" i="8"/>
  <c r="J21" i="8" s="1"/>
  <c r="K28" i="8"/>
  <c r="J28" i="8"/>
  <c r="I86" i="8"/>
  <c r="H242" i="14"/>
  <c r="K157" i="8"/>
  <c r="J157" i="8"/>
  <c r="H247" i="14"/>
  <c r="J162" i="8"/>
  <c r="K162" i="8"/>
  <c r="AE295" i="8"/>
  <c r="O295" i="8"/>
  <c r="I327" i="8"/>
  <c r="H413" i="14"/>
  <c r="K285" i="8"/>
  <c r="J285" i="8"/>
  <c r="H491" i="14"/>
  <c r="J491" i="14" s="1"/>
  <c r="K491" i="14" s="1"/>
  <c r="L491" i="14" s="1"/>
  <c r="M491" i="14" s="1"/>
  <c r="K324" i="8"/>
  <c r="R324" i="12" s="1"/>
  <c r="S324" i="12" s="1"/>
  <c r="U324" i="12" s="1"/>
  <c r="J324" i="8"/>
  <c r="L324" i="8" s="1"/>
  <c r="I255" i="8"/>
  <c r="R60" i="12"/>
  <c r="S60" i="12" s="1"/>
  <c r="U60" i="12" s="1"/>
  <c r="L60" i="8"/>
  <c r="AE60" i="8"/>
  <c r="O60" i="8"/>
  <c r="H81" i="14"/>
  <c r="K40" i="8"/>
  <c r="J40" i="8" s="1"/>
  <c r="H374" i="14"/>
  <c r="J374" i="14" s="1"/>
  <c r="K374" i="14" s="1"/>
  <c r="L374" i="14" s="1"/>
  <c r="M374" i="14" s="1"/>
  <c r="K246" i="8"/>
  <c r="J246" i="8" s="1"/>
  <c r="H131" i="14"/>
  <c r="K76" i="8"/>
  <c r="J76" i="8" s="1"/>
  <c r="H191" i="14"/>
  <c r="P121" i="12"/>
  <c r="AN121" i="12" s="1"/>
  <c r="P122" i="12"/>
  <c r="AN122" i="12" s="1"/>
  <c r="P120" i="12"/>
  <c r="AN120" i="12" s="1"/>
  <c r="P117" i="12"/>
  <c r="AN117" i="12" s="1"/>
  <c r="P118" i="12"/>
  <c r="AN118" i="12" s="1"/>
  <c r="P115" i="12"/>
  <c r="AN115" i="12" s="1"/>
  <c r="P119" i="12"/>
  <c r="AN119" i="12" s="1"/>
  <c r="P116" i="12"/>
  <c r="AN116" i="12" s="1"/>
  <c r="K115" i="8"/>
  <c r="J115" i="8"/>
  <c r="C22" i="7"/>
  <c r="C22" i="1"/>
  <c r="AE219" i="8"/>
  <c r="O231" i="8"/>
  <c r="AE231" i="8"/>
  <c r="G361" i="8"/>
  <c r="R331" i="12"/>
  <c r="S331" i="12" s="1"/>
  <c r="U331" i="12" s="1"/>
  <c r="L331" i="8"/>
  <c r="AE331" i="8"/>
  <c r="O331" i="8"/>
  <c r="AE127" i="8"/>
  <c r="AE129" i="8"/>
  <c r="K259" i="8"/>
  <c r="I50" i="8"/>
  <c r="H365" i="14"/>
  <c r="K251" i="8"/>
  <c r="J251" i="8" s="1"/>
  <c r="I216" i="8"/>
  <c r="I210" i="8"/>
  <c r="AE87" i="8"/>
  <c r="AE240" i="8"/>
  <c r="AE167" i="8"/>
  <c r="AE154" i="8"/>
  <c r="I148" i="8"/>
  <c r="I236" i="8"/>
  <c r="K100" i="8"/>
  <c r="J100" i="8" s="1"/>
  <c r="H108" i="14"/>
  <c r="K64" i="8"/>
  <c r="R64" i="12" s="1"/>
  <c r="S64" i="12" s="1"/>
  <c r="U64" i="12" s="1"/>
  <c r="J64" i="8"/>
  <c r="K110" i="8"/>
  <c r="J110" i="8"/>
  <c r="R215" i="12"/>
  <c r="S215" i="12" s="1"/>
  <c r="U215" i="12" s="1"/>
  <c r="O215" i="8"/>
  <c r="AE215" i="8"/>
  <c r="L215" i="8"/>
  <c r="H350" i="14"/>
  <c r="J350" i="14" s="1"/>
  <c r="K350" i="14" s="1"/>
  <c r="L350" i="14" s="1"/>
  <c r="M350" i="14" s="1"/>
  <c r="K210" i="8"/>
  <c r="R103" i="12"/>
  <c r="AE103" i="8"/>
  <c r="O103" i="8"/>
  <c r="L103" i="8"/>
  <c r="AK103" i="8" s="1"/>
  <c r="H474" i="14"/>
  <c r="J474" i="14" s="1"/>
  <c r="K474" i="14" s="1"/>
  <c r="L474" i="14" s="1"/>
  <c r="M474" i="14" s="1"/>
  <c r="K307" i="8"/>
  <c r="J307" i="8"/>
  <c r="I13" i="8"/>
  <c r="J13" i="8" s="1"/>
  <c r="R31" i="12"/>
  <c r="S31" i="12" s="1"/>
  <c r="U31" i="12" s="1"/>
  <c r="AE31" i="8"/>
  <c r="O31" i="8"/>
  <c r="L31" i="8"/>
  <c r="AJ31" i="8" s="1"/>
  <c r="K89" i="8"/>
  <c r="J89" i="8" s="1"/>
  <c r="H263" i="14"/>
  <c r="J263" i="14" s="1"/>
  <c r="K263" i="14" s="1"/>
  <c r="L263" i="14" s="1"/>
  <c r="M263" i="14" s="1"/>
  <c r="K181" i="8"/>
  <c r="J181" i="8"/>
  <c r="R162" i="12"/>
  <c r="S162" i="12" s="1"/>
  <c r="U162" i="12" s="1"/>
  <c r="AE162" i="8"/>
  <c r="L162" i="8"/>
  <c r="AJ162" i="8" s="1"/>
  <c r="H231" i="14"/>
  <c r="K146" i="8"/>
  <c r="K113" i="8"/>
  <c r="AE140" i="8"/>
  <c r="I263" i="8"/>
  <c r="H78" i="14"/>
  <c r="K54" i="8"/>
  <c r="J54" i="8" s="1"/>
  <c r="H160" i="14"/>
  <c r="K95" i="8"/>
  <c r="J95" i="8"/>
  <c r="H370" i="14"/>
  <c r="K249" i="8"/>
  <c r="I292" i="8"/>
  <c r="I214" i="8"/>
  <c r="I225" i="8"/>
  <c r="J225" i="8" s="1"/>
  <c r="H456" i="14"/>
  <c r="P309" i="12"/>
  <c r="AN309" i="12" s="1"/>
  <c r="P304" i="12"/>
  <c r="AN304" i="12" s="1"/>
  <c r="P306" i="12"/>
  <c r="AN306" i="12" s="1"/>
  <c r="P300" i="12"/>
  <c r="AN300" i="12" s="1"/>
  <c r="P308" i="12"/>
  <c r="AN308" i="12" s="1"/>
  <c r="P303" i="12"/>
  <c r="AN303" i="12" s="1"/>
  <c r="P302" i="12"/>
  <c r="AN302" i="12" s="1"/>
  <c r="P307" i="12"/>
  <c r="AN307" i="12" s="1"/>
  <c r="P305" i="12"/>
  <c r="AN305" i="12" s="1"/>
  <c r="P301" i="12"/>
  <c r="AN301" i="12" s="1"/>
  <c r="P298" i="12"/>
  <c r="AN298" i="12" s="1"/>
  <c r="K297" i="8"/>
  <c r="R297" i="12" s="1"/>
  <c r="J297" i="8"/>
  <c r="L297" i="8" s="1"/>
  <c r="C43" i="1"/>
  <c r="C43" i="7"/>
  <c r="P311" i="12"/>
  <c r="AN311" i="12" s="1"/>
  <c r="P312" i="12"/>
  <c r="AN312" i="12" s="1"/>
  <c r="P313" i="12"/>
  <c r="AN313" i="12" s="1"/>
  <c r="I24" i="8"/>
  <c r="H254" i="14"/>
  <c r="K176" i="8"/>
  <c r="J176" i="8"/>
  <c r="L176" i="8" s="1"/>
  <c r="I133" i="8"/>
  <c r="H498" i="14"/>
  <c r="K327" i="8"/>
  <c r="J327" i="8" s="1"/>
  <c r="I282" i="8"/>
  <c r="H485" i="14"/>
  <c r="K319" i="8"/>
  <c r="J319" i="8"/>
  <c r="R257" i="12"/>
  <c r="S257" i="12" s="1"/>
  <c r="U257" i="12" s="1"/>
  <c r="AE257" i="8"/>
  <c r="O257" i="8"/>
  <c r="L257" i="8"/>
  <c r="AK257" i="8" s="1"/>
  <c r="I188" i="8"/>
  <c r="H52" i="14"/>
  <c r="P35" i="12"/>
  <c r="P36" i="12"/>
  <c r="K35" i="8"/>
  <c r="J35" i="8" s="1"/>
  <c r="C9" i="1"/>
  <c r="C9" i="7"/>
  <c r="I43" i="8"/>
  <c r="R57" i="12"/>
  <c r="S57" i="12" s="1"/>
  <c r="U57" i="12" s="1"/>
  <c r="AE57" i="8"/>
  <c r="O57" i="8"/>
  <c r="L57" i="8"/>
  <c r="AK57" i="8" s="1"/>
  <c r="H142" i="14"/>
  <c r="K81" i="8"/>
  <c r="R81" i="12" s="1"/>
  <c r="S81" i="12" s="1"/>
  <c r="U81" i="12" s="1"/>
  <c r="J81" i="8"/>
  <c r="H322" i="14"/>
  <c r="K213" i="8"/>
  <c r="R213" i="12" s="1"/>
  <c r="S213" i="12" s="1"/>
  <c r="U213" i="12" s="1"/>
  <c r="J213" i="8"/>
  <c r="I101" i="8"/>
  <c r="J101" i="8" s="1"/>
  <c r="AE136" i="8"/>
  <c r="O136" i="8"/>
  <c r="L136" i="8"/>
  <c r="AJ136" i="8" s="1"/>
  <c r="K358" i="8"/>
  <c r="J358" i="8" s="1"/>
  <c r="H148" i="14"/>
  <c r="P82" i="12"/>
  <c r="P83" i="12"/>
  <c r="J82" i="8"/>
  <c r="L82" i="8" s="1"/>
  <c r="K82" i="8"/>
  <c r="R82" i="12" s="1"/>
  <c r="S82" i="12" s="1"/>
  <c r="U82" i="12" s="1"/>
  <c r="C14" i="7"/>
  <c r="C14" i="1"/>
  <c r="P85" i="12"/>
  <c r="P86" i="12"/>
  <c r="R177" i="12"/>
  <c r="S177" i="12" s="1"/>
  <c r="U177" i="12" s="1"/>
  <c r="AE177" i="8"/>
  <c r="O177" i="8"/>
  <c r="L177" i="8"/>
  <c r="AJ177" i="8" s="1"/>
  <c r="H232" i="14"/>
  <c r="K147" i="8"/>
  <c r="R147" i="12" s="1"/>
  <c r="S147" i="12" s="1"/>
  <c r="U147" i="12" s="1"/>
  <c r="J147" i="8"/>
  <c r="J329" i="8"/>
  <c r="AO329" i="8" s="1"/>
  <c r="N269" i="14"/>
  <c r="O269" i="14" s="1"/>
  <c r="AL236" i="8"/>
  <c r="AN236" i="8" s="1"/>
  <c r="AG236" i="8"/>
  <c r="AM236" i="8"/>
  <c r="H385" i="14"/>
  <c r="J256" i="8"/>
  <c r="K256" i="8"/>
  <c r="H281" i="14"/>
  <c r="J281" i="14" s="1"/>
  <c r="K281" i="14" s="1"/>
  <c r="L281" i="14" s="1"/>
  <c r="M281" i="14" s="1"/>
  <c r="K185" i="8"/>
  <c r="J185" i="8" s="1"/>
  <c r="AL43" i="8"/>
  <c r="AM43" i="8"/>
  <c r="AG43" i="8"/>
  <c r="N98" i="14"/>
  <c r="O98" i="14" s="1"/>
  <c r="P111" i="12"/>
  <c r="AE335" i="8"/>
  <c r="I80" i="8"/>
  <c r="H309" i="14"/>
  <c r="K202" i="8"/>
  <c r="R202" i="12" s="1"/>
  <c r="S202" i="12" s="1"/>
  <c r="U202" i="12" s="1"/>
  <c r="J202" i="8"/>
  <c r="H317" i="14"/>
  <c r="J208" i="8"/>
  <c r="K208" i="8"/>
  <c r="H104" i="8"/>
  <c r="AM104" i="8"/>
  <c r="AL104" i="8"/>
  <c r="AN104" i="8" s="1"/>
  <c r="AG104" i="8"/>
  <c r="J193" i="8"/>
  <c r="R193" i="12" s="1"/>
  <c r="S193" i="12" s="1"/>
  <c r="U193" i="12" s="1"/>
  <c r="AM265" i="8"/>
  <c r="AL265" i="8"/>
  <c r="AO265" i="8"/>
  <c r="H265" i="8"/>
  <c r="AG265" i="8"/>
  <c r="K131" i="8"/>
  <c r="J131" i="8"/>
  <c r="I340" i="8"/>
  <c r="I78" i="8"/>
  <c r="H421" i="14"/>
  <c r="K287" i="8"/>
  <c r="R287" i="12" s="1"/>
  <c r="S287" i="12" s="1"/>
  <c r="U287" i="12" s="1"/>
  <c r="J287" i="8"/>
  <c r="AF287" i="8" s="1"/>
  <c r="H535" i="14"/>
  <c r="K344" i="8"/>
  <c r="J344" i="8"/>
  <c r="C48" i="1"/>
  <c r="C48" i="7"/>
  <c r="P344" i="12"/>
  <c r="P346" i="12"/>
  <c r="P345" i="12"/>
  <c r="H444" i="14"/>
  <c r="P296" i="12"/>
  <c r="P295" i="12"/>
  <c r="P293" i="12"/>
  <c r="P294" i="12"/>
  <c r="K293" i="8"/>
  <c r="R293" i="12" s="1"/>
  <c r="S293" i="12" s="1"/>
  <c r="U293" i="12" s="1"/>
  <c r="J293" i="8"/>
  <c r="L293" i="8" s="1"/>
  <c r="C42" i="1"/>
  <c r="C42" i="7"/>
  <c r="H145" i="14"/>
  <c r="K83" i="8"/>
  <c r="J83" i="8"/>
  <c r="L83" i="8" s="1"/>
  <c r="I180" i="8"/>
  <c r="H214" i="14"/>
  <c r="P137" i="12"/>
  <c r="P138" i="12"/>
  <c r="P136" i="12"/>
  <c r="K136" i="8"/>
  <c r="J136" i="8"/>
  <c r="C25" i="1"/>
  <c r="C25" i="7"/>
  <c r="R171" i="12"/>
  <c r="S171" i="12" s="1"/>
  <c r="U171" i="12" s="1"/>
  <c r="AE171" i="8"/>
  <c r="O171" i="8"/>
  <c r="L171" i="8"/>
  <c r="AN152" i="8" l="1"/>
  <c r="AN184" i="8"/>
  <c r="AN120" i="8"/>
  <c r="AN329" i="8"/>
  <c r="AF54" i="8"/>
  <c r="AF94" i="8"/>
  <c r="P94" i="8"/>
  <c r="L94" i="8"/>
  <c r="AF118" i="8"/>
  <c r="P118" i="8"/>
  <c r="L118" i="8"/>
  <c r="AF137" i="8"/>
  <c r="P137" i="8"/>
  <c r="L137" i="8"/>
  <c r="AF298" i="8"/>
  <c r="P298" i="8"/>
  <c r="R298" i="12"/>
  <c r="S298" i="12" s="1"/>
  <c r="U298" i="12" s="1"/>
  <c r="L298" i="8"/>
  <c r="AF190" i="8"/>
  <c r="AF96" i="8"/>
  <c r="L96" i="8"/>
  <c r="AF235" i="8"/>
  <c r="P235" i="8"/>
  <c r="L235" i="8"/>
  <c r="AF123" i="8"/>
  <c r="AF322" i="8"/>
  <c r="AD9" i="8"/>
  <c r="AC9" i="8"/>
  <c r="AB9" i="8"/>
  <c r="AP9" i="8"/>
  <c r="AA9" i="8"/>
  <c r="AK9" i="8"/>
  <c r="O9" i="8"/>
  <c r="AJ9" i="8"/>
  <c r="AF225" i="8"/>
  <c r="P225" i="8"/>
  <c r="AF35" i="8"/>
  <c r="P35" i="8"/>
  <c r="L35" i="8"/>
  <c r="O176" i="12"/>
  <c r="AD176" i="8"/>
  <c r="AC176" i="8"/>
  <c r="AB176" i="8"/>
  <c r="AP176" i="8"/>
  <c r="AA176" i="8"/>
  <c r="AJ176" i="8"/>
  <c r="AK176" i="8"/>
  <c r="AF76" i="8"/>
  <c r="P76" i="8"/>
  <c r="AF175" i="8"/>
  <c r="P175" i="8"/>
  <c r="L175" i="8"/>
  <c r="AF243" i="8"/>
  <c r="AF111" i="8"/>
  <c r="P111" i="8"/>
  <c r="L111" i="8"/>
  <c r="O160" i="12"/>
  <c r="AD160" i="8"/>
  <c r="AC160" i="8"/>
  <c r="AB160" i="8"/>
  <c r="AP160" i="8"/>
  <c r="O160" i="8"/>
  <c r="AA160" i="8"/>
  <c r="AJ160" i="8"/>
  <c r="AK160" i="8"/>
  <c r="P207" i="8"/>
  <c r="AF207" i="8"/>
  <c r="O117" i="12"/>
  <c r="AC117" i="8"/>
  <c r="AB117" i="8"/>
  <c r="AP117" i="8"/>
  <c r="AD117" i="8"/>
  <c r="AA117" i="8"/>
  <c r="AJ117" i="8"/>
  <c r="AK117" i="8"/>
  <c r="O117" i="8"/>
  <c r="AF156" i="8"/>
  <c r="P156" i="8"/>
  <c r="AP297" i="8"/>
  <c r="AD297" i="8"/>
  <c r="AC297" i="8"/>
  <c r="AB297" i="8"/>
  <c r="AA297" i="8"/>
  <c r="AK297" i="8"/>
  <c r="O297" i="8"/>
  <c r="AJ297" i="8"/>
  <c r="AF13" i="8"/>
  <c r="P13" i="8"/>
  <c r="AF223" i="8"/>
  <c r="P223" i="8"/>
  <c r="L223" i="8"/>
  <c r="AF153" i="8"/>
  <c r="P153" i="8"/>
  <c r="AF199" i="8"/>
  <c r="AF65" i="8"/>
  <c r="P65" i="8"/>
  <c r="L65" i="8"/>
  <c r="AF186" i="8"/>
  <c r="AF277" i="8"/>
  <c r="P277" i="8"/>
  <c r="R277" i="12"/>
  <c r="S277" i="12" s="1"/>
  <c r="U277" i="12" s="1"/>
  <c r="L277" i="8"/>
  <c r="AF167" i="8"/>
  <c r="P167" i="8"/>
  <c r="L167" i="8"/>
  <c r="R167" i="12"/>
  <c r="S167" i="12" s="1"/>
  <c r="U167" i="12" s="1"/>
  <c r="AF231" i="8"/>
  <c r="L231" i="8"/>
  <c r="R231" i="12"/>
  <c r="S231" i="12" s="1"/>
  <c r="U231" i="12" s="1"/>
  <c r="AF316" i="8"/>
  <c r="P316" i="8"/>
  <c r="AF163" i="8"/>
  <c r="P163" i="8"/>
  <c r="AF258" i="8"/>
  <c r="P258" i="8"/>
  <c r="L258" i="8"/>
  <c r="R258" i="12"/>
  <c r="S258" i="12" s="1"/>
  <c r="U258" i="12" s="1"/>
  <c r="AF77" i="8"/>
  <c r="P77" i="8"/>
  <c r="R77" i="12"/>
  <c r="S77" i="12" s="1"/>
  <c r="U77" i="12" s="1"/>
  <c r="L77" i="8"/>
  <c r="AF45" i="8"/>
  <c r="P45" i="8"/>
  <c r="R45" i="12"/>
  <c r="S45" i="12" s="1"/>
  <c r="U45" i="12" s="1"/>
  <c r="L45" i="8"/>
  <c r="AF151" i="8"/>
  <c r="P151" i="8"/>
  <c r="L151" i="8"/>
  <c r="R151" i="12"/>
  <c r="S151" i="12" s="1"/>
  <c r="U151" i="12" s="1"/>
  <c r="AF233" i="8"/>
  <c r="R233" i="12"/>
  <c r="S233" i="12" s="1"/>
  <c r="U233" i="12" s="1"/>
  <c r="L233" i="8"/>
  <c r="O293" i="12"/>
  <c r="AD293" i="8"/>
  <c r="AP293" i="8"/>
  <c r="AC293" i="8"/>
  <c r="AB293" i="8"/>
  <c r="AA293" i="8"/>
  <c r="O293" i="8"/>
  <c r="AJ293" i="8"/>
  <c r="AK293" i="8"/>
  <c r="AF101" i="8"/>
  <c r="P101" i="8"/>
  <c r="AF246" i="8"/>
  <c r="P246" i="8"/>
  <c r="L246" i="8"/>
  <c r="AC299" i="8"/>
  <c r="AB299" i="8"/>
  <c r="AD299" i="8"/>
  <c r="AP299" i="8"/>
  <c r="AA299" i="8"/>
  <c r="AK299" i="8"/>
  <c r="AJ299" i="8"/>
  <c r="O299" i="8"/>
  <c r="AF92" i="8"/>
  <c r="P92" i="8"/>
  <c r="AF27" i="8"/>
  <c r="P27" i="8"/>
  <c r="L27" i="8"/>
  <c r="AF140" i="8"/>
  <c r="P140" i="8"/>
  <c r="R140" i="12"/>
  <c r="S140" i="12" s="1"/>
  <c r="U140" i="12" s="1"/>
  <c r="L140" i="8"/>
  <c r="O244" i="12"/>
  <c r="AD244" i="8"/>
  <c r="AC244" i="8"/>
  <c r="AP244" i="8"/>
  <c r="AB244" i="8"/>
  <c r="AA244" i="8"/>
  <c r="AJ244" i="8"/>
  <c r="AK244" i="8"/>
  <c r="O330" i="12"/>
  <c r="AB330" i="8"/>
  <c r="AD330" i="8"/>
  <c r="AC330" i="8"/>
  <c r="AP330" i="8"/>
  <c r="AA330" i="8"/>
  <c r="AJ330" i="8"/>
  <c r="AK330" i="8"/>
  <c r="O330" i="8"/>
  <c r="AF132" i="8"/>
  <c r="L132" i="8"/>
  <c r="O42" i="12"/>
  <c r="AP42" i="8"/>
  <c r="AD42" i="8"/>
  <c r="AC42" i="8"/>
  <c r="AB42" i="8"/>
  <c r="AA42" i="8"/>
  <c r="AK42" i="8"/>
  <c r="O42" i="8"/>
  <c r="AJ42" i="8"/>
  <c r="O83" i="12"/>
  <c r="AP83" i="8"/>
  <c r="AD83" i="8"/>
  <c r="AC83" i="8"/>
  <c r="AB83" i="8"/>
  <c r="AA83" i="8"/>
  <c r="O83" i="8"/>
  <c r="AK83" i="8"/>
  <c r="AJ83" i="8"/>
  <c r="AF185" i="8"/>
  <c r="P185" i="8"/>
  <c r="L185" i="8"/>
  <c r="O324" i="12"/>
  <c r="AD324" i="8"/>
  <c r="AC324" i="8"/>
  <c r="AP324" i="8"/>
  <c r="AB324" i="8"/>
  <c r="AA324" i="8"/>
  <c r="AK324" i="8"/>
  <c r="AJ324" i="8"/>
  <c r="AF44" i="8"/>
  <c r="O72" i="12"/>
  <c r="AD72" i="8"/>
  <c r="AC72" i="8"/>
  <c r="AB72" i="8"/>
  <c r="AP72" i="8"/>
  <c r="AA72" i="8"/>
  <c r="O72" i="8"/>
  <c r="AJ72" i="8"/>
  <c r="AK72" i="8"/>
  <c r="AF270" i="8"/>
  <c r="P270" i="8"/>
  <c r="AF219" i="8"/>
  <c r="P219" i="8"/>
  <c r="R219" i="12"/>
  <c r="S219" i="12" s="1"/>
  <c r="U219" i="12" s="1"/>
  <c r="L219" i="8"/>
  <c r="O108" i="12"/>
  <c r="AB108" i="8"/>
  <c r="AP108" i="8"/>
  <c r="AD108" i="8"/>
  <c r="AC108" i="8"/>
  <c r="AA108" i="8"/>
  <c r="AJ108" i="8"/>
  <c r="AK108" i="8"/>
  <c r="AF107" i="8"/>
  <c r="AF126" i="8"/>
  <c r="P126" i="8"/>
  <c r="AF313" i="8"/>
  <c r="AF205" i="8"/>
  <c r="P205" i="8"/>
  <c r="L205" i="8"/>
  <c r="AF87" i="8"/>
  <c r="P87" i="8"/>
  <c r="L87" i="8"/>
  <c r="R87" i="12"/>
  <c r="S87" i="12" s="1"/>
  <c r="U87" i="12" s="1"/>
  <c r="AF62" i="8"/>
  <c r="P62" i="8"/>
  <c r="R62" i="12"/>
  <c r="S62" i="12" s="1"/>
  <c r="U62" i="12" s="1"/>
  <c r="L62" i="8"/>
  <c r="O82" i="12"/>
  <c r="AP82" i="8"/>
  <c r="AD82" i="8"/>
  <c r="AC82" i="8"/>
  <c r="AB82" i="8"/>
  <c r="AA82" i="8"/>
  <c r="AJ82" i="8"/>
  <c r="AK82" i="8"/>
  <c r="O82" i="8"/>
  <c r="AF89" i="8"/>
  <c r="P89" i="8"/>
  <c r="L89" i="8"/>
  <c r="AF100" i="8"/>
  <c r="AF40" i="8"/>
  <c r="P40" i="8"/>
  <c r="L40" i="8"/>
  <c r="AB84" i="8"/>
  <c r="AP84" i="8"/>
  <c r="AD84" i="8"/>
  <c r="AC84" i="8"/>
  <c r="AA84" i="8"/>
  <c r="O84" i="8"/>
  <c r="AJ84" i="8"/>
  <c r="AK84" i="8"/>
  <c r="AF73" i="8"/>
  <c r="P73" i="8"/>
  <c r="AF318" i="8"/>
  <c r="P318" i="8"/>
  <c r="L318" i="8"/>
  <c r="O33" i="12"/>
  <c r="AD33" i="8"/>
  <c r="AC33" i="8"/>
  <c r="AB33" i="8"/>
  <c r="AP33" i="8"/>
  <c r="AA33" i="8"/>
  <c r="AK33" i="8"/>
  <c r="AJ33" i="8"/>
  <c r="AF49" i="8"/>
  <c r="P49" i="8"/>
  <c r="AF349" i="8"/>
  <c r="P349" i="8"/>
  <c r="O165" i="12"/>
  <c r="AC165" i="8"/>
  <c r="AB165" i="8"/>
  <c r="AP165" i="8"/>
  <c r="AD165" i="8"/>
  <c r="AJ165" i="8"/>
  <c r="AK165" i="8"/>
  <c r="AA165" i="8"/>
  <c r="O165" i="8"/>
  <c r="AF239" i="8"/>
  <c r="P239" i="8"/>
  <c r="R239" i="12"/>
  <c r="S239" i="12" s="1"/>
  <c r="U239" i="12" s="1"/>
  <c r="L239" i="8"/>
  <c r="AF273" i="8"/>
  <c r="AF30" i="8"/>
  <c r="L30" i="8"/>
  <c r="P30" i="8" s="1"/>
  <c r="R30" i="8" s="1"/>
  <c r="O321" i="12"/>
  <c r="AP321" i="8"/>
  <c r="AD321" i="8"/>
  <c r="AC321" i="8"/>
  <c r="AB321" i="8"/>
  <c r="AA321" i="8"/>
  <c r="O321" i="8"/>
  <c r="AJ321" i="8"/>
  <c r="AK321" i="8"/>
  <c r="AF274" i="8"/>
  <c r="P274" i="8"/>
  <c r="L274" i="8"/>
  <c r="R274" i="12"/>
  <c r="AF121" i="8"/>
  <c r="R121" i="12"/>
  <c r="S121" i="12" s="1"/>
  <c r="U121" i="12" s="1"/>
  <c r="L121" i="8"/>
  <c r="AF8" i="8"/>
  <c r="P8" i="8"/>
  <c r="L8" i="8"/>
  <c r="R8" i="12"/>
  <c r="S8" i="12" s="1"/>
  <c r="U8" i="12" s="1"/>
  <c r="AF358" i="8"/>
  <c r="AF327" i="8"/>
  <c r="P327" i="8"/>
  <c r="AF251" i="8"/>
  <c r="L251" i="8"/>
  <c r="AF21" i="8"/>
  <c r="P337" i="8"/>
  <c r="AF337" i="8"/>
  <c r="O336" i="12"/>
  <c r="AC336" i="8"/>
  <c r="AB336" i="8"/>
  <c r="AP336" i="8"/>
  <c r="AD336" i="8"/>
  <c r="AA336" i="8"/>
  <c r="AJ336" i="8"/>
  <c r="O336" i="8"/>
  <c r="AK336" i="8"/>
  <c r="O351" i="12"/>
  <c r="AB351" i="8"/>
  <c r="AP351" i="8"/>
  <c r="AD351" i="8"/>
  <c r="AC351" i="8"/>
  <c r="AA351" i="8"/>
  <c r="AK351" i="8"/>
  <c r="AJ351" i="8"/>
  <c r="AF158" i="8"/>
  <c r="P158" i="8"/>
  <c r="AF172" i="8"/>
  <c r="P172" i="8"/>
  <c r="L172" i="8"/>
  <c r="AF6" i="8"/>
  <c r="P6" i="8"/>
  <c r="O150" i="12"/>
  <c r="AD150" i="8"/>
  <c r="AC150" i="8"/>
  <c r="AB150" i="8"/>
  <c r="AP150" i="8"/>
  <c r="O150" i="8"/>
  <c r="AK150" i="8"/>
  <c r="AJ150" i="8"/>
  <c r="AA150" i="8"/>
  <c r="AF48" i="8"/>
  <c r="P48" i="8"/>
  <c r="L48" i="8"/>
  <c r="R48" i="12"/>
  <c r="S48" i="12" s="1"/>
  <c r="U48" i="12" s="1"/>
  <c r="AF17" i="8"/>
  <c r="P17" i="8"/>
  <c r="R17" i="12"/>
  <c r="S17" i="12" s="1"/>
  <c r="U17" i="12" s="1"/>
  <c r="L17" i="8"/>
  <c r="AF192" i="8"/>
  <c r="P192" i="8"/>
  <c r="L192" i="8"/>
  <c r="R192" i="12"/>
  <c r="S192" i="12" s="1"/>
  <c r="U192" i="12" s="1"/>
  <c r="AF310" i="8"/>
  <c r="L310" i="8"/>
  <c r="R310" i="12"/>
  <c r="AF281" i="8"/>
  <c r="P281" i="8"/>
  <c r="L281" i="8"/>
  <c r="R281" i="12"/>
  <c r="S281" i="12" s="1"/>
  <c r="U281" i="12" s="1"/>
  <c r="AF71" i="8"/>
  <c r="L71" i="8"/>
  <c r="R71" i="12"/>
  <c r="S71" i="12" s="1"/>
  <c r="U71" i="12" s="1"/>
  <c r="AF125" i="8"/>
  <c r="P125" i="8"/>
  <c r="R125" i="12"/>
  <c r="L125" i="8"/>
  <c r="AF41" i="8"/>
  <c r="P41" i="8"/>
  <c r="L41" i="8"/>
  <c r="AF332" i="8"/>
  <c r="L332" i="8"/>
  <c r="AF112" i="8"/>
  <c r="P112" i="8"/>
  <c r="AD353" i="8"/>
  <c r="AB353" i="8"/>
  <c r="AP353" i="8"/>
  <c r="AC353" i="8"/>
  <c r="AA353" i="8"/>
  <c r="AK353" i="8"/>
  <c r="O353" i="8"/>
  <c r="AJ353" i="8"/>
  <c r="AF37" i="8"/>
  <c r="P37" i="8"/>
  <c r="L37" i="8"/>
  <c r="R37" i="12"/>
  <c r="S37" i="12" s="1"/>
  <c r="U37" i="12" s="1"/>
  <c r="AF201" i="8"/>
  <c r="P201" i="8"/>
  <c r="AF183" i="8"/>
  <c r="P183" i="8"/>
  <c r="L183" i="8"/>
  <c r="AF102" i="8"/>
  <c r="P102" i="8"/>
  <c r="L102" i="8"/>
  <c r="R102" i="12"/>
  <c r="S102" i="12" s="1"/>
  <c r="U102" i="12" s="1"/>
  <c r="O184" i="12"/>
  <c r="AD184" i="8"/>
  <c r="AC184" i="8"/>
  <c r="AB184" i="8"/>
  <c r="AP184" i="8"/>
  <c r="AA184" i="8"/>
  <c r="AJ184" i="8"/>
  <c r="O184" i="8"/>
  <c r="AK184" i="8"/>
  <c r="AF314" i="8"/>
  <c r="P314" i="8"/>
  <c r="L314" i="8"/>
  <c r="R314" i="12"/>
  <c r="S314" i="12" s="1"/>
  <c r="U314" i="12" s="1"/>
  <c r="P345" i="8"/>
  <c r="AF345" i="8"/>
  <c r="L345" i="8"/>
  <c r="R345" i="12"/>
  <c r="S345" i="12" s="1"/>
  <c r="U345" i="12" s="1"/>
  <c r="AF155" i="8"/>
  <c r="P155" i="8"/>
  <c r="R155" i="12"/>
  <c r="S155" i="12" s="1"/>
  <c r="U155" i="12" s="1"/>
  <c r="L155" i="8"/>
  <c r="AM249" i="8"/>
  <c r="AL249" i="8"/>
  <c r="AN249" i="8" s="1"/>
  <c r="AG249" i="8"/>
  <c r="L263" i="8"/>
  <c r="AE263" i="8"/>
  <c r="O263" i="8"/>
  <c r="J263" i="8"/>
  <c r="R263" i="12" s="1"/>
  <c r="S263" i="12" s="1"/>
  <c r="U263" i="12" s="1"/>
  <c r="AG113" i="8"/>
  <c r="AM113" i="8"/>
  <c r="AL113" i="8"/>
  <c r="N474" i="14"/>
  <c r="O474" i="14" s="1"/>
  <c r="AG210" i="8"/>
  <c r="AM210" i="8"/>
  <c r="AL210" i="8"/>
  <c r="AF110" i="8"/>
  <c r="AE148" i="8"/>
  <c r="AG259" i="8"/>
  <c r="AM259" i="8"/>
  <c r="AL259" i="8"/>
  <c r="O331" i="12"/>
  <c r="AC331" i="8"/>
  <c r="AB331" i="8"/>
  <c r="AP331" i="8"/>
  <c r="AD331" i="8"/>
  <c r="AA331" i="8"/>
  <c r="N491" i="14"/>
  <c r="O491" i="14"/>
  <c r="F44" i="11" s="1"/>
  <c r="I44" i="11" s="1"/>
  <c r="N469" i="14"/>
  <c r="O469" i="14" s="1"/>
  <c r="AE141" i="8"/>
  <c r="H357" i="8"/>
  <c r="AO357" i="8"/>
  <c r="AM357" i="8"/>
  <c r="AL357" i="8"/>
  <c r="AG357" i="8"/>
  <c r="P335" i="8"/>
  <c r="AF335" i="8"/>
  <c r="O34" i="12"/>
  <c r="AP34" i="8"/>
  <c r="AD34" i="8"/>
  <c r="AC34" i="8"/>
  <c r="AB34" i="8"/>
  <c r="AA34" i="8"/>
  <c r="AG356" i="8"/>
  <c r="AM356" i="8"/>
  <c r="H356" i="8"/>
  <c r="AL356" i="8"/>
  <c r="AE211" i="8"/>
  <c r="AE174" i="8"/>
  <c r="O174" i="8"/>
  <c r="I7" i="7"/>
  <c r="E7" i="7"/>
  <c r="H7" i="7" s="1"/>
  <c r="D7" i="7"/>
  <c r="AE286" i="8"/>
  <c r="L286" i="8"/>
  <c r="O217" i="12"/>
  <c r="AD217" i="8"/>
  <c r="AC217" i="8"/>
  <c r="AB217" i="8"/>
  <c r="AP217" i="8"/>
  <c r="AA217" i="8"/>
  <c r="AG295" i="8"/>
  <c r="AM295" i="8"/>
  <c r="AL295" i="8"/>
  <c r="N38" i="14"/>
  <c r="O38" i="14" s="1"/>
  <c r="F6" i="11" s="1"/>
  <c r="I6" i="11" s="1"/>
  <c r="AM234" i="8"/>
  <c r="AG234" i="8"/>
  <c r="AL234" i="8"/>
  <c r="F352" i="13"/>
  <c r="F352" i="12"/>
  <c r="AB226" i="8"/>
  <c r="AP226" i="8"/>
  <c r="AD226" i="8"/>
  <c r="AC226" i="8"/>
  <c r="AA226" i="8"/>
  <c r="I38" i="7"/>
  <c r="E38" i="7"/>
  <c r="H38" i="7" s="1"/>
  <c r="D38" i="7"/>
  <c r="G38" i="7" s="1"/>
  <c r="AF280" i="8"/>
  <c r="P280" i="8"/>
  <c r="AG25" i="8"/>
  <c r="AM25" i="8"/>
  <c r="AL25" i="8"/>
  <c r="AM221" i="8"/>
  <c r="AL221" i="8"/>
  <c r="AG221" i="8"/>
  <c r="AF196" i="8"/>
  <c r="P196" i="8"/>
  <c r="AF339" i="8"/>
  <c r="I26" i="7"/>
  <c r="G26" i="7"/>
  <c r="E26" i="7"/>
  <c r="H26" i="7" s="1"/>
  <c r="D26" i="7"/>
  <c r="AG91" i="8"/>
  <c r="H91" i="8"/>
  <c r="AM91" i="8"/>
  <c r="AL91" i="8"/>
  <c r="R29" i="12"/>
  <c r="S29" i="12" s="1"/>
  <c r="U29" i="12" s="1"/>
  <c r="L29" i="8"/>
  <c r="AE29" i="8"/>
  <c r="O29" i="8"/>
  <c r="AG180" i="8"/>
  <c r="H180" i="8"/>
  <c r="AM180" i="8"/>
  <c r="AL180" i="8"/>
  <c r="AN180" i="8" s="1"/>
  <c r="AE296" i="8"/>
  <c r="O296" i="8"/>
  <c r="AF309" i="8"/>
  <c r="N271" i="14"/>
  <c r="O271" i="14" s="1"/>
  <c r="AM294" i="8"/>
  <c r="AL294" i="8"/>
  <c r="AG294" i="8"/>
  <c r="O178" i="12"/>
  <c r="AP178" i="8"/>
  <c r="AD178" i="8"/>
  <c r="AC178" i="8"/>
  <c r="AB178" i="8"/>
  <c r="AF178" i="8"/>
  <c r="P178" i="8"/>
  <c r="AG296" i="8"/>
  <c r="AL296" i="8"/>
  <c r="H296" i="8"/>
  <c r="AM296" i="8"/>
  <c r="N127" i="14"/>
  <c r="O127" i="14" s="1"/>
  <c r="F12" i="11" s="1"/>
  <c r="I12" i="11" s="1"/>
  <c r="I6" i="7"/>
  <c r="E6" i="7"/>
  <c r="H6" i="7" s="1"/>
  <c r="D6" i="7"/>
  <c r="G6" i="7" s="1"/>
  <c r="AH12" i="8"/>
  <c r="AM143" i="8"/>
  <c r="AL143" i="8"/>
  <c r="AG143" i="8"/>
  <c r="H143" i="8"/>
  <c r="AF245" i="8"/>
  <c r="P245" i="8"/>
  <c r="R323" i="12"/>
  <c r="S323" i="12" s="1"/>
  <c r="U323" i="12" s="1"/>
  <c r="L323" i="8"/>
  <c r="AE323" i="8"/>
  <c r="O323" i="8"/>
  <c r="AF135" i="8"/>
  <c r="O70" i="12"/>
  <c r="AD70" i="8"/>
  <c r="AC70" i="8"/>
  <c r="AB70" i="8"/>
  <c r="AP70" i="8"/>
  <c r="AA70" i="8"/>
  <c r="AG133" i="8"/>
  <c r="H133" i="8"/>
  <c r="AM133" i="8"/>
  <c r="AL133" i="8"/>
  <c r="AL194" i="8"/>
  <c r="AG194" i="8"/>
  <c r="AM194" i="8"/>
  <c r="AE116" i="8"/>
  <c r="H341" i="8"/>
  <c r="AM341" i="8"/>
  <c r="AL341" i="8"/>
  <c r="AG341" i="8"/>
  <c r="AF56" i="8"/>
  <c r="AG173" i="8"/>
  <c r="AM173" i="8"/>
  <c r="AL173" i="8"/>
  <c r="AM209" i="8"/>
  <c r="AG209" i="8"/>
  <c r="AL209" i="8"/>
  <c r="AK31" i="8"/>
  <c r="AJ161" i="8"/>
  <c r="AK70" i="8"/>
  <c r="AK217" i="8"/>
  <c r="AJ263" i="8"/>
  <c r="AJ238" i="8"/>
  <c r="R358" i="12"/>
  <c r="O358" i="8"/>
  <c r="L358" i="8"/>
  <c r="AJ358" i="8" s="1"/>
  <c r="AE358" i="8"/>
  <c r="AF189" i="8"/>
  <c r="P189" i="8"/>
  <c r="AF331" i="8"/>
  <c r="P331" i="8"/>
  <c r="AL347" i="8"/>
  <c r="AG347" i="8"/>
  <c r="AM347" i="8"/>
  <c r="AM317" i="8"/>
  <c r="AL317" i="8"/>
  <c r="AN317" i="8" s="1"/>
  <c r="AG317" i="8"/>
  <c r="H317" i="8"/>
  <c r="AF124" i="8"/>
  <c r="P124" i="8"/>
  <c r="R319" i="12"/>
  <c r="S319" i="12" s="1"/>
  <c r="U319" i="12" s="1"/>
  <c r="L319" i="8"/>
  <c r="O319" i="8"/>
  <c r="R319" i="8" s="1"/>
  <c r="V319" i="8" s="1"/>
  <c r="Y319" i="8" s="1"/>
  <c r="AE319" i="8"/>
  <c r="AH319" i="8" s="1"/>
  <c r="AF5" i="8"/>
  <c r="AF279" i="8"/>
  <c r="P279" i="8"/>
  <c r="H206" i="8"/>
  <c r="AG206" i="8"/>
  <c r="AM206" i="8"/>
  <c r="AL206" i="8"/>
  <c r="AL14" i="8"/>
  <c r="AG14" i="8"/>
  <c r="AM14" i="8"/>
  <c r="AF53" i="8"/>
  <c r="P53" i="8"/>
  <c r="R307" i="12"/>
  <c r="S307" i="12" s="1"/>
  <c r="U307" i="12" s="1"/>
  <c r="L307" i="8"/>
  <c r="AE307" i="8"/>
  <c r="O307" i="8"/>
  <c r="R137" i="12"/>
  <c r="S137" i="12" s="1"/>
  <c r="U137" i="12" s="1"/>
  <c r="AH152" i="8"/>
  <c r="AF241" i="8"/>
  <c r="P241" i="8"/>
  <c r="R27" i="12"/>
  <c r="R73" i="12"/>
  <c r="S73" i="12" s="1"/>
  <c r="U73" i="12" s="1"/>
  <c r="AE73" i="8"/>
  <c r="L73" i="8"/>
  <c r="AG36" i="8"/>
  <c r="H36" i="8"/>
  <c r="AM36" i="8"/>
  <c r="AL36" i="8"/>
  <c r="O325" i="12"/>
  <c r="AD325" i="8"/>
  <c r="AB325" i="8"/>
  <c r="AP325" i="8"/>
  <c r="AC325" i="8"/>
  <c r="AA325" i="8"/>
  <c r="P187" i="8"/>
  <c r="AF187" i="8"/>
  <c r="I33" i="7"/>
  <c r="E33" i="7"/>
  <c r="H33" i="7" s="1"/>
  <c r="D33" i="7"/>
  <c r="AG247" i="8"/>
  <c r="AM247" i="8"/>
  <c r="AL247" i="8"/>
  <c r="AG169" i="8"/>
  <c r="AM169" i="8"/>
  <c r="AL169" i="8"/>
  <c r="AG129" i="8"/>
  <c r="H129" i="8"/>
  <c r="AM129" i="8"/>
  <c r="AL129" i="8"/>
  <c r="AF12" i="8"/>
  <c r="P12" i="8"/>
  <c r="P348" i="8"/>
  <c r="AF348" i="8"/>
  <c r="R184" i="12"/>
  <c r="S184" i="12" s="1"/>
  <c r="U184" i="12" s="1"/>
  <c r="AM269" i="8"/>
  <c r="AL269" i="8"/>
  <c r="AG269" i="8"/>
  <c r="R30" i="12"/>
  <c r="S30" i="12" s="1"/>
  <c r="U30" i="12" s="1"/>
  <c r="AG10" i="8"/>
  <c r="AM10" i="8"/>
  <c r="AL10" i="8"/>
  <c r="AE221" i="8"/>
  <c r="AG334" i="8"/>
  <c r="AM334" i="8"/>
  <c r="AL334" i="8"/>
  <c r="O472" i="14"/>
  <c r="N472" i="14"/>
  <c r="R333" i="12"/>
  <c r="S333" i="12" s="1"/>
  <c r="U333" i="12" s="1"/>
  <c r="O333" i="8"/>
  <c r="AE333" i="8"/>
  <c r="L333" i="8"/>
  <c r="AO193" i="8"/>
  <c r="AG97" i="8"/>
  <c r="H97" i="8"/>
  <c r="AM97" i="8"/>
  <c r="AL97" i="8"/>
  <c r="AM302" i="8"/>
  <c r="AL302" i="8"/>
  <c r="AG302" i="8"/>
  <c r="J119" i="8"/>
  <c r="O90" i="14"/>
  <c r="N90" i="14"/>
  <c r="AA149" i="8"/>
  <c r="R21" i="12"/>
  <c r="L21" i="8"/>
  <c r="AE21" i="8"/>
  <c r="O21" i="8"/>
  <c r="I18" i="7"/>
  <c r="G18" i="7"/>
  <c r="E18" i="7"/>
  <c r="H18" i="7" s="1"/>
  <c r="D18" i="7"/>
  <c r="R275" i="12"/>
  <c r="S275" i="12" s="1"/>
  <c r="U275" i="12" s="1"/>
  <c r="L275" i="8"/>
  <c r="O275" i="8"/>
  <c r="AE275" i="8"/>
  <c r="AO215" i="8"/>
  <c r="AG215" i="8"/>
  <c r="AM215" i="8"/>
  <c r="AL215" i="8"/>
  <c r="H215" i="8"/>
  <c r="AF250" i="8"/>
  <c r="P250" i="8"/>
  <c r="R53" i="12"/>
  <c r="S53" i="12" s="1"/>
  <c r="U53" i="12" s="1"/>
  <c r="AE130" i="8"/>
  <c r="O130" i="8"/>
  <c r="H290" i="8"/>
  <c r="AM290" i="8"/>
  <c r="AO290" i="8"/>
  <c r="AL290" i="8"/>
  <c r="AN290" i="8" s="1"/>
  <c r="AG290" i="8"/>
  <c r="J32" i="8"/>
  <c r="AG51" i="8"/>
  <c r="AM51" i="8"/>
  <c r="AL51" i="8"/>
  <c r="R185" i="12"/>
  <c r="S185" i="12" s="1"/>
  <c r="U185" i="12" s="1"/>
  <c r="AO53" i="8"/>
  <c r="AG146" i="8"/>
  <c r="H146" i="8"/>
  <c r="AM146" i="8"/>
  <c r="AL146" i="8"/>
  <c r="AD103" i="8"/>
  <c r="AC103" i="8"/>
  <c r="AB103" i="8"/>
  <c r="AP103" i="8"/>
  <c r="AA103" i="8"/>
  <c r="N350" i="14"/>
  <c r="O350" i="14" s="1"/>
  <c r="AL110" i="8"/>
  <c r="AO110" i="8"/>
  <c r="AG110" i="8"/>
  <c r="H110" i="8"/>
  <c r="AM110" i="8"/>
  <c r="AE210" i="8"/>
  <c r="U331" i="8"/>
  <c r="AE306" i="8"/>
  <c r="AF127" i="8"/>
  <c r="P127" i="8"/>
  <c r="AL220" i="8"/>
  <c r="AG220" i="8"/>
  <c r="AM220" i="8"/>
  <c r="O301" i="12"/>
  <c r="AD301" i="8"/>
  <c r="AP301" i="8"/>
  <c r="AC301" i="8"/>
  <c r="AB301" i="8"/>
  <c r="AA301" i="8"/>
  <c r="O250" i="12"/>
  <c r="AB250" i="8"/>
  <c r="AD250" i="8"/>
  <c r="AC250" i="8"/>
  <c r="AP250" i="8"/>
  <c r="AA250" i="8"/>
  <c r="AF261" i="8"/>
  <c r="AG18" i="8"/>
  <c r="AM18" i="8"/>
  <c r="AL18" i="8"/>
  <c r="AO73" i="8"/>
  <c r="AG73" i="8"/>
  <c r="H73" i="8"/>
  <c r="AM73" i="8"/>
  <c r="AL73" i="8"/>
  <c r="AL300" i="8"/>
  <c r="AG300" i="8"/>
  <c r="AM300" i="8"/>
  <c r="O305" i="12"/>
  <c r="AP305" i="8"/>
  <c r="AD305" i="8"/>
  <c r="AC305" i="8"/>
  <c r="AB305" i="8"/>
  <c r="AA305" i="8"/>
  <c r="AF46" i="8"/>
  <c r="P46" i="8"/>
  <c r="L46" i="8"/>
  <c r="AO41" i="8"/>
  <c r="AG41" i="8"/>
  <c r="AH41" i="8" s="1"/>
  <c r="H41" i="8"/>
  <c r="AM41" i="8"/>
  <c r="AL41" i="8"/>
  <c r="AF145" i="8"/>
  <c r="P145" i="8"/>
  <c r="AO243" i="8"/>
  <c r="AG243" i="8"/>
  <c r="H243" i="8"/>
  <c r="AM243" i="8"/>
  <c r="AL243" i="8"/>
  <c r="H112" i="8"/>
  <c r="AM112" i="8"/>
  <c r="AL112" i="8"/>
  <c r="AO112" i="8"/>
  <c r="AG112" i="8"/>
  <c r="AF16" i="8"/>
  <c r="P16" i="8"/>
  <c r="H270" i="8"/>
  <c r="AM270" i="8"/>
  <c r="AG270" i="8"/>
  <c r="AO270" i="8"/>
  <c r="AL270" i="8"/>
  <c r="AG154" i="8"/>
  <c r="AM154" i="8"/>
  <c r="AL154" i="8"/>
  <c r="R22" i="12"/>
  <c r="S22" i="12" s="1"/>
  <c r="U22" i="12" s="1"/>
  <c r="AE22" i="8"/>
  <c r="O22" i="8"/>
  <c r="I35" i="7"/>
  <c r="E35" i="7"/>
  <c r="H35" i="7" s="1"/>
  <c r="D35" i="7"/>
  <c r="G35" i="7" s="1"/>
  <c r="J35" i="7" s="1"/>
  <c r="E35" i="1" s="1"/>
  <c r="R256" i="12"/>
  <c r="S256" i="12" s="1"/>
  <c r="U256" i="12" s="1"/>
  <c r="L256" i="8"/>
  <c r="AE256" i="8"/>
  <c r="O256" i="8"/>
  <c r="R256" i="8" s="1"/>
  <c r="U256" i="8" s="1"/>
  <c r="N264" i="14"/>
  <c r="O264" i="14" s="1"/>
  <c r="I40" i="7"/>
  <c r="E40" i="7"/>
  <c r="H40" i="7" s="1"/>
  <c r="D40" i="7"/>
  <c r="G40" i="7" s="1"/>
  <c r="J40" i="7" s="1"/>
  <c r="E40" i="1" s="1"/>
  <c r="AM309" i="8"/>
  <c r="AL309" i="8"/>
  <c r="AO309" i="8"/>
  <c r="AG309" i="8"/>
  <c r="H309" i="8"/>
  <c r="AE144" i="8"/>
  <c r="AG138" i="8"/>
  <c r="H138" i="8"/>
  <c r="AM138" i="8"/>
  <c r="AL138" i="8"/>
  <c r="I12" i="7"/>
  <c r="G12" i="7"/>
  <c r="E12" i="7"/>
  <c r="H12" i="7" s="1"/>
  <c r="D12" i="7"/>
  <c r="J296" i="8"/>
  <c r="AG122" i="8"/>
  <c r="H122" i="8"/>
  <c r="AM122" i="8"/>
  <c r="AL122" i="8"/>
  <c r="AN122" i="8" s="1"/>
  <c r="O12" i="12"/>
  <c r="AB12" i="8"/>
  <c r="AP12" i="8"/>
  <c r="AD12" i="8"/>
  <c r="AC12" i="8"/>
  <c r="AA12" i="8"/>
  <c r="AF222" i="8"/>
  <c r="P222" i="8"/>
  <c r="AO244" i="8"/>
  <c r="R349" i="12"/>
  <c r="S349" i="12" s="1"/>
  <c r="U349" i="12" s="1"/>
  <c r="O349" i="8"/>
  <c r="R349" i="8" s="1"/>
  <c r="V349" i="8" s="1"/>
  <c r="Y349" i="8" s="1"/>
  <c r="L349" i="8"/>
  <c r="AE349" i="8"/>
  <c r="AM245" i="8"/>
  <c r="AL245" i="8"/>
  <c r="H245" i="8"/>
  <c r="AG245" i="8"/>
  <c r="AO245" i="8"/>
  <c r="I51" i="7"/>
  <c r="G51" i="7"/>
  <c r="J51" i="7" s="1"/>
  <c r="E51" i="1" s="1"/>
  <c r="E51" i="7"/>
  <c r="H51" i="7" s="1"/>
  <c r="D51" i="7"/>
  <c r="AF31" i="8"/>
  <c r="P31" i="8"/>
  <c r="AN212" i="8"/>
  <c r="AN272" i="8"/>
  <c r="AF278" i="8"/>
  <c r="P278" i="8"/>
  <c r="AM135" i="8"/>
  <c r="AL135" i="8"/>
  <c r="AO135" i="8"/>
  <c r="AG135" i="8"/>
  <c r="AH135" i="8" s="1"/>
  <c r="H135" i="8"/>
  <c r="J24" i="8"/>
  <c r="R24" i="12" s="1"/>
  <c r="S24" i="12" s="1"/>
  <c r="U24" i="12" s="1"/>
  <c r="N519" i="14"/>
  <c r="O519" i="14" s="1"/>
  <c r="F46" i="11" s="1"/>
  <c r="I46" i="11" s="1"/>
  <c r="H56" i="8"/>
  <c r="AM56" i="8"/>
  <c r="AL56" i="8"/>
  <c r="AO56" i="8"/>
  <c r="AG56" i="8"/>
  <c r="N258" i="14"/>
  <c r="O258" i="14" s="1"/>
  <c r="R279" i="8"/>
  <c r="V279" i="8" s="1"/>
  <c r="Y279" i="8" s="1"/>
  <c r="I28" i="7"/>
  <c r="G28" i="7"/>
  <c r="E28" i="7"/>
  <c r="H28" i="7" s="1"/>
  <c r="D28" i="7"/>
  <c r="AJ29" i="8"/>
  <c r="AK162" i="8"/>
  <c r="AJ103" i="8"/>
  <c r="AK241" i="8"/>
  <c r="AJ305" i="8"/>
  <c r="AK266" i="8"/>
  <c r="AJ301" i="8"/>
  <c r="AJ207" i="8"/>
  <c r="AJ250" i="8"/>
  <c r="AE128" i="8"/>
  <c r="AE11" i="8"/>
  <c r="L11" i="8"/>
  <c r="I36" i="7"/>
  <c r="E36" i="7"/>
  <c r="H36" i="7" s="1"/>
  <c r="D36" i="7"/>
  <c r="AG189" i="8"/>
  <c r="AO189" i="8"/>
  <c r="AM189" i="8"/>
  <c r="AL189" i="8"/>
  <c r="AN189" i="8" s="1"/>
  <c r="H189" i="8"/>
  <c r="AA177" i="8"/>
  <c r="AO199" i="8"/>
  <c r="AG199" i="8"/>
  <c r="AL199" i="8"/>
  <c r="AN199" i="8" s="1"/>
  <c r="AM199" i="8"/>
  <c r="H199" i="8"/>
  <c r="AO124" i="8"/>
  <c r="AG124" i="8"/>
  <c r="AH124" i="8" s="1"/>
  <c r="H124" i="8"/>
  <c r="AM124" i="8"/>
  <c r="AL124" i="8"/>
  <c r="P361" i="12"/>
  <c r="AN5" i="12"/>
  <c r="K361" i="8"/>
  <c r="AO5" i="8"/>
  <c r="AG5" i="8"/>
  <c r="H5" i="8"/>
  <c r="AM5" i="8"/>
  <c r="AL5" i="8"/>
  <c r="AO107" i="8"/>
  <c r="AG107" i="8"/>
  <c r="H107" i="8"/>
  <c r="AM107" i="8"/>
  <c r="AL107" i="8"/>
  <c r="AN107" i="8" s="1"/>
  <c r="J15" i="8"/>
  <c r="AO279" i="8"/>
  <c r="AG279" i="8"/>
  <c r="H279" i="8"/>
  <c r="AM279" i="8"/>
  <c r="AL279" i="8"/>
  <c r="J206" i="8"/>
  <c r="AO42" i="8"/>
  <c r="AG42" i="8"/>
  <c r="AH42" i="8" s="1"/>
  <c r="H42" i="8"/>
  <c r="AM42" i="8"/>
  <c r="AL42" i="8"/>
  <c r="AM354" i="8"/>
  <c r="AL354" i="8"/>
  <c r="AN354" i="8" s="1"/>
  <c r="AG354" i="8"/>
  <c r="AO288" i="8"/>
  <c r="AG288" i="8"/>
  <c r="AL288" i="8"/>
  <c r="AN288" i="8" s="1"/>
  <c r="AM288" i="8"/>
  <c r="H288" i="8"/>
  <c r="AL252" i="8"/>
  <c r="AO252" i="8"/>
  <c r="AG252" i="8"/>
  <c r="AM252" i="8"/>
  <c r="H252" i="8"/>
  <c r="R38" i="12"/>
  <c r="S38" i="12" s="1"/>
  <c r="U38" i="12" s="1"/>
  <c r="L38" i="8"/>
  <c r="O38" i="8" s="1"/>
  <c r="R38" i="8" s="1"/>
  <c r="U38" i="8" s="1"/>
  <c r="AE38" i="8"/>
  <c r="R229" i="12"/>
  <c r="S229" i="12" s="1"/>
  <c r="U229" i="12" s="1"/>
  <c r="AE229" i="8"/>
  <c r="O229" i="8"/>
  <c r="R229" i="8" s="1"/>
  <c r="U229" i="8" s="1"/>
  <c r="L229" i="8"/>
  <c r="S274" i="12"/>
  <c r="U274" i="12" s="1"/>
  <c r="AM241" i="8"/>
  <c r="AL241" i="8"/>
  <c r="AG241" i="8"/>
  <c r="AO241" i="8"/>
  <c r="H241" i="8"/>
  <c r="V325" i="8"/>
  <c r="Y325" i="8" s="1"/>
  <c r="R288" i="12"/>
  <c r="S288" i="12" s="1"/>
  <c r="U288" i="12" s="1"/>
  <c r="L288" i="8"/>
  <c r="O288" i="8" s="1"/>
  <c r="R288" i="8" s="1"/>
  <c r="U288" i="8" s="1"/>
  <c r="AE288" i="8"/>
  <c r="AO187" i="8"/>
  <c r="AG187" i="8"/>
  <c r="AL187" i="8"/>
  <c r="H187" i="8"/>
  <c r="AM187" i="8"/>
  <c r="N209" i="14"/>
  <c r="O209" i="14" s="1"/>
  <c r="AO12" i="8"/>
  <c r="AG12" i="8"/>
  <c r="H12" i="8"/>
  <c r="AM12" i="8"/>
  <c r="AL12" i="8"/>
  <c r="AO348" i="8"/>
  <c r="AG348" i="8"/>
  <c r="AH348" i="8" s="1"/>
  <c r="AM348" i="8"/>
  <c r="H348" i="8"/>
  <c r="AL348" i="8"/>
  <c r="AO283" i="8"/>
  <c r="AG283" i="8"/>
  <c r="H283" i="8"/>
  <c r="AM283" i="8"/>
  <c r="AL283" i="8"/>
  <c r="O226" i="12"/>
  <c r="AP224" i="8"/>
  <c r="AD224" i="8"/>
  <c r="AC224" i="8"/>
  <c r="AB224" i="8"/>
  <c r="AA224" i="8"/>
  <c r="J10" i="8"/>
  <c r="AM281" i="8"/>
  <c r="AL281" i="8"/>
  <c r="AO281" i="8"/>
  <c r="H281" i="8"/>
  <c r="AG281" i="8"/>
  <c r="AM225" i="8"/>
  <c r="AG225" i="8"/>
  <c r="H225" i="8"/>
  <c r="AO225" i="8"/>
  <c r="AL225" i="8"/>
  <c r="AN225" i="8" s="1"/>
  <c r="H193" i="8"/>
  <c r="R135" i="12"/>
  <c r="S135" i="12" s="1"/>
  <c r="U135" i="12" s="1"/>
  <c r="AM119" i="8"/>
  <c r="AL119" i="8"/>
  <c r="AN119" i="8" s="1"/>
  <c r="AO119" i="8"/>
  <c r="AG119" i="8"/>
  <c r="H119" i="8"/>
  <c r="R332" i="12"/>
  <c r="S332" i="12" s="1"/>
  <c r="U332" i="12" s="1"/>
  <c r="R5" i="12"/>
  <c r="I361" i="8"/>
  <c r="L5" i="8"/>
  <c r="O5" i="8" s="1"/>
  <c r="AE5" i="8"/>
  <c r="AO125" i="8"/>
  <c r="AG125" i="8"/>
  <c r="AH125" i="8" s="1"/>
  <c r="H125" i="8"/>
  <c r="AM125" i="8"/>
  <c r="AL125" i="8"/>
  <c r="AO156" i="8"/>
  <c r="AG156" i="8"/>
  <c r="H156" i="8"/>
  <c r="AM156" i="8"/>
  <c r="AL156" i="8"/>
  <c r="AN156" i="8" s="1"/>
  <c r="H250" i="8"/>
  <c r="AM250" i="8"/>
  <c r="AG250" i="8"/>
  <c r="AO250" i="8"/>
  <c r="AL250" i="8"/>
  <c r="R52" i="12"/>
  <c r="S52" i="12" s="1"/>
  <c r="U52" i="12" s="1"/>
  <c r="AE52" i="8"/>
  <c r="J52" i="8"/>
  <c r="H32" i="8"/>
  <c r="AM32" i="8"/>
  <c r="AL32" i="8"/>
  <c r="AO32" i="8"/>
  <c r="AG32" i="8"/>
  <c r="R183" i="12"/>
  <c r="S183" i="12" s="1"/>
  <c r="U183" i="12" s="1"/>
  <c r="L278" i="8"/>
  <c r="L90" i="8"/>
  <c r="AL292" i="8"/>
  <c r="AG292" i="8"/>
  <c r="AM292" i="8"/>
  <c r="H292" i="8"/>
  <c r="I48" i="7"/>
  <c r="E48" i="7"/>
  <c r="H48" i="7" s="1"/>
  <c r="D48" i="7"/>
  <c r="F48" i="7" s="1"/>
  <c r="L78" i="8"/>
  <c r="AJ78" i="8" s="1"/>
  <c r="AE78" i="8"/>
  <c r="P208" i="8"/>
  <c r="AF208" i="8"/>
  <c r="AF256" i="8"/>
  <c r="P256" i="8"/>
  <c r="R177" i="8"/>
  <c r="AF82" i="8"/>
  <c r="P82" i="8"/>
  <c r="AF81" i="8"/>
  <c r="AF319" i="8"/>
  <c r="P319" i="8"/>
  <c r="AF176" i="8"/>
  <c r="P176" i="8"/>
  <c r="R176" i="8" s="1"/>
  <c r="H246" i="8"/>
  <c r="AM246" i="8"/>
  <c r="AO246" i="8"/>
  <c r="AL246" i="8"/>
  <c r="AG246" i="8"/>
  <c r="AF285" i="8"/>
  <c r="AE86" i="8"/>
  <c r="O86" i="8"/>
  <c r="H198" i="8"/>
  <c r="AG198" i="8"/>
  <c r="AM198" i="8"/>
  <c r="AL198" i="8"/>
  <c r="AF282" i="8"/>
  <c r="AF357" i="8"/>
  <c r="P357" i="8"/>
  <c r="AF170" i="8"/>
  <c r="P170" i="8"/>
  <c r="P336" i="8"/>
  <c r="AF336" i="8"/>
  <c r="AF344" i="8"/>
  <c r="P344" i="8"/>
  <c r="AF131" i="8"/>
  <c r="AF202" i="8"/>
  <c r="P202" i="8"/>
  <c r="AF147" i="8"/>
  <c r="P147" i="8"/>
  <c r="AF95" i="8"/>
  <c r="J146" i="8"/>
  <c r="AO146" i="8" s="1"/>
  <c r="AF181" i="8"/>
  <c r="R31" i="8"/>
  <c r="O215" i="12"/>
  <c r="AC215" i="8"/>
  <c r="AP215" i="8"/>
  <c r="AD215" i="8"/>
  <c r="AB215" i="8"/>
  <c r="AA215" i="8"/>
  <c r="AF64" i="8"/>
  <c r="R216" i="12"/>
  <c r="S216" i="12" s="1"/>
  <c r="U216" i="12" s="1"/>
  <c r="AE216" i="8"/>
  <c r="AF115" i="8"/>
  <c r="P115" i="8"/>
  <c r="AL228" i="8"/>
  <c r="AG228" i="8"/>
  <c r="AM228" i="8"/>
  <c r="AM127" i="8"/>
  <c r="AL127" i="8"/>
  <c r="AN127" i="8" s="1"/>
  <c r="AO127" i="8"/>
  <c r="AG127" i="8"/>
  <c r="H127" i="8"/>
  <c r="J220" i="8"/>
  <c r="H220" i="8" s="1"/>
  <c r="AH170" i="8"/>
  <c r="O217" i="8"/>
  <c r="AM261" i="8"/>
  <c r="AL261" i="8"/>
  <c r="AN261" i="8" s="1"/>
  <c r="H261" i="8"/>
  <c r="AG261" i="8"/>
  <c r="AO261" i="8"/>
  <c r="J18" i="8"/>
  <c r="J300" i="8"/>
  <c r="AE166" i="8"/>
  <c r="J166" i="8"/>
  <c r="R166" i="12" s="1"/>
  <c r="S166" i="12" s="1"/>
  <c r="U166" i="12" s="1"/>
  <c r="J214" i="8"/>
  <c r="AL46" i="8"/>
  <c r="AO46" i="8"/>
  <c r="AG46" i="8"/>
  <c r="H46" i="8"/>
  <c r="AM46" i="8"/>
  <c r="R46" i="12"/>
  <c r="S46" i="12" s="1"/>
  <c r="U46" i="12" s="1"/>
  <c r="AE354" i="8"/>
  <c r="L354" i="8"/>
  <c r="AO179" i="8"/>
  <c r="AG179" i="8"/>
  <c r="H179" i="8"/>
  <c r="AM179" i="8"/>
  <c r="AL179" i="8"/>
  <c r="AE289" i="8"/>
  <c r="AL142" i="8"/>
  <c r="AO142" i="8"/>
  <c r="AG142" i="8"/>
  <c r="H142" i="8"/>
  <c r="AM142" i="8"/>
  <c r="R142" i="12"/>
  <c r="S142" i="12" s="1"/>
  <c r="U142" i="12" s="1"/>
  <c r="AL268" i="8"/>
  <c r="AN268" i="8" s="1"/>
  <c r="AG268" i="8"/>
  <c r="AM268" i="8"/>
  <c r="I17" i="7"/>
  <c r="E17" i="7"/>
  <c r="H17" i="7" s="1"/>
  <c r="D17" i="7"/>
  <c r="F17" i="7" s="1"/>
  <c r="R131" i="12"/>
  <c r="AE131" i="8"/>
  <c r="O131" i="8"/>
  <c r="L131" i="8"/>
  <c r="P131" i="8" s="1"/>
  <c r="J80" i="8"/>
  <c r="I16" i="7"/>
  <c r="E16" i="7"/>
  <c r="H16" i="7" s="1"/>
  <c r="D16" i="7"/>
  <c r="F16" i="7" s="1"/>
  <c r="AO145" i="8"/>
  <c r="AG145" i="8"/>
  <c r="AH145" i="8" s="1"/>
  <c r="H145" i="8"/>
  <c r="AM145" i="8"/>
  <c r="AL145" i="8"/>
  <c r="N362" i="14"/>
  <c r="O362" i="14" s="1"/>
  <c r="F33" i="11" s="1"/>
  <c r="I33" i="11" s="1"/>
  <c r="AO227" i="8"/>
  <c r="AG227" i="8"/>
  <c r="AM227" i="8"/>
  <c r="AL227" i="8"/>
  <c r="H227" i="8"/>
  <c r="H16" i="8"/>
  <c r="AM16" i="8"/>
  <c r="AL16" i="8"/>
  <c r="AO16" i="8"/>
  <c r="AG16" i="8"/>
  <c r="N403" i="14"/>
  <c r="O403" i="14" s="1"/>
  <c r="F38" i="11" s="1"/>
  <c r="I38" i="11" s="1"/>
  <c r="AF139" i="8"/>
  <c r="P139" i="8"/>
  <c r="J154" i="8"/>
  <c r="AO304" i="8"/>
  <c r="AG304" i="8"/>
  <c r="AL304" i="8"/>
  <c r="AM304" i="8"/>
  <c r="AE237" i="8"/>
  <c r="O237" i="8"/>
  <c r="L237" i="8"/>
  <c r="AG130" i="8"/>
  <c r="AM130" i="8"/>
  <c r="AL130" i="8"/>
  <c r="AN130" i="8" s="1"/>
  <c r="R199" i="12"/>
  <c r="S199" i="12" s="1"/>
  <c r="U199" i="12" s="1"/>
  <c r="L199" i="8"/>
  <c r="AE199" i="8"/>
  <c r="AH199" i="8" s="1"/>
  <c r="O199" i="8"/>
  <c r="R179" i="12"/>
  <c r="S179" i="12" s="1"/>
  <c r="U179" i="12" s="1"/>
  <c r="AE179" i="8"/>
  <c r="O179" i="8"/>
  <c r="R179" i="8" s="1"/>
  <c r="U179" i="8" s="1"/>
  <c r="L179" i="8"/>
  <c r="AK179" i="8" s="1"/>
  <c r="J138" i="8"/>
  <c r="R6" i="12"/>
  <c r="S6" i="12" s="1"/>
  <c r="U6" i="12" s="1"/>
  <c r="L6" i="8"/>
  <c r="O6" i="8" s="1"/>
  <c r="R6" i="8" s="1"/>
  <c r="U6" i="8" s="1"/>
  <c r="AE6" i="8"/>
  <c r="AF63" i="8"/>
  <c r="AF19" i="8"/>
  <c r="AF79" i="8"/>
  <c r="P79" i="8"/>
  <c r="J122" i="8"/>
  <c r="AO122" i="8" s="1"/>
  <c r="AM23" i="8"/>
  <c r="AL23" i="8"/>
  <c r="AO23" i="8"/>
  <c r="AG23" i="8"/>
  <c r="H222" i="8"/>
  <c r="AO222" i="8"/>
  <c r="AM222" i="8"/>
  <c r="AL222" i="8"/>
  <c r="AG222" i="8"/>
  <c r="AH222" i="8" s="1"/>
  <c r="AF338" i="8"/>
  <c r="AF229" i="8"/>
  <c r="P229" i="8"/>
  <c r="AM31" i="8"/>
  <c r="AL31" i="8"/>
  <c r="AN31" i="8" s="1"/>
  <c r="AO31" i="8"/>
  <c r="AG31" i="8"/>
  <c r="H31" i="8"/>
  <c r="J211" i="8"/>
  <c r="R261" i="12"/>
  <c r="AE261" i="8"/>
  <c r="AH261" i="8" s="1"/>
  <c r="O261" i="8"/>
  <c r="L261" i="8"/>
  <c r="P261" i="8" s="1"/>
  <c r="AM24" i="8"/>
  <c r="AL24" i="8"/>
  <c r="AG24" i="8"/>
  <c r="R311" i="12"/>
  <c r="O311" i="8"/>
  <c r="AE311" i="8"/>
  <c r="AF75" i="8"/>
  <c r="P75" i="8"/>
  <c r="O182" i="12"/>
  <c r="AD182" i="8"/>
  <c r="AC182" i="8"/>
  <c r="AB182" i="8"/>
  <c r="AP182" i="8"/>
  <c r="AA182" i="8"/>
  <c r="L245" i="8"/>
  <c r="AF108" i="8"/>
  <c r="P108" i="8"/>
  <c r="L139" i="8"/>
  <c r="AH279" i="8"/>
  <c r="F152" i="13"/>
  <c r="F152" i="12"/>
  <c r="O120" i="12"/>
  <c r="AD120" i="8"/>
  <c r="AC120" i="8"/>
  <c r="AB120" i="8"/>
  <c r="AP120" i="8"/>
  <c r="AA120" i="8"/>
  <c r="R124" i="8"/>
  <c r="AF182" i="8"/>
  <c r="AH182" i="8" s="1"/>
  <c r="P182" i="8"/>
  <c r="R182" i="8" s="1"/>
  <c r="I39" i="7"/>
  <c r="E39" i="7"/>
  <c r="H39" i="7" s="1"/>
  <c r="D39" i="7"/>
  <c r="L227" i="8"/>
  <c r="AK12" i="8"/>
  <c r="G99" i="3"/>
  <c r="H99" i="3" s="1"/>
  <c r="I99" i="3" s="1"/>
  <c r="G96" i="3"/>
  <c r="H96" i="3" s="1"/>
  <c r="I96" i="3" s="1"/>
  <c r="G91" i="3"/>
  <c r="H91" i="3" s="1"/>
  <c r="I91" i="3" s="1"/>
  <c r="G94" i="3"/>
  <c r="H94" i="3" s="1"/>
  <c r="I94" i="3" s="1"/>
  <c r="G93" i="3"/>
  <c r="H93" i="3" s="1"/>
  <c r="I93" i="3" s="1"/>
  <c r="G98" i="3"/>
  <c r="H98" i="3" s="1"/>
  <c r="I98" i="3" s="1"/>
  <c r="G95" i="3"/>
  <c r="H95" i="3" s="1"/>
  <c r="I95" i="3" s="1"/>
  <c r="G90" i="3"/>
  <c r="H90" i="3" s="1"/>
  <c r="I90" i="3" s="1"/>
  <c r="G100" i="3"/>
  <c r="H100" i="3" s="1"/>
  <c r="I100" i="3" s="1"/>
  <c r="G97" i="3"/>
  <c r="H97" i="3" s="1"/>
  <c r="I97" i="3" s="1"/>
  <c r="G92" i="3"/>
  <c r="H92" i="3" s="1"/>
  <c r="I92" i="3" s="1"/>
  <c r="AK34" i="8"/>
  <c r="AJ28" i="8"/>
  <c r="AK136" i="8"/>
  <c r="AK143" i="8"/>
  <c r="AK78" i="8"/>
  <c r="AK250" i="8"/>
  <c r="AK212" i="8"/>
  <c r="AF168" i="8"/>
  <c r="P168" i="8"/>
  <c r="AF55" i="8"/>
  <c r="P55" i="8"/>
  <c r="K25" i="14"/>
  <c r="J559" i="14"/>
  <c r="L189" i="8"/>
  <c r="AM15" i="8"/>
  <c r="AL15" i="8"/>
  <c r="AO15" i="8"/>
  <c r="AG15" i="8"/>
  <c r="H15" i="8"/>
  <c r="N417" i="14"/>
  <c r="O417" i="14"/>
  <c r="AF350" i="8"/>
  <c r="AH350" i="8" s="1"/>
  <c r="P350" i="8"/>
  <c r="R350" i="8" s="1"/>
  <c r="AF42" i="8"/>
  <c r="P42" i="8"/>
  <c r="AH281" i="8"/>
  <c r="F346" i="13"/>
  <c r="F346" i="12"/>
  <c r="AF7" i="8"/>
  <c r="P7" i="8"/>
  <c r="O252" i="12"/>
  <c r="AD252" i="8"/>
  <c r="AC252" i="8"/>
  <c r="AP252" i="8"/>
  <c r="AB252" i="8"/>
  <c r="AA252" i="8"/>
  <c r="J354" i="8"/>
  <c r="AO354" i="8" s="1"/>
  <c r="AL102" i="8"/>
  <c r="AO102" i="8"/>
  <c r="AG102" i="8"/>
  <c r="H102" i="8"/>
  <c r="AM102" i="8"/>
  <c r="AF288" i="8"/>
  <c r="P288" i="8"/>
  <c r="AF252" i="8"/>
  <c r="AH252" i="8" s="1"/>
  <c r="P252" i="8"/>
  <c r="R252" i="8" s="1"/>
  <c r="AE342" i="8"/>
  <c r="AO17" i="8"/>
  <c r="AG17" i="8"/>
  <c r="H17" i="8"/>
  <c r="AM17" i="8"/>
  <c r="AL17" i="8"/>
  <c r="AO235" i="8"/>
  <c r="AG235" i="8"/>
  <c r="AH235" i="8" s="1"/>
  <c r="H235" i="8"/>
  <c r="AL235" i="8"/>
  <c r="AN235" i="8" s="1"/>
  <c r="AM235" i="8"/>
  <c r="AO314" i="8"/>
  <c r="AG314" i="8"/>
  <c r="H314" i="8"/>
  <c r="AM314" i="8"/>
  <c r="AL314" i="8"/>
  <c r="AN314" i="8" s="1"/>
  <c r="AO13" i="8"/>
  <c r="AG13" i="8"/>
  <c r="H13" i="8"/>
  <c r="AM13" i="8"/>
  <c r="AL13" i="8"/>
  <c r="R198" i="12"/>
  <c r="S198" i="12" s="1"/>
  <c r="U198" i="12" s="1"/>
  <c r="AM205" i="8"/>
  <c r="AG205" i="8"/>
  <c r="AH205" i="8" s="1"/>
  <c r="AO205" i="8"/>
  <c r="AL205" i="8"/>
  <c r="AN205" i="8" s="1"/>
  <c r="H205" i="8"/>
  <c r="AF257" i="8"/>
  <c r="P257" i="8"/>
  <c r="L55" i="8"/>
  <c r="AO153" i="8"/>
  <c r="AG153" i="8"/>
  <c r="H153" i="8"/>
  <c r="AM153" i="8"/>
  <c r="AL153" i="8"/>
  <c r="AF238" i="8"/>
  <c r="P238" i="8"/>
  <c r="R205" i="12"/>
  <c r="S205" i="12" s="1"/>
  <c r="U205" i="12" s="1"/>
  <c r="AL192" i="8"/>
  <c r="AG192" i="8"/>
  <c r="AH192" i="8" s="1"/>
  <c r="AO192" i="8"/>
  <c r="AM192" i="8"/>
  <c r="H192" i="8"/>
  <c r="AL260" i="8"/>
  <c r="AO260" i="8"/>
  <c r="AG260" i="8"/>
  <c r="AM260" i="8"/>
  <c r="R40" i="12"/>
  <c r="S40" i="12" s="1"/>
  <c r="U40" i="12" s="1"/>
  <c r="AF283" i="8"/>
  <c r="AL6" i="8"/>
  <c r="AN6" i="8" s="1"/>
  <c r="AO6" i="8"/>
  <c r="AG6" i="8"/>
  <c r="H6" i="8"/>
  <c r="AM6" i="8"/>
  <c r="I11" i="7"/>
  <c r="E11" i="7"/>
  <c r="H11" i="7" s="1"/>
  <c r="D11" i="7"/>
  <c r="G11" i="7" s="1"/>
  <c r="R122" i="12"/>
  <c r="S122" i="12" s="1"/>
  <c r="U122" i="12" s="1"/>
  <c r="AM273" i="8"/>
  <c r="AL273" i="8"/>
  <c r="AN273" i="8" s="1"/>
  <c r="AG273" i="8"/>
  <c r="AO273" i="8"/>
  <c r="H273" i="8"/>
  <c r="AO123" i="8"/>
  <c r="AG123" i="8"/>
  <c r="H123" i="8"/>
  <c r="AM123" i="8"/>
  <c r="AL123" i="8"/>
  <c r="AN123" i="8" s="1"/>
  <c r="L350" i="8"/>
  <c r="O47" i="12"/>
  <c r="AD47" i="8"/>
  <c r="AC47" i="8"/>
  <c r="AB47" i="8"/>
  <c r="AP47" i="8"/>
  <c r="AA47" i="8"/>
  <c r="AM71" i="8"/>
  <c r="AL71" i="8"/>
  <c r="AN71" i="8" s="1"/>
  <c r="AO71" i="8"/>
  <c r="AG71" i="8"/>
  <c r="AH71" i="8" s="1"/>
  <c r="H71" i="8"/>
  <c r="R251" i="12"/>
  <c r="S251" i="12" s="1"/>
  <c r="U251" i="12" s="1"/>
  <c r="AL345" i="8"/>
  <c r="AO345" i="8"/>
  <c r="AM345" i="8"/>
  <c r="H345" i="8"/>
  <c r="AG345" i="8"/>
  <c r="AH345" i="8" s="1"/>
  <c r="N349" i="14"/>
  <c r="O349" i="14"/>
  <c r="H258" i="8"/>
  <c r="AM258" i="8"/>
  <c r="AO258" i="8"/>
  <c r="AL258" i="8"/>
  <c r="AG258" i="8"/>
  <c r="N197" i="14"/>
  <c r="O197" i="14" s="1"/>
  <c r="F22" i="11" s="1"/>
  <c r="I22" i="11" s="1"/>
  <c r="AA178" i="8"/>
  <c r="AO45" i="8"/>
  <c r="AG45" i="8"/>
  <c r="H45" i="8"/>
  <c r="AM45" i="8"/>
  <c r="AL45" i="8"/>
  <c r="J237" i="8"/>
  <c r="R237" i="12" s="1"/>
  <c r="S237" i="12" s="1"/>
  <c r="U237" i="12" s="1"/>
  <c r="AO155" i="8"/>
  <c r="AG155" i="8"/>
  <c r="H155" i="8"/>
  <c r="AM155" i="8"/>
  <c r="AL155" i="8"/>
  <c r="AL126" i="8"/>
  <c r="AO126" i="8"/>
  <c r="AG126" i="8"/>
  <c r="H126" i="8"/>
  <c r="AM126" i="8"/>
  <c r="AO328" i="8"/>
  <c r="AG328" i="8"/>
  <c r="AM328" i="8"/>
  <c r="AL328" i="8"/>
  <c r="AO207" i="8"/>
  <c r="AG207" i="8"/>
  <c r="AL207" i="8"/>
  <c r="H207" i="8"/>
  <c r="AM207" i="8"/>
  <c r="J292" i="8"/>
  <c r="AO292" i="8" s="1"/>
  <c r="R136" i="8"/>
  <c r="V136" i="8" s="1"/>
  <c r="Y136" i="8" s="1"/>
  <c r="AO81" i="8"/>
  <c r="AG81" i="8"/>
  <c r="H81" i="8"/>
  <c r="AM81" i="8"/>
  <c r="AL81" i="8"/>
  <c r="R43" i="12"/>
  <c r="S43" i="12" s="1"/>
  <c r="U43" i="12" s="1"/>
  <c r="AE43" i="8"/>
  <c r="O43" i="8"/>
  <c r="L43" i="8"/>
  <c r="J43" i="8"/>
  <c r="AE188" i="8"/>
  <c r="AO319" i="8"/>
  <c r="AG319" i="8"/>
  <c r="H319" i="8"/>
  <c r="AL319" i="8"/>
  <c r="AM319" i="8"/>
  <c r="H176" i="8"/>
  <c r="AM176" i="8"/>
  <c r="AL176" i="8"/>
  <c r="AN176" i="8" s="1"/>
  <c r="AO176" i="8"/>
  <c r="AG176" i="8"/>
  <c r="I22" i="7"/>
  <c r="E22" i="7"/>
  <c r="H22" i="7" s="1"/>
  <c r="D22" i="7"/>
  <c r="R197" i="12"/>
  <c r="S197" i="12" s="1"/>
  <c r="U197" i="12" s="1"/>
  <c r="AE197" i="8"/>
  <c r="O197" i="8"/>
  <c r="AF179" i="8"/>
  <c r="P179" i="8"/>
  <c r="AF142" i="8"/>
  <c r="AH142" i="8" s="1"/>
  <c r="P142" i="8"/>
  <c r="R142" i="8" s="1"/>
  <c r="L142" i="8"/>
  <c r="O171" i="12"/>
  <c r="AP171" i="8"/>
  <c r="AD171" i="8"/>
  <c r="AC171" i="8"/>
  <c r="AB171" i="8"/>
  <c r="AF136" i="8"/>
  <c r="AH136" i="8" s="1"/>
  <c r="P136" i="8"/>
  <c r="AO83" i="8"/>
  <c r="AG83" i="8"/>
  <c r="H83" i="8"/>
  <c r="AM83" i="8"/>
  <c r="AL83" i="8"/>
  <c r="AN83" i="8" s="1"/>
  <c r="N374" i="14"/>
  <c r="O374" i="14" s="1"/>
  <c r="F34" i="11" s="1"/>
  <c r="I34" i="11" s="1"/>
  <c r="O60" i="12"/>
  <c r="AB60" i="8"/>
  <c r="AP60" i="8"/>
  <c r="AD60" i="8"/>
  <c r="AC60" i="8"/>
  <c r="AA60" i="8"/>
  <c r="AM285" i="8"/>
  <c r="AL285" i="8"/>
  <c r="AN285" i="8" s="1"/>
  <c r="AO285" i="8"/>
  <c r="H285" i="8"/>
  <c r="AG285" i="8"/>
  <c r="AF28" i="8"/>
  <c r="P28" i="8"/>
  <c r="J198" i="8"/>
  <c r="R337" i="12"/>
  <c r="S337" i="12" s="1"/>
  <c r="U337" i="12" s="1"/>
  <c r="L337" i="8"/>
  <c r="O337" i="8"/>
  <c r="R337" i="8" s="1"/>
  <c r="AE337" i="8"/>
  <c r="V337" i="8"/>
  <c r="Y337" i="8" s="1"/>
  <c r="U337" i="8"/>
  <c r="H282" i="8"/>
  <c r="AM282" i="8"/>
  <c r="AG282" i="8"/>
  <c r="AO282" i="8"/>
  <c r="AL282" i="8"/>
  <c r="AN282" i="8" s="1"/>
  <c r="J86" i="8"/>
  <c r="AL336" i="8"/>
  <c r="H336" i="8"/>
  <c r="AG336" i="8"/>
  <c r="AO336" i="8"/>
  <c r="AM336" i="8"/>
  <c r="H136" i="8"/>
  <c r="AM136" i="8"/>
  <c r="AL136" i="8"/>
  <c r="AO136" i="8"/>
  <c r="AG136" i="8"/>
  <c r="AO344" i="8"/>
  <c r="AM344" i="8"/>
  <c r="AL344" i="8"/>
  <c r="H344" i="8"/>
  <c r="AG344" i="8"/>
  <c r="AO131" i="8"/>
  <c r="AG131" i="8"/>
  <c r="H131" i="8"/>
  <c r="AM131" i="8"/>
  <c r="AL131" i="8"/>
  <c r="AN131" i="8" s="1"/>
  <c r="H202" i="8"/>
  <c r="AL202" i="8"/>
  <c r="AO202" i="8"/>
  <c r="AM202" i="8"/>
  <c r="AG202" i="8"/>
  <c r="R335" i="12"/>
  <c r="S335" i="12" s="1"/>
  <c r="U335" i="12" s="1"/>
  <c r="AN43" i="8"/>
  <c r="AO147" i="8"/>
  <c r="AG147" i="8"/>
  <c r="H147" i="8"/>
  <c r="AM147" i="8"/>
  <c r="AL147" i="8"/>
  <c r="R136" i="12"/>
  <c r="S136" i="12" s="1"/>
  <c r="U136" i="12" s="1"/>
  <c r="O57" i="12"/>
  <c r="AD57" i="8"/>
  <c r="AC57" i="8"/>
  <c r="AB57" i="8"/>
  <c r="AP57" i="8"/>
  <c r="AA57" i="8"/>
  <c r="I9" i="7"/>
  <c r="E9" i="7"/>
  <c r="H9" i="7" s="1"/>
  <c r="D9" i="7"/>
  <c r="F9" i="7" s="1"/>
  <c r="O257" i="12"/>
  <c r="AP257" i="8"/>
  <c r="AD257" i="8"/>
  <c r="AC257" i="8"/>
  <c r="AB257" i="8"/>
  <c r="AA257" i="8"/>
  <c r="R282" i="12"/>
  <c r="S282" i="12" s="1"/>
  <c r="U282" i="12" s="1"/>
  <c r="L282" i="8"/>
  <c r="AJ282" i="8" s="1"/>
  <c r="AE282" i="8"/>
  <c r="O282" i="8"/>
  <c r="AE24" i="8"/>
  <c r="AM95" i="8"/>
  <c r="AL95" i="8"/>
  <c r="AO95" i="8"/>
  <c r="AG95" i="8"/>
  <c r="H95" i="8"/>
  <c r="AO181" i="8"/>
  <c r="AG181" i="8"/>
  <c r="H181" i="8"/>
  <c r="AM181" i="8"/>
  <c r="AL181" i="8"/>
  <c r="AH31" i="8"/>
  <c r="V103" i="8"/>
  <c r="Y103" i="8" s="1"/>
  <c r="H64" i="8"/>
  <c r="AM64" i="8"/>
  <c r="AL64" i="8"/>
  <c r="AO64" i="8"/>
  <c r="AG64" i="8"/>
  <c r="AH127" i="8"/>
  <c r="AO115" i="8"/>
  <c r="AG115" i="8"/>
  <c r="AH115" i="8" s="1"/>
  <c r="H115" i="8"/>
  <c r="AM115" i="8"/>
  <c r="AL115" i="8"/>
  <c r="AO162" i="8"/>
  <c r="AG162" i="8"/>
  <c r="H162" i="8"/>
  <c r="AM162" i="8"/>
  <c r="AL162" i="8"/>
  <c r="AN162" i="8" s="1"/>
  <c r="AO28" i="8"/>
  <c r="AG28" i="8"/>
  <c r="H28" i="8"/>
  <c r="AM28" i="8"/>
  <c r="AL28" i="8"/>
  <c r="R95" i="12"/>
  <c r="S95" i="12" s="1"/>
  <c r="U95" i="12" s="1"/>
  <c r="AE95" i="8"/>
  <c r="O95" i="8"/>
  <c r="L95" i="8"/>
  <c r="P95" i="8" s="1"/>
  <c r="AF265" i="8"/>
  <c r="P265" i="8"/>
  <c r="AL86" i="8"/>
  <c r="AG86" i="8"/>
  <c r="H86" i="8"/>
  <c r="AM86" i="8"/>
  <c r="AA171" i="8"/>
  <c r="J228" i="8"/>
  <c r="AO228" i="8" s="1"/>
  <c r="R170" i="12"/>
  <c r="S170" i="12" s="1"/>
  <c r="U170" i="12" s="1"/>
  <c r="J141" i="8"/>
  <c r="AF141" i="8" s="1"/>
  <c r="AH58" i="8"/>
  <c r="H214" i="8"/>
  <c r="AG214" i="8"/>
  <c r="AO214" i="8"/>
  <c r="AM214" i="8"/>
  <c r="AL214" i="8"/>
  <c r="O222" i="8"/>
  <c r="R222" i="8" s="1"/>
  <c r="V222" i="8" s="1"/>
  <c r="Y222" i="8" s="1"/>
  <c r="AG50" i="8"/>
  <c r="AM50" i="8"/>
  <c r="AL50" i="8"/>
  <c r="J268" i="8"/>
  <c r="AO268" i="8" s="1"/>
  <c r="R164" i="12"/>
  <c r="S164" i="12" s="1"/>
  <c r="U164" i="12" s="1"/>
  <c r="AE164" i="8"/>
  <c r="H80" i="8"/>
  <c r="AM80" i="8"/>
  <c r="AL80" i="8"/>
  <c r="AO80" i="8"/>
  <c r="AG80" i="8"/>
  <c r="N185" i="14"/>
  <c r="O185" i="14" s="1"/>
  <c r="F21" i="11" s="1"/>
  <c r="I21" i="11" s="1"/>
  <c r="J85" i="8"/>
  <c r="AO85" i="8" s="1"/>
  <c r="N31" i="14"/>
  <c r="O31" i="14" s="1"/>
  <c r="AO139" i="8"/>
  <c r="AG139" i="8"/>
  <c r="H139" i="8"/>
  <c r="AM139" i="8"/>
  <c r="AL139" i="8"/>
  <c r="J304" i="8"/>
  <c r="H304" i="8" s="1"/>
  <c r="AL216" i="8"/>
  <c r="AG216" i="8"/>
  <c r="AM216" i="8"/>
  <c r="AM253" i="8"/>
  <c r="AL253" i="8"/>
  <c r="AO253" i="8"/>
  <c r="H253" i="8"/>
  <c r="AG253" i="8"/>
  <c r="AH253" i="8" s="1"/>
  <c r="J148" i="8"/>
  <c r="L148" i="8" s="1"/>
  <c r="P212" i="8"/>
  <c r="AF212" i="8"/>
  <c r="AH212" i="8" s="1"/>
  <c r="J340" i="8"/>
  <c r="L340" i="8" s="1"/>
  <c r="AN278" i="8"/>
  <c r="J130" i="8"/>
  <c r="L130" i="8" s="1"/>
  <c r="J286" i="8"/>
  <c r="R286" i="12" s="1"/>
  <c r="S286" i="12" s="1"/>
  <c r="U286" i="12" s="1"/>
  <c r="AE69" i="8"/>
  <c r="O69" i="8"/>
  <c r="AM63" i="8"/>
  <c r="AL63" i="8"/>
  <c r="AO63" i="8"/>
  <c r="AG63" i="8"/>
  <c r="H63" i="8"/>
  <c r="R178" i="8"/>
  <c r="U178" i="8" s="1"/>
  <c r="AO19" i="8"/>
  <c r="AG19" i="8"/>
  <c r="H19" i="8"/>
  <c r="AM19" i="8"/>
  <c r="AL19" i="8"/>
  <c r="AN19" i="8" s="1"/>
  <c r="AM79" i="8"/>
  <c r="AL79" i="8"/>
  <c r="AN79" i="8" s="1"/>
  <c r="AO79" i="8"/>
  <c r="AG79" i="8"/>
  <c r="H79" i="8"/>
  <c r="AO267" i="8"/>
  <c r="AG267" i="8"/>
  <c r="H267" i="8"/>
  <c r="AM267" i="8"/>
  <c r="AL267" i="8"/>
  <c r="AN267" i="8" s="1"/>
  <c r="AM338" i="8"/>
  <c r="AL338" i="8"/>
  <c r="H338" i="8"/>
  <c r="AG338" i="8"/>
  <c r="AO338" i="8"/>
  <c r="O149" i="12"/>
  <c r="AC149" i="8"/>
  <c r="AB149" i="8"/>
  <c r="AP149" i="8"/>
  <c r="AD149" i="8"/>
  <c r="AM229" i="8"/>
  <c r="AL229" i="8"/>
  <c r="AG229" i="8"/>
  <c r="H229" i="8"/>
  <c r="AO229" i="8"/>
  <c r="AF57" i="8"/>
  <c r="AH57" i="8" s="1"/>
  <c r="P57" i="8"/>
  <c r="P353" i="8"/>
  <c r="AF353" i="8"/>
  <c r="AO211" i="8"/>
  <c r="AG211" i="8"/>
  <c r="AM211" i="8"/>
  <c r="H211" i="8"/>
  <c r="AL211" i="8"/>
  <c r="AN211" i="8" s="1"/>
  <c r="AF330" i="8"/>
  <c r="AH330" i="8" s="1"/>
  <c r="P330" i="8"/>
  <c r="AM195" i="8"/>
  <c r="AG195" i="8"/>
  <c r="AL195" i="8"/>
  <c r="AN195" i="8" s="1"/>
  <c r="AO75" i="8"/>
  <c r="AG75" i="8"/>
  <c r="H75" i="8"/>
  <c r="AM75" i="8"/>
  <c r="AL75" i="8"/>
  <c r="AE294" i="8"/>
  <c r="AG264" i="8"/>
  <c r="AL264" i="8"/>
  <c r="AN264" i="8" s="1"/>
  <c r="H264" i="8"/>
  <c r="AM264" i="8"/>
  <c r="R285" i="12"/>
  <c r="S285" i="12" s="1"/>
  <c r="U285" i="12" s="1"/>
  <c r="O241" i="12"/>
  <c r="AP241" i="8"/>
  <c r="AD241" i="8"/>
  <c r="AC241" i="8"/>
  <c r="AB241" i="8"/>
  <c r="AA241" i="8"/>
  <c r="AO108" i="8"/>
  <c r="AG108" i="8"/>
  <c r="H108" i="8"/>
  <c r="AM108" i="8"/>
  <c r="AL108" i="8"/>
  <c r="R190" i="12"/>
  <c r="S190" i="12" s="1"/>
  <c r="U190" i="12" s="1"/>
  <c r="L190" i="8"/>
  <c r="O190" i="8"/>
  <c r="AE190" i="8"/>
  <c r="O279" i="12"/>
  <c r="AC279" i="8"/>
  <c r="AB279" i="8"/>
  <c r="AD279" i="8"/>
  <c r="AP279" i="8"/>
  <c r="AO240" i="8"/>
  <c r="AG240" i="8"/>
  <c r="AL240" i="8"/>
  <c r="AM240" i="8"/>
  <c r="R94" i="12"/>
  <c r="S94" i="12" s="1"/>
  <c r="U94" i="12" s="1"/>
  <c r="AL182" i="8"/>
  <c r="AO182" i="8"/>
  <c r="AG182" i="8"/>
  <c r="H182" i="8"/>
  <c r="AM182" i="8"/>
  <c r="AO320" i="8"/>
  <c r="AG320" i="8"/>
  <c r="AM320" i="8"/>
  <c r="AL320" i="8"/>
  <c r="L339" i="8"/>
  <c r="AK29" i="8"/>
  <c r="AK60" i="8"/>
  <c r="AK124" i="8"/>
  <c r="AJ182" i="8"/>
  <c r="AJ149" i="8"/>
  <c r="AJ60" i="8"/>
  <c r="AJ257" i="8"/>
  <c r="AJ190" i="8"/>
  <c r="AK282" i="8"/>
  <c r="AK215" i="8"/>
  <c r="AK279" i="8"/>
  <c r="AJ349" i="8"/>
  <c r="AJ226" i="8"/>
  <c r="H168" i="8"/>
  <c r="AM168" i="8"/>
  <c r="AL168" i="8"/>
  <c r="AO168" i="8"/>
  <c r="AG168" i="8"/>
  <c r="AF254" i="8"/>
  <c r="P254" i="8"/>
  <c r="F50" i="7"/>
  <c r="AO239" i="8"/>
  <c r="AG239" i="8"/>
  <c r="AH239" i="8" s="1"/>
  <c r="H239" i="8"/>
  <c r="AM239" i="8"/>
  <c r="AL239" i="8"/>
  <c r="AN239" i="8" s="1"/>
  <c r="R107" i="12"/>
  <c r="S107" i="12" s="1"/>
  <c r="U107" i="12" s="1"/>
  <c r="AE107" i="8"/>
  <c r="O107" i="8"/>
  <c r="L107" i="8"/>
  <c r="P107" i="8" s="1"/>
  <c r="AM277" i="8"/>
  <c r="AL277" i="8"/>
  <c r="H277" i="8"/>
  <c r="AG277" i="8"/>
  <c r="AH277" i="8" s="1"/>
  <c r="AO277" i="8"/>
  <c r="R329" i="12"/>
  <c r="S329" i="12" s="1"/>
  <c r="U329" i="12" s="1"/>
  <c r="H337" i="8"/>
  <c r="AG337" i="8"/>
  <c r="AO337" i="8"/>
  <c r="AM337" i="8"/>
  <c r="AL337" i="8"/>
  <c r="R270" i="12"/>
  <c r="S270" i="12" s="1"/>
  <c r="U270" i="12" s="1"/>
  <c r="AE270" i="8"/>
  <c r="O270" i="8"/>
  <c r="R270" i="8" s="1"/>
  <c r="U270" i="8" s="1"/>
  <c r="L270" i="8"/>
  <c r="V270" i="8"/>
  <c r="Y270" i="8" s="1"/>
  <c r="AH357" i="8"/>
  <c r="N26" i="14"/>
  <c r="O26" i="14" s="1"/>
  <c r="AH187" i="8"/>
  <c r="AO350" i="8"/>
  <c r="AG350" i="8"/>
  <c r="AM350" i="8"/>
  <c r="H350" i="8"/>
  <c r="AL350" i="8"/>
  <c r="J289" i="8"/>
  <c r="R289" i="12" s="1"/>
  <c r="S289" i="12" s="1"/>
  <c r="U289" i="12" s="1"/>
  <c r="N96" i="14"/>
  <c r="O96" i="14" s="1"/>
  <c r="AM7" i="8"/>
  <c r="AL7" i="8"/>
  <c r="AO7" i="8"/>
  <c r="AG7" i="8"/>
  <c r="H7" i="8"/>
  <c r="I47" i="7"/>
  <c r="E47" i="7"/>
  <c r="H47" i="7" s="1"/>
  <c r="D47" i="7"/>
  <c r="F47" i="7" s="1"/>
  <c r="N29" i="14"/>
  <c r="O29" i="14" s="1"/>
  <c r="R93" i="12"/>
  <c r="S93" i="12" s="1"/>
  <c r="U93" i="12" s="1"/>
  <c r="AE93" i="8"/>
  <c r="AF103" i="8"/>
  <c r="P103" i="8"/>
  <c r="AM257" i="8"/>
  <c r="AL257" i="8"/>
  <c r="AG257" i="8"/>
  <c r="AO257" i="8"/>
  <c r="H257" i="8"/>
  <c r="J164" i="8"/>
  <c r="L164" i="8" s="1"/>
  <c r="AM190" i="8"/>
  <c r="AL190" i="8"/>
  <c r="H190" i="8"/>
  <c r="AG190" i="8"/>
  <c r="AO190" i="8"/>
  <c r="H238" i="8"/>
  <c r="AM238" i="8"/>
  <c r="AL238" i="8"/>
  <c r="AN238" i="8" s="1"/>
  <c r="AG238" i="8"/>
  <c r="AO238" i="8"/>
  <c r="AF117" i="8"/>
  <c r="P117" i="8"/>
  <c r="J260" i="8"/>
  <c r="H260" i="8" s="1"/>
  <c r="J11" i="8"/>
  <c r="AF230" i="8"/>
  <c r="P230" i="8"/>
  <c r="R115" i="12"/>
  <c r="S115" i="12" s="1"/>
  <c r="U115" i="12" s="1"/>
  <c r="H559" i="14"/>
  <c r="L75" i="8"/>
  <c r="AH105" i="8"/>
  <c r="R79" i="12"/>
  <c r="S79" i="12" s="1"/>
  <c r="U79" i="12" s="1"/>
  <c r="AE79" i="8"/>
  <c r="AH79" i="8" s="1"/>
  <c r="L79" i="8"/>
  <c r="AN193" i="8"/>
  <c r="O394" i="14"/>
  <c r="F36" i="11" s="1"/>
  <c r="I36" i="11" s="1"/>
  <c r="N394" i="14"/>
  <c r="O315" i="12"/>
  <c r="AC315" i="8"/>
  <c r="AB315" i="8"/>
  <c r="AP315" i="8"/>
  <c r="AD315" i="8"/>
  <c r="AA315" i="8"/>
  <c r="AO101" i="8"/>
  <c r="AG101" i="8"/>
  <c r="H101" i="8"/>
  <c r="AM101" i="8"/>
  <c r="AL101" i="8"/>
  <c r="AN101" i="8" s="1"/>
  <c r="AM237" i="8"/>
  <c r="AL237" i="8"/>
  <c r="AO237" i="8"/>
  <c r="H237" i="8"/>
  <c r="AG237" i="8"/>
  <c r="AM233" i="8"/>
  <c r="AL233" i="8"/>
  <c r="AN233" i="8" s="1"/>
  <c r="AO233" i="8"/>
  <c r="H233" i="8"/>
  <c r="AG233" i="8"/>
  <c r="AH233" i="8" s="1"/>
  <c r="J328" i="8"/>
  <c r="R49" i="12"/>
  <c r="S49" i="12" s="1"/>
  <c r="U49" i="12" s="1"/>
  <c r="AE49" i="8"/>
  <c r="L49" i="8"/>
  <c r="AA279" i="8"/>
  <c r="AH278" i="8"/>
  <c r="L64" i="8"/>
  <c r="H8" i="8"/>
  <c r="AM8" i="8"/>
  <c r="AL8" i="8"/>
  <c r="AO8" i="8"/>
  <c r="AG8" i="8"/>
  <c r="R340" i="12"/>
  <c r="S340" i="12" s="1"/>
  <c r="U340" i="12" s="1"/>
  <c r="AE340" i="8"/>
  <c r="O340" i="8"/>
  <c r="AF193" i="8"/>
  <c r="AH193" i="8" s="1"/>
  <c r="P193" i="8"/>
  <c r="AF329" i="8"/>
  <c r="AH329" i="8" s="1"/>
  <c r="P329" i="8"/>
  <c r="I42" i="7"/>
  <c r="E42" i="7"/>
  <c r="H42" i="7" s="1"/>
  <c r="D42" i="7"/>
  <c r="F42" i="7" s="1"/>
  <c r="R101" i="12"/>
  <c r="S101" i="12" s="1"/>
  <c r="U101" i="12" s="1"/>
  <c r="L101" i="8"/>
  <c r="O101" i="8" s="1"/>
  <c r="R101" i="8" s="1"/>
  <c r="AE101" i="8"/>
  <c r="I43" i="7"/>
  <c r="G43" i="7"/>
  <c r="E43" i="7"/>
  <c r="H43" i="7" s="1"/>
  <c r="D43" i="7"/>
  <c r="R225" i="12"/>
  <c r="S225" i="12" s="1"/>
  <c r="U225" i="12" s="1"/>
  <c r="AE225" i="8"/>
  <c r="AH225" i="8" s="1"/>
  <c r="L225" i="8"/>
  <c r="O162" i="12"/>
  <c r="AP162" i="8"/>
  <c r="AD162" i="8"/>
  <c r="AC162" i="8"/>
  <c r="AB162" i="8"/>
  <c r="N263" i="14"/>
  <c r="O263" i="14" s="1"/>
  <c r="R103" i="8"/>
  <c r="U103" i="8" s="1"/>
  <c r="AO251" i="8"/>
  <c r="AG251" i="8"/>
  <c r="H251" i="8"/>
  <c r="AL251" i="8"/>
  <c r="AM251" i="8"/>
  <c r="R127" i="12"/>
  <c r="S127" i="12" s="1"/>
  <c r="U127" i="12" s="1"/>
  <c r="H40" i="8"/>
  <c r="AM40" i="8"/>
  <c r="AL40" i="8"/>
  <c r="AO40" i="8"/>
  <c r="AG40" i="8"/>
  <c r="AH40" i="8" s="1"/>
  <c r="AE255" i="8"/>
  <c r="R327" i="12"/>
  <c r="S327" i="12" s="1"/>
  <c r="U327" i="12" s="1"/>
  <c r="L327" i="8"/>
  <c r="AK327" i="8" s="1"/>
  <c r="AE327" i="8"/>
  <c r="AF162" i="8"/>
  <c r="P162" i="8"/>
  <c r="O67" i="12"/>
  <c r="AP67" i="8"/>
  <c r="AD67" i="8"/>
  <c r="AC67" i="8"/>
  <c r="AB67" i="8"/>
  <c r="AA67" i="8"/>
  <c r="R54" i="12"/>
  <c r="S54" i="12" s="1"/>
  <c r="U54" i="12" s="1"/>
  <c r="L54" i="8"/>
  <c r="AE54" i="8"/>
  <c r="O54" i="8"/>
  <c r="J197" i="8"/>
  <c r="AO197" i="8" s="1"/>
  <c r="AO34" i="8"/>
  <c r="AG34" i="8"/>
  <c r="H34" i="8"/>
  <c r="AM34" i="8"/>
  <c r="AL34" i="8"/>
  <c r="R146" i="12"/>
  <c r="S146" i="12" s="1"/>
  <c r="U146" i="12" s="1"/>
  <c r="AE146" i="8"/>
  <c r="L146" i="8"/>
  <c r="AO232" i="8"/>
  <c r="AG232" i="8"/>
  <c r="AH232" i="8" s="1"/>
  <c r="AL232" i="8"/>
  <c r="AN232" i="8" s="1"/>
  <c r="H232" i="8"/>
  <c r="AM232" i="8"/>
  <c r="R41" i="12"/>
  <c r="S41" i="12" s="1"/>
  <c r="U41" i="12" s="1"/>
  <c r="U238" i="8"/>
  <c r="R28" i="8"/>
  <c r="U28" i="8" s="1"/>
  <c r="O301" i="8"/>
  <c r="AO44" i="8"/>
  <c r="AG44" i="8"/>
  <c r="AM44" i="8"/>
  <c r="AL44" i="8"/>
  <c r="H44" i="8"/>
  <c r="AO141" i="8"/>
  <c r="AG141" i="8"/>
  <c r="H141" i="8"/>
  <c r="AM141" i="8"/>
  <c r="AL141" i="8"/>
  <c r="AO323" i="8"/>
  <c r="AG323" i="8"/>
  <c r="H323" i="8"/>
  <c r="AM323" i="8"/>
  <c r="AL323" i="8"/>
  <c r="R318" i="12"/>
  <c r="S318" i="12" s="1"/>
  <c r="U318" i="12" s="1"/>
  <c r="O305" i="8"/>
  <c r="AM175" i="8"/>
  <c r="AL175" i="8"/>
  <c r="AO175" i="8"/>
  <c r="AG175" i="8"/>
  <c r="AH175" i="8" s="1"/>
  <c r="H175" i="8"/>
  <c r="R145" i="12"/>
  <c r="S145" i="12" s="1"/>
  <c r="U145" i="12" s="1"/>
  <c r="U222" i="8"/>
  <c r="F58" i="13"/>
  <c r="F58" i="12"/>
  <c r="AN352" i="8"/>
  <c r="AN170" i="8"/>
  <c r="J50" i="8"/>
  <c r="AO50" i="8" s="1"/>
  <c r="J174" i="8"/>
  <c r="L174" i="8" s="1"/>
  <c r="AG248" i="8"/>
  <c r="AL248" i="8"/>
  <c r="AM248" i="8"/>
  <c r="AO49" i="8"/>
  <c r="AG49" i="8"/>
  <c r="H49" i="8"/>
  <c r="AM49" i="8"/>
  <c r="AL49" i="8"/>
  <c r="AN49" i="8" s="1"/>
  <c r="AO98" i="8"/>
  <c r="AG98" i="8"/>
  <c r="H98" i="8"/>
  <c r="AM98" i="8"/>
  <c r="AL98" i="8"/>
  <c r="H333" i="8"/>
  <c r="AG333" i="8"/>
  <c r="AO333" i="8"/>
  <c r="AM333" i="8"/>
  <c r="AL333" i="8"/>
  <c r="AN333" i="8" s="1"/>
  <c r="AO92" i="8"/>
  <c r="AG92" i="8"/>
  <c r="H92" i="8"/>
  <c r="AM92" i="8"/>
  <c r="AL92" i="8"/>
  <c r="AN92" i="8" s="1"/>
  <c r="R158" i="12"/>
  <c r="S158" i="12" s="1"/>
  <c r="U158" i="12" s="1"/>
  <c r="V158" i="8"/>
  <c r="Y158" i="8" s="1"/>
  <c r="U158" i="8"/>
  <c r="L158" i="8"/>
  <c r="AE158" i="8"/>
  <c r="O158" i="8"/>
  <c r="R158" i="8" s="1"/>
  <c r="AO27" i="8"/>
  <c r="AG27" i="8"/>
  <c r="H27" i="8"/>
  <c r="AM27" i="8"/>
  <c r="AL27" i="8"/>
  <c r="AN27" i="8" s="1"/>
  <c r="AM111" i="8"/>
  <c r="AL111" i="8"/>
  <c r="AO111" i="8"/>
  <c r="AG111" i="8"/>
  <c r="H111" i="8"/>
  <c r="AO140" i="8"/>
  <c r="AG140" i="8"/>
  <c r="AH140" i="8" s="1"/>
  <c r="H140" i="8"/>
  <c r="AM140" i="8"/>
  <c r="AL140" i="8"/>
  <c r="R153" i="12"/>
  <c r="S153" i="12" s="1"/>
  <c r="U153" i="12" s="1"/>
  <c r="AE153" i="8"/>
  <c r="L153" i="8"/>
  <c r="O153" i="8" s="1"/>
  <c r="R153" i="8" s="1"/>
  <c r="AG85" i="8"/>
  <c r="AM85" i="8"/>
  <c r="AL85" i="8"/>
  <c r="AN85" i="8" s="1"/>
  <c r="R345" i="8"/>
  <c r="AF308" i="8"/>
  <c r="P308" i="8"/>
  <c r="R308" i="8" s="1"/>
  <c r="AF134" i="8"/>
  <c r="P134" i="8"/>
  <c r="AE173" i="8"/>
  <c r="N464" i="14"/>
  <c r="O464" i="14" s="1"/>
  <c r="J216" i="8"/>
  <c r="AO216" i="8" s="1"/>
  <c r="AO148" i="8"/>
  <c r="AG148" i="8"/>
  <c r="H148" i="8"/>
  <c r="AM148" i="8"/>
  <c r="AL148" i="8"/>
  <c r="AM340" i="8"/>
  <c r="AG340" i="8"/>
  <c r="AL340" i="8"/>
  <c r="AN340" i="8" s="1"/>
  <c r="H340" i="8"/>
  <c r="H286" i="8"/>
  <c r="AM286" i="8"/>
  <c r="AG286" i="8"/>
  <c r="AO286" i="8"/>
  <c r="AL286" i="8"/>
  <c r="AN286" i="8" s="1"/>
  <c r="AH246" i="8"/>
  <c r="AG114" i="8"/>
  <c r="H114" i="8"/>
  <c r="AM114" i="8"/>
  <c r="AL114" i="8"/>
  <c r="AO65" i="8"/>
  <c r="AG65" i="8"/>
  <c r="H65" i="8"/>
  <c r="AM65" i="8"/>
  <c r="AL65" i="8"/>
  <c r="AN65" i="8" s="1"/>
  <c r="AE334" i="8"/>
  <c r="L334" i="8"/>
  <c r="AJ334" i="8" s="1"/>
  <c r="AF267" i="8"/>
  <c r="P267" i="8"/>
  <c r="R267" i="8" s="1"/>
  <c r="J78" i="8"/>
  <c r="R78" i="12" s="1"/>
  <c r="S78" i="12" s="1"/>
  <c r="U78" i="12" s="1"/>
  <c r="R336" i="12"/>
  <c r="S336" i="12" s="1"/>
  <c r="U336" i="12" s="1"/>
  <c r="H298" i="8"/>
  <c r="AM298" i="8"/>
  <c r="AG298" i="8"/>
  <c r="AH298" i="8" s="1"/>
  <c r="AO298" i="8"/>
  <c r="AL298" i="8"/>
  <c r="AL158" i="8"/>
  <c r="AO158" i="8"/>
  <c r="AG158" i="8"/>
  <c r="H158" i="8"/>
  <c r="AM158" i="8"/>
  <c r="AO57" i="8"/>
  <c r="AG57" i="8"/>
  <c r="H57" i="8"/>
  <c r="AM57" i="8"/>
  <c r="AL57" i="8"/>
  <c r="AL353" i="8"/>
  <c r="AM353" i="8"/>
  <c r="H353" i="8"/>
  <c r="AG353" i="8"/>
  <c r="AH353" i="8" s="1"/>
  <c r="AO353" i="8"/>
  <c r="R309" i="12"/>
  <c r="S309" i="12" s="1"/>
  <c r="U309" i="12" s="1"/>
  <c r="AE309" i="8"/>
  <c r="O309" i="8"/>
  <c r="L309" i="8"/>
  <c r="F55" i="13"/>
  <c r="F55" i="12"/>
  <c r="AO330" i="8"/>
  <c r="AG330" i="8"/>
  <c r="H330" i="8"/>
  <c r="AM330" i="8"/>
  <c r="AL330" i="8"/>
  <c r="AN330" i="8" s="1"/>
  <c r="J195" i="8"/>
  <c r="AO195" i="8" s="1"/>
  <c r="AF165" i="8"/>
  <c r="P165" i="8"/>
  <c r="J22" i="8"/>
  <c r="J264" i="8"/>
  <c r="AF150" i="8"/>
  <c r="P150" i="8"/>
  <c r="U279" i="8"/>
  <c r="J240" i="8"/>
  <c r="H240" i="8" s="1"/>
  <c r="J69" i="8"/>
  <c r="O124" i="12"/>
  <c r="AB124" i="8"/>
  <c r="AP124" i="8"/>
  <c r="AD124" i="8"/>
  <c r="AC124" i="8"/>
  <c r="AA124" i="8"/>
  <c r="I10" i="7"/>
  <c r="E10" i="7"/>
  <c r="H10" i="7" s="1"/>
  <c r="D10" i="7"/>
  <c r="J320" i="8"/>
  <c r="H320" i="8" s="1"/>
  <c r="AL276" i="8"/>
  <c r="AG276" i="8"/>
  <c r="AM276" i="8"/>
  <c r="AF149" i="8"/>
  <c r="AH149" i="8" s="1"/>
  <c r="P149" i="8"/>
  <c r="R149" i="8" s="1"/>
  <c r="R227" i="12"/>
  <c r="S227" i="12" s="1"/>
  <c r="U227" i="12" s="1"/>
  <c r="AJ67" i="8"/>
  <c r="AJ131" i="8"/>
  <c r="AK67" i="8"/>
  <c r="AK131" i="8"/>
  <c r="AJ215" i="8"/>
  <c r="AK54" i="8"/>
  <c r="AK182" i="8"/>
  <c r="AK225" i="8"/>
  <c r="AK301" i="8"/>
  <c r="AK261" i="8"/>
  <c r="AK305" i="8"/>
  <c r="AK337" i="8"/>
  <c r="AJ279" i="8"/>
  <c r="AJ286" i="8"/>
  <c r="AJ309" i="8"/>
  <c r="AJ323" i="8"/>
  <c r="AK323" i="8"/>
  <c r="N262" i="14"/>
  <c r="O262" i="14" s="1"/>
  <c r="H254" i="8"/>
  <c r="AM254" i="8"/>
  <c r="AG254" i="8"/>
  <c r="AO254" i="8"/>
  <c r="AL254" i="8"/>
  <c r="AE209" i="8"/>
  <c r="R273" i="12"/>
  <c r="S273" i="12" s="1"/>
  <c r="U273" i="12" s="1"/>
  <c r="AE273" i="8"/>
  <c r="AH273" i="8" s="1"/>
  <c r="O273" i="8"/>
  <c r="L273" i="8"/>
  <c r="P273" i="8" s="1"/>
  <c r="N415" i="14"/>
  <c r="O415" i="14" s="1"/>
  <c r="F39" i="11" s="1"/>
  <c r="I39" i="11" s="1"/>
  <c r="AL359" i="8"/>
  <c r="AN359" i="8" s="1"/>
  <c r="AG359" i="8"/>
  <c r="H359" i="8"/>
  <c r="AO359" i="8"/>
  <c r="AM359" i="8"/>
  <c r="I31" i="7"/>
  <c r="G31" i="7"/>
  <c r="E31" i="7"/>
  <c r="H31" i="7" s="1"/>
  <c r="D31" i="7"/>
  <c r="O230" i="12"/>
  <c r="AB230" i="8"/>
  <c r="AD230" i="8"/>
  <c r="AP230" i="8"/>
  <c r="AC230" i="8"/>
  <c r="AA230" i="8"/>
  <c r="L357" i="8"/>
  <c r="R187" i="8"/>
  <c r="V187" i="8" s="1"/>
  <c r="Y187" i="8" s="1"/>
  <c r="R353" i="12"/>
  <c r="AO132" i="8"/>
  <c r="AG132" i="8"/>
  <c r="AH132" i="8" s="1"/>
  <c r="H132" i="8"/>
  <c r="AM132" i="8"/>
  <c r="AL132" i="8"/>
  <c r="AN132" i="8" s="1"/>
  <c r="AM289" i="8"/>
  <c r="AL289" i="8"/>
  <c r="AN289" i="8" s="1"/>
  <c r="AG289" i="8"/>
  <c r="AO289" i="8"/>
  <c r="H289" i="8"/>
  <c r="AO186" i="8"/>
  <c r="AG186" i="8"/>
  <c r="H186" i="8"/>
  <c r="AM186" i="8"/>
  <c r="AL186" i="8"/>
  <c r="AN186" i="8" s="1"/>
  <c r="AM167" i="8"/>
  <c r="AL167" i="8"/>
  <c r="AO167" i="8"/>
  <c r="AG167" i="8"/>
  <c r="AH167" i="8" s="1"/>
  <c r="H167" i="8"/>
  <c r="P217" i="8"/>
  <c r="AF217" i="8"/>
  <c r="R272" i="8"/>
  <c r="V272" i="8" s="1"/>
  <c r="Y272" i="8" s="1"/>
  <c r="O152" i="12"/>
  <c r="AD152" i="8"/>
  <c r="AC152" i="8"/>
  <c r="AB152" i="8"/>
  <c r="AP152" i="8"/>
  <c r="R313" i="12"/>
  <c r="S313" i="12" s="1"/>
  <c r="U313" i="12" s="1"/>
  <c r="AE313" i="8"/>
  <c r="O313" i="8"/>
  <c r="L313" i="8"/>
  <c r="AM103" i="8"/>
  <c r="AL103" i="8"/>
  <c r="AO103" i="8"/>
  <c r="AG103" i="8"/>
  <c r="H103" i="8"/>
  <c r="J116" i="8"/>
  <c r="R116" i="12" s="1"/>
  <c r="S116" i="12" s="1"/>
  <c r="U116" i="12" s="1"/>
  <c r="AG164" i="8"/>
  <c r="H164" i="8"/>
  <c r="AM164" i="8"/>
  <c r="AL164" i="8"/>
  <c r="R89" i="8"/>
  <c r="L147" i="8"/>
  <c r="AH181" i="8"/>
  <c r="AE68" i="8"/>
  <c r="J68" i="8"/>
  <c r="R68" i="12" s="1"/>
  <c r="S68" i="12" s="1"/>
  <c r="U68" i="12" s="1"/>
  <c r="AO117" i="8"/>
  <c r="AG117" i="8"/>
  <c r="H117" i="8"/>
  <c r="AM117" i="8"/>
  <c r="AL117" i="8"/>
  <c r="AN117" i="8" s="1"/>
  <c r="R132" i="12"/>
  <c r="S132" i="12" s="1"/>
  <c r="U132" i="12" s="1"/>
  <c r="I15" i="7"/>
  <c r="G15" i="7"/>
  <c r="E15" i="7"/>
  <c r="H15" i="7" s="1"/>
  <c r="D15" i="7"/>
  <c r="AF303" i="8"/>
  <c r="P303" i="8"/>
  <c r="N303" i="14"/>
  <c r="O303" i="14" s="1"/>
  <c r="F30" i="11" s="1"/>
  <c r="I30" i="11" s="1"/>
  <c r="O290" i="12"/>
  <c r="AB290" i="8"/>
  <c r="AD290" i="8"/>
  <c r="AC290" i="8"/>
  <c r="AP290" i="8"/>
  <c r="AA290" i="8"/>
  <c r="AO11" i="8"/>
  <c r="AG11" i="8"/>
  <c r="H11" i="8"/>
  <c r="AM11" i="8"/>
  <c r="AL11" i="8"/>
  <c r="H230" i="8"/>
  <c r="AM230" i="8"/>
  <c r="AG230" i="8"/>
  <c r="AH230" i="8" s="1"/>
  <c r="AO230" i="8"/>
  <c r="AL230" i="8"/>
  <c r="AF291" i="8"/>
  <c r="P291" i="8"/>
  <c r="R96" i="12"/>
  <c r="S96" i="12" s="1"/>
  <c r="U96" i="12" s="1"/>
  <c r="F325" i="13"/>
  <c r="F325" i="12"/>
  <c r="AF218" i="8"/>
  <c r="P218" i="8"/>
  <c r="R218" i="8" s="1"/>
  <c r="AF60" i="8"/>
  <c r="P60" i="8"/>
  <c r="R60" i="8" s="1"/>
  <c r="S226" i="12"/>
  <c r="U226" i="12" s="1"/>
  <c r="AH283" i="8"/>
  <c r="H310" i="8"/>
  <c r="AM310" i="8"/>
  <c r="AL310" i="8"/>
  <c r="AG310" i="8"/>
  <c r="AH310" i="8" s="1"/>
  <c r="AO310" i="8"/>
  <c r="F70" i="13"/>
  <c r="F70" i="12"/>
  <c r="R56" i="12"/>
  <c r="S56" i="12" s="1"/>
  <c r="U56" i="12" s="1"/>
  <c r="R117" i="12"/>
  <c r="S117" i="12" s="1"/>
  <c r="U117" i="12" s="1"/>
  <c r="J93" i="8"/>
  <c r="AO163" i="8"/>
  <c r="AG163" i="8"/>
  <c r="H163" i="8"/>
  <c r="AM163" i="8"/>
  <c r="AL163" i="8"/>
  <c r="AE104" i="8"/>
  <c r="O104" i="8"/>
  <c r="J104" i="8"/>
  <c r="R104" i="12" s="1"/>
  <c r="S104" i="12" s="1"/>
  <c r="U104" i="12" s="1"/>
  <c r="AF47" i="8"/>
  <c r="P47" i="8"/>
  <c r="L135" i="8"/>
  <c r="AO77" i="8"/>
  <c r="AG77" i="8"/>
  <c r="AH77" i="8" s="1"/>
  <c r="H77" i="8"/>
  <c r="AM77" i="8"/>
  <c r="AL77" i="8"/>
  <c r="H313" i="8"/>
  <c r="AM313" i="8"/>
  <c r="AL313" i="8"/>
  <c r="AN313" i="8" s="1"/>
  <c r="AO313" i="8"/>
  <c r="AG313" i="8"/>
  <c r="L265" i="8"/>
  <c r="AF161" i="8"/>
  <c r="P161" i="8"/>
  <c r="R161" i="8" s="1"/>
  <c r="AG203" i="8"/>
  <c r="AM203" i="8"/>
  <c r="AL203" i="8"/>
  <c r="AN203" i="8" s="1"/>
  <c r="L168" i="8"/>
  <c r="N505" i="14"/>
  <c r="O505" i="14" s="1"/>
  <c r="R249" i="12"/>
  <c r="S249" i="12" s="1"/>
  <c r="U249" i="12" s="1"/>
  <c r="R278" i="12"/>
  <c r="S278" i="12" s="1"/>
  <c r="U278" i="12" s="1"/>
  <c r="AN53" i="8"/>
  <c r="R348" i="12"/>
  <c r="S348" i="12" s="1"/>
  <c r="U348" i="12" s="1"/>
  <c r="R171" i="8"/>
  <c r="V171" i="8" s="1"/>
  <c r="Y171" i="8" s="1"/>
  <c r="F265" i="13"/>
  <c r="F265" i="12"/>
  <c r="R80" i="12"/>
  <c r="S80" i="12" s="1"/>
  <c r="U80" i="12" s="1"/>
  <c r="AE80" i="8"/>
  <c r="O80" i="8"/>
  <c r="L80" i="8"/>
  <c r="AK80" i="8" s="1"/>
  <c r="AO185" i="8"/>
  <c r="AG185" i="8"/>
  <c r="H185" i="8"/>
  <c r="AM185" i="8"/>
  <c r="AL185" i="8"/>
  <c r="O177" i="12"/>
  <c r="AD177" i="8"/>
  <c r="AC177" i="8"/>
  <c r="AB177" i="8"/>
  <c r="AP177" i="8"/>
  <c r="AO358" i="8"/>
  <c r="AG358" i="8"/>
  <c r="AM358" i="8"/>
  <c r="AL358" i="8"/>
  <c r="H358" i="8"/>
  <c r="AF213" i="8"/>
  <c r="P213" i="8"/>
  <c r="AO35" i="8"/>
  <c r="AG35" i="8"/>
  <c r="AH35" i="8" s="1"/>
  <c r="H35" i="8"/>
  <c r="AM35" i="8"/>
  <c r="AL35" i="8"/>
  <c r="R257" i="8"/>
  <c r="AO327" i="8"/>
  <c r="AG327" i="8"/>
  <c r="H327" i="8"/>
  <c r="AL327" i="8"/>
  <c r="AN327" i="8" s="1"/>
  <c r="AM327" i="8"/>
  <c r="R214" i="12"/>
  <c r="S214" i="12" s="1"/>
  <c r="U214" i="12" s="1"/>
  <c r="L214" i="8"/>
  <c r="AE214" i="8"/>
  <c r="R13" i="12"/>
  <c r="S13" i="12" s="1"/>
  <c r="U13" i="12" s="1"/>
  <c r="L13" i="8"/>
  <c r="AE13" i="8"/>
  <c r="AH13" i="8" s="1"/>
  <c r="O13" i="8"/>
  <c r="R13" i="8" s="1"/>
  <c r="AH103" i="8"/>
  <c r="V331" i="8"/>
  <c r="Y331" i="8" s="1"/>
  <c r="AO21" i="8"/>
  <c r="AG21" i="8"/>
  <c r="H21" i="8"/>
  <c r="AM21" i="8"/>
  <c r="AL21" i="8"/>
  <c r="R32" i="12"/>
  <c r="S32" i="12" s="1"/>
  <c r="U32" i="12" s="1"/>
  <c r="AE32" i="8"/>
  <c r="O32" i="8"/>
  <c r="L32" i="8"/>
  <c r="AJ32" i="8" s="1"/>
  <c r="AG197" i="8"/>
  <c r="AM197" i="8"/>
  <c r="AL197" i="8"/>
  <c r="AN197" i="8" s="1"/>
  <c r="H197" i="8"/>
  <c r="AO299" i="8"/>
  <c r="AG299" i="8"/>
  <c r="AH299" i="8" s="1"/>
  <c r="H299" i="8"/>
  <c r="AM299" i="8"/>
  <c r="AL299" i="8"/>
  <c r="AF34" i="8"/>
  <c r="P34" i="8"/>
  <c r="R34" i="8" s="1"/>
  <c r="AE248" i="8"/>
  <c r="R159" i="12"/>
  <c r="S159" i="12" s="1"/>
  <c r="U159" i="12" s="1"/>
  <c r="AE159" i="8"/>
  <c r="AH159" i="8" s="1"/>
  <c r="L159" i="8"/>
  <c r="AF232" i="8"/>
  <c r="R113" i="12"/>
  <c r="V238" i="8"/>
  <c r="Y238" i="8" s="1"/>
  <c r="N86" i="14"/>
  <c r="O86" i="14" s="1"/>
  <c r="AO223" i="8"/>
  <c r="AG223" i="8"/>
  <c r="AH223" i="8" s="1"/>
  <c r="AM223" i="8"/>
  <c r="AL223" i="8"/>
  <c r="H223" i="8"/>
  <c r="AF323" i="8"/>
  <c r="P323" i="8"/>
  <c r="F45" i="7"/>
  <c r="AL94" i="8"/>
  <c r="AO94" i="8"/>
  <c r="AG94" i="8"/>
  <c r="AH94" i="8" s="1"/>
  <c r="H94" i="8"/>
  <c r="AM94" i="8"/>
  <c r="AG351" i="8"/>
  <c r="AO351" i="8"/>
  <c r="AM351" i="8"/>
  <c r="H351" i="8"/>
  <c r="AL351" i="8"/>
  <c r="I32" i="7"/>
  <c r="G32" i="7"/>
  <c r="E32" i="7"/>
  <c r="H32" i="7" s="1"/>
  <c r="D32" i="7"/>
  <c r="H318" i="8"/>
  <c r="AM318" i="8"/>
  <c r="AO318" i="8"/>
  <c r="AL318" i="8"/>
  <c r="AG318" i="8"/>
  <c r="AH318" i="8" s="1"/>
  <c r="I37" i="7"/>
  <c r="E37" i="7"/>
  <c r="H37" i="7" s="1"/>
  <c r="D37" i="7"/>
  <c r="G37" i="7" s="1"/>
  <c r="J37" i="7" s="1"/>
  <c r="E37" i="1" s="1"/>
  <c r="AN263" i="8"/>
  <c r="V226" i="8"/>
  <c r="Y226" i="8" s="1"/>
  <c r="AL174" i="8"/>
  <c r="AO174" i="8"/>
  <c r="AG174" i="8"/>
  <c r="H174" i="8"/>
  <c r="AM174" i="8"/>
  <c r="AA162" i="8"/>
  <c r="J248" i="8"/>
  <c r="AF98" i="8"/>
  <c r="P98" i="8"/>
  <c r="AF333" i="8"/>
  <c r="P333" i="8"/>
  <c r="R258" i="8"/>
  <c r="AE300" i="8"/>
  <c r="I13" i="7"/>
  <c r="E13" i="7"/>
  <c r="H13" i="7" s="1"/>
  <c r="D13" i="7"/>
  <c r="O161" i="12"/>
  <c r="AD161" i="8"/>
  <c r="AC161" i="8"/>
  <c r="AB161" i="8"/>
  <c r="AP161" i="8"/>
  <c r="AL308" i="8"/>
  <c r="AO308" i="8"/>
  <c r="AG308" i="8"/>
  <c r="H308" i="8"/>
  <c r="AM308" i="8"/>
  <c r="AH202" i="8"/>
  <c r="R111" i="8"/>
  <c r="N225" i="14"/>
  <c r="O225" i="14" s="1"/>
  <c r="F26" i="11" s="1"/>
  <c r="I26" i="11" s="1"/>
  <c r="AL134" i="8"/>
  <c r="AN134" i="8" s="1"/>
  <c r="AO134" i="8"/>
  <c r="AG134" i="8"/>
  <c r="AH134" i="8" s="1"/>
  <c r="H134" i="8"/>
  <c r="AM134" i="8"/>
  <c r="O212" i="12"/>
  <c r="AD212" i="8"/>
  <c r="AP212" i="8"/>
  <c r="AB212" i="8"/>
  <c r="AC212" i="8"/>
  <c r="AA212" i="8"/>
  <c r="AO172" i="8"/>
  <c r="AG172" i="8"/>
  <c r="AH172" i="8" s="1"/>
  <c r="H172" i="8"/>
  <c r="AM172" i="8"/>
  <c r="AL172" i="8"/>
  <c r="AN172" i="8" s="1"/>
  <c r="AO219" i="8"/>
  <c r="AG219" i="8"/>
  <c r="AH219" i="8" s="1"/>
  <c r="AM219" i="8"/>
  <c r="AL219" i="8"/>
  <c r="H219" i="8"/>
  <c r="R246" i="12"/>
  <c r="S246" i="12" s="1"/>
  <c r="U246" i="12" s="1"/>
  <c r="J114" i="8"/>
  <c r="AH244" i="8"/>
  <c r="R76" i="12"/>
  <c r="S76" i="12" s="1"/>
  <c r="U76" i="12" s="1"/>
  <c r="L76" i="8"/>
  <c r="O76" i="8" s="1"/>
  <c r="R76" i="8" s="1"/>
  <c r="AE76" i="8"/>
  <c r="R100" i="12"/>
  <c r="S100" i="12" s="1"/>
  <c r="U100" i="12" s="1"/>
  <c r="L100" i="8"/>
  <c r="AE100" i="8"/>
  <c r="O100" i="8"/>
  <c r="R178" i="12"/>
  <c r="S178" i="12" s="1"/>
  <c r="U178" i="12" s="1"/>
  <c r="R92" i="12"/>
  <c r="S92" i="12" s="1"/>
  <c r="U92" i="12" s="1"/>
  <c r="L92" i="8"/>
  <c r="AJ92" i="8" s="1"/>
  <c r="AE92" i="8"/>
  <c r="J20" i="8"/>
  <c r="AL78" i="8"/>
  <c r="AO78" i="8"/>
  <c r="AG78" i="8"/>
  <c r="H78" i="8"/>
  <c r="AM78" i="8"/>
  <c r="R112" i="12"/>
  <c r="AE112" i="8"/>
  <c r="AH112" i="8" s="1"/>
  <c r="O112" i="8"/>
  <c r="R112" i="8" s="1"/>
  <c r="V112" i="8"/>
  <c r="Y112" i="8" s="1"/>
  <c r="U112" i="8"/>
  <c r="L112" i="8"/>
  <c r="AK112" i="8" s="1"/>
  <c r="I19" i="7"/>
  <c r="E19" i="7"/>
  <c r="H19" i="7" s="1"/>
  <c r="D19" i="7"/>
  <c r="R110" i="12"/>
  <c r="L110" i="8"/>
  <c r="AJ110" i="8" s="1"/>
  <c r="AE110" i="8"/>
  <c r="AH110" i="8" s="1"/>
  <c r="O110" i="8"/>
  <c r="R207" i="12"/>
  <c r="S207" i="12" s="1"/>
  <c r="U207" i="12" s="1"/>
  <c r="O207" i="8"/>
  <c r="R207" i="8" s="1"/>
  <c r="V207" i="8"/>
  <c r="Y207" i="8" s="1"/>
  <c r="AE207" i="8"/>
  <c r="AH207" i="8" s="1"/>
  <c r="L207" i="8"/>
  <c r="AO212" i="8"/>
  <c r="R338" i="12"/>
  <c r="S338" i="12" s="1"/>
  <c r="U338" i="12" s="1"/>
  <c r="AE338" i="8"/>
  <c r="L338" i="8"/>
  <c r="O338" i="8"/>
  <c r="R175" i="8"/>
  <c r="N305" i="14"/>
  <c r="O305" i="14" s="1"/>
  <c r="AE109" i="8"/>
  <c r="J109" i="8"/>
  <c r="L109" i="8" s="1"/>
  <c r="R182" i="12"/>
  <c r="S182" i="12" s="1"/>
  <c r="U182" i="12" s="1"/>
  <c r="AO165" i="8"/>
  <c r="AG165" i="8"/>
  <c r="H165" i="8"/>
  <c r="AM165" i="8"/>
  <c r="AL165" i="8"/>
  <c r="AH176" i="8"/>
  <c r="AL22" i="8"/>
  <c r="AO22" i="8"/>
  <c r="AG22" i="8"/>
  <c r="H22" i="8"/>
  <c r="AM22" i="8"/>
  <c r="L355" i="8"/>
  <c r="AE355" i="8"/>
  <c r="O355" i="8"/>
  <c r="AL150" i="8"/>
  <c r="AO150" i="8"/>
  <c r="AG150" i="8"/>
  <c r="H150" i="8"/>
  <c r="AM150" i="8"/>
  <c r="O241" i="8"/>
  <c r="R241" i="8" s="1"/>
  <c r="U241" i="8" s="1"/>
  <c r="N363" i="14"/>
  <c r="O363" i="14" s="1"/>
  <c r="R18" i="12"/>
  <c r="S18" i="12" s="1"/>
  <c r="U18" i="12" s="1"/>
  <c r="AG69" i="8"/>
  <c r="H69" i="8"/>
  <c r="AM69" i="8"/>
  <c r="AL69" i="8"/>
  <c r="J276" i="8"/>
  <c r="AO149" i="8"/>
  <c r="AG149" i="8"/>
  <c r="H149" i="8"/>
  <c r="AM149" i="8"/>
  <c r="AL149" i="8"/>
  <c r="AH267" i="8"/>
  <c r="AH17" i="8"/>
  <c r="AJ13" i="8"/>
  <c r="AK178" i="8"/>
  <c r="AJ80" i="8"/>
  <c r="AJ112" i="8"/>
  <c r="AJ158" i="8"/>
  <c r="AJ217" i="8"/>
  <c r="AJ337" i="8"/>
  <c r="AF177" i="8"/>
  <c r="AH177" i="8" s="1"/>
  <c r="P177" i="8"/>
  <c r="R223" i="12"/>
  <c r="S223" i="12" s="1"/>
  <c r="U223" i="12" s="1"/>
  <c r="J355" i="8"/>
  <c r="AF266" i="8"/>
  <c r="P266" i="8"/>
  <c r="R266" i="8" s="1"/>
  <c r="AF271" i="8"/>
  <c r="AH271" i="8" s="1"/>
  <c r="G50" i="7"/>
  <c r="J50" i="7" s="1"/>
  <c r="E50" i="1" s="1"/>
  <c r="R326" i="12"/>
  <c r="S326" i="12" s="1"/>
  <c r="U326" i="12" s="1"/>
  <c r="AE326" i="8"/>
  <c r="O326" i="8"/>
  <c r="R326" i="8" s="1"/>
  <c r="V326" i="8" s="1"/>
  <c r="Y326" i="8" s="1"/>
  <c r="U326" i="8"/>
  <c r="L326" i="8"/>
  <c r="AF88" i="8"/>
  <c r="I49" i="7"/>
  <c r="E49" i="7"/>
  <c r="H49" i="7" s="1"/>
  <c r="D49" i="7"/>
  <c r="AE51" i="8"/>
  <c r="R126" i="12"/>
  <c r="S126" i="12" s="1"/>
  <c r="U126" i="12" s="1"/>
  <c r="L126" i="8"/>
  <c r="O126" i="8" s="1"/>
  <c r="R126" i="8" s="1"/>
  <c r="V126" i="8" s="1"/>
  <c r="Y126" i="8" s="1"/>
  <c r="AE126" i="8"/>
  <c r="AH126" i="8" s="1"/>
  <c r="J359" i="8"/>
  <c r="AE269" i="8"/>
  <c r="O269" i="8"/>
  <c r="L269" i="8"/>
  <c r="AE346" i="8"/>
  <c r="O346" i="8"/>
  <c r="J346" i="8"/>
  <c r="R346" i="12" s="1"/>
  <c r="S346" i="12" s="1"/>
  <c r="U346" i="12" s="1"/>
  <c r="R230" i="8"/>
  <c r="U230" i="8" s="1"/>
  <c r="AH189" i="8"/>
  <c r="R357" i="12"/>
  <c r="S358" i="12" s="1"/>
  <c r="U358" i="12" s="1"/>
  <c r="O187" i="12"/>
  <c r="AC187" i="8"/>
  <c r="AB187" i="8"/>
  <c r="AP187" i="8"/>
  <c r="AD187" i="8"/>
  <c r="AA187" i="8"/>
  <c r="AF321" i="8"/>
  <c r="P321" i="8"/>
  <c r="O210" i="14"/>
  <c r="N210" i="14"/>
  <c r="AL204" i="8"/>
  <c r="AN204" i="8" s="1"/>
  <c r="AM204" i="8"/>
  <c r="AG204" i="8"/>
  <c r="N439" i="14"/>
  <c r="O439" i="14" s="1"/>
  <c r="F41" i="11" s="1"/>
  <c r="I41" i="11" s="1"/>
  <c r="R252" i="12"/>
  <c r="S252" i="12" s="1"/>
  <c r="U252" i="12" s="1"/>
  <c r="J342" i="8"/>
  <c r="R342" i="12" s="1"/>
  <c r="S342" i="12" s="1"/>
  <c r="U342" i="12" s="1"/>
  <c r="AM217" i="8"/>
  <c r="AO217" i="8"/>
  <c r="H217" i="8"/>
  <c r="AL217" i="8"/>
  <c r="AG217" i="8"/>
  <c r="R274" i="8"/>
  <c r="AH272" i="8"/>
  <c r="U152" i="8"/>
  <c r="AG116" i="8"/>
  <c r="AM116" i="8"/>
  <c r="AL116" i="8"/>
  <c r="R322" i="12"/>
  <c r="S322" i="12" s="1"/>
  <c r="U322" i="12" s="1"/>
  <c r="L322" i="8"/>
  <c r="AE322" i="8"/>
  <c r="O322" i="8"/>
  <c r="R134" i="8"/>
  <c r="AH89" i="8"/>
  <c r="R55" i="8"/>
  <c r="L181" i="8"/>
  <c r="P181" i="8" s="1"/>
  <c r="R181" i="8" s="1"/>
  <c r="R33" i="8"/>
  <c r="V33" i="8" s="1"/>
  <c r="Y33" i="8" s="1"/>
  <c r="R235" i="12"/>
  <c r="I27" i="7"/>
  <c r="E27" i="7"/>
  <c r="H27" i="7" s="1"/>
  <c r="D27" i="7"/>
  <c r="G27" i="7" s="1"/>
  <c r="AO303" i="8"/>
  <c r="AG303" i="8"/>
  <c r="H303" i="8"/>
  <c r="AM303" i="8"/>
  <c r="AL303" i="8"/>
  <c r="AN303" i="8" s="1"/>
  <c r="H60" i="3"/>
  <c r="H61" i="3"/>
  <c r="AL316" i="8"/>
  <c r="AN316" i="8" s="1"/>
  <c r="AO316" i="8"/>
  <c r="AG316" i="8"/>
  <c r="H316" i="8"/>
  <c r="AM316" i="8"/>
  <c r="AO291" i="8"/>
  <c r="AG291" i="8"/>
  <c r="H291" i="8"/>
  <c r="AM291" i="8"/>
  <c r="AL291" i="8"/>
  <c r="H218" i="8"/>
  <c r="AG218" i="8"/>
  <c r="AO218" i="8"/>
  <c r="AM218" i="8"/>
  <c r="AL218" i="8"/>
  <c r="AO60" i="8"/>
  <c r="AG60" i="8"/>
  <c r="H60" i="8"/>
  <c r="AM60" i="8"/>
  <c r="AL60" i="8"/>
  <c r="L283" i="8"/>
  <c r="I46" i="7"/>
  <c r="E46" i="7"/>
  <c r="H46" i="7" s="1"/>
  <c r="D46" i="7"/>
  <c r="F46" i="7" s="1"/>
  <c r="O47" i="8"/>
  <c r="R47" i="8" s="1"/>
  <c r="V47" i="8" s="1"/>
  <c r="Y47" i="8" s="1"/>
  <c r="R317" i="12"/>
  <c r="S317" i="12" s="1"/>
  <c r="U317" i="12" s="1"/>
  <c r="AO93" i="8"/>
  <c r="AG93" i="8"/>
  <c r="H93" i="8"/>
  <c r="AM93" i="8"/>
  <c r="AL93" i="8"/>
  <c r="AO224" i="8"/>
  <c r="AL224" i="8"/>
  <c r="AN224" i="8" s="1"/>
  <c r="AG224" i="8"/>
  <c r="AM224" i="8"/>
  <c r="H224" i="8"/>
  <c r="AM47" i="8"/>
  <c r="AL47" i="8"/>
  <c r="AO47" i="8"/>
  <c r="AG47" i="8"/>
  <c r="H47" i="8"/>
  <c r="R138" i="12"/>
  <c r="S138" i="12" s="1"/>
  <c r="U138" i="12" s="1"/>
  <c r="AO90" i="8"/>
  <c r="AG90" i="8"/>
  <c r="AH90" i="8" s="1"/>
  <c r="H90" i="8"/>
  <c r="AM90" i="8"/>
  <c r="AL90" i="8"/>
  <c r="N473" i="14"/>
  <c r="O473" i="14" s="1"/>
  <c r="I29" i="7"/>
  <c r="E29" i="7"/>
  <c r="H29" i="7" s="1"/>
  <c r="D29" i="7"/>
  <c r="F29" i="7" s="1"/>
  <c r="J255" i="8"/>
  <c r="AO255" i="8" s="1"/>
  <c r="AH53" i="8"/>
  <c r="AO315" i="8"/>
  <c r="AG315" i="8"/>
  <c r="H315" i="8"/>
  <c r="AM315" i="8"/>
  <c r="AL315" i="8"/>
  <c r="AO161" i="8"/>
  <c r="AG161" i="8"/>
  <c r="H161" i="8"/>
  <c r="AM161" i="8"/>
  <c r="AL161" i="8"/>
  <c r="J203" i="8"/>
  <c r="L271" i="8"/>
  <c r="P271" i="8" s="1"/>
  <c r="R271" i="8" s="1"/>
  <c r="R42" i="12"/>
  <c r="S42" i="12" s="1"/>
  <c r="U42" i="12" s="1"/>
  <c r="N48" i="14"/>
  <c r="O48" i="14" s="1"/>
  <c r="F8" i="11" s="1"/>
  <c r="I8" i="11" s="1"/>
  <c r="L88" i="8"/>
  <c r="AO121" i="8"/>
  <c r="AG121" i="8"/>
  <c r="AH121" i="8" s="1"/>
  <c r="H121" i="8"/>
  <c r="AM121" i="8"/>
  <c r="AL121" i="8"/>
  <c r="AO322" i="8"/>
  <c r="AG322" i="8"/>
  <c r="H322" i="8"/>
  <c r="AM322" i="8"/>
  <c r="AL322" i="8"/>
  <c r="AN322" i="8" s="1"/>
  <c r="L81" i="8"/>
  <c r="Q90" i="8"/>
  <c r="R90" i="8" s="1"/>
  <c r="P120" i="8"/>
  <c r="R120" i="8" s="1"/>
  <c r="AF83" i="8"/>
  <c r="P83" i="8"/>
  <c r="AF293" i="8"/>
  <c r="P293" i="8"/>
  <c r="I14" i="7"/>
  <c r="G14" i="7"/>
  <c r="E14" i="7"/>
  <c r="H14" i="7" s="1"/>
  <c r="D14" i="7"/>
  <c r="O136" i="12"/>
  <c r="AD136" i="8"/>
  <c r="AC136" i="8"/>
  <c r="AB136" i="8"/>
  <c r="AP136" i="8"/>
  <c r="AA136" i="8"/>
  <c r="AM213" i="8"/>
  <c r="AO213" i="8"/>
  <c r="H213" i="8"/>
  <c r="AL213" i="8"/>
  <c r="AN213" i="8" s="1"/>
  <c r="AG213" i="8"/>
  <c r="R57" i="8"/>
  <c r="R292" i="12"/>
  <c r="S292" i="12" s="1"/>
  <c r="U292" i="12" s="1"/>
  <c r="AE292" i="8"/>
  <c r="O292" i="8"/>
  <c r="L292" i="8"/>
  <c r="AK292" i="8" s="1"/>
  <c r="AL54" i="8"/>
  <c r="AO54" i="8"/>
  <c r="AG54" i="8"/>
  <c r="H54" i="8"/>
  <c r="AM54" i="8"/>
  <c r="AO89" i="8"/>
  <c r="AG89" i="8"/>
  <c r="H89" i="8"/>
  <c r="AM89" i="8"/>
  <c r="AL89" i="8"/>
  <c r="AN89" i="8" s="1"/>
  <c r="AF307" i="8"/>
  <c r="P307" i="8"/>
  <c r="AO100" i="8"/>
  <c r="AG100" i="8"/>
  <c r="H100" i="8"/>
  <c r="AM100" i="8"/>
  <c r="AL100" i="8"/>
  <c r="R50" i="12"/>
  <c r="S50" i="12" s="1"/>
  <c r="U50" i="12" s="1"/>
  <c r="AE50" i="8"/>
  <c r="L50" i="8"/>
  <c r="R331" i="8"/>
  <c r="I52" i="7"/>
  <c r="G52" i="7"/>
  <c r="E52" i="7"/>
  <c r="H52" i="7" s="1"/>
  <c r="D52" i="7"/>
  <c r="AF299" i="8"/>
  <c r="P299" i="8"/>
  <c r="R262" i="12"/>
  <c r="AE262" i="8"/>
  <c r="O262" i="8"/>
  <c r="L262" i="8"/>
  <c r="AF29" i="8"/>
  <c r="P29" i="8"/>
  <c r="AF9" i="8"/>
  <c r="P9" i="8"/>
  <c r="R59" i="12"/>
  <c r="S59" i="12" s="1"/>
  <c r="U59" i="12" s="1"/>
  <c r="AE59" i="8"/>
  <c r="O59" i="8"/>
  <c r="L59" i="8"/>
  <c r="AF326" i="8"/>
  <c r="P326" i="8"/>
  <c r="AO61" i="8"/>
  <c r="AG61" i="8"/>
  <c r="H61" i="8"/>
  <c r="AM61" i="8"/>
  <c r="AL61" i="8"/>
  <c r="L170" i="8"/>
  <c r="O238" i="12"/>
  <c r="AB238" i="8"/>
  <c r="AD238" i="8"/>
  <c r="AC238" i="8"/>
  <c r="AP238" i="8"/>
  <c r="AA238" i="8"/>
  <c r="AB28" i="8"/>
  <c r="AP28" i="8"/>
  <c r="AD28" i="8"/>
  <c r="AC28" i="8"/>
  <c r="AA28" i="8"/>
  <c r="AF191" i="8"/>
  <c r="AF84" i="8"/>
  <c r="P84" i="8"/>
  <c r="AF351" i="8"/>
  <c r="P351" i="8"/>
  <c r="R351" i="8" s="1"/>
  <c r="AG26" i="8"/>
  <c r="H26" i="8"/>
  <c r="AM26" i="8"/>
  <c r="AL26" i="8"/>
  <c r="AL118" i="8"/>
  <c r="AN118" i="8" s="1"/>
  <c r="AO118" i="8"/>
  <c r="AG118" i="8"/>
  <c r="AH118" i="8" s="1"/>
  <c r="H118" i="8"/>
  <c r="AM118" i="8"/>
  <c r="AG312" i="8"/>
  <c r="AM312" i="8"/>
  <c r="AL312" i="8"/>
  <c r="H312" i="8"/>
  <c r="O222" i="12"/>
  <c r="AB222" i="8"/>
  <c r="AP222" i="8"/>
  <c r="AD222" i="8"/>
  <c r="AC222" i="8"/>
  <c r="AA222" i="8"/>
  <c r="H170" i="8"/>
  <c r="R226" i="8"/>
  <c r="U226" i="8" s="1"/>
  <c r="AF33" i="8"/>
  <c r="AH33" i="8" s="1"/>
  <c r="P33" i="8"/>
  <c r="AF159" i="8"/>
  <c r="P159" i="8"/>
  <c r="J59" i="8"/>
  <c r="R299" i="12"/>
  <c r="AH258" i="8"/>
  <c r="AM332" i="8"/>
  <c r="AL332" i="8"/>
  <c r="AG332" i="8"/>
  <c r="AH332" i="8" s="1"/>
  <c r="H332" i="8"/>
  <c r="AO332" i="8"/>
  <c r="AG66" i="8"/>
  <c r="H66" i="8"/>
  <c r="AM66" i="8"/>
  <c r="AL66" i="8"/>
  <c r="AF72" i="8"/>
  <c r="P72" i="8"/>
  <c r="AH111" i="8"/>
  <c r="AF244" i="8"/>
  <c r="P244" i="8"/>
  <c r="R244" i="8" s="1"/>
  <c r="AO137" i="8"/>
  <c r="AG137" i="8"/>
  <c r="H137" i="8"/>
  <c r="AM137" i="8"/>
  <c r="AL137" i="8"/>
  <c r="AN137" i="8" s="1"/>
  <c r="R208" i="12"/>
  <c r="S208" i="12" s="1"/>
  <c r="U208" i="12" s="1"/>
  <c r="O208" i="8"/>
  <c r="R208" i="8" s="1"/>
  <c r="U208" i="8"/>
  <c r="L208" i="8"/>
  <c r="AK208" i="8" s="1"/>
  <c r="AE208" i="8"/>
  <c r="AF38" i="8"/>
  <c r="P38" i="8"/>
  <c r="AH351" i="8"/>
  <c r="F278" i="13"/>
  <c r="F278" i="12"/>
  <c r="R62" i="8"/>
  <c r="AF171" i="8"/>
  <c r="AH171" i="8" s="1"/>
  <c r="P171" i="8"/>
  <c r="AL284" i="8"/>
  <c r="AG284" i="8"/>
  <c r="AM284" i="8"/>
  <c r="H284" i="8"/>
  <c r="AG343" i="8"/>
  <c r="AO343" i="8"/>
  <c r="AM343" i="8"/>
  <c r="AL343" i="8"/>
  <c r="H343" i="8"/>
  <c r="AH83" i="8"/>
  <c r="AO20" i="8"/>
  <c r="AG20" i="8"/>
  <c r="H20" i="8"/>
  <c r="AM20" i="8"/>
  <c r="AL20" i="8"/>
  <c r="AF67" i="8"/>
  <c r="P67" i="8"/>
  <c r="AF160" i="8"/>
  <c r="AH160" i="8" s="1"/>
  <c r="P160" i="8"/>
  <c r="AF200" i="8"/>
  <c r="AG106" i="8"/>
  <c r="AM106" i="8"/>
  <c r="AL106" i="8"/>
  <c r="F244" i="13"/>
  <c r="F244" i="12"/>
  <c r="P301" i="8"/>
  <c r="AF301" i="8"/>
  <c r="AH301" i="8" s="1"/>
  <c r="I34" i="7"/>
  <c r="E34" i="7"/>
  <c r="H34" i="7" s="1"/>
  <c r="D34" i="7"/>
  <c r="G34" i="7" s="1"/>
  <c r="J34" i="7" s="1"/>
  <c r="E34" i="1" s="1"/>
  <c r="R186" i="12"/>
  <c r="S186" i="12" s="1"/>
  <c r="U186" i="12" s="1"/>
  <c r="AE186" i="8"/>
  <c r="AH186" i="8" s="1"/>
  <c r="O186" i="8"/>
  <c r="L186" i="8"/>
  <c r="AK186" i="8" s="1"/>
  <c r="I20" i="7"/>
  <c r="E20" i="7"/>
  <c r="H20" i="7" s="1"/>
  <c r="D20" i="7"/>
  <c r="F20" i="7" s="1"/>
  <c r="AH314" i="8"/>
  <c r="AF242" i="8"/>
  <c r="L287" i="8"/>
  <c r="AF275" i="8"/>
  <c r="P275" i="8"/>
  <c r="L98" i="8"/>
  <c r="R176" i="12"/>
  <c r="S176" i="12" s="1"/>
  <c r="U176" i="12" s="1"/>
  <c r="AH65" i="8"/>
  <c r="AH241" i="8"/>
  <c r="L232" i="8"/>
  <c r="AH139" i="8"/>
  <c r="AB266" i="8"/>
  <c r="AD266" i="8"/>
  <c r="AC266" i="8"/>
  <c r="AP266" i="8"/>
  <c r="AA266" i="8"/>
  <c r="AO37" i="8"/>
  <c r="AG37" i="8"/>
  <c r="AH37" i="8" s="1"/>
  <c r="H37" i="8"/>
  <c r="AM37" i="8"/>
  <c r="AL37" i="8"/>
  <c r="L267" i="8"/>
  <c r="AK28" i="8"/>
  <c r="AJ12" i="8"/>
  <c r="AJ43" i="8"/>
  <c r="AJ171" i="8"/>
  <c r="AK43" i="8"/>
  <c r="AK171" i="8"/>
  <c r="AJ57" i="8"/>
  <c r="AJ153" i="8"/>
  <c r="AK177" i="8"/>
  <c r="AK120" i="8"/>
  <c r="AK95" i="8"/>
  <c r="AK159" i="8"/>
  <c r="AK158" i="8"/>
  <c r="AJ199" i="8"/>
  <c r="AJ225" i="8"/>
  <c r="AK199" i="8"/>
  <c r="AJ237" i="8"/>
  <c r="AK222" i="8"/>
  <c r="AJ256" i="8"/>
  <c r="AJ331" i="8"/>
  <c r="AK331" i="8"/>
  <c r="AK338" i="8"/>
  <c r="AO177" i="8"/>
  <c r="AG177" i="8"/>
  <c r="H177" i="8"/>
  <c r="AM177" i="8"/>
  <c r="AL177" i="8"/>
  <c r="AN177" i="8" s="1"/>
  <c r="R44" i="12"/>
  <c r="S44" i="12" s="1"/>
  <c r="U44" i="12" s="1"/>
  <c r="L44" i="8"/>
  <c r="O44" i="8" s="1"/>
  <c r="AE44" i="8"/>
  <c r="AH44" i="8" s="1"/>
  <c r="AL355" i="8"/>
  <c r="AG355" i="8"/>
  <c r="AM355" i="8"/>
  <c r="H266" i="8"/>
  <c r="AM266" i="8"/>
  <c r="AG266" i="8"/>
  <c r="AO266" i="8"/>
  <c r="AL266" i="8"/>
  <c r="AO271" i="8"/>
  <c r="AG271" i="8"/>
  <c r="H271" i="8"/>
  <c r="AM271" i="8"/>
  <c r="AL271" i="8"/>
  <c r="AN271" i="8" s="1"/>
  <c r="R157" i="12"/>
  <c r="S157" i="12" s="1"/>
  <c r="U157" i="12" s="1"/>
  <c r="L157" i="8"/>
  <c r="O157" i="8" s="1"/>
  <c r="R157" i="8" s="1"/>
  <c r="AE157" i="8"/>
  <c r="H88" i="8"/>
  <c r="AM88" i="8"/>
  <c r="AL88" i="8"/>
  <c r="AN88" i="8" s="1"/>
  <c r="AO88" i="8"/>
  <c r="AG88" i="8"/>
  <c r="R352" i="12"/>
  <c r="S352" i="12" s="1"/>
  <c r="U352" i="12" s="1"/>
  <c r="L352" i="8"/>
  <c r="AE352" i="8"/>
  <c r="Q352" i="8"/>
  <c r="R352" i="8" s="1"/>
  <c r="U352" i="8" s="1"/>
  <c r="J352" i="8"/>
  <c r="L329" i="8"/>
  <c r="N554" i="14"/>
  <c r="O554" i="14" s="1"/>
  <c r="F52" i="11" s="1"/>
  <c r="I52" i="11" s="1"/>
  <c r="J262" i="8"/>
  <c r="I5" i="7"/>
  <c r="E5" i="7"/>
  <c r="D5" i="7"/>
  <c r="C54" i="7"/>
  <c r="L196" i="8"/>
  <c r="L200" i="8"/>
  <c r="H321" i="8"/>
  <c r="AM321" i="8"/>
  <c r="AL321" i="8"/>
  <c r="AO321" i="8"/>
  <c r="AG321" i="8"/>
  <c r="J204" i="8"/>
  <c r="AH102" i="8"/>
  <c r="AG342" i="8"/>
  <c r="H342" i="8"/>
  <c r="AM342" i="8"/>
  <c r="AL342" i="8"/>
  <c r="R344" i="12"/>
  <c r="S344" i="12" s="1"/>
  <c r="U344" i="12" s="1"/>
  <c r="AE344" i="8"/>
  <c r="AH344" i="8" s="1"/>
  <c r="V344" i="8"/>
  <c r="Y344" i="8" s="1"/>
  <c r="L344" i="8"/>
  <c r="O344" i="8"/>
  <c r="R344" i="8" s="1"/>
  <c r="R137" i="8"/>
  <c r="F105" i="13"/>
  <c r="F105" i="12"/>
  <c r="O274" i="12"/>
  <c r="AP272" i="8"/>
  <c r="AD272" i="8"/>
  <c r="AC272" i="8"/>
  <c r="AB272" i="8"/>
  <c r="AA272" i="8"/>
  <c r="R27" i="8"/>
  <c r="R268" i="12"/>
  <c r="S268" i="12" s="1"/>
  <c r="U268" i="12" s="1"/>
  <c r="AE276" i="8"/>
  <c r="L276" i="8"/>
  <c r="R89" i="12"/>
  <c r="S89" i="12" s="1"/>
  <c r="U89" i="12" s="1"/>
  <c r="AH55" i="8"/>
  <c r="R316" i="12"/>
  <c r="S316" i="12" s="1"/>
  <c r="U316" i="12" s="1"/>
  <c r="AE316" i="8"/>
  <c r="AH316" i="8" s="1"/>
  <c r="L316" i="8"/>
  <c r="J144" i="8"/>
  <c r="AF226" i="8"/>
  <c r="P226" i="8"/>
  <c r="O39" i="12"/>
  <c r="AD39" i="8"/>
  <c r="AC39" i="8"/>
  <c r="AB39" i="8"/>
  <c r="AP39" i="8"/>
  <c r="AA39" i="8"/>
  <c r="AH155" i="8"/>
  <c r="J311" i="8"/>
  <c r="L115" i="8"/>
  <c r="R194" i="12"/>
  <c r="S194" i="12" s="1"/>
  <c r="U194" i="12" s="1"/>
  <c r="L254" i="8"/>
  <c r="L193" i="8"/>
  <c r="AO74" i="8"/>
  <c r="AG74" i="8"/>
  <c r="AM74" i="8"/>
  <c r="AL74" i="8"/>
  <c r="AL62" i="8"/>
  <c r="AO62" i="8"/>
  <c r="AG62" i="8"/>
  <c r="AH62" i="8" s="1"/>
  <c r="H62" i="8"/>
  <c r="AM62" i="8"/>
  <c r="R350" i="12"/>
  <c r="S350" i="12" s="1"/>
  <c r="U350" i="12" s="1"/>
  <c r="AF305" i="8"/>
  <c r="AH305" i="8" s="1"/>
  <c r="P305" i="8"/>
  <c r="L61" i="4"/>
  <c r="AH251" i="8"/>
  <c r="R25" i="12"/>
  <c r="AE25" i="8"/>
  <c r="O25" i="8"/>
  <c r="L25" i="8"/>
  <c r="AF224" i="8"/>
  <c r="AH224" i="8" s="1"/>
  <c r="P224" i="8"/>
  <c r="R224" i="8" s="1"/>
  <c r="H329" i="8"/>
  <c r="R19" i="12"/>
  <c r="S21" i="12" s="1"/>
  <c r="U21" i="12" s="1"/>
  <c r="AE19" i="8"/>
  <c r="O19" i="8"/>
  <c r="L19" i="8"/>
  <c r="AF39" i="8"/>
  <c r="AH39" i="8" s="1"/>
  <c r="P39" i="8"/>
  <c r="R39" i="8" s="1"/>
  <c r="R35" i="12"/>
  <c r="S35" i="12" s="1"/>
  <c r="U35" i="12" s="1"/>
  <c r="L280" i="8"/>
  <c r="R201" i="12"/>
  <c r="S201" i="12" s="1"/>
  <c r="U201" i="12" s="1"/>
  <c r="AE201" i="8"/>
  <c r="O201" i="8"/>
  <c r="R201" i="8" s="1"/>
  <c r="U201" i="8" s="1"/>
  <c r="V201" i="8"/>
  <c r="Y201" i="8" s="1"/>
  <c r="L201" i="8"/>
  <c r="AG188" i="8"/>
  <c r="AM188" i="8"/>
  <c r="AL188" i="8"/>
  <c r="AG255" i="8"/>
  <c r="AM255" i="8"/>
  <c r="AL255" i="8"/>
  <c r="AN255" i="8" s="1"/>
  <c r="I24" i="7"/>
  <c r="E24" i="7"/>
  <c r="H24" i="7" s="1"/>
  <c r="D24" i="7"/>
  <c r="AM151" i="8"/>
  <c r="AL151" i="8"/>
  <c r="AO151" i="8"/>
  <c r="AG151" i="8"/>
  <c r="AH151" i="8" s="1"/>
  <c r="H151" i="8"/>
  <c r="L53" i="8"/>
  <c r="AF315" i="8"/>
  <c r="AH315" i="8" s="1"/>
  <c r="P315" i="8"/>
  <c r="R315" i="8" s="1"/>
  <c r="I8" i="7"/>
  <c r="E8" i="7"/>
  <c r="H8" i="7" s="1"/>
  <c r="D8" i="7"/>
  <c r="F8" i="7" s="1"/>
  <c r="J128" i="8"/>
  <c r="R128" i="12" s="1"/>
  <c r="S128" i="12" s="1"/>
  <c r="U128" i="12" s="1"/>
  <c r="L303" i="8"/>
  <c r="R291" i="12"/>
  <c r="S291" i="12" s="1"/>
  <c r="U291" i="12" s="1"/>
  <c r="L291" i="8"/>
  <c r="O291" i="8"/>
  <c r="AE291" i="8"/>
  <c r="R90" i="12"/>
  <c r="S90" i="12" s="1"/>
  <c r="U90" i="12" s="1"/>
  <c r="H53" i="8"/>
  <c r="I25" i="7"/>
  <c r="E25" i="7"/>
  <c r="H25" i="7" s="1"/>
  <c r="D25" i="7"/>
  <c r="G25" i="7" s="1"/>
  <c r="AE180" i="8"/>
  <c r="O180" i="8"/>
  <c r="AO287" i="8"/>
  <c r="AG287" i="8"/>
  <c r="AH287" i="8" s="1"/>
  <c r="H287" i="8"/>
  <c r="AM287" i="8"/>
  <c r="AL287" i="8"/>
  <c r="AN287" i="8" s="1"/>
  <c r="F104" i="13"/>
  <c r="F104" i="12"/>
  <c r="N281" i="14"/>
  <c r="O281" i="14" s="1"/>
  <c r="F28" i="11" s="1"/>
  <c r="I28" i="11" s="1"/>
  <c r="U177" i="8"/>
  <c r="AH257" i="8"/>
  <c r="AF297" i="8"/>
  <c r="AH297" i="8" s="1"/>
  <c r="P297" i="8"/>
  <c r="AO76" i="8"/>
  <c r="AG76" i="8"/>
  <c r="H76" i="8"/>
  <c r="AM76" i="8"/>
  <c r="AL76" i="8"/>
  <c r="AF324" i="8"/>
  <c r="AH324" i="8" s="1"/>
  <c r="P324" i="8"/>
  <c r="R324" i="8" s="1"/>
  <c r="AF157" i="8"/>
  <c r="P157" i="8"/>
  <c r="J306" i="8"/>
  <c r="H306" i="8" s="1"/>
  <c r="AF99" i="8"/>
  <c r="AM293" i="8"/>
  <c r="AL293" i="8"/>
  <c r="AN293" i="8" s="1"/>
  <c r="H293" i="8"/>
  <c r="AG293" i="8"/>
  <c r="AO293" i="8"/>
  <c r="AN265" i="8"/>
  <c r="AL208" i="8"/>
  <c r="AM208" i="8"/>
  <c r="H208" i="8"/>
  <c r="AG208" i="8"/>
  <c r="AO208" i="8"/>
  <c r="L335" i="8"/>
  <c r="AO256" i="8"/>
  <c r="AG256" i="8"/>
  <c r="AL256" i="8"/>
  <c r="AM256" i="8"/>
  <c r="H256" i="8"/>
  <c r="V177" i="8"/>
  <c r="Y177" i="8" s="1"/>
  <c r="AO82" i="8"/>
  <c r="AG82" i="8"/>
  <c r="H82" i="8"/>
  <c r="AM82" i="8"/>
  <c r="AL82" i="8"/>
  <c r="U136" i="8"/>
  <c r="AE133" i="8"/>
  <c r="O133" i="8"/>
  <c r="AM297" i="8"/>
  <c r="AL297" i="8"/>
  <c r="AO297" i="8"/>
  <c r="H297" i="8"/>
  <c r="AG297" i="8"/>
  <c r="J249" i="8"/>
  <c r="J113" i="8"/>
  <c r="H113" i="8" s="1"/>
  <c r="O162" i="8"/>
  <c r="R162" i="8" s="1"/>
  <c r="O31" i="12"/>
  <c r="AD31" i="8"/>
  <c r="AC31" i="8"/>
  <c r="AB31" i="8"/>
  <c r="AP31" i="8"/>
  <c r="AA31" i="8"/>
  <c r="AO307" i="8"/>
  <c r="AG307" i="8"/>
  <c r="H307" i="8"/>
  <c r="AM307" i="8"/>
  <c r="AL307" i="8"/>
  <c r="AN307" i="8" s="1"/>
  <c r="J210" i="8"/>
  <c r="L210" i="8" s="1"/>
  <c r="L236" i="8"/>
  <c r="AE236" i="8"/>
  <c r="O236" i="8"/>
  <c r="J236" i="8"/>
  <c r="R236" i="12" s="1"/>
  <c r="J259" i="8"/>
  <c r="L127" i="8"/>
  <c r="AH331" i="8"/>
  <c r="AL324" i="8"/>
  <c r="AO324" i="8"/>
  <c r="AG324" i="8"/>
  <c r="H324" i="8"/>
  <c r="AM324" i="8"/>
  <c r="AO157" i="8"/>
  <c r="AG157" i="8"/>
  <c r="H157" i="8"/>
  <c r="AM157" i="8"/>
  <c r="AL157" i="8"/>
  <c r="AM306" i="8"/>
  <c r="AL306" i="8"/>
  <c r="AN306" i="8" s="1"/>
  <c r="AG306" i="8"/>
  <c r="O67" i="8"/>
  <c r="R67" i="8" s="1"/>
  <c r="AO99" i="8"/>
  <c r="AG99" i="8"/>
  <c r="H99" i="8"/>
  <c r="AM99" i="8"/>
  <c r="AL99" i="8"/>
  <c r="AN99" i="8" s="1"/>
  <c r="AM335" i="8"/>
  <c r="AL335" i="8"/>
  <c r="H335" i="8"/>
  <c r="AG335" i="8"/>
  <c r="AO335" i="8"/>
  <c r="AF58" i="8"/>
  <c r="J356" i="8"/>
  <c r="R143" i="12"/>
  <c r="S143" i="12" s="1"/>
  <c r="U143" i="12" s="1"/>
  <c r="AE143" i="8"/>
  <c r="O143" i="8"/>
  <c r="L143" i="8"/>
  <c r="AO29" i="8"/>
  <c r="AG29" i="8"/>
  <c r="H29" i="8"/>
  <c r="AM29" i="8"/>
  <c r="AL29" i="8"/>
  <c r="AN29" i="8" s="1"/>
  <c r="AO9" i="8"/>
  <c r="AG9" i="8"/>
  <c r="H9" i="8"/>
  <c r="AM9" i="8"/>
  <c r="AL9" i="8"/>
  <c r="AN9" i="8" s="1"/>
  <c r="H326" i="8"/>
  <c r="AM326" i="8"/>
  <c r="AO326" i="8"/>
  <c r="AL326" i="8"/>
  <c r="AN326" i="8" s="1"/>
  <c r="AG326" i="8"/>
  <c r="O238" i="8"/>
  <c r="R238" i="8" s="1"/>
  <c r="R28" i="12"/>
  <c r="R250" i="8"/>
  <c r="U250" i="8" s="1"/>
  <c r="H191" i="8"/>
  <c r="AG191" i="8"/>
  <c r="AO191" i="8"/>
  <c r="AM191" i="8"/>
  <c r="AL191" i="8"/>
  <c r="AO84" i="8"/>
  <c r="AG84" i="8"/>
  <c r="H84" i="8"/>
  <c r="AM84" i="8"/>
  <c r="AL84" i="8"/>
  <c r="R119" i="12"/>
  <c r="S119" i="12" s="1"/>
  <c r="U119" i="12" s="1"/>
  <c r="AE119" i="8"/>
  <c r="L119" i="8"/>
  <c r="G45" i="7"/>
  <c r="J45" i="7" s="1"/>
  <c r="E45" i="1" s="1"/>
  <c r="L58" i="8"/>
  <c r="P58" i="8" s="1"/>
  <c r="R58" i="8" s="1"/>
  <c r="J295" i="8"/>
  <c r="H295" i="8" s="1"/>
  <c r="J26" i="8"/>
  <c r="AO26" i="8" s="1"/>
  <c r="J234" i="8"/>
  <c r="L145" i="8"/>
  <c r="J312" i="8"/>
  <c r="R61" i="12"/>
  <c r="S61" i="12" s="1"/>
  <c r="U61" i="12" s="1"/>
  <c r="L61" i="8"/>
  <c r="AJ61" i="8" s="1"/>
  <c r="AE61" i="8"/>
  <c r="F263" i="13"/>
  <c r="F263" i="12"/>
  <c r="AO33" i="8"/>
  <c r="AG33" i="8"/>
  <c r="H33" i="8"/>
  <c r="AM33" i="8"/>
  <c r="AL33" i="8"/>
  <c r="AN33" i="8" s="1"/>
  <c r="AM159" i="8"/>
  <c r="AL159" i="8"/>
  <c r="AN159" i="8" s="1"/>
  <c r="AO159" i="8"/>
  <c r="AG159" i="8"/>
  <c r="H159" i="8"/>
  <c r="L213" i="8"/>
  <c r="AO59" i="8"/>
  <c r="AG59" i="8"/>
  <c r="H59" i="8"/>
  <c r="AM59" i="8"/>
  <c r="AL59" i="8"/>
  <c r="AO280" i="8"/>
  <c r="AG280" i="8"/>
  <c r="AH280" i="8" s="1"/>
  <c r="AL280" i="8"/>
  <c r="H280" i="8"/>
  <c r="AM280" i="8"/>
  <c r="J25" i="8"/>
  <c r="AO25" i="8" s="1"/>
  <c r="J221" i="8"/>
  <c r="H221" i="8" s="1"/>
  <c r="N502" i="14"/>
  <c r="O502" i="14" s="1"/>
  <c r="J66" i="8"/>
  <c r="R66" i="12" s="1"/>
  <c r="S66" i="12" s="1"/>
  <c r="U66" i="12" s="1"/>
  <c r="H72" i="8"/>
  <c r="AM72" i="8"/>
  <c r="AL72" i="8"/>
  <c r="AN72" i="8" s="1"/>
  <c r="AO72" i="8"/>
  <c r="AG72" i="8"/>
  <c r="I21" i="7"/>
  <c r="G21" i="7"/>
  <c r="E21" i="7"/>
  <c r="H21" i="7" s="1"/>
  <c r="D21" i="7"/>
  <c r="H196" i="8"/>
  <c r="AL196" i="8"/>
  <c r="AO196" i="8"/>
  <c r="AM196" i="8"/>
  <c r="AG196" i="8"/>
  <c r="L202" i="8"/>
  <c r="AL339" i="8"/>
  <c r="H339" i="8"/>
  <c r="AG339" i="8"/>
  <c r="AH339" i="8" s="1"/>
  <c r="AO339" i="8"/>
  <c r="AM339" i="8"/>
  <c r="R111" i="12"/>
  <c r="S111" i="12" s="1"/>
  <c r="U111" i="12" s="1"/>
  <c r="J91" i="8"/>
  <c r="R91" i="12" s="1"/>
  <c r="S91" i="12" s="1"/>
  <c r="U91" i="12" s="1"/>
  <c r="AL38" i="8"/>
  <c r="AN38" i="8" s="1"/>
  <c r="AO38" i="8"/>
  <c r="AG38" i="8"/>
  <c r="H38" i="8"/>
  <c r="AM38" i="8"/>
  <c r="O212" i="8"/>
  <c r="R212" i="8" s="1"/>
  <c r="J180" i="8"/>
  <c r="AO180" i="8" s="1"/>
  <c r="R243" i="12"/>
  <c r="S243" i="12" s="1"/>
  <c r="U243" i="12" s="1"/>
  <c r="L243" i="8"/>
  <c r="O243" i="8"/>
  <c r="AE243" i="8"/>
  <c r="AO171" i="8"/>
  <c r="AG171" i="8"/>
  <c r="H171" i="8"/>
  <c r="AM171" i="8"/>
  <c r="AL171" i="8"/>
  <c r="J294" i="8"/>
  <c r="L294" i="8" s="1"/>
  <c r="J284" i="8"/>
  <c r="R284" i="12" s="1"/>
  <c r="J343" i="8"/>
  <c r="AO178" i="8"/>
  <c r="AG178" i="8"/>
  <c r="AH178" i="8" s="1"/>
  <c r="H178" i="8"/>
  <c r="AM178" i="8"/>
  <c r="AL178" i="8"/>
  <c r="R83" i="12"/>
  <c r="S83" i="12" s="1"/>
  <c r="U83" i="12" s="1"/>
  <c r="N28" i="14"/>
  <c r="O28" i="14" s="1"/>
  <c r="AO67" i="8"/>
  <c r="AG67" i="8"/>
  <c r="H67" i="8"/>
  <c r="AM67" i="8"/>
  <c r="AL67" i="8"/>
  <c r="H160" i="8"/>
  <c r="AM160" i="8"/>
  <c r="AL160" i="8"/>
  <c r="AO160" i="8"/>
  <c r="AG160" i="8"/>
  <c r="J23" i="8"/>
  <c r="O12" i="8"/>
  <c r="R12" i="8" s="1"/>
  <c r="U12" i="8" s="1"/>
  <c r="AO200" i="8"/>
  <c r="AG200" i="8"/>
  <c r="AM200" i="8"/>
  <c r="AL200" i="8"/>
  <c r="H200" i="8"/>
  <c r="J106" i="8"/>
  <c r="AO106" i="8" s="1"/>
  <c r="J143" i="8"/>
  <c r="AO143" i="8" s="1"/>
  <c r="R114" i="12"/>
  <c r="AM301" i="8"/>
  <c r="AL301" i="8"/>
  <c r="AO301" i="8"/>
  <c r="AG301" i="8"/>
  <c r="H301" i="8"/>
  <c r="R63" i="12"/>
  <c r="S63" i="12" s="1"/>
  <c r="U63" i="12" s="1"/>
  <c r="AE63" i="8"/>
  <c r="AH63" i="8" s="1"/>
  <c r="O63" i="8"/>
  <c r="L63" i="8"/>
  <c r="N551" i="14"/>
  <c r="O551" i="14"/>
  <c r="F51" i="11" s="1"/>
  <c r="I51" i="11" s="1"/>
  <c r="H212" i="8"/>
  <c r="F272" i="13"/>
  <c r="F272" i="12"/>
  <c r="AN55" i="8"/>
  <c r="R175" i="12"/>
  <c r="S175" i="12" s="1"/>
  <c r="U175" i="12" s="1"/>
  <c r="H242" i="8"/>
  <c r="AM242" i="8"/>
  <c r="AO242" i="8"/>
  <c r="AL242" i="8"/>
  <c r="AN242" i="8" s="1"/>
  <c r="AG242" i="8"/>
  <c r="Q70" i="8"/>
  <c r="R70" i="8" s="1"/>
  <c r="U70" i="8" s="1"/>
  <c r="AO275" i="8"/>
  <c r="AG275" i="8"/>
  <c r="H275" i="8"/>
  <c r="AM275" i="8"/>
  <c r="AL275" i="8"/>
  <c r="AN275" i="8" s="1"/>
  <c r="J133" i="8"/>
  <c r="AO133" i="8" s="1"/>
  <c r="J194" i="8"/>
  <c r="AO194" i="8" s="1"/>
  <c r="R65" i="12"/>
  <c r="S65" i="12" s="1"/>
  <c r="U65" i="12" s="1"/>
  <c r="J341" i="8"/>
  <c r="AO341" i="8" s="1"/>
  <c r="R245" i="12"/>
  <c r="S245" i="12" s="1"/>
  <c r="U245" i="12" s="1"/>
  <c r="L285" i="8"/>
  <c r="J173" i="8"/>
  <c r="AH45" i="8"/>
  <c r="R139" i="12"/>
  <c r="S139" i="12" s="1"/>
  <c r="U139" i="12" s="1"/>
  <c r="J209" i="8"/>
  <c r="AO209" i="8" s="1"/>
  <c r="AH227" i="8"/>
  <c r="AJ34" i="8"/>
  <c r="AK13" i="8"/>
  <c r="AJ146" i="8"/>
  <c r="AJ178" i="8"/>
  <c r="AJ120" i="8"/>
  <c r="AJ63" i="8"/>
  <c r="AJ95" i="8"/>
  <c r="AJ159" i="8"/>
  <c r="AJ70" i="8"/>
  <c r="AJ76" i="8"/>
  <c r="AK226" i="8"/>
  <c r="AJ208" i="8"/>
  <c r="AJ261" i="8"/>
  <c r="AK286" i="8"/>
  <c r="AK256" i="8"/>
  <c r="AK263" i="8"/>
  <c r="AK349" i="8"/>
  <c r="AK358" i="8"/>
  <c r="AN68" i="8"/>
  <c r="F184" i="13"/>
  <c r="F184" i="12"/>
  <c r="AO331" i="8"/>
  <c r="AG331" i="8"/>
  <c r="H331" i="8"/>
  <c r="AM331" i="8"/>
  <c r="AL331" i="8"/>
  <c r="AN331" i="8" s="1"/>
  <c r="J347" i="8"/>
  <c r="J317" i="8"/>
  <c r="AO317" i="8" s="1"/>
  <c r="AM201" i="8"/>
  <c r="AG201" i="8"/>
  <c r="AL201" i="8"/>
  <c r="H201" i="8"/>
  <c r="AO201" i="8"/>
  <c r="H262" i="8"/>
  <c r="AM262" i="8"/>
  <c r="AO262" i="8"/>
  <c r="AL262" i="8"/>
  <c r="AG262" i="8"/>
  <c r="C54" i="1"/>
  <c r="R189" i="12"/>
  <c r="S189" i="12" s="1"/>
  <c r="U189" i="12" s="1"/>
  <c r="AL30" i="8"/>
  <c r="AN30" i="8" s="1"/>
  <c r="AO30" i="8"/>
  <c r="AG30" i="8"/>
  <c r="AH30" i="8" s="1"/>
  <c r="H30" i="8"/>
  <c r="AM30" i="8"/>
  <c r="R200" i="12"/>
  <c r="S200" i="12" s="1"/>
  <c r="U200" i="12" s="1"/>
  <c r="H48" i="8"/>
  <c r="AM48" i="8"/>
  <c r="AL48" i="8"/>
  <c r="AN48" i="8" s="1"/>
  <c r="AO48" i="8"/>
  <c r="AG48" i="8"/>
  <c r="AH48" i="8" s="1"/>
  <c r="H96" i="8"/>
  <c r="AM96" i="8"/>
  <c r="AL96" i="8"/>
  <c r="AN96" i="8" s="1"/>
  <c r="AO96" i="8"/>
  <c r="AG96" i="8"/>
  <c r="AH96" i="8" s="1"/>
  <c r="L99" i="8"/>
  <c r="P99" i="8" s="1"/>
  <c r="R99" i="8" s="1"/>
  <c r="AH84" i="8"/>
  <c r="J14" i="8"/>
  <c r="AO14" i="8" s="1"/>
  <c r="F120" i="13"/>
  <c r="F120" i="12"/>
  <c r="H274" i="8"/>
  <c r="AM274" i="8"/>
  <c r="AO274" i="8"/>
  <c r="AL274" i="8"/>
  <c r="AG274" i="8"/>
  <c r="AH274" i="8" s="1"/>
  <c r="O533" i="14"/>
  <c r="F47" i="11" s="1"/>
  <c r="I47" i="11" s="1"/>
  <c r="N533" i="14"/>
  <c r="AM183" i="8"/>
  <c r="AL183" i="8"/>
  <c r="AN183" i="8" s="1"/>
  <c r="AO183" i="8"/>
  <c r="AG183" i="8"/>
  <c r="AH183" i="8" s="1"/>
  <c r="H183" i="8"/>
  <c r="R16" i="12"/>
  <c r="S16" i="12" s="1"/>
  <c r="U16" i="12" s="1"/>
  <c r="AE16" i="8"/>
  <c r="AH16" i="8" s="1"/>
  <c r="L16" i="8"/>
  <c r="I41" i="7"/>
  <c r="E41" i="7"/>
  <c r="H41" i="7" s="1"/>
  <c r="D41" i="7"/>
  <c r="F41" i="7" s="1"/>
  <c r="AH137" i="8"/>
  <c r="AF184" i="8"/>
  <c r="AH184" i="8" s="1"/>
  <c r="P184" i="8"/>
  <c r="I44" i="7"/>
  <c r="E44" i="7"/>
  <c r="H44" i="7" s="1"/>
  <c r="D44" i="7"/>
  <c r="F44" i="7" s="1"/>
  <c r="O152" i="8"/>
  <c r="R152" i="8" s="1"/>
  <c r="V152" i="8" s="1"/>
  <c r="Y152" i="8" s="1"/>
  <c r="AH27" i="8"/>
  <c r="AO231" i="8"/>
  <c r="AG231" i="8"/>
  <c r="AH231" i="8" s="1"/>
  <c r="H231" i="8"/>
  <c r="AM231" i="8"/>
  <c r="AL231" i="8"/>
  <c r="R123" i="12"/>
  <c r="S123" i="12" s="1"/>
  <c r="U123" i="12" s="1"/>
  <c r="AE123" i="8"/>
  <c r="AH123" i="8" s="1"/>
  <c r="O123" i="8"/>
  <c r="L123" i="8"/>
  <c r="P123" i="8" s="1"/>
  <c r="J36" i="8"/>
  <c r="AO36" i="8" s="1"/>
  <c r="U325" i="8"/>
  <c r="L134" i="8"/>
  <c r="H349" i="8"/>
  <c r="AO349" i="8"/>
  <c r="AM349" i="8"/>
  <c r="AL349" i="8"/>
  <c r="AG349" i="8"/>
  <c r="O218" i="12"/>
  <c r="AB218" i="8"/>
  <c r="AP218" i="8"/>
  <c r="AD218" i="8"/>
  <c r="AC218" i="8"/>
  <c r="AA218" i="8"/>
  <c r="R55" i="12"/>
  <c r="S55" i="12" s="1"/>
  <c r="U55" i="12" s="1"/>
  <c r="AH321" i="8"/>
  <c r="R181" i="12"/>
  <c r="S181" i="12" s="1"/>
  <c r="U181" i="12" s="1"/>
  <c r="J247" i="8"/>
  <c r="R33" i="12"/>
  <c r="S33" i="12" s="1"/>
  <c r="U33" i="12" s="1"/>
  <c r="H144" i="8"/>
  <c r="AM144" i="8"/>
  <c r="AL144" i="8"/>
  <c r="AO144" i="8"/>
  <c r="AG144" i="8"/>
  <c r="J169" i="8"/>
  <c r="AO169" i="8" s="1"/>
  <c r="AM87" i="8"/>
  <c r="AL87" i="8"/>
  <c r="AO87" i="8"/>
  <c r="AG87" i="8"/>
  <c r="AH87" i="8" s="1"/>
  <c r="H87" i="8"/>
  <c r="I30" i="7"/>
  <c r="E30" i="7"/>
  <c r="H30" i="7" s="1"/>
  <c r="D30" i="7"/>
  <c r="G30" i="7" s="1"/>
  <c r="H226" i="8"/>
  <c r="AO226" i="8"/>
  <c r="AM226" i="8"/>
  <c r="AL226" i="8"/>
  <c r="AG226" i="8"/>
  <c r="AH226" i="8" s="1"/>
  <c r="J129" i="8"/>
  <c r="AO311" i="8"/>
  <c r="AG311" i="8"/>
  <c r="H311" i="8"/>
  <c r="AL311" i="8"/>
  <c r="AM311" i="8"/>
  <c r="AN325" i="8"/>
  <c r="J269" i="8"/>
  <c r="R269" i="12" s="1"/>
  <c r="S269" i="12" s="1"/>
  <c r="U269" i="12" s="1"/>
  <c r="AH75" i="8"/>
  <c r="R283" i="12"/>
  <c r="AN70" i="8"/>
  <c r="I23" i="7"/>
  <c r="E23" i="7"/>
  <c r="H23" i="7" s="1"/>
  <c r="D23" i="7"/>
  <c r="G23" i="7" s="1"/>
  <c r="J74" i="8"/>
  <c r="L56" i="8"/>
  <c r="AH8" i="8"/>
  <c r="J334" i="8"/>
  <c r="R334" i="12" s="1"/>
  <c r="S334" i="12" s="1"/>
  <c r="U334" i="12" s="1"/>
  <c r="R47" i="12"/>
  <c r="S47" i="12" s="1"/>
  <c r="U47" i="12" s="1"/>
  <c r="AM305" i="8"/>
  <c r="AL305" i="8"/>
  <c r="AN305" i="8" s="1"/>
  <c r="AG305" i="8"/>
  <c r="H305" i="8"/>
  <c r="AO305" i="8"/>
  <c r="AD105" i="8"/>
  <c r="AC105" i="8"/>
  <c r="AB105" i="8"/>
  <c r="AP105" i="8"/>
  <c r="AA105" i="8"/>
  <c r="R163" i="12"/>
  <c r="S163" i="12" s="1"/>
  <c r="U163" i="12" s="1"/>
  <c r="AE163" i="8"/>
  <c r="O163" i="8"/>
  <c r="R163" i="8" s="1"/>
  <c r="V163" i="8"/>
  <c r="Y163" i="8" s="1"/>
  <c r="L163" i="8"/>
  <c r="R7" i="12"/>
  <c r="S7" i="12" s="1"/>
  <c r="U7" i="12" s="1"/>
  <c r="AE7" i="8"/>
  <c r="AH7" i="8" s="1"/>
  <c r="L7" i="8"/>
  <c r="J97" i="8"/>
  <c r="AO97" i="8" s="1"/>
  <c r="R156" i="12"/>
  <c r="S156" i="12" s="1"/>
  <c r="U156" i="12" s="1"/>
  <c r="L156" i="8"/>
  <c r="O156" i="8" s="1"/>
  <c r="R156" i="8" s="1"/>
  <c r="U156" i="8" s="1"/>
  <c r="AE156" i="8"/>
  <c r="J302" i="8"/>
  <c r="AO302" i="8" s="1"/>
  <c r="R220" i="12"/>
  <c r="S220" i="12" s="1"/>
  <c r="U220" i="12" s="1"/>
  <c r="AM39" i="8"/>
  <c r="AL39" i="8"/>
  <c r="AN39" i="8" s="1"/>
  <c r="AO39" i="8"/>
  <c r="AG39" i="8"/>
  <c r="H39" i="8"/>
  <c r="R191" i="12"/>
  <c r="S191" i="12" s="1"/>
  <c r="U191" i="12" s="1"/>
  <c r="O191" i="8"/>
  <c r="AE191" i="8"/>
  <c r="L191" i="8"/>
  <c r="R172" i="12"/>
  <c r="S172" i="12" s="1"/>
  <c r="U172" i="12" s="1"/>
  <c r="J188" i="8"/>
  <c r="L188" i="8" s="1"/>
  <c r="AH265" i="8"/>
  <c r="AF215" i="8"/>
  <c r="AH215" i="8" s="1"/>
  <c r="P215" i="8"/>
  <c r="R215" i="8" s="1"/>
  <c r="R118" i="12"/>
  <c r="S118" i="12" s="1"/>
  <c r="U118" i="12" s="1"/>
  <c r="R242" i="12"/>
  <c r="S242" i="12" s="1"/>
  <c r="U242" i="12" s="1"/>
  <c r="L242" i="8"/>
  <c r="AE242" i="8"/>
  <c r="O242" i="8"/>
  <c r="L308" i="8"/>
  <c r="AF290" i="8"/>
  <c r="AH290" i="8" s="1"/>
  <c r="P290" i="8"/>
  <c r="R290" i="8" s="1"/>
  <c r="R271" i="12"/>
  <c r="S271" i="12" s="1"/>
  <c r="U271" i="12" s="1"/>
  <c r="H128" i="8"/>
  <c r="AM128" i="8"/>
  <c r="AL128" i="8"/>
  <c r="AO128" i="8"/>
  <c r="AG128" i="8"/>
  <c r="L253" i="8"/>
  <c r="AH64" i="8"/>
  <c r="J51" i="8"/>
  <c r="R108" i="8"/>
  <c r="V108" i="8" s="1"/>
  <c r="Y108" i="8" s="1"/>
  <c r="AH185" i="8"/>
  <c r="P105" i="8"/>
  <c r="R105" i="8" s="1"/>
  <c r="L348" i="8"/>
  <c r="AN67" i="8" l="1"/>
  <c r="AN178" i="8"/>
  <c r="AN171" i="8"/>
  <c r="F45" i="11"/>
  <c r="I45" i="11" s="1"/>
  <c r="AN59" i="8"/>
  <c r="AN324" i="8"/>
  <c r="F24" i="7"/>
  <c r="J52" i="7"/>
  <c r="E52" i="1" s="1"/>
  <c r="AN116" i="8"/>
  <c r="F19" i="7"/>
  <c r="AH76" i="8"/>
  <c r="F13" i="7"/>
  <c r="AH98" i="8"/>
  <c r="AN351" i="8"/>
  <c r="AN185" i="8"/>
  <c r="AH161" i="8"/>
  <c r="AH308" i="8"/>
  <c r="AN140" i="8"/>
  <c r="AN111" i="8"/>
  <c r="AH158" i="8"/>
  <c r="AN8" i="8"/>
  <c r="AN350" i="8"/>
  <c r="AN75" i="8"/>
  <c r="AN338" i="8"/>
  <c r="AN136" i="8"/>
  <c r="F22" i="7"/>
  <c r="AH168" i="8"/>
  <c r="AH81" i="8"/>
  <c r="AN281" i="8"/>
  <c r="AN146" i="8"/>
  <c r="F7" i="7"/>
  <c r="AH335" i="8"/>
  <c r="AN61" i="8"/>
  <c r="AN291" i="8"/>
  <c r="F49" i="7"/>
  <c r="F10" i="7"/>
  <c r="AN28" i="8"/>
  <c r="J11" i="7"/>
  <c r="E11" i="1" s="1"/>
  <c r="AN179" i="8"/>
  <c r="AN283" i="8"/>
  <c r="F24" i="11"/>
  <c r="I24" i="11" s="1"/>
  <c r="F12" i="7"/>
  <c r="F33" i="7"/>
  <c r="AH73" i="8"/>
  <c r="AH82" i="8"/>
  <c r="AH67" i="8"/>
  <c r="G10" i="7"/>
  <c r="J10" i="7" s="1"/>
  <c r="E10" i="1" s="1"/>
  <c r="AH165" i="8"/>
  <c r="F43" i="11"/>
  <c r="I43" i="11" s="1"/>
  <c r="AN7" i="8"/>
  <c r="AN115" i="8"/>
  <c r="AN64" i="8"/>
  <c r="AN344" i="8"/>
  <c r="AN81" i="8"/>
  <c r="AN192" i="8"/>
  <c r="AH147" i="8"/>
  <c r="AH250" i="8"/>
  <c r="AH56" i="8"/>
  <c r="AN194" i="8"/>
  <c r="AN20" i="8"/>
  <c r="AN312" i="8"/>
  <c r="AH293" i="8"/>
  <c r="G46" i="7"/>
  <c r="AH88" i="8"/>
  <c r="AH338" i="8"/>
  <c r="AH60" i="8"/>
  <c r="G42" i="7"/>
  <c r="AH254" i="8"/>
  <c r="AN207" i="8"/>
  <c r="AN17" i="8"/>
  <c r="AN24" i="8"/>
  <c r="G48" i="7"/>
  <c r="J48" i="7" s="1"/>
  <c r="E48" i="1" s="1"/>
  <c r="AH229" i="8"/>
  <c r="AH245" i="8"/>
  <c r="F31" i="11"/>
  <c r="I31" i="11" s="1"/>
  <c r="AH266" i="8"/>
  <c r="AN22" i="8"/>
  <c r="AN78" i="8"/>
  <c r="AH34" i="8"/>
  <c r="AH213" i="8"/>
  <c r="AH336" i="8"/>
  <c r="G17" i="7"/>
  <c r="AN46" i="8"/>
  <c r="AN250" i="8"/>
  <c r="AN252" i="8"/>
  <c r="AN97" i="8"/>
  <c r="AN347" i="8"/>
  <c r="AH196" i="8"/>
  <c r="AH322" i="8"/>
  <c r="AN188" i="8"/>
  <c r="AN62" i="8"/>
  <c r="AN100" i="8"/>
  <c r="AN315" i="8"/>
  <c r="AH217" i="8"/>
  <c r="AN299" i="8"/>
  <c r="AH47" i="8"/>
  <c r="AH218" i="8"/>
  <c r="AN44" i="8"/>
  <c r="AN34" i="8"/>
  <c r="AH28" i="8"/>
  <c r="AN258" i="8"/>
  <c r="AN260" i="8"/>
  <c r="AH238" i="8"/>
  <c r="AH108" i="8"/>
  <c r="AN145" i="8"/>
  <c r="AH285" i="8"/>
  <c r="AN300" i="8"/>
  <c r="AN220" i="8"/>
  <c r="AN51" i="8"/>
  <c r="J38" i="7"/>
  <c r="E38" i="1" s="1"/>
  <c r="AN356" i="8"/>
  <c r="AH72" i="8"/>
  <c r="AH242" i="8"/>
  <c r="S311" i="12"/>
  <c r="U311" i="12" s="1"/>
  <c r="AH9" i="8"/>
  <c r="AH191" i="8"/>
  <c r="AN231" i="8"/>
  <c r="AN84" i="8"/>
  <c r="AH99" i="8"/>
  <c r="AH291" i="8"/>
  <c r="AN74" i="8"/>
  <c r="AN355" i="8"/>
  <c r="AH200" i="8"/>
  <c r="F14" i="7"/>
  <c r="AN60" i="8"/>
  <c r="AN217" i="8"/>
  <c r="AN165" i="8"/>
  <c r="AN219" i="8"/>
  <c r="AN318" i="8"/>
  <c r="AN35" i="8"/>
  <c r="AN358" i="8"/>
  <c r="AH303" i="8"/>
  <c r="AN103" i="8"/>
  <c r="AH150" i="8"/>
  <c r="AN114" i="8"/>
  <c r="AN175" i="8"/>
  <c r="AH162" i="8"/>
  <c r="AH49" i="8"/>
  <c r="AH117" i="8"/>
  <c r="AN277" i="8"/>
  <c r="AN108" i="8"/>
  <c r="AN216" i="8"/>
  <c r="G9" i="7"/>
  <c r="J9" i="7" s="1"/>
  <c r="E9" i="1" s="1"/>
  <c r="AN336" i="8"/>
  <c r="AN153" i="8"/>
  <c r="AH179" i="8"/>
  <c r="AN32" i="8"/>
  <c r="AN241" i="8"/>
  <c r="AN42" i="8"/>
  <c r="F28" i="7"/>
  <c r="AN56" i="8"/>
  <c r="AN135" i="8"/>
  <c r="F51" i="7"/>
  <c r="AN243" i="8"/>
  <c r="J18" i="7"/>
  <c r="E18" i="1" s="1"/>
  <c r="AN247" i="8"/>
  <c r="AN221" i="8"/>
  <c r="AH141" i="8"/>
  <c r="X70" i="8"/>
  <c r="X226" i="8"/>
  <c r="Z226" i="8" s="1"/>
  <c r="AI226" i="8" s="1"/>
  <c r="W226" i="8"/>
  <c r="O188" i="12"/>
  <c r="AP188" i="8"/>
  <c r="AD188" i="8"/>
  <c r="AC188" i="8"/>
  <c r="AB188" i="8"/>
  <c r="AA188" i="8"/>
  <c r="AJ188" i="8"/>
  <c r="O188" i="8"/>
  <c r="AK188" i="8"/>
  <c r="V176" i="8"/>
  <c r="Y176" i="8" s="1"/>
  <c r="U176" i="8"/>
  <c r="F27" i="11"/>
  <c r="I27" i="11" s="1"/>
  <c r="X256" i="8"/>
  <c r="V266" i="8"/>
  <c r="Y266" i="8" s="1"/>
  <c r="U266" i="8"/>
  <c r="U34" i="8"/>
  <c r="V34" i="8"/>
  <c r="Y34" i="8" s="1"/>
  <c r="F240" i="13"/>
  <c r="F240" i="12"/>
  <c r="AD174" i="8"/>
  <c r="AC174" i="8"/>
  <c r="AB174" i="8"/>
  <c r="AP174" i="8"/>
  <c r="AA174" i="8"/>
  <c r="AK174" i="8"/>
  <c r="AJ174" i="8"/>
  <c r="O340" i="12"/>
  <c r="AP340" i="8"/>
  <c r="AD340" i="8"/>
  <c r="AC340" i="8"/>
  <c r="AB340" i="8"/>
  <c r="AA340" i="8"/>
  <c r="AK340" i="8"/>
  <c r="AJ340" i="8"/>
  <c r="V105" i="8"/>
  <c r="Y105" i="8" s="1"/>
  <c r="U105" i="8"/>
  <c r="F113" i="13"/>
  <c r="F113" i="12"/>
  <c r="V244" i="8"/>
  <c r="Y244" i="8" s="1"/>
  <c r="U244" i="8"/>
  <c r="X179" i="8"/>
  <c r="X156" i="8"/>
  <c r="X6" i="8"/>
  <c r="O110" i="12"/>
  <c r="AC109" i="8"/>
  <c r="AB109" i="8"/>
  <c r="AP109" i="8"/>
  <c r="AD109" i="8"/>
  <c r="AA109" i="8"/>
  <c r="AK109" i="8"/>
  <c r="AJ109" i="8"/>
  <c r="O109" i="8"/>
  <c r="U218" i="8"/>
  <c r="V218" i="8"/>
  <c r="Y218" i="8" s="1"/>
  <c r="F260" i="13"/>
  <c r="F260" i="12"/>
  <c r="O294" i="12"/>
  <c r="AB294" i="8"/>
  <c r="AC294" i="8"/>
  <c r="AP294" i="8"/>
  <c r="AD294" i="8"/>
  <c r="AA294" i="8"/>
  <c r="O294" i="8"/>
  <c r="AJ294" i="8"/>
  <c r="AK294" i="8"/>
  <c r="V224" i="8"/>
  <c r="Y224" i="8" s="1"/>
  <c r="U224" i="8"/>
  <c r="X352" i="8"/>
  <c r="U120" i="8"/>
  <c r="V120" i="8"/>
  <c r="Y120" i="8" s="1"/>
  <c r="U161" i="8"/>
  <c r="V161" i="8"/>
  <c r="Y161" i="8" s="1"/>
  <c r="O148" i="12"/>
  <c r="AB148" i="8"/>
  <c r="AP148" i="8"/>
  <c r="AD148" i="8"/>
  <c r="AC148" i="8"/>
  <c r="AA148" i="8"/>
  <c r="AK148" i="8"/>
  <c r="AJ148" i="8"/>
  <c r="O148" i="8"/>
  <c r="X38" i="8"/>
  <c r="O210" i="12"/>
  <c r="AB210" i="8"/>
  <c r="AP210" i="8"/>
  <c r="AD210" i="8"/>
  <c r="AC210" i="8"/>
  <c r="AA210" i="8"/>
  <c r="O210" i="8"/>
  <c r="AJ210" i="8"/>
  <c r="AK210" i="8"/>
  <c r="F306" i="13"/>
  <c r="F306" i="12"/>
  <c r="U315" i="8"/>
  <c r="V315" i="8"/>
  <c r="Y315" i="8" s="1"/>
  <c r="U39" i="8"/>
  <c r="V39" i="8"/>
  <c r="Y39" i="8" s="1"/>
  <c r="U351" i="8"/>
  <c r="V351" i="8"/>
  <c r="Y351" i="8" s="1"/>
  <c r="F320" i="13"/>
  <c r="F320" i="12"/>
  <c r="W103" i="8"/>
  <c r="X103" i="8"/>
  <c r="Z103" i="8" s="1"/>
  <c r="AI103" i="8" s="1"/>
  <c r="AQ103" i="8" s="1"/>
  <c r="AR103" i="8" s="1"/>
  <c r="F304" i="13"/>
  <c r="F304" i="12"/>
  <c r="V182" i="8"/>
  <c r="Y182" i="8" s="1"/>
  <c r="U182" i="8"/>
  <c r="O164" i="12"/>
  <c r="AB164" i="8"/>
  <c r="AP164" i="8"/>
  <c r="AD164" i="8"/>
  <c r="AC164" i="8"/>
  <c r="AA164" i="8"/>
  <c r="AK164" i="8"/>
  <c r="AJ164" i="8"/>
  <c r="O164" i="8"/>
  <c r="O134" i="12"/>
  <c r="AP130" i="8"/>
  <c r="AD130" i="8"/>
  <c r="AC130" i="8"/>
  <c r="AB130" i="8"/>
  <c r="AA130" i="8"/>
  <c r="AJ130" i="8"/>
  <c r="AK130" i="8"/>
  <c r="V252" i="8"/>
  <c r="Y252" i="8" s="1"/>
  <c r="U252" i="8"/>
  <c r="V324" i="8"/>
  <c r="Y324" i="8" s="1"/>
  <c r="U324" i="8"/>
  <c r="W201" i="8"/>
  <c r="X201" i="8"/>
  <c r="Z201" i="8" s="1"/>
  <c r="U290" i="8"/>
  <c r="V290" i="8"/>
  <c r="Y290" i="8" s="1"/>
  <c r="U215" i="8"/>
  <c r="V215" i="8"/>
  <c r="Y215" i="8" s="1"/>
  <c r="X12" i="8"/>
  <c r="F221" i="13"/>
  <c r="F221" i="12"/>
  <c r="F295" i="13"/>
  <c r="F295" i="12"/>
  <c r="X250" i="8"/>
  <c r="X178" i="8"/>
  <c r="X288" i="8"/>
  <c r="F220" i="13"/>
  <c r="F220" i="12"/>
  <c r="U60" i="8"/>
  <c r="V60" i="8"/>
  <c r="Y60" i="8" s="1"/>
  <c r="V149" i="8"/>
  <c r="Y149" i="8" s="1"/>
  <c r="U149" i="8"/>
  <c r="X28" i="8"/>
  <c r="Z28" i="8" s="1"/>
  <c r="X270" i="8"/>
  <c r="Z270" i="8" s="1"/>
  <c r="W270" i="8"/>
  <c r="X229" i="8"/>
  <c r="F311" i="13"/>
  <c r="F311" i="12"/>
  <c r="AF347" i="8"/>
  <c r="AH347" i="8" s="1"/>
  <c r="P347" i="8"/>
  <c r="L347" i="8"/>
  <c r="F212" i="13"/>
  <c r="F212" i="12"/>
  <c r="F38" i="13"/>
  <c r="F38" i="12"/>
  <c r="O276" i="12"/>
  <c r="AD276" i="8"/>
  <c r="AC276" i="8"/>
  <c r="AP276" i="8"/>
  <c r="AB276" i="8"/>
  <c r="AJ276" i="8"/>
  <c r="AA276" i="8"/>
  <c r="AK276" i="8"/>
  <c r="V238" i="12"/>
  <c r="Q238" i="12"/>
  <c r="AG238" i="12" s="1"/>
  <c r="AF238" i="12"/>
  <c r="O50" i="12"/>
  <c r="AP50" i="8"/>
  <c r="AD50" i="8"/>
  <c r="AC50" i="8"/>
  <c r="AB50" i="8"/>
  <c r="AA50" i="8"/>
  <c r="F47" i="13"/>
  <c r="F47" i="12"/>
  <c r="AC283" i="8"/>
  <c r="AB283" i="8"/>
  <c r="AD283" i="8"/>
  <c r="AP283" i="8"/>
  <c r="AK283" i="8"/>
  <c r="AJ283" i="8"/>
  <c r="AA283" i="8"/>
  <c r="AB100" i="8"/>
  <c r="AP100" i="8"/>
  <c r="AD100" i="8"/>
  <c r="AC100" i="8"/>
  <c r="AA100" i="8"/>
  <c r="V161" i="12"/>
  <c r="AF161" i="12"/>
  <c r="Q161" i="12"/>
  <c r="AG161" i="12" s="1"/>
  <c r="F197" i="13"/>
  <c r="F197" i="12"/>
  <c r="V257" i="8"/>
  <c r="Y257" i="8" s="1"/>
  <c r="U257" i="8"/>
  <c r="F128" i="13"/>
  <c r="F128" i="12"/>
  <c r="O56" i="12"/>
  <c r="AD56" i="8"/>
  <c r="AC56" i="8"/>
  <c r="AB56" i="8"/>
  <c r="AP56" i="8"/>
  <c r="AA56" i="8"/>
  <c r="AJ56" i="8"/>
  <c r="AK56" i="8"/>
  <c r="F274" i="13"/>
  <c r="F274" i="12"/>
  <c r="F262" i="13"/>
  <c r="F262" i="12"/>
  <c r="F301" i="13"/>
  <c r="F301" i="12"/>
  <c r="F280" i="13"/>
  <c r="F280" i="12"/>
  <c r="AF312" i="8"/>
  <c r="AH312" i="8" s="1"/>
  <c r="L312" i="8"/>
  <c r="P312" i="8" s="1"/>
  <c r="R312" i="8" s="1"/>
  <c r="V162" i="8"/>
  <c r="Y162" i="8" s="1"/>
  <c r="U162" i="8"/>
  <c r="F208" i="13"/>
  <c r="F208" i="12"/>
  <c r="J25" i="7"/>
  <c r="E25" i="1" s="1"/>
  <c r="P204" i="8"/>
  <c r="AF204" i="8"/>
  <c r="AH204" i="8" s="1"/>
  <c r="R204" i="12"/>
  <c r="S204" i="12" s="1"/>
  <c r="U204" i="12" s="1"/>
  <c r="L204" i="8"/>
  <c r="AJ244" i="12"/>
  <c r="AI244" i="12"/>
  <c r="Z244" i="12"/>
  <c r="F332" i="13"/>
  <c r="F332" i="12"/>
  <c r="F26" i="13"/>
  <c r="F26" i="12"/>
  <c r="O59" i="12"/>
  <c r="AP59" i="8"/>
  <c r="AD59" i="8"/>
  <c r="AC59" i="8"/>
  <c r="AB59" i="8"/>
  <c r="AA59" i="8"/>
  <c r="F150" i="13"/>
  <c r="F150" i="12"/>
  <c r="O214" i="12"/>
  <c r="AB214" i="8"/>
  <c r="AP214" i="8"/>
  <c r="AD214" i="8"/>
  <c r="AC214" i="8"/>
  <c r="AA214" i="8"/>
  <c r="Q177" i="12"/>
  <c r="AG177" i="12" s="1"/>
  <c r="AF177" i="12"/>
  <c r="V177" i="12"/>
  <c r="F310" i="13"/>
  <c r="F310" i="12"/>
  <c r="F167" i="13"/>
  <c r="F167" i="12"/>
  <c r="F359" i="13"/>
  <c r="F359" i="12"/>
  <c r="F353" i="13"/>
  <c r="F353" i="12"/>
  <c r="F148" i="13"/>
  <c r="F148" i="12"/>
  <c r="F44" i="13"/>
  <c r="F44" i="12"/>
  <c r="AH54" i="8"/>
  <c r="R255" i="12"/>
  <c r="S255" i="12" s="1"/>
  <c r="U255" i="12" s="1"/>
  <c r="O64" i="12"/>
  <c r="AD64" i="8"/>
  <c r="AC64" i="8"/>
  <c r="AB64" i="8"/>
  <c r="AP64" i="8"/>
  <c r="AA64" i="8"/>
  <c r="V64" i="8"/>
  <c r="Y64" i="8" s="1"/>
  <c r="AJ64" i="8"/>
  <c r="AK64" i="8"/>
  <c r="F211" i="13"/>
  <c r="F211" i="12"/>
  <c r="F86" i="13"/>
  <c r="F86" i="12"/>
  <c r="F345" i="13"/>
  <c r="F345" i="12"/>
  <c r="V47" i="12"/>
  <c r="AF47" i="12"/>
  <c r="Q47" i="12"/>
  <c r="AG47" i="12" s="1"/>
  <c r="F273" i="13"/>
  <c r="F273" i="12"/>
  <c r="F235" i="13"/>
  <c r="F235" i="12"/>
  <c r="H152" i="13"/>
  <c r="R152" i="13"/>
  <c r="J152" i="13"/>
  <c r="O245" i="12"/>
  <c r="AD245" i="8"/>
  <c r="AP245" i="8"/>
  <c r="AC245" i="8"/>
  <c r="AB245" i="8"/>
  <c r="AA245" i="8"/>
  <c r="AJ245" i="8"/>
  <c r="AK245" i="8"/>
  <c r="O245" i="8"/>
  <c r="R245" i="8" s="1"/>
  <c r="V245" i="8"/>
  <c r="Y245" i="8" s="1"/>
  <c r="U245" i="8"/>
  <c r="AF300" i="8"/>
  <c r="P300" i="8"/>
  <c r="F252" i="13"/>
  <c r="F252" i="12"/>
  <c r="F135" i="13"/>
  <c r="F135" i="12"/>
  <c r="X331" i="8"/>
  <c r="Z331" i="8" s="1"/>
  <c r="AI331" i="8" s="1"/>
  <c r="AQ331" i="8" s="1"/>
  <c r="AR331" i="8" s="1"/>
  <c r="W331" i="8"/>
  <c r="F110" i="13"/>
  <c r="F110" i="12"/>
  <c r="AC21" i="8"/>
  <c r="AB21" i="8"/>
  <c r="AP21" i="8"/>
  <c r="AD21" i="8"/>
  <c r="AA21" i="8"/>
  <c r="AJ21" i="8"/>
  <c r="AK21" i="8"/>
  <c r="R221" i="12"/>
  <c r="S221" i="12" s="1"/>
  <c r="U221" i="12" s="1"/>
  <c r="F129" i="13"/>
  <c r="F129" i="12"/>
  <c r="H169" i="8"/>
  <c r="F36" i="13"/>
  <c r="F36" i="12"/>
  <c r="AH307" i="8"/>
  <c r="H14" i="8"/>
  <c r="F206" i="13"/>
  <c r="F206" i="12"/>
  <c r="F317" i="13"/>
  <c r="F317" i="12"/>
  <c r="AH29" i="8"/>
  <c r="AO91" i="8"/>
  <c r="AI352" i="12"/>
  <c r="Z352" i="12"/>
  <c r="AJ352" i="12"/>
  <c r="O286" i="12"/>
  <c r="AB286" i="8"/>
  <c r="AD286" i="8"/>
  <c r="AC286" i="8"/>
  <c r="AP286" i="8"/>
  <c r="AA286" i="8"/>
  <c r="Q331" i="12"/>
  <c r="AG331" i="12" s="1"/>
  <c r="AF331" i="12"/>
  <c r="V331" i="12"/>
  <c r="AO210" i="8"/>
  <c r="O155" i="12"/>
  <c r="AP155" i="8"/>
  <c r="AD155" i="8"/>
  <c r="AC155" i="8"/>
  <c r="AB155" i="8"/>
  <c r="AA155" i="8"/>
  <c r="O155" i="8"/>
  <c r="R155" i="8" s="1"/>
  <c r="V155" i="8"/>
  <c r="Y155" i="8" s="1"/>
  <c r="U155" i="8"/>
  <c r="AK155" i="8"/>
  <c r="AJ155" i="8"/>
  <c r="O102" i="12"/>
  <c r="AD102" i="8"/>
  <c r="AC102" i="8"/>
  <c r="AB102" i="8"/>
  <c r="AP102" i="8"/>
  <c r="AA102" i="8"/>
  <c r="AJ102" i="8"/>
  <c r="O102" i="8"/>
  <c r="R102" i="8" s="1"/>
  <c r="U102" i="8" s="1"/>
  <c r="V102" i="8"/>
  <c r="Y102" i="8" s="1"/>
  <c r="AK102" i="8"/>
  <c r="R353" i="8"/>
  <c r="O353" i="12"/>
  <c r="O332" i="12"/>
  <c r="AD332" i="8"/>
  <c r="AC332" i="8"/>
  <c r="AB332" i="8"/>
  <c r="AP332" i="8"/>
  <c r="AA332" i="8"/>
  <c r="AK332" i="8"/>
  <c r="AJ332" i="8"/>
  <c r="AC125" i="8"/>
  <c r="AB125" i="8"/>
  <c r="AP125" i="8"/>
  <c r="AD125" i="8"/>
  <c r="AA125" i="8"/>
  <c r="V125" i="8"/>
  <c r="Y125" i="8" s="1"/>
  <c r="AJ125" i="8"/>
  <c r="AK125" i="8"/>
  <c r="U125" i="8"/>
  <c r="O125" i="8"/>
  <c r="R125" i="8" s="1"/>
  <c r="V150" i="12"/>
  <c r="Y150" i="12" s="1"/>
  <c r="AF150" i="12"/>
  <c r="Q150" i="12"/>
  <c r="AG150" i="12" s="1"/>
  <c r="AK59" i="8"/>
  <c r="O251" i="12"/>
  <c r="AC251" i="8"/>
  <c r="AB251" i="8"/>
  <c r="AD251" i="8"/>
  <c r="AP251" i="8"/>
  <c r="AA251" i="8"/>
  <c r="AK251" i="8"/>
  <c r="AJ251" i="8"/>
  <c r="R321" i="8"/>
  <c r="R84" i="8"/>
  <c r="Q72" i="12"/>
  <c r="AG72" i="12" s="1"/>
  <c r="V72" i="12"/>
  <c r="Y72" i="12" s="1"/>
  <c r="AF72" i="12"/>
  <c r="V324" i="12"/>
  <c r="Q324" i="12"/>
  <c r="AG324" i="12" s="1"/>
  <c r="AF324" i="12"/>
  <c r="O231" i="12"/>
  <c r="AC231" i="8"/>
  <c r="AP231" i="8"/>
  <c r="AB231" i="8"/>
  <c r="AD231" i="8"/>
  <c r="AA231" i="8"/>
  <c r="AK231" i="8"/>
  <c r="AJ231" i="8"/>
  <c r="U231" i="8"/>
  <c r="V230" i="8"/>
  <c r="Y230" i="8" s="1"/>
  <c r="R117" i="8"/>
  <c r="R312" i="12"/>
  <c r="S312" i="12" s="1"/>
  <c r="U312" i="12" s="1"/>
  <c r="O96" i="12"/>
  <c r="AD96" i="8"/>
  <c r="AC96" i="8"/>
  <c r="AB96" i="8"/>
  <c r="AP96" i="8"/>
  <c r="AA96" i="8"/>
  <c r="AJ96" i="8"/>
  <c r="AK96" i="8"/>
  <c r="V28" i="8"/>
  <c r="Y28" i="8" s="1"/>
  <c r="R242" i="8"/>
  <c r="U242" i="8" s="1"/>
  <c r="O7" i="12"/>
  <c r="AD7" i="8"/>
  <c r="AC7" i="8"/>
  <c r="AB7" i="8"/>
  <c r="AP7" i="8"/>
  <c r="AA7" i="8"/>
  <c r="AJ7" i="8"/>
  <c r="AK7" i="8"/>
  <c r="O16" i="12"/>
  <c r="AD16" i="8"/>
  <c r="AC16" i="8"/>
  <c r="AB16" i="8"/>
  <c r="AP16" i="8"/>
  <c r="AA16" i="8"/>
  <c r="AJ16" i="8"/>
  <c r="AK16" i="8"/>
  <c r="F196" i="13"/>
  <c r="F196" i="12"/>
  <c r="AJ263" i="12"/>
  <c r="AI263" i="12"/>
  <c r="Z263" i="12"/>
  <c r="O119" i="12"/>
  <c r="AD119" i="8"/>
  <c r="AC119" i="8"/>
  <c r="AB119" i="8"/>
  <c r="AP119" i="8"/>
  <c r="AA119" i="8"/>
  <c r="F29" i="13"/>
  <c r="F29" i="12"/>
  <c r="AD236" i="8"/>
  <c r="AC236" i="8"/>
  <c r="AP236" i="8"/>
  <c r="AB236" i="8"/>
  <c r="AA236" i="8"/>
  <c r="AO188" i="8"/>
  <c r="AD25" i="8"/>
  <c r="AC25" i="8"/>
  <c r="AB25" i="8"/>
  <c r="AP25" i="8"/>
  <c r="AA25" i="8"/>
  <c r="AJ25" i="8"/>
  <c r="AK25" i="8"/>
  <c r="O200" i="12"/>
  <c r="AP200" i="8"/>
  <c r="AB200" i="8"/>
  <c r="AD200" i="8"/>
  <c r="AC200" i="8"/>
  <c r="AA200" i="8"/>
  <c r="AJ200" i="8"/>
  <c r="AK200" i="8"/>
  <c r="F177" i="13"/>
  <c r="F177" i="12"/>
  <c r="O292" i="12"/>
  <c r="AD292" i="8"/>
  <c r="AC292" i="8"/>
  <c r="AP292" i="8"/>
  <c r="AB292" i="8"/>
  <c r="AA292" i="8"/>
  <c r="AF187" i="12"/>
  <c r="V187" i="12"/>
  <c r="Q187" i="12"/>
  <c r="AG187" i="12" s="1"/>
  <c r="P276" i="8"/>
  <c r="AF276" i="8"/>
  <c r="O355" i="12"/>
  <c r="AP355" i="8"/>
  <c r="AD355" i="8"/>
  <c r="AC355" i="8"/>
  <c r="AB355" i="8"/>
  <c r="AA355" i="8"/>
  <c r="O92" i="12"/>
  <c r="AB92" i="8"/>
  <c r="AP92" i="8"/>
  <c r="AD92" i="8"/>
  <c r="AC92" i="8"/>
  <c r="AA92" i="8"/>
  <c r="F286" i="13"/>
  <c r="F286" i="12"/>
  <c r="F39" i="13"/>
  <c r="F39" i="12"/>
  <c r="V156" i="8"/>
  <c r="Y156" i="8" s="1"/>
  <c r="F144" i="13"/>
  <c r="F144" i="12"/>
  <c r="R123" i="8"/>
  <c r="V123" i="8" s="1"/>
  <c r="Y123" i="8" s="1"/>
  <c r="F200" i="13"/>
  <c r="F200" i="12"/>
  <c r="F339" i="13"/>
  <c r="F339" i="12"/>
  <c r="AF356" i="8"/>
  <c r="AH356" i="8" s="1"/>
  <c r="P356" i="8"/>
  <c r="R356" i="8" s="1"/>
  <c r="L356" i="8"/>
  <c r="F256" i="13"/>
  <c r="F256" i="12"/>
  <c r="R104" i="13"/>
  <c r="X104" i="13" s="1"/>
  <c r="I104" i="12" s="1"/>
  <c r="J104" i="12" s="1"/>
  <c r="K104" i="12" s="1"/>
  <c r="J104" i="13"/>
  <c r="P104" i="13" s="1"/>
  <c r="O115" i="12"/>
  <c r="AP115" i="8"/>
  <c r="AD115" i="8"/>
  <c r="AC115" i="8"/>
  <c r="AB115" i="8"/>
  <c r="AA115" i="8"/>
  <c r="U115" i="8"/>
  <c r="O115" i="8"/>
  <c r="R115" i="8" s="1"/>
  <c r="V115" i="8" s="1"/>
  <c r="Y115" i="8" s="1"/>
  <c r="AK115" i="8"/>
  <c r="AJ115" i="8"/>
  <c r="O276" i="8"/>
  <c r="R276" i="8" s="1"/>
  <c r="U276" i="8" s="1"/>
  <c r="AK105" i="12"/>
  <c r="Z105" i="12"/>
  <c r="AJ105" i="12"/>
  <c r="AI105" i="12"/>
  <c r="AA105" i="12"/>
  <c r="AO312" i="8"/>
  <c r="Q136" i="12"/>
  <c r="AG136" i="12" s="1"/>
  <c r="AF136" i="12"/>
  <c r="V136" i="12"/>
  <c r="F121" i="13"/>
  <c r="F121" i="12"/>
  <c r="P203" i="8"/>
  <c r="AF203" i="8"/>
  <c r="AH203" i="8" s="1"/>
  <c r="L203" i="8"/>
  <c r="F90" i="13"/>
  <c r="F90" i="12"/>
  <c r="J27" i="7"/>
  <c r="E27" i="1" s="1"/>
  <c r="AF355" i="8"/>
  <c r="P355" i="8"/>
  <c r="AF248" i="8"/>
  <c r="AH248" i="8" s="1"/>
  <c r="P248" i="8"/>
  <c r="AO203" i="8"/>
  <c r="F164" i="13"/>
  <c r="F164" i="12"/>
  <c r="R273" i="8"/>
  <c r="AF69" i="8"/>
  <c r="AH69" i="8" s="1"/>
  <c r="F340" i="13"/>
  <c r="F340" i="12"/>
  <c r="H248" i="8"/>
  <c r="X238" i="8"/>
  <c r="Z238" i="8" s="1"/>
  <c r="AI238" i="8" s="1"/>
  <c r="AQ238" i="8" s="1"/>
  <c r="W238" i="8"/>
  <c r="F350" i="13"/>
  <c r="F350" i="12"/>
  <c r="R294" i="12"/>
  <c r="S294" i="12" s="1"/>
  <c r="U294" i="12" s="1"/>
  <c r="X337" i="8"/>
  <c r="Z337" i="8" s="1"/>
  <c r="W337" i="8"/>
  <c r="F45" i="13"/>
  <c r="F45" i="12"/>
  <c r="L342" i="8"/>
  <c r="V124" i="8"/>
  <c r="Y124" i="8" s="1"/>
  <c r="U124" i="8"/>
  <c r="Q215" i="12"/>
  <c r="AG215" i="12" s="1"/>
  <c r="V215" i="12"/>
  <c r="AF215" i="12"/>
  <c r="F198" i="13"/>
  <c r="F198" i="12"/>
  <c r="F292" i="13"/>
  <c r="F292" i="12"/>
  <c r="R347" i="12"/>
  <c r="S347" i="12" s="1"/>
  <c r="U347" i="12" s="1"/>
  <c r="F12" i="13"/>
  <c r="F12" i="12"/>
  <c r="O11" i="12"/>
  <c r="AP11" i="8"/>
  <c r="AD11" i="8"/>
  <c r="AC11" i="8"/>
  <c r="AB11" i="8"/>
  <c r="AA11" i="8"/>
  <c r="AK11" i="8"/>
  <c r="AJ11" i="8"/>
  <c r="AF51" i="8"/>
  <c r="P51" i="8"/>
  <c r="O242" i="12"/>
  <c r="AB242" i="8"/>
  <c r="AP242" i="8"/>
  <c r="AD242" i="8"/>
  <c r="AC242" i="8"/>
  <c r="AA242" i="8"/>
  <c r="AJ242" i="8"/>
  <c r="AK242" i="8"/>
  <c r="AH163" i="8"/>
  <c r="F305" i="13"/>
  <c r="F305" i="12"/>
  <c r="AF74" i="8"/>
  <c r="AH74" i="8" s="1"/>
  <c r="P74" i="8"/>
  <c r="L74" i="8"/>
  <c r="R74" i="12"/>
  <c r="S74" i="12" s="1"/>
  <c r="U74" i="12" s="1"/>
  <c r="F226" i="13"/>
  <c r="F226" i="12"/>
  <c r="AN87" i="8"/>
  <c r="F349" i="13"/>
  <c r="F349" i="12"/>
  <c r="U272" i="8"/>
  <c r="AK120" i="12"/>
  <c r="AI120" i="12"/>
  <c r="Z120" i="12"/>
  <c r="F48" i="13"/>
  <c r="F48" i="12"/>
  <c r="AF173" i="8"/>
  <c r="P173" i="8"/>
  <c r="AN200" i="8"/>
  <c r="AN160" i="8"/>
  <c r="P343" i="8"/>
  <c r="R343" i="8" s="1"/>
  <c r="AF343" i="8"/>
  <c r="AH343" i="8" s="1"/>
  <c r="L343" i="8"/>
  <c r="O243" i="12"/>
  <c r="AC243" i="8"/>
  <c r="AB243" i="8"/>
  <c r="AD243" i="8"/>
  <c r="AP243" i="8"/>
  <c r="AA243" i="8"/>
  <c r="AN339" i="8"/>
  <c r="F21" i="7"/>
  <c r="F72" i="13"/>
  <c r="F72" i="12"/>
  <c r="AA72" i="12" s="1"/>
  <c r="AC72" i="12" s="1"/>
  <c r="AN280" i="8"/>
  <c r="O145" i="12"/>
  <c r="AD145" i="8"/>
  <c r="AC145" i="8"/>
  <c r="AB145" i="8"/>
  <c r="AP145" i="8"/>
  <c r="AA145" i="8"/>
  <c r="AK145" i="8"/>
  <c r="AJ145" i="8"/>
  <c r="O145" i="8"/>
  <c r="R145" i="8" s="1"/>
  <c r="V145" i="8" s="1"/>
  <c r="Y145" i="8" s="1"/>
  <c r="O127" i="12"/>
  <c r="AD127" i="8"/>
  <c r="AC127" i="8"/>
  <c r="AB127" i="8"/>
  <c r="AP127" i="8"/>
  <c r="AA127" i="8"/>
  <c r="AJ127" i="8"/>
  <c r="AK127" i="8"/>
  <c r="O127" i="8"/>
  <c r="R127" i="8" s="1"/>
  <c r="V127" i="8"/>
  <c r="Y127" i="8" s="1"/>
  <c r="U127" i="8"/>
  <c r="AF113" i="8"/>
  <c r="AH113" i="8" s="1"/>
  <c r="P113" i="8"/>
  <c r="R113" i="8" s="1"/>
  <c r="L113" i="8"/>
  <c r="X136" i="8"/>
  <c r="Z136" i="8" s="1"/>
  <c r="W136" i="8"/>
  <c r="R291" i="8"/>
  <c r="G8" i="7"/>
  <c r="J8" i="7" s="1"/>
  <c r="E8" i="1" s="1"/>
  <c r="H188" i="8"/>
  <c r="O280" i="12"/>
  <c r="AP280" i="8"/>
  <c r="AD280" i="8"/>
  <c r="AC280" i="8"/>
  <c r="AB280" i="8"/>
  <c r="O280" i="8"/>
  <c r="R280" i="8" s="1"/>
  <c r="V280" i="8" s="1"/>
  <c r="Y280" i="8" s="1"/>
  <c r="AJ280" i="8"/>
  <c r="AK280" i="8"/>
  <c r="AA280" i="8"/>
  <c r="AH19" i="8"/>
  <c r="AF311" i="8"/>
  <c r="AH311" i="8" s="1"/>
  <c r="AH276" i="8"/>
  <c r="J105" i="13"/>
  <c r="R105" i="13"/>
  <c r="H105" i="13"/>
  <c r="AF262" i="8"/>
  <c r="P262" i="8"/>
  <c r="O352" i="12"/>
  <c r="AC352" i="8"/>
  <c r="AP352" i="8"/>
  <c r="AD352" i="8"/>
  <c r="AB352" i="8"/>
  <c r="AA352" i="8"/>
  <c r="AK352" i="8"/>
  <c r="AJ352" i="8"/>
  <c r="F88" i="13"/>
  <c r="F88" i="12"/>
  <c r="F266" i="13"/>
  <c r="F266" i="12"/>
  <c r="AC267" i="8"/>
  <c r="AB267" i="8"/>
  <c r="AD267" i="8"/>
  <c r="AP267" i="8"/>
  <c r="AA267" i="8"/>
  <c r="U267" i="8"/>
  <c r="AK267" i="8"/>
  <c r="AJ267" i="8"/>
  <c r="V267" i="8"/>
  <c r="Y267" i="8" s="1"/>
  <c r="O232" i="12"/>
  <c r="AP232" i="8"/>
  <c r="AD232" i="8"/>
  <c r="AC232" i="8"/>
  <c r="AB232" i="8"/>
  <c r="AA232" i="8"/>
  <c r="AJ232" i="8"/>
  <c r="AK232" i="8"/>
  <c r="V232" i="8"/>
  <c r="Y232" i="8" s="1"/>
  <c r="G20" i="7"/>
  <c r="J20" i="7" s="1"/>
  <c r="E20" i="1" s="1"/>
  <c r="R244" i="13"/>
  <c r="J244" i="13"/>
  <c r="H244" i="13"/>
  <c r="P200" i="8"/>
  <c r="R200" i="8" s="1"/>
  <c r="V200" i="8" s="1"/>
  <c r="Y200" i="8" s="1"/>
  <c r="F20" i="13"/>
  <c r="F20" i="12"/>
  <c r="H116" i="8"/>
  <c r="F217" i="13"/>
  <c r="F217" i="12"/>
  <c r="L51" i="8"/>
  <c r="G49" i="7"/>
  <c r="J49" i="7" s="1"/>
  <c r="E49" i="1" s="1"/>
  <c r="AH326" i="8"/>
  <c r="R355" i="12"/>
  <c r="S355" i="12" s="1"/>
  <c r="U355" i="12" s="1"/>
  <c r="AF20" i="8"/>
  <c r="AH20" i="8" s="1"/>
  <c r="P20" i="8"/>
  <c r="R20" i="8" s="1"/>
  <c r="L20" i="8"/>
  <c r="U76" i="8"/>
  <c r="AF114" i="8"/>
  <c r="AH114" i="8" s="1"/>
  <c r="P114" i="8"/>
  <c r="R114" i="8" s="1"/>
  <c r="L114" i="8"/>
  <c r="AN308" i="8"/>
  <c r="R300" i="12"/>
  <c r="S300" i="12" s="1"/>
  <c r="U300" i="12" s="1"/>
  <c r="F351" i="13"/>
  <c r="F351" i="12"/>
  <c r="AN94" i="8"/>
  <c r="P232" i="8"/>
  <c r="R232" i="8" s="1"/>
  <c r="U232" i="8" s="1"/>
  <c r="L248" i="8"/>
  <c r="O13" i="12"/>
  <c r="AC13" i="8"/>
  <c r="AB13" i="8"/>
  <c r="AP13" i="8"/>
  <c r="AD13" i="8"/>
  <c r="AA13" i="8"/>
  <c r="O168" i="12"/>
  <c r="AD168" i="8"/>
  <c r="AC168" i="8"/>
  <c r="AB168" i="8"/>
  <c r="AP168" i="8"/>
  <c r="O168" i="8"/>
  <c r="R168" i="8" s="1"/>
  <c r="V168" i="8" s="1"/>
  <c r="Y168" i="8" s="1"/>
  <c r="AJ168" i="8"/>
  <c r="AK168" i="8"/>
  <c r="AA168" i="8"/>
  <c r="AF93" i="8"/>
  <c r="P93" i="8"/>
  <c r="J325" i="13"/>
  <c r="H325" i="13"/>
  <c r="R325" i="13"/>
  <c r="F117" i="13"/>
  <c r="F117" i="12"/>
  <c r="L68" i="8"/>
  <c r="F186" i="13"/>
  <c r="F186" i="12"/>
  <c r="R209" i="12"/>
  <c r="S209" i="12" s="1"/>
  <c r="U209" i="12" s="1"/>
  <c r="AK6" i="8"/>
  <c r="AF264" i="8"/>
  <c r="AH264" i="8" s="1"/>
  <c r="L264" i="8"/>
  <c r="R264" i="12"/>
  <c r="S264" i="12" s="1"/>
  <c r="U264" i="12" s="1"/>
  <c r="AD309" i="8"/>
  <c r="AB309" i="8"/>
  <c r="AP309" i="8"/>
  <c r="AC309" i="8"/>
  <c r="AA309" i="8"/>
  <c r="F158" i="13"/>
  <c r="F158" i="12"/>
  <c r="F65" i="13"/>
  <c r="F65" i="12"/>
  <c r="AO114" i="8"/>
  <c r="AH173" i="8"/>
  <c r="V153" i="8"/>
  <c r="Y153" i="8" s="1"/>
  <c r="F27" i="13"/>
  <c r="F27" i="12"/>
  <c r="AN248" i="8"/>
  <c r="AI58" i="12"/>
  <c r="AJ58" i="12"/>
  <c r="Z58" i="12"/>
  <c r="F34" i="13"/>
  <c r="F34" i="12"/>
  <c r="O54" i="12"/>
  <c r="AD54" i="8"/>
  <c r="AC54" i="8"/>
  <c r="AB54" i="8"/>
  <c r="AP54" i="8"/>
  <c r="AA54" i="8"/>
  <c r="O225" i="12"/>
  <c r="AP225" i="8"/>
  <c r="AD225" i="8"/>
  <c r="AC225" i="8"/>
  <c r="AB225" i="8"/>
  <c r="AA225" i="8"/>
  <c r="O79" i="12"/>
  <c r="AD79" i="8"/>
  <c r="AC79" i="8"/>
  <c r="AB79" i="8"/>
  <c r="AP79" i="8"/>
  <c r="AA79" i="8"/>
  <c r="AJ79" i="8"/>
  <c r="AK79" i="8"/>
  <c r="U47" i="8"/>
  <c r="F257" i="13"/>
  <c r="F257" i="12"/>
  <c r="O339" i="12"/>
  <c r="AD339" i="8"/>
  <c r="AP339" i="8"/>
  <c r="AC339" i="8"/>
  <c r="AB339" i="8"/>
  <c r="AA339" i="8"/>
  <c r="AK339" i="8"/>
  <c r="AJ339" i="8"/>
  <c r="F182" i="13"/>
  <c r="F182" i="12"/>
  <c r="H195" i="8"/>
  <c r="F229" i="13"/>
  <c r="F229" i="12"/>
  <c r="V149" i="12"/>
  <c r="Q149" i="12"/>
  <c r="AG149" i="12" s="1"/>
  <c r="AF149" i="12"/>
  <c r="L69" i="8"/>
  <c r="P69" i="8" s="1"/>
  <c r="R69" i="8" s="1"/>
  <c r="F139" i="13"/>
  <c r="F139" i="12"/>
  <c r="H50" i="8"/>
  <c r="F181" i="13"/>
  <c r="F181" i="12"/>
  <c r="L24" i="8"/>
  <c r="F147" i="13"/>
  <c r="F147" i="12"/>
  <c r="AN202" i="8"/>
  <c r="F344" i="13"/>
  <c r="F344" i="12"/>
  <c r="AF86" i="8"/>
  <c r="AH86" i="8" s="1"/>
  <c r="R295" i="12"/>
  <c r="S295" i="12" s="1"/>
  <c r="U295" i="12" s="1"/>
  <c r="F126" i="13"/>
  <c r="F126" i="12"/>
  <c r="F155" i="13"/>
  <c r="F155" i="12"/>
  <c r="O350" i="12"/>
  <c r="AP350" i="8"/>
  <c r="AD350" i="8"/>
  <c r="AC350" i="8"/>
  <c r="AB350" i="8"/>
  <c r="AA350" i="8"/>
  <c r="AK350" i="8"/>
  <c r="V350" i="8"/>
  <c r="Y350" i="8" s="1"/>
  <c r="U350" i="8"/>
  <c r="AJ350" i="8"/>
  <c r="AI346" i="12"/>
  <c r="Z346" i="12"/>
  <c r="AJ346" i="12"/>
  <c r="O227" i="12"/>
  <c r="AC227" i="8"/>
  <c r="AB227" i="8"/>
  <c r="AP227" i="8"/>
  <c r="AD227" i="8"/>
  <c r="AA227" i="8"/>
  <c r="AK227" i="8"/>
  <c r="AJ227" i="8"/>
  <c r="R261" i="8"/>
  <c r="AN222" i="8"/>
  <c r="AN23" i="8"/>
  <c r="V178" i="8"/>
  <c r="Y178" i="8" s="1"/>
  <c r="V6" i="8"/>
  <c r="Y6" i="8" s="1"/>
  <c r="AF154" i="8"/>
  <c r="AH154" i="8" s="1"/>
  <c r="P154" i="8"/>
  <c r="R154" i="12"/>
  <c r="S154" i="12" s="1"/>
  <c r="U154" i="12" s="1"/>
  <c r="L154" i="8"/>
  <c r="AN16" i="8"/>
  <c r="H268" i="8"/>
  <c r="F142" i="13"/>
  <c r="F142" i="12"/>
  <c r="AF18" i="8"/>
  <c r="AH18" i="8" s="1"/>
  <c r="P18" i="8"/>
  <c r="R18" i="8" s="1"/>
  <c r="L18" i="8"/>
  <c r="P64" i="8"/>
  <c r="R64" i="8" s="1"/>
  <c r="U64" i="8" s="1"/>
  <c r="P282" i="8"/>
  <c r="R282" i="8" s="1"/>
  <c r="AF52" i="8"/>
  <c r="P52" i="8"/>
  <c r="AO52" i="8"/>
  <c r="H52" i="8"/>
  <c r="F225" i="13"/>
  <c r="F225" i="12"/>
  <c r="AN348" i="8"/>
  <c r="F187" i="13"/>
  <c r="F187" i="12"/>
  <c r="V288" i="8"/>
  <c r="Y288" i="8" s="1"/>
  <c r="F279" i="13"/>
  <c r="F279" i="12"/>
  <c r="F199" i="13"/>
  <c r="F199" i="12"/>
  <c r="F245" i="13"/>
  <c r="F245" i="12"/>
  <c r="AN138" i="8"/>
  <c r="F40" i="7"/>
  <c r="AH256" i="8"/>
  <c r="AN154" i="8"/>
  <c r="AN112" i="8"/>
  <c r="H18" i="8"/>
  <c r="Q301" i="12"/>
  <c r="AG301" i="12" s="1"/>
  <c r="V301" i="12"/>
  <c r="AF301" i="12"/>
  <c r="AO51" i="8"/>
  <c r="R130" i="12"/>
  <c r="S134" i="12" s="1"/>
  <c r="U134" i="12" s="1"/>
  <c r="F18" i="7"/>
  <c r="AF119" i="8"/>
  <c r="AH119" i="8" s="1"/>
  <c r="P119" i="8"/>
  <c r="AH333" i="8"/>
  <c r="O307" i="12"/>
  <c r="AC307" i="8"/>
  <c r="AB307" i="8"/>
  <c r="AP307" i="8"/>
  <c r="AD307" i="8"/>
  <c r="AA307" i="8"/>
  <c r="AK307" i="8"/>
  <c r="AJ307" i="8"/>
  <c r="O319" i="12"/>
  <c r="AD319" i="8"/>
  <c r="AC319" i="8"/>
  <c r="AB319" i="8"/>
  <c r="AP319" i="8"/>
  <c r="AA319" i="8"/>
  <c r="AJ319" i="8"/>
  <c r="AK319" i="8"/>
  <c r="H347" i="8"/>
  <c r="AJ292" i="8"/>
  <c r="AJ179" i="8"/>
  <c r="AN133" i="8"/>
  <c r="R323" i="8"/>
  <c r="V323" i="8" s="1"/>
  <c r="Y323" i="8" s="1"/>
  <c r="F143" i="13"/>
  <c r="F143" i="12"/>
  <c r="F296" i="13"/>
  <c r="F296" i="12"/>
  <c r="AN294" i="8"/>
  <c r="P309" i="8"/>
  <c r="O29" i="12"/>
  <c r="AC29" i="8"/>
  <c r="AB29" i="8"/>
  <c r="AP29" i="8"/>
  <c r="AD29" i="8"/>
  <c r="AA29" i="8"/>
  <c r="F26" i="7"/>
  <c r="H25" i="8"/>
  <c r="R352" i="13"/>
  <c r="X352" i="13" s="1"/>
  <c r="I352" i="12" s="1"/>
  <c r="J352" i="12" s="1"/>
  <c r="K352" i="12" s="1"/>
  <c r="J352" i="13"/>
  <c r="P352" i="13" s="1"/>
  <c r="AN295" i="8"/>
  <c r="O286" i="8"/>
  <c r="AO356" i="8"/>
  <c r="AN259" i="8"/>
  <c r="O314" i="12"/>
  <c r="AB314" i="8"/>
  <c r="AD314" i="8"/>
  <c r="AP314" i="8"/>
  <c r="AC314" i="8"/>
  <c r="AA314" i="8"/>
  <c r="O314" i="8"/>
  <c r="R314" i="8" s="1"/>
  <c r="V314" i="8" s="1"/>
  <c r="Y314" i="8" s="1"/>
  <c r="AK314" i="8"/>
  <c r="AJ314" i="8"/>
  <c r="O281" i="12"/>
  <c r="AP281" i="8"/>
  <c r="AD281" i="8"/>
  <c r="AC281" i="8"/>
  <c r="AB281" i="8"/>
  <c r="U281" i="8"/>
  <c r="AK281" i="8"/>
  <c r="AA281" i="8"/>
  <c r="O281" i="8"/>
  <c r="R281" i="8" s="1"/>
  <c r="AJ281" i="8"/>
  <c r="V281" i="8"/>
  <c r="Y281" i="8" s="1"/>
  <c r="P251" i="8"/>
  <c r="R251" i="8" s="1"/>
  <c r="U251" i="8" s="1"/>
  <c r="O8" i="12"/>
  <c r="AD8" i="8"/>
  <c r="AC8" i="8"/>
  <c r="AB8" i="8"/>
  <c r="AP8" i="8"/>
  <c r="AA8" i="8"/>
  <c r="O8" i="8"/>
  <c r="R8" i="8" s="1"/>
  <c r="V8" i="8"/>
  <c r="Y8" i="8" s="1"/>
  <c r="AJ8" i="8"/>
  <c r="U8" i="8"/>
  <c r="AK8" i="8"/>
  <c r="AB274" i="8"/>
  <c r="AD274" i="8"/>
  <c r="AC274" i="8"/>
  <c r="AP274" i="8"/>
  <c r="AA274" i="8"/>
  <c r="AJ274" i="8"/>
  <c r="V274" i="8"/>
  <c r="Y274" i="8" s="1"/>
  <c r="U274" i="8"/>
  <c r="AK274" i="8"/>
  <c r="R165" i="8"/>
  <c r="O40" i="12"/>
  <c r="AD40" i="8"/>
  <c r="AC40" i="8"/>
  <c r="AB40" i="8"/>
  <c r="AP40" i="8"/>
  <c r="AA40" i="8"/>
  <c r="U40" i="8"/>
  <c r="AJ40" i="8"/>
  <c r="O40" i="8"/>
  <c r="R40" i="8" s="1"/>
  <c r="V40" i="8" s="1"/>
  <c r="Y40" i="8" s="1"/>
  <c r="AK40" i="8"/>
  <c r="O62" i="12"/>
  <c r="AD62" i="8"/>
  <c r="AC62" i="8"/>
  <c r="AB62" i="8"/>
  <c r="AP62" i="8"/>
  <c r="AA62" i="8"/>
  <c r="AK62" i="8"/>
  <c r="AJ62" i="8"/>
  <c r="V62" i="8"/>
  <c r="Y62" i="8" s="1"/>
  <c r="U62" i="8"/>
  <c r="O205" i="12"/>
  <c r="AP205" i="8"/>
  <c r="AD205" i="8"/>
  <c r="AB205" i="8"/>
  <c r="AC205" i="8"/>
  <c r="AA205" i="8"/>
  <c r="AK205" i="8"/>
  <c r="AJ205" i="8"/>
  <c r="O205" i="8"/>
  <c r="R205" i="8" s="1"/>
  <c r="V205" i="8" s="1"/>
  <c r="Y205" i="8" s="1"/>
  <c r="Q83" i="12"/>
  <c r="AG83" i="12" s="1"/>
  <c r="AF83" i="12"/>
  <c r="V83" i="12"/>
  <c r="AJ355" i="8"/>
  <c r="AF244" i="12"/>
  <c r="V244" i="12"/>
  <c r="Q244" i="12"/>
  <c r="AG244" i="12" s="1"/>
  <c r="AA244" i="12"/>
  <c r="O151" i="12"/>
  <c r="AD151" i="8"/>
  <c r="AC151" i="8"/>
  <c r="AB151" i="8"/>
  <c r="AP151" i="8"/>
  <c r="AJ151" i="8"/>
  <c r="AK151" i="8"/>
  <c r="AA151" i="8"/>
  <c r="O151" i="8"/>
  <c r="R151" i="8" s="1"/>
  <c r="U151" i="8" s="1"/>
  <c r="V151" i="8"/>
  <c r="Y151" i="8" s="1"/>
  <c r="O77" i="12"/>
  <c r="AC77" i="8"/>
  <c r="AB77" i="8"/>
  <c r="AP77" i="8"/>
  <c r="AD77" i="8"/>
  <c r="AA77" i="8"/>
  <c r="O77" i="8"/>
  <c r="R77" i="8" s="1"/>
  <c r="V77" i="8" s="1"/>
  <c r="Y77" i="8" s="1"/>
  <c r="AJ77" i="8"/>
  <c r="AK77" i="8"/>
  <c r="P231" i="8"/>
  <c r="R231" i="8" s="1"/>
  <c r="V231" i="8" s="1"/>
  <c r="Y231" i="8" s="1"/>
  <c r="O277" i="12"/>
  <c r="AD277" i="8"/>
  <c r="AP277" i="8"/>
  <c r="AC277" i="8"/>
  <c r="AB277" i="8"/>
  <c r="AK277" i="8"/>
  <c r="O277" i="8"/>
  <c r="R277" i="8" s="1"/>
  <c r="U277" i="8" s="1"/>
  <c r="V277" i="8"/>
  <c r="Y277" i="8" s="1"/>
  <c r="AA277" i="8"/>
  <c r="AJ277" i="8"/>
  <c r="R343" i="12"/>
  <c r="S343" i="12" s="1"/>
  <c r="U343" i="12" s="1"/>
  <c r="O223" i="12"/>
  <c r="AC223" i="8"/>
  <c r="AP223" i="8"/>
  <c r="AD223" i="8"/>
  <c r="AB223" i="8"/>
  <c r="AA223" i="8"/>
  <c r="AJ223" i="8"/>
  <c r="AK223" i="8"/>
  <c r="U223" i="8"/>
  <c r="O223" i="8"/>
  <c r="R223" i="8" s="1"/>
  <c r="V223" i="8" s="1"/>
  <c r="Y223" i="8" s="1"/>
  <c r="O175" i="12"/>
  <c r="AD175" i="8"/>
  <c r="AC175" i="8"/>
  <c r="AB175" i="8"/>
  <c r="AP175" i="8"/>
  <c r="AA175" i="8"/>
  <c r="V175" i="8"/>
  <c r="Y175" i="8" s="1"/>
  <c r="AJ175" i="8"/>
  <c r="U175" i="8"/>
  <c r="AK175" i="8"/>
  <c r="V176" i="12"/>
  <c r="AF176" i="12"/>
  <c r="Q176" i="12"/>
  <c r="AG176" i="12" s="1"/>
  <c r="P322" i="8"/>
  <c r="P96" i="8"/>
  <c r="R96" i="8" s="1"/>
  <c r="V96" i="8" s="1"/>
  <c r="Y96" i="8" s="1"/>
  <c r="O118" i="12"/>
  <c r="AD118" i="8"/>
  <c r="AC118" i="8"/>
  <c r="AB118" i="8"/>
  <c r="AP118" i="8"/>
  <c r="AA118" i="8"/>
  <c r="U118" i="8"/>
  <c r="AK118" i="8"/>
  <c r="AJ118" i="8"/>
  <c r="O118" i="8"/>
  <c r="R118" i="8" s="1"/>
  <c r="V118" i="8" s="1"/>
  <c r="Y118" i="8" s="1"/>
  <c r="R263" i="13"/>
  <c r="J263" i="13"/>
  <c r="H263" i="13"/>
  <c r="AF39" i="12"/>
  <c r="V39" i="12"/>
  <c r="Y39" i="12" s="1"/>
  <c r="Q39" i="12"/>
  <c r="AG39" i="12" s="1"/>
  <c r="O170" i="12"/>
  <c r="AP170" i="8"/>
  <c r="AD170" i="8"/>
  <c r="AC170" i="8"/>
  <c r="AB170" i="8"/>
  <c r="AJ170" i="8"/>
  <c r="AA170" i="8"/>
  <c r="AK170" i="8"/>
  <c r="O170" i="8"/>
  <c r="R170" i="8" s="1"/>
  <c r="U170" i="8" s="1"/>
  <c r="F213" i="13"/>
  <c r="F213" i="12"/>
  <c r="AJ325" i="12"/>
  <c r="AK325" i="12"/>
  <c r="Z325" i="12"/>
  <c r="AF230" i="12"/>
  <c r="V230" i="12"/>
  <c r="Q230" i="12"/>
  <c r="AG230" i="12" s="1"/>
  <c r="U153" i="8"/>
  <c r="F323" i="13"/>
  <c r="F323" i="12"/>
  <c r="O146" i="12"/>
  <c r="AP146" i="8"/>
  <c r="AD146" i="8"/>
  <c r="AC146" i="8"/>
  <c r="AB146" i="8"/>
  <c r="AA146" i="8"/>
  <c r="J43" i="7"/>
  <c r="E43" i="1" s="1"/>
  <c r="F63" i="13"/>
  <c r="F63" i="12"/>
  <c r="P283" i="8"/>
  <c r="R283" i="8" s="1"/>
  <c r="U283" i="8" s="1"/>
  <c r="O189" i="12"/>
  <c r="AP189" i="8"/>
  <c r="AD189" i="8"/>
  <c r="AC189" i="8"/>
  <c r="AB189" i="8"/>
  <c r="AA189" i="8"/>
  <c r="O189" i="8"/>
  <c r="R189" i="8" s="1"/>
  <c r="V189" i="8"/>
  <c r="Y189" i="8" s="1"/>
  <c r="U189" i="8"/>
  <c r="AJ189" i="8"/>
  <c r="AK189" i="8"/>
  <c r="AC354" i="8"/>
  <c r="AD354" i="8"/>
  <c r="AB354" i="8"/>
  <c r="AP354" i="8"/>
  <c r="AA354" i="8"/>
  <c r="R217" i="8"/>
  <c r="F119" i="13"/>
  <c r="F119" i="12"/>
  <c r="O191" i="12"/>
  <c r="AC191" i="8"/>
  <c r="AP191" i="8"/>
  <c r="AD191" i="8"/>
  <c r="AB191" i="8"/>
  <c r="AA191" i="8"/>
  <c r="AK191" i="8"/>
  <c r="AJ191" i="8"/>
  <c r="AH156" i="8"/>
  <c r="O7" i="8"/>
  <c r="R7" i="8" s="1"/>
  <c r="U7" i="8" s="1"/>
  <c r="F23" i="7"/>
  <c r="AF269" i="8"/>
  <c r="AH269" i="8" s="1"/>
  <c r="P269" i="8"/>
  <c r="AF129" i="8"/>
  <c r="AH129" i="8" s="1"/>
  <c r="P129" i="8"/>
  <c r="R129" i="12"/>
  <c r="S129" i="12" s="1"/>
  <c r="U129" i="12" s="1"/>
  <c r="L129" i="8"/>
  <c r="F30" i="7"/>
  <c r="AF247" i="8"/>
  <c r="AH247" i="8" s="1"/>
  <c r="P247" i="8"/>
  <c r="R247" i="12"/>
  <c r="S247" i="12" s="1"/>
  <c r="U247" i="12" s="1"/>
  <c r="L247" i="8"/>
  <c r="AD134" i="8"/>
  <c r="AC134" i="8"/>
  <c r="AB134" i="8"/>
  <c r="AP134" i="8"/>
  <c r="AA134" i="8"/>
  <c r="AJ134" i="8"/>
  <c r="V134" i="8"/>
  <c r="Y134" i="8" s="1"/>
  <c r="U134" i="8"/>
  <c r="AK134" i="8"/>
  <c r="O16" i="8"/>
  <c r="R16" i="8" s="1"/>
  <c r="V16" i="8" s="1"/>
  <c r="Y16" i="8" s="1"/>
  <c r="H120" i="13"/>
  <c r="R120" i="13"/>
  <c r="J120" i="13"/>
  <c r="F96" i="13"/>
  <c r="F96" i="12"/>
  <c r="F201" i="13"/>
  <c r="F201" i="12"/>
  <c r="F331" i="13"/>
  <c r="F331" i="12"/>
  <c r="AJ101" i="8"/>
  <c r="O285" i="12"/>
  <c r="AD285" i="8"/>
  <c r="AP285" i="8"/>
  <c r="AC285" i="8"/>
  <c r="AB285" i="8"/>
  <c r="AJ285" i="8"/>
  <c r="AK285" i="8"/>
  <c r="AA285" i="8"/>
  <c r="F275" i="13"/>
  <c r="F275" i="12"/>
  <c r="F242" i="13"/>
  <c r="F242" i="12"/>
  <c r="O63" i="12"/>
  <c r="AD63" i="8"/>
  <c r="AC63" i="8"/>
  <c r="AB63" i="8"/>
  <c r="AP63" i="8"/>
  <c r="AA63" i="8"/>
  <c r="F171" i="13"/>
  <c r="F171" i="12"/>
  <c r="O202" i="12"/>
  <c r="AB202" i="8"/>
  <c r="AP202" i="8"/>
  <c r="AD202" i="8"/>
  <c r="AC202" i="8"/>
  <c r="AA202" i="8"/>
  <c r="O202" i="8"/>
  <c r="R202" i="8" s="1"/>
  <c r="U202" i="8" s="1"/>
  <c r="AJ202" i="8"/>
  <c r="AK202" i="8"/>
  <c r="AF66" i="8"/>
  <c r="AH66" i="8" s="1"/>
  <c r="P66" i="8"/>
  <c r="L66" i="8"/>
  <c r="AH61" i="8"/>
  <c r="AF234" i="8"/>
  <c r="AH234" i="8" s="1"/>
  <c r="P234" i="8"/>
  <c r="L234" i="8"/>
  <c r="R234" i="12"/>
  <c r="S234" i="12" s="1"/>
  <c r="U234" i="12" s="1"/>
  <c r="O119" i="8"/>
  <c r="R119" i="8" s="1"/>
  <c r="U119" i="8" s="1"/>
  <c r="AN191" i="8"/>
  <c r="F9" i="13"/>
  <c r="F9" i="12"/>
  <c r="O143" i="12"/>
  <c r="AD143" i="8"/>
  <c r="AC143" i="8"/>
  <c r="AB143" i="8"/>
  <c r="AP143" i="8"/>
  <c r="AA143" i="8"/>
  <c r="F99" i="13"/>
  <c r="F99" i="12"/>
  <c r="F324" i="13"/>
  <c r="F324" i="12"/>
  <c r="AA324" i="12" s="1"/>
  <c r="AF259" i="8"/>
  <c r="AH259" i="8" s="1"/>
  <c r="P259" i="8"/>
  <c r="R259" i="8" s="1"/>
  <c r="L259" i="8"/>
  <c r="AF249" i="8"/>
  <c r="AH249" i="8" s="1"/>
  <c r="P249" i="8"/>
  <c r="L249" i="8"/>
  <c r="AN82" i="8"/>
  <c r="AN256" i="8"/>
  <c r="AN208" i="8"/>
  <c r="R203" i="12"/>
  <c r="S203" i="12" s="1"/>
  <c r="U203" i="12" s="1"/>
  <c r="O291" i="12"/>
  <c r="AC291" i="8"/>
  <c r="AB291" i="8"/>
  <c r="AP291" i="8"/>
  <c r="AD291" i="8"/>
  <c r="AA291" i="8"/>
  <c r="AK291" i="8"/>
  <c r="AJ291" i="8"/>
  <c r="AN151" i="8"/>
  <c r="H255" i="8"/>
  <c r="O201" i="12"/>
  <c r="AP201" i="8"/>
  <c r="AC201" i="8"/>
  <c r="AB201" i="8"/>
  <c r="AD201" i="8"/>
  <c r="AA201" i="8"/>
  <c r="AK201" i="8"/>
  <c r="AJ201" i="8"/>
  <c r="H74" i="8"/>
  <c r="AN342" i="8"/>
  <c r="O196" i="12"/>
  <c r="AD196" i="8"/>
  <c r="AP196" i="8"/>
  <c r="AC196" i="8"/>
  <c r="AB196" i="8"/>
  <c r="AA196" i="8"/>
  <c r="O196" i="8"/>
  <c r="R196" i="8" s="1"/>
  <c r="U196" i="8" s="1"/>
  <c r="AK196" i="8"/>
  <c r="AJ196" i="8"/>
  <c r="V196" i="8"/>
  <c r="Y196" i="8" s="1"/>
  <c r="V352" i="8"/>
  <c r="Y352" i="8" s="1"/>
  <c r="V157" i="8"/>
  <c r="Y157" i="8" s="1"/>
  <c r="F271" i="13"/>
  <c r="F271" i="12"/>
  <c r="AK190" i="8"/>
  <c r="O287" i="12"/>
  <c r="AC287" i="8"/>
  <c r="AB287" i="8"/>
  <c r="AD287" i="8"/>
  <c r="AP287" i="8"/>
  <c r="AA287" i="8"/>
  <c r="AJ287" i="8"/>
  <c r="AK287" i="8"/>
  <c r="F34" i="7"/>
  <c r="V12" i="8"/>
  <c r="Y12" i="8" s="1"/>
  <c r="F284" i="13"/>
  <c r="F284" i="12"/>
  <c r="AH208" i="8"/>
  <c r="F137" i="13"/>
  <c r="F137" i="12"/>
  <c r="AN66" i="8"/>
  <c r="AN332" i="8"/>
  <c r="F118" i="13"/>
  <c r="F118" i="12"/>
  <c r="P191" i="8"/>
  <c r="F52" i="7"/>
  <c r="O50" i="8"/>
  <c r="F322" i="13"/>
  <c r="F322" i="12"/>
  <c r="F315" i="13"/>
  <c r="F315" i="12"/>
  <c r="G29" i="7"/>
  <c r="J29" i="7" s="1"/>
  <c r="E29" i="1" s="1"/>
  <c r="AN47" i="8"/>
  <c r="AN93" i="8"/>
  <c r="F218" i="13"/>
  <c r="F218" i="12"/>
  <c r="F316" i="13"/>
  <c r="F316" i="12"/>
  <c r="S236" i="12"/>
  <c r="U236" i="12" s="1"/>
  <c r="H204" i="8"/>
  <c r="AF359" i="8"/>
  <c r="AH359" i="8" s="1"/>
  <c r="P359" i="8"/>
  <c r="R359" i="8" s="1"/>
  <c r="R359" i="12"/>
  <c r="S359" i="12" s="1"/>
  <c r="U359" i="12" s="1"/>
  <c r="L359" i="8"/>
  <c r="AK146" i="8"/>
  <c r="AN149" i="8"/>
  <c r="AN69" i="8"/>
  <c r="O207" i="12"/>
  <c r="AC207" i="8"/>
  <c r="AP207" i="8"/>
  <c r="AD207" i="8"/>
  <c r="AB207" i="8"/>
  <c r="AA207" i="8"/>
  <c r="G19" i="7"/>
  <c r="J19" i="7" s="1"/>
  <c r="E19" i="1" s="1"/>
  <c r="V76" i="8"/>
  <c r="Y76" i="8" s="1"/>
  <c r="G13" i="7"/>
  <c r="J13" i="7" s="1"/>
  <c r="E13" i="1" s="1"/>
  <c r="F37" i="7"/>
  <c r="F318" i="13"/>
  <c r="F318" i="12"/>
  <c r="U13" i="8"/>
  <c r="F35" i="13"/>
  <c r="F35" i="12"/>
  <c r="F313" i="13"/>
  <c r="F313" i="12"/>
  <c r="O135" i="12"/>
  <c r="AD135" i="8"/>
  <c r="AC135" i="8"/>
  <c r="AB135" i="8"/>
  <c r="AP135" i="8"/>
  <c r="AA135" i="8"/>
  <c r="AJ135" i="8"/>
  <c r="AK135" i="8"/>
  <c r="AI70" i="12"/>
  <c r="Z70" i="12"/>
  <c r="AJ70" i="12"/>
  <c r="F230" i="13"/>
  <c r="F230" i="12"/>
  <c r="F15" i="7"/>
  <c r="AO164" i="8"/>
  <c r="O313" i="12"/>
  <c r="AP313" i="8"/>
  <c r="AD313" i="8"/>
  <c r="AC313" i="8"/>
  <c r="AB313" i="8"/>
  <c r="AA313" i="8"/>
  <c r="AK313" i="8"/>
  <c r="AJ313" i="8"/>
  <c r="O358" i="12"/>
  <c r="AB357" i="8"/>
  <c r="AP357" i="8"/>
  <c r="AD357" i="8"/>
  <c r="AC357" i="8"/>
  <c r="AA357" i="8"/>
  <c r="AK357" i="8"/>
  <c r="AJ357" i="8"/>
  <c r="O357" i="8"/>
  <c r="R357" i="8" s="1"/>
  <c r="V357" i="8" s="1"/>
  <c r="Y357" i="8" s="1"/>
  <c r="F31" i="7"/>
  <c r="AN254" i="8"/>
  <c r="AK119" i="8"/>
  <c r="AO276" i="8"/>
  <c r="AF22" i="8"/>
  <c r="AH22" i="8" s="1"/>
  <c r="AN353" i="8"/>
  <c r="F298" i="13"/>
  <c r="F298" i="12"/>
  <c r="AO340" i="8"/>
  <c r="L173" i="8"/>
  <c r="F111" i="13"/>
  <c r="F111" i="12"/>
  <c r="R58" i="13"/>
  <c r="J58" i="13"/>
  <c r="H58" i="13"/>
  <c r="Q67" i="12"/>
  <c r="AG67" i="12" s="1"/>
  <c r="V67" i="12"/>
  <c r="Y67" i="12" s="1"/>
  <c r="AF67" i="12"/>
  <c r="AN251" i="8"/>
  <c r="V101" i="8"/>
  <c r="Y101" i="8" s="1"/>
  <c r="P328" i="8"/>
  <c r="AF328" i="8"/>
  <c r="AH328" i="8" s="1"/>
  <c r="R328" i="12"/>
  <c r="S328" i="12" s="1"/>
  <c r="U328" i="12" s="1"/>
  <c r="L328" i="8"/>
  <c r="AH93" i="8"/>
  <c r="O107" i="12"/>
  <c r="AP107" i="8"/>
  <c r="AD107" i="8"/>
  <c r="AC107" i="8"/>
  <c r="AB107" i="8"/>
  <c r="AA107" i="8"/>
  <c r="AK107" i="8"/>
  <c r="AJ107" i="8"/>
  <c r="F239" i="13"/>
  <c r="F239" i="12"/>
  <c r="AF279" i="12"/>
  <c r="Q279" i="12"/>
  <c r="AG279" i="12" s="1"/>
  <c r="V279" i="12"/>
  <c r="Y279" i="12" s="1"/>
  <c r="AO264" i="8"/>
  <c r="F267" i="13"/>
  <c r="F267" i="12"/>
  <c r="H216" i="8"/>
  <c r="F214" i="13"/>
  <c r="F214" i="12"/>
  <c r="AO86" i="8"/>
  <c r="R95" i="8"/>
  <c r="U95" i="8" s="1"/>
  <c r="F115" i="13"/>
  <c r="F115" i="12"/>
  <c r="AH282" i="8"/>
  <c r="Q257" i="12"/>
  <c r="AG257" i="12" s="1"/>
  <c r="AF257" i="12"/>
  <c r="V257" i="12"/>
  <c r="F202" i="13"/>
  <c r="F202" i="12"/>
  <c r="F136" i="13"/>
  <c r="F136" i="12"/>
  <c r="AH337" i="8"/>
  <c r="F176" i="13"/>
  <c r="F176" i="12"/>
  <c r="O55" i="12"/>
  <c r="AD55" i="8"/>
  <c r="AC55" i="8"/>
  <c r="AB55" i="8"/>
  <c r="AP55" i="8"/>
  <c r="AA55" i="8"/>
  <c r="AJ55" i="8"/>
  <c r="V55" i="8"/>
  <c r="Y55" i="8" s="1"/>
  <c r="AK55" i="8"/>
  <c r="U55" i="8"/>
  <c r="R346" i="13"/>
  <c r="J346" i="13"/>
  <c r="H346" i="13"/>
  <c r="L25" i="14"/>
  <c r="K559" i="14"/>
  <c r="AK354" i="8"/>
  <c r="AJ59" i="8"/>
  <c r="F39" i="7"/>
  <c r="O139" i="12"/>
  <c r="AP139" i="8"/>
  <c r="AD139" i="8"/>
  <c r="AC139" i="8"/>
  <c r="AB139" i="8"/>
  <c r="AA139" i="8"/>
  <c r="AK139" i="8"/>
  <c r="AJ139" i="8"/>
  <c r="O139" i="8"/>
  <c r="R139" i="8" s="1"/>
  <c r="U139" i="8" s="1"/>
  <c r="V139" i="8"/>
  <c r="Y139" i="8" s="1"/>
  <c r="V70" i="8"/>
  <c r="Y70" i="8" s="1"/>
  <c r="AO24" i="8"/>
  <c r="P63" i="8"/>
  <c r="H130" i="8"/>
  <c r="R131" i="8"/>
  <c r="U131" i="8" s="1"/>
  <c r="F46" i="13"/>
  <c r="F46" i="12"/>
  <c r="L166" i="8"/>
  <c r="V31" i="8"/>
  <c r="Y31" i="8" s="1"/>
  <c r="U31" i="8"/>
  <c r="AN125" i="8"/>
  <c r="AE361" i="8"/>
  <c r="AH5" i="8"/>
  <c r="AF226" i="12"/>
  <c r="V226" i="12"/>
  <c r="Q226" i="12"/>
  <c r="AG226" i="12" s="1"/>
  <c r="F348" i="13"/>
  <c r="F348" i="12"/>
  <c r="AN187" i="8"/>
  <c r="AL361" i="8"/>
  <c r="AN5" i="8"/>
  <c r="AJ6" i="8"/>
  <c r="F56" i="13"/>
  <c r="F56" i="12"/>
  <c r="AN245" i="8"/>
  <c r="AF296" i="8"/>
  <c r="AH296" i="8" s="1"/>
  <c r="O256" i="12"/>
  <c r="AP256" i="8"/>
  <c r="AD256" i="8"/>
  <c r="AC256" i="8"/>
  <c r="AB256" i="8"/>
  <c r="AA256" i="8"/>
  <c r="F270" i="13"/>
  <c r="F270" i="12"/>
  <c r="O46" i="12"/>
  <c r="AD46" i="8"/>
  <c r="AC46" i="8"/>
  <c r="AB46" i="8"/>
  <c r="AP46" i="8"/>
  <c r="O46" i="8"/>
  <c r="R46" i="8" s="1"/>
  <c r="V46" i="8" s="1"/>
  <c r="Y46" i="8" s="1"/>
  <c r="AA46" i="8"/>
  <c r="AK46" i="8"/>
  <c r="AJ46" i="8"/>
  <c r="Q305" i="12"/>
  <c r="AG305" i="12" s="1"/>
  <c r="V305" i="12"/>
  <c r="Y305" i="12" s="1"/>
  <c r="AF305" i="12"/>
  <c r="AN73" i="8"/>
  <c r="F290" i="13"/>
  <c r="F290" i="12"/>
  <c r="F97" i="13"/>
  <c r="F97" i="12"/>
  <c r="R333" i="8"/>
  <c r="AO334" i="8"/>
  <c r="AN10" i="8"/>
  <c r="AO129" i="8"/>
  <c r="G33" i="7"/>
  <c r="J33" i="7" s="1"/>
  <c r="E33" i="1" s="1"/>
  <c r="U319" i="8"/>
  <c r="AN173" i="8"/>
  <c r="AN341" i="8"/>
  <c r="L116" i="8"/>
  <c r="AH323" i="8"/>
  <c r="F6" i="7"/>
  <c r="AN296" i="8"/>
  <c r="AO294" i="8"/>
  <c r="L296" i="8"/>
  <c r="P296" i="8" s="1"/>
  <c r="R296" i="8" s="1"/>
  <c r="F180" i="13"/>
  <c r="F180" i="12"/>
  <c r="AO221" i="8"/>
  <c r="AN234" i="8"/>
  <c r="L141" i="8"/>
  <c r="H210" i="8"/>
  <c r="AO113" i="8"/>
  <c r="O37" i="12"/>
  <c r="AC37" i="8"/>
  <c r="AB37" i="8"/>
  <c r="AP37" i="8"/>
  <c r="AD37" i="8"/>
  <c r="AA37" i="8"/>
  <c r="AK37" i="8"/>
  <c r="O37" i="8"/>
  <c r="R37" i="8" s="1"/>
  <c r="U37" i="8" s="1"/>
  <c r="V37" i="8"/>
  <c r="Y37" i="8" s="1"/>
  <c r="AJ37" i="8"/>
  <c r="P332" i="8"/>
  <c r="R332" i="8" s="1"/>
  <c r="V332" i="8" s="1"/>
  <c r="Y332" i="8" s="1"/>
  <c r="O192" i="12"/>
  <c r="AB192" i="8"/>
  <c r="AD192" i="8"/>
  <c r="AP192" i="8"/>
  <c r="AC192" i="8"/>
  <c r="AA192" i="8"/>
  <c r="AJ192" i="8"/>
  <c r="O192" i="8"/>
  <c r="R192" i="8" s="1"/>
  <c r="V192" i="8"/>
  <c r="Y192" i="8" s="1"/>
  <c r="AK192" i="8"/>
  <c r="U192" i="8"/>
  <c r="R72" i="8"/>
  <c r="R330" i="8"/>
  <c r="O140" i="12"/>
  <c r="AB140" i="8"/>
  <c r="AP140" i="8"/>
  <c r="AD140" i="8"/>
  <c r="AC140" i="8"/>
  <c r="AA140" i="8"/>
  <c r="AJ140" i="8"/>
  <c r="AK140" i="8"/>
  <c r="O140" i="8"/>
  <c r="R140" i="8" s="1"/>
  <c r="V140" i="8"/>
  <c r="Y140" i="8" s="1"/>
  <c r="U140" i="8"/>
  <c r="O246" i="12"/>
  <c r="AB246" i="8"/>
  <c r="AD246" i="8"/>
  <c r="AC246" i="8"/>
  <c r="AP246" i="8"/>
  <c r="AA246" i="8"/>
  <c r="O246" i="8"/>
  <c r="R246" i="8" s="1"/>
  <c r="U246" i="8" s="1"/>
  <c r="AJ246" i="8"/>
  <c r="AK246" i="8"/>
  <c r="O65" i="12"/>
  <c r="AD65" i="8"/>
  <c r="AC65" i="8"/>
  <c r="AB65" i="8"/>
  <c r="AP65" i="8"/>
  <c r="AA65" i="8"/>
  <c r="O65" i="8"/>
  <c r="R65" i="8" s="1"/>
  <c r="V65" i="8" s="1"/>
  <c r="Y65" i="8" s="1"/>
  <c r="AK65" i="8"/>
  <c r="AJ65" i="8"/>
  <c r="Q117" i="12"/>
  <c r="AG117" i="12" s="1"/>
  <c r="AF117" i="12"/>
  <c r="V117" i="12"/>
  <c r="R160" i="8"/>
  <c r="O35" i="12"/>
  <c r="AP35" i="8"/>
  <c r="AD35" i="8"/>
  <c r="AC35" i="8"/>
  <c r="AB35" i="8"/>
  <c r="AA35" i="8"/>
  <c r="AJ35" i="8"/>
  <c r="O35" i="8"/>
  <c r="R35" i="8" s="1"/>
  <c r="V35" i="8"/>
  <c r="Y35" i="8" s="1"/>
  <c r="U35" i="8"/>
  <c r="AK35" i="8"/>
  <c r="AJ54" i="8"/>
  <c r="P188" i="8"/>
  <c r="AF188" i="8"/>
  <c r="F307" i="13"/>
  <c r="F307" i="12"/>
  <c r="F293" i="13"/>
  <c r="F293" i="12"/>
  <c r="I54" i="7"/>
  <c r="X326" i="8"/>
  <c r="Z326" i="8" s="1"/>
  <c r="W326" i="8"/>
  <c r="AF14" i="8"/>
  <c r="AH14" i="8" s="1"/>
  <c r="P14" i="8"/>
  <c r="R14" i="12"/>
  <c r="S14" i="12" s="1"/>
  <c r="U14" i="12" s="1"/>
  <c r="L14" i="8"/>
  <c r="AN201" i="8"/>
  <c r="AK355" i="8"/>
  <c r="AN301" i="8"/>
  <c r="F160" i="13"/>
  <c r="F160" i="12"/>
  <c r="Y83" i="12"/>
  <c r="AF91" i="8"/>
  <c r="AH91" i="8" s="1"/>
  <c r="L91" i="8"/>
  <c r="J21" i="7"/>
  <c r="E21" i="1" s="1"/>
  <c r="O213" i="12"/>
  <c r="AP213" i="8"/>
  <c r="AD213" i="8"/>
  <c r="AC213" i="8"/>
  <c r="AB213" i="8"/>
  <c r="AA213" i="8"/>
  <c r="AK213" i="8"/>
  <c r="AJ213" i="8"/>
  <c r="O213" i="8"/>
  <c r="R213" i="8" s="1"/>
  <c r="V213" i="8" s="1"/>
  <c r="Y213" i="8" s="1"/>
  <c r="F33" i="13"/>
  <c r="F33" i="12"/>
  <c r="Q61" i="8"/>
  <c r="R61" i="8" s="1"/>
  <c r="V61" i="8" s="1"/>
  <c r="Y61" i="8" s="1"/>
  <c r="AF26" i="8"/>
  <c r="AH26" i="8" s="1"/>
  <c r="P26" i="8"/>
  <c r="R26" i="8" s="1"/>
  <c r="L26" i="8"/>
  <c r="AN157" i="8"/>
  <c r="L133" i="8"/>
  <c r="AN76" i="8"/>
  <c r="F287" i="13"/>
  <c r="F287" i="12"/>
  <c r="R341" i="12"/>
  <c r="S341" i="12" s="1"/>
  <c r="U341" i="12" s="1"/>
  <c r="F329" i="13"/>
  <c r="F329" i="12"/>
  <c r="AF144" i="8"/>
  <c r="AH144" i="8" s="1"/>
  <c r="P144" i="8"/>
  <c r="AN321" i="8"/>
  <c r="AO355" i="8"/>
  <c r="O44" i="12"/>
  <c r="AB44" i="8"/>
  <c r="AP44" i="8"/>
  <c r="AD44" i="8"/>
  <c r="AC44" i="8"/>
  <c r="AA44" i="8"/>
  <c r="AJ44" i="8"/>
  <c r="AK44" i="8"/>
  <c r="AN37" i="8"/>
  <c r="P242" i="8"/>
  <c r="AN106" i="8"/>
  <c r="O208" i="12"/>
  <c r="AP208" i="8"/>
  <c r="AD208" i="8"/>
  <c r="AC208" i="8"/>
  <c r="AB208" i="8"/>
  <c r="AA208" i="8"/>
  <c r="Q222" i="12"/>
  <c r="AG222" i="12" s="1"/>
  <c r="V222" i="12"/>
  <c r="AF222" i="12"/>
  <c r="V250" i="8"/>
  <c r="Y250" i="8" s="1"/>
  <c r="F61" i="13"/>
  <c r="F61" i="12"/>
  <c r="F54" i="13"/>
  <c r="F54" i="12"/>
  <c r="J14" i="7"/>
  <c r="E14" i="1" s="1"/>
  <c r="O88" i="12"/>
  <c r="AD88" i="8"/>
  <c r="AC88" i="8"/>
  <c r="AB88" i="8"/>
  <c r="AP88" i="8"/>
  <c r="AA88" i="8"/>
  <c r="AJ88" i="8"/>
  <c r="AK88" i="8"/>
  <c r="O88" i="8"/>
  <c r="AN161" i="8"/>
  <c r="J46" i="7"/>
  <c r="E46" i="1" s="1"/>
  <c r="F60" i="13"/>
  <c r="F60" i="12"/>
  <c r="F303" i="13"/>
  <c r="F303" i="12"/>
  <c r="R322" i="8"/>
  <c r="U322" i="8" s="1"/>
  <c r="AO116" i="8"/>
  <c r="P88" i="8"/>
  <c r="AN150" i="8"/>
  <c r="F165" i="13"/>
  <c r="F165" i="12"/>
  <c r="O338" i="12"/>
  <c r="AC338" i="8"/>
  <c r="AD338" i="8"/>
  <c r="AB338" i="8"/>
  <c r="AP338" i="8"/>
  <c r="AA338" i="8"/>
  <c r="S114" i="12"/>
  <c r="U114" i="12" s="1"/>
  <c r="F219" i="13"/>
  <c r="F219" i="12"/>
  <c r="F172" i="13"/>
  <c r="F172" i="12"/>
  <c r="AF212" i="12"/>
  <c r="Q212" i="12"/>
  <c r="AG212" i="12" s="1"/>
  <c r="V212" i="12"/>
  <c r="F174" i="13"/>
  <c r="F174" i="12"/>
  <c r="F32" i="7"/>
  <c r="F10" i="11"/>
  <c r="I10" i="11" s="1"/>
  <c r="O159" i="12"/>
  <c r="AD159" i="8"/>
  <c r="AC159" i="8"/>
  <c r="AB159" i="8"/>
  <c r="AP159" i="8"/>
  <c r="AA159" i="8"/>
  <c r="F299" i="13"/>
  <c r="F299" i="12"/>
  <c r="AN21" i="8"/>
  <c r="F185" i="13"/>
  <c r="F185" i="12"/>
  <c r="R70" i="13"/>
  <c r="X70" i="13" s="1"/>
  <c r="I70" i="12" s="1"/>
  <c r="J70" i="12" s="1"/>
  <c r="K70" i="12" s="1"/>
  <c r="J70" i="13"/>
  <c r="P70" i="13" s="1"/>
  <c r="AN11" i="8"/>
  <c r="AN167" i="8"/>
  <c r="F132" i="13"/>
  <c r="F132" i="12"/>
  <c r="R320" i="12"/>
  <c r="S320" i="12" s="1"/>
  <c r="U320" i="12" s="1"/>
  <c r="AN276" i="8"/>
  <c r="AF240" i="8"/>
  <c r="AH240" i="8" s="1"/>
  <c r="P240" i="8"/>
  <c r="L240" i="8"/>
  <c r="R240" i="12"/>
  <c r="S240" i="12" s="1"/>
  <c r="U240" i="12" s="1"/>
  <c r="F330" i="13"/>
  <c r="F330" i="12"/>
  <c r="R309" i="8"/>
  <c r="U309" i="8" s="1"/>
  <c r="AN57" i="8"/>
  <c r="O334" i="8"/>
  <c r="AH153" i="8"/>
  <c r="F333" i="13"/>
  <c r="F333" i="12"/>
  <c r="F49" i="13"/>
  <c r="F49" i="12"/>
  <c r="AO248" i="8"/>
  <c r="X222" i="8"/>
  <c r="Z222" i="8" s="1"/>
  <c r="AI222" i="8" s="1"/>
  <c r="W222" i="8"/>
  <c r="R305" i="8"/>
  <c r="AN141" i="8"/>
  <c r="O146" i="8"/>
  <c r="R146" i="8" s="1"/>
  <c r="U146" i="8" s="1"/>
  <c r="AN40" i="8"/>
  <c r="F251" i="13"/>
  <c r="F251" i="12"/>
  <c r="O225" i="8"/>
  <c r="R225" i="8" s="1"/>
  <c r="V225" i="8" s="1"/>
  <c r="Y225" i="8" s="1"/>
  <c r="O49" i="12"/>
  <c r="AD49" i="8"/>
  <c r="AC49" i="8"/>
  <c r="AB49" i="8"/>
  <c r="AP49" i="8"/>
  <c r="AA49" i="8"/>
  <c r="AK49" i="8"/>
  <c r="AJ49" i="8"/>
  <c r="F190" i="13"/>
  <c r="F190" i="12"/>
  <c r="L93" i="8"/>
  <c r="G47" i="7"/>
  <c r="J47" i="7" s="1"/>
  <c r="E47" i="1" s="1"/>
  <c r="O270" i="12"/>
  <c r="AB270" i="8"/>
  <c r="AD270" i="8"/>
  <c r="AC270" i="8"/>
  <c r="AP270" i="8"/>
  <c r="AA270" i="8"/>
  <c r="AK270" i="8"/>
  <c r="AJ270" i="8"/>
  <c r="F337" i="13"/>
  <c r="F337" i="12"/>
  <c r="AN168" i="8"/>
  <c r="AN240" i="8"/>
  <c r="F108" i="13"/>
  <c r="F108" i="12"/>
  <c r="AN229" i="8"/>
  <c r="AN63" i="8"/>
  <c r="R69" i="12"/>
  <c r="S69" i="12" s="1"/>
  <c r="U69" i="12" s="1"/>
  <c r="AF148" i="8"/>
  <c r="AH148" i="8" s="1"/>
  <c r="P148" i="8"/>
  <c r="AN86" i="8"/>
  <c r="AH95" i="8"/>
  <c r="F64" i="13"/>
  <c r="F64" i="12"/>
  <c r="O282" i="12"/>
  <c r="AB282" i="8"/>
  <c r="AD282" i="8"/>
  <c r="AC282" i="8"/>
  <c r="AP282" i="8"/>
  <c r="AA282" i="8"/>
  <c r="U171" i="8"/>
  <c r="F285" i="13"/>
  <c r="F285" i="12"/>
  <c r="F83" i="13"/>
  <c r="F83" i="12"/>
  <c r="AH188" i="8"/>
  <c r="H328" i="8"/>
  <c r="AN345" i="8"/>
  <c r="F314" i="13"/>
  <c r="F314" i="12"/>
  <c r="F102" i="13"/>
  <c r="F102" i="12"/>
  <c r="F15" i="13"/>
  <c r="F15" i="12"/>
  <c r="AK334" i="8"/>
  <c r="AF138" i="8"/>
  <c r="AH138" i="8" s="1"/>
  <c r="L138" i="8"/>
  <c r="F16" i="13"/>
  <c r="F16" i="12"/>
  <c r="AH131" i="8"/>
  <c r="O354" i="8"/>
  <c r="L86" i="8"/>
  <c r="AN246" i="8"/>
  <c r="O5" i="12"/>
  <c r="AC5" i="8"/>
  <c r="AB5" i="8"/>
  <c r="AP5" i="8"/>
  <c r="AD5" i="8"/>
  <c r="AA5" i="8"/>
  <c r="AK5" i="8"/>
  <c r="AJ5" i="8"/>
  <c r="AF10" i="8"/>
  <c r="AH10" i="8" s="1"/>
  <c r="P10" i="8"/>
  <c r="L10" i="8"/>
  <c r="R10" i="12"/>
  <c r="S10" i="12" s="1"/>
  <c r="U10" i="12" s="1"/>
  <c r="AH38" i="8"/>
  <c r="H354" i="8"/>
  <c r="F42" i="13"/>
  <c r="F42" i="12"/>
  <c r="O11" i="8"/>
  <c r="AK214" i="8"/>
  <c r="F138" i="13"/>
  <c r="F138" i="12"/>
  <c r="R144" i="12"/>
  <c r="S144" i="12" s="1"/>
  <c r="U144" i="12" s="1"/>
  <c r="H154" i="8"/>
  <c r="F112" i="13"/>
  <c r="F112" i="12"/>
  <c r="AO18" i="8"/>
  <c r="AF250" i="12"/>
  <c r="V250" i="12"/>
  <c r="Q250" i="12"/>
  <c r="AG250" i="12" s="1"/>
  <c r="AN110" i="8"/>
  <c r="AH275" i="8"/>
  <c r="AN302" i="8"/>
  <c r="R259" i="12"/>
  <c r="S261" i="12" s="1"/>
  <c r="U261" i="12" s="1"/>
  <c r="O73" i="12"/>
  <c r="AD73" i="8"/>
  <c r="AC73" i="8"/>
  <c r="AB73" i="8"/>
  <c r="AP73" i="8"/>
  <c r="AA73" i="8"/>
  <c r="AK73" i="8"/>
  <c r="AJ73" i="8"/>
  <c r="AN14" i="8"/>
  <c r="AN209" i="8"/>
  <c r="F133" i="13"/>
  <c r="F133" i="12"/>
  <c r="O323" i="12"/>
  <c r="AC323" i="8"/>
  <c r="AB323" i="8"/>
  <c r="AP323" i="8"/>
  <c r="AD323" i="8"/>
  <c r="AA323" i="8"/>
  <c r="J26" i="7"/>
  <c r="E26" i="1" s="1"/>
  <c r="AO234" i="8"/>
  <c r="AN357" i="8"/>
  <c r="H259" i="8"/>
  <c r="R148" i="12"/>
  <c r="S148" i="12" s="1"/>
  <c r="U148" i="12" s="1"/>
  <c r="AF263" i="8"/>
  <c r="AH263" i="8" s="1"/>
  <c r="P263" i="8"/>
  <c r="AO263" i="8"/>
  <c r="H249" i="8"/>
  <c r="O183" i="12"/>
  <c r="AD183" i="8"/>
  <c r="AC183" i="8"/>
  <c r="AB183" i="8"/>
  <c r="AP183" i="8"/>
  <c r="AA183" i="8"/>
  <c r="O183" i="8"/>
  <c r="R183" i="8" s="1"/>
  <c r="V183" i="8" s="1"/>
  <c r="Y183" i="8" s="1"/>
  <c r="AJ183" i="8"/>
  <c r="AK183" i="8"/>
  <c r="O41" i="12"/>
  <c r="AD41" i="8"/>
  <c r="AC41" i="8"/>
  <c r="AB41" i="8"/>
  <c r="AP41" i="8"/>
  <c r="AA41" i="8"/>
  <c r="AK41" i="8"/>
  <c r="AJ41" i="8"/>
  <c r="O41" i="8"/>
  <c r="R41" i="8" s="1"/>
  <c r="V41" i="8" s="1"/>
  <c r="Y41" i="8" s="1"/>
  <c r="O48" i="12"/>
  <c r="AD48" i="8"/>
  <c r="AC48" i="8"/>
  <c r="AB48" i="8"/>
  <c r="AP48" i="8"/>
  <c r="AA48" i="8"/>
  <c r="V48" i="8"/>
  <c r="Y48" i="8" s="1"/>
  <c r="U48" i="8"/>
  <c r="AJ48" i="8"/>
  <c r="AK48" i="8"/>
  <c r="O48" i="8"/>
  <c r="R48" i="8" s="1"/>
  <c r="R150" i="8"/>
  <c r="AJ338" i="8"/>
  <c r="R336" i="8"/>
  <c r="AF336" i="12"/>
  <c r="V336" i="12"/>
  <c r="Q336" i="12"/>
  <c r="AG336" i="12" s="1"/>
  <c r="AJ236" i="8"/>
  <c r="Q165" i="12"/>
  <c r="AG165" i="12" s="1"/>
  <c r="AF165" i="12"/>
  <c r="V165" i="12"/>
  <c r="AA165" i="12"/>
  <c r="U108" i="8"/>
  <c r="R304" i="12"/>
  <c r="S304" i="12" s="1"/>
  <c r="U304" i="12" s="1"/>
  <c r="AJ119" i="8"/>
  <c r="O185" i="12"/>
  <c r="AD185" i="8"/>
  <c r="AC185" i="8"/>
  <c r="AB185" i="8"/>
  <c r="AP185" i="8"/>
  <c r="AA185" i="8"/>
  <c r="O185" i="8"/>
  <c r="R185" i="8" s="1"/>
  <c r="V185" i="8" s="1"/>
  <c r="Y185" i="8" s="1"/>
  <c r="AJ185" i="8"/>
  <c r="U185" i="8"/>
  <c r="AK185" i="8"/>
  <c r="R83" i="8"/>
  <c r="Q293" i="12"/>
  <c r="AG293" i="12" s="1"/>
  <c r="V293" i="12"/>
  <c r="Y293" i="12" s="1"/>
  <c r="AF293" i="12"/>
  <c r="O309" i="12"/>
  <c r="O111" i="12"/>
  <c r="AD111" i="8"/>
  <c r="AC111" i="8"/>
  <c r="AB111" i="8"/>
  <c r="AP111" i="8"/>
  <c r="AA111" i="8"/>
  <c r="V111" i="8"/>
  <c r="Y111" i="8" s="1"/>
  <c r="AJ111" i="8"/>
  <c r="U111" i="8"/>
  <c r="AK111" i="8"/>
  <c r="AK50" i="8"/>
  <c r="AF106" i="8"/>
  <c r="AH106" i="8" s="1"/>
  <c r="P106" i="8"/>
  <c r="L106" i="8"/>
  <c r="F326" i="13"/>
  <c r="F326" i="12"/>
  <c r="F89" i="13"/>
  <c r="F89" i="12"/>
  <c r="O81" i="12"/>
  <c r="AD81" i="8"/>
  <c r="AC81" i="8"/>
  <c r="AB81" i="8"/>
  <c r="AP81" i="8"/>
  <c r="AA81" i="8"/>
  <c r="AK81" i="8"/>
  <c r="AJ81" i="8"/>
  <c r="R269" i="8"/>
  <c r="U269" i="8" s="1"/>
  <c r="AF109" i="8"/>
  <c r="AH109" i="8" s="1"/>
  <c r="P109" i="8"/>
  <c r="AO109" i="8"/>
  <c r="H109" i="8"/>
  <c r="O156" i="12"/>
  <c r="AB156" i="8"/>
  <c r="AP156" i="8"/>
  <c r="AD156" i="8"/>
  <c r="AC156" i="8"/>
  <c r="AA156" i="8"/>
  <c r="AJ156" i="8"/>
  <c r="AK156" i="8"/>
  <c r="AF169" i="8"/>
  <c r="AH169" i="8" s="1"/>
  <c r="P169" i="8"/>
  <c r="L169" i="8"/>
  <c r="R169" i="12"/>
  <c r="S169" i="12" s="1"/>
  <c r="U169" i="12" s="1"/>
  <c r="O308" i="12"/>
  <c r="AD308" i="8"/>
  <c r="AC308" i="8"/>
  <c r="AP308" i="8"/>
  <c r="AB308" i="8"/>
  <c r="AA308" i="8"/>
  <c r="AJ308" i="8"/>
  <c r="V308" i="8"/>
  <c r="Y308" i="8" s="1"/>
  <c r="U308" i="8"/>
  <c r="AK308" i="8"/>
  <c r="J30" i="7"/>
  <c r="E30" i="1" s="1"/>
  <c r="AF36" i="8"/>
  <c r="AH36" i="8" s="1"/>
  <c r="R36" i="12"/>
  <c r="S36" i="12" s="1"/>
  <c r="U36" i="12" s="1"/>
  <c r="L36" i="8"/>
  <c r="AK236" i="8"/>
  <c r="AF236" i="8"/>
  <c r="AH236" i="8" s="1"/>
  <c r="P236" i="8"/>
  <c r="AO236" i="8"/>
  <c r="H236" i="8"/>
  <c r="F53" i="13"/>
  <c r="F53" i="12"/>
  <c r="F62" i="13"/>
  <c r="F62" i="12"/>
  <c r="O316" i="12"/>
  <c r="AD316" i="8"/>
  <c r="AC316" i="8"/>
  <c r="AP316" i="8"/>
  <c r="AB316" i="8"/>
  <c r="AA316" i="8"/>
  <c r="AJ316" i="8"/>
  <c r="AK316" i="8"/>
  <c r="R276" i="12"/>
  <c r="S276" i="12" s="1"/>
  <c r="U276" i="12" s="1"/>
  <c r="F342" i="13"/>
  <c r="F342" i="12"/>
  <c r="F5" i="7"/>
  <c r="D54" i="7"/>
  <c r="AH157" i="8"/>
  <c r="O186" i="12"/>
  <c r="AP186" i="8"/>
  <c r="AD186" i="8"/>
  <c r="AC186" i="8"/>
  <c r="AB186" i="8"/>
  <c r="AA186" i="8"/>
  <c r="X208" i="8"/>
  <c r="F66" i="13"/>
  <c r="F66" i="12"/>
  <c r="F312" i="13"/>
  <c r="F312" i="12"/>
  <c r="AB262" i="8"/>
  <c r="AC262" i="8"/>
  <c r="AP262" i="8"/>
  <c r="AD262" i="8"/>
  <c r="AA262" i="8"/>
  <c r="F224" i="13"/>
  <c r="F224" i="12"/>
  <c r="F93" i="13"/>
  <c r="F93" i="12"/>
  <c r="O181" i="12"/>
  <c r="AC181" i="8"/>
  <c r="AB181" i="8"/>
  <c r="AP181" i="8"/>
  <c r="AD181" i="8"/>
  <c r="U181" i="8"/>
  <c r="AA181" i="8"/>
  <c r="AJ181" i="8"/>
  <c r="V181" i="8"/>
  <c r="Y181" i="8" s="1"/>
  <c r="AK181" i="8"/>
  <c r="X152" i="8"/>
  <c r="Z152" i="8" s="1"/>
  <c r="AI152" i="8" s="1"/>
  <c r="AQ152" i="8" s="1"/>
  <c r="AR152" i="8" s="1"/>
  <c r="W152" i="8"/>
  <c r="R356" i="12"/>
  <c r="S356" i="12" s="1"/>
  <c r="U356" i="12" s="1"/>
  <c r="AO204" i="8"/>
  <c r="X230" i="8"/>
  <c r="Z230" i="8" s="1"/>
  <c r="AI230" i="8" s="1"/>
  <c r="AQ230" i="8" s="1"/>
  <c r="AR230" i="8" s="1"/>
  <c r="W230" i="8"/>
  <c r="AJ100" i="8"/>
  <c r="AK100" i="8"/>
  <c r="F149" i="13"/>
  <c r="F149" i="12"/>
  <c r="F69" i="13"/>
  <c r="F69" i="12"/>
  <c r="R355" i="8"/>
  <c r="V355" i="8" s="1"/>
  <c r="Y355" i="8" s="1"/>
  <c r="F22" i="13"/>
  <c r="F22" i="12"/>
  <c r="AD110" i="8"/>
  <c r="AC110" i="8"/>
  <c r="AB110" i="8"/>
  <c r="AP110" i="8"/>
  <c r="AA110" i="8"/>
  <c r="V100" i="8"/>
  <c r="Y100" i="8" s="1"/>
  <c r="AH300" i="8"/>
  <c r="O214" i="8"/>
  <c r="F327" i="13"/>
  <c r="F327" i="12"/>
  <c r="AI265" i="12"/>
  <c r="AA265" i="12"/>
  <c r="AK265" i="12"/>
  <c r="AJ265" i="12"/>
  <c r="Z265" i="12"/>
  <c r="H203" i="8"/>
  <c r="O267" i="12"/>
  <c r="AP265" i="8"/>
  <c r="AD265" i="8"/>
  <c r="AC265" i="8"/>
  <c r="AB265" i="8"/>
  <c r="AA265" i="8"/>
  <c r="AJ265" i="8"/>
  <c r="O265" i="8"/>
  <c r="R265" i="8" s="1"/>
  <c r="V265" i="8"/>
  <c r="Y265" i="8" s="1"/>
  <c r="U265" i="8"/>
  <c r="AK265" i="8"/>
  <c r="AN77" i="8"/>
  <c r="AN163" i="8"/>
  <c r="J15" i="7"/>
  <c r="E15" i="1" s="1"/>
  <c r="AF68" i="8"/>
  <c r="AH68" i="8" s="1"/>
  <c r="P68" i="8"/>
  <c r="AO68" i="8"/>
  <c r="H68" i="8"/>
  <c r="O147" i="12"/>
  <c r="AP147" i="8"/>
  <c r="AD147" i="8"/>
  <c r="AC147" i="8"/>
  <c r="AB147" i="8"/>
  <c r="O147" i="8"/>
  <c r="R147" i="8" s="1"/>
  <c r="V147" i="8"/>
  <c r="Y147" i="8" s="1"/>
  <c r="U147" i="8"/>
  <c r="AA147" i="8"/>
  <c r="AK147" i="8"/>
  <c r="AJ147" i="8"/>
  <c r="AF116" i="8"/>
  <c r="AH116" i="8" s="1"/>
  <c r="P116" i="8"/>
  <c r="V152" i="12"/>
  <c r="AF152" i="12"/>
  <c r="Q152" i="12"/>
  <c r="AG152" i="12" s="1"/>
  <c r="F289" i="13"/>
  <c r="F289" i="12"/>
  <c r="J31" i="7"/>
  <c r="E31" i="1" s="1"/>
  <c r="AF320" i="8"/>
  <c r="AH320" i="8" s="1"/>
  <c r="P320" i="8"/>
  <c r="L320" i="8"/>
  <c r="X279" i="8"/>
  <c r="Z279" i="8" s="1"/>
  <c r="AI279" i="8" s="1"/>
  <c r="AQ279" i="8" s="1"/>
  <c r="AR279" i="8" s="1"/>
  <c r="W279" i="8"/>
  <c r="AH309" i="8"/>
  <c r="AN158" i="8"/>
  <c r="AF78" i="8"/>
  <c r="P78" i="8"/>
  <c r="P216" i="8"/>
  <c r="AF216" i="8"/>
  <c r="AH216" i="8" s="1"/>
  <c r="R173" i="12"/>
  <c r="H85" i="8"/>
  <c r="F92" i="13"/>
  <c r="F92" i="12"/>
  <c r="AN98" i="8"/>
  <c r="AF174" i="8"/>
  <c r="AH174" i="8" s="1"/>
  <c r="P174" i="8"/>
  <c r="R174" i="8" s="1"/>
  <c r="F232" i="13"/>
  <c r="F232" i="12"/>
  <c r="AH101" i="8"/>
  <c r="J42" i="7"/>
  <c r="E42" i="1" s="1"/>
  <c r="F237" i="13"/>
  <c r="F237" i="12"/>
  <c r="F101" i="13"/>
  <c r="F101" i="12"/>
  <c r="AF315" i="12"/>
  <c r="V315" i="12"/>
  <c r="Q315" i="12"/>
  <c r="AG315" i="12" s="1"/>
  <c r="O79" i="8"/>
  <c r="R79" i="8" s="1"/>
  <c r="U79" i="8" s="1"/>
  <c r="AN190" i="8"/>
  <c r="AN257" i="8"/>
  <c r="AN320" i="8"/>
  <c r="AN182" i="8"/>
  <c r="AH190" i="8"/>
  <c r="AF241" i="12"/>
  <c r="V241" i="12"/>
  <c r="Y241" i="12" s="1"/>
  <c r="Q241" i="12"/>
  <c r="AG241" i="12" s="1"/>
  <c r="F75" i="13"/>
  <c r="F75" i="12"/>
  <c r="F338" i="13"/>
  <c r="F338" i="12"/>
  <c r="F19" i="13"/>
  <c r="F19" i="12"/>
  <c r="AF286" i="8"/>
  <c r="AH286" i="8" s="1"/>
  <c r="P286" i="8"/>
  <c r="AN80" i="8"/>
  <c r="AF228" i="8"/>
  <c r="AH228" i="8" s="1"/>
  <c r="P228" i="8"/>
  <c r="R228" i="8" s="1"/>
  <c r="L228" i="8"/>
  <c r="F162" i="13"/>
  <c r="F162" i="12"/>
  <c r="F95" i="13"/>
  <c r="F95" i="12"/>
  <c r="Q57" i="12"/>
  <c r="AG57" i="12" s="1"/>
  <c r="V57" i="12"/>
  <c r="AF57" i="12"/>
  <c r="O337" i="12"/>
  <c r="AB337" i="8"/>
  <c r="AP337" i="8"/>
  <c r="AD337" i="8"/>
  <c r="AC337" i="8"/>
  <c r="AA337" i="8"/>
  <c r="Q60" i="12"/>
  <c r="AG60" i="12" s="1"/>
  <c r="V60" i="12"/>
  <c r="Y60" i="12" s="1"/>
  <c r="AF60" i="12"/>
  <c r="AF171" i="12"/>
  <c r="V171" i="12"/>
  <c r="Y171" i="12" s="1"/>
  <c r="Q171" i="12"/>
  <c r="AG171" i="12" s="1"/>
  <c r="G22" i="7"/>
  <c r="J22" i="7" s="1"/>
  <c r="E22" i="1" s="1"/>
  <c r="AN319" i="8"/>
  <c r="AN328" i="8"/>
  <c r="AN126" i="8"/>
  <c r="AF237" i="8"/>
  <c r="AH237" i="8" s="1"/>
  <c r="P237" i="8"/>
  <c r="R237" i="8" s="1"/>
  <c r="F258" i="13"/>
  <c r="F258" i="12"/>
  <c r="F6" i="13"/>
  <c r="F6" i="12"/>
  <c r="F192" i="13"/>
  <c r="F192" i="12"/>
  <c r="AN13" i="8"/>
  <c r="G39" i="7"/>
  <c r="J39" i="7" s="1"/>
  <c r="E39" i="1" s="1"/>
  <c r="P211" i="8"/>
  <c r="AF211" i="8"/>
  <c r="AH211" i="8" s="1"/>
  <c r="F222" i="13"/>
  <c r="F222" i="12"/>
  <c r="AF122" i="8"/>
  <c r="AH122" i="8" s="1"/>
  <c r="P122" i="8"/>
  <c r="R122" i="8" s="1"/>
  <c r="L122" i="8"/>
  <c r="O179" i="12"/>
  <c r="AP179" i="8"/>
  <c r="AD179" i="8"/>
  <c r="AC179" i="8"/>
  <c r="AB179" i="8"/>
  <c r="AA179" i="8"/>
  <c r="O199" i="12"/>
  <c r="AP199" i="8"/>
  <c r="AD199" i="8"/>
  <c r="AC199" i="8"/>
  <c r="AB199" i="8"/>
  <c r="AA199" i="8"/>
  <c r="AO130" i="8"/>
  <c r="G16" i="7"/>
  <c r="J16" i="7" s="1"/>
  <c r="E16" i="1" s="1"/>
  <c r="AN142" i="8"/>
  <c r="F261" i="13"/>
  <c r="F261" i="12"/>
  <c r="AF220" i="8"/>
  <c r="AH220" i="8" s="1"/>
  <c r="P220" i="8"/>
  <c r="L220" i="8"/>
  <c r="H228" i="8"/>
  <c r="L216" i="8"/>
  <c r="AN198" i="8"/>
  <c r="P81" i="8"/>
  <c r="R81" i="8" s="1"/>
  <c r="V81" i="8" s="1"/>
  <c r="Y81" i="8" s="1"/>
  <c r="AN292" i="8"/>
  <c r="F250" i="13"/>
  <c r="F250" i="12"/>
  <c r="F125" i="13"/>
  <c r="F125" i="12"/>
  <c r="O229" i="12"/>
  <c r="AD229" i="8"/>
  <c r="AP229" i="8"/>
  <c r="AC229" i="8"/>
  <c r="AB229" i="8"/>
  <c r="AA229" i="8"/>
  <c r="AJ229" i="8"/>
  <c r="AK229" i="8"/>
  <c r="O38" i="12"/>
  <c r="AD38" i="8"/>
  <c r="AC38" i="8"/>
  <c r="AB38" i="8"/>
  <c r="AP38" i="8"/>
  <c r="AA38" i="8"/>
  <c r="AK38" i="8"/>
  <c r="AJ38" i="8"/>
  <c r="AF15" i="8"/>
  <c r="AH15" i="8" s="1"/>
  <c r="P15" i="8"/>
  <c r="L15" i="8"/>
  <c r="F5" i="13"/>
  <c r="F5" i="12"/>
  <c r="AN124" i="8"/>
  <c r="F36" i="7"/>
  <c r="AH11" i="8"/>
  <c r="Q227" i="8"/>
  <c r="R227" i="8" s="1"/>
  <c r="U227" i="8" s="1"/>
  <c r="U349" i="8"/>
  <c r="Q12" i="12"/>
  <c r="AG12" i="12" s="1"/>
  <c r="AF12" i="12"/>
  <c r="V12" i="12"/>
  <c r="F309" i="13"/>
  <c r="F309" i="12"/>
  <c r="V256" i="8"/>
  <c r="Y256" i="8" s="1"/>
  <c r="AN41" i="8"/>
  <c r="AH46" i="8"/>
  <c r="F73" i="13"/>
  <c r="F73" i="12"/>
  <c r="L221" i="8"/>
  <c r="P221" i="8" s="1"/>
  <c r="H10" i="8"/>
  <c r="AN206" i="8"/>
  <c r="P5" i="8"/>
  <c r="R5" i="8" s="1"/>
  <c r="H209" i="8"/>
  <c r="H173" i="8"/>
  <c r="AF70" i="12"/>
  <c r="V70" i="12"/>
  <c r="Q70" i="12"/>
  <c r="AG70" i="12" s="1"/>
  <c r="U323" i="8"/>
  <c r="AN143" i="8"/>
  <c r="J6" i="7"/>
  <c r="E6" i="1" s="1"/>
  <c r="AO296" i="8"/>
  <c r="H294" i="8"/>
  <c r="AN91" i="8"/>
  <c r="R211" i="12"/>
  <c r="S211" i="12" s="1"/>
  <c r="U211" i="12" s="1"/>
  <c r="R141" i="12"/>
  <c r="S141" i="12" s="1"/>
  <c r="U141" i="12" s="1"/>
  <c r="P110" i="8"/>
  <c r="R110" i="8" s="1"/>
  <c r="AO249" i="8"/>
  <c r="O121" i="12"/>
  <c r="AD121" i="8"/>
  <c r="AC121" i="8"/>
  <c r="AB121" i="8"/>
  <c r="AP121" i="8"/>
  <c r="AA121" i="8"/>
  <c r="AJ121" i="8"/>
  <c r="AK121" i="8"/>
  <c r="O239" i="12"/>
  <c r="AC239" i="8"/>
  <c r="AB239" i="8"/>
  <c r="AP239" i="8"/>
  <c r="AD239" i="8"/>
  <c r="AA239" i="8"/>
  <c r="O239" i="8"/>
  <c r="R239" i="8" s="1"/>
  <c r="V239" i="8" s="1"/>
  <c r="Y239" i="8" s="1"/>
  <c r="AJ239" i="8"/>
  <c r="AK239" i="8"/>
  <c r="P100" i="8"/>
  <c r="P313" i="8"/>
  <c r="R313" i="8" s="1"/>
  <c r="Q108" i="12"/>
  <c r="AG108" i="12" s="1"/>
  <c r="AF108" i="12"/>
  <c r="V108" i="12"/>
  <c r="P44" i="8"/>
  <c r="R44" i="8" s="1"/>
  <c r="Q42" i="12"/>
  <c r="AG42" i="12" s="1"/>
  <c r="AF42" i="12"/>
  <c r="V42" i="12"/>
  <c r="Y42" i="12" s="1"/>
  <c r="AF330" i="12"/>
  <c r="V330" i="12"/>
  <c r="Y330" i="12" s="1"/>
  <c r="Q330" i="12"/>
  <c r="AG330" i="12" s="1"/>
  <c r="R26" i="12"/>
  <c r="S28" i="12" s="1"/>
  <c r="U28" i="12" s="1"/>
  <c r="O233" i="12"/>
  <c r="AP233" i="8"/>
  <c r="AD233" i="8"/>
  <c r="AB233" i="8"/>
  <c r="AC233" i="8"/>
  <c r="AA233" i="8"/>
  <c r="AJ233" i="8"/>
  <c r="AK233" i="8"/>
  <c r="U233" i="8"/>
  <c r="O45" i="12"/>
  <c r="AC45" i="8"/>
  <c r="AB45" i="8"/>
  <c r="AP45" i="8"/>
  <c r="AD45" i="8"/>
  <c r="AA45" i="8"/>
  <c r="O45" i="8"/>
  <c r="R45" i="8" s="1"/>
  <c r="U45" i="8" s="1"/>
  <c r="V45" i="8"/>
  <c r="Y45" i="8" s="1"/>
  <c r="AJ45" i="8"/>
  <c r="AK45" i="8"/>
  <c r="O167" i="12"/>
  <c r="AD167" i="8"/>
  <c r="AC167" i="8"/>
  <c r="AB167" i="8"/>
  <c r="AP167" i="8"/>
  <c r="AA167" i="8"/>
  <c r="O167" i="8"/>
  <c r="R167" i="8" s="1"/>
  <c r="U167" i="8" s="1"/>
  <c r="AJ167" i="8"/>
  <c r="V167" i="8"/>
  <c r="Y167" i="8" s="1"/>
  <c r="AK167" i="8"/>
  <c r="R297" i="8"/>
  <c r="P54" i="8"/>
  <c r="O253" i="12"/>
  <c r="AD253" i="8"/>
  <c r="AP253" i="8"/>
  <c r="AC253" i="8"/>
  <c r="AB253" i="8"/>
  <c r="AA253" i="8"/>
  <c r="AJ253" i="8"/>
  <c r="AK253" i="8"/>
  <c r="W325" i="8"/>
  <c r="X325" i="8"/>
  <c r="Z325" i="8" s="1"/>
  <c r="AI325" i="8" s="1"/>
  <c r="AQ325" i="8" s="1"/>
  <c r="J23" i="7"/>
  <c r="E23" i="1" s="1"/>
  <c r="Q218" i="12"/>
  <c r="AG218" i="12" s="1"/>
  <c r="AF218" i="12"/>
  <c r="V218" i="12"/>
  <c r="AF341" i="8"/>
  <c r="AH341" i="8" s="1"/>
  <c r="L341" i="8"/>
  <c r="P341" i="8" s="1"/>
  <c r="R341" i="8" s="1"/>
  <c r="F159" i="13"/>
  <c r="F159" i="12"/>
  <c r="O61" i="12"/>
  <c r="AC61" i="8"/>
  <c r="AB61" i="8"/>
  <c r="AP61" i="8"/>
  <c r="AD61" i="8"/>
  <c r="AA61" i="8"/>
  <c r="AF295" i="8"/>
  <c r="AH295" i="8" s="1"/>
  <c r="L295" i="8"/>
  <c r="F297" i="13"/>
  <c r="F297" i="12"/>
  <c r="R191" i="8"/>
  <c r="V191" i="8" s="1"/>
  <c r="Y191" i="8" s="1"/>
  <c r="O163" i="12"/>
  <c r="AP163" i="8"/>
  <c r="AD163" i="8"/>
  <c r="AC163" i="8"/>
  <c r="AB163" i="8"/>
  <c r="AK163" i="8"/>
  <c r="AJ163" i="8"/>
  <c r="AA163" i="8"/>
  <c r="O123" i="12"/>
  <c r="AP123" i="8"/>
  <c r="AD123" i="8"/>
  <c r="AC123" i="8"/>
  <c r="AB123" i="8"/>
  <c r="AA123" i="8"/>
  <c r="AK123" i="8"/>
  <c r="AJ123" i="8"/>
  <c r="G44" i="7"/>
  <c r="J44" i="7" s="1"/>
  <c r="E44" i="1" s="1"/>
  <c r="F183" i="13"/>
  <c r="F183" i="12"/>
  <c r="AN262" i="8"/>
  <c r="AK184" i="12"/>
  <c r="AJ184" i="12"/>
  <c r="Z184" i="12"/>
  <c r="R63" i="8"/>
  <c r="V67" i="8"/>
  <c r="Y67" i="8" s="1"/>
  <c r="U67" i="8"/>
  <c r="F157" i="13"/>
  <c r="F157" i="12"/>
  <c r="R133" i="12"/>
  <c r="S133" i="12" s="1"/>
  <c r="U133" i="12" s="1"/>
  <c r="O335" i="12"/>
  <c r="AP335" i="8"/>
  <c r="AD335" i="8"/>
  <c r="AC335" i="8"/>
  <c r="AB335" i="8"/>
  <c r="AA335" i="8"/>
  <c r="O335" i="8"/>
  <c r="R335" i="8" s="1"/>
  <c r="V335" i="8"/>
  <c r="Y335" i="8" s="1"/>
  <c r="AK335" i="8"/>
  <c r="U335" i="8"/>
  <c r="AJ335" i="8"/>
  <c r="F76" i="13"/>
  <c r="F76" i="12"/>
  <c r="O303" i="12"/>
  <c r="AC303" i="8"/>
  <c r="AB303" i="8"/>
  <c r="AP303" i="8"/>
  <c r="AD303" i="8"/>
  <c r="AA303" i="8"/>
  <c r="U303" i="8"/>
  <c r="V303" i="8"/>
  <c r="Y303" i="8" s="1"/>
  <c r="O303" i="8"/>
  <c r="R303" i="8" s="1"/>
  <c r="AJ303" i="8"/>
  <c r="AK303" i="8"/>
  <c r="AP19" i="8"/>
  <c r="AD19" i="8"/>
  <c r="AC19" i="8"/>
  <c r="AB19" i="8"/>
  <c r="AA19" i="8"/>
  <c r="AK19" i="8"/>
  <c r="AJ19" i="8"/>
  <c r="O344" i="12"/>
  <c r="AD344" i="8"/>
  <c r="AC344" i="8"/>
  <c r="AB344" i="8"/>
  <c r="AP344" i="8"/>
  <c r="AA344" i="8"/>
  <c r="AJ344" i="8"/>
  <c r="AK344" i="8"/>
  <c r="H5" i="7"/>
  <c r="H54" i="7" s="1"/>
  <c r="E54" i="7"/>
  <c r="O329" i="12"/>
  <c r="AP329" i="8"/>
  <c r="AD329" i="8"/>
  <c r="AC329" i="8"/>
  <c r="AB329" i="8"/>
  <c r="AA329" i="8"/>
  <c r="U329" i="8"/>
  <c r="AK329" i="8"/>
  <c r="AJ329" i="8"/>
  <c r="O329" i="8"/>
  <c r="R329" i="8" s="1"/>
  <c r="V329" i="8"/>
  <c r="Y329" i="8" s="1"/>
  <c r="O157" i="12"/>
  <c r="AC157" i="8"/>
  <c r="AB157" i="8"/>
  <c r="AP157" i="8"/>
  <c r="AD157" i="8"/>
  <c r="AA157" i="8"/>
  <c r="AJ157" i="8"/>
  <c r="AK157" i="8"/>
  <c r="R262" i="8"/>
  <c r="V262" i="8" s="1"/>
  <c r="Y262" i="8" s="1"/>
  <c r="V57" i="8"/>
  <c r="Y57" i="8" s="1"/>
  <c r="U57" i="8"/>
  <c r="O322" i="12"/>
  <c r="AB322" i="8"/>
  <c r="AD322" i="8"/>
  <c r="AC322" i="8"/>
  <c r="AP322" i="8"/>
  <c r="AA322" i="8"/>
  <c r="AJ322" i="8"/>
  <c r="AK322" i="8"/>
  <c r="AF346" i="8"/>
  <c r="AH346" i="8" s="1"/>
  <c r="AO346" i="8"/>
  <c r="O269" i="12"/>
  <c r="AD269" i="8"/>
  <c r="AP269" i="8"/>
  <c r="AC269" i="8"/>
  <c r="AB269" i="8"/>
  <c r="AA269" i="8"/>
  <c r="AJ269" i="8"/>
  <c r="AK269" i="8"/>
  <c r="O126" i="12"/>
  <c r="AD126" i="8"/>
  <c r="AC126" i="8"/>
  <c r="AB126" i="8"/>
  <c r="AP126" i="8"/>
  <c r="AA126" i="8"/>
  <c r="AK126" i="8"/>
  <c r="AJ126" i="8"/>
  <c r="AH355" i="8"/>
  <c r="R109" i="12"/>
  <c r="S110" i="12" s="1"/>
  <c r="U110" i="12" s="1"/>
  <c r="F78" i="13"/>
  <c r="F78" i="12"/>
  <c r="O92" i="8"/>
  <c r="R92" i="8" s="1"/>
  <c r="V92" i="8" s="1"/>
  <c r="Y92" i="8" s="1"/>
  <c r="O76" i="12"/>
  <c r="AB76" i="8"/>
  <c r="AP76" i="8"/>
  <c r="AD76" i="8"/>
  <c r="AC76" i="8"/>
  <c r="AA76" i="8"/>
  <c r="J32" i="7"/>
  <c r="E32" i="1" s="1"/>
  <c r="F223" i="13"/>
  <c r="F223" i="12"/>
  <c r="O32" i="12"/>
  <c r="AD32" i="8"/>
  <c r="AC32" i="8"/>
  <c r="AB32" i="8"/>
  <c r="AP32" i="8"/>
  <c r="AA32" i="8"/>
  <c r="R265" i="13"/>
  <c r="J265" i="13"/>
  <c r="H265" i="13"/>
  <c r="AF104" i="8"/>
  <c r="AH104" i="8" s="1"/>
  <c r="AO104" i="8"/>
  <c r="Q290" i="12"/>
  <c r="AG290" i="12" s="1"/>
  <c r="AF290" i="12"/>
  <c r="V290" i="12"/>
  <c r="F103" i="13"/>
  <c r="F103" i="12"/>
  <c r="F57" i="13"/>
  <c r="F57" i="12"/>
  <c r="AF50" i="8"/>
  <c r="AH50" i="8" s="1"/>
  <c r="P50" i="8"/>
  <c r="F141" i="13"/>
  <c r="F141" i="12"/>
  <c r="AF197" i="8"/>
  <c r="F40" i="13"/>
  <c r="F40" i="12"/>
  <c r="O101" i="12"/>
  <c r="AC101" i="8"/>
  <c r="AB101" i="8"/>
  <c r="AP101" i="8"/>
  <c r="AD101" i="8"/>
  <c r="AA101" i="8"/>
  <c r="O75" i="12"/>
  <c r="AP75" i="8"/>
  <c r="AD75" i="8"/>
  <c r="AC75" i="8"/>
  <c r="AB75" i="8"/>
  <c r="AA75" i="8"/>
  <c r="O75" i="8"/>
  <c r="R75" i="8" s="1"/>
  <c r="AK75" i="8"/>
  <c r="AJ75" i="8"/>
  <c r="V75" i="8"/>
  <c r="Y75" i="8" s="1"/>
  <c r="U75" i="8"/>
  <c r="AF11" i="8"/>
  <c r="P11" i="8"/>
  <c r="AH270" i="8"/>
  <c r="F168" i="13"/>
  <c r="F168" i="12"/>
  <c r="R190" i="8"/>
  <c r="V190" i="8" s="1"/>
  <c r="Y190" i="8" s="1"/>
  <c r="F79" i="13"/>
  <c r="F79" i="12"/>
  <c r="AF130" i="8"/>
  <c r="AH130" i="8" s="1"/>
  <c r="P130" i="8"/>
  <c r="F253" i="13"/>
  <c r="F253" i="12"/>
  <c r="F131" i="13"/>
  <c r="F131" i="12"/>
  <c r="L197" i="8"/>
  <c r="P197" i="8" s="1"/>
  <c r="R197" i="8" s="1"/>
  <c r="F319" i="13"/>
  <c r="F319" i="12"/>
  <c r="R188" i="12"/>
  <c r="S188" i="12" s="1"/>
  <c r="U188" i="12" s="1"/>
  <c r="P292" i="8"/>
  <c r="R292" i="8" s="1"/>
  <c r="AF292" i="8"/>
  <c r="AH292" i="8" s="1"/>
  <c r="F123" i="13"/>
  <c r="F123" i="12"/>
  <c r="F17" i="13"/>
  <c r="F17" i="12"/>
  <c r="L311" i="8"/>
  <c r="H24" i="8"/>
  <c r="F31" i="13"/>
  <c r="F31" i="12"/>
  <c r="F179" i="13"/>
  <c r="F179" i="12"/>
  <c r="R354" i="12"/>
  <c r="S353" i="12" s="1"/>
  <c r="U353" i="12" s="1"/>
  <c r="F127" i="13"/>
  <c r="F127" i="12"/>
  <c r="AF146" i="8"/>
  <c r="AH146" i="8" s="1"/>
  <c r="P146" i="8"/>
  <c r="O78" i="8"/>
  <c r="R78" i="8" s="1"/>
  <c r="U78" i="8" s="1"/>
  <c r="O90" i="12"/>
  <c r="AP90" i="8"/>
  <c r="AD90" i="8"/>
  <c r="AC90" i="8"/>
  <c r="AB90" i="8"/>
  <c r="AA90" i="8"/>
  <c r="AK90" i="8"/>
  <c r="V90" i="8"/>
  <c r="Y90" i="8" s="1"/>
  <c r="U90" i="8"/>
  <c r="AJ90" i="8"/>
  <c r="AH52" i="8"/>
  <c r="F283" i="13"/>
  <c r="F283" i="12"/>
  <c r="F241" i="13"/>
  <c r="F241" i="12"/>
  <c r="F288" i="13"/>
  <c r="F288" i="12"/>
  <c r="AG361" i="8"/>
  <c r="R11" i="12"/>
  <c r="S11" i="12" s="1"/>
  <c r="U11" i="12" s="1"/>
  <c r="AJ186" i="8"/>
  <c r="AH349" i="8"/>
  <c r="AO138" i="8"/>
  <c r="L22" i="8"/>
  <c r="P22" i="8" s="1"/>
  <c r="R22" i="8" s="1"/>
  <c r="AO154" i="8"/>
  <c r="H300" i="8"/>
  <c r="AO220" i="8"/>
  <c r="AF32" i="8"/>
  <c r="AH32" i="8" s="1"/>
  <c r="P32" i="8"/>
  <c r="R32" i="8" s="1"/>
  <c r="F215" i="13"/>
  <c r="F215" i="12"/>
  <c r="AA215" i="12" s="1"/>
  <c r="R275" i="8"/>
  <c r="H269" i="8"/>
  <c r="H247" i="8"/>
  <c r="AA325" i="12"/>
  <c r="Q325" i="12"/>
  <c r="AG325" i="12" s="1"/>
  <c r="AF325" i="12"/>
  <c r="V325" i="12"/>
  <c r="AJ243" i="8"/>
  <c r="F341" i="13"/>
  <c r="F341" i="12"/>
  <c r="Q287" i="8"/>
  <c r="R287" i="8" s="1"/>
  <c r="U287" i="8" s="1"/>
  <c r="V178" i="12"/>
  <c r="AF178" i="12"/>
  <c r="Q178" i="12"/>
  <c r="AG178" i="12" s="1"/>
  <c r="AO295" i="8"/>
  <c r="Q217" i="12"/>
  <c r="AG217" i="12" s="1"/>
  <c r="AF217" i="12"/>
  <c r="V217" i="12"/>
  <c r="Y217" i="12" s="1"/>
  <c r="AO259" i="8"/>
  <c r="R263" i="8"/>
  <c r="U263" i="8" s="1"/>
  <c r="O345" i="12"/>
  <c r="AD345" i="8"/>
  <c r="AB345" i="8"/>
  <c r="AC345" i="8"/>
  <c r="AP345" i="8"/>
  <c r="AA345" i="8"/>
  <c r="AJ345" i="8"/>
  <c r="V345" i="8"/>
  <c r="Y345" i="8" s="1"/>
  <c r="AK345" i="8"/>
  <c r="U345" i="8"/>
  <c r="R85" i="12"/>
  <c r="S85" i="12" s="1"/>
  <c r="U85" i="12" s="1"/>
  <c r="O71" i="12"/>
  <c r="AD71" i="8"/>
  <c r="AC71" i="8"/>
  <c r="AB71" i="8"/>
  <c r="AP71" i="8"/>
  <c r="AA71" i="8"/>
  <c r="AJ71" i="8"/>
  <c r="AK71" i="8"/>
  <c r="AC310" i="8"/>
  <c r="AB310" i="8"/>
  <c r="AP310" i="8"/>
  <c r="AD310" i="8"/>
  <c r="AA310" i="8"/>
  <c r="AK310" i="8"/>
  <c r="AJ310" i="8"/>
  <c r="O17" i="12"/>
  <c r="AD17" i="8"/>
  <c r="AC17" i="8"/>
  <c r="AB17" i="8"/>
  <c r="AP17" i="8"/>
  <c r="AA17" i="8"/>
  <c r="AJ17" i="8"/>
  <c r="O17" i="8"/>
  <c r="R17" i="8" s="1"/>
  <c r="U17" i="8" s="1"/>
  <c r="V17" i="8"/>
  <c r="Y17" i="8" s="1"/>
  <c r="AK17" i="8"/>
  <c r="U33" i="8"/>
  <c r="Q33" i="12"/>
  <c r="AG33" i="12" s="1"/>
  <c r="AF33" i="12"/>
  <c r="V33" i="12"/>
  <c r="Y33" i="12" s="1"/>
  <c r="R42" i="8"/>
  <c r="O132" i="12"/>
  <c r="AB132" i="8"/>
  <c r="AP132" i="8"/>
  <c r="AD132" i="8"/>
  <c r="AC132" i="8"/>
  <c r="AA132" i="8"/>
  <c r="AJ132" i="8"/>
  <c r="AK132" i="8"/>
  <c r="AK63" i="8"/>
  <c r="R228" i="12"/>
  <c r="S228" i="12" s="1"/>
  <c r="U228" i="12" s="1"/>
  <c r="R293" i="8"/>
  <c r="P186" i="8"/>
  <c r="P199" i="8"/>
  <c r="R199" i="8" s="1"/>
  <c r="AJ327" i="8"/>
  <c r="O236" i="12"/>
  <c r="AC235" i="8"/>
  <c r="AB235" i="8"/>
  <c r="AD235" i="8"/>
  <c r="AP235" i="8"/>
  <c r="AA235" i="8"/>
  <c r="AK235" i="8"/>
  <c r="AJ235" i="8"/>
  <c r="U235" i="8"/>
  <c r="V235" i="8"/>
  <c r="Y235" i="8" s="1"/>
  <c r="O235" i="8"/>
  <c r="R235" i="8" s="1"/>
  <c r="P190" i="8"/>
  <c r="AK243" i="8"/>
  <c r="O94" i="12"/>
  <c r="AD94" i="8"/>
  <c r="AC94" i="8"/>
  <c r="AB94" i="8"/>
  <c r="AP94" i="8"/>
  <c r="AA94" i="8"/>
  <c r="AK94" i="8"/>
  <c r="O94" i="8"/>
  <c r="R94" i="8" s="1"/>
  <c r="V94" i="8" s="1"/>
  <c r="Y94" i="8" s="1"/>
  <c r="AJ94" i="8"/>
  <c r="U94" i="8"/>
  <c r="AF294" i="8"/>
  <c r="AH294" i="8" s="1"/>
  <c r="P294" i="8"/>
  <c r="F84" i="13"/>
  <c r="F84" i="12"/>
  <c r="Q31" i="12"/>
  <c r="AG31" i="12" s="1"/>
  <c r="AF31" i="12"/>
  <c r="V31" i="12"/>
  <c r="F151" i="13"/>
  <c r="F151" i="12"/>
  <c r="F100" i="13"/>
  <c r="F100" i="12"/>
  <c r="AF255" i="8"/>
  <c r="AH255" i="8" s="1"/>
  <c r="P255" i="8"/>
  <c r="X112" i="8"/>
  <c r="Z112" i="8" s="1"/>
  <c r="W112" i="8"/>
  <c r="H276" i="8"/>
  <c r="F30" i="13"/>
  <c r="F30" i="12"/>
  <c r="AF209" i="8"/>
  <c r="AH209" i="8" s="1"/>
  <c r="P209" i="8"/>
  <c r="AF284" i="8"/>
  <c r="AH284" i="8" s="1"/>
  <c r="L284" i="8"/>
  <c r="AF180" i="8"/>
  <c r="AH180" i="8" s="1"/>
  <c r="AF210" i="8"/>
  <c r="AH210" i="8" s="1"/>
  <c r="P210" i="8"/>
  <c r="F82" i="13"/>
  <c r="F82" i="12"/>
  <c r="X177" i="8"/>
  <c r="Z177" i="8" s="1"/>
  <c r="AI177" i="8" s="1"/>
  <c r="AQ177" i="8" s="1"/>
  <c r="AR177" i="8" s="1"/>
  <c r="W177" i="8"/>
  <c r="L180" i="8"/>
  <c r="O348" i="12"/>
  <c r="AP348" i="8"/>
  <c r="AD348" i="8"/>
  <c r="AC348" i="8"/>
  <c r="AB348" i="8"/>
  <c r="AA348" i="8"/>
  <c r="O348" i="8"/>
  <c r="R348" i="8" s="1"/>
  <c r="V348" i="8" s="1"/>
  <c r="Y348" i="8" s="1"/>
  <c r="AK348" i="8"/>
  <c r="AJ348" i="8"/>
  <c r="F231" i="13"/>
  <c r="F231" i="12"/>
  <c r="G41" i="7"/>
  <c r="J41" i="7" s="1"/>
  <c r="E41" i="1" s="1"/>
  <c r="AN274" i="8"/>
  <c r="AP99" i="8"/>
  <c r="AD99" i="8"/>
  <c r="AC99" i="8"/>
  <c r="AB99" i="8"/>
  <c r="AA99" i="8"/>
  <c r="AK99" i="8"/>
  <c r="AJ99" i="8"/>
  <c r="V99" i="8"/>
  <c r="Y99" i="8" s="1"/>
  <c r="U99" i="8"/>
  <c r="AJ50" i="8"/>
  <c r="AK272" i="12"/>
  <c r="AJ272" i="12"/>
  <c r="AA272" i="12"/>
  <c r="Z272" i="12"/>
  <c r="AI272" i="12"/>
  <c r="U212" i="8"/>
  <c r="V212" i="8"/>
  <c r="Y212" i="8" s="1"/>
  <c r="AF221" i="8"/>
  <c r="U61" i="8"/>
  <c r="O58" i="12"/>
  <c r="AP58" i="8"/>
  <c r="AD58" i="8"/>
  <c r="AC58" i="8"/>
  <c r="AB58" i="8"/>
  <c r="AA58" i="8"/>
  <c r="AK58" i="8"/>
  <c r="AJ58" i="8"/>
  <c r="V58" i="8"/>
  <c r="Y58" i="8" s="1"/>
  <c r="U58" i="8"/>
  <c r="R143" i="8"/>
  <c r="F335" i="13"/>
  <c r="F335" i="12"/>
  <c r="R236" i="8"/>
  <c r="V236" i="8" s="1"/>
  <c r="Y236" i="8" s="1"/>
  <c r="AF306" i="8"/>
  <c r="AH306" i="8" s="1"/>
  <c r="P306" i="8"/>
  <c r="R180" i="12"/>
  <c r="S180" i="12" s="1"/>
  <c r="U180" i="12" s="1"/>
  <c r="O193" i="12"/>
  <c r="AC193" i="8"/>
  <c r="AP193" i="8"/>
  <c r="AD193" i="8"/>
  <c r="AB193" i="8"/>
  <c r="AA193" i="8"/>
  <c r="O193" i="8"/>
  <c r="R193" i="8" s="1"/>
  <c r="U193" i="8" s="1"/>
  <c r="AJ193" i="8"/>
  <c r="V193" i="8"/>
  <c r="Y193" i="8" s="1"/>
  <c r="AK193" i="8"/>
  <c r="F321" i="13"/>
  <c r="F321" i="12"/>
  <c r="AN266" i="8"/>
  <c r="F37" i="13"/>
  <c r="F37" i="12"/>
  <c r="H106" i="8"/>
  <c r="F343" i="13"/>
  <c r="F343" i="12"/>
  <c r="AO284" i="8"/>
  <c r="AK278" i="12"/>
  <c r="Z278" i="12"/>
  <c r="AJ278" i="12"/>
  <c r="F170" i="13"/>
  <c r="F170" i="12"/>
  <c r="Q253" i="8"/>
  <c r="R253" i="8" s="1"/>
  <c r="U253" i="8" s="1"/>
  <c r="F161" i="13"/>
  <c r="F161" i="12"/>
  <c r="P342" i="8"/>
  <c r="AF342" i="8"/>
  <c r="AH342" i="8" s="1"/>
  <c r="AH51" i="8"/>
  <c r="R100" i="8"/>
  <c r="U100" i="8" s="1"/>
  <c r="F134" i="13"/>
  <c r="F134" i="12"/>
  <c r="F21" i="13"/>
  <c r="F21" i="12"/>
  <c r="F11" i="13"/>
  <c r="F11" i="12"/>
  <c r="L209" i="8"/>
  <c r="O327" i="8"/>
  <c r="R327" i="8" s="1"/>
  <c r="U327" i="8" s="1"/>
  <c r="R107" i="8"/>
  <c r="V107" i="8" s="1"/>
  <c r="Y107" i="8" s="1"/>
  <c r="AN128" i="8"/>
  <c r="V242" i="8"/>
  <c r="Y242" i="8" s="1"/>
  <c r="U191" i="8"/>
  <c r="AF302" i="8"/>
  <c r="AH302" i="8" s="1"/>
  <c r="P302" i="8"/>
  <c r="R302" i="12"/>
  <c r="S302" i="12" s="1"/>
  <c r="U302" i="12" s="1"/>
  <c r="L302" i="8"/>
  <c r="AF97" i="8"/>
  <c r="AH97" i="8" s="1"/>
  <c r="P97" i="8"/>
  <c r="R97" i="8" s="1"/>
  <c r="R97" i="12"/>
  <c r="S97" i="12" s="1"/>
  <c r="U97" i="12" s="1"/>
  <c r="L97" i="8"/>
  <c r="U163" i="8"/>
  <c r="P334" i="8"/>
  <c r="AF334" i="8"/>
  <c r="AH334" i="8" s="1"/>
  <c r="AN311" i="8"/>
  <c r="AN226" i="8"/>
  <c r="F87" i="13"/>
  <c r="F87" i="12"/>
  <c r="AN144" i="8"/>
  <c r="AN349" i="8"/>
  <c r="U123" i="8"/>
  <c r="P317" i="8"/>
  <c r="AF317" i="8"/>
  <c r="AH317" i="8" s="1"/>
  <c r="L317" i="8"/>
  <c r="J184" i="13"/>
  <c r="R184" i="13"/>
  <c r="H184" i="13"/>
  <c r="AK76" i="8"/>
  <c r="AF194" i="8"/>
  <c r="AH194" i="8" s="1"/>
  <c r="P194" i="8"/>
  <c r="L194" i="8"/>
  <c r="J272" i="13"/>
  <c r="R272" i="13"/>
  <c r="H272" i="13"/>
  <c r="AF143" i="8"/>
  <c r="AH143" i="8" s="1"/>
  <c r="P143" i="8"/>
  <c r="AF23" i="8"/>
  <c r="AH23" i="8" s="1"/>
  <c r="P23" i="8"/>
  <c r="L23" i="8"/>
  <c r="R23" i="12"/>
  <c r="S27" i="12" s="1"/>
  <c r="U27" i="12" s="1"/>
  <c r="F67" i="13"/>
  <c r="F67" i="12"/>
  <c r="AA67" i="12" s="1"/>
  <c r="AC67" i="12" s="1"/>
  <c r="F178" i="13"/>
  <c r="F178" i="12"/>
  <c r="AH243" i="8"/>
  <c r="AN196" i="8"/>
  <c r="AF25" i="8"/>
  <c r="AH25" i="8" s="1"/>
  <c r="P25" i="8"/>
  <c r="R25" i="8" s="1"/>
  <c r="F59" i="13"/>
  <c r="F59" i="12"/>
  <c r="F191" i="13"/>
  <c r="F191" i="12"/>
  <c r="AN335" i="8"/>
  <c r="AO306" i="8"/>
  <c r="AN297" i="8"/>
  <c r="F25" i="7"/>
  <c r="AF128" i="8"/>
  <c r="AH128" i="8" s="1"/>
  <c r="P128" i="8"/>
  <c r="O53" i="12"/>
  <c r="AC53" i="8"/>
  <c r="AB53" i="8"/>
  <c r="AP53" i="8"/>
  <c r="AD53" i="8"/>
  <c r="AA53" i="8"/>
  <c r="O53" i="8"/>
  <c r="R53" i="8" s="1"/>
  <c r="U53" i="8" s="1"/>
  <c r="V53" i="8"/>
  <c r="Y53" i="8" s="1"/>
  <c r="AJ53" i="8"/>
  <c r="AK53" i="8"/>
  <c r="G24" i="7"/>
  <c r="J24" i="7" s="1"/>
  <c r="E24" i="1" s="1"/>
  <c r="AH201" i="8"/>
  <c r="O254" i="12"/>
  <c r="AB254" i="8"/>
  <c r="AD254" i="8"/>
  <c r="AC254" i="8"/>
  <c r="AP254" i="8"/>
  <c r="AA254" i="8"/>
  <c r="O254" i="8"/>
  <c r="R254" i="8" s="1"/>
  <c r="V254" i="8" s="1"/>
  <c r="Y254" i="8" s="1"/>
  <c r="U254" i="8"/>
  <c r="AJ254" i="8"/>
  <c r="AK254" i="8"/>
  <c r="O316" i="8"/>
  <c r="R316" i="8" s="1"/>
  <c r="U344" i="8"/>
  <c r="AO342" i="8"/>
  <c r="G5" i="7"/>
  <c r="AF352" i="8"/>
  <c r="AH352" i="8" s="1"/>
  <c r="AO352" i="8"/>
  <c r="U157" i="8"/>
  <c r="H355" i="8"/>
  <c r="AJ262" i="8"/>
  <c r="AK101" i="8"/>
  <c r="AK32" i="8"/>
  <c r="O100" i="12"/>
  <c r="AP98" i="8"/>
  <c r="AD98" i="8"/>
  <c r="AC98" i="8"/>
  <c r="AB98" i="8"/>
  <c r="AA98" i="8"/>
  <c r="U98" i="8"/>
  <c r="AJ98" i="8"/>
  <c r="AK98" i="8"/>
  <c r="O98" i="8"/>
  <c r="R98" i="8" s="1"/>
  <c r="V98" i="8"/>
  <c r="Y98" i="8" s="1"/>
  <c r="V186" i="8"/>
  <c r="Y186" i="8" s="1"/>
  <c r="AN343" i="8"/>
  <c r="AN284" i="8"/>
  <c r="R278" i="13"/>
  <c r="J278" i="13"/>
  <c r="H278" i="13"/>
  <c r="V208" i="8"/>
  <c r="Y208" i="8" s="1"/>
  <c r="AO66" i="8"/>
  <c r="AF59" i="8"/>
  <c r="AH59" i="8" s="1"/>
  <c r="P59" i="8"/>
  <c r="R59" i="8" s="1"/>
  <c r="AN26" i="8"/>
  <c r="AH262" i="8"/>
  <c r="AN54" i="8"/>
  <c r="AN121" i="8"/>
  <c r="AN90" i="8"/>
  <c r="AN218" i="8"/>
  <c r="F291" i="13"/>
  <c r="F291" i="12"/>
  <c r="F27" i="7"/>
  <c r="L346" i="8"/>
  <c r="V269" i="8"/>
  <c r="Y269" i="8" s="1"/>
  <c r="U126" i="8"/>
  <c r="R51" i="12"/>
  <c r="S51" i="12" s="1"/>
  <c r="U51" i="12" s="1"/>
  <c r="O326" i="12"/>
  <c r="AC326" i="8"/>
  <c r="AB326" i="8"/>
  <c r="AP326" i="8"/>
  <c r="AD326" i="8"/>
  <c r="AA326" i="8"/>
  <c r="AJ326" i="8"/>
  <c r="AK326" i="8"/>
  <c r="AO69" i="8"/>
  <c r="X241" i="8"/>
  <c r="U207" i="8"/>
  <c r="O114" i="12"/>
  <c r="AD112" i="8"/>
  <c r="AC112" i="8"/>
  <c r="AB112" i="8"/>
  <c r="AP112" i="8"/>
  <c r="AA112" i="8"/>
  <c r="AH92" i="8"/>
  <c r="AH100" i="8"/>
  <c r="F308" i="13"/>
  <c r="F308" i="12"/>
  <c r="L300" i="8"/>
  <c r="AN174" i="8"/>
  <c r="F94" i="13"/>
  <c r="F94" i="12"/>
  <c r="AN223" i="8"/>
  <c r="O159" i="8"/>
  <c r="R159" i="8" s="1"/>
  <c r="R248" i="12"/>
  <c r="S248" i="12" s="1"/>
  <c r="U248" i="12" s="1"/>
  <c r="V13" i="8"/>
  <c r="Y13" i="8" s="1"/>
  <c r="O80" i="12"/>
  <c r="AD80" i="8"/>
  <c r="AC80" i="8"/>
  <c r="AB80" i="8"/>
  <c r="AP80" i="8"/>
  <c r="AA80" i="8"/>
  <c r="F77" i="13"/>
  <c r="F77" i="12"/>
  <c r="L104" i="8"/>
  <c r="P104" i="8" s="1"/>
  <c r="R104" i="8" s="1"/>
  <c r="F163" i="13"/>
  <c r="F163" i="12"/>
  <c r="AN310" i="8"/>
  <c r="AN230" i="8"/>
  <c r="AN164" i="8"/>
  <c r="AH313" i="8"/>
  <c r="O273" i="12"/>
  <c r="AP273" i="8"/>
  <c r="AD273" i="8"/>
  <c r="AC273" i="8"/>
  <c r="AB273" i="8"/>
  <c r="AA273" i="8"/>
  <c r="AJ273" i="8"/>
  <c r="AK273" i="8"/>
  <c r="F254" i="13"/>
  <c r="F254" i="12"/>
  <c r="AK61" i="8"/>
  <c r="AF124" i="12"/>
  <c r="V124" i="12"/>
  <c r="Y124" i="12" s="1"/>
  <c r="Q124" i="12"/>
  <c r="AG124" i="12" s="1"/>
  <c r="V241" i="8"/>
  <c r="Y241" i="8" s="1"/>
  <c r="AK55" i="12"/>
  <c r="AI55" i="12"/>
  <c r="Z55" i="12"/>
  <c r="AN298" i="8"/>
  <c r="AN148" i="8"/>
  <c r="O158" i="12"/>
  <c r="AD158" i="8"/>
  <c r="AC158" i="8"/>
  <c r="AB158" i="8"/>
  <c r="AP158" i="8"/>
  <c r="AA158" i="8"/>
  <c r="F98" i="13"/>
  <c r="F98" i="12"/>
  <c r="F175" i="13"/>
  <c r="F175" i="12"/>
  <c r="AN323" i="8"/>
  <c r="R301" i="8"/>
  <c r="AH327" i="8"/>
  <c r="L255" i="8"/>
  <c r="AF162" i="12"/>
  <c r="V162" i="12"/>
  <c r="Q162" i="12"/>
  <c r="AG162" i="12" s="1"/>
  <c r="F43" i="7"/>
  <c r="U101" i="8"/>
  <c r="O49" i="8"/>
  <c r="R49" i="8" s="1"/>
  <c r="F233" i="13"/>
  <c r="F233" i="12"/>
  <c r="AN237" i="8"/>
  <c r="P260" i="8"/>
  <c r="R260" i="8" s="1"/>
  <c r="AF260" i="8"/>
  <c r="AH260" i="8" s="1"/>
  <c r="L260" i="8"/>
  <c r="R260" i="12"/>
  <c r="S262" i="12" s="1"/>
  <c r="U262" i="12" s="1"/>
  <c r="F7" i="13"/>
  <c r="F7" i="12"/>
  <c r="AF289" i="8"/>
  <c r="AH289" i="8" s="1"/>
  <c r="P289" i="8"/>
  <c r="AH107" i="8"/>
  <c r="AK92" i="8"/>
  <c r="AF304" i="8"/>
  <c r="AH304" i="8" s="1"/>
  <c r="P304" i="8"/>
  <c r="L304" i="8"/>
  <c r="F80" i="13"/>
  <c r="F80" i="12"/>
  <c r="AF268" i="8"/>
  <c r="AH268" i="8" s="1"/>
  <c r="P268" i="8"/>
  <c r="L268" i="8"/>
  <c r="AN214" i="8"/>
  <c r="AF198" i="8"/>
  <c r="AH198" i="8" s="1"/>
  <c r="P198" i="8"/>
  <c r="R198" i="8" s="1"/>
  <c r="L198" i="8"/>
  <c r="O142" i="12"/>
  <c r="AD142" i="8"/>
  <c r="AC142" i="8"/>
  <c r="AB142" i="8"/>
  <c r="AP142" i="8"/>
  <c r="U142" i="8"/>
  <c r="AA142" i="8"/>
  <c r="V142" i="8"/>
  <c r="Y142" i="8" s="1"/>
  <c r="AK142" i="8"/>
  <c r="AJ142" i="8"/>
  <c r="AF43" i="8"/>
  <c r="AH43" i="8" s="1"/>
  <c r="P43" i="8"/>
  <c r="R43" i="8" s="1"/>
  <c r="AO43" i="8"/>
  <c r="H43" i="8"/>
  <c r="AN45" i="8"/>
  <c r="F71" i="13"/>
  <c r="F71" i="12"/>
  <c r="F205" i="13"/>
  <c r="F205" i="12"/>
  <c r="F13" i="13"/>
  <c r="F13" i="12"/>
  <c r="AN102" i="8"/>
  <c r="AF252" i="12"/>
  <c r="V252" i="12"/>
  <c r="Q252" i="12"/>
  <c r="AG252" i="12" s="1"/>
  <c r="AA252" i="12"/>
  <c r="AN15" i="8"/>
  <c r="V120" i="12"/>
  <c r="Y120" i="12" s="1"/>
  <c r="AA120" i="12" s="1"/>
  <c r="AC120" i="12" s="1"/>
  <c r="AF120" i="12"/>
  <c r="Q120" i="12"/>
  <c r="AG120" i="12" s="1"/>
  <c r="AD261" i="8"/>
  <c r="AP261" i="8"/>
  <c r="AC261" i="8"/>
  <c r="AB261" i="8"/>
  <c r="AA261" i="8"/>
  <c r="P338" i="8"/>
  <c r="R338" i="8" s="1"/>
  <c r="H23" i="8"/>
  <c r="AH6" i="8"/>
  <c r="V179" i="8"/>
  <c r="Y179" i="8" s="1"/>
  <c r="AN304" i="8"/>
  <c r="F227" i="13"/>
  <c r="F227" i="12"/>
  <c r="AF80" i="8"/>
  <c r="AH80" i="8" s="1"/>
  <c r="P80" i="8"/>
  <c r="R80" i="8" s="1"/>
  <c r="L289" i="8"/>
  <c r="AF214" i="8"/>
  <c r="AH214" i="8" s="1"/>
  <c r="P214" i="8"/>
  <c r="AN228" i="8"/>
  <c r="AO198" i="8"/>
  <c r="R86" i="12"/>
  <c r="S86" i="12" s="1"/>
  <c r="U86" i="12" s="1"/>
  <c r="F246" i="13"/>
  <c r="F246" i="12"/>
  <c r="AH78" i="8"/>
  <c r="L52" i="8"/>
  <c r="S5" i="12"/>
  <c r="F193" i="13"/>
  <c r="F193" i="12"/>
  <c r="AN12" i="8"/>
  <c r="AH288" i="8"/>
  <c r="V229" i="8"/>
  <c r="Y229" i="8" s="1"/>
  <c r="V38" i="8"/>
  <c r="Y38" i="8" s="1"/>
  <c r="AF206" i="8"/>
  <c r="AH206" i="8" s="1"/>
  <c r="P206" i="8"/>
  <c r="R206" i="12"/>
  <c r="S206" i="12" s="1"/>
  <c r="U206" i="12" s="1"/>
  <c r="L206" i="8"/>
  <c r="F124" i="13"/>
  <c r="F124" i="12"/>
  <c r="AA124" i="12" s="1"/>
  <c r="AC124" i="12" s="1"/>
  <c r="G36" i="7"/>
  <c r="J36" i="7" s="1"/>
  <c r="E36" i="1" s="1"/>
  <c r="L128" i="8"/>
  <c r="AK207" i="8"/>
  <c r="O349" i="12"/>
  <c r="AP349" i="8"/>
  <c r="AD349" i="8"/>
  <c r="AC349" i="8"/>
  <c r="AB349" i="8"/>
  <c r="AA349" i="8"/>
  <c r="L144" i="8"/>
  <c r="F35" i="7"/>
  <c r="AN270" i="8"/>
  <c r="F41" i="13"/>
  <c r="F41" i="12"/>
  <c r="L306" i="8"/>
  <c r="R210" i="12"/>
  <c r="S210" i="12" s="1"/>
  <c r="U210" i="12" s="1"/>
  <c r="AN215" i="8"/>
  <c r="O275" i="12"/>
  <c r="AC275" i="8"/>
  <c r="AB275" i="8"/>
  <c r="AP275" i="8"/>
  <c r="AD275" i="8"/>
  <c r="AA275" i="8"/>
  <c r="AK275" i="8"/>
  <c r="AJ275" i="8"/>
  <c r="H302" i="8"/>
  <c r="O333" i="12"/>
  <c r="AB333" i="8"/>
  <c r="AP333" i="8"/>
  <c r="AD333" i="8"/>
  <c r="AC333" i="8"/>
  <c r="AA333" i="8"/>
  <c r="AK333" i="8"/>
  <c r="AJ333" i="8"/>
  <c r="H334" i="8"/>
  <c r="AO10" i="8"/>
  <c r="AO269" i="8"/>
  <c r="AN129" i="8"/>
  <c r="AN169" i="8"/>
  <c r="AN36" i="8"/>
  <c r="O73" i="8"/>
  <c r="R73" i="8" s="1"/>
  <c r="V73" i="8" s="1"/>
  <c r="Y73" i="8" s="1"/>
  <c r="AO206" i="8"/>
  <c r="J361" i="8"/>
  <c r="AO347" i="8"/>
  <c r="AH358" i="8"/>
  <c r="AO173" i="8"/>
  <c r="P135" i="8"/>
  <c r="R135" i="8" s="1"/>
  <c r="U135" i="8" s="1"/>
  <c r="V29" i="8"/>
  <c r="Y29" i="8" s="1"/>
  <c r="F91" i="13"/>
  <c r="F91" i="12"/>
  <c r="P339" i="8"/>
  <c r="R339" i="8" s="1"/>
  <c r="V339" i="8" s="1"/>
  <c r="Y339" i="8" s="1"/>
  <c r="H234" i="8"/>
  <c r="R174" i="12"/>
  <c r="F356" i="13"/>
  <c r="F356" i="12"/>
  <c r="F357" i="13"/>
  <c r="F357" i="12"/>
  <c r="AN210" i="8"/>
  <c r="AN113" i="8"/>
  <c r="Q184" i="12"/>
  <c r="AG184" i="12" s="1"/>
  <c r="V184" i="12"/>
  <c r="Y184" i="12" s="1"/>
  <c r="AA184" i="12" s="1"/>
  <c r="AC184" i="12" s="1"/>
  <c r="AF184" i="12"/>
  <c r="R15" i="12"/>
  <c r="S15" i="12" s="1"/>
  <c r="U15" i="12" s="1"/>
  <c r="P71" i="8"/>
  <c r="R71" i="8" s="1"/>
  <c r="V71" i="8" s="1"/>
  <c r="Y71" i="8" s="1"/>
  <c r="P310" i="8"/>
  <c r="R310" i="8" s="1"/>
  <c r="V310" i="8" s="1"/>
  <c r="Y310" i="8" s="1"/>
  <c r="O172" i="12"/>
  <c r="AB172" i="8"/>
  <c r="AP172" i="8"/>
  <c r="AD172" i="8"/>
  <c r="AC172" i="8"/>
  <c r="AJ172" i="8"/>
  <c r="AK172" i="8"/>
  <c r="O172" i="8"/>
  <c r="R172" i="8" s="1"/>
  <c r="V172" i="8" s="1"/>
  <c r="Y172" i="8" s="1"/>
  <c r="AA172" i="8"/>
  <c r="AF351" i="12"/>
  <c r="V351" i="12"/>
  <c r="Q351" i="12"/>
  <c r="AG351" i="12" s="1"/>
  <c r="P21" i="8"/>
  <c r="R21" i="8" s="1"/>
  <c r="P121" i="8"/>
  <c r="R121" i="8" s="1"/>
  <c r="V121" i="8" s="1"/>
  <c r="Y121" i="8" s="1"/>
  <c r="AF321" i="12"/>
  <c r="V321" i="12"/>
  <c r="Q321" i="12"/>
  <c r="AG321" i="12" s="1"/>
  <c r="R20" i="12"/>
  <c r="S20" i="12" s="1"/>
  <c r="U20" i="12" s="1"/>
  <c r="O318" i="12"/>
  <c r="AC318" i="8"/>
  <c r="AB318" i="8"/>
  <c r="AP318" i="8"/>
  <c r="AD318" i="8"/>
  <c r="AA318" i="8"/>
  <c r="AK318" i="8"/>
  <c r="AJ318" i="8"/>
  <c r="O318" i="8"/>
  <c r="R318" i="8" s="1"/>
  <c r="V318" i="8" s="1"/>
  <c r="Y318" i="8" s="1"/>
  <c r="U318" i="8"/>
  <c r="O89" i="12"/>
  <c r="AD89" i="8"/>
  <c r="AC89" i="8"/>
  <c r="AB89" i="8"/>
  <c r="AP89" i="8"/>
  <c r="AA89" i="8"/>
  <c r="AJ89" i="8"/>
  <c r="V89" i="8"/>
  <c r="Y89" i="8" s="1"/>
  <c r="U89" i="8"/>
  <c r="AK89" i="8"/>
  <c r="O87" i="12"/>
  <c r="AD87" i="8"/>
  <c r="AC87" i="8"/>
  <c r="AB87" i="8"/>
  <c r="AP87" i="8"/>
  <c r="AA87" i="8"/>
  <c r="O87" i="8"/>
  <c r="R87" i="8" s="1"/>
  <c r="V87" i="8" s="1"/>
  <c r="Y87" i="8" s="1"/>
  <c r="AJ87" i="8"/>
  <c r="AK87" i="8"/>
  <c r="U87" i="8"/>
  <c r="AJ143" i="8"/>
  <c r="P132" i="8"/>
  <c r="R132" i="8" s="1"/>
  <c r="U132" i="8" s="1"/>
  <c r="AK110" i="8"/>
  <c r="AP27" i="8"/>
  <c r="AD27" i="8"/>
  <c r="AC27" i="8"/>
  <c r="AB27" i="8"/>
  <c r="AA27" i="8"/>
  <c r="AK27" i="8"/>
  <c r="V27" i="8"/>
  <c r="Y27" i="8" s="1"/>
  <c r="AJ27" i="8"/>
  <c r="U27" i="8"/>
  <c r="AK262" i="8"/>
  <c r="P233" i="8"/>
  <c r="R233" i="8" s="1"/>
  <c r="V233" i="8" s="1"/>
  <c r="Y233" i="8" s="1"/>
  <c r="O258" i="12"/>
  <c r="AB258" i="8"/>
  <c r="AD258" i="8"/>
  <c r="AC258" i="8"/>
  <c r="AP258" i="8"/>
  <c r="AA258" i="8"/>
  <c r="V258" i="8"/>
  <c r="Y258" i="8" s="1"/>
  <c r="AJ258" i="8"/>
  <c r="U258" i="8"/>
  <c r="AK258" i="8"/>
  <c r="P243" i="8"/>
  <c r="R243" i="8" s="1"/>
  <c r="O21" i="12"/>
  <c r="AK309" i="8"/>
  <c r="O137" i="12"/>
  <c r="AD137" i="8"/>
  <c r="AC137" i="8"/>
  <c r="AB137" i="8"/>
  <c r="AP137" i="8"/>
  <c r="AA137" i="8"/>
  <c r="V137" i="8"/>
  <c r="Y137" i="8" s="1"/>
  <c r="U137" i="8"/>
  <c r="AK137" i="8"/>
  <c r="AJ137" i="8"/>
  <c r="S284" i="12"/>
  <c r="U284" i="12" s="1"/>
  <c r="AF133" i="8"/>
  <c r="AH133" i="8" s="1"/>
  <c r="P133" i="8"/>
  <c r="R133" i="8" s="1"/>
  <c r="AJ104" i="12"/>
  <c r="Z104" i="12"/>
  <c r="AI104" i="12"/>
  <c r="Q274" i="12"/>
  <c r="AG274" i="12" s="1"/>
  <c r="AF274" i="12"/>
  <c r="V274" i="12"/>
  <c r="Y274" i="12" s="1"/>
  <c r="R186" i="8"/>
  <c r="U186" i="8" s="1"/>
  <c r="O271" i="12"/>
  <c r="AC271" i="8"/>
  <c r="AB271" i="8"/>
  <c r="AD271" i="8"/>
  <c r="AP271" i="8"/>
  <c r="AA271" i="8"/>
  <c r="U271" i="8"/>
  <c r="V271" i="8"/>
  <c r="Y271" i="8" s="1"/>
  <c r="AJ271" i="8"/>
  <c r="AK271" i="8"/>
  <c r="F358" i="13"/>
  <c r="F358" i="12"/>
  <c r="AF195" i="8"/>
  <c r="AH195" i="8" s="1"/>
  <c r="P195" i="8"/>
  <c r="L195" i="8"/>
  <c r="R195" i="12"/>
  <c r="S195" i="12" s="1"/>
  <c r="U195" i="12" s="1"/>
  <c r="H55" i="13"/>
  <c r="R55" i="13"/>
  <c r="J55" i="13"/>
  <c r="O334" i="12"/>
  <c r="AP334" i="8"/>
  <c r="AD334" i="8"/>
  <c r="AC334" i="8"/>
  <c r="AB334" i="8"/>
  <c r="AA334" i="8"/>
  <c r="F114" i="13"/>
  <c r="F114" i="12"/>
  <c r="O153" i="12"/>
  <c r="AD153" i="8"/>
  <c r="AC153" i="8"/>
  <c r="AB153" i="8"/>
  <c r="AP153" i="8"/>
  <c r="AA153" i="8"/>
  <c r="F140" i="13"/>
  <c r="F140" i="12"/>
  <c r="X158" i="8"/>
  <c r="Z158" i="8" s="1"/>
  <c r="AI158" i="8" s="1"/>
  <c r="AQ158" i="8" s="1"/>
  <c r="AR158" i="8" s="1"/>
  <c r="W158" i="8"/>
  <c r="R54" i="8"/>
  <c r="V54" i="8" s="1"/>
  <c r="Y54" i="8" s="1"/>
  <c r="O327" i="12"/>
  <c r="AD327" i="8"/>
  <c r="AC327" i="8"/>
  <c r="AB327" i="8"/>
  <c r="AP327" i="8"/>
  <c r="AA327" i="8"/>
  <c r="F8" i="13"/>
  <c r="F8" i="12"/>
  <c r="F238" i="13"/>
  <c r="F238" i="12"/>
  <c r="AA238" i="12" s="1"/>
  <c r="AF164" i="8"/>
  <c r="AH164" i="8" s="1"/>
  <c r="P164" i="8"/>
  <c r="AN337" i="8"/>
  <c r="F277" i="13"/>
  <c r="F277" i="12"/>
  <c r="O190" i="12"/>
  <c r="AB190" i="8"/>
  <c r="AD190" i="8"/>
  <c r="AC190" i="8"/>
  <c r="AP190" i="8"/>
  <c r="AA190" i="8"/>
  <c r="F264" i="13"/>
  <c r="F264" i="12"/>
  <c r="P340" i="8"/>
  <c r="R340" i="8" s="1"/>
  <c r="AF340" i="8"/>
  <c r="AH340" i="8" s="1"/>
  <c r="AN253" i="8"/>
  <c r="AN139" i="8"/>
  <c r="AF85" i="8"/>
  <c r="AH85" i="8" s="1"/>
  <c r="L85" i="8"/>
  <c r="AN50" i="8"/>
  <c r="O95" i="12"/>
  <c r="AD95" i="8"/>
  <c r="AC95" i="8"/>
  <c r="AB95" i="8"/>
  <c r="AP95" i="8"/>
  <c r="AA95" i="8"/>
  <c r="F28" i="13"/>
  <c r="F28" i="12"/>
  <c r="AN181" i="8"/>
  <c r="AN95" i="8"/>
  <c r="AN147" i="8"/>
  <c r="F336" i="13"/>
  <c r="F336" i="12"/>
  <c r="F282" i="13"/>
  <c r="F282" i="12"/>
  <c r="AI136" i="8"/>
  <c r="AQ136" i="8" s="1"/>
  <c r="AH197" i="8"/>
  <c r="O43" i="12"/>
  <c r="AD43" i="8"/>
  <c r="AC43" i="8"/>
  <c r="AB43" i="8"/>
  <c r="AP43" i="8"/>
  <c r="AA43" i="8"/>
  <c r="F81" i="13"/>
  <c r="F81" i="12"/>
  <c r="F207" i="13"/>
  <c r="F207" i="12"/>
  <c r="AN155" i="8"/>
  <c r="F11" i="7"/>
  <c r="F153" i="13"/>
  <c r="F153" i="12"/>
  <c r="P354" i="8"/>
  <c r="AF354" i="8"/>
  <c r="AH354" i="8" s="1"/>
  <c r="AJ152" i="12"/>
  <c r="Z152" i="12"/>
  <c r="AK152" i="12"/>
  <c r="AA182" i="12"/>
  <c r="AF182" i="12"/>
  <c r="V182" i="12"/>
  <c r="Q182" i="12"/>
  <c r="AG182" i="12" s="1"/>
  <c r="P19" i="8"/>
  <c r="R19" i="8" s="1"/>
  <c r="O6" i="12"/>
  <c r="AD6" i="8"/>
  <c r="AC6" i="8"/>
  <c r="AB6" i="8"/>
  <c r="AP6" i="8"/>
  <c r="AA6" i="8"/>
  <c r="O237" i="12"/>
  <c r="AD237" i="8"/>
  <c r="AP237" i="8"/>
  <c r="AC237" i="8"/>
  <c r="AB237" i="8"/>
  <c r="AA237" i="8"/>
  <c r="AN227" i="8"/>
  <c r="F145" i="13"/>
  <c r="F145" i="12"/>
  <c r="AP131" i="8"/>
  <c r="AD131" i="8"/>
  <c r="AC131" i="8"/>
  <c r="AB131" i="8"/>
  <c r="AA131" i="8"/>
  <c r="J17" i="7"/>
  <c r="E17" i="1" s="1"/>
  <c r="AF166" i="8"/>
  <c r="AH166" i="8" s="1"/>
  <c r="P166" i="8"/>
  <c r="AO166" i="8"/>
  <c r="H166" i="8"/>
  <c r="P285" i="8"/>
  <c r="R285" i="8" s="1"/>
  <c r="U285" i="8" s="1"/>
  <c r="O78" i="12"/>
  <c r="AD78" i="8"/>
  <c r="AC78" i="8"/>
  <c r="AB78" i="8"/>
  <c r="AP78" i="8"/>
  <c r="AA78" i="8"/>
  <c r="O278" i="12"/>
  <c r="AB278" i="8"/>
  <c r="AC278" i="8"/>
  <c r="AP278" i="8"/>
  <c r="AD278" i="8"/>
  <c r="U278" i="8"/>
  <c r="AK278" i="8"/>
  <c r="O278" i="8"/>
  <c r="R278" i="8" s="1"/>
  <c r="AJ278" i="8"/>
  <c r="AA278" i="8"/>
  <c r="V278" i="8"/>
  <c r="Y278" i="8" s="1"/>
  <c r="F32" i="13"/>
  <c r="F32" i="12"/>
  <c r="F156" i="13"/>
  <c r="F156" i="12"/>
  <c r="F281" i="13"/>
  <c r="F281" i="12"/>
  <c r="O288" i="12"/>
  <c r="AP288" i="8"/>
  <c r="AD288" i="8"/>
  <c r="AC288" i="8"/>
  <c r="AB288" i="8"/>
  <c r="AA288" i="8"/>
  <c r="AK288" i="8"/>
  <c r="AJ288" i="8"/>
  <c r="AN279" i="8"/>
  <c r="F107" i="13"/>
  <c r="F107" i="12"/>
  <c r="F189" i="13"/>
  <c r="F189" i="12"/>
  <c r="J28" i="7"/>
  <c r="E28" i="1" s="1"/>
  <c r="AF24" i="8"/>
  <c r="AH24" i="8" s="1"/>
  <c r="P24" i="8"/>
  <c r="F122" i="13"/>
  <c r="F122" i="12"/>
  <c r="J12" i="7"/>
  <c r="E12" i="1" s="1"/>
  <c r="AN309" i="8"/>
  <c r="F243" i="13"/>
  <c r="F243" i="12"/>
  <c r="AO300" i="8"/>
  <c r="AN18" i="8"/>
  <c r="R306" i="12"/>
  <c r="S306" i="12" s="1"/>
  <c r="U306" i="12" s="1"/>
  <c r="F146" i="13"/>
  <c r="F146" i="12"/>
  <c r="H51" i="8"/>
  <c r="R130" i="8"/>
  <c r="V130" i="8" s="1"/>
  <c r="Y130" i="8" s="1"/>
  <c r="AH21" i="8"/>
  <c r="AN334" i="8"/>
  <c r="AH221" i="8"/>
  <c r="AN269" i="8"/>
  <c r="AO247" i="8"/>
  <c r="R307" i="8"/>
  <c r="U307" i="8" s="1"/>
  <c r="AC358" i="8"/>
  <c r="AB358" i="8"/>
  <c r="AP358" i="8"/>
  <c r="AD358" i="8"/>
  <c r="AA358" i="8"/>
  <c r="AK153" i="8"/>
  <c r="P56" i="8"/>
  <c r="R56" i="8" s="1"/>
  <c r="V56" i="8" s="1"/>
  <c r="Y56" i="8" s="1"/>
  <c r="H194" i="8"/>
  <c r="R296" i="12"/>
  <c r="S296" i="12" s="1"/>
  <c r="U296" i="12" s="1"/>
  <c r="R29" i="8"/>
  <c r="U29" i="8" s="1"/>
  <c r="AN25" i="8"/>
  <c r="F38" i="7"/>
  <c r="G7" i="7"/>
  <c r="J7" i="7" s="1"/>
  <c r="E7" i="1" s="1"/>
  <c r="L211" i="8"/>
  <c r="Q34" i="12"/>
  <c r="AG34" i="12" s="1"/>
  <c r="AF34" i="12"/>
  <c r="V34" i="12"/>
  <c r="O263" i="12"/>
  <c r="AC263" i="8"/>
  <c r="AB263" i="8"/>
  <c r="AD263" i="8"/>
  <c r="AP263" i="8"/>
  <c r="AA263" i="8"/>
  <c r="R184" i="8"/>
  <c r="AJ354" i="8"/>
  <c r="P358" i="8"/>
  <c r="R358" i="8" s="1"/>
  <c r="O30" i="12"/>
  <c r="AD30" i="8"/>
  <c r="AC30" i="8"/>
  <c r="AB30" i="8"/>
  <c r="AP30" i="8"/>
  <c r="AA30" i="8"/>
  <c r="V30" i="8"/>
  <c r="Y30" i="8" s="1"/>
  <c r="AJ30" i="8"/>
  <c r="U30" i="8"/>
  <c r="AK30" i="8"/>
  <c r="AK237" i="8"/>
  <c r="R82" i="8"/>
  <c r="V82" i="12"/>
  <c r="Y82" i="12" s="1"/>
  <c r="Q82" i="12"/>
  <c r="AG82" i="12" s="1"/>
  <c r="AA82" i="12"/>
  <c r="AC82" i="12" s="1"/>
  <c r="AF82" i="12"/>
  <c r="O219" i="12"/>
  <c r="AC219" i="8"/>
  <c r="AP219" i="8"/>
  <c r="AD219" i="8"/>
  <c r="AB219" i="8"/>
  <c r="AA219" i="8"/>
  <c r="AK219" i="8"/>
  <c r="AJ219" i="8"/>
  <c r="O219" i="8"/>
  <c r="R219" i="8" s="1"/>
  <c r="U219" i="8" s="1"/>
  <c r="R299" i="8"/>
  <c r="U187" i="8"/>
  <c r="R106" i="12"/>
  <c r="S106" i="12" s="1"/>
  <c r="U106" i="12" s="1"/>
  <c r="V160" i="12"/>
  <c r="AF160" i="12"/>
  <c r="Q160" i="12"/>
  <c r="AG160" i="12" s="1"/>
  <c r="AJ214" i="8"/>
  <c r="R9" i="8"/>
  <c r="O298" i="12"/>
  <c r="AB298" i="8"/>
  <c r="AD298" i="8"/>
  <c r="AC298" i="8"/>
  <c r="AP298" i="8"/>
  <c r="AA298" i="8"/>
  <c r="AJ298" i="8"/>
  <c r="AK298" i="8"/>
  <c r="O298" i="8"/>
  <c r="R298" i="8" s="1"/>
  <c r="U298" i="8" s="1"/>
  <c r="V298" i="8"/>
  <c r="Y298" i="8" s="1"/>
  <c r="AH42" i="12" l="1"/>
  <c r="AH241" i="12"/>
  <c r="AH33" i="12"/>
  <c r="AL33" i="12" s="1"/>
  <c r="AH150" i="12"/>
  <c r="AI28" i="8"/>
  <c r="AQ28" i="8" s="1"/>
  <c r="AR28" i="8" s="1"/>
  <c r="AQ222" i="8"/>
  <c r="AR222" i="8" s="1"/>
  <c r="W250" i="8"/>
  <c r="AH120" i="12"/>
  <c r="AJ120" i="12" s="1"/>
  <c r="AO120" i="12" s="1"/>
  <c r="AH274" i="12"/>
  <c r="AI112" i="8"/>
  <c r="AQ112" i="8" s="1"/>
  <c r="AI201" i="8"/>
  <c r="AQ201" i="8" s="1"/>
  <c r="AR201" i="8" s="1"/>
  <c r="AO265" i="12"/>
  <c r="AH279" i="12"/>
  <c r="Z156" i="8"/>
  <c r="AH171" i="12"/>
  <c r="AL171" i="12" s="1"/>
  <c r="Z12" i="8"/>
  <c r="AI12" i="8" s="1"/>
  <c r="AQ12" i="8" s="1"/>
  <c r="AR12" i="8" s="1"/>
  <c r="X186" i="8"/>
  <c r="Z186" i="8" s="1"/>
  <c r="AI186" i="8" s="1"/>
  <c r="AQ186" i="8" s="1"/>
  <c r="AR186" i="8" s="1"/>
  <c r="W186" i="8"/>
  <c r="V80" i="8"/>
  <c r="Y80" i="8" s="1"/>
  <c r="U80" i="8"/>
  <c r="V338" i="8"/>
  <c r="Y338" i="8" s="1"/>
  <c r="U338" i="8"/>
  <c r="U43" i="8"/>
  <c r="V43" i="8"/>
  <c r="Y43" i="8" s="1"/>
  <c r="U59" i="8"/>
  <c r="V59" i="8"/>
  <c r="Y59" i="8" s="1"/>
  <c r="X285" i="8"/>
  <c r="X287" i="8"/>
  <c r="X45" i="8"/>
  <c r="Z45" i="8" s="1"/>
  <c r="AI45" i="8" s="1"/>
  <c r="AQ45" i="8" s="1"/>
  <c r="AR45" i="8" s="1"/>
  <c r="W45" i="8"/>
  <c r="X196" i="8"/>
  <c r="Z196" i="8" s="1"/>
  <c r="AI196" i="8" s="1"/>
  <c r="AQ196" i="8" s="1"/>
  <c r="AR196" i="8" s="1"/>
  <c r="W196" i="8"/>
  <c r="X7" i="8"/>
  <c r="W277" i="8"/>
  <c r="X277" i="8"/>
  <c r="Z277" i="8" s="1"/>
  <c r="AI277" i="8" s="1"/>
  <c r="AQ277" i="8" s="1"/>
  <c r="AR277" i="8" s="1"/>
  <c r="X298" i="8"/>
  <c r="Z298" i="8" s="1"/>
  <c r="AI298" i="8" s="1"/>
  <c r="AQ298" i="8" s="1"/>
  <c r="AR298" i="8" s="1"/>
  <c r="W298" i="8"/>
  <c r="V340" i="8"/>
  <c r="Y340" i="8" s="1"/>
  <c r="U340" i="8"/>
  <c r="U21" i="8"/>
  <c r="V21" i="8"/>
  <c r="Y21" i="8" s="1"/>
  <c r="X135" i="8"/>
  <c r="AR112" i="8"/>
  <c r="V25" i="8"/>
  <c r="Y25" i="8" s="1"/>
  <c r="U25" i="8"/>
  <c r="X253" i="8"/>
  <c r="U199" i="8"/>
  <c r="V199" i="8"/>
  <c r="Y199" i="8" s="1"/>
  <c r="X79" i="8"/>
  <c r="X246" i="8"/>
  <c r="X327" i="8"/>
  <c r="V292" i="8"/>
  <c r="Y292" i="8" s="1"/>
  <c r="U292" i="8"/>
  <c r="X322" i="8"/>
  <c r="X119" i="8"/>
  <c r="X170" i="8"/>
  <c r="W151" i="8"/>
  <c r="X151" i="8"/>
  <c r="Z151" i="8" s="1"/>
  <c r="AI151" i="8" s="1"/>
  <c r="AQ151" i="8" s="1"/>
  <c r="AR151" i="8" s="1"/>
  <c r="U282" i="8"/>
  <c r="V282" i="8"/>
  <c r="Y282" i="8" s="1"/>
  <c r="X219" i="8"/>
  <c r="X100" i="8"/>
  <c r="Z100" i="8" s="1"/>
  <c r="W100" i="8"/>
  <c r="W193" i="8"/>
  <c r="X193" i="8"/>
  <c r="Z193" i="8" s="1"/>
  <c r="AI193" i="8" s="1"/>
  <c r="AQ193" i="8" s="1"/>
  <c r="AR193" i="8" s="1"/>
  <c r="V313" i="8"/>
  <c r="Y313" i="8" s="1"/>
  <c r="U313" i="8"/>
  <c r="X146" i="8"/>
  <c r="X37" i="8"/>
  <c r="Z37" i="8" s="1"/>
  <c r="AI37" i="8" s="1"/>
  <c r="AQ37" i="8" s="1"/>
  <c r="W37" i="8"/>
  <c r="X64" i="8"/>
  <c r="Z64" i="8" s="1"/>
  <c r="AI64" i="8" s="1"/>
  <c r="AQ64" i="8" s="1"/>
  <c r="AR64" i="8" s="1"/>
  <c r="W64" i="8"/>
  <c r="V237" i="8"/>
  <c r="Y237" i="8" s="1"/>
  <c r="U237" i="8"/>
  <c r="X276" i="8"/>
  <c r="V358" i="8"/>
  <c r="Y358" i="8" s="1"/>
  <c r="U358" i="8"/>
  <c r="X17" i="8"/>
  <c r="Z17" i="8" s="1"/>
  <c r="AI17" i="8" s="1"/>
  <c r="AQ17" i="8" s="1"/>
  <c r="AR17" i="8" s="1"/>
  <c r="W17" i="8"/>
  <c r="V32" i="8"/>
  <c r="Y32" i="8" s="1"/>
  <c r="U32" i="8"/>
  <c r="V174" i="8"/>
  <c r="Y174" i="8" s="1"/>
  <c r="U174" i="8"/>
  <c r="X202" i="8"/>
  <c r="X283" i="8"/>
  <c r="X251" i="8"/>
  <c r="X232" i="8"/>
  <c r="Z232" i="8" s="1"/>
  <c r="AI232" i="8" s="1"/>
  <c r="AQ232" i="8" s="1"/>
  <c r="AR232" i="8" s="1"/>
  <c r="W232" i="8"/>
  <c r="V19" i="8"/>
  <c r="Y19" i="8" s="1"/>
  <c r="U19" i="8"/>
  <c r="X132" i="8"/>
  <c r="V243" i="8"/>
  <c r="Y243" i="8" s="1"/>
  <c r="U243" i="8"/>
  <c r="X53" i="8"/>
  <c r="Z53" i="8" s="1"/>
  <c r="AI53" i="8" s="1"/>
  <c r="AQ53" i="8" s="1"/>
  <c r="AR53" i="8" s="1"/>
  <c r="W53" i="8"/>
  <c r="W167" i="8"/>
  <c r="X167" i="8"/>
  <c r="Z167" i="8" s="1"/>
  <c r="AI167" i="8" s="1"/>
  <c r="AQ167" i="8" s="1"/>
  <c r="AR167" i="8" s="1"/>
  <c r="V5" i="8"/>
  <c r="Y5" i="8" s="1"/>
  <c r="U5" i="8"/>
  <c r="AR238" i="8"/>
  <c r="X102" i="8"/>
  <c r="Z102" i="8" s="1"/>
  <c r="AI102" i="8" s="1"/>
  <c r="AQ102" i="8" s="1"/>
  <c r="AR102" i="8" s="1"/>
  <c r="W102" i="8"/>
  <c r="X263" i="8"/>
  <c r="U44" i="8"/>
  <c r="V44" i="8"/>
  <c r="Y44" i="8" s="1"/>
  <c r="V110" i="8"/>
  <c r="Y110" i="8" s="1"/>
  <c r="U110" i="8"/>
  <c r="X227" i="8"/>
  <c r="X139" i="8"/>
  <c r="Z139" i="8" s="1"/>
  <c r="AI139" i="8" s="1"/>
  <c r="AQ139" i="8" s="1"/>
  <c r="W139" i="8"/>
  <c r="F23" i="13"/>
  <c r="F23" i="12"/>
  <c r="AK37" i="12"/>
  <c r="Z37" i="12"/>
  <c r="AJ37" i="12"/>
  <c r="AA190" i="12"/>
  <c r="Q190" i="12"/>
  <c r="AG190" i="12" s="1"/>
  <c r="AF190" i="12"/>
  <c r="V190" i="12"/>
  <c r="V21" i="12"/>
  <c r="Q21" i="12"/>
  <c r="AG21" i="12" s="1"/>
  <c r="AF21" i="12"/>
  <c r="O306" i="12"/>
  <c r="AB306" i="8"/>
  <c r="AD306" i="8"/>
  <c r="AC306" i="8"/>
  <c r="AP306" i="8"/>
  <c r="AA306" i="8"/>
  <c r="O306" i="8"/>
  <c r="R306" i="8" s="1"/>
  <c r="V306" i="8"/>
  <c r="Y306" i="8" s="1"/>
  <c r="U306" i="8"/>
  <c r="AK306" i="8"/>
  <c r="AJ306" i="8"/>
  <c r="AK13" i="12"/>
  <c r="AJ13" i="12"/>
  <c r="Z13" i="12"/>
  <c r="AJ233" i="12"/>
  <c r="AI233" i="12"/>
  <c r="Z233" i="12"/>
  <c r="R87" i="13"/>
  <c r="J87" i="13"/>
  <c r="H87" i="13"/>
  <c r="O209" i="12"/>
  <c r="AP209" i="8"/>
  <c r="AD209" i="8"/>
  <c r="AC209" i="8"/>
  <c r="AB209" i="8"/>
  <c r="AA209" i="8"/>
  <c r="AK209" i="8"/>
  <c r="AJ209" i="8"/>
  <c r="U209" i="8"/>
  <c r="O209" i="8"/>
  <c r="R209" i="8" s="1"/>
  <c r="V209" i="8" s="1"/>
  <c r="Y209" i="8" s="1"/>
  <c r="R37" i="13"/>
  <c r="J37" i="13"/>
  <c r="H37" i="13"/>
  <c r="R179" i="13"/>
  <c r="J179" i="13"/>
  <c r="H179" i="13"/>
  <c r="V157" i="12"/>
  <c r="Q157" i="12"/>
  <c r="AG157" i="12" s="1"/>
  <c r="AF157" i="12"/>
  <c r="V335" i="12"/>
  <c r="Q335" i="12"/>
  <c r="AG335" i="12" s="1"/>
  <c r="AF335" i="12"/>
  <c r="AK75" i="12"/>
  <c r="AI75" i="12"/>
  <c r="Z75" i="12"/>
  <c r="R243" i="13"/>
  <c r="J243" i="13"/>
  <c r="H243" i="13"/>
  <c r="F51" i="13"/>
  <c r="F51" i="12"/>
  <c r="R189" i="13"/>
  <c r="J189" i="13"/>
  <c r="H189" i="13"/>
  <c r="Q278" i="12"/>
  <c r="AG278" i="12" s="1"/>
  <c r="AF278" i="12"/>
  <c r="V278" i="12"/>
  <c r="AA278" i="12"/>
  <c r="F166" i="13"/>
  <c r="F166" i="12"/>
  <c r="Z336" i="12"/>
  <c r="AK336" i="12"/>
  <c r="AJ336" i="12"/>
  <c r="R264" i="13"/>
  <c r="J264" i="13"/>
  <c r="H264" i="13"/>
  <c r="Z277" i="12"/>
  <c r="AK277" i="12"/>
  <c r="AJ277" i="12"/>
  <c r="AJ140" i="12"/>
  <c r="Z140" i="12"/>
  <c r="AK140" i="12"/>
  <c r="AJ114" i="12"/>
  <c r="Z114" i="12"/>
  <c r="AI114" i="12"/>
  <c r="AK358" i="12"/>
  <c r="AI358" i="12"/>
  <c r="Z358" i="12"/>
  <c r="AL274" i="12"/>
  <c r="W87" i="8"/>
  <c r="X87" i="8"/>
  <c r="Z87" i="8" s="1"/>
  <c r="AI87" i="8" s="1"/>
  <c r="AQ87" i="8" s="1"/>
  <c r="R41" i="13"/>
  <c r="J41" i="13"/>
  <c r="H41" i="13"/>
  <c r="R193" i="13"/>
  <c r="J193" i="13"/>
  <c r="H193" i="13"/>
  <c r="R227" i="13"/>
  <c r="X227" i="13" s="1"/>
  <c r="I227" i="12" s="1"/>
  <c r="J227" i="12" s="1"/>
  <c r="K227" i="12" s="1"/>
  <c r="J227" i="13"/>
  <c r="P227" i="13" s="1"/>
  <c r="AK205" i="12"/>
  <c r="Z205" i="12"/>
  <c r="AJ205" i="12"/>
  <c r="V49" i="8"/>
  <c r="Y49" i="8" s="1"/>
  <c r="U49" i="8"/>
  <c r="O255" i="12"/>
  <c r="AC255" i="8"/>
  <c r="AB255" i="8"/>
  <c r="AD255" i="8"/>
  <c r="AP255" i="8"/>
  <c r="AA255" i="8"/>
  <c r="U255" i="8"/>
  <c r="AK255" i="8"/>
  <c r="O255" i="8"/>
  <c r="R255" i="8" s="1"/>
  <c r="V255" i="8" s="1"/>
  <c r="Y255" i="8" s="1"/>
  <c r="AJ255" i="8"/>
  <c r="AK308" i="12"/>
  <c r="Z308" i="12"/>
  <c r="AI308" i="12"/>
  <c r="Z241" i="8"/>
  <c r="AI241" i="8" s="1"/>
  <c r="AQ241" i="8" s="1"/>
  <c r="AR241" i="8" s="1"/>
  <c r="W278" i="13"/>
  <c r="O278" i="13"/>
  <c r="V278" i="13"/>
  <c r="N278" i="13"/>
  <c r="U278" i="13"/>
  <c r="M278" i="13"/>
  <c r="T278" i="13"/>
  <c r="L278" i="13"/>
  <c r="S278" i="13"/>
  <c r="K278" i="13"/>
  <c r="AF254" i="12"/>
  <c r="V254" i="12"/>
  <c r="Q254" i="12"/>
  <c r="AG254" i="12" s="1"/>
  <c r="AA254" i="12"/>
  <c r="R191" i="13"/>
  <c r="X191" i="13" s="1"/>
  <c r="I191" i="12" s="1"/>
  <c r="J191" i="12" s="1"/>
  <c r="K191" i="12" s="1"/>
  <c r="J191" i="13"/>
  <c r="P191" i="13" s="1"/>
  <c r="AJ178" i="12"/>
  <c r="Z178" i="12"/>
  <c r="AI178" i="12"/>
  <c r="O302" i="12"/>
  <c r="AB302" i="8"/>
  <c r="AP302" i="8"/>
  <c r="AD302" i="8"/>
  <c r="AC302" i="8"/>
  <c r="AA302" i="8"/>
  <c r="O302" i="8"/>
  <c r="R302" i="8" s="1"/>
  <c r="V302" i="8"/>
  <c r="Y302" i="8" s="1"/>
  <c r="U302" i="8"/>
  <c r="AK302" i="8"/>
  <c r="AJ302" i="8"/>
  <c r="AK11" i="12"/>
  <c r="AJ11" i="12"/>
  <c r="Z11" i="12"/>
  <c r="H161" i="13"/>
  <c r="R161" i="13"/>
  <c r="J161" i="13"/>
  <c r="Z321" i="12"/>
  <c r="AK321" i="12"/>
  <c r="AJ321" i="12"/>
  <c r="R82" i="13"/>
  <c r="J82" i="13"/>
  <c r="H82" i="13"/>
  <c r="AI100" i="12"/>
  <c r="Z100" i="12"/>
  <c r="AJ100" i="12"/>
  <c r="V132" i="8"/>
  <c r="Y132" i="8" s="1"/>
  <c r="X33" i="8"/>
  <c r="Z33" i="8" s="1"/>
  <c r="AI33" i="8" s="1"/>
  <c r="AQ33" i="8" s="1"/>
  <c r="AR33" i="8" s="1"/>
  <c r="W33" i="8"/>
  <c r="Q71" i="12"/>
  <c r="AG71" i="12" s="1"/>
  <c r="AF71" i="12"/>
  <c r="V71" i="12"/>
  <c r="AH217" i="12"/>
  <c r="H241" i="13"/>
  <c r="R241" i="13"/>
  <c r="J241" i="13"/>
  <c r="H31" i="13"/>
  <c r="R31" i="13"/>
  <c r="J31" i="13"/>
  <c r="J131" i="13"/>
  <c r="R131" i="13"/>
  <c r="H131" i="13"/>
  <c r="J253" i="13"/>
  <c r="P253" i="13" s="1"/>
  <c r="R253" i="13"/>
  <c r="X253" i="13" s="1"/>
  <c r="I253" i="12" s="1"/>
  <c r="J253" i="12" s="1"/>
  <c r="K253" i="12" s="1"/>
  <c r="AK168" i="12"/>
  <c r="Z168" i="12"/>
  <c r="AJ168" i="12"/>
  <c r="R40" i="13"/>
  <c r="X40" i="13" s="1"/>
  <c r="I40" i="12" s="1"/>
  <c r="J40" i="12" s="1"/>
  <c r="K40" i="12" s="1"/>
  <c r="J40" i="13"/>
  <c r="P40" i="13" s="1"/>
  <c r="R57" i="13"/>
  <c r="X57" i="13" s="1"/>
  <c r="I57" i="12" s="1"/>
  <c r="J57" i="12" s="1"/>
  <c r="K57" i="12" s="1"/>
  <c r="J57" i="13"/>
  <c r="P57" i="13" s="1"/>
  <c r="R78" i="13"/>
  <c r="X78" i="13" s="1"/>
  <c r="I78" i="12" s="1"/>
  <c r="J78" i="12" s="1"/>
  <c r="J78" i="13"/>
  <c r="P78" i="13" s="1"/>
  <c r="AF322" i="12"/>
  <c r="Q322" i="12"/>
  <c r="AG322" i="12" s="1"/>
  <c r="V322" i="12"/>
  <c r="Q303" i="12"/>
  <c r="AG303" i="12" s="1"/>
  <c r="V303" i="12"/>
  <c r="AF303" i="12"/>
  <c r="AK157" i="12"/>
  <c r="AJ157" i="12"/>
  <c r="Z157" i="12"/>
  <c r="U239" i="8"/>
  <c r="J73" i="13"/>
  <c r="R73" i="13"/>
  <c r="H73" i="13"/>
  <c r="AI5" i="12"/>
  <c r="Z5" i="12"/>
  <c r="AK5" i="12"/>
  <c r="AK250" i="12"/>
  <c r="AI250" i="12"/>
  <c r="Z250" i="12"/>
  <c r="H222" i="13"/>
  <c r="J222" i="13"/>
  <c r="R222" i="13"/>
  <c r="Z6" i="12"/>
  <c r="AK6" i="12"/>
  <c r="AJ6" i="12"/>
  <c r="AH60" i="12"/>
  <c r="J95" i="13"/>
  <c r="R95" i="13"/>
  <c r="H95" i="13"/>
  <c r="AJ101" i="12"/>
  <c r="Z101" i="12"/>
  <c r="AK101" i="12"/>
  <c r="F203" i="13"/>
  <c r="F203" i="12"/>
  <c r="R327" i="13"/>
  <c r="J327" i="13"/>
  <c r="H327" i="13"/>
  <c r="R69" i="13"/>
  <c r="X69" i="13" s="1"/>
  <c r="I69" i="12" s="1"/>
  <c r="J69" i="12" s="1"/>
  <c r="K69" i="12" s="1"/>
  <c r="J69" i="13"/>
  <c r="P69" i="13" s="1"/>
  <c r="J93" i="13"/>
  <c r="H93" i="13"/>
  <c r="R93" i="13"/>
  <c r="W208" i="8"/>
  <c r="Q186" i="12"/>
  <c r="AG186" i="12" s="1"/>
  <c r="AF186" i="12"/>
  <c r="V186" i="12"/>
  <c r="R342" i="13"/>
  <c r="X342" i="13" s="1"/>
  <c r="I342" i="12" s="1"/>
  <c r="J342" i="12" s="1"/>
  <c r="J342" i="13"/>
  <c r="P342" i="13" s="1"/>
  <c r="V156" i="12"/>
  <c r="Q156" i="12"/>
  <c r="AG156" i="12" s="1"/>
  <c r="AF156" i="12"/>
  <c r="V81" i="12"/>
  <c r="AF81" i="12"/>
  <c r="Q81" i="12"/>
  <c r="AG81" i="12" s="1"/>
  <c r="AF185" i="12"/>
  <c r="V185" i="12"/>
  <c r="Y185" i="12" s="1"/>
  <c r="AA185" i="12"/>
  <c r="AC185" i="12" s="1"/>
  <c r="Q185" i="12"/>
  <c r="AG185" i="12" s="1"/>
  <c r="U183" i="8"/>
  <c r="AF183" i="12"/>
  <c r="V183" i="12"/>
  <c r="Q183" i="12"/>
  <c r="AG183" i="12" s="1"/>
  <c r="R138" i="13"/>
  <c r="J138" i="13"/>
  <c r="H138" i="13"/>
  <c r="J83" i="13"/>
  <c r="R83" i="13"/>
  <c r="H83" i="13"/>
  <c r="V79" i="8"/>
  <c r="Y79" i="8" s="1"/>
  <c r="AF49" i="12"/>
  <c r="Q49" i="12"/>
  <c r="AG49" i="12" s="1"/>
  <c r="V49" i="12"/>
  <c r="U305" i="8"/>
  <c r="V305" i="8"/>
  <c r="Y305" i="8" s="1"/>
  <c r="O240" i="12"/>
  <c r="AP240" i="8"/>
  <c r="AD240" i="8"/>
  <c r="AC240" i="8"/>
  <c r="AB240" i="8"/>
  <c r="AA240" i="8"/>
  <c r="O240" i="8"/>
  <c r="R240" i="8" s="1"/>
  <c r="U240" i="8" s="1"/>
  <c r="AK240" i="8"/>
  <c r="V240" i="8"/>
  <c r="Y240" i="8" s="1"/>
  <c r="AJ240" i="8"/>
  <c r="AK185" i="12"/>
  <c r="AJ185" i="12"/>
  <c r="Z185" i="12"/>
  <c r="R174" i="13"/>
  <c r="X174" i="13" s="1"/>
  <c r="I174" i="12" s="1"/>
  <c r="J174" i="12" s="1"/>
  <c r="K174" i="12" s="1"/>
  <c r="J174" i="13"/>
  <c r="P174" i="13" s="1"/>
  <c r="R219" i="13"/>
  <c r="J219" i="13"/>
  <c r="H219" i="13"/>
  <c r="AK329" i="12"/>
  <c r="AJ329" i="12"/>
  <c r="Z329" i="12"/>
  <c r="U213" i="8"/>
  <c r="O14" i="12"/>
  <c r="AD14" i="8"/>
  <c r="AC14" i="8"/>
  <c r="AB14" i="8"/>
  <c r="AP14" i="8"/>
  <c r="AA14" i="8"/>
  <c r="O14" i="8"/>
  <c r="R14" i="8" s="1"/>
  <c r="V14" i="8" s="1"/>
  <c r="Y14" i="8" s="1"/>
  <c r="AK14" i="8"/>
  <c r="AJ14" i="8"/>
  <c r="V246" i="8"/>
  <c r="Y246" i="8" s="1"/>
  <c r="R180" i="13"/>
  <c r="J180" i="13"/>
  <c r="H180" i="13"/>
  <c r="U333" i="8"/>
  <c r="V333" i="8"/>
  <c r="Y333" i="8" s="1"/>
  <c r="U46" i="8"/>
  <c r="R270" i="13"/>
  <c r="J270" i="13"/>
  <c r="H270" i="13"/>
  <c r="O166" i="12"/>
  <c r="AD166" i="8"/>
  <c r="AC166" i="8"/>
  <c r="AB166" i="8"/>
  <c r="AP166" i="8"/>
  <c r="AA166" i="8"/>
  <c r="AK166" i="8"/>
  <c r="AJ166" i="8"/>
  <c r="O166" i="8"/>
  <c r="R166" i="8" s="1"/>
  <c r="V166" i="8" s="1"/>
  <c r="Y166" i="8" s="1"/>
  <c r="W55" i="8"/>
  <c r="X55" i="8"/>
  <c r="Z55" i="8" s="1"/>
  <c r="AI55" i="8" s="1"/>
  <c r="AQ55" i="8" s="1"/>
  <c r="AR55" i="8" s="1"/>
  <c r="AJ136" i="12"/>
  <c r="Z136" i="12"/>
  <c r="AK136" i="12"/>
  <c r="AI267" i="12"/>
  <c r="Z267" i="12"/>
  <c r="AJ267" i="12"/>
  <c r="R239" i="13"/>
  <c r="J239" i="13"/>
  <c r="H239" i="13"/>
  <c r="Q107" i="12"/>
  <c r="AG107" i="12" s="1"/>
  <c r="V107" i="12"/>
  <c r="AF107" i="12"/>
  <c r="R111" i="13"/>
  <c r="J111" i="13"/>
  <c r="H111" i="13"/>
  <c r="V309" i="8"/>
  <c r="Y309" i="8" s="1"/>
  <c r="U357" i="8"/>
  <c r="V135" i="8"/>
  <c r="Y135" i="8" s="1"/>
  <c r="R313" i="13"/>
  <c r="J313" i="13"/>
  <c r="H313" i="13"/>
  <c r="R218" i="13"/>
  <c r="J218" i="13"/>
  <c r="H218" i="13"/>
  <c r="R271" i="13"/>
  <c r="X271" i="13" s="1"/>
  <c r="I271" i="12" s="1"/>
  <c r="J271" i="12" s="1"/>
  <c r="K271" i="12" s="1"/>
  <c r="J271" i="13"/>
  <c r="P271" i="13" s="1"/>
  <c r="R275" i="13"/>
  <c r="J275" i="13"/>
  <c r="H275" i="13"/>
  <c r="AI156" i="8"/>
  <c r="AQ156" i="8" s="1"/>
  <c r="AR156" i="8" s="1"/>
  <c r="AF191" i="12"/>
  <c r="V191" i="12"/>
  <c r="Q191" i="12"/>
  <c r="AG191" i="12" s="1"/>
  <c r="AJ323" i="12"/>
  <c r="AI323" i="12"/>
  <c r="Z323" i="12"/>
  <c r="H213" i="13"/>
  <c r="R213" i="13"/>
  <c r="J213" i="13"/>
  <c r="U77" i="8"/>
  <c r="AH83" i="12"/>
  <c r="U314" i="8"/>
  <c r="R286" i="8"/>
  <c r="AI143" i="12"/>
  <c r="Z143" i="12"/>
  <c r="AJ143" i="12"/>
  <c r="F347" i="13"/>
  <c r="F347" i="12"/>
  <c r="AF319" i="12"/>
  <c r="V319" i="12"/>
  <c r="Q319" i="12"/>
  <c r="AG319" i="12" s="1"/>
  <c r="Q307" i="12"/>
  <c r="AG307" i="12" s="1"/>
  <c r="V307" i="12"/>
  <c r="Y307" i="12" s="1"/>
  <c r="AF307" i="12"/>
  <c r="AH307" i="12" s="1"/>
  <c r="AI307" i="12" s="1"/>
  <c r="H199" i="13"/>
  <c r="R199" i="13"/>
  <c r="J199" i="13"/>
  <c r="AJ225" i="12"/>
  <c r="AK225" i="12"/>
  <c r="Z225" i="12"/>
  <c r="R142" i="13"/>
  <c r="J142" i="13"/>
  <c r="H142" i="13"/>
  <c r="V227" i="8"/>
  <c r="Y227" i="8" s="1"/>
  <c r="AK155" i="12"/>
  <c r="AJ155" i="12"/>
  <c r="Z155" i="12"/>
  <c r="Z344" i="12"/>
  <c r="AK344" i="12"/>
  <c r="AJ344" i="12"/>
  <c r="H181" i="13"/>
  <c r="R181" i="13"/>
  <c r="J181" i="13"/>
  <c r="AK65" i="12"/>
  <c r="AJ65" i="12"/>
  <c r="Z65" i="12"/>
  <c r="U168" i="8"/>
  <c r="Q13" i="12"/>
  <c r="AG13" i="12" s="1"/>
  <c r="AF13" i="12"/>
  <c r="V13" i="12"/>
  <c r="R217" i="13"/>
  <c r="J217" i="13"/>
  <c r="H217" i="13"/>
  <c r="W105" i="13"/>
  <c r="N105" i="13"/>
  <c r="V105" i="13"/>
  <c r="M105" i="13"/>
  <c r="T105" i="13"/>
  <c r="K105" i="13"/>
  <c r="S105" i="13"/>
  <c r="U105" i="13"/>
  <c r="O105" i="13"/>
  <c r="L105" i="13"/>
  <c r="AF127" i="12"/>
  <c r="V127" i="12"/>
  <c r="Y127" i="12" s="1"/>
  <c r="Q127" i="12"/>
  <c r="AG127" i="12" s="1"/>
  <c r="R72" i="13"/>
  <c r="X72" i="13" s="1"/>
  <c r="I72" i="12" s="1"/>
  <c r="J72" i="12" s="1"/>
  <c r="J72" i="13"/>
  <c r="P72" i="13" s="1"/>
  <c r="Q243" i="12"/>
  <c r="AG243" i="12" s="1"/>
  <c r="V243" i="12"/>
  <c r="Y243" i="12" s="1"/>
  <c r="AF243" i="12"/>
  <c r="X272" i="8"/>
  <c r="Z272" i="8" s="1"/>
  <c r="AI272" i="8" s="1"/>
  <c r="AQ272" i="8" s="1"/>
  <c r="AR272" i="8" s="1"/>
  <c r="W272" i="8"/>
  <c r="R226" i="13"/>
  <c r="J226" i="13"/>
  <c r="H226" i="13"/>
  <c r="V7" i="8"/>
  <c r="Y7" i="8" s="1"/>
  <c r="AJ164" i="12"/>
  <c r="Z164" i="12"/>
  <c r="AK164" i="12"/>
  <c r="O356" i="12"/>
  <c r="AD356" i="8"/>
  <c r="AP356" i="8"/>
  <c r="AC356" i="8"/>
  <c r="AB356" i="8"/>
  <c r="AA356" i="8"/>
  <c r="AJ356" i="8"/>
  <c r="U356" i="8"/>
  <c r="AK356" i="8"/>
  <c r="V356" i="8"/>
  <c r="Y356" i="8" s="1"/>
  <c r="U16" i="8"/>
  <c r="Q355" i="12"/>
  <c r="AG355" i="12" s="1"/>
  <c r="V355" i="12"/>
  <c r="AF355" i="12"/>
  <c r="AA200" i="12"/>
  <c r="Q200" i="12"/>
  <c r="AG200" i="12" s="1"/>
  <c r="AF200" i="12"/>
  <c r="V200" i="12"/>
  <c r="V251" i="8"/>
  <c r="Y251" i="8" s="1"/>
  <c r="Q286" i="12"/>
  <c r="AG286" i="12" s="1"/>
  <c r="AA286" i="12"/>
  <c r="AC286" i="12" s="1"/>
  <c r="AF286" i="12"/>
  <c r="V286" i="12"/>
  <c r="Y286" i="12" s="1"/>
  <c r="AJ36" i="12"/>
  <c r="AI36" i="12"/>
  <c r="Z36" i="12"/>
  <c r="AF245" i="12"/>
  <c r="Q245" i="12"/>
  <c r="AG245" i="12" s="1"/>
  <c r="V245" i="12"/>
  <c r="R86" i="13"/>
  <c r="J86" i="13"/>
  <c r="H86" i="13"/>
  <c r="AK44" i="12"/>
  <c r="Z44" i="12"/>
  <c r="AI44" i="12"/>
  <c r="R359" i="13"/>
  <c r="J359" i="13"/>
  <c r="H359" i="13"/>
  <c r="Q214" i="12"/>
  <c r="AG214" i="12" s="1"/>
  <c r="V214" i="12"/>
  <c r="Y214" i="12" s="1"/>
  <c r="AA214" i="12" s="1"/>
  <c r="AC214" i="12" s="1"/>
  <c r="AF214" i="12"/>
  <c r="AK274" i="12"/>
  <c r="AJ274" i="12"/>
  <c r="AI274" i="12"/>
  <c r="Z274" i="12"/>
  <c r="AA274" i="12" s="1"/>
  <c r="AC274" i="12" s="1"/>
  <c r="V283" i="8"/>
  <c r="Y283" i="8" s="1"/>
  <c r="H47" i="13"/>
  <c r="R47" i="13"/>
  <c r="J47" i="13"/>
  <c r="H38" i="13"/>
  <c r="R38" i="13"/>
  <c r="J38" i="13"/>
  <c r="X149" i="8"/>
  <c r="Z149" i="8" s="1"/>
  <c r="AI149" i="8" s="1"/>
  <c r="AQ149" i="8" s="1"/>
  <c r="AR149" i="8" s="1"/>
  <c r="W149" i="8"/>
  <c r="R220" i="13"/>
  <c r="J220" i="13"/>
  <c r="H220" i="13"/>
  <c r="W178" i="8"/>
  <c r="AK295" i="12"/>
  <c r="Z295" i="12"/>
  <c r="AI295" i="12"/>
  <c r="AK304" i="12"/>
  <c r="AJ304" i="12"/>
  <c r="Z304" i="12"/>
  <c r="W39" i="8"/>
  <c r="X39" i="8"/>
  <c r="Z39" i="8" s="1"/>
  <c r="AI39" i="8" s="1"/>
  <c r="AQ39" i="8" s="1"/>
  <c r="AR39" i="8" s="1"/>
  <c r="W38" i="8"/>
  <c r="Z352" i="8"/>
  <c r="AI352" i="8" s="1"/>
  <c r="AQ352" i="8" s="1"/>
  <c r="V322" i="8"/>
  <c r="Y322" i="8" s="1"/>
  <c r="X105" i="8"/>
  <c r="Z105" i="8" s="1"/>
  <c r="AI105" i="8" s="1"/>
  <c r="AQ105" i="8" s="1"/>
  <c r="AR105" i="8" s="1"/>
  <c r="W105" i="8"/>
  <c r="V82" i="8"/>
  <c r="Y82" i="8" s="1"/>
  <c r="U82" i="8"/>
  <c r="AK246" i="12"/>
  <c r="Z246" i="12"/>
  <c r="AJ246" i="12"/>
  <c r="J80" i="13"/>
  <c r="H80" i="13"/>
  <c r="R80" i="13"/>
  <c r="AD104" i="8"/>
  <c r="AC104" i="8"/>
  <c r="AB104" i="8"/>
  <c r="AP104" i="8"/>
  <c r="AA104" i="8"/>
  <c r="AJ104" i="8"/>
  <c r="AK104" i="8"/>
  <c r="U104" i="8"/>
  <c r="O104" i="12"/>
  <c r="V104" i="8"/>
  <c r="Y104" i="8" s="1"/>
  <c r="F355" i="13"/>
  <c r="F355" i="12"/>
  <c r="AJ231" i="12"/>
  <c r="AI231" i="12"/>
  <c r="Z231" i="12"/>
  <c r="AK153" i="12"/>
  <c r="Z153" i="12"/>
  <c r="AJ153" i="12"/>
  <c r="AI98" i="12"/>
  <c r="AA98" i="12"/>
  <c r="AK98" i="12"/>
  <c r="AJ98" i="12"/>
  <c r="Z98" i="12"/>
  <c r="O346" i="12"/>
  <c r="AC346" i="8"/>
  <c r="AP346" i="8"/>
  <c r="AD346" i="8"/>
  <c r="AB346" i="8"/>
  <c r="AA346" i="8"/>
  <c r="AJ346" i="8"/>
  <c r="AK346" i="8"/>
  <c r="R231" i="13"/>
  <c r="J231" i="13"/>
  <c r="H231" i="13"/>
  <c r="AD284" i="8"/>
  <c r="AC284" i="8"/>
  <c r="AP284" i="8"/>
  <c r="AB284" i="8"/>
  <c r="AA284" i="8"/>
  <c r="AK284" i="8"/>
  <c r="AJ284" i="8"/>
  <c r="X90" i="8"/>
  <c r="Z90" i="8" s="1"/>
  <c r="AI90" i="8" s="1"/>
  <c r="AQ90" i="8" s="1"/>
  <c r="AR90" i="8" s="1"/>
  <c r="W90" i="8"/>
  <c r="V123" i="12"/>
  <c r="Y123" i="12" s="1"/>
  <c r="AF123" i="12"/>
  <c r="Q123" i="12"/>
  <c r="AG123" i="12" s="1"/>
  <c r="F173" i="13"/>
  <c r="F173" i="12"/>
  <c r="AK66" i="12"/>
  <c r="AJ66" i="12"/>
  <c r="Z66" i="12"/>
  <c r="X307" i="8"/>
  <c r="AK189" i="12"/>
  <c r="AJ189" i="12"/>
  <c r="Z189" i="12"/>
  <c r="R281" i="13"/>
  <c r="J281" i="13"/>
  <c r="H281" i="13"/>
  <c r="Q219" i="12"/>
  <c r="AG219" i="12" s="1"/>
  <c r="AF219" i="12"/>
  <c r="V219" i="12"/>
  <c r="X30" i="8"/>
  <c r="Z30" i="8" s="1"/>
  <c r="AI30" i="8" s="1"/>
  <c r="AQ30" i="8" s="1"/>
  <c r="AR30" i="8" s="1"/>
  <c r="W30" i="8"/>
  <c r="Q30" i="12"/>
  <c r="AG30" i="12" s="1"/>
  <c r="AF30" i="12"/>
  <c r="V30" i="12"/>
  <c r="V219" i="8"/>
  <c r="Y219" i="8" s="1"/>
  <c r="AH82" i="12"/>
  <c r="AK146" i="12"/>
  <c r="AJ146" i="12"/>
  <c r="Z146" i="12"/>
  <c r="AK107" i="12"/>
  <c r="Z107" i="12"/>
  <c r="AI107" i="12"/>
  <c r="AK156" i="12"/>
  <c r="AJ156" i="12"/>
  <c r="Z156" i="12"/>
  <c r="H336" i="13"/>
  <c r="J336" i="13"/>
  <c r="R336" i="13"/>
  <c r="R277" i="13"/>
  <c r="J277" i="13"/>
  <c r="H277" i="13"/>
  <c r="Z8" i="12"/>
  <c r="AK8" i="12"/>
  <c r="AJ8" i="12"/>
  <c r="R140" i="13"/>
  <c r="J140" i="13"/>
  <c r="H140" i="13"/>
  <c r="R114" i="13"/>
  <c r="X114" i="13" s="1"/>
  <c r="I114" i="12" s="1"/>
  <c r="J114" i="12" s="1"/>
  <c r="J114" i="13"/>
  <c r="P114" i="13" s="1"/>
  <c r="R358" i="13"/>
  <c r="X358" i="13" s="1"/>
  <c r="I358" i="12" s="1"/>
  <c r="J358" i="12" s="1"/>
  <c r="K358" i="12" s="1"/>
  <c r="J358" i="13"/>
  <c r="P358" i="13" s="1"/>
  <c r="X258" i="8"/>
  <c r="Z258" i="8" s="1"/>
  <c r="AI258" i="8" s="1"/>
  <c r="AQ258" i="8" s="1"/>
  <c r="AR258" i="8" s="1"/>
  <c r="W258" i="8"/>
  <c r="AF258" i="12"/>
  <c r="V258" i="12"/>
  <c r="Y258" i="12" s="1"/>
  <c r="AA258" i="12" s="1"/>
  <c r="AC258" i="12" s="1"/>
  <c r="Q258" i="12"/>
  <c r="AG258" i="12" s="1"/>
  <c r="AK357" i="12"/>
  <c r="AJ357" i="12"/>
  <c r="AI357" i="12"/>
  <c r="AA357" i="12"/>
  <c r="Z357" i="12"/>
  <c r="AJ91" i="12"/>
  <c r="AI91" i="12"/>
  <c r="Z91" i="12"/>
  <c r="F334" i="13"/>
  <c r="F334" i="12"/>
  <c r="AA333" i="12"/>
  <c r="AC333" i="12" s="1"/>
  <c r="Q333" i="12"/>
  <c r="AG333" i="12" s="1"/>
  <c r="AF333" i="12"/>
  <c r="V333" i="12"/>
  <c r="Y333" i="12" s="1"/>
  <c r="AF349" i="12"/>
  <c r="V349" i="12"/>
  <c r="Q349" i="12"/>
  <c r="AG349" i="12" s="1"/>
  <c r="U5" i="12"/>
  <c r="H205" i="13"/>
  <c r="R205" i="13"/>
  <c r="J205" i="13"/>
  <c r="O268" i="12"/>
  <c r="AD268" i="8"/>
  <c r="AC268" i="8"/>
  <c r="AP268" i="8"/>
  <c r="AB268" i="8"/>
  <c r="AA268" i="8"/>
  <c r="AK268" i="8"/>
  <c r="V268" i="8"/>
  <c r="Y268" i="8" s="1"/>
  <c r="U268" i="8"/>
  <c r="O268" i="8"/>
  <c r="R268" i="8" s="1"/>
  <c r="AJ268" i="8"/>
  <c r="O262" i="12"/>
  <c r="AD260" i="8"/>
  <c r="AC260" i="8"/>
  <c r="AP260" i="8"/>
  <c r="AB260" i="8"/>
  <c r="AA260" i="8"/>
  <c r="AK260" i="8"/>
  <c r="AJ260" i="8"/>
  <c r="V260" i="8"/>
  <c r="Y260" i="8" s="1"/>
  <c r="U260" i="8"/>
  <c r="R308" i="13"/>
  <c r="J308" i="13"/>
  <c r="H308" i="13"/>
  <c r="W241" i="8"/>
  <c r="P278" i="13"/>
  <c r="V100" i="12"/>
  <c r="AF100" i="12"/>
  <c r="Q100" i="12"/>
  <c r="AG100" i="12" s="1"/>
  <c r="J5" i="7"/>
  <c r="G54" i="7"/>
  <c r="X254" i="8"/>
  <c r="Z254" i="8" s="1"/>
  <c r="AI254" i="8" s="1"/>
  <c r="AQ254" i="8" s="1"/>
  <c r="W254" i="8"/>
  <c r="R178" i="13"/>
  <c r="J178" i="13"/>
  <c r="H178" i="13"/>
  <c r="X123" i="8"/>
  <c r="Z123" i="8" s="1"/>
  <c r="AI123" i="8" s="1"/>
  <c r="AQ123" i="8" s="1"/>
  <c r="W123" i="8"/>
  <c r="R11" i="13"/>
  <c r="J11" i="13"/>
  <c r="H11" i="13"/>
  <c r="R321" i="13"/>
  <c r="J321" i="13"/>
  <c r="H321" i="13"/>
  <c r="U348" i="8"/>
  <c r="R100" i="13"/>
  <c r="X100" i="13" s="1"/>
  <c r="I100" i="12" s="1"/>
  <c r="J100" i="12" s="1"/>
  <c r="K100" i="12" s="1"/>
  <c r="J100" i="13"/>
  <c r="P100" i="13" s="1"/>
  <c r="AF94" i="12"/>
  <c r="Q94" i="12"/>
  <c r="AG94" i="12" s="1"/>
  <c r="V94" i="12"/>
  <c r="V132" i="12"/>
  <c r="Y132" i="12" s="1"/>
  <c r="AF132" i="12"/>
  <c r="Q132" i="12"/>
  <c r="AG132" i="12" s="1"/>
  <c r="U310" i="8"/>
  <c r="AI341" i="12"/>
  <c r="Z341" i="12"/>
  <c r="AJ341" i="12"/>
  <c r="AK283" i="12"/>
  <c r="AI283" i="12"/>
  <c r="AA283" i="12"/>
  <c r="Z283" i="12"/>
  <c r="AJ283" i="12"/>
  <c r="F24" i="13"/>
  <c r="F24" i="12"/>
  <c r="H168" i="13"/>
  <c r="R168" i="13"/>
  <c r="J168" i="13"/>
  <c r="AK103" i="12"/>
  <c r="Z103" i="12"/>
  <c r="AJ103" i="12"/>
  <c r="AI103" i="12"/>
  <c r="AA103" i="12"/>
  <c r="X57" i="8"/>
  <c r="Z57" i="8" s="1"/>
  <c r="AI57" i="8" s="1"/>
  <c r="AQ57" i="8" s="1"/>
  <c r="AR57" i="8" s="1"/>
  <c r="W57" i="8"/>
  <c r="AF329" i="12"/>
  <c r="V329" i="12"/>
  <c r="Y329" i="12" s="1"/>
  <c r="AA329" i="12" s="1"/>
  <c r="AC329" i="12" s="1"/>
  <c r="Q329" i="12"/>
  <c r="AG329" i="12" s="1"/>
  <c r="R157" i="13"/>
  <c r="J157" i="13"/>
  <c r="H157" i="13"/>
  <c r="AJ297" i="12"/>
  <c r="AI297" i="12"/>
  <c r="AA297" i="12"/>
  <c r="Z297" i="12"/>
  <c r="AK297" i="12"/>
  <c r="X323" i="8"/>
  <c r="Z323" i="8" s="1"/>
  <c r="W323" i="8"/>
  <c r="R5" i="13"/>
  <c r="J5" i="13"/>
  <c r="R250" i="13"/>
  <c r="J250" i="13"/>
  <c r="H250" i="13"/>
  <c r="R6" i="13"/>
  <c r="J6" i="13"/>
  <c r="H6" i="13"/>
  <c r="V337" i="12"/>
  <c r="Q337" i="12"/>
  <c r="AG337" i="12" s="1"/>
  <c r="AF337" i="12"/>
  <c r="AJ162" i="12"/>
  <c r="AK162" i="12"/>
  <c r="Z162" i="12"/>
  <c r="H101" i="13"/>
  <c r="R101" i="13"/>
  <c r="J101" i="13"/>
  <c r="AK92" i="12"/>
  <c r="Z92" i="12"/>
  <c r="AJ92" i="12"/>
  <c r="R214" i="8"/>
  <c r="AK149" i="12"/>
  <c r="AJ149" i="12"/>
  <c r="Z149" i="12"/>
  <c r="X181" i="8"/>
  <c r="Z181" i="8" s="1"/>
  <c r="AI181" i="8" s="1"/>
  <c r="AQ181" i="8" s="1"/>
  <c r="AR181" i="8" s="1"/>
  <c r="W181" i="8"/>
  <c r="AJ224" i="12"/>
  <c r="AI224" i="12"/>
  <c r="AA224" i="12"/>
  <c r="Z224" i="12"/>
  <c r="AK224" i="12"/>
  <c r="Z208" i="8"/>
  <c r="U81" i="8"/>
  <c r="AJ89" i="12"/>
  <c r="Z89" i="12"/>
  <c r="AI89" i="12"/>
  <c r="AH293" i="12"/>
  <c r="F249" i="13"/>
  <c r="F249" i="12"/>
  <c r="V323" i="12"/>
  <c r="Q323" i="12"/>
  <c r="AG323" i="12" s="1"/>
  <c r="AF323" i="12"/>
  <c r="O10" i="12"/>
  <c r="AP10" i="8"/>
  <c r="AD10" i="8"/>
  <c r="AC10" i="8"/>
  <c r="AB10" i="8"/>
  <c r="AA10" i="8"/>
  <c r="O10" i="8"/>
  <c r="R10" i="8" s="1"/>
  <c r="V10" i="8" s="1"/>
  <c r="Y10" i="8" s="1"/>
  <c r="AK10" i="8"/>
  <c r="AJ10" i="8"/>
  <c r="R354" i="8"/>
  <c r="Z314" i="12"/>
  <c r="AK314" i="12"/>
  <c r="AJ314" i="12"/>
  <c r="AJ285" i="12"/>
  <c r="Z285" i="12"/>
  <c r="AI285" i="12"/>
  <c r="Q282" i="12"/>
  <c r="AG282" i="12" s="1"/>
  <c r="V282" i="12"/>
  <c r="Y282" i="12" s="1"/>
  <c r="AF282" i="12"/>
  <c r="U107" i="8"/>
  <c r="R334" i="8"/>
  <c r="R185" i="13"/>
  <c r="H185" i="13"/>
  <c r="J185" i="13"/>
  <c r="R88" i="8"/>
  <c r="AA44" i="12"/>
  <c r="AC44" i="12" s="1"/>
  <c r="Q44" i="12"/>
  <c r="AG44" i="12" s="1"/>
  <c r="AF44" i="12"/>
  <c r="V44" i="12"/>
  <c r="Y44" i="12" s="1"/>
  <c r="R329" i="13"/>
  <c r="J329" i="13"/>
  <c r="H329" i="13"/>
  <c r="AJ160" i="12"/>
  <c r="Z160" i="12"/>
  <c r="AK160" i="12"/>
  <c r="AF246" i="12"/>
  <c r="V246" i="12"/>
  <c r="Y246" i="12" s="1"/>
  <c r="AA246" i="12"/>
  <c r="AC246" i="12" s="1"/>
  <c r="Q246" i="12"/>
  <c r="AG246" i="12" s="1"/>
  <c r="W192" i="8"/>
  <c r="X192" i="8"/>
  <c r="Z192" i="8" s="1"/>
  <c r="AI192" i="8" s="1"/>
  <c r="AQ192" i="8" s="1"/>
  <c r="F210" i="13"/>
  <c r="F210" i="12"/>
  <c r="O296" i="12"/>
  <c r="AP296" i="8"/>
  <c r="AD296" i="8"/>
  <c r="AC296" i="8"/>
  <c r="AB296" i="8"/>
  <c r="AA296" i="8"/>
  <c r="AK296" i="8"/>
  <c r="V296" i="8"/>
  <c r="Y296" i="8" s="1"/>
  <c r="U296" i="8"/>
  <c r="AJ296" i="8"/>
  <c r="AJ97" i="12"/>
  <c r="Z97" i="12"/>
  <c r="AI97" i="12"/>
  <c r="AH305" i="12"/>
  <c r="AK46" i="12"/>
  <c r="Z46" i="12"/>
  <c r="AJ46" i="12"/>
  <c r="Q55" i="12"/>
  <c r="AG55" i="12" s="1"/>
  <c r="V55" i="12"/>
  <c r="AF55" i="12"/>
  <c r="H136" i="13"/>
  <c r="R136" i="13"/>
  <c r="J136" i="13"/>
  <c r="AK115" i="12"/>
  <c r="Z115" i="12"/>
  <c r="AJ115" i="12"/>
  <c r="R267" i="13"/>
  <c r="X267" i="13" s="1"/>
  <c r="I267" i="12" s="1"/>
  <c r="J267" i="12" s="1"/>
  <c r="K267" i="12" s="1"/>
  <c r="J267" i="13"/>
  <c r="P267" i="13" s="1"/>
  <c r="U54" i="8"/>
  <c r="O174" i="12"/>
  <c r="AC173" i="8"/>
  <c r="AB173" i="8"/>
  <c r="AP173" i="8"/>
  <c r="AD173" i="8"/>
  <c r="AA173" i="8"/>
  <c r="AK173" i="8"/>
  <c r="AJ173" i="8"/>
  <c r="O173" i="8"/>
  <c r="R173" i="8" s="1"/>
  <c r="U173" i="8" s="1"/>
  <c r="V173" i="8"/>
  <c r="Y173" i="8" s="1"/>
  <c r="R50" i="8"/>
  <c r="V287" i="8"/>
  <c r="Y287" i="8" s="1"/>
  <c r="F74" i="13"/>
  <c r="F74" i="12"/>
  <c r="O261" i="12"/>
  <c r="AC259" i="8"/>
  <c r="AB259" i="8"/>
  <c r="AP259" i="8"/>
  <c r="AD259" i="8"/>
  <c r="AA259" i="8"/>
  <c r="U259" i="8"/>
  <c r="V259" i="8"/>
  <c r="Y259" i="8" s="1"/>
  <c r="AK259" i="8"/>
  <c r="AJ259" i="8"/>
  <c r="V285" i="8"/>
  <c r="Y285" i="8" s="1"/>
  <c r="AJ96" i="12"/>
  <c r="Z96" i="12"/>
  <c r="AI96" i="12"/>
  <c r="R323" i="13"/>
  <c r="J323" i="13"/>
  <c r="H323" i="13"/>
  <c r="AH39" i="12"/>
  <c r="AI39" i="12" s="1"/>
  <c r="V151" i="12"/>
  <c r="Q151" i="12"/>
  <c r="AG151" i="12" s="1"/>
  <c r="AF151" i="12"/>
  <c r="AA314" i="12"/>
  <c r="AC314" i="12" s="1"/>
  <c r="AF314" i="12"/>
  <c r="V314" i="12"/>
  <c r="Y314" i="12" s="1"/>
  <c r="Q314" i="12"/>
  <c r="AG314" i="12" s="1"/>
  <c r="R143" i="13"/>
  <c r="J143" i="13"/>
  <c r="H143" i="13"/>
  <c r="AK279" i="12"/>
  <c r="AJ279" i="12"/>
  <c r="AI279" i="12"/>
  <c r="Z279" i="12"/>
  <c r="AA279" i="12" s="1"/>
  <c r="AC279" i="12" s="1"/>
  <c r="R225" i="13"/>
  <c r="J225" i="13"/>
  <c r="H225" i="13"/>
  <c r="F268" i="13"/>
  <c r="F268" i="12"/>
  <c r="V227" i="12"/>
  <c r="AF227" i="12"/>
  <c r="Q227" i="12"/>
  <c r="AG227" i="12" s="1"/>
  <c r="R155" i="13"/>
  <c r="J155" i="13"/>
  <c r="H155" i="13"/>
  <c r="H344" i="13"/>
  <c r="R344" i="13"/>
  <c r="J344" i="13"/>
  <c r="V95" i="8"/>
  <c r="Y95" i="8" s="1"/>
  <c r="U339" i="8"/>
  <c r="Q339" i="12"/>
  <c r="AG339" i="12" s="1"/>
  <c r="AF339" i="12"/>
  <c r="V339" i="12"/>
  <c r="R65" i="13"/>
  <c r="J65" i="13"/>
  <c r="H65" i="13"/>
  <c r="AJ186" i="12"/>
  <c r="AI186" i="12"/>
  <c r="Z186" i="12"/>
  <c r="AP114" i="8"/>
  <c r="AD114" i="8"/>
  <c r="AC114" i="8"/>
  <c r="AB114" i="8"/>
  <c r="AA114" i="8"/>
  <c r="AJ114" i="8"/>
  <c r="AK114" i="8"/>
  <c r="V114" i="8"/>
  <c r="Y114" i="8" s="1"/>
  <c r="U114" i="8"/>
  <c r="F116" i="13"/>
  <c r="F116" i="12"/>
  <c r="T244" i="13"/>
  <c r="L244" i="13"/>
  <c r="S244" i="13"/>
  <c r="K244" i="13"/>
  <c r="W244" i="13"/>
  <c r="O244" i="13"/>
  <c r="V244" i="13"/>
  <c r="N244" i="13"/>
  <c r="U244" i="13"/>
  <c r="M244" i="13"/>
  <c r="AK266" i="12"/>
  <c r="AI266" i="12"/>
  <c r="Z266" i="12"/>
  <c r="AA266" i="12"/>
  <c r="AJ266" i="12"/>
  <c r="X105" i="13"/>
  <c r="I105" i="12" s="1"/>
  <c r="J105" i="12" s="1"/>
  <c r="K105" i="12" s="1"/>
  <c r="U280" i="8"/>
  <c r="V119" i="8"/>
  <c r="Y119" i="8" s="1"/>
  <c r="O343" i="12"/>
  <c r="AP343" i="8"/>
  <c r="AD343" i="8"/>
  <c r="AC343" i="8"/>
  <c r="AB343" i="8"/>
  <c r="AA343" i="8"/>
  <c r="V343" i="8"/>
  <c r="Y343" i="8" s="1"/>
  <c r="AK343" i="8"/>
  <c r="U343" i="8"/>
  <c r="AJ343" i="8"/>
  <c r="AK48" i="12"/>
  <c r="Z48" i="12"/>
  <c r="AJ48" i="12"/>
  <c r="Q242" i="12"/>
  <c r="AG242" i="12" s="1"/>
  <c r="V242" i="12"/>
  <c r="Y242" i="12" s="1"/>
  <c r="AF242" i="12"/>
  <c r="AJ292" i="12"/>
  <c r="Z292" i="12"/>
  <c r="AI292" i="12"/>
  <c r="F248" i="13"/>
  <c r="F248" i="12"/>
  <c r="R164" i="13"/>
  <c r="J164" i="13"/>
  <c r="H164" i="13"/>
  <c r="AJ121" i="12"/>
  <c r="AI121" i="12"/>
  <c r="Z121" i="12"/>
  <c r="Q115" i="12"/>
  <c r="AG115" i="12" s="1"/>
  <c r="AF115" i="12"/>
  <c r="V115" i="12"/>
  <c r="AK286" i="12"/>
  <c r="AJ286" i="12"/>
  <c r="Z286" i="12"/>
  <c r="U200" i="8"/>
  <c r="AL150" i="12"/>
  <c r="Q332" i="12"/>
  <c r="AG332" i="12" s="1"/>
  <c r="AF332" i="12"/>
  <c r="V332" i="12"/>
  <c r="Z317" i="12"/>
  <c r="AJ317" i="12"/>
  <c r="AK317" i="12"/>
  <c r="R36" i="13"/>
  <c r="X36" i="13" s="1"/>
  <c r="I36" i="12" s="1"/>
  <c r="J36" i="12" s="1"/>
  <c r="K36" i="12" s="1"/>
  <c r="J36" i="13"/>
  <c r="P36" i="13" s="1"/>
  <c r="AK211" i="12"/>
  <c r="Z211" i="12"/>
  <c r="AJ211" i="12"/>
  <c r="R44" i="13"/>
  <c r="X44" i="13" s="1"/>
  <c r="I44" i="12" s="1"/>
  <c r="J44" i="12" s="1"/>
  <c r="J44" i="13"/>
  <c r="P44" i="13" s="1"/>
  <c r="AJ280" i="12"/>
  <c r="Z280" i="12"/>
  <c r="AK280" i="12"/>
  <c r="R274" i="13"/>
  <c r="X274" i="13" s="1"/>
  <c r="I274" i="12" s="1"/>
  <c r="J274" i="12" s="1"/>
  <c r="J274" i="13"/>
  <c r="P274" i="13" s="1"/>
  <c r="AK197" i="12"/>
  <c r="AI197" i="12"/>
  <c r="Z197" i="12"/>
  <c r="Z212" i="12"/>
  <c r="AK212" i="12"/>
  <c r="AJ212" i="12"/>
  <c r="V263" i="8"/>
  <c r="Y263" i="8" s="1"/>
  <c r="Z178" i="8"/>
  <c r="AI178" i="8" s="1"/>
  <c r="AQ178" i="8" s="1"/>
  <c r="AR178" i="8" s="1"/>
  <c r="R295" i="13"/>
  <c r="J295" i="13"/>
  <c r="H295" i="13"/>
  <c r="X215" i="8"/>
  <c r="Z215" i="8" s="1"/>
  <c r="AI215" i="8" s="1"/>
  <c r="AQ215" i="8" s="1"/>
  <c r="AR215" i="8" s="1"/>
  <c r="W215" i="8"/>
  <c r="R304" i="13"/>
  <c r="J304" i="13"/>
  <c r="H304" i="13"/>
  <c r="R210" i="8"/>
  <c r="Z38" i="8"/>
  <c r="X161" i="8"/>
  <c r="Z161" i="8" s="1"/>
  <c r="AI161" i="8" s="1"/>
  <c r="AQ161" i="8" s="1"/>
  <c r="AR161" i="8" s="1"/>
  <c r="W161" i="8"/>
  <c r="X224" i="8"/>
  <c r="Z224" i="8" s="1"/>
  <c r="AI224" i="8" s="1"/>
  <c r="AQ224" i="8" s="1"/>
  <c r="AR224" i="8" s="1"/>
  <c r="W224" i="8"/>
  <c r="R294" i="8"/>
  <c r="Q110" i="12"/>
  <c r="AG110" i="12" s="1"/>
  <c r="V110" i="12"/>
  <c r="AF110" i="12"/>
  <c r="X244" i="8"/>
  <c r="Z244" i="8" s="1"/>
  <c r="AI244" i="8" s="1"/>
  <c r="AQ244" i="8" s="1"/>
  <c r="AR244" i="8" s="1"/>
  <c r="W244" i="8"/>
  <c r="W256" i="8"/>
  <c r="AR136" i="8"/>
  <c r="X137" i="8"/>
  <c r="Z137" i="8" s="1"/>
  <c r="AI137" i="8" s="1"/>
  <c r="AQ137" i="8" s="1"/>
  <c r="AR137" i="8" s="1"/>
  <c r="W137" i="8"/>
  <c r="U316" i="8"/>
  <c r="V316" i="8"/>
  <c r="Y316" i="8" s="1"/>
  <c r="X58" i="8"/>
  <c r="Z58" i="8" s="1"/>
  <c r="AI58" i="8" s="1"/>
  <c r="AQ58" i="8" s="1"/>
  <c r="AR58" i="8" s="1"/>
  <c r="W58" i="8"/>
  <c r="AJ281" i="12"/>
  <c r="Z281" i="12"/>
  <c r="AK281" i="12"/>
  <c r="R238" i="13"/>
  <c r="J238" i="13"/>
  <c r="H238" i="13"/>
  <c r="O304" i="12"/>
  <c r="AP304" i="8"/>
  <c r="AD304" i="8"/>
  <c r="AC304" i="8"/>
  <c r="AB304" i="8"/>
  <c r="AA304" i="8"/>
  <c r="O304" i="8"/>
  <c r="R304" i="8" s="1"/>
  <c r="U304" i="8" s="1"/>
  <c r="AK304" i="8"/>
  <c r="AJ304" i="8"/>
  <c r="V304" i="8"/>
  <c r="Y304" i="8" s="1"/>
  <c r="Q263" i="12"/>
  <c r="AG263" i="12" s="1"/>
  <c r="V263" i="12"/>
  <c r="AF263" i="12"/>
  <c r="R146" i="13"/>
  <c r="J146" i="13"/>
  <c r="H146" i="13"/>
  <c r="AJ122" i="12"/>
  <c r="AI122" i="12"/>
  <c r="Z122" i="12"/>
  <c r="H107" i="13"/>
  <c r="J107" i="13"/>
  <c r="R107" i="13"/>
  <c r="R156" i="13"/>
  <c r="J156" i="13"/>
  <c r="H156" i="13"/>
  <c r="Q6" i="12"/>
  <c r="AG6" i="12" s="1"/>
  <c r="AF6" i="12"/>
  <c r="V6" i="12"/>
  <c r="AK207" i="12"/>
  <c r="Z207" i="12"/>
  <c r="AJ207" i="12"/>
  <c r="R8" i="13"/>
  <c r="J8" i="13"/>
  <c r="H8" i="13"/>
  <c r="W55" i="13"/>
  <c r="O55" i="13"/>
  <c r="V55" i="13"/>
  <c r="N55" i="13"/>
  <c r="U55" i="13"/>
  <c r="M55" i="13"/>
  <c r="T55" i="13"/>
  <c r="L55" i="13"/>
  <c r="S55" i="13"/>
  <c r="X55" i="13" s="1"/>
  <c r="I55" i="12" s="1"/>
  <c r="J55" i="12" s="1"/>
  <c r="K55" i="12" s="1"/>
  <c r="K55" i="13"/>
  <c r="P55" i="13" s="1"/>
  <c r="V87" i="12"/>
  <c r="Y87" i="12" s="1"/>
  <c r="AA87" i="12" s="1"/>
  <c r="AC87" i="12" s="1"/>
  <c r="AF87" i="12"/>
  <c r="Q87" i="12"/>
  <c r="AG87" i="12" s="1"/>
  <c r="AH184" i="12"/>
  <c r="R357" i="13"/>
  <c r="J357" i="13"/>
  <c r="H357" i="13"/>
  <c r="R91" i="13"/>
  <c r="J91" i="13"/>
  <c r="H91" i="13"/>
  <c r="V307" i="8"/>
  <c r="Y307" i="8" s="1"/>
  <c r="F302" i="13"/>
  <c r="F302" i="12"/>
  <c r="R361" i="12"/>
  <c r="AI71" i="12"/>
  <c r="Z71" i="12"/>
  <c r="AJ71" i="12"/>
  <c r="X101" i="8"/>
  <c r="Z101" i="8" s="1"/>
  <c r="W101" i="8"/>
  <c r="V301" i="8"/>
  <c r="Y301" i="8" s="1"/>
  <c r="U301" i="8"/>
  <c r="AK254" i="12"/>
  <c r="Z254" i="12"/>
  <c r="AJ254" i="12"/>
  <c r="V159" i="8"/>
  <c r="Y159" i="8" s="1"/>
  <c r="U159" i="8"/>
  <c r="V114" i="12"/>
  <c r="AF114" i="12"/>
  <c r="Q114" i="12"/>
  <c r="AG114" i="12" s="1"/>
  <c r="AF326" i="12"/>
  <c r="V326" i="12"/>
  <c r="Q326" i="12"/>
  <c r="AG326" i="12" s="1"/>
  <c r="AJ291" i="12"/>
  <c r="Z291" i="12"/>
  <c r="AI291" i="12"/>
  <c r="X278" i="13"/>
  <c r="I278" i="12" s="1"/>
  <c r="J278" i="12" s="1"/>
  <c r="K278" i="12" s="1"/>
  <c r="AJ59" i="12"/>
  <c r="AI59" i="12"/>
  <c r="Z59" i="12"/>
  <c r="AK67" i="12"/>
  <c r="AJ67" i="12"/>
  <c r="Z67" i="12"/>
  <c r="AI343" i="12"/>
  <c r="Z343" i="12"/>
  <c r="AJ343" i="12"/>
  <c r="Z335" i="12"/>
  <c r="AK335" i="12"/>
  <c r="AJ335" i="12"/>
  <c r="X99" i="8"/>
  <c r="Z99" i="8" s="1"/>
  <c r="AI99" i="8" s="1"/>
  <c r="AQ99" i="8" s="1"/>
  <c r="AR99" i="8" s="1"/>
  <c r="W99" i="8"/>
  <c r="F276" i="13"/>
  <c r="F276" i="12"/>
  <c r="AK84" i="12"/>
  <c r="AJ84" i="12"/>
  <c r="AA84" i="12"/>
  <c r="Z84" i="12"/>
  <c r="AI84" i="12"/>
  <c r="V42" i="8"/>
  <c r="Y42" i="8" s="1"/>
  <c r="U42" i="8"/>
  <c r="U71" i="8"/>
  <c r="X345" i="8"/>
  <c r="Z345" i="8" s="1"/>
  <c r="AI345" i="8" s="1"/>
  <c r="AQ345" i="8" s="1"/>
  <c r="AR345" i="8" s="1"/>
  <c r="W345" i="8"/>
  <c r="R341" i="13"/>
  <c r="X341" i="13" s="1"/>
  <c r="I341" i="12" s="1"/>
  <c r="J341" i="12" s="1"/>
  <c r="J341" i="13"/>
  <c r="P341" i="13" s="1"/>
  <c r="F247" i="13"/>
  <c r="F247" i="12"/>
  <c r="J283" i="13"/>
  <c r="R283" i="13"/>
  <c r="H283" i="13"/>
  <c r="AK127" i="12"/>
  <c r="Z127" i="12"/>
  <c r="AA127" i="12" s="1"/>
  <c r="AC127" i="12" s="1"/>
  <c r="AJ127" i="12"/>
  <c r="AD311" i="8"/>
  <c r="AC311" i="8"/>
  <c r="AB311" i="8"/>
  <c r="AP311" i="8"/>
  <c r="AA311" i="8"/>
  <c r="AJ311" i="8"/>
  <c r="AK311" i="8"/>
  <c r="AI270" i="8"/>
  <c r="AQ270" i="8" s="1"/>
  <c r="AR270" i="8" s="1"/>
  <c r="R103" i="13"/>
  <c r="J103" i="13"/>
  <c r="H103" i="13"/>
  <c r="W265" i="13"/>
  <c r="N265" i="13"/>
  <c r="V265" i="13"/>
  <c r="M265" i="13"/>
  <c r="U265" i="13"/>
  <c r="L265" i="13"/>
  <c r="T265" i="13"/>
  <c r="K265" i="13"/>
  <c r="S265" i="13"/>
  <c r="O265" i="13"/>
  <c r="X303" i="8"/>
  <c r="Z303" i="8" s="1"/>
  <c r="AI303" i="8" s="1"/>
  <c r="AQ303" i="8" s="1"/>
  <c r="AR303" i="8" s="1"/>
  <c r="W303" i="8"/>
  <c r="AK76" i="12"/>
  <c r="AJ76" i="12"/>
  <c r="Z76" i="12"/>
  <c r="X67" i="8"/>
  <c r="Z67" i="8" s="1"/>
  <c r="AI67" i="8" s="1"/>
  <c r="AQ67" i="8" s="1"/>
  <c r="AR67" i="8" s="1"/>
  <c r="W67" i="8"/>
  <c r="R297" i="13"/>
  <c r="J297" i="13"/>
  <c r="H297" i="13"/>
  <c r="AR325" i="8"/>
  <c r="V167" i="12"/>
  <c r="AF167" i="12"/>
  <c r="Q167" i="12"/>
  <c r="AG167" i="12" s="1"/>
  <c r="V239" i="12"/>
  <c r="AF239" i="12"/>
  <c r="Q239" i="12"/>
  <c r="AG239" i="12" s="1"/>
  <c r="O15" i="12"/>
  <c r="AD15" i="8"/>
  <c r="AC15" i="8"/>
  <c r="AB15" i="8"/>
  <c r="AP15" i="8"/>
  <c r="AA15" i="8"/>
  <c r="O15" i="8"/>
  <c r="R15" i="8" s="1"/>
  <c r="V15" i="8"/>
  <c r="Y15" i="8" s="1"/>
  <c r="U15" i="8"/>
  <c r="AK15" i="8"/>
  <c r="AJ15" i="8"/>
  <c r="AJ261" i="12"/>
  <c r="AI261" i="12"/>
  <c r="Z261" i="12"/>
  <c r="R162" i="13"/>
  <c r="J162" i="13"/>
  <c r="H162" i="13"/>
  <c r="AK19" i="12"/>
  <c r="AJ19" i="12"/>
  <c r="AI19" i="12"/>
  <c r="AA19" i="12"/>
  <c r="Z19" i="12"/>
  <c r="AJ237" i="12"/>
  <c r="Z237" i="12"/>
  <c r="AI237" i="12"/>
  <c r="AJ232" i="12"/>
  <c r="AI232" i="12"/>
  <c r="Z232" i="12"/>
  <c r="R92" i="13"/>
  <c r="J92" i="13"/>
  <c r="H92" i="13"/>
  <c r="AK289" i="12"/>
  <c r="AJ289" i="12"/>
  <c r="Z289" i="12"/>
  <c r="R149" i="13"/>
  <c r="J149" i="13"/>
  <c r="H149" i="13"/>
  <c r="J224" i="13"/>
  <c r="R224" i="13"/>
  <c r="H224" i="13"/>
  <c r="AA316" i="12"/>
  <c r="AF316" i="12"/>
  <c r="V316" i="12"/>
  <c r="Q316" i="12"/>
  <c r="AG316" i="12" s="1"/>
  <c r="F109" i="13"/>
  <c r="F109" i="12"/>
  <c r="R89" i="13"/>
  <c r="X89" i="13" s="1"/>
  <c r="I89" i="12" s="1"/>
  <c r="J89" i="12" s="1"/>
  <c r="K89" i="12" s="1"/>
  <c r="J89" i="13"/>
  <c r="P89" i="13" s="1"/>
  <c r="AF48" i="12"/>
  <c r="V48" i="12"/>
  <c r="Q48" i="12"/>
  <c r="AG48" i="12" s="1"/>
  <c r="AI133" i="12"/>
  <c r="Z133" i="12"/>
  <c r="AJ133" i="12"/>
  <c r="AI112" i="12"/>
  <c r="AA112" i="12"/>
  <c r="AJ112" i="12"/>
  <c r="Z112" i="12"/>
  <c r="AK112" i="12"/>
  <c r="R11" i="8"/>
  <c r="H314" i="13"/>
  <c r="R314" i="13"/>
  <c r="J314" i="13"/>
  <c r="R285" i="13"/>
  <c r="J285" i="13"/>
  <c r="H285" i="13"/>
  <c r="AI64" i="12"/>
  <c r="Z64" i="12"/>
  <c r="AJ64" i="12"/>
  <c r="Z337" i="12"/>
  <c r="AK337" i="12"/>
  <c r="AJ337" i="12"/>
  <c r="AJ251" i="12"/>
  <c r="AI251" i="12"/>
  <c r="Z251" i="12"/>
  <c r="U92" i="8"/>
  <c r="AI61" i="12"/>
  <c r="Z61" i="12"/>
  <c r="AJ61" i="12"/>
  <c r="O28" i="12"/>
  <c r="AP26" i="8"/>
  <c r="AD26" i="8"/>
  <c r="AC26" i="8"/>
  <c r="AB26" i="8"/>
  <c r="AA26" i="8"/>
  <c r="V26" i="8"/>
  <c r="Y26" i="8" s="1"/>
  <c r="AJ26" i="8"/>
  <c r="U26" i="8"/>
  <c r="AK26" i="8"/>
  <c r="Q213" i="12"/>
  <c r="AG213" i="12" s="1"/>
  <c r="V213" i="12"/>
  <c r="AF213" i="12"/>
  <c r="H160" i="13"/>
  <c r="R160" i="13"/>
  <c r="J160" i="13"/>
  <c r="X140" i="8"/>
  <c r="Z140" i="8" s="1"/>
  <c r="AI140" i="8" s="1"/>
  <c r="AQ140" i="8" s="1"/>
  <c r="AR140" i="8" s="1"/>
  <c r="W140" i="8"/>
  <c r="O141" i="12"/>
  <c r="AC141" i="8"/>
  <c r="AB141" i="8"/>
  <c r="AP141" i="8"/>
  <c r="AD141" i="8"/>
  <c r="AA141" i="8"/>
  <c r="AK141" i="8"/>
  <c r="AJ141" i="8"/>
  <c r="X319" i="8"/>
  <c r="Z319" i="8" s="1"/>
  <c r="AI319" i="8" s="1"/>
  <c r="AQ319" i="8" s="1"/>
  <c r="AR319" i="8" s="1"/>
  <c r="W319" i="8"/>
  <c r="R97" i="13"/>
  <c r="J97" i="13"/>
  <c r="H97" i="13"/>
  <c r="AH361" i="8"/>
  <c r="H46" i="13"/>
  <c r="R46" i="13"/>
  <c r="J46" i="13"/>
  <c r="AK202" i="12"/>
  <c r="Z202" i="12"/>
  <c r="AJ202" i="12"/>
  <c r="R115" i="13"/>
  <c r="J115" i="13"/>
  <c r="H115" i="13"/>
  <c r="U225" i="8"/>
  <c r="V146" i="8"/>
  <c r="Y146" i="8" s="1"/>
  <c r="V358" i="12"/>
  <c r="Q358" i="12"/>
  <c r="AG358" i="12" s="1"/>
  <c r="AF358" i="12"/>
  <c r="AF313" i="12"/>
  <c r="V313" i="12"/>
  <c r="Y313" i="12" s="1"/>
  <c r="Q313" i="12"/>
  <c r="AG313" i="12" s="1"/>
  <c r="Z35" i="12"/>
  <c r="AK35" i="12"/>
  <c r="AJ35" i="12"/>
  <c r="AI137" i="12"/>
  <c r="AK137" i="12"/>
  <c r="Z137" i="12"/>
  <c r="Q287" i="12"/>
  <c r="AG287" i="12" s="1"/>
  <c r="AF287" i="12"/>
  <c r="V287" i="12"/>
  <c r="Q285" i="12"/>
  <c r="AG285" i="12" s="1"/>
  <c r="AF285" i="12"/>
  <c r="V285" i="12"/>
  <c r="R96" i="13"/>
  <c r="J96" i="13"/>
  <c r="H96" i="13"/>
  <c r="X134" i="8"/>
  <c r="Z134" i="8" s="1"/>
  <c r="AI134" i="8" s="1"/>
  <c r="AQ134" i="8" s="1"/>
  <c r="AR134" i="8" s="1"/>
  <c r="W134" i="8"/>
  <c r="O247" i="12"/>
  <c r="AC247" i="8"/>
  <c r="AB247" i="8"/>
  <c r="AD247" i="8"/>
  <c r="AP247" i="8"/>
  <c r="AA247" i="8"/>
  <c r="O247" i="8"/>
  <c r="R247" i="8" s="1"/>
  <c r="V247" i="8" s="1"/>
  <c r="Y247" i="8" s="1"/>
  <c r="AJ247" i="8"/>
  <c r="AK247" i="8"/>
  <c r="U247" i="8"/>
  <c r="Z63" i="12"/>
  <c r="AJ63" i="12"/>
  <c r="AI63" i="12"/>
  <c r="X153" i="8"/>
  <c r="Z153" i="8" s="1"/>
  <c r="AI153" i="8" s="1"/>
  <c r="AQ153" i="8" s="1"/>
  <c r="AR153" i="8" s="1"/>
  <c r="W153" i="8"/>
  <c r="V170" i="8"/>
  <c r="Y170" i="8" s="1"/>
  <c r="Q277" i="12"/>
  <c r="AG277" i="12" s="1"/>
  <c r="V277" i="12"/>
  <c r="Y277" i="12" s="1"/>
  <c r="AA277" i="12" s="1"/>
  <c r="AC277" i="12" s="1"/>
  <c r="AF277" i="12"/>
  <c r="AA40" i="12"/>
  <c r="Q40" i="12"/>
  <c r="AG40" i="12" s="1"/>
  <c r="AF40" i="12"/>
  <c r="V40" i="12"/>
  <c r="R279" i="13"/>
  <c r="J279" i="13"/>
  <c r="H279" i="13"/>
  <c r="F52" i="13"/>
  <c r="F52" i="12"/>
  <c r="O18" i="12"/>
  <c r="O361" i="12" s="1"/>
  <c r="AP18" i="8"/>
  <c r="AD18" i="8"/>
  <c r="AC18" i="8"/>
  <c r="AB18" i="8"/>
  <c r="AA18" i="8"/>
  <c r="AK18" i="8"/>
  <c r="AJ18" i="8"/>
  <c r="V18" i="8"/>
  <c r="Y18" i="8" s="1"/>
  <c r="U18" i="8"/>
  <c r="V131" i="8"/>
  <c r="Y131" i="8" s="1"/>
  <c r="AK126" i="12"/>
  <c r="Z126" i="12"/>
  <c r="AJ126" i="12"/>
  <c r="AK257" i="12"/>
  <c r="AJ257" i="12"/>
  <c r="Z257" i="12"/>
  <c r="V54" i="12"/>
  <c r="AF54" i="12"/>
  <c r="Q54" i="12"/>
  <c r="AG54" i="12" s="1"/>
  <c r="R186" i="13"/>
  <c r="X186" i="13" s="1"/>
  <c r="I186" i="12" s="1"/>
  <c r="J186" i="12" s="1"/>
  <c r="K186" i="12" s="1"/>
  <c r="J186" i="13"/>
  <c r="P186" i="13" s="1"/>
  <c r="O248" i="12"/>
  <c r="AP248" i="8"/>
  <c r="AD248" i="8"/>
  <c r="AC248" i="8"/>
  <c r="AB248" i="8"/>
  <c r="AA248" i="8"/>
  <c r="AJ248" i="8"/>
  <c r="O248" i="8"/>
  <c r="R248" i="8" s="1"/>
  <c r="V248" i="8" s="1"/>
  <c r="Y248" i="8" s="1"/>
  <c r="AK248" i="8"/>
  <c r="P244" i="13"/>
  <c r="R266" i="13"/>
  <c r="H266" i="13"/>
  <c r="J266" i="13"/>
  <c r="P105" i="13"/>
  <c r="AD113" i="8"/>
  <c r="AC113" i="8"/>
  <c r="AB113" i="8"/>
  <c r="AP113" i="8"/>
  <c r="AA113" i="8"/>
  <c r="AK113" i="8"/>
  <c r="AJ113" i="8"/>
  <c r="V113" i="8"/>
  <c r="Y113" i="8" s="1"/>
  <c r="U113" i="8"/>
  <c r="U145" i="8"/>
  <c r="R48" i="13"/>
  <c r="J48" i="13"/>
  <c r="H48" i="13"/>
  <c r="O74" i="12"/>
  <c r="AP74" i="8"/>
  <c r="AD74" i="8"/>
  <c r="AC74" i="8"/>
  <c r="AB74" i="8"/>
  <c r="AA74" i="8"/>
  <c r="O74" i="8"/>
  <c r="R74" i="8" s="1"/>
  <c r="V74" i="8" s="1"/>
  <c r="Y74" i="8" s="1"/>
  <c r="AJ74" i="8"/>
  <c r="AK74" i="8"/>
  <c r="R292" i="13"/>
  <c r="J292" i="13"/>
  <c r="H292" i="13"/>
  <c r="X124" i="8"/>
  <c r="Z124" i="8" s="1"/>
  <c r="AI124" i="8" s="1"/>
  <c r="AQ124" i="8" s="1"/>
  <c r="AR124" i="8" s="1"/>
  <c r="W124" i="8"/>
  <c r="AI340" i="12"/>
  <c r="Z340" i="12"/>
  <c r="AJ340" i="12"/>
  <c r="H121" i="13"/>
  <c r="R121" i="13"/>
  <c r="J121" i="13"/>
  <c r="AO105" i="12"/>
  <c r="AJ144" i="12"/>
  <c r="Z144" i="12"/>
  <c r="AK144" i="12"/>
  <c r="R286" i="13"/>
  <c r="J286" i="13"/>
  <c r="H286" i="13"/>
  <c r="AF92" i="12"/>
  <c r="Q92" i="12"/>
  <c r="AG92" i="12" s="1"/>
  <c r="V92" i="12"/>
  <c r="AA92" i="12"/>
  <c r="AK196" i="12"/>
  <c r="Z196" i="12"/>
  <c r="AJ196" i="12"/>
  <c r="U96" i="8"/>
  <c r="Q96" i="12"/>
  <c r="AG96" i="12" s="1"/>
  <c r="V96" i="12"/>
  <c r="Y96" i="12" s="1"/>
  <c r="AA96" i="12" s="1"/>
  <c r="AC96" i="12" s="1"/>
  <c r="AF96" i="12"/>
  <c r="V84" i="8"/>
  <c r="Y84" i="8" s="1"/>
  <c r="U84" i="8"/>
  <c r="U332" i="8"/>
  <c r="Q353" i="12"/>
  <c r="AG353" i="12" s="1"/>
  <c r="AF353" i="12"/>
  <c r="V353" i="12"/>
  <c r="X155" i="8"/>
  <c r="Z155" i="8" s="1"/>
  <c r="AI155" i="8" s="1"/>
  <c r="AQ155" i="8" s="1"/>
  <c r="AR155" i="8" s="1"/>
  <c r="W155" i="8"/>
  <c r="V155" i="12"/>
  <c r="Y155" i="12" s="1"/>
  <c r="AA155" i="12" s="1"/>
  <c r="AC155" i="12" s="1"/>
  <c r="AF155" i="12"/>
  <c r="Q155" i="12"/>
  <c r="AG155" i="12" s="1"/>
  <c r="R317" i="13"/>
  <c r="X317" i="13" s="1"/>
  <c r="I317" i="12" s="1"/>
  <c r="J317" i="12" s="1"/>
  <c r="J317" i="13"/>
  <c r="P317" i="13" s="1"/>
  <c r="F169" i="13"/>
  <c r="F169" i="12"/>
  <c r="R211" i="13"/>
  <c r="J211" i="13"/>
  <c r="H211" i="13"/>
  <c r="AJ148" i="12"/>
  <c r="Z148" i="12"/>
  <c r="AK148" i="12"/>
  <c r="AJ167" i="12"/>
  <c r="Z167" i="12"/>
  <c r="AK167" i="12"/>
  <c r="AI150" i="12"/>
  <c r="AJ150" i="12"/>
  <c r="Z150" i="12"/>
  <c r="AA150" i="12" s="1"/>
  <c r="AC150" i="12" s="1"/>
  <c r="AK150" i="12"/>
  <c r="AF59" i="12"/>
  <c r="AA59" i="12"/>
  <c r="AC59" i="12" s="1"/>
  <c r="Q59" i="12"/>
  <c r="AG59" i="12" s="1"/>
  <c r="V59" i="12"/>
  <c r="Y59" i="12" s="1"/>
  <c r="AK208" i="12"/>
  <c r="Z208" i="12"/>
  <c r="AJ208" i="12"/>
  <c r="R280" i="13"/>
  <c r="J280" i="13"/>
  <c r="H280" i="13"/>
  <c r="R197" i="13"/>
  <c r="J197" i="13"/>
  <c r="H197" i="13"/>
  <c r="R212" i="13"/>
  <c r="J212" i="13"/>
  <c r="H212" i="13"/>
  <c r="Z221" i="12"/>
  <c r="AK221" i="12"/>
  <c r="AI221" i="12"/>
  <c r="R164" i="8"/>
  <c r="Q164" i="12"/>
  <c r="AG164" i="12" s="1"/>
  <c r="AF164" i="12"/>
  <c r="V164" i="12"/>
  <c r="Y164" i="12" s="1"/>
  <c r="AA164" i="12" s="1"/>
  <c r="AC164" i="12" s="1"/>
  <c r="X315" i="8"/>
  <c r="Z315" i="8" s="1"/>
  <c r="AI315" i="8" s="1"/>
  <c r="AQ315" i="8" s="1"/>
  <c r="AR315" i="8" s="1"/>
  <c r="W315" i="8"/>
  <c r="W179" i="8"/>
  <c r="Z256" i="8"/>
  <c r="AI256" i="8" s="1"/>
  <c r="AQ256" i="8" s="1"/>
  <c r="AR256" i="8" s="1"/>
  <c r="AJ124" i="12"/>
  <c r="AI124" i="12"/>
  <c r="Z124" i="12"/>
  <c r="V158" i="12"/>
  <c r="AF158" i="12"/>
  <c r="Q158" i="12"/>
  <c r="AG158" i="12" s="1"/>
  <c r="F194" i="13"/>
  <c r="F194" i="12"/>
  <c r="Q78" i="12"/>
  <c r="AG78" i="12" s="1"/>
  <c r="AF78" i="12"/>
  <c r="V78" i="12"/>
  <c r="Y78" i="12" s="1"/>
  <c r="AA78" i="12"/>
  <c r="AC78" i="12" s="1"/>
  <c r="R28" i="13"/>
  <c r="X28" i="13" s="1"/>
  <c r="I28" i="12" s="1"/>
  <c r="J28" i="12" s="1"/>
  <c r="J28" i="13"/>
  <c r="P28" i="13" s="1"/>
  <c r="X142" i="8"/>
  <c r="Z142" i="8" s="1"/>
  <c r="AI142" i="8" s="1"/>
  <c r="AQ142" i="8" s="1"/>
  <c r="AR142" i="8" s="1"/>
  <c r="W142" i="8"/>
  <c r="X157" i="8"/>
  <c r="Z157" i="8" s="1"/>
  <c r="W157" i="8"/>
  <c r="V58" i="12"/>
  <c r="Y58" i="12" s="1"/>
  <c r="AF58" i="12"/>
  <c r="Q58" i="12"/>
  <c r="AG58" i="12" s="1"/>
  <c r="AA58" i="12"/>
  <c r="AC58" i="12" s="1"/>
  <c r="O22" i="12"/>
  <c r="AD22" i="8"/>
  <c r="AC22" i="8"/>
  <c r="AB22" i="8"/>
  <c r="AP22" i="8"/>
  <c r="AA22" i="8"/>
  <c r="AK22" i="8"/>
  <c r="V22" i="8"/>
  <c r="Y22" i="8" s="1"/>
  <c r="U22" i="8"/>
  <c r="AJ22" i="8"/>
  <c r="W233" i="8"/>
  <c r="X233" i="8"/>
  <c r="Z233" i="8" s="1"/>
  <c r="AI233" i="8" s="1"/>
  <c r="AQ233" i="8" s="1"/>
  <c r="AR233" i="8" s="1"/>
  <c r="W265" i="8"/>
  <c r="X265" i="8"/>
  <c r="Z265" i="8" s="1"/>
  <c r="AI265" i="8" s="1"/>
  <c r="AQ265" i="8" s="1"/>
  <c r="X187" i="8"/>
  <c r="Z187" i="8" s="1"/>
  <c r="AI187" i="8" s="1"/>
  <c r="AQ187" i="8" s="1"/>
  <c r="AR187" i="8" s="1"/>
  <c r="W187" i="8"/>
  <c r="R122" i="13"/>
  <c r="J122" i="13"/>
  <c r="H122" i="13"/>
  <c r="R207" i="13"/>
  <c r="J207" i="13"/>
  <c r="H207" i="13"/>
  <c r="AJ356" i="12"/>
  <c r="AI356" i="12"/>
  <c r="Z356" i="12"/>
  <c r="AF275" i="12"/>
  <c r="AH275" i="12" s="1"/>
  <c r="AK275" i="12" s="1"/>
  <c r="V275" i="12"/>
  <c r="Y275" i="12" s="1"/>
  <c r="Q275" i="12"/>
  <c r="AG275" i="12" s="1"/>
  <c r="O144" i="12"/>
  <c r="AD144" i="8"/>
  <c r="AC144" i="8"/>
  <c r="AB144" i="8"/>
  <c r="AP144" i="8"/>
  <c r="AA144" i="8"/>
  <c r="AJ144" i="8"/>
  <c r="AK144" i="8"/>
  <c r="O144" i="8"/>
  <c r="R144" i="8" s="1"/>
  <c r="U144" i="8" s="1"/>
  <c r="O128" i="12"/>
  <c r="AD128" i="8"/>
  <c r="AC128" i="8"/>
  <c r="AB128" i="8"/>
  <c r="AP128" i="8"/>
  <c r="AA128" i="8"/>
  <c r="AJ128" i="8"/>
  <c r="AK128" i="8"/>
  <c r="O128" i="8"/>
  <c r="R128" i="8" s="1"/>
  <c r="V128" i="8" s="1"/>
  <c r="Y128" i="8" s="1"/>
  <c r="O52" i="12"/>
  <c r="AB52" i="8"/>
  <c r="AP52" i="8"/>
  <c r="AD52" i="8"/>
  <c r="AC52" i="8"/>
  <c r="AA52" i="8"/>
  <c r="AJ52" i="8"/>
  <c r="AK52" i="8"/>
  <c r="O52" i="8"/>
  <c r="R52" i="8" s="1"/>
  <c r="V52" i="8" s="1"/>
  <c r="Y52" i="8" s="1"/>
  <c r="R71" i="13"/>
  <c r="X71" i="13" s="1"/>
  <c r="I71" i="12" s="1"/>
  <c r="J71" i="12" s="1"/>
  <c r="K71" i="12" s="1"/>
  <c r="J71" i="13"/>
  <c r="P71" i="13" s="1"/>
  <c r="V142" i="12"/>
  <c r="Y142" i="12" s="1"/>
  <c r="AF142" i="12"/>
  <c r="Q142" i="12"/>
  <c r="AG142" i="12" s="1"/>
  <c r="R254" i="13"/>
  <c r="H254" i="13"/>
  <c r="J254" i="13"/>
  <c r="V273" i="12"/>
  <c r="Q273" i="12"/>
  <c r="AG273" i="12" s="1"/>
  <c r="AF273" i="12"/>
  <c r="AJ163" i="12"/>
  <c r="AK163" i="12"/>
  <c r="Z163" i="12"/>
  <c r="AI100" i="8"/>
  <c r="AQ100" i="8" s="1"/>
  <c r="AR100" i="8" s="1"/>
  <c r="R291" i="13"/>
  <c r="J291" i="13"/>
  <c r="H291" i="13"/>
  <c r="X98" i="8"/>
  <c r="Z98" i="8" s="1"/>
  <c r="AI98" i="8" s="1"/>
  <c r="AQ98" i="8" s="1"/>
  <c r="W98" i="8"/>
  <c r="W344" i="8"/>
  <c r="X344" i="8"/>
  <c r="Z344" i="8" s="1"/>
  <c r="AI344" i="8" s="1"/>
  <c r="AQ344" i="8" s="1"/>
  <c r="R59" i="13"/>
  <c r="J59" i="13"/>
  <c r="H59" i="13"/>
  <c r="R67" i="13"/>
  <c r="J67" i="13"/>
  <c r="H67" i="13"/>
  <c r="S272" i="13"/>
  <c r="O272" i="13"/>
  <c r="W272" i="13"/>
  <c r="X272" i="13" s="1"/>
  <c r="I272" i="12" s="1"/>
  <c r="J272" i="12" s="1"/>
  <c r="K272" i="12" s="1"/>
  <c r="N272" i="13"/>
  <c r="V272" i="13"/>
  <c r="M272" i="13"/>
  <c r="U272" i="13"/>
  <c r="L272" i="13"/>
  <c r="T272" i="13"/>
  <c r="K272" i="13"/>
  <c r="P272" i="13" s="1"/>
  <c r="V184" i="13"/>
  <c r="N184" i="13"/>
  <c r="U184" i="13"/>
  <c r="M184" i="13"/>
  <c r="W184" i="13"/>
  <c r="K184" i="13"/>
  <c r="P184" i="13" s="1"/>
  <c r="T184" i="13"/>
  <c r="S184" i="13"/>
  <c r="X184" i="13" s="1"/>
  <c r="I184" i="12" s="1"/>
  <c r="J184" i="12" s="1"/>
  <c r="O184" i="13"/>
  <c r="L184" i="13"/>
  <c r="X163" i="8"/>
  <c r="Z163" i="8" s="1"/>
  <c r="W163" i="8"/>
  <c r="AJ21" i="12"/>
  <c r="AI21" i="12"/>
  <c r="Z21" i="12"/>
  <c r="AJ170" i="12"/>
  <c r="Z170" i="12"/>
  <c r="AK170" i="12"/>
  <c r="R343" i="13"/>
  <c r="J343" i="13"/>
  <c r="H343" i="13"/>
  <c r="R335" i="13"/>
  <c r="J335" i="13"/>
  <c r="H335" i="13"/>
  <c r="X212" i="8"/>
  <c r="Z212" i="8" s="1"/>
  <c r="AI212" i="8" s="1"/>
  <c r="AQ212" i="8" s="1"/>
  <c r="AR212" i="8" s="1"/>
  <c r="W212" i="8"/>
  <c r="AF348" i="12"/>
  <c r="V348" i="12"/>
  <c r="Q348" i="12"/>
  <c r="AG348" i="12" s="1"/>
  <c r="AK30" i="12"/>
  <c r="AI30" i="12"/>
  <c r="Z30" i="12"/>
  <c r="AK151" i="12"/>
  <c r="AJ151" i="12"/>
  <c r="Z151" i="12"/>
  <c r="J84" i="13"/>
  <c r="R84" i="13"/>
  <c r="H84" i="13"/>
  <c r="AF345" i="12"/>
  <c r="V345" i="12"/>
  <c r="Y345" i="12" s="1"/>
  <c r="Q345" i="12"/>
  <c r="AG345" i="12" s="1"/>
  <c r="F269" i="13"/>
  <c r="F269" i="12"/>
  <c r="H127" i="13"/>
  <c r="R127" i="13"/>
  <c r="J127" i="13"/>
  <c r="AK17" i="12"/>
  <c r="AJ17" i="12"/>
  <c r="Z17" i="12"/>
  <c r="Z319" i="12"/>
  <c r="AK319" i="12"/>
  <c r="AJ319" i="12"/>
  <c r="AK79" i="12"/>
  <c r="AJ79" i="12"/>
  <c r="Z79" i="12"/>
  <c r="AI141" i="12"/>
  <c r="AJ141" i="12"/>
  <c r="Z141" i="12"/>
  <c r="P265" i="13"/>
  <c r="Y110" i="12"/>
  <c r="AA110" i="12" s="1"/>
  <c r="AC110" i="12" s="1"/>
  <c r="X329" i="8"/>
  <c r="Z329" i="8" s="1"/>
  <c r="AI329" i="8" s="1"/>
  <c r="AQ329" i="8" s="1"/>
  <c r="AR329" i="8" s="1"/>
  <c r="W329" i="8"/>
  <c r="AF344" i="12"/>
  <c r="V344" i="12"/>
  <c r="Q344" i="12"/>
  <c r="AG344" i="12" s="1"/>
  <c r="R76" i="13"/>
  <c r="X76" i="13" s="1"/>
  <c r="I76" i="12" s="1"/>
  <c r="J76" i="12" s="1"/>
  <c r="J76" i="13"/>
  <c r="P76" i="13" s="1"/>
  <c r="O295" i="12"/>
  <c r="AC295" i="8"/>
  <c r="AB295" i="8"/>
  <c r="AD295" i="8"/>
  <c r="AP295" i="8"/>
  <c r="AA295" i="8"/>
  <c r="AK295" i="8"/>
  <c r="AJ295" i="8"/>
  <c r="AF61" i="12"/>
  <c r="V61" i="12"/>
  <c r="Q61" i="12"/>
  <c r="AG61" i="12" s="1"/>
  <c r="X349" i="8"/>
  <c r="Z349" i="8" s="1"/>
  <c r="AI349" i="8" s="1"/>
  <c r="AQ349" i="8" s="1"/>
  <c r="AR349" i="8" s="1"/>
  <c r="W349" i="8"/>
  <c r="R261" i="13"/>
  <c r="X261" i="13" s="1"/>
  <c r="I261" i="12" s="1"/>
  <c r="J261" i="12" s="1"/>
  <c r="K261" i="12" s="1"/>
  <c r="J261" i="13"/>
  <c r="P261" i="13" s="1"/>
  <c r="Q179" i="12"/>
  <c r="AG179" i="12" s="1"/>
  <c r="AF179" i="12"/>
  <c r="V179" i="12"/>
  <c r="AK258" i="12"/>
  <c r="Z258" i="12"/>
  <c r="AI258" i="12"/>
  <c r="J19" i="13"/>
  <c r="R19" i="13"/>
  <c r="H19" i="13"/>
  <c r="AL241" i="12"/>
  <c r="R237" i="13"/>
  <c r="J237" i="13"/>
  <c r="H237" i="13"/>
  <c r="R232" i="13"/>
  <c r="J232" i="13"/>
  <c r="H232" i="13"/>
  <c r="R289" i="13"/>
  <c r="J289" i="13"/>
  <c r="H289" i="13"/>
  <c r="AI312" i="12"/>
  <c r="Z312" i="12"/>
  <c r="AJ312" i="12"/>
  <c r="AI157" i="8"/>
  <c r="AQ157" i="8" s="1"/>
  <c r="AR157" i="8" s="1"/>
  <c r="AK62" i="12"/>
  <c r="AI62" i="12"/>
  <c r="Z62" i="12"/>
  <c r="X108" i="8"/>
  <c r="Z108" i="8" s="1"/>
  <c r="AI108" i="8" s="1"/>
  <c r="AQ108" i="8" s="1"/>
  <c r="AR108" i="8" s="1"/>
  <c r="W108" i="8"/>
  <c r="X48" i="8"/>
  <c r="Z48" i="8" s="1"/>
  <c r="AI48" i="8" s="1"/>
  <c r="AQ48" i="8" s="1"/>
  <c r="AR48" i="8" s="1"/>
  <c r="W48" i="8"/>
  <c r="U41" i="8"/>
  <c r="R133" i="13"/>
  <c r="X133" i="13" s="1"/>
  <c r="I133" i="12" s="1"/>
  <c r="J133" i="12" s="1"/>
  <c r="K133" i="12" s="1"/>
  <c r="J133" i="13"/>
  <c r="P133" i="13" s="1"/>
  <c r="J112" i="13"/>
  <c r="R112" i="13"/>
  <c r="H112" i="13"/>
  <c r="AK42" i="12"/>
  <c r="AI42" i="12"/>
  <c r="Z42" i="12"/>
  <c r="AA42" i="12" s="1"/>
  <c r="AC42" i="12" s="1"/>
  <c r="AJ42" i="12"/>
  <c r="L361" i="8"/>
  <c r="AK16" i="12"/>
  <c r="AJ16" i="12"/>
  <c r="Z16" i="12"/>
  <c r="AK15" i="12"/>
  <c r="AI15" i="12"/>
  <c r="Z15" i="12"/>
  <c r="X171" i="8"/>
  <c r="Z171" i="8" s="1"/>
  <c r="AI171" i="8" s="1"/>
  <c r="AQ171" i="8" s="1"/>
  <c r="AR171" i="8" s="1"/>
  <c r="W171" i="8"/>
  <c r="R64" i="13"/>
  <c r="J64" i="13"/>
  <c r="H64" i="13"/>
  <c r="R337" i="13"/>
  <c r="J337" i="13"/>
  <c r="H337" i="13"/>
  <c r="AF270" i="12"/>
  <c r="V270" i="12"/>
  <c r="Y270" i="12" s="1"/>
  <c r="Q270" i="12"/>
  <c r="AG270" i="12" s="1"/>
  <c r="R251" i="13"/>
  <c r="J251" i="13"/>
  <c r="H251" i="13"/>
  <c r="Y114" i="12"/>
  <c r="AA114" i="12" s="1"/>
  <c r="AC114" i="12" s="1"/>
  <c r="V338" i="12"/>
  <c r="Q338" i="12"/>
  <c r="AG338" i="12" s="1"/>
  <c r="AF338" i="12"/>
  <c r="AK303" i="12"/>
  <c r="AJ303" i="12"/>
  <c r="Z303" i="12"/>
  <c r="Q88" i="12"/>
  <c r="AG88" i="12" s="1"/>
  <c r="AF88" i="12"/>
  <c r="V88" i="12"/>
  <c r="Y88" i="12" s="1"/>
  <c r="R61" i="13"/>
  <c r="X61" i="13" s="1"/>
  <c r="I61" i="12" s="1"/>
  <c r="J61" i="12" s="1"/>
  <c r="K61" i="12" s="1"/>
  <c r="J61" i="13"/>
  <c r="P61" i="13" s="1"/>
  <c r="AK293" i="12"/>
  <c r="Z293" i="12"/>
  <c r="AA293" i="12" s="1"/>
  <c r="AC293" i="12" s="1"/>
  <c r="AJ293" i="12"/>
  <c r="AI293" i="12"/>
  <c r="X35" i="8"/>
  <c r="Z35" i="8" s="1"/>
  <c r="AI35" i="8" s="1"/>
  <c r="AQ35" i="8" s="1"/>
  <c r="W35" i="8"/>
  <c r="Q192" i="12"/>
  <c r="AG192" i="12" s="1"/>
  <c r="V192" i="12"/>
  <c r="Y192" i="12" s="1"/>
  <c r="AF192" i="12"/>
  <c r="AJ56" i="12"/>
  <c r="AI56" i="12"/>
  <c r="Z56" i="12"/>
  <c r="R202" i="13"/>
  <c r="J202" i="13"/>
  <c r="H202" i="13"/>
  <c r="W95" i="8"/>
  <c r="X95" i="8"/>
  <c r="Z95" i="8" s="1"/>
  <c r="AI95" i="8" s="1"/>
  <c r="AQ95" i="8" s="1"/>
  <c r="AR95" i="8" s="1"/>
  <c r="R35" i="13"/>
  <c r="J35" i="13"/>
  <c r="H35" i="13"/>
  <c r="F204" i="13"/>
  <c r="F204" i="12"/>
  <c r="U262" i="8"/>
  <c r="H137" i="13"/>
  <c r="R137" i="13"/>
  <c r="J137" i="13"/>
  <c r="O234" i="12"/>
  <c r="AB234" i="8"/>
  <c r="AD234" i="8"/>
  <c r="AC234" i="8"/>
  <c r="AP234" i="8"/>
  <c r="AA234" i="8"/>
  <c r="AJ234" i="8"/>
  <c r="O234" i="8"/>
  <c r="R234" i="8" s="1"/>
  <c r="U234" i="8" s="1"/>
  <c r="V234" i="8"/>
  <c r="Y234" i="8" s="1"/>
  <c r="AK234" i="8"/>
  <c r="V202" i="8"/>
  <c r="Y202" i="8" s="1"/>
  <c r="H63" i="13"/>
  <c r="R63" i="13"/>
  <c r="J63" i="13"/>
  <c r="Q118" i="12"/>
  <c r="AG118" i="12" s="1"/>
  <c r="AF118" i="12"/>
  <c r="V118" i="12"/>
  <c r="Y118" i="12" s="1"/>
  <c r="W175" i="8"/>
  <c r="X175" i="8"/>
  <c r="Z175" i="8" s="1"/>
  <c r="AI175" i="8" s="1"/>
  <c r="AQ175" i="8" s="1"/>
  <c r="AR175" i="8" s="1"/>
  <c r="Q175" i="12"/>
  <c r="AG175" i="12" s="1"/>
  <c r="AF175" i="12"/>
  <c r="V175" i="12"/>
  <c r="X40" i="8"/>
  <c r="Z40" i="8" s="1"/>
  <c r="AI40" i="8" s="1"/>
  <c r="AQ40" i="8" s="1"/>
  <c r="AR40" i="8" s="1"/>
  <c r="W40" i="8"/>
  <c r="V165" i="8"/>
  <c r="Y165" i="8" s="1"/>
  <c r="U165" i="8"/>
  <c r="AQ352" i="12"/>
  <c r="AP352" i="12"/>
  <c r="AR352" i="12" s="1"/>
  <c r="J50" i="11" s="1"/>
  <c r="X352" i="12"/>
  <c r="AE352" i="12"/>
  <c r="AB352" i="12"/>
  <c r="Q29" i="12"/>
  <c r="AG29" i="12" s="1"/>
  <c r="AF29" i="12"/>
  <c r="V29" i="12"/>
  <c r="H126" i="13"/>
  <c r="R126" i="13"/>
  <c r="J126" i="13"/>
  <c r="AK147" i="12"/>
  <c r="AJ147" i="12"/>
  <c r="Z147" i="12"/>
  <c r="F50" i="13"/>
  <c r="F50" i="12"/>
  <c r="AI229" i="12"/>
  <c r="Z229" i="12"/>
  <c r="AK229" i="12"/>
  <c r="R257" i="13"/>
  <c r="J257" i="13"/>
  <c r="H257" i="13"/>
  <c r="AF225" i="12"/>
  <c r="V225" i="12"/>
  <c r="Y225" i="12" s="1"/>
  <c r="AA225" i="12" s="1"/>
  <c r="AC225" i="12" s="1"/>
  <c r="Q225" i="12"/>
  <c r="AG225" i="12" s="1"/>
  <c r="AJ34" i="12"/>
  <c r="AI34" i="12"/>
  <c r="Z34" i="12"/>
  <c r="AI27" i="12"/>
  <c r="Z27" i="12"/>
  <c r="AJ27" i="12"/>
  <c r="AJ158" i="12"/>
  <c r="Z158" i="12"/>
  <c r="AK158" i="12"/>
  <c r="O264" i="12"/>
  <c r="AP264" i="8"/>
  <c r="AD264" i="8"/>
  <c r="AC264" i="8"/>
  <c r="AB264" i="8"/>
  <c r="AA264" i="8"/>
  <c r="AJ264" i="8"/>
  <c r="AK264" i="8"/>
  <c r="O68" i="12"/>
  <c r="AB68" i="8"/>
  <c r="AP68" i="8"/>
  <c r="AD68" i="8"/>
  <c r="AC68" i="8"/>
  <c r="AA68" i="8"/>
  <c r="AJ68" i="8"/>
  <c r="AK68" i="8"/>
  <c r="O68" i="8"/>
  <c r="R68" i="8" s="1"/>
  <c r="V68" i="8" s="1"/>
  <c r="Y68" i="8" s="1"/>
  <c r="AI326" i="8"/>
  <c r="AQ326" i="8" s="1"/>
  <c r="AR326" i="8" s="1"/>
  <c r="X244" i="13"/>
  <c r="I244" i="12" s="1"/>
  <c r="J244" i="12" s="1"/>
  <c r="K244" i="12" s="1"/>
  <c r="X267" i="8"/>
  <c r="Z267" i="8" s="1"/>
  <c r="AI267" i="8" s="1"/>
  <c r="AQ267" i="8" s="1"/>
  <c r="AR267" i="8" s="1"/>
  <c r="W267" i="8"/>
  <c r="Z88" i="12"/>
  <c r="AK88" i="12"/>
  <c r="AI88" i="12"/>
  <c r="AF280" i="12"/>
  <c r="V280" i="12"/>
  <c r="Y280" i="12" s="1"/>
  <c r="AA280" i="12" s="1"/>
  <c r="AC280" i="12" s="1"/>
  <c r="Q280" i="12"/>
  <c r="AG280" i="12" s="1"/>
  <c r="Z349" i="12"/>
  <c r="AK349" i="12"/>
  <c r="AJ349" i="12"/>
  <c r="AI198" i="12"/>
  <c r="Z198" i="12"/>
  <c r="AJ198" i="12"/>
  <c r="R340" i="13"/>
  <c r="J340" i="13"/>
  <c r="H340" i="13"/>
  <c r="X115" i="8"/>
  <c r="Z115" i="8" s="1"/>
  <c r="AI115" i="8" s="1"/>
  <c r="AQ115" i="8" s="1"/>
  <c r="W115" i="8"/>
  <c r="AI339" i="12"/>
  <c r="Z339" i="12"/>
  <c r="AK339" i="12"/>
  <c r="H144" i="13"/>
  <c r="R144" i="13"/>
  <c r="J144" i="13"/>
  <c r="R196" i="13"/>
  <c r="J196" i="13"/>
  <c r="H196" i="13"/>
  <c r="V321" i="8"/>
  <c r="Y321" i="8" s="1"/>
  <c r="U321" i="8"/>
  <c r="U353" i="8"/>
  <c r="V353" i="8"/>
  <c r="Y353" i="8" s="1"/>
  <c r="AK206" i="12"/>
  <c r="AJ206" i="12"/>
  <c r="Z206" i="12"/>
  <c r="Z129" i="12"/>
  <c r="AK129" i="12"/>
  <c r="AJ129" i="12"/>
  <c r="AI135" i="12"/>
  <c r="AJ135" i="12"/>
  <c r="Z135" i="12"/>
  <c r="W152" i="13"/>
  <c r="O152" i="13"/>
  <c r="V152" i="13"/>
  <c r="N152" i="13"/>
  <c r="U152" i="13"/>
  <c r="M152" i="13"/>
  <c r="T152" i="13"/>
  <c r="L152" i="13"/>
  <c r="S152" i="13"/>
  <c r="X152" i="13" s="1"/>
  <c r="I152" i="12" s="1"/>
  <c r="J152" i="12" s="1"/>
  <c r="K152" i="12" s="1"/>
  <c r="K152" i="13"/>
  <c r="P152" i="13" s="1"/>
  <c r="R148" i="13"/>
  <c r="J148" i="13"/>
  <c r="H148" i="13"/>
  <c r="R167" i="13"/>
  <c r="J167" i="13"/>
  <c r="H167" i="13"/>
  <c r="R150" i="13"/>
  <c r="J150" i="13"/>
  <c r="H150" i="13"/>
  <c r="AK26" i="12"/>
  <c r="AJ26" i="12"/>
  <c r="AI26" i="12"/>
  <c r="AA26" i="12"/>
  <c r="Z26" i="12"/>
  <c r="R208" i="13"/>
  <c r="J208" i="13"/>
  <c r="H208" i="13"/>
  <c r="U56" i="8"/>
  <c r="O347" i="12"/>
  <c r="AD347" i="8"/>
  <c r="AP347" i="8"/>
  <c r="AC347" i="8"/>
  <c r="AB347" i="8"/>
  <c r="AA347" i="8"/>
  <c r="U347" i="8"/>
  <c r="AK347" i="8"/>
  <c r="O347" i="8"/>
  <c r="R347" i="8" s="1"/>
  <c r="AJ347" i="8"/>
  <c r="V347" i="8"/>
  <c r="Y347" i="8" s="1"/>
  <c r="W288" i="8"/>
  <c r="R221" i="13"/>
  <c r="X221" i="13" s="1"/>
  <c r="I221" i="12" s="1"/>
  <c r="J221" i="12" s="1"/>
  <c r="K221" i="12" s="1"/>
  <c r="J221" i="13"/>
  <c r="P221" i="13" s="1"/>
  <c r="X290" i="8"/>
  <c r="Z290" i="8" s="1"/>
  <c r="AI290" i="8" s="1"/>
  <c r="AQ290" i="8" s="1"/>
  <c r="AR290" i="8" s="1"/>
  <c r="W290" i="8"/>
  <c r="AK306" i="12"/>
  <c r="AJ306" i="12"/>
  <c r="Z306" i="12"/>
  <c r="X218" i="8"/>
  <c r="Z218" i="8" s="1"/>
  <c r="AI218" i="8" s="1"/>
  <c r="AQ218" i="8" s="1"/>
  <c r="AR218" i="8" s="1"/>
  <c r="W218" i="8"/>
  <c r="W6" i="8"/>
  <c r="Z179" i="8"/>
  <c r="AI179" i="8" s="1"/>
  <c r="AQ179" i="8" s="1"/>
  <c r="AR179" i="8" s="1"/>
  <c r="V340" i="12"/>
  <c r="Q340" i="12"/>
  <c r="AG340" i="12" s="1"/>
  <c r="AF340" i="12"/>
  <c r="X34" i="8"/>
  <c r="Z34" i="8" s="1"/>
  <c r="AI34" i="8" s="1"/>
  <c r="AQ34" i="8" s="1"/>
  <c r="AR34" i="8" s="1"/>
  <c r="W34" i="8"/>
  <c r="AQ226" i="8"/>
  <c r="AR226" i="8" s="1"/>
  <c r="U299" i="8"/>
  <c r="V299" i="8"/>
  <c r="Y299" i="8" s="1"/>
  <c r="R81" i="13"/>
  <c r="J81" i="13"/>
  <c r="H81" i="13"/>
  <c r="U275" i="8"/>
  <c r="V275" i="8"/>
  <c r="Y275" i="8" s="1"/>
  <c r="AJ243" i="12"/>
  <c r="Z243" i="12"/>
  <c r="AA243" i="12" s="1"/>
  <c r="AC243" i="12" s="1"/>
  <c r="AI243" i="12"/>
  <c r="AK282" i="12"/>
  <c r="AI282" i="12"/>
  <c r="Z282" i="12"/>
  <c r="AC85" i="8"/>
  <c r="AB85" i="8"/>
  <c r="AP85" i="8"/>
  <c r="AD85" i="8"/>
  <c r="AA85" i="8"/>
  <c r="AJ85" i="8"/>
  <c r="AK85" i="8"/>
  <c r="O85" i="12"/>
  <c r="R124" i="13"/>
  <c r="J124" i="13"/>
  <c r="H124" i="13"/>
  <c r="Z7" i="12"/>
  <c r="AK7" i="12"/>
  <c r="AJ7" i="12"/>
  <c r="O317" i="12"/>
  <c r="AD317" i="8"/>
  <c r="AB317" i="8"/>
  <c r="AP317" i="8"/>
  <c r="AC317" i="8"/>
  <c r="AA317" i="8"/>
  <c r="AK317" i="8"/>
  <c r="AJ317" i="8"/>
  <c r="O317" i="8"/>
  <c r="R317" i="8" s="1"/>
  <c r="V317" i="8" s="1"/>
  <c r="Y317" i="8" s="1"/>
  <c r="V236" i="12"/>
  <c r="AF236" i="12"/>
  <c r="Q236" i="12"/>
  <c r="AG236" i="12" s="1"/>
  <c r="R288" i="13"/>
  <c r="J288" i="13"/>
  <c r="H288" i="13"/>
  <c r="Q90" i="12"/>
  <c r="AG90" i="12" s="1"/>
  <c r="V90" i="12"/>
  <c r="Y90" i="12" s="1"/>
  <c r="AA90" i="12" s="1"/>
  <c r="AC90" i="12" s="1"/>
  <c r="AF90" i="12"/>
  <c r="R223" i="13"/>
  <c r="J223" i="13"/>
  <c r="H223" i="13"/>
  <c r="J309" i="13"/>
  <c r="P309" i="13" s="1"/>
  <c r="R309" i="13"/>
  <c r="X309" i="13" s="1"/>
  <c r="I309" i="12" s="1"/>
  <c r="J309" i="12" s="1"/>
  <c r="K309" i="12" s="1"/>
  <c r="AJ125" i="12"/>
  <c r="AI125" i="12"/>
  <c r="AA125" i="12"/>
  <c r="Z125" i="12"/>
  <c r="AK125" i="12"/>
  <c r="AK192" i="12"/>
  <c r="Z192" i="12"/>
  <c r="AJ192" i="12"/>
  <c r="V298" i="12"/>
  <c r="AF298" i="12"/>
  <c r="Q298" i="12"/>
  <c r="AG298" i="12" s="1"/>
  <c r="X278" i="8"/>
  <c r="Z278" i="8" s="1"/>
  <c r="AI278" i="8" s="1"/>
  <c r="AQ278" i="8" s="1"/>
  <c r="AR278" i="8" s="1"/>
  <c r="W278" i="8"/>
  <c r="Z145" i="12"/>
  <c r="AK145" i="12"/>
  <c r="AJ145" i="12"/>
  <c r="V237" i="12"/>
  <c r="Q237" i="12"/>
  <c r="AG237" i="12" s="1"/>
  <c r="AF237" i="12"/>
  <c r="V43" i="12"/>
  <c r="AF43" i="12"/>
  <c r="Q43" i="12"/>
  <c r="AG43" i="12" s="1"/>
  <c r="U172" i="8"/>
  <c r="V9" i="8"/>
  <c r="Y9" i="8" s="1"/>
  <c r="U9" i="8"/>
  <c r="V184" i="8"/>
  <c r="Y184" i="8" s="1"/>
  <c r="U184" i="8"/>
  <c r="X29" i="8"/>
  <c r="Z29" i="8" s="1"/>
  <c r="W29" i="8"/>
  <c r="Q288" i="12"/>
  <c r="AG288" i="12" s="1"/>
  <c r="AA288" i="12"/>
  <c r="AF288" i="12"/>
  <c r="V288" i="12"/>
  <c r="AK32" i="12"/>
  <c r="AJ32" i="12"/>
  <c r="Z32" i="12"/>
  <c r="H145" i="13"/>
  <c r="R145" i="13"/>
  <c r="J145" i="13"/>
  <c r="AJ81" i="12"/>
  <c r="AI81" i="12"/>
  <c r="Z81" i="12"/>
  <c r="V95" i="12"/>
  <c r="Y95" i="12" s="1"/>
  <c r="Q95" i="12"/>
  <c r="AG95" i="12" s="1"/>
  <c r="AF95" i="12"/>
  <c r="V327" i="12"/>
  <c r="AA327" i="12"/>
  <c r="Q327" i="12"/>
  <c r="AG327" i="12" s="1"/>
  <c r="AF327" i="12"/>
  <c r="O195" i="12"/>
  <c r="AC195" i="8"/>
  <c r="AD195" i="8"/>
  <c r="AP195" i="8"/>
  <c r="AB195" i="8"/>
  <c r="AA195" i="8"/>
  <c r="U195" i="8"/>
  <c r="AJ195" i="8"/>
  <c r="AK195" i="8"/>
  <c r="O195" i="8"/>
  <c r="R195" i="8" s="1"/>
  <c r="V195" i="8" s="1"/>
  <c r="Y195" i="8" s="1"/>
  <c r="AF271" i="12"/>
  <c r="AA271" i="12"/>
  <c r="Q271" i="12"/>
  <c r="AG271" i="12" s="1"/>
  <c r="V271" i="12"/>
  <c r="AF137" i="12"/>
  <c r="V137" i="12"/>
  <c r="Q137" i="12"/>
  <c r="AG137" i="12" s="1"/>
  <c r="X27" i="8"/>
  <c r="Z27" i="8" s="1"/>
  <c r="AI27" i="8" s="1"/>
  <c r="AQ27" i="8" s="1"/>
  <c r="AR27" i="8" s="1"/>
  <c r="W27" i="8"/>
  <c r="X89" i="8"/>
  <c r="Z89" i="8" s="1"/>
  <c r="AI89" i="8" s="1"/>
  <c r="AQ89" i="8" s="1"/>
  <c r="AR89" i="8" s="1"/>
  <c r="W89" i="8"/>
  <c r="V89" i="12"/>
  <c r="AF89" i="12"/>
  <c r="Q89" i="12"/>
  <c r="AG89" i="12" s="1"/>
  <c r="R356" i="13"/>
  <c r="J356" i="13"/>
  <c r="H356" i="13"/>
  <c r="O289" i="12"/>
  <c r="AP289" i="8"/>
  <c r="AD289" i="8"/>
  <c r="AC289" i="8"/>
  <c r="AB289" i="8"/>
  <c r="AA289" i="8"/>
  <c r="V289" i="8"/>
  <c r="Y289" i="8" s="1"/>
  <c r="U289" i="8"/>
  <c r="AK289" i="8"/>
  <c r="O289" i="8"/>
  <c r="R289" i="8" s="1"/>
  <c r="AJ289" i="8"/>
  <c r="O198" i="12"/>
  <c r="AP198" i="8"/>
  <c r="AC198" i="8"/>
  <c r="AB198" i="8"/>
  <c r="AD198" i="8"/>
  <c r="AA198" i="8"/>
  <c r="V198" i="8"/>
  <c r="Y198" i="8" s="1"/>
  <c r="AJ198" i="8"/>
  <c r="AK198" i="8"/>
  <c r="U198" i="8"/>
  <c r="AK80" i="12"/>
  <c r="AI80" i="12"/>
  <c r="Z80" i="12"/>
  <c r="AK175" i="12"/>
  <c r="AI175" i="12"/>
  <c r="Z175" i="12"/>
  <c r="Y353" i="12"/>
  <c r="R163" i="13"/>
  <c r="J163" i="13"/>
  <c r="H163" i="13"/>
  <c r="Z94" i="12"/>
  <c r="AK94" i="12"/>
  <c r="AJ94" i="12"/>
  <c r="X207" i="8"/>
  <c r="Z207" i="8" s="1"/>
  <c r="AI207" i="8" s="1"/>
  <c r="AQ207" i="8" s="1"/>
  <c r="AR207" i="8" s="1"/>
  <c r="W207" i="8"/>
  <c r="X126" i="8"/>
  <c r="Z126" i="8" s="1"/>
  <c r="AI126" i="8" s="1"/>
  <c r="AQ126" i="8" s="1"/>
  <c r="AR126" i="8" s="1"/>
  <c r="W126" i="8"/>
  <c r="O97" i="12"/>
  <c r="AD97" i="8"/>
  <c r="AC97" i="8"/>
  <c r="AB97" i="8"/>
  <c r="AP97" i="8"/>
  <c r="AA97" i="8"/>
  <c r="V97" i="8"/>
  <c r="Y97" i="8" s="1"/>
  <c r="U97" i="8"/>
  <c r="AK97" i="8"/>
  <c r="AJ97" i="8"/>
  <c r="X191" i="8"/>
  <c r="Z191" i="8" s="1"/>
  <c r="AI191" i="8" s="1"/>
  <c r="AQ191" i="8" s="1"/>
  <c r="AR191" i="8" s="1"/>
  <c r="W191" i="8"/>
  <c r="R21" i="13"/>
  <c r="X21" i="13" s="1"/>
  <c r="I21" i="12" s="1"/>
  <c r="J21" i="12" s="1"/>
  <c r="K21" i="12" s="1"/>
  <c r="J21" i="13"/>
  <c r="P21" i="13" s="1"/>
  <c r="R170" i="13"/>
  <c r="J170" i="13"/>
  <c r="H170" i="13"/>
  <c r="F106" i="13"/>
  <c r="F106" i="12"/>
  <c r="V143" i="8"/>
  <c r="Y143" i="8" s="1"/>
  <c r="U143" i="8"/>
  <c r="AO272" i="12"/>
  <c r="O180" i="12"/>
  <c r="AB180" i="8"/>
  <c r="AP180" i="8"/>
  <c r="AD180" i="8"/>
  <c r="AC180" i="8"/>
  <c r="AA180" i="8"/>
  <c r="AJ180" i="8"/>
  <c r="AK180" i="8"/>
  <c r="P180" i="8"/>
  <c r="R180" i="8" s="1"/>
  <c r="U180" i="8" s="1"/>
  <c r="H30" i="13"/>
  <c r="R30" i="13"/>
  <c r="J30" i="13"/>
  <c r="R151" i="13"/>
  <c r="J151" i="13"/>
  <c r="H151" i="13"/>
  <c r="AF361" i="8"/>
  <c r="F300" i="13"/>
  <c r="F300" i="12"/>
  <c r="R17" i="13"/>
  <c r="X17" i="13" s="1"/>
  <c r="I17" i="12" s="1"/>
  <c r="J17" i="12" s="1"/>
  <c r="J17" i="13"/>
  <c r="P17" i="13" s="1"/>
  <c r="R319" i="13"/>
  <c r="J319" i="13"/>
  <c r="H319" i="13"/>
  <c r="J79" i="13"/>
  <c r="R79" i="13"/>
  <c r="H79" i="13"/>
  <c r="R141" i="13"/>
  <c r="X141" i="13" s="1"/>
  <c r="I141" i="12" s="1"/>
  <c r="J141" i="12" s="1"/>
  <c r="J141" i="13"/>
  <c r="P141" i="13" s="1"/>
  <c r="X265" i="13"/>
  <c r="I265" i="12" s="1"/>
  <c r="J265" i="12" s="1"/>
  <c r="K265" i="12" s="1"/>
  <c r="Q32" i="12"/>
  <c r="AG32" i="12" s="1"/>
  <c r="AA32" i="12"/>
  <c r="AC32" i="12" s="1"/>
  <c r="AF32" i="12"/>
  <c r="V32" i="12"/>
  <c r="Y32" i="12" s="1"/>
  <c r="AK183" i="12"/>
  <c r="AJ183" i="12"/>
  <c r="Z183" i="12"/>
  <c r="P295" i="8"/>
  <c r="R295" i="8" s="1"/>
  <c r="U295" i="8" s="1"/>
  <c r="AK159" i="12"/>
  <c r="Z159" i="12"/>
  <c r="AJ159" i="12"/>
  <c r="V253" i="8"/>
  <c r="Y253" i="8" s="1"/>
  <c r="AH330" i="12"/>
  <c r="AI330" i="12" s="1"/>
  <c r="U121" i="8"/>
  <c r="AF121" i="12"/>
  <c r="V121" i="12"/>
  <c r="Q121" i="12"/>
  <c r="AG121" i="12" s="1"/>
  <c r="U73" i="8"/>
  <c r="AF38" i="12"/>
  <c r="V38" i="12"/>
  <c r="Q38" i="12"/>
  <c r="AG38" i="12" s="1"/>
  <c r="AF229" i="12"/>
  <c r="V229" i="12"/>
  <c r="Q229" i="12"/>
  <c r="AG229" i="12" s="1"/>
  <c r="O122" i="12"/>
  <c r="AP122" i="8"/>
  <c r="AD122" i="8"/>
  <c r="AC122" i="8"/>
  <c r="AB122" i="8"/>
  <c r="AA122" i="8"/>
  <c r="V122" i="8"/>
  <c r="Y122" i="8" s="1"/>
  <c r="AK122" i="8"/>
  <c r="U122" i="8"/>
  <c r="AJ122" i="8"/>
  <c r="H258" i="13"/>
  <c r="R258" i="13"/>
  <c r="J258" i="13"/>
  <c r="O228" i="12"/>
  <c r="AD228" i="8"/>
  <c r="AC228" i="8"/>
  <c r="AP228" i="8"/>
  <c r="AB228" i="8"/>
  <c r="AA228" i="8"/>
  <c r="AJ228" i="8"/>
  <c r="U228" i="8"/>
  <c r="AK228" i="8"/>
  <c r="V228" i="8"/>
  <c r="Y228" i="8" s="1"/>
  <c r="AI338" i="12"/>
  <c r="Z338" i="12"/>
  <c r="AK338" i="12"/>
  <c r="F85" i="13"/>
  <c r="F85" i="12"/>
  <c r="V147" i="12"/>
  <c r="AF147" i="12"/>
  <c r="Q147" i="12"/>
  <c r="AG147" i="12" s="1"/>
  <c r="AI22" i="12"/>
  <c r="AJ22" i="12"/>
  <c r="Z22" i="12"/>
  <c r="R312" i="13"/>
  <c r="J312" i="13"/>
  <c r="H312" i="13"/>
  <c r="H62" i="13"/>
  <c r="R62" i="13"/>
  <c r="J62" i="13"/>
  <c r="X308" i="8"/>
  <c r="Z308" i="8" s="1"/>
  <c r="AI308" i="8" s="1"/>
  <c r="AQ308" i="8" s="1"/>
  <c r="AR308" i="8" s="1"/>
  <c r="W308" i="8"/>
  <c r="Q308" i="12"/>
  <c r="AG308" i="12" s="1"/>
  <c r="V308" i="12"/>
  <c r="AF308" i="12"/>
  <c r="F154" i="13"/>
  <c r="F154" i="12"/>
  <c r="R42" i="13"/>
  <c r="J42" i="13"/>
  <c r="H42" i="13"/>
  <c r="Q5" i="12"/>
  <c r="AG5" i="12" s="1"/>
  <c r="AF5" i="12"/>
  <c r="V5" i="12"/>
  <c r="R16" i="13"/>
  <c r="J16" i="13"/>
  <c r="H16" i="13"/>
  <c r="R15" i="13"/>
  <c r="X15" i="13" s="1"/>
  <c r="I15" i="12" s="1"/>
  <c r="J15" i="12" s="1"/>
  <c r="K15" i="12" s="1"/>
  <c r="J15" i="13"/>
  <c r="P15" i="13" s="1"/>
  <c r="Z108" i="12"/>
  <c r="AJ108" i="12"/>
  <c r="AI108" i="12"/>
  <c r="AK49" i="12"/>
  <c r="AJ49" i="12"/>
  <c r="Z49" i="12"/>
  <c r="W309" i="8"/>
  <c r="X309" i="8"/>
  <c r="Z309" i="8" s="1"/>
  <c r="AI309" i="8" s="1"/>
  <c r="AQ309" i="8" s="1"/>
  <c r="AR309" i="8" s="1"/>
  <c r="AK299" i="12"/>
  <c r="AJ299" i="12"/>
  <c r="AA299" i="12"/>
  <c r="Z299" i="12"/>
  <c r="AI299" i="12"/>
  <c r="V159" i="12"/>
  <c r="AA159" i="12"/>
  <c r="Q159" i="12"/>
  <c r="AG159" i="12" s="1"/>
  <c r="AF159" i="12"/>
  <c r="AJ165" i="12"/>
  <c r="Z165" i="12"/>
  <c r="AK165" i="12"/>
  <c r="R303" i="13"/>
  <c r="J303" i="13"/>
  <c r="H303" i="13"/>
  <c r="V276" i="8"/>
  <c r="Y276" i="8" s="1"/>
  <c r="AJ287" i="12"/>
  <c r="Z287" i="12"/>
  <c r="AI287" i="12"/>
  <c r="O91" i="12"/>
  <c r="AP91" i="8"/>
  <c r="AD91" i="8"/>
  <c r="AC91" i="8"/>
  <c r="AB91" i="8"/>
  <c r="AA91" i="8"/>
  <c r="AK91" i="8"/>
  <c r="AJ91" i="8"/>
  <c r="R293" i="13"/>
  <c r="J293" i="13"/>
  <c r="H293" i="13"/>
  <c r="Q35" i="12"/>
  <c r="AG35" i="12" s="1"/>
  <c r="AF35" i="12"/>
  <c r="V35" i="12"/>
  <c r="U65" i="8"/>
  <c r="V65" i="12"/>
  <c r="Y65" i="12" s="1"/>
  <c r="AF65" i="12"/>
  <c r="Q65" i="12"/>
  <c r="AG65" i="12" s="1"/>
  <c r="AA65" i="12"/>
  <c r="AC65" i="12" s="1"/>
  <c r="V140" i="12"/>
  <c r="Q140" i="12"/>
  <c r="AG140" i="12" s="1"/>
  <c r="AF140" i="12"/>
  <c r="AK290" i="12"/>
  <c r="Z290" i="12"/>
  <c r="AI290" i="12"/>
  <c r="R56" i="13"/>
  <c r="J56" i="13"/>
  <c r="H56" i="13"/>
  <c r="Z348" i="12"/>
  <c r="AK348" i="12"/>
  <c r="AJ348" i="12"/>
  <c r="X131" i="8"/>
  <c r="M25" i="14"/>
  <c r="L559" i="14"/>
  <c r="O328" i="12"/>
  <c r="AP328" i="8"/>
  <c r="AD328" i="8"/>
  <c r="AC328" i="8"/>
  <c r="AB328" i="8"/>
  <c r="AA328" i="8"/>
  <c r="O328" i="8"/>
  <c r="R328" i="8" s="1"/>
  <c r="V328" i="8" s="1"/>
  <c r="Y328" i="8" s="1"/>
  <c r="AK328" i="8"/>
  <c r="AJ328" i="8"/>
  <c r="T58" i="13"/>
  <c r="L58" i="13"/>
  <c r="S58" i="13"/>
  <c r="K58" i="13"/>
  <c r="W58" i="13"/>
  <c r="O58" i="13"/>
  <c r="V58" i="13"/>
  <c r="X58" i="13" s="1"/>
  <c r="I58" i="12" s="1"/>
  <c r="J58" i="12" s="1"/>
  <c r="N58" i="13"/>
  <c r="U58" i="13"/>
  <c r="M58" i="13"/>
  <c r="X13" i="8"/>
  <c r="Z13" i="8" s="1"/>
  <c r="AI13" i="8" s="1"/>
  <c r="AQ13" i="8" s="1"/>
  <c r="AR13" i="8" s="1"/>
  <c r="W13" i="8"/>
  <c r="Z315" i="12"/>
  <c r="AK315" i="12"/>
  <c r="AJ315" i="12"/>
  <c r="AI208" i="8"/>
  <c r="AQ208" i="8" s="1"/>
  <c r="AR208" i="8" s="1"/>
  <c r="AA201" i="12"/>
  <c r="AF201" i="12"/>
  <c r="V201" i="12"/>
  <c r="Q201" i="12"/>
  <c r="AG201" i="12" s="1"/>
  <c r="AJ324" i="12"/>
  <c r="AI324" i="12"/>
  <c r="Z324" i="12"/>
  <c r="AF202" i="12"/>
  <c r="V202" i="12"/>
  <c r="Q202" i="12"/>
  <c r="AG202" i="12" s="1"/>
  <c r="V63" i="12"/>
  <c r="Y63" i="12" s="1"/>
  <c r="AA63" i="12" s="1"/>
  <c r="AC63" i="12" s="1"/>
  <c r="AF63" i="12"/>
  <c r="Q63" i="12"/>
  <c r="AG63" i="12" s="1"/>
  <c r="AK331" i="12"/>
  <c r="Z331" i="12"/>
  <c r="AI331" i="12"/>
  <c r="AK119" i="12"/>
  <c r="AJ119" i="12"/>
  <c r="Z119" i="12"/>
  <c r="Q170" i="12"/>
  <c r="AG170" i="12" s="1"/>
  <c r="AF170" i="12"/>
  <c r="V170" i="12"/>
  <c r="Y170" i="12" s="1"/>
  <c r="AA170" i="12" s="1"/>
  <c r="AC170" i="12" s="1"/>
  <c r="U236" i="8"/>
  <c r="X118" i="8"/>
  <c r="Z118" i="8" s="1"/>
  <c r="AI118" i="8" s="1"/>
  <c r="AQ118" i="8" s="1"/>
  <c r="AR118" i="8" s="1"/>
  <c r="W118" i="8"/>
  <c r="V281" i="12"/>
  <c r="Q281" i="12"/>
  <c r="AG281" i="12" s="1"/>
  <c r="AF281" i="12"/>
  <c r="F25" i="13"/>
  <c r="F25" i="12"/>
  <c r="AK245" i="12"/>
  <c r="AJ245" i="12"/>
  <c r="Z245" i="12"/>
  <c r="O154" i="12"/>
  <c r="AP154" i="8"/>
  <c r="AD154" i="8"/>
  <c r="AC154" i="8"/>
  <c r="AB154" i="8"/>
  <c r="AK154" i="8"/>
  <c r="O154" i="8"/>
  <c r="R154" i="8" s="1"/>
  <c r="V154" i="8"/>
  <c r="Y154" i="8" s="1"/>
  <c r="U154" i="8"/>
  <c r="AJ154" i="8"/>
  <c r="AA154" i="8"/>
  <c r="R147" i="13"/>
  <c r="J147" i="13"/>
  <c r="H147" i="13"/>
  <c r="AK139" i="12"/>
  <c r="AJ139" i="12"/>
  <c r="Z139" i="12"/>
  <c r="R229" i="13"/>
  <c r="J229" i="13"/>
  <c r="H229" i="13"/>
  <c r="W47" i="8"/>
  <c r="X47" i="8"/>
  <c r="Z47" i="8" s="1"/>
  <c r="AI47" i="8" s="1"/>
  <c r="AQ47" i="8" s="1"/>
  <c r="AR47" i="8" s="1"/>
  <c r="V79" i="12"/>
  <c r="AF79" i="12"/>
  <c r="Q79" i="12"/>
  <c r="AG79" i="12" s="1"/>
  <c r="V327" i="8"/>
  <c r="Y327" i="8" s="1"/>
  <c r="R34" i="13"/>
  <c r="J34" i="13"/>
  <c r="H34" i="13"/>
  <c r="R27" i="13"/>
  <c r="X27" i="13" s="1"/>
  <c r="I27" i="12" s="1"/>
  <c r="J27" i="12" s="1"/>
  <c r="K27" i="12" s="1"/>
  <c r="J27" i="13"/>
  <c r="P27" i="13" s="1"/>
  <c r="R158" i="13"/>
  <c r="J158" i="13"/>
  <c r="H158" i="13"/>
  <c r="P264" i="8"/>
  <c r="R264" i="8" s="1"/>
  <c r="U264" i="8" s="1"/>
  <c r="AK117" i="12"/>
  <c r="Z117" i="12"/>
  <c r="AJ117" i="12"/>
  <c r="X76" i="8"/>
  <c r="Z76" i="8" s="1"/>
  <c r="AI76" i="8" s="1"/>
  <c r="AQ76" i="8" s="1"/>
  <c r="AR76" i="8" s="1"/>
  <c r="W76" i="8"/>
  <c r="R88" i="13"/>
  <c r="X88" i="13" s="1"/>
  <c r="I88" i="12" s="1"/>
  <c r="J88" i="12" s="1"/>
  <c r="J88" i="13"/>
  <c r="P88" i="13" s="1"/>
  <c r="Q352" i="12"/>
  <c r="AG352" i="12" s="1"/>
  <c r="AF352" i="12"/>
  <c r="V352" i="12"/>
  <c r="F188" i="13"/>
  <c r="F188" i="12"/>
  <c r="V145" i="12"/>
  <c r="AF145" i="12"/>
  <c r="Q145" i="12"/>
  <c r="AG145" i="12" s="1"/>
  <c r="H349" i="13"/>
  <c r="R349" i="13"/>
  <c r="J349" i="13"/>
  <c r="AA11" i="12"/>
  <c r="Q11" i="12"/>
  <c r="AG11" i="12" s="1"/>
  <c r="AF11" i="12"/>
  <c r="V11" i="12"/>
  <c r="R198" i="13"/>
  <c r="X198" i="13" s="1"/>
  <c r="I198" i="12" s="1"/>
  <c r="J198" i="12" s="1"/>
  <c r="K198" i="12" s="1"/>
  <c r="J198" i="13"/>
  <c r="P198" i="13" s="1"/>
  <c r="O342" i="12"/>
  <c r="AB342" i="8"/>
  <c r="AP342" i="8"/>
  <c r="AD342" i="8"/>
  <c r="AC342" i="8"/>
  <c r="AA342" i="8"/>
  <c r="AK342" i="8"/>
  <c r="AJ342" i="8"/>
  <c r="O342" i="8"/>
  <c r="R342" i="8" s="1"/>
  <c r="V342" i="8" s="1"/>
  <c r="Y342" i="8" s="1"/>
  <c r="AI350" i="12"/>
  <c r="Z350" i="12"/>
  <c r="AK350" i="12"/>
  <c r="AJ90" i="12"/>
  <c r="Z90" i="12"/>
  <c r="AI90" i="12"/>
  <c r="AP104" i="12"/>
  <c r="X104" i="12"/>
  <c r="AQ104" i="12"/>
  <c r="AE104" i="12"/>
  <c r="AB104" i="12"/>
  <c r="R339" i="13"/>
  <c r="J339" i="13"/>
  <c r="H339" i="13"/>
  <c r="Q292" i="12"/>
  <c r="AG292" i="12" s="1"/>
  <c r="AF292" i="12"/>
  <c r="V292" i="12"/>
  <c r="AA292" i="12"/>
  <c r="Q16" i="12"/>
  <c r="AG16" i="12" s="1"/>
  <c r="AF16" i="12"/>
  <c r="V16" i="12"/>
  <c r="V117" i="8"/>
  <c r="Y117" i="8" s="1"/>
  <c r="U117" i="8"/>
  <c r="H206" i="13"/>
  <c r="R206" i="13"/>
  <c r="J206" i="13"/>
  <c r="R129" i="13"/>
  <c r="J129" i="13"/>
  <c r="H129" i="13"/>
  <c r="R135" i="13"/>
  <c r="J135" i="13"/>
  <c r="H135" i="13"/>
  <c r="AK235" i="12"/>
  <c r="AI235" i="12"/>
  <c r="Z235" i="12"/>
  <c r="AA235" i="12"/>
  <c r="AJ235" i="12"/>
  <c r="AI345" i="12"/>
  <c r="Z345" i="12"/>
  <c r="AA345" i="12" s="1"/>
  <c r="AC345" i="12" s="1"/>
  <c r="AK345" i="12"/>
  <c r="Q64" i="12"/>
  <c r="AG64" i="12" s="1"/>
  <c r="AA64" i="12"/>
  <c r="V64" i="12"/>
  <c r="AF64" i="12"/>
  <c r="Z353" i="12"/>
  <c r="AK353" i="12"/>
  <c r="AJ353" i="12"/>
  <c r="R26" i="13"/>
  <c r="H26" i="13"/>
  <c r="J26" i="13"/>
  <c r="O204" i="12"/>
  <c r="AD204" i="8"/>
  <c r="AP204" i="8"/>
  <c r="AC204" i="8"/>
  <c r="AB204" i="8"/>
  <c r="AA204" i="8"/>
  <c r="AK204" i="8"/>
  <c r="O204" i="8"/>
  <c r="R204" i="8" s="1"/>
  <c r="V204" i="8" s="1"/>
  <c r="Y204" i="8" s="1"/>
  <c r="AJ204" i="8"/>
  <c r="X162" i="8"/>
  <c r="Z162" i="8" s="1"/>
  <c r="AI162" i="8" s="1"/>
  <c r="AQ162" i="8" s="1"/>
  <c r="AR162" i="8" s="1"/>
  <c r="W162" i="8"/>
  <c r="AK301" i="12"/>
  <c r="AJ301" i="12"/>
  <c r="Z301" i="12"/>
  <c r="V56" i="12"/>
  <c r="AF56" i="12"/>
  <c r="Q56" i="12"/>
  <c r="AG56" i="12" s="1"/>
  <c r="AF276" i="12"/>
  <c r="AH276" i="12" s="1"/>
  <c r="V276" i="12"/>
  <c r="Y276" i="12" s="1"/>
  <c r="Q276" i="12"/>
  <c r="AG276" i="12" s="1"/>
  <c r="X60" i="8"/>
  <c r="Z60" i="8" s="1"/>
  <c r="AI60" i="8" s="1"/>
  <c r="AQ60" i="8" s="1"/>
  <c r="W60" i="8"/>
  <c r="Z288" i="8"/>
  <c r="AI288" i="8" s="1"/>
  <c r="AQ288" i="8" s="1"/>
  <c r="X252" i="8"/>
  <c r="Z252" i="8" s="1"/>
  <c r="AI252" i="8" s="1"/>
  <c r="AQ252" i="8" s="1"/>
  <c r="AR252" i="8" s="1"/>
  <c r="W252" i="8"/>
  <c r="R306" i="13"/>
  <c r="J306" i="13"/>
  <c r="H306" i="13"/>
  <c r="R148" i="8"/>
  <c r="Z6" i="8"/>
  <c r="AI6" i="8" s="1"/>
  <c r="AQ6" i="8" s="1"/>
  <c r="AR6" i="8" s="1"/>
  <c r="X266" i="8"/>
  <c r="Z266" i="8" s="1"/>
  <c r="AI266" i="8" s="1"/>
  <c r="AQ266" i="8" s="1"/>
  <c r="AR266" i="8" s="1"/>
  <c r="W266" i="8"/>
  <c r="W70" i="8"/>
  <c r="R32" i="13"/>
  <c r="J32" i="13"/>
  <c r="H32" i="13"/>
  <c r="AK238" i="12"/>
  <c r="AJ238" i="12"/>
  <c r="Z238" i="12"/>
  <c r="X318" i="8"/>
  <c r="Z318" i="8" s="1"/>
  <c r="AI318" i="8" s="1"/>
  <c r="AQ318" i="8" s="1"/>
  <c r="AR318" i="8" s="1"/>
  <c r="W318" i="8"/>
  <c r="V172" i="12"/>
  <c r="Y172" i="12" s="1"/>
  <c r="AA172" i="12" s="1"/>
  <c r="AC172" i="12" s="1"/>
  <c r="AF172" i="12"/>
  <c r="Q172" i="12"/>
  <c r="AG172" i="12" s="1"/>
  <c r="Q80" i="12"/>
  <c r="AG80" i="12" s="1"/>
  <c r="AF80" i="12"/>
  <c r="V80" i="12"/>
  <c r="O27" i="12"/>
  <c r="AD23" i="8"/>
  <c r="AC23" i="8"/>
  <c r="AB23" i="8"/>
  <c r="AP23" i="8"/>
  <c r="AA23" i="8"/>
  <c r="AK23" i="8"/>
  <c r="AJ23" i="8"/>
  <c r="O23" i="8"/>
  <c r="R23" i="8" s="1"/>
  <c r="V23" i="8" s="1"/>
  <c r="Y23" i="8" s="1"/>
  <c r="V293" i="8"/>
  <c r="Y293" i="8" s="1"/>
  <c r="U293" i="8"/>
  <c r="AA17" i="12"/>
  <c r="AC17" i="12" s="1"/>
  <c r="Q17" i="12"/>
  <c r="AG17" i="12" s="1"/>
  <c r="AF17" i="12"/>
  <c r="V17" i="12"/>
  <c r="Y17" i="12" s="1"/>
  <c r="AK288" i="12"/>
  <c r="AJ288" i="12"/>
  <c r="Z288" i="12"/>
  <c r="AI179" i="12"/>
  <c r="Z179" i="12"/>
  <c r="AJ179" i="12"/>
  <c r="O197" i="12"/>
  <c r="AB197" i="8"/>
  <c r="AD197" i="8"/>
  <c r="AC197" i="8"/>
  <c r="AP197" i="8"/>
  <c r="AA197" i="8"/>
  <c r="V197" i="8"/>
  <c r="Y197" i="8" s="1"/>
  <c r="AK197" i="8"/>
  <c r="AJ197" i="8"/>
  <c r="U197" i="8"/>
  <c r="X75" i="8"/>
  <c r="Z75" i="8" s="1"/>
  <c r="AI75" i="8" s="1"/>
  <c r="AQ75" i="8" s="1"/>
  <c r="AR75" i="8" s="1"/>
  <c r="W75" i="8"/>
  <c r="Z223" i="12"/>
  <c r="AJ223" i="12"/>
  <c r="AK223" i="12"/>
  <c r="AF76" i="12"/>
  <c r="V76" i="12"/>
  <c r="Y76" i="12" s="1"/>
  <c r="AA76" i="12"/>
  <c r="AC76" i="12" s="1"/>
  <c r="Q76" i="12"/>
  <c r="AG76" i="12" s="1"/>
  <c r="Q126" i="12"/>
  <c r="AG126" i="12" s="1"/>
  <c r="AF126" i="12"/>
  <c r="V126" i="12"/>
  <c r="AA126" i="12"/>
  <c r="AA269" i="12"/>
  <c r="Q269" i="12"/>
  <c r="AG269" i="12" s="1"/>
  <c r="AF269" i="12"/>
  <c r="V269" i="12"/>
  <c r="X335" i="8"/>
  <c r="Z335" i="8" s="1"/>
  <c r="AI335" i="8" s="1"/>
  <c r="AQ335" i="8" s="1"/>
  <c r="AR335" i="8" s="1"/>
  <c r="W335" i="8"/>
  <c r="V63" i="8"/>
  <c r="Y63" i="8" s="1"/>
  <c r="U63" i="8"/>
  <c r="R183" i="13"/>
  <c r="J183" i="13"/>
  <c r="H183" i="13"/>
  <c r="R159" i="13"/>
  <c r="J159" i="13"/>
  <c r="H159" i="13"/>
  <c r="Q253" i="12"/>
  <c r="AG253" i="12" s="1"/>
  <c r="AF253" i="12"/>
  <c r="V253" i="12"/>
  <c r="AF45" i="12"/>
  <c r="V45" i="12"/>
  <c r="Q45" i="12"/>
  <c r="AG45" i="12" s="1"/>
  <c r="F294" i="13"/>
  <c r="F294" i="12"/>
  <c r="F10" i="13"/>
  <c r="F10" i="12"/>
  <c r="AK309" i="12"/>
  <c r="AI309" i="12"/>
  <c r="Z309" i="12"/>
  <c r="O216" i="12"/>
  <c r="AP216" i="8"/>
  <c r="AD216" i="8"/>
  <c r="AC216" i="8"/>
  <c r="AB216" i="8"/>
  <c r="AA216" i="8"/>
  <c r="O216" i="8"/>
  <c r="R216" i="8" s="1"/>
  <c r="V216" i="8" s="1"/>
  <c r="Y216" i="8" s="1"/>
  <c r="U216" i="8"/>
  <c r="AJ216" i="8"/>
  <c r="AK216" i="8"/>
  <c r="Q199" i="12"/>
  <c r="AG199" i="12" s="1"/>
  <c r="AF199" i="12"/>
  <c r="V199" i="12"/>
  <c r="R338" i="13"/>
  <c r="J338" i="13"/>
  <c r="H338" i="13"/>
  <c r="AI101" i="8"/>
  <c r="AQ101" i="8" s="1"/>
  <c r="S174" i="12"/>
  <c r="U174" i="12" s="1"/>
  <c r="X147" i="8"/>
  <c r="Z147" i="8" s="1"/>
  <c r="AI147" i="8" s="1"/>
  <c r="AQ147" i="8" s="1"/>
  <c r="AR147" i="8" s="1"/>
  <c r="W147" i="8"/>
  <c r="F68" i="13"/>
  <c r="F68" i="12"/>
  <c r="H22" i="13"/>
  <c r="R22" i="13"/>
  <c r="J22" i="13"/>
  <c r="AK53" i="12"/>
  <c r="Z53" i="12"/>
  <c r="AJ53" i="12"/>
  <c r="O36" i="12"/>
  <c r="AB36" i="8"/>
  <c r="AP36" i="8"/>
  <c r="AD36" i="8"/>
  <c r="AC36" i="8"/>
  <c r="AA36" i="8"/>
  <c r="U36" i="8"/>
  <c r="AJ36" i="8"/>
  <c r="AK36" i="8"/>
  <c r="AJ326" i="12"/>
  <c r="AK326" i="12"/>
  <c r="Z326" i="12"/>
  <c r="W111" i="8"/>
  <c r="X111" i="8"/>
  <c r="Z111" i="8" s="1"/>
  <c r="AI111" i="8" s="1"/>
  <c r="AQ111" i="8" s="1"/>
  <c r="AR111" i="8" s="1"/>
  <c r="Q111" i="12"/>
  <c r="AG111" i="12" s="1"/>
  <c r="AF111" i="12"/>
  <c r="V111" i="12"/>
  <c r="Y111" i="12" s="1"/>
  <c r="V83" i="8"/>
  <c r="Y83" i="8" s="1"/>
  <c r="U83" i="8"/>
  <c r="U336" i="8"/>
  <c r="V336" i="8"/>
  <c r="Y336" i="8" s="1"/>
  <c r="AF41" i="12"/>
  <c r="V41" i="12"/>
  <c r="Q41" i="12"/>
  <c r="AG41" i="12" s="1"/>
  <c r="F354" i="13"/>
  <c r="F354" i="12"/>
  <c r="F328" i="13"/>
  <c r="F328" i="12"/>
  <c r="R108" i="13"/>
  <c r="J108" i="13"/>
  <c r="H108" i="13"/>
  <c r="O93" i="12"/>
  <c r="AC93" i="8"/>
  <c r="AB93" i="8"/>
  <c r="AP93" i="8"/>
  <c r="AD93" i="8"/>
  <c r="AA93" i="8"/>
  <c r="AJ93" i="8"/>
  <c r="AK93" i="8"/>
  <c r="U93" i="8"/>
  <c r="O93" i="8"/>
  <c r="R93" i="8" s="1"/>
  <c r="V93" i="8" s="1"/>
  <c r="Y93" i="8" s="1"/>
  <c r="R49" i="13"/>
  <c r="J49" i="13"/>
  <c r="H49" i="13"/>
  <c r="AK330" i="12"/>
  <c r="AJ330" i="12"/>
  <c r="Z330" i="12"/>
  <c r="AA330" i="12" s="1"/>
  <c r="AC330" i="12" s="1"/>
  <c r="AE70" i="12"/>
  <c r="AH70" i="12" s="1"/>
  <c r="AP70" i="12"/>
  <c r="X70" i="12"/>
  <c r="Y70" i="12" s="1"/>
  <c r="AA70" i="12" s="1"/>
  <c r="AQ70" i="12"/>
  <c r="AB70" i="12"/>
  <c r="J299" i="13"/>
  <c r="R299" i="13"/>
  <c r="H299" i="13"/>
  <c r="Z172" i="12"/>
  <c r="AK172" i="12"/>
  <c r="AJ172" i="12"/>
  <c r="R165" i="13"/>
  <c r="J165" i="13"/>
  <c r="H165" i="13"/>
  <c r="AK60" i="12"/>
  <c r="AJ60" i="12"/>
  <c r="AI60" i="12"/>
  <c r="Z60" i="12"/>
  <c r="AA60" i="12" s="1"/>
  <c r="AC60" i="12" s="1"/>
  <c r="R287" i="13"/>
  <c r="X287" i="13" s="1"/>
  <c r="I287" i="12" s="1"/>
  <c r="J287" i="12" s="1"/>
  <c r="K287" i="12" s="1"/>
  <c r="J287" i="13"/>
  <c r="P287" i="13" s="1"/>
  <c r="P91" i="8"/>
  <c r="R91" i="8" s="1"/>
  <c r="V91" i="8" s="1"/>
  <c r="Y91" i="8" s="1"/>
  <c r="AK307" i="12"/>
  <c r="AJ307" i="12"/>
  <c r="Z307" i="12"/>
  <c r="AA307" i="12" s="1"/>
  <c r="AC307" i="12" s="1"/>
  <c r="U160" i="8"/>
  <c r="V160" i="8"/>
  <c r="Y160" i="8" s="1"/>
  <c r="V330" i="8"/>
  <c r="Y330" i="8" s="1"/>
  <c r="U330" i="8"/>
  <c r="AI323" i="8"/>
  <c r="AQ323" i="8" s="1"/>
  <c r="AR323" i="8" s="1"/>
  <c r="R290" i="13"/>
  <c r="J290" i="13"/>
  <c r="H290" i="13"/>
  <c r="R348" i="13"/>
  <c r="J348" i="13"/>
  <c r="H348" i="13"/>
  <c r="S346" i="13"/>
  <c r="K346" i="13"/>
  <c r="V346" i="13"/>
  <c r="N346" i="13"/>
  <c r="U346" i="13"/>
  <c r="M346" i="13"/>
  <c r="W346" i="13"/>
  <c r="T346" i="13"/>
  <c r="X346" i="13" s="1"/>
  <c r="I346" i="12" s="1"/>
  <c r="J346" i="12" s="1"/>
  <c r="K346" i="12" s="1"/>
  <c r="O346" i="13"/>
  <c r="L346" i="13"/>
  <c r="AK176" i="12"/>
  <c r="Z176" i="12"/>
  <c r="AI176" i="12"/>
  <c r="Z214" i="12"/>
  <c r="AK214" i="12"/>
  <c r="AI214" i="12"/>
  <c r="AH67" i="12"/>
  <c r="AI67" i="12" s="1"/>
  <c r="P58" i="13"/>
  <c r="AJ298" i="12"/>
  <c r="Z298" i="12"/>
  <c r="AK298" i="12"/>
  <c r="AI230" i="12"/>
  <c r="AK230" i="12"/>
  <c r="Z230" i="12"/>
  <c r="O359" i="12"/>
  <c r="AD359" i="8"/>
  <c r="AB359" i="8"/>
  <c r="AP359" i="8"/>
  <c r="AC359" i="8"/>
  <c r="AA359" i="8"/>
  <c r="AJ359" i="8"/>
  <c r="AK359" i="8"/>
  <c r="V359" i="8"/>
  <c r="Y359" i="8" s="1"/>
  <c r="U359" i="8"/>
  <c r="Z316" i="12"/>
  <c r="AK316" i="12"/>
  <c r="AJ316" i="12"/>
  <c r="R315" i="13"/>
  <c r="J315" i="13"/>
  <c r="H315" i="13"/>
  <c r="AJ284" i="12"/>
  <c r="AI284" i="12"/>
  <c r="Z284" i="12"/>
  <c r="AF196" i="12"/>
  <c r="V196" i="12"/>
  <c r="Q196" i="12"/>
  <c r="AG196" i="12" s="1"/>
  <c r="F255" i="13"/>
  <c r="F255" i="12"/>
  <c r="R324" i="13"/>
  <c r="J324" i="13"/>
  <c r="H324" i="13"/>
  <c r="V143" i="12"/>
  <c r="Y143" i="12" s="1"/>
  <c r="AA143" i="12" s="1"/>
  <c r="AC143" i="12" s="1"/>
  <c r="Q143" i="12"/>
  <c r="AG143" i="12" s="1"/>
  <c r="AF143" i="12"/>
  <c r="AI171" i="12"/>
  <c r="Z171" i="12"/>
  <c r="AA171" i="12" s="1"/>
  <c r="AC171" i="12" s="1"/>
  <c r="AK171" i="12"/>
  <c r="AJ171" i="12"/>
  <c r="AK242" i="12"/>
  <c r="AI242" i="12"/>
  <c r="Z242" i="12"/>
  <c r="AA242" i="12" s="1"/>
  <c r="AC242" i="12" s="1"/>
  <c r="R331" i="13"/>
  <c r="J331" i="13"/>
  <c r="H331" i="13"/>
  <c r="W120" i="13"/>
  <c r="O120" i="13"/>
  <c r="V120" i="13"/>
  <c r="N120" i="13"/>
  <c r="U120" i="13"/>
  <c r="X120" i="13" s="1"/>
  <c r="I120" i="12" s="1"/>
  <c r="J120" i="12" s="1"/>
  <c r="M120" i="13"/>
  <c r="T120" i="13"/>
  <c r="L120" i="13"/>
  <c r="S120" i="13"/>
  <c r="K120" i="13"/>
  <c r="P120" i="13" s="1"/>
  <c r="R119" i="13"/>
  <c r="J119" i="13"/>
  <c r="H119" i="13"/>
  <c r="U205" i="8"/>
  <c r="AF205" i="12"/>
  <c r="V205" i="12"/>
  <c r="Y205" i="12" s="1"/>
  <c r="AA205" i="12" s="1"/>
  <c r="AC205" i="12" s="1"/>
  <c r="Q205" i="12"/>
  <c r="AG205" i="12" s="1"/>
  <c r="X274" i="8"/>
  <c r="Z274" i="8" s="1"/>
  <c r="AI274" i="8" s="1"/>
  <c r="AQ274" i="8" s="1"/>
  <c r="AR274" i="8" s="1"/>
  <c r="W274" i="8"/>
  <c r="Q141" i="8"/>
  <c r="R141" i="8" s="1"/>
  <c r="V141" i="8" s="1"/>
  <c r="Y141" i="8" s="1"/>
  <c r="F18" i="13"/>
  <c r="F18" i="12"/>
  <c r="R245" i="13"/>
  <c r="J245" i="13"/>
  <c r="H245" i="13"/>
  <c r="AJ187" i="12"/>
  <c r="Z187" i="12"/>
  <c r="AI187" i="12"/>
  <c r="R139" i="13"/>
  <c r="J139" i="13"/>
  <c r="H139" i="13"/>
  <c r="F195" i="13"/>
  <c r="F195" i="12"/>
  <c r="R117" i="13"/>
  <c r="J117" i="13"/>
  <c r="H117" i="13"/>
  <c r="AI351" i="12"/>
  <c r="Z351" i="12"/>
  <c r="AJ351" i="12"/>
  <c r="O20" i="12"/>
  <c r="AB20" i="8"/>
  <c r="AP20" i="8"/>
  <c r="AD20" i="8"/>
  <c r="AC20" i="8"/>
  <c r="AA20" i="8"/>
  <c r="AK20" i="8"/>
  <c r="V20" i="8"/>
  <c r="Y20" i="8" s="1"/>
  <c r="AJ20" i="8"/>
  <c r="U20" i="8"/>
  <c r="O51" i="12"/>
  <c r="AP51" i="8"/>
  <c r="AD51" i="8"/>
  <c r="AC51" i="8"/>
  <c r="AB51" i="8"/>
  <c r="AA51" i="8"/>
  <c r="AK51" i="8"/>
  <c r="AJ51" i="8"/>
  <c r="O51" i="8"/>
  <c r="R51" i="8" s="1"/>
  <c r="V51" i="8"/>
  <c r="Y51" i="8" s="1"/>
  <c r="U51" i="8"/>
  <c r="P311" i="8"/>
  <c r="R311" i="8" s="1"/>
  <c r="U311" i="8" s="1"/>
  <c r="AK305" i="12"/>
  <c r="AJ305" i="12"/>
  <c r="Z305" i="12"/>
  <c r="AA305" i="12" s="1"/>
  <c r="AC305" i="12" s="1"/>
  <c r="AI305" i="12"/>
  <c r="AK45" i="12"/>
  <c r="AJ45" i="12"/>
  <c r="Z45" i="12"/>
  <c r="R350" i="13"/>
  <c r="J350" i="13"/>
  <c r="H350" i="13"/>
  <c r="R90" i="13"/>
  <c r="X90" i="13" s="1"/>
  <c r="I90" i="12" s="1"/>
  <c r="J90" i="12" s="1"/>
  <c r="J90" i="13"/>
  <c r="P90" i="13" s="1"/>
  <c r="AK256" i="12"/>
  <c r="AJ256" i="12"/>
  <c r="Z256" i="12"/>
  <c r="AI200" i="12"/>
  <c r="Z200" i="12"/>
  <c r="AJ200" i="12"/>
  <c r="AK177" i="12"/>
  <c r="AI177" i="12"/>
  <c r="Z177" i="12"/>
  <c r="V119" i="12"/>
  <c r="Y119" i="12" s="1"/>
  <c r="Q119" i="12"/>
  <c r="AG119" i="12" s="1"/>
  <c r="AF119" i="12"/>
  <c r="AA7" i="12"/>
  <c r="Q7" i="12"/>
  <c r="AG7" i="12" s="1"/>
  <c r="AF7" i="12"/>
  <c r="V7" i="12"/>
  <c r="AH72" i="12"/>
  <c r="F14" i="13"/>
  <c r="F14" i="12"/>
  <c r="R235" i="13"/>
  <c r="H235" i="13"/>
  <c r="J235" i="13"/>
  <c r="R345" i="13"/>
  <c r="J345" i="13"/>
  <c r="H345" i="13"/>
  <c r="R353" i="13"/>
  <c r="J353" i="13"/>
  <c r="H353" i="13"/>
  <c r="AI310" i="12"/>
  <c r="AA310" i="12"/>
  <c r="Z310" i="12"/>
  <c r="AK310" i="12"/>
  <c r="AJ310" i="12"/>
  <c r="AJ332" i="12"/>
  <c r="Z332" i="12"/>
  <c r="AI332" i="12"/>
  <c r="R301" i="13"/>
  <c r="J301" i="13"/>
  <c r="H301" i="13"/>
  <c r="AJ128" i="12"/>
  <c r="Z128" i="12"/>
  <c r="AK128" i="12"/>
  <c r="Z229" i="8"/>
  <c r="AI229" i="8" s="1"/>
  <c r="AQ229" i="8" s="1"/>
  <c r="AR229" i="8" s="1"/>
  <c r="W28" i="8"/>
  <c r="O311" i="12"/>
  <c r="W12" i="8"/>
  <c r="X182" i="8"/>
  <c r="Z182" i="8" s="1"/>
  <c r="AI182" i="8" s="1"/>
  <c r="AQ182" i="8" s="1"/>
  <c r="W182" i="8"/>
  <c r="X351" i="8"/>
  <c r="Z351" i="8" s="1"/>
  <c r="AI351" i="8" s="1"/>
  <c r="AQ351" i="8" s="1"/>
  <c r="AR351" i="8" s="1"/>
  <c r="W351" i="8"/>
  <c r="X120" i="8"/>
  <c r="Z120" i="8" s="1"/>
  <c r="AI120" i="8" s="1"/>
  <c r="AQ120" i="8" s="1"/>
  <c r="AR120" i="8" s="1"/>
  <c r="W120" i="8"/>
  <c r="U190" i="8"/>
  <c r="W156" i="8"/>
  <c r="AK113" i="12"/>
  <c r="AJ113" i="12"/>
  <c r="AA113" i="12"/>
  <c r="AI113" i="12"/>
  <c r="Z113" i="12"/>
  <c r="Z70" i="8"/>
  <c r="AI70" i="8" s="1"/>
  <c r="AQ70" i="8" s="1"/>
  <c r="AR70" i="8" s="1"/>
  <c r="AF181" i="12"/>
  <c r="Q181" i="12"/>
  <c r="AG181" i="12" s="1"/>
  <c r="V181" i="12"/>
  <c r="Y181" i="12" s="1"/>
  <c r="AA181" i="12" s="1"/>
  <c r="AC181" i="12" s="1"/>
  <c r="F54" i="7"/>
  <c r="R53" i="13"/>
  <c r="J53" i="13"/>
  <c r="H53" i="13"/>
  <c r="O169" i="12"/>
  <c r="AD169" i="8"/>
  <c r="AC169" i="8"/>
  <c r="AB169" i="8"/>
  <c r="AP169" i="8"/>
  <c r="AA169" i="8"/>
  <c r="AK169" i="8"/>
  <c r="AJ169" i="8"/>
  <c r="O169" i="8"/>
  <c r="R169" i="8" s="1"/>
  <c r="V169" i="8"/>
  <c r="Y169" i="8" s="1"/>
  <c r="U169" i="8"/>
  <c r="W269" i="8"/>
  <c r="X269" i="8"/>
  <c r="Z269" i="8" s="1"/>
  <c r="AI269" i="8" s="1"/>
  <c r="AQ269" i="8" s="1"/>
  <c r="AR269" i="8" s="1"/>
  <c r="J326" i="13"/>
  <c r="R326" i="13"/>
  <c r="H326" i="13"/>
  <c r="Q309" i="12"/>
  <c r="AG309" i="12" s="1"/>
  <c r="AF309" i="12"/>
  <c r="V309" i="12"/>
  <c r="AA309" i="12"/>
  <c r="F259" i="13"/>
  <c r="F259" i="12"/>
  <c r="AF73" i="12"/>
  <c r="Q73" i="12"/>
  <c r="AG73" i="12" s="1"/>
  <c r="V73" i="12"/>
  <c r="AI38" i="8"/>
  <c r="AQ38" i="8" s="1"/>
  <c r="AR38" i="8" s="1"/>
  <c r="O86" i="12"/>
  <c r="AD86" i="8"/>
  <c r="AC86" i="8"/>
  <c r="AB86" i="8"/>
  <c r="AP86" i="8"/>
  <c r="AA86" i="8"/>
  <c r="AJ86" i="8"/>
  <c r="AK86" i="8"/>
  <c r="O138" i="12"/>
  <c r="AP138" i="8"/>
  <c r="AD138" i="8"/>
  <c r="AC138" i="8"/>
  <c r="AB138" i="8"/>
  <c r="AA138" i="8"/>
  <c r="AJ138" i="8"/>
  <c r="AK138" i="8"/>
  <c r="AK102" i="12"/>
  <c r="Z102" i="12"/>
  <c r="AJ102" i="12"/>
  <c r="AJ190" i="12"/>
  <c r="AI190" i="12"/>
  <c r="Z190" i="12"/>
  <c r="AJ333" i="12"/>
  <c r="Z333" i="12"/>
  <c r="AI333" i="12"/>
  <c r="R330" i="13"/>
  <c r="J330" i="13"/>
  <c r="H330" i="13"/>
  <c r="AI132" i="12"/>
  <c r="AK132" i="12"/>
  <c r="Z132" i="12"/>
  <c r="AA132" i="12" s="1"/>
  <c r="AC132" i="12" s="1"/>
  <c r="R172" i="13"/>
  <c r="J172" i="13"/>
  <c r="H172" i="13"/>
  <c r="R60" i="13"/>
  <c r="J60" i="13"/>
  <c r="H60" i="13"/>
  <c r="AK54" i="12"/>
  <c r="Z54" i="12"/>
  <c r="AI54" i="12"/>
  <c r="AA208" i="12"/>
  <c r="AC208" i="12" s="1"/>
  <c r="AF208" i="12"/>
  <c r="V208" i="12"/>
  <c r="Y208" i="12" s="1"/>
  <c r="Q208" i="12"/>
  <c r="AG208" i="12" s="1"/>
  <c r="AI33" i="12"/>
  <c r="Z33" i="12"/>
  <c r="AA33" i="12" s="1"/>
  <c r="AC33" i="12" s="1"/>
  <c r="AK33" i="12"/>
  <c r="AJ33" i="12"/>
  <c r="R307" i="13"/>
  <c r="J307" i="13"/>
  <c r="H307" i="13"/>
  <c r="U72" i="8"/>
  <c r="V72" i="8"/>
  <c r="Y72" i="8" s="1"/>
  <c r="O116" i="12"/>
  <c r="AB116" i="8"/>
  <c r="AP116" i="8"/>
  <c r="AD116" i="8"/>
  <c r="AC116" i="8"/>
  <c r="AA116" i="8"/>
  <c r="AJ116" i="8"/>
  <c r="O116" i="8"/>
  <c r="R116" i="8" s="1"/>
  <c r="V116" i="8" s="1"/>
  <c r="Y116" i="8" s="1"/>
  <c r="AK116" i="8"/>
  <c r="AF46" i="12"/>
  <c r="Q46" i="12"/>
  <c r="AG46" i="12" s="1"/>
  <c r="V46" i="12"/>
  <c r="Y46" i="12" s="1"/>
  <c r="AA46" i="12" s="1"/>
  <c r="AC46" i="12" s="1"/>
  <c r="AF256" i="12"/>
  <c r="V256" i="12"/>
  <c r="Q256" i="12"/>
  <c r="AG256" i="12" s="1"/>
  <c r="W31" i="8"/>
  <c r="X31" i="8"/>
  <c r="Z31" i="8" s="1"/>
  <c r="AI31" i="8" s="1"/>
  <c r="AQ31" i="8" s="1"/>
  <c r="AR31" i="8" s="1"/>
  <c r="F130" i="13"/>
  <c r="F130" i="12"/>
  <c r="P346" i="13"/>
  <c r="R176" i="13"/>
  <c r="J176" i="13"/>
  <c r="H176" i="13"/>
  <c r="R214" i="13"/>
  <c r="X214" i="13" s="1"/>
  <c r="I214" i="12" s="1"/>
  <c r="J214" i="12" s="1"/>
  <c r="J214" i="13"/>
  <c r="P214" i="13" s="1"/>
  <c r="AL279" i="12"/>
  <c r="AO279" i="12" s="1"/>
  <c r="R298" i="13"/>
  <c r="J298" i="13"/>
  <c r="H298" i="13"/>
  <c r="R230" i="13"/>
  <c r="J230" i="13"/>
  <c r="H230" i="13"/>
  <c r="AF135" i="12"/>
  <c r="Q135" i="12"/>
  <c r="AG135" i="12" s="1"/>
  <c r="V135" i="12"/>
  <c r="Z318" i="12"/>
  <c r="AK318" i="12"/>
  <c r="AJ318" i="12"/>
  <c r="AF207" i="12"/>
  <c r="V207" i="12"/>
  <c r="Q207" i="12"/>
  <c r="AG207" i="12" s="1"/>
  <c r="R316" i="13"/>
  <c r="J316" i="13"/>
  <c r="H316" i="13"/>
  <c r="AK322" i="12"/>
  <c r="AI322" i="12"/>
  <c r="Z322" i="12"/>
  <c r="AK118" i="12"/>
  <c r="Z118" i="12"/>
  <c r="AA118" i="12" s="1"/>
  <c r="AC118" i="12" s="1"/>
  <c r="AJ118" i="12"/>
  <c r="R284" i="13"/>
  <c r="X284" i="13" s="1"/>
  <c r="I284" i="12" s="1"/>
  <c r="J284" i="12" s="1"/>
  <c r="K284" i="12" s="1"/>
  <c r="J284" i="13"/>
  <c r="P284" i="13" s="1"/>
  <c r="Q291" i="12"/>
  <c r="AG291" i="12" s="1"/>
  <c r="AF291" i="12"/>
  <c r="V291" i="12"/>
  <c r="O249" i="12"/>
  <c r="AP249" i="8"/>
  <c r="AD249" i="8"/>
  <c r="AB249" i="8"/>
  <c r="AC249" i="8"/>
  <c r="AA249" i="8"/>
  <c r="AK249" i="8"/>
  <c r="O249" i="8"/>
  <c r="R249" i="8" s="1"/>
  <c r="U249" i="8" s="1"/>
  <c r="V249" i="8"/>
  <c r="Y249" i="8" s="1"/>
  <c r="AJ249" i="8"/>
  <c r="AI99" i="12"/>
  <c r="AA99" i="12"/>
  <c r="AK99" i="12"/>
  <c r="Z99" i="12"/>
  <c r="AJ99" i="12"/>
  <c r="AK9" i="12"/>
  <c r="AJ9" i="12"/>
  <c r="AI9" i="12"/>
  <c r="AA9" i="12"/>
  <c r="Z9" i="12"/>
  <c r="AI61" i="8"/>
  <c r="AQ61" i="8" s="1"/>
  <c r="AR61" i="8" s="1"/>
  <c r="R171" i="13"/>
  <c r="J171" i="13"/>
  <c r="H171" i="13"/>
  <c r="R242" i="13"/>
  <c r="J242" i="13"/>
  <c r="H242" i="13"/>
  <c r="AK201" i="12"/>
  <c r="Z201" i="12"/>
  <c r="AJ201" i="12"/>
  <c r="V217" i="8"/>
  <c r="Y217" i="8" s="1"/>
  <c r="U217" i="8"/>
  <c r="S263" i="13"/>
  <c r="X263" i="13" s="1"/>
  <c r="I263" i="12" s="1"/>
  <c r="J263" i="12" s="1"/>
  <c r="K263" i="12" s="1"/>
  <c r="K263" i="13"/>
  <c r="V263" i="13"/>
  <c r="N263" i="13"/>
  <c r="U263" i="13"/>
  <c r="M263" i="13"/>
  <c r="L263" i="13"/>
  <c r="W263" i="13"/>
  <c r="T263" i="13"/>
  <c r="O263" i="13"/>
  <c r="X223" i="8"/>
  <c r="Z223" i="8" s="1"/>
  <c r="AI223" i="8" s="1"/>
  <c r="AQ223" i="8" s="1"/>
  <c r="AR223" i="8" s="1"/>
  <c r="W223" i="8"/>
  <c r="Q223" i="12"/>
  <c r="AG223" i="12" s="1"/>
  <c r="AF223" i="12"/>
  <c r="V223" i="12"/>
  <c r="AF77" i="12"/>
  <c r="V77" i="12"/>
  <c r="Y77" i="12" s="1"/>
  <c r="Q77" i="12"/>
  <c r="AG77" i="12" s="1"/>
  <c r="X62" i="8"/>
  <c r="Z62" i="8" s="1"/>
  <c r="AI62" i="8" s="1"/>
  <c r="AQ62" i="8" s="1"/>
  <c r="AR62" i="8" s="1"/>
  <c r="W62" i="8"/>
  <c r="X8" i="8"/>
  <c r="Z8" i="8" s="1"/>
  <c r="AI8" i="8" s="1"/>
  <c r="AQ8" i="8" s="1"/>
  <c r="AR8" i="8" s="1"/>
  <c r="W8" i="8"/>
  <c r="Z296" i="12"/>
  <c r="AJ296" i="12"/>
  <c r="AI296" i="12"/>
  <c r="R187" i="13"/>
  <c r="X187" i="13" s="1"/>
  <c r="I187" i="12" s="1"/>
  <c r="J187" i="12" s="1"/>
  <c r="K187" i="12" s="1"/>
  <c r="J187" i="13"/>
  <c r="P187" i="13" s="1"/>
  <c r="V78" i="8"/>
  <c r="Y78" i="8" s="1"/>
  <c r="U261" i="8"/>
  <c r="V261" i="8"/>
  <c r="Y261" i="8" s="1"/>
  <c r="P86" i="8"/>
  <c r="R86" i="8" s="1"/>
  <c r="V86" i="8" s="1"/>
  <c r="Y86" i="8" s="1"/>
  <c r="O24" i="12"/>
  <c r="AD24" i="8"/>
  <c r="AC24" i="8"/>
  <c r="AB24" i="8"/>
  <c r="AP24" i="8"/>
  <c r="AA24" i="8"/>
  <c r="O24" i="8"/>
  <c r="R24" i="8" s="1"/>
  <c r="V24" i="8" s="1"/>
  <c r="Y24" i="8" s="1"/>
  <c r="AJ24" i="8"/>
  <c r="AK24" i="8"/>
  <c r="O69" i="12"/>
  <c r="AC69" i="8"/>
  <c r="AB69" i="8"/>
  <c r="AP69" i="8"/>
  <c r="AD69" i="8"/>
  <c r="AA69" i="8"/>
  <c r="V69" i="8"/>
  <c r="Y69" i="8" s="1"/>
  <c r="AK69" i="8"/>
  <c r="AJ69" i="8"/>
  <c r="U69" i="8"/>
  <c r="AK182" i="12"/>
  <c r="AJ182" i="12"/>
  <c r="Z182" i="12"/>
  <c r="R351" i="13"/>
  <c r="J351" i="13"/>
  <c r="H351" i="13"/>
  <c r="AJ20" i="12"/>
  <c r="AI20" i="12"/>
  <c r="Z20" i="12"/>
  <c r="U291" i="8"/>
  <c r="V291" i="8"/>
  <c r="Y291" i="8" s="1"/>
  <c r="W127" i="8"/>
  <c r="X127" i="8"/>
  <c r="Z127" i="8" s="1"/>
  <c r="AI127" i="8" s="1"/>
  <c r="AQ127" i="8" s="1"/>
  <c r="AR127" i="8" s="1"/>
  <c r="R305" i="13"/>
  <c r="J305" i="13"/>
  <c r="H305" i="13"/>
  <c r="AK12" i="12"/>
  <c r="AJ12" i="12"/>
  <c r="Z12" i="12"/>
  <c r="R45" i="13"/>
  <c r="J45" i="13"/>
  <c r="H45" i="13"/>
  <c r="O203" i="12"/>
  <c r="AC203" i="8"/>
  <c r="AB203" i="8"/>
  <c r="AP203" i="8"/>
  <c r="AD203" i="8"/>
  <c r="AA203" i="8"/>
  <c r="AK203" i="8"/>
  <c r="U203" i="8"/>
  <c r="O203" i="8"/>
  <c r="R203" i="8" s="1"/>
  <c r="V203" i="8"/>
  <c r="Y203" i="8" s="1"/>
  <c r="AJ203" i="8"/>
  <c r="R256" i="13"/>
  <c r="J256" i="13"/>
  <c r="H256" i="13"/>
  <c r="R200" i="13"/>
  <c r="J200" i="13"/>
  <c r="H200" i="13"/>
  <c r="AK39" i="12"/>
  <c r="AJ39" i="12"/>
  <c r="Z39" i="12"/>
  <c r="AA39" i="12" s="1"/>
  <c r="AC39" i="12" s="1"/>
  <c r="R177" i="13"/>
  <c r="J177" i="13"/>
  <c r="H177" i="13"/>
  <c r="Z29" i="12"/>
  <c r="AK29" i="12"/>
  <c r="AJ29" i="12"/>
  <c r="X242" i="8"/>
  <c r="Z242" i="8" s="1"/>
  <c r="AI242" i="8" s="1"/>
  <c r="AQ242" i="8" s="1"/>
  <c r="AR242" i="8" s="1"/>
  <c r="W242" i="8"/>
  <c r="X231" i="8"/>
  <c r="Z231" i="8" s="1"/>
  <c r="AI231" i="8" s="1"/>
  <c r="AQ231" i="8" s="1"/>
  <c r="AR231" i="8" s="1"/>
  <c r="W231" i="8"/>
  <c r="Q251" i="12"/>
  <c r="AG251" i="12" s="1"/>
  <c r="V251" i="12"/>
  <c r="AF251" i="12"/>
  <c r="X125" i="8"/>
  <c r="Z125" i="8" s="1"/>
  <c r="AI125" i="8" s="1"/>
  <c r="AQ125" i="8" s="1"/>
  <c r="W125" i="8"/>
  <c r="AA102" i="12"/>
  <c r="AC102" i="12" s="1"/>
  <c r="V102" i="12"/>
  <c r="Y102" i="12" s="1"/>
  <c r="AF102" i="12"/>
  <c r="Q102" i="12"/>
  <c r="AG102" i="12" s="1"/>
  <c r="AI29" i="8"/>
  <c r="AQ29" i="8" s="1"/>
  <c r="AK110" i="12"/>
  <c r="AI110" i="12"/>
  <c r="Z110" i="12"/>
  <c r="AJ252" i="12"/>
  <c r="AI252" i="12"/>
  <c r="Z252" i="12"/>
  <c r="W245" i="8"/>
  <c r="X245" i="8"/>
  <c r="Z245" i="8" s="1"/>
  <c r="AI245" i="8" s="1"/>
  <c r="AQ245" i="8" s="1"/>
  <c r="AI273" i="12"/>
  <c r="Z273" i="12"/>
  <c r="AK273" i="12"/>
  <c r="J310" i="13"/>
  <c r="R310" i="13"/>
  <c r="H310" i="13"/>
  <c r="R332" i="13"/>
  <c r="J332" i="13"/>
  <c r="H332" i="13"/>
  <c r="O312" i="12"/>
  <c r="AP312" i="8"/>
  <c r="AD312" i="8"/>
  <c r="AC312" i="8"/>
  <c r="AB312" i="8"/>
  <c r="AA312" i="8"/>
  <c r="AK312" i="8"/>
  <c r="AJ312" i="8"/>
  <c r="V312" i="8"/>
  <c r="Y312" i="8" s="1"/>
  <c r="U312" i="8"/>
  <c r="AJ262" i="12"/>
  <c r="AI262" i="12"/>
  <c r="Z262" i="12"/>
  <c r="R128" i="13"/>
  <c r="J128" i="13"/>
  <c r="H128" i="13"/>
  <c r="O284" i="12"/>
  <c r="AF50" i="12"/>
  <c r="V50" i="12"/>
  <c r="Q50" i="12"/>
  <c r="AG50" i="12" s="1"/>
  <c r="AI311" i="12"/>
  <c r="Z311" i="12"/>
  <c r="AJ311" i="12"/>
  <c r="W229" i="8"/>
  <c r="U130" i="8"/>
  <c r="Z320" i="12"/>
  <c r="AK320" i="12"/>
  <c r="AJ320" i="12"/>
  <c r="V148" i="12"/>
  <c r="Q148" i="12"/>
  <c r="AG148" i="12" s="1"/>
  <c r="AF148" i="12"/>
  <c r="AJ260" i="12"/>
  <c r="AI260" i="12"/>
  <c r="AA260" i="12"/>
  <c r="AK260" i="12"/>
  <c r="Z260" i="12"/>
  <c r="J113" i="13"/>
  <c r="R113" i="13"/>
  <c r="H113" i="13"/>
  <c r="AK240" i="12"/>
  <c r="AJ240" i="12"/>
  <c r="Z240" i="12"/>
  <c r="Q188" i="12"/>
  <c r="AG188" i="12" s="1"/>
  <c r="AF188" i="12"/>
  <c r="V188" i="12"/>
  <c r="AJ28" i="12"/>
  <c r="AI28" i="12"/>
  <c r="Z28" i="12"/>
  <c r="F43" i="13"/>
  <c r="F43" i="12"/>
  <c r="R175" i="13"/>
  <c r="J175" i="13"/>
  <c r="H175" i="13"/>
  <c r="R94" i="13"/>
  <c r="J94" i="13"/>
  <c r="H94" i="13"/>
  <c r="AK87" i="12"/>
  <c r="Z87" i="12"/>
  <c r="AJ87" i="12"/>
  <c r="V193" i="12"/>
  <c r="Q193" i="12"/>
  <c r="AG193" i="12" s="1"/>
  <c r="AF193" i="12"/>
  <c r="X271" i="8"/>
  <c r="Z271" i="8" s="1"/>
  <c r="AI271" i="8" s="1"/>
  <c r="AQ271" i="8" s="1"/>
  <c r="AR271" i="8" s="1"/>
  <c r="W271" i="8"/>
  <c r="R246" i="13"/>
  <c r="J246" i="13"/>
  <c r="H246" i="13"/>
  <c r="AK77" i="12"/>
  <c r="AJ77" i="12"/>
  <c r="Z77" i="12"/>
  <c r="Q53" i="12"/>
  <c r="AG53" i="12" s="1"/>
  <c r="AA53" i="12"/>
  <c r="AC53" i="12" s="1"/>
  <c r="AF53" i="12"/>
  <c r="V53" i="12"/>
  <c r="Y53" i="12" s="1"/>
  <c r="O194" i="12"/>
  <c r="AD194" i="8"/>
  <c r="AB194" i="8"/>
  <c r="AP194" i="8"/>
  <c r="AC194" i="8"/>
  <c r="AA194" i="8"/>
  <c r="V194" i="8"/>
  <c r="Y194" i="8" s="1"/>
  <c r="AK194" i="8"/>
  <c r="U194" i="8"/>
  <c r="O194" i="8"/>
  <c r="R194" i="8" s="1"/>
  <c r="AJ194" i="8"/>
  <c r="AI134" i="12"/>
  <c r="AJ134" i="12"/>
  <c r="Z134" i="12"/>
  <c r="X235" i="8"/>
  <c r="Z235" i="8" s="1"/>
  <c r="AI235" i="8" s="1"/>
  <c r="AQ235" i="8" s="1"/>
  <c r="AR235" i="8" s="1"/>
  <c r="W235" i="8"/>
  <c r="Z215" i="12"/>
  <c r="AJ215" i="12"/>
  <c r="AK215" i="12"/>
  <c r="AK123" i="12"/>
  <c r="AI123" i="12"/>
  <c r="Z123" i="12"/>
  <c r="AA123" i="12" s="1"/>
  <c r="AC123" i="12" s="1"/>
  <c r="D23" i="11" s="1"/>
  <c r="G23" i="11" s="1"/>
  <c r="AA101" i="12"/>
  <c r="V101" i="12"/>
  <c r="AF101" i="12"/>
  <c r="Q101" i="12"/>
  <c r="AG101" i="12" s="1"/>
  <c r="AF163" i="12"/>
  <c r="V163" i="12"/>
  <c r="Q163" i="12"/>
  <c r="AG163" i="12" s="1"/>
  <c r="O221" i="12"/>
  <c r="AC221" i="8"/>
  <c r="AB221" i="8"/>
  <c r="AP221" i="8"/>
  <c r="AD221" i="8"/>
  <c r="AA221" i="8"/>
  <c r="AK221" i="8"/>
  <c r="AJ221" i="8"/>
  <c r="O221" i="8"/>
  <c r="R221" i="8" s="1"/>
  <c r="V221" i="8"/>
  <c r="Y221" i="8" s="1"/>
  <c r="U221" i="8"/>
  <c r="F228" i="13"/>
  <c r="F228" i="12"/>
  <c r="O320" i="12"/>
  <c r="AP320" i="8"/>
  <c r="AD320" i="8"/>
  <c r="AC320" i="8"/>
  <c r="AB320" i="8"/>
  <c r="AA320" i="8"/>
  <c r="AK320" i="8"/>
  <c r="AJ320" i="8"/>
  <c r="O320" i="8"/>
  <c r="R320" i="8" s="1"/>
  <c r="V320" i="8" s="1"/>
  <c r="Y320" i="8" s="1"/>
  <c r="O211" i="12"/>
  <c r="AC211" i="8"/>
  <c r="AP211" i="8"/>
  <c r="AD211" i="8"/>
  <c r="AB211" i="8"/>
  <c r="AA211" i="8"/>
  <c r="AK211" i="8"/>
  <c r="O211" i="8"/>
  <c r="R211" i="8" s="1"/>
  <c r="V211" i="8" s="1"/>
  <c r="Y211" i="8" s="1"/>
  <c r="AJ211" i="8"/>
  <c r="H153" i="13"/>
  <c r="R153" i="13"/>
  <c r="J153" i="13"/>
  <c r="R282" i="13"/>
  <c r="J282" i="13"/>
  <c r="H282" i="13"/>
  <c r="P85" i="8"/>
  <c r="R85" i="8" s="1"/>
  <c r="U85" i="8" s="1"/>
  <c r="AJ264" i="12"/>
  <c r="AI264" i="12"/>
  <c r="Z264" i="12"/>
  <c r="V153" i="12"/>
  <c r="AF153" i="12"/>
  <c r="Q153" i="12"/>
  <c r="AG153" i="12" s="1"/>
  <c r="V334" i="12"/>
  <c r="Y334" i="12" s="1"/>
  <c r="AF334" i="12"/>
  <c r="Q334" i="12"/>
  <c r="AG334" i="12" s="1"/>
  <c r="AF318" i="12"/>
  <c r="V318" i="12"/>
  <c r="Q318" i="12"/>
  <c r="AG318" i="12" s="1"/>
  <c r="F234" i="13"/>
  <c r="F234" i="12"/>
  <c r="AK41" i="12"/>
  <c r="Z41" i="12"/>
  <c r="AJ41" i="12"/>
  <c r="O206" i="12"/>
  <c r="AB206" i="8"/>
  <c r="AD206" i="8"/>
  <c r="AC206" i="8"/>
  <c r="AP206" i="8"/>
  <c r="AA206" i="8"/>
  <c r="O206" i="8"/>
  <c r="R206" i="8" s="1"/>
  <c r="V206" i="8"/>
  <c r="Y206" i="8" s="1"/>
  <c r="U206" i="8"/>
  <c r="AK206" i="8"/>
  <c r="AJ206" i="8"/>
  <c r="AK193" i="12"/>
  <c r="Z193" i="12"/>
  <c r="AJ193" i="12"/>
  <c r="AJ227" i="12"/>
  <c r="AI227" i="12"/>
  <c r="Z227" i="12"/>
  <c r="R13" i="13"/>
  <c r="J13" i="13"/>
  <c r="H13" i="13"/>
  <c r="R7" i="13"/>
  <c r="J7" i="13"/>
  <c r="H7" i="13"/>
  <c r="R233" i="13"/>
  <c r="X233" i="13" s="1"/>
  <c r="I233" i="12" s="1"/>
  <c r="J233" i="12" s="1"/>
  <c r="J233" i="13"/>
  <c r="P233" i="13" s="1"/>
  <c r="R98" i="13"/>
  <c r="H98" i="13"/>
  <c r="J98" i="13"/>
  <c r="AH124" i="12"/>
  <c r="AK124" i="12" s="1"/>
  <c r="R77" i="13"/>
  <c r="J77" i="13"/>
  <c r="H77" i="13"/>
  <c r="O300" i="12"/>
  <c r="AD300" i="8"/>
  <c r="AC300" i="8"/>
  <c r="AP300" i="8"/>
  <c r="AB300" i="8"/>
  <c r="AA300" i="8"/>
  <c r="O300" i="8"/>
  <c r="R300" i="8" s="1"/>
  <c r="V300" i="8" s="1"/>
  <c r="Y300" i="8" s="1"/>
  <c r="U300" i="8"/>
  <c r="AK300" i="8"/>
  <c r="AJ300" i="8"/>
  <c r="U355" i="8"/>
  <c r="AJ191" i="12"/>
  <c r="AI191" i="12"/>
  <c r="Z191" i="12"/>
  <c r="R134" i="13"/>
  <c r="X134" i="13" s="1"/>
  <c r="I134" i="12" s="1"/>
  <c r="J134" i="12" s="1"/>
  <c r="K134" i="12" s="1"/>
  <c r="J134" i="13"/>
  <c r="P134" i="13" s="1"/>
  <c r="AJ161" i="12"/>
  <c r="AK161" i="12"/>
  <c r="Z161" i="12"/>
  <c r="X61" i="8"/>
  <c r="Z61" i="8" s="1"/>
  <c r="W61" i="8"/>
  <c r="AK82" i="12"/>
  <c r="AJ82" i="12"/>
  <c r="Z82" i="12"/>
  <c r="AI82" i="12"/>
  <c r="P284" i="8"/>
  <c r="R284" i="8" s="1"/>
  <c r="U284" i="8" s="1"/>
  <c r="X94" i="8"/>
  <c r="Z94" i="8" s="1"/>
  <c r="AI94" i="8" s="1"/>
  <c r="AQ94" i="8" s="1"/>
  <c r="AR94" i="8" s="1"/>
  <c r="W94" i="8"/>
  <c r="R215" i="13"/>
  <c r="J215" i="13"/>
  <c r="H215" i="13"/>
  <c r="AK241" i="12"/>
  <c r="AJ241" i="12"/>
  <c r="AI241" i="12"/>
  <c r="Z241" i="12"/>
  <c r="AA241" i="12" s="1"/>
  <c r="AC241" i="12" s="1"/>
  <c r="X78" i="8"/>
  <c r="AI31" i="12"/>
  <c r="Z31" i="12"/>
  <c r="AJ31" i="12"/>
  <c r="R123" i="13"/>
  <c r="X123" i="13" s="1"/>
  <c r="I123" i="12" s="1"/>
  <c r="J123" i="12" s="1"/>
  <c r="J123" i="13"/>
  <c r="P123" i="13" s="1"/>
  <c r="AI131" i="12"/>
  <c r="AA131" i="12"/>
  <c r="AK131" i="12"/>
  <c r="Z131" i="12"/>
  <c r="AJ131" i="12"/>
  <c r="AJ253" i="12"/>
  <c r="AI253" i="12"/>
  <c r="Z253" i="12"/>
  <c r="V75" i="12"/>
  <c r="AF75" i="12"/>
  <c r="AA75" i="12"/>
  <c r="Q75" i="12"/>
  <c r="AG75" i="12" s="1"/>
  <c r="AK40" i="12"/>
  <c r="AJ40" i="12"/>
  <c r="Z40" i="12"/>
  <c r="AI57" i="12"/>
  <c r="Z57" i="12"/>
  <c r="AJ57" i="12"/>
  <c r="AK78" i="12"/>
  <c r="AI78" i="12"/>
  <c r="Z78" i="12"/>
  <c r="P346" i="8"/>
  <c r="R346" i="8" s="1"/>
  <c r="V346" i="8" s="1"/>
  <c r="Y346" i="8" s="1"/>
  <c r="O341" i="12"/>
  <c r="AD341" i="8"/>
  <c r="AC341" i="8"/>
  <c r="AB341" i="8"/>
  <c r="AP341" i="8"/>
  <c r="AA341" i="8"/>
  <c r="AK341" i="8"/>
  <c r="V341" i="8"/>
  <c r="Y341" i="8" s="1"/>
  <c r="U341" i="8"/>
  <c r="AJ341" i="8"/>
  <c r="V297" i="8"/>
  <c r="Y297" i="8" s="1"/>
  <c r="U297" i="8"/>
  <c r="AF233" i="12"/>
  <c r="V233" i="12"/>
  <c r="Y233" i="12" s="1"/>
  <c r="AA233" i="12" s="1"/>
  <c r="AC233" i="12" s="1"/>
  <c r="Q233" i="12"/>
  <c r="AG233" i="12" s="1"/>
  <c r="AL42" i="12"/>
  <c r="AO42" i="12" s="1"/>
  <c r="F209" i="13"/>
  <c r="F209" i="12"/>
  <c r="AK73" i="12"/>
  <c r="AJ73" i="12"/>
  <c r="Z73" i="12"/>
  <c r="J125" i="13"/>
  <c r="R125" i="13"/>
  <c r="H125" i="13"/>
  <c r="O220" i="12"/>
  <c r="AD220" i="8"/>
  <c r="AP220" i="8"/>
  <c r="AC220" i="8"/>
  <c r="AB220" i="8"/>
  <c r="AA220" i="8"/>
  <c r="AJ220" i="8"/>
  <c r="O220" i="8"/>
  <c r="R220" i="8" s="1"/>
  <c r="V220" i="8" s="1"/>
  <c r="Y220" i="8" s="1"/>
  <c r="AK220" i="8"/>
  <c r="Z222" i="12"/>
  <c r="AK222" i="12"/>
  <c r="AJ222" i="12"/>
  <c r="H192" i="13"/>
  <c r="J192" i="13"/>
  <c r="R192" i="13"/>
  <c r="AI95" i="12"/>
  <c r="AK95" i="12"/>
  <c r="Z95" i="12"/>
  <c r="J75" i="13"/>
  <c r="P75" i="13" s="1"/>
  <c r="R75" i="13"/>
  <c r="X75" i="13" s="1"/>
  <c r="I75" i="12" s="1"/>
  <c r="J75" i="12" s="1"/>
  <c r="K75" i="12" s="1"/>
  <c r="Q267" i="12"/>
  <c r="AG267" i="12" s="1"/>
  <c r="V267" i="12"/>
  <c r="AF267" i="12"/>
  <c r="AJ327" i="12"/>
  <c r="AK327" i="12"/>
  <c r="Z327" i="12"/>
  <c r="AJ69" i="12"/>
  <c r="AI69" i="12"/>
  <c r="Z69" i="12"/>
  <c r="Z93" i="12"/>
  <c r="AK93" i="12"/>
  <c r="AJ93" i="12"/>
  <c r="R66" i="13"/>
  <c r="J66" i="13"/>
  <c r="H66" i="13"/>
  <c r="AI342" i="12"/>
  <c r="Z342" i="12"/>
  <c r="AK342" i="12"/>
  <c r="F236" i="13"/>
  <c r="F236" i="12"/>
  <c r="P36" i="8"/>
  <c r="R36" i="8" s="1"/>
  <c r="V36" i="8" s="1"/>
  <c r="Y36" i="8" s="1"/>
  <c r="O106" i="12"/>
  <c r="AP106" i="8"/>
  <c r="AD106" i="8"/>
  <c r="AC106" i="8"/>
  <c r="AB106" i="8"/>
  <c r="AA106" i="8"/>
  <c r="U106" i="8"/>
  <c r="AJ106" i="8"/>
  <c r="AK106" i="8"/>
  <c r="O106" i="8"/>
  <c r="R106" i="8" s="1"/>
  <c r="V106" i="8" s="1"/>
  <c r="Y106" i="8" s="1"/>
  <c r="X185" i="8"/>
  <c r="Z185" i="8" s="1"/>
  <c r="AI185" i="8" s="1"/>
  <c r="AQ185" i="8" s="1"/>
  <c r="AR185" i="8" s="1"/>
  <c r="W185" i="8"/>
  <c r="U150" i="8"/>
  <c r="V150" i="8"/>
  <c r="Y150" i="8" s="1"/>
  <c r="AI138" i="12"/>
  <c r="AJ138" i="12"/>
  <c r="Z138" i="12"/>
  <c r="P138" i="8"/>
  <c r="R138" i="8" s="1"/>
  <c r="V138" i="8" s="1"/>
  <c r="Y138" i="8" s="1"/>
  <c r="R102" i="13"/>
  <c r="J102" i="13"/>
  <c r="H102" i="13"/>
  <c r="AK83" i="12"/>
  <c r="AJ83" i="12"/>
  <c r="Z83" i="12"/>
  <c r="AA83" i="12" s="1"/>
  <c r="AC83" i="12" s="1"/>
  <c r="AI83" i="12"/>
  <c r="J190" i="13"/>
  <c r="P190" i="13" s="1"/>
  <c r="R190" i="13"/>
  <c r="X190" i="13" s="1"/>
  <c r="I190" i="12" s="1"/>
  <c r="J190" i="12" s="1"/>
  <c r="K190" i="12" s="1"/>
  <c r="H333" i="13"/>
  <c r="R333" i="13"/>
  <c r="J333" i="13"/>
  <c r="R132" i="13"/>
  <c r="J132" i="13"/>
  <c r="H132" i="13"/>
  <c r="AK174" i="12"/>
  <c r="Z174" i="12"/>
  <c r="AI174" i="12"/>
  <c r="Z219" i="12"/>
  <c r="AK219" i="12"/>
  <c r="AJ219" i="12"/>
  <c r="H54" i="13"/>
  <c r="R54" i="13"/>
  <c r="J54" i="13"/>
  <c r="AC133" i="8"/>
  <c r="AB133" i="8"/>
  <c r="AP133" i="8"/>
  <c r="AD133" i="8"/>
  <c r="AA133" i="8"/>
  <c r="U133" i="8"/>
  <c r="AK133" i="8"/>
  <c r="AJ133" i="8"/>
  <c r="V133" i="8"/>
  <c r="Y133" i="8" s="1"/>
  <c r="R33" i="13"/>
  <c r="J33" i="13"/>
  <c r="H33" i="13"/>
  <c r="Q37" i="12"/>
  <c r="AG37" i="12" s="1"/>
  <c r="AF37" i="12"/>
  <c r="V37" i="12"/>
  <c r="AA37" i="12"/>
  <c r="AI180" i="12"/>
  <c r="Z180" i="12"/>
  <c r="AJ180" i="12"/>
  <c r="AK270" i="12"/>
  <c r="AJ270" i="12"/>
  <c r="Z270" i="12"/>
  <c r="V139" i="12"/>
  <c r="Y139" i="12" s="1"/>
  <c r="AF139" i="12"/>
  <c r="Q139" i="12"/>
  <c r="AG139" i="12" s="1"/>
  <c r="AI337" i="8"/>
  <c r="AQ337" i="8" s="1"/>
  <c r="AR337" i="8" s="1"/>
  <c r="F216" i="13"/>
  <c r="F216" i="12"/>
  <c r="AK239" i="12"/>
  <c r="AJ239" i="12"/>
  <c r="Z239" i="12"/>
  <c r="Z111" i="12"/>
  <c r="AJ111" i="12"/>
  <c r="AI111" i="12"/>
  <c r="AI313" i="12"/>
  <c r="Z313" i="12"/>
  <c r="AA313" i="12" s="1"/>
  <c r="AC313" i="12" s="1"/>
  <c r="AJ313" i="12"/>
  <c r="R318" i="13"/>
  <c r="J318" i="13"/>
  <c r="H318" i="13"/>
  <c r="Z218" i="12"/>
  <c r="AK218" i="12"/>
  <c r="AJ218" i="12"/>
  <c r="J322" i="13"/>
  <c r="R322" i="13"/>
  <c r="H322" i="13"/>
  <c r="R118" i="13"/>
  <c r="J118" i="13"/>
  <c r="H118" i="13"/>
  <c r="AJ271" i="12"/>
  <c r="AI271" i="12"/>
  <c r="Z271" i="12"/>
  <c r="J99" i="13"/>
  <c r="R99" i="13"/>
  <c r="H99" i="13"/>
  <c r="J9" i="13"/>
  <c r="R9" i="13"/>
  <c r="H9" i="13"/>
  <c r="O66" i="12"/>
  <c r="AP66" i="8"/>
  <c r="AD66" i="8"/>
  <c r="AC66" i="8"/>
  <c r="AB66" i="8"/>
  <c r="AA66" i="8"/>
  <c r="AJ66" i="8"/>
  <c r="O66" i="8"/>
  <c r="R66" i="8" s="1"/>
  <c r="V66" i="8"/>
  <c r="Y66" i="8" s="1"/>
  <c r="AK66" i="8"/>
  <c r="U66" i="8"/>
  <c r="AJ275" i="12"/>
  <c r="AI275" i="12"/>
  <c r="Z275" i="12"/>
  <c r="AA275" i="12" s="1"/>
  <c r="AC275" i="12" s="1"/>
  <c r="R201" i="13"/>
  <c r="J201" i="13"/>
  <c r="H201" i="13"/>
  <c r="O129" i="12"/>
  <c r="AD129" i="8"/>
  <c r="AC129" i="8"/>
  <c r="AB129" i="8"/>
  <c r="AP129" i="8"/>
  <c r="AA129" i="8"/>
  <c r="O129" i="8"/>
  <c r="R129" i="8" s="1"/>
  <c r="U129" i="8" s="1"/>
  <c r="V129" i="8"/>
  <c r="Y129" i="8" s="1"/>
  <c r="AK129" i="8"/>
  <c r="AJ129" i="8"/>
  <c r="X189" i="8"/>
  <c r="Z189" i="8" s="1"/>
  <c r="AI189" i="8" s="1"/>
  <c r="AQ189" i="8" s="1"/>
  <c r="AR189" i="8" s="1"/>
  <c r="W189" i="8"/>
  <c r="AF189" i="12"/>
  <c r="V189" i="12"/>
  <c r="Q189" i="12"/>
  <c r="AG189" i="12" s="1"/>
  <c r="V146" i="12"/>
  <c r="Y146" i="12" s="1"/>
  <c r="AA146" i="12" s="1"/>
  <c r="AC146" i="12" s="1"/>
  <c r="Q146" i="12"/>
  <c r="AG146" i="12" s="1"/>
  <c r="AF146" i="12"/>
  <c r="Z213" i="12"/>
  <c r="AJ213" i="12"/>
  <c r="AK213" i="12"/>
  <c r="P263" i="13"/>
  <c r="Q62" i="12"/>
  <c r="AG62" i="12" s="1"/>
  <c r="V62" i="12"/>
  <c r="AF62" i="12"/>
  <c r="AA8" i="12"/>
  <c r="Q8" i="12"/>
  <c r="AG8" i="12" s="1"/>
  <c r="AF8" i="12"/>
  <c r="V8" i="12"/>
  <c r="W281" i="8"/>
  <c r="X281" i="8"/>
  <c r="Z281" i="8" s="1"/>
  <c r="AI281" i="8" s="1"/>
  <c r="AQ281" i="8" s="1"/>
  <c r="AR281" i="8" s="1"/>
  <c r="R296" i="13"/>
  <c r="J296" i="13"/>
  <c r="H296" i="13"/>
  <c r="AI199" i="12"/>
  <c r="Z199" i="12"/>
  <c r="AJ199" i="12"/>
  <c r="AI142" i="12"/>
  <c r="Z142" i="12"/>
  <c r="AA142" i="12" s="1"/>
  <c r="AC142" i="12" s="1"/>
  <c r="AK142" i="12"/>
  <c r="X350" i="8"/>
  <c r="Z350" i="8" s="1"/>
  <c r="AI350" i="8" s="1"/>
  <c r="AQ350" i="8" s="1"/>
  <c r="AR350" i="8" s="1"/>
  <c r="W350" i="8"/>
  <c r="AF350" i="12"/>
  <c r="V350" i="12"/>
  <c r="Y350" i="12" s="1"/>
  <c r="AA350" i="12" s="1"/>
  <c r="AC350" i="12" s="1"/>
  <c r="Q350" i="12"/>
  <c r="AG350" i="12" s="1"/>
  <c r="AJ181" i="12"/>
  <c r="Z181" i="12"/>
  <c r="AI181" i="12"/>
  <c r="H182" i="13"/>
  <c r="R182" i="13"/>
  <c r="J182" i="13"/>
  <c r="V325" i="13"/>
  <c r="N325" i="13"/>
  <c r="T325" i="13"/>
  <c r="L325" i="13"/>
  <c r="S325" i="13"/>
  <c r="X325" i="13" s="1"/>
  <c r="I325" i="12" s="1"/>
  <c r="J325" i="12" s="1"/>
  <c r="K325" i="12" s="1"/>
  <c r="K325" i="13"/>
  <c r="P325" i="13" s="1"/>
  <c r="W325" i="13"/>
  <c r="U325" i="13"/>
  <c r="O325" i="13"/>
  <c r="M325" i="13"/>
  <c r="AF168" i="12"/>
  <c r="V168" i="12"/>
  <c r="Y168" i="12" s="1"/>
  <c r="AA168" i="12" s="1"/>
  <c r="AC168" i="12" s="1"/>
  <c r="Q168" i="12"/>
  <c r="AG168" i="12" s="1"/>
  <c r="Z217" i="12"/>
  <c r="AA217" i="12" s="1"/>
  <c r="AC217" i="12" s="1"/>
  <c r="AK217" i="12"/>
  <c r="AJ217" i="12"/>
  <c r="AI217" i="12"/>
  <c r="R20" i="13"/>
  <c r="J20" i="13"/>
  <c r="H20" i="13"/>
  <c r="AF232" i="12"/>
  <c r="Q232" i="12"/>
  <c r="AG232" i="12" s="1"/>
  <c r="V232" i="12"/>
  <c r="Y232" i="12" s="1"/>
  <c r="AA232" i="12" s="1"/>
  <c r="AC232" i="12" s="1"/>
  <c r="AK72" i="12"/>
  <c r="AJ72" i="12"/>
  <c r="Z72" i="12"/>
  <c r="AI72" i="12"/>
  <c r="AI226" i="12"/>
  <c r="AK226" i="12"/>
  <c r="Z226" i="12"/>
  <c r="AI163" i="8"/>
  <c r="AQ163" i="8" s="1"/>
  <c r="AR163" i="8" s="1"/>
  <c r="R12" i="13"/>
  <c r="J12" i="13"/>
  <c r="H12" i="13"/>
  <c r="V273" i="8"/>
  <c r="Y273" i="8" s="1"/>
  <c r="U273" i="8"/>
  <c r="H39" i="13"/>
  <c r="R39" i="13"/>
  <c r="J39" i="13"/>
  <c r="R29" i="13"/>
  <c r="J29" i="13"/>
  <c r="H29" i="13"/>
  <c r="AF231" i="12"/>
  <c r="Q231" i="12"/>
  <c r="AG231" i="12" s="1"/>
  <c r="V231" i="12"/>
  <c r="Y231" i="12" s="1"/>
  <c r="AA231" i="12" s="1"/>
  <c r="AC231" i="12" s="1"/>
  <c r="O133" i="12"/>
  <c r="R110" i="13"/>
  <c r="X110" i="13" s="1"/>
  <c r="I110" i="12" s="1"/>
  <c r="J110" i="12" s="1"/>
  <c r="J110" i="13"/>
  <c r="P110" i="13" s="1"/>
  <c r="R252" i="13"/>
  <c r="J252" i="13"/>
  <c r="H252" i="13"/>
  <c r="R273" i="13"/>
  <c r="J273" i="13"/>
  <c r="H273" i="13"/>
  <c r="AI86" i="12"/>
  <c r="Z86" i="12"/>
  <c r="AJ86" i="12"/>
  <c r="AJ359" i="12"/>
  <c r="AI359" i="12"/>
  <c r="Z359" i="12"/>
  <c r="R262" i="13"/>
  <c r="X262" i="13" s="1"/>
  <c r="I262" i="12" s="1"/>
  <c r="J262" i="12" s="1"/>
  <c r="K262" i="12" s="1"/>
  <c r="J262" i="13"/>
  <c r="P262" i="13" s="1"/>
  <c r="W257" i="8"/>
  <c r="X257" i="8"/>
  <c r="Z257" i="8" s="1"/>
  <c r="AI257" i="8" s="1"/>
  <c r="AQ257" i="8" s="1"/>
  <c r="AR257" i="8" s="1"/>
  <c r="AK47" i="12"/>
  <c r="AJ47" i="12"/>
  <c r="Z47" i="12"/>
  <c r="AK38" i="12"/>
  <c r="AJ38" i="12"/>
  <c r="Z38" i="12"/>
  <c r="R311" i="13"/>
  <c r="X311" i="13" s="1"/>
  <c r="I311" i="12" s="1"/>
  <c r="J311" i="12" s="1"/>
  <c r="J311" i="13"/>
  <c r="P311" i="13" s="1"/>
  <c r="Z220" i="12"/>
  <c r="AK220" i="12"/>
  <c r="AJ220" i="12"/>
  <c r="Z250" i="8"/>
  <c r="AI250" i="8" s="1"/>
  <c r="AQ250" i="8" s="1"/>
  <c r="AR250" i="8" s="1"/>
  <c r="X324" i="8"/>
  <c r="Z324" i="8" s="1"/>
  <c r="AI324" i="8" s="1"/>
  <c r="AQ324" i="8" s="1"/>
  <c r="AR324" i="8" s="1"/>
  <c r="W324" i="8"/>
  <c r="Q134" i="12"/>
  <c r="AG134" i="12" s="1"/>
  <c r="V134" i="12"/>
  <c r="AF134" i="12"/>
  <c r="R320" i="13"/>
  <c r="J320" i="13"/>
  <c r="H320" i="13"/>
  <c r="Q210" i="12"/>
  <c r="AG210" i="12" s="1"/>
  <c r="AF210" i="12"/>
  <c r="V210" i="12"/>
  <c r="Y210" i="12" s="1"/>
  <c r="W352" i="8"/>
  <c r="Q294" i="12"/>
  <c r="AG294" i="12" s="1"/>
  <c r="V294" i="12"/>
  <c r="Y294" i="12" s="1"/>
  <c r="AF294" i="12"/>
  <c r="R260" i="13"/>
  <c r="J260" i="13"/>
  <c r="H260" i="13"/>
  <c r="R109" i="8"/>
  <c r="H240" i="13"/>
  <c r="R240" i="13"/>
  <c r="J240" i="13"/>
  <c r="X176" i="8"/>
  <c r="Z176" i="8" s="1"/>
  <c r="AI176" i="8" s="1"/>
  <c r="AQ176" i="8" s="1"/>
  <c r="AR176" i="8" s="1"/>
  <c r="W176" i="8"/>
  <c r="R188" i="8"/>
  <c r="AH63" i="12" l="1"/>
  <c r="AK63" i="12" s="1"/>
  <c r="AH208" i="12"/>
  <c r="AI208" i="12" s="1"/>
  <c r="AH294" i="12"/>
  <c r="AH168" i="12"/>
  <c r="AI168" i="12" s="1"/>
  <c r="AH32" i="12"/>
  <c r="AH143" i="12"/>
  <c r="AO241" i="12"/>
  <c r="AO9" i="12"/>
  <c r="AH111" i="12"/>
  <c r="AK111" i="12" s="1"/>
  <c r="AH329" i="12"/>
  <c r="AI329" i="12" s="1"/>
  <c r="AH146" i="12"/>
  <c r="AI146" i="12" s="1"/>
  <c r="AH192" i="12"/>
  <c r="AI192" i="12" s="1"/>
  <c r="AH210" i="12"/>
  <c r="AH334" i="12"/>
  <c r="AH65" i="12"/>
  <c r="AH59" i="12"/>
  <c r="AL59" i="12" s="1"/>
  <c r="AH286" i="12"/>
  <c r="AI286" i="12" s="1"/>
  <c r="AA192" i="12"/>
  <c r="AC192" i="12" s="1"/>
  <c r="AA270" i="12"/>
  <c r="AC270" i="12" s="1"/>
  <c r="AH243" i="12"/>
  <c r="AK243" i="12" s="1"/>
  <c r="AA353" i="12"/>
  <c r="AC353" i="12" s="1"/>
  <c r="AO99" i="12"/>
  <c r="AH270" i="12"/>
  <c r="AI270" i="12" s="1"/>
  <c r="AH333" i="12"/>
  <c r="AK333" i="12" s="1"/>
  <c r="AB361" i="8"/>
  <c r="AO310" i="12"/>
  <c r="AJ361" i="8"/>
  <c r="AO112" i="12"/>
  <c r="AO266" i="12"/>
  <c r="AA361" i="8"/>
  <c r="AO235" i="12"/>
  <c r="AA139" i="12"/>
  <c r="AC139" i="12" s="1"/>
  <c r="W78" i="8"/>
  <c r="AA77" i="12"/>
  <c r="AC77" i="12" s="1"/>
  <c r="AK361" i="8"/>
  <c r="Y352" i="12"/>
  <c r="AA352" i="12" s="1"/>
  <c r="AC352" i="12" s="1"/>
  <c r="D50" i="11" s="1"/>
  <c r="G50" i="11" s="1"/>
  <c r="AH164" i="12"/>
  <c r="AH155" i="12"/>
  <c r="AH123" i="12"/>
  <c r="AJ123" i="12" s="1"/>
  <c r="AD361" i="8"/>
  <c r="Z78" i="8"/>
  <c r="AI78" i="8" s="1"/>
  <c r="AQ78" i="8" s="1"/>
  <c r="AR78" i="8" s="1"/>
  <c r="AH77" i="12"/>
  <c r="AI77" i="12" s="1"/>
  <c r="AC70" i="12"/>
  <c r="AH170" i="12"/>
  <c r="AL170" i="12" s="1"/>
  <c r="W131" i="8"/>
  <c r="AA95" i="12"/>
  <c r="AC95" i="12" s="1"/>
  <c r="AA88" i="12"/>
  <c r="AC88" i="12" s="1"/>
  <c r="AO150" i="12"/>
  <c r="AH110" i="12"/>
  <c r="AJ110" i="12" s="1"/>
  <c r="AH139" i="12"/>
  <c r="AI139" i="12" s="1"/>
  <c r="AO171" i="12"/>
  <c r="AA119" i="12"/>
  <c r="AC119" i="12" s="1"/>
  <c r="AC361" i="8"/>
  <c r="AH76" i="12"/>
  <c r="Z131" i="8"/>
  <c r="AI131" i="8" s="1"/>
  <c r="AQ131" i="8" s="1"/>
  <c r="AR131" i="8" s="1"/>
  <c r="AH225" i="12"/>
  <c r="AI225" i="12" s="1"/>
  <c r="AH142" i="12"/>
  <c r="AJ142" i="12" s="1"/>
  <c r="AH96" i="12"/>
  <c r="AH277" i="12"/>
  <c r="AO19" i="12"/>
  <c r="AO98" i="12"/>
  <c r="AA111" i="12"/>
  <c r="AC111" i="12" s="1"/>
  <c r="AO125" i="12"/>
  <c r="AH90" i="12"/>
  <c r="AK90" i="12" s="1"/>
  <c r="AO90" i="12" s="1"/>
  <c r="AH118" i="12"/>
  <c r="AI118" i="12" s="1"/>
  <c r="AA282" i="12"/>
  <c r="AC282" i="12" s="1"/>
  <c r="AP361" i="8"/>
  <c r="AH214" i="12"/>
  <c r="AJ214" i="12" s="1"/>
  <c r="X295" i="8"/>
  <c r="AB272" i="12"/>
  <c r="AC272" i="12" s="1"/>
  <c r="AQ272" i="12"/>
  <c r="AP272" i="12"/>
  <c r="X240" i="8"/>
  <c r="Z240" i="8" s="1"/>
  <c r="AI240" i="8" s="1"/>
  <c r="AQ240" i="8" s="1"/>
  <c r="AR240" i="8" s="1"/>
  <c r="W240" i="8"/>
  <c r="X144" i="8"/>
  <c r="AR352" i="8"/>
  <c r="D50" i="1"/>
  <c r="AE263" i="12"/>
  <c r="AH263" i="12" s="1"/>
  <c r="AQ263" i="12"/>
  <c r="X263" i="12"/>
  <c r="AP263" i="12"/>
  <c r="AR263" i="12" s="1"/>
  <c r="AB263" i="12"/>
  <c r="AQ346" i="12"/>
  <c r="AP346" i="12"/>
  <c r="X346" i="12"/>
  <c r="AE346" i="12"/>
  <c r="AB346" i="12"/>
  <c r="AR288" i="8"/>
  <c r="W249" i="8"/>
  <c r="X249" i="8"/>
  <c r="Z249" i="8" s="1"/>
  <c r="AI249" i="8" s="1"/>
  <c r="AQ249" i="8" s="1"/>
  <c r="AR249" i="8" s="1"/>
  <c r="X311" i="8"/>
  <c r="AQ152" i="12"/>
  <c r="X152" i="12"/>
  <c r="Y152" i="12" s="1"/>
  <c r="AA152" i="12" s="1"/>
  <c r="AP152" i="12"/>
  <c r="AE152" i="12"/>
  <c r="AH152" i="12" s="1"/>
  <c r="AB152" i="12"/>
  <c r="AB325" i="12"/>
  <c r="AC325" i="12" s="1"/>
  <c r="AQ325" i="12"/>
  <c r="AP325" i="12"/>
  <c r="AR325" i="12" s="1"/>
  <c r="X325" i="12"/>
  <c r="Y325" i="12" s="1"/>
  <c r="AE325" i="12"/>
  <c r="AH325" i="12" s="1"/>
  <c r="X264" i="8"/>
  <c r="X304" i="8"/>
  <c r="Z304" i="8" s="1"/>
  <c r="AI304" i="8" s="1"/>
  <c r="AQ304" i="8" s="1"/>
  <c r="AR304" i="8" s="1"/>
  <c r="W304" i="8"/>
  <c r="X173" i="8"/>
  <c r="Z173" i="8" s="1"/>
  <c r="AI173" i="8" s="1"/>
  <c r="AQ173" i="8" s="1"/>
  <c r="AR173" i="8" s="1"/>
  <c r="W173" i="8"/>
  <c r="X129" i="8"/>
  <c r="Z129" i="8" s="1"/>
  <c r="AI129" i="8" s="1"/>
  <c r="AQ129" i="8" s="1"/>
  <c r="AR129" i="8" s="1"/>
  <c r="W129" i="8"/>
  <c r="X284" i="8"/>
  <c r="X180" i="8"/>
  <c r="X234" i="8"/>
  <c r="Z234" i="8" s="1"/>
  <c r="AI234" i="8" s="1"/>
  <c r="AQ234" i="8" s="1"/>
  <c r="W234" i="8"/>
  <c r="X85" i="8"/>
  <c r="AQ55" i="12"/>
  <c r="X55" i="12"/>
  <c r="AE55" i="12"/>
  <c r="AH55" i="12" s="1"/>
  <c r="AP55" i="12"/>
  <c r="AB55" i="12"/>
  <c r="AK255" i="12"/>
  <c r="AJ255" i="12"/>
  <c r="Z255" i="12"/>
  <c r="X330" i="8"/>
  <c r="Z330" i="8" s="1"/>
  <c r="AI330" i="8" s="1"/>
  <c r="AQ330" i="8" s="1"/>
  <c r="AR330" i="8" s="1"/>
  <c r="W330" i="8"/>
  <c r="X93" i="8"/>
  <c r="Z93" i="8" s="1"/>
  <c r="AI93" i="8" s="1"/>
  <c r="AQ93" i="8" s="1"/>
  <c r="AR93" i="8" s="1"/>
  <c r="W93" i="8"/>
  <c r="AF93" i="12"/>
  <c r="AA93" i="12"/>
  <c r="AC93" i="12" s="1"/>
  <c r="Q93" i="12"/>
  <c r="AG93" i="12" s="1"/>
  <c r="V93" i="12"/>
  <c r="Y93" i="12" s="1"/>
  <c r="J354" i="13"/>
  <c r="R354" i="13"/>
  <c r="H354" i="13"/>
  <c r="X36" i="8"/>
  <c r="Z36" i="8" s="1"/>
  <c r="AI36" i="8" s="1"/>
  <c r="AQ36" i="8" s="1"/>
  <c r="AR36" i="8" s="1"/>
  <c r="W36" i="8"/>
  <c r="AK68" i="12"/>
  <c r="Z68" i="12"/>
  <c r="AJ68" i="12"/>
  <c r="X216" i="8"/>
  <c r="Z216" i="8" s="1"/>
  <c r="AI216" i="8" s="1"/>
  <c r="AQ216" i="8" s="1"/>
  <c r="AR216" i="8" s="1"/>
  <c r="W216" i="8"/>
  <c r="Q216" i="12"/>
  <c r="AG216" i="12" s="1"/>
  <c r="AA216" i="12"/>
  <c r="AC216" i="12" s="1"/>
  <c r="V216" i="12"/>
  <c r="Y216" i="12" s="1"/>
  <c r="AF216" i="12"/>
  <c r="AK294" i="12"/>
  <c r="Z294" i="12"/>
  <c r="AJ294" i="12"/>
  <c r="AI294" i="12"/>
  <c r="AL76" i="12"/>
  <c r="Q197" i="12"/>
  <c r="AG197" i="12" s="1"/>
  <c r="AF197" i="12"/>
  <c r="V197" i="12"/>
  <c r="AQ27" i="12"/>
  <c r="X27" i="12"/>
  <c r="AP27" i="12"/>
  <c r="AE27" i="12"/>
  <c r="AB27" i="12"/>
  <c r="AL65" i="12"/>
  <c r="T42" i="13"/>
  <c r="L42" i="13"/>
  <c r="S42" i="13"/>
  <c r="K42" i="13"/>
  <c r="P42" i="13" s="1"/>
  <c r="W42" i="13"/>
  <c r="O42" i="13"/>
  <c r="V42" i="13"/>
  <c r="N42" i="13"/>
  <c r="U42" i="13"/>
  <c r="M42" i="13"/>
  <c r="W312" i="13"/>
  <c r="O312" i="13"/>
  <c r="V312" i="13"/>
  <c r="N312" i="13"/>
  <c r="U312" i="13"/>
  <c r="M312" i="13"/>
  <c r="P312" i="13" s="1"/>
  <c r="T312" i="13"/>
  <c r="L312" i="13"/>
  <c r="S312" i="13"/>
  <c r="K312" i="13"/>
  <c r="X122" i="8"/>
  <c r="Z122" i="8" s="1"/>
  <c r="AI122" i="8" s="1"/>
  <c r="AQ122" i="8" s="1"/>
  <c r="AR122" i="8" s="1"/>
  <c r="W122" i="8"/>
  <c r="AA122" i="12"/>
  <c r="V122" i="12"/>
  <c r="AF122" i="12"/>
  <c r="Q122" i="12"/>
  <c r="AG122" i="12" s="1"/>
  <c r="R300" i="13"/>
  <c r="J300" i="13"/>
  <c r="H300" i="13"/>
  <c r="W170" i="13"/>
  <c r="O170" i="13"/>
  <c r="V170" i="13"/>
  <c r="N170" i="13"/>
  <c r="U170" i="13"/>
  <c r="M170" i="13"/>
  <c r="T170" i="13"/>
  <c r="L170" i="13"/>
  <c r="S170" i="13"/>
  <c r="K170" i="13"/>
  <c r="V97" i="12"/>
  <c r="AA97" i="12"/>
  <c r="AF97" i="12"/>
  <c r="Q97" i="12"/>
  <c r="AG97" i="12" s="1"/>
  <c r="W356" i="13"/>
  <c r="O356" i="13"/>
  <c r="V356" i="13"/>
  <c r="N356" i="13"/>
  <c r="U356" i="13"/>
  <c r="M356" i="13"/>
  <c r="T356" i="13"/>
  <c r="X356" i="13" s="1"/>
  <c r="I356" i="12" s="1"/>
  <c r="J356" i="12" s="1"/>
  <c r="L356" i="13"/>
  <c r="K356" i="13"/>
  <c r="S356" i="13"/>
  <c r="X184" i="8"/>
  <c r="Z184" i="8" s="1"/>
  <c r="AI184" i="8" s="1"/>
  <c r="AQ184" i="8" s="1"/>
  <c r="AR184" i="8" s="1"/>
  <c r="W184" i="8"/>
  <c r="X275" i="8"/>
  <c r="Z275" i="8" s="1"/>
  <c r="AI275" i="8" s="1"/>
  <c r="AQ275" i="8" s="1"/>
  <c r="AR275" i="8" s="1"/>
  <c r="W275" i="8"/>
  <c r="AP221" i="12"/>
  <c r="X221" i="12"/>
  <c r="AB221" i="12"/>
  <c r="AE221" i="12"/>
  <c r="AQ221" i="12"/>
  <c r="AL270" i="12"/>
  <c r="U112" i="13"/>
  <c r="X112" i="13" s="1"/>
  <c r="I112" i="12" s="1"/>
  <c r="J112" i="12" s="1"/>
  <c r="K112" i="12" s="1"/>
  <c r="L112" i="13"/>
  <c r="T112" i="13"/>
  <c r="S112" i="13"/>
  <c r="O112" i="13"/>
  <c r="W112" i="13"/>
  <c r="N112" i="13"/>
  <c r="V112" i="13"/>
  <c r="M112" i="13"/>
  <c r="P112" i="13" s="1"/>
  <c r="K112" i="13"/>
  <c r="V295" i="8"/>
  <c r="Y295" i="8" s="1"/>
  <c r="W343" i="13"/>
  <c r="O343" i="13"/>
  <c r="V343" i="13"/>
  <c r="N343" i="13"/>
  <c r="U343" i="13"/>
  <c r="M343" i="13"/>
  <c r="S343" i="13"/>
  <c r="K343" i="13"/>
  <c r="T343" i="13"/>
  <c r="L343" i="13"/>
  <c r="W122" i="13"/>
  <c r="O122" i="13"/>
  <c r="V122" i="13"/>
  <c r="N122" i="13"/>
  <c r="U122" i="13"/>
  <c r="M122" i="13"/>
  <c r="T122" i="13"/>
  <c r="L122" i="13"/>
  <c r="S122" i="13"/>
  <c r="X122" i="13" s="1"/>
  <c r="I122" i="12" s="1"/>
  <c r="J122" i="12" s="1"/>
  <c r="K122" i="12" s="1"/>
  <c r="K122" i="13"/>
  <c r="P122" i="13" s="1"/>
  <c r="AR265" i="8"/>
  <c r="D37" i="1"/>
  <c r="R194" i="13"/>
  <c r="J194" i="13"/>
  <c r="H194" i="13"/>
  <c r="AL164" i="12"/>
  <c r="X84" i="8"/>
  <c r="Z84" i="8" s="1"/>
  <c r="AI84" i="8" s="1"/>
  <c r="AQ84" i="8" s="1"/>
  <c r="AR84" i="8" s="1"/>
  <c r="W84" i="8"/>
  <c r="AK52" i="12"/>
  <c r="AJ52" i="12"/>
  <c r="Z52" i="12"/>
  <c r="W314" i="13"/>
  <c r="O314" i="13"/>
  <c r="V314" i="13"/>
  <c r="N314" i="13"/>
  <c r="U314" i="13"/>
  <c r="M314" i="13"/>
  <c r="T314" i="13"/>
  <c r="L314" i="13"/>
  <c r="S314" i="13"/>
  <c r="K314" i="13"/>
  <c r="T103" i="13"/>
  <c r="K103" i="13"/>
  <c r="P103" i="13" s="1"/>
  <c r="W103" i="13"/>
  <c r="N103" i="13"/>
  <c r="V103" i="13"/>
  <c r="M103" i="13"/>
  <c r="U103" i="13"/>
  <c r="L103" i="13"/>
  <c r="O103" i="13"/>
  <c r="S103" i="13"/>
  <c r="V311" i="8"/>
  <c r="Y311" i="8" s="1"/>
  <c r="W146" i="13"/>
  <c r="O146" i="13"/>
  <c r="V146" i="13"/>
  <c r="N146" i="13"/>
  <c r="U146" i="13"/>
  <c r="M146" i="13"/>
  <c r="T146" i="13"/>
  <c r="L146" i="13"/>
  <c r="P146" i="13" s="1"/>
  <c r="S146" i="13"/>
  <c r="K146" i="13"/>
  <c r="X280" i="8"/>
  <c r="Z280" i="8" s="1"/>
  <c r="AI280" i="8" s="1"/>
  <c r="AQ280" i="8" s="1"/>
  <c r="AR280" i="8" s="1"/>
  <c r="W280" i="8"/>
  <c r="S65" i="13"/>
  <c r="K65" i="13"/>
  <c r="W65" i="13"/>
  <c r="O65" i="13"/>
  <c r="V65" i="13"/>
  <c r="N65" i="13"/>
  <c r="U65" i="13"/>
  <c r="M65" i="13"/>
  <c r="P65" i="13" s="1"/>
  <c r="T65" i="13"/>
  <c r="L65" i="13"/>
  <c r="AL39" i="12"/>
  <c r="AO39" i="12" s="1"/>
  <c r="X107" i="8"/>
  <c r="Z107" i="8" s="1"/>
  <c r="AI107" i="8" s="1"/>
  <c r="AQ107" i="8" s="1"/>
  <c r="AR107" i="8" s="1"/>
  <c r="W107" i="8"/>
  <c r="H249" i="13"/>
  <c r="R249" i="13"/>
  <c r="J249" i="13"/>
  <c r="X310" i="8"/>
  <c r="Z310" i="8" s="1"/>
  <c r="AI310" i="8" s="1"/>
  <c r="AQ310" i="8" s="1"/>
  <c r="AR310" i="8" s="1"/>
  <c r="W310" i="8"/>
  <c r="W11" i="13"/>
  <c r="O11" i="13"/>
  <c r="V11" i="13"/>
  <c r="N11" i="13"/>
  <c r="U11" i="13"/>
  <c r="M11" i="13"/>
  <c r="P11" i="13" s="1"/>
  <c r="T11" i="13"/>
  <c r="L11" i="13"/>
  <c r="S11" i="13"/>
  <c r="K11" i="13"/>
  <c r="X260" i="8"/>
  <c r="Z260" i="8" s="1"/>
  <c r="AI260" i="8" s="1"/>
  <c r="AQ260" i="8" s="1"/>
  <c r="AR260" i="8" s="1"/>
  <c r="W260" i="8"/>
  <c r="U281" i="13"/>
  <c r="M281" i="13"/>
  <c r="T281" i="13"/>
  <c r="L281" i="13"/>
  <c r="S281" i="13"/>
  <c r="K281" i="13"/>
  <c r="W281" i="13"/>
  <c r="O281" i="13"/>
  <c r="P281" i="13" s="1"/>
  <c r="N281" i="13"/>
  <c r="V281" i="13"/>
  <c r="Z307" i="8"/>
  <c r="AI307" i="8" s="1"/>
  <c r="AQ307" i="8" s="1"/>
  <c r="AR307" i="8" s="1"/>
  <c r="AL123" i="12"/>
  <c r="AN123" i="12" s="1"/>
  <c r="AO123" i="12" s="1"/>
  <c r="V284" i="8"/>
  <c r="Y284" i="8" s="1"/>
  <c r="V80" i="13"/>
  <c r="N80" i="13"/>
  <c r="U80" i="13"/>
  <c r="M80" i="13"/>
  <c r="T80" i="13"/>
  <c r="L80" i="13"/>
  <c r="O80" i="13"/>
  <c r="K80" i="13"/>
  <c r="W80" i="13"/>
  <c r="S80" i="13"/>
  <c r="W220" i="13"/>
  <c r="O220" i="13"/>
  <c r="V220" i="13"/>
  <c r="N220" i="13"/>
  <c r="U220" i="13"/>
  <c r="M220" i="13"/>
  <c r="T220" i="13"/>
  <c r="L220" i="13"/>
  <c r="S220" i="13"/>
  <c r="K220" i="13"/>
  <c r="P220" i="13" s="1"/>
  <c r="AI164" i="12"/>
  <c r="AO164" i="12" s="1"/>
  <c r="V142" i="13"/>
  <c r="N142" i="13"/>
  <c r="U142" i="13"/>
  <c r="M142" i="13"/>
  <c r="T142" i="13"/>
  <c r="L142" i="13"/>
  <c r="P142" i="13" s="1"/>
  <c r="S142" i="13"/>
  <c r="K142" i="13"/>
  <c r="W142" i="13"/>
  <c r="O142" i="13"/>
  <c r="W213" i="13"/>
  <c r="O213" i="13"/>
  <c r="V213" i="13"/>
  <c r="N213" i="13"/>
  <c r="U213" i="13"/>
  <c r="M213" i="13"/>
  <c r="T213" i="13"/>
  <c r="L213" i="13"/>
  <c r="S213" i="13"/>
  <c r="K213" i="13"/>
  <c r="P213" i="13" s="1"/>
  <c r="AP271" i="12"/>
  <c r="X271" i="12"/>
  <c r="AB271" i="12"/>
  <c r="AQ271" i="12"/>
  <c r="AE271" i="12"/>
  <c r="AH271" i="12" s="1"/>
  <c r="X333" i="8"/>
  <c r="Z333" i="8" s="1"/>
  <c r="AI333" i="8" s="1"/>
  <c r="AQ333" i="8" s="1"/>
  <c r="AR333" i="8" s="1"/>
  <c r="W333" i="8"/>
  <c r="W213" i="8"/>
  <c r="X213" i="8"/>
  <c r="Z213" i="8" s="1"/>
  <c r="AI213" i="8" s="1"/>
  <c r="AQ213" i="8" s="1"/>
  <c r="AR213" i="8" s="1"/>
  <c r="V240" i="12"/>
  <c r="Y240" i="12" s="1"/>
  <c r="AA240" i="12" s="1"/>
  <c r="AC240" i="12" s="1"/>
  <c r="AF240" i="12"/>
  <c r="Q240" i="12"/>
  <c r="AG240" i="12" s="1"/>
  <c r="AQ69" i="12"/>
  <c r="AE69" i="12"/>
  <c r="AB69" i="12"/>
  <c r="X69" i="12"/>
  <c r="AP69" i="12"/>
  <c r="W31" i="13"/>
  <c r="O31" i="13"/>
  <c r="V31" i="13"/>
  <c r="X31" i="13" s="1"/>
  <c r="I31" i="12" s="1"/>
  <c r="J31" i="12" s="1"/>
  <c r="K31" i="12" s="1"/>
  <c r="N31" i="13"/>
  <c r="U31" i="13"/>
  <c r="M31" i="13"/>
  <c r="T31" i="13"/>
  <c r="L31" i="13"/>
  <c r="S31" i="13"/>
  <c r="K31" i="13"/>
  <c r="P161" i="13"/>
  <c r="AE191" i="12"/>
  <c r="AH191" i="12" s="1"/>
  <c r="AQ191" i="12"/>
  <c r="AB191" i="12"/>
  <c r="X191" i="12"/>
  <c r="AP191" i="12"/>
  <c r="AR191" i="12" s="1"/>
  <c r="X255" i="8"/>
  <c r="Z255" i="8" s="1"/>
  <c r="AI255" i="8" s="1"/>
  <c r="AQ255" i="8" s="1"/>
  <c r="AR255" i="8" s="1"/>
  <c r="W255" i="8"/>
  <c r="AB227" i="12"/>
  <c r="AQ227" i="12"/>
  <c r="X227" i="12"/>
  <c r="AE227" i="12"/>
  <c r="AH227" i="12" s="1"/>
  <c r="AP227" i="12"/>
  <c r="T264" i="13"/>
  <c r="L264" i="13"/>
  <c r="S264" i="13"/>
  <c r="K264" i="13"/>
  <c r="P264" i="13" s="1"/>
  <c r="W264" i="13"/>
  <c r="O264" i="13"/>
  <c r="V264" i="13"/>
  <c r="N264" i="13"/>
  <c r="U264" i="13"/>
  <c r="M264" i="13"/>
  <c r="AJ166" i="12"/>
  <c r="Z166" i="12"/>
  <c r="AK166" i="12"/>
  <c r="W209" i="8"/>
  <c r="X209" i="8"/>
  <c r="Z209" i="8" s="1"/>
  <c r="AI209" i="8" s="1"/>
  <c r="AQ209" i="8" s="1"/>
  <c r="AR209" i="8" s="1"/>
  <c r="Z227" i="8"/>
  <c r="AI227" i="8" s="1"/>
  <c r="AQ227" i="8" s="1"/>
  <c r="AR227" i="8" s="1"/>
  <c r="W263" i="8"/>
  <c r="Z251" i="8"/>
  <c r="AI251" i="8" s="1"/>
  <c r="AQ251" i="8" s="1"/>
  <c r="AR251" i="8" s="1"/>
  <c r="Z276" i="8"/>
  <c r="AI276" i="8" s="1"/>
  <c r="AQ276" i="8" s="1"/>
  <c r="X282" i="8"/>
  <c r="Z282" i="8" s="1"/>
  <c r="AI282" i="8" s="1"/>
  <c r="AQ282" i="8" s="1"/>
  <c r="AR282" i="8" s="1"/>
  <c r="W282" i="8"/>
  <c r="W322" i="8"/>
  <c r="W327" i="8"/>
  <c r="W246" i="8"/>
  <c r="X43" i="8"/>
  <c r="Z43" i="8" s="1"/>
  <c r="AI43" i="8" s="1"/>
  <c r="AQ43" i="8" s="1"/>
  <c r="AR43" i="8" s="1"/>
  <c r="W43" i="8"/>
  <c r="AL210" i="12"/>
  <c r="T201" i="13"/>
  <c r="X201" i="13" s="1"/>
  <c r="I201" i="12" s="1"/>
  <c r="J201" i="12" s="1"/>
  <c r="K201" i="12" s="1"/>
  <c r="L201" i="13"/>
  <c r="S201" i="13"/>
  <c r="K201" i="13"/>
  <c r="P201" i="13" s="1"/>
  <c r="W201" i="13"/>
  <c r="O201" i="13"/>
  <c r="V201" i="13"/>
  <c r="N201" i="13"/>
  <c r="M201" i="13"/>
  <c r="U201" i="13"/>
  <c r="T66" i="13"/>
  <c r="L66" i="13"/>
  <c r="P66" i="13" s="1"/>
  <c r="S66" i="13"/>
  <c r="X66" i="13" s="1"/>
  <c r="I66" i="12" s="1"/>
  <c r="J66" i="12" s="1"/>
  <c r="K66" i="13"/>
  <c r="W66" i="13"/>
  <c r="O66" i="13"/>
  <c r="V66" i="13"/>
  <c r="N66" i="13"/>
  <c r="U66" i="13"/>
  <c r="M66" i="13"/>
  <c r="O113" i="13"/>
  <c r="W113" i="13"/>
  <c r="N113" i="13"/>
  <c r="V113" i="13"/>
  <c r="M113" i="13"/>
  <c r="U113" i="13"/>
  <c r="L113" i="13"/>
  <c r="S113" i="13"/>
  <c r="T113" i="13"/>
  <c r="K113" i="13"/>
  <c r="T172" i="13"/>
  <c r="L172" i="13"/>
  <c r="S172" i="13"/>
  <c r="K172" i="13"/>
  <c r="P172" i="13" s="1"/>
  <c r="W172" i="13"/>
  <c r="O172" i="13"/>
  <c r="V172" i="13"/>
  <c r="N172" i="13"/>
  <c r="U172" i="13"/>
  <c r="M172" i="13"/>
  <c r="X235" i="13"/>
  <c r="I235" i="12" s="1"/>
  <c r="J235" i="12" s="1"/>
  <c r="K235" i="12" s="1"/>
  <c r="R195" i="13"/>
  <c r="J195" i="13"/>
  <c r="H195" i="13"/>
  <c r="T273" i="13"/>
  <c r="L273" i="13"/>
  <c r="S273" i="13"/>
  <c r="K273" i="13"/>
  <c r="W273" i="13"/>
  <c r="X273" i="13" s="1"/>
  <c r="I273" i="12" s="1"/>
  <c r="J273" i="12" s="1"/>
  <c r="K273" i="12" s="1"/>
  <c r="O273" i="13"/>
  <c r="V273" i="13"/>
  <c r="N273" i="13"/>
  <c r="U273" i="13"/>
  <c r="M273" i="13"/>
  <c r="AF66" i="12"/>
  <c r="Q66" i="12"/>
  <c r="AG66" i="12" s="1"/>
  <c r="V66" i="12"/>
  <c r="Y66" i="12" s="1"/>
  <c r="AA66" i="12" s="1"/>
  <c r="AC66" i="12" s="1"/>
  <c r="X322" i="13"/>
  <c r="I322" i="12" s="1"/>
  <c r="J322" i="12" s="1"/>
  <c r="K322" i="12" s="1"/>
  <c r="W54" i="13"/>
  <c r="O54" i="13"/>
  <c r="V54" i="13"/>
  <c r="N54" i="13"/>
  <c r="U54" i="13"/>
  <c r="M54" i="13"/>
  <c r="T54" i="13"/>
  <c r="L54" i="13"/>
  <c r="P54" i="13" s="1"/>
  <c r="S54" i="13"/>
  <c r="K54" i="13"/>
  <c r="AQ190" i="12"/>
  <c r="AB190" i="12"/>
  <c r="AC190" i="12" s="1"/>
  <c r="X190" i="12"/>
  <c r="AP190" i="12"/>
  <c r="AE190" i="12"/>
  <c r="AH190" i="12" s="1"/>
  <c r="X102" i="13"/>
  <c r="I102" i="12" s="1"/>
  <c r="J102" i="12" s="1"/>
  <c r="X106" i="8"/>
  <c r="Z106" i="8" s="1"/>
  <c r="AI106" i="8" s="1"/>
  <c r="AQ106" i="8" s="1"/>
  <c r="W106" i="8"/>
  <c r="AO131" i="12"/>
  <c r="X355" i="8"/>
  <c r="Z355" i="8" s="1"/>
  <c r="AI355" i="8" s="1"/>
  <c r="AQ355" i="8" s="1"/>
  <c r="AR355" i="8" s="1"/>
  <c r="W355" i="8"/>
  <c r="P98" i="13"/>
  <c r="T13" i="13"/>
  <c r="L13" i="13"/>
  <c r="S13" i="13"/>
  <c r="K13" i="13"/>
  <c r="W13" i="13"/>
  <c r="O13" i="13"/>
  <c r="V13" i="13"/>
  <c r="N13" i="13"/>
  <c r="P13" i="13" s="1"/>
  <c r="U13" i="13"/>
  <c r="M13" i="13"/>
  <c r="U211" i="8"/>
  <c r="U320" i="8"/>
  <c r="Q221" i="12"/>
  <c r="AG221" i="12" s="1"/>
  <c r="AF221" i="12"/>
  <c r="V221" i="12"/>
  <c r="R43" i="13"/>
  <c r="J43" i="13"/>
  <c r="H43" i="13"/>
  <c r="X113" i="13"/>
  <c r="I113" i="12" s="1"/>
  <c r="J113" i="12" s="1"/>
  <c r="K113" i="12" s="1"/>
  <c r="T310" i="13"/>
  <c r="X310" i="13" s="1"/>
  <c r="I310" i="12" s="1"/>
  <c r="J310" i="12" s="1"/>
  <c r="K310" i="12" s="1"/>
  <c r="K310" i="13"/>
  <c r="S310" i="13"/>
  <c r="O310" i="13"/>
  <c r="W310" i="13"/>
  <c r="N310" i="13"/>
  <c r="V310" i="13"/>
  <c r="M310" i="13"/>
  <c r="U310" i="13"/>
  <c r="L310" i="13"/>
  <c r="AR245" i="8"/>
  <c r="T256" i="13"/>
  <c r="L256" i="13"/>
  <c r="O256" i="13"/>
  <c r="N256" i="13"/>
  <c r="W256" i="13"/>
  <c r="M256" i="13"/>
  <c r="V256" i="13"/>
  <c r="K256" i="13"/>
  <c r="U256" i="13"/>
  <c r="S256" i="13"/>
  <c r="W351" i="13"/>
  <c r="O351" i="13"/>
  <c r="V351" i="13"/>
  <c r="N351" i="13"/>
  <c r="U351" i="13"/>
  <c r="M351" i="13"/>
  <c r="S351" i="13"/>
  <c r="K351" i="13"/>
  <c r="T351" i="13"/>
  <c r="X351" i="13" s="1"/>
  <c r="I351" i="12" s="1"/>
  <c r="J351" i="12" s="1"/>
  <c r="K351" i="12" s="1"/>
  <c r="L351" i="13"/>
  <c r="W261" i="8"/>
  <c r="X261" i="8"/>
  <c r="Z261" i="8" s="1"/>
  <c r="AI261" i="8" s="1"/>
  <c r="AQ261" i="8" s="1"/>
  <c r="AR261" i="8" s="1"/>
  <c r="W217" i="8"/>
  <c r="X217" i="8"/>
  <c r="Z217" i="8" s="1"/>
  <c r="AI217" i="8" s="1"/>
  <c r="AQ217" i="8" s="1"/>
  <c r="AR217" i="8" s="1"/>
  <c r="S316" i="13"/>
  <c r="K316" i="13"/>
  <c r="W316" i="13"/>
  <c r="O316" i="13"/>
  <c r="V316" i="13"/>
  <c r="N316" i="13"/>
  <c r="U316" i="13"/>
  <c r="M316" i="13"/>
  <c r="T316" i="13"/>
  <c r="L316" i="13"/>
  <c r="S230" i="13"/>
  <c r="K230" i="13"/>
  <c r="W230" i="13"/>
  <c r="O230" i="13"/>
  <c r="V230" i="13"/>
  <c r="N230" i="13"/>
  <c r="U230" i="13"/>
  <c r="X230" i="13" s="1"/>
  <c r="I230" i="12" s="1"/>
  <c r="J230" i="12" s="1"/>
  <c r="K230" i="12" s="1"/>
  <c r="M230" i="13"/>
  <c r="T230" i="13"/>
  <c r="L230" i="13"/>
  <c r="AK130" i="12"/>
  <c r="AI130" i="12"/>
  <c r="AA130" i="12"/>
  <c r="Z130" i="12"/>
  <c r="AJ130" i="12"/>
  <c r="U116" i="8"/>
  <c r="V116" i="12"/>
  <c r="AF116" i="12"/>
  <c r="Q116" i="12"/>
  <c r="AG116" i="12" s="1"/>
  <c r="U138" i="8"/>
  <c r="Q169" i="12"/>
  <c r="AG169" i="12" s="1"/>
  <c r="AF169" i="12"/>
  <c r="V169" i="12"/>
  <c r="Y169" i="12" s="1"/>
  <c r="AR182" i="8"/>
  <c r="S139" i="13"/>
  <c r="K139" i="13"/>
  <c r="W139" i="13"/>
  <c r="O139" i="13"/>
  <c r="V139" i="13"/>
  <c r="N139" i="13"/>
  <c r="U139" i="13"/>
  <c r="M139" i="13"/>
  <c r="T139" i="13"/>
  <c r="L139" i="13"/>
  <c r="R255" i="13"/>
  <c r="J255" i="13"/>
  <c r="H255" i="13"/>
  <c r="X359" i="8"/>
  <c r="Z359" i="8" s="1"/>
  <c r="AI359" i="8" s="1"/>
  <c r="AQ359" i="8" s="1"/>
  <c r="AR359" i="8" s="1"/>
  <c r="W359" i="8"/>
  <c r="U348" i="13"/>
  <c r="M348" i="13"/>
  <c r="T348" i="13"/>
  <c r="L348" i="13"/>
  <c r="S348" i="13"/>
  <c r="K348" i="13"/>
  <c r="W348" i="13"/>
  <c r="X348" i="13" s="1"/>
  <c r="I348" i="12" s="1"/>
  <c r="J348" i="12" s="1"/>
  <c r="K348" i="12" s="1"/>
  <c r="O348" i="13"/>
  <c r="V348" i="13"/>
  <c r="N348" i="13"/>
  <c r="T108" i="13"/>
  <c r="L108" i="13"/>
  <c r="W108" i="13"/>
  <c r="O108" i="13"/>
  <c r="V108" i="13"/>
  <c r="N108" i="13"/>
  <c r="U108" i="13"/>
  <c r="M108" i="13"/>
  <c r="P108" i="13" s="1"/>
  <c r="S108" i="13"/>
  <c r="K108" i="13"/>
  <c r="X83" i="8"/>
  <c r="Z83" i="8" s="1"/>
  <c r="AI83" i="8" s="1"/>
  <c r="AQ83" i="8" s="1"/>
  <c r="AR83" i="8" s="1"/>
  <c r="W83" i="8"/>
  <c r="R68" i="13"/>
  <c r="J68" i="13"/>
  <c r="H68" i="13"/>
  <c r="R294" i="13"/>
  <c r="J294" i="13"/>
  <c r="H294" i="13"/>
  <c r="W63" i="8"/>
  <c r="X63" i="8"/>
  <c r="Z63" i="8" s="1"/>
  <c r="AI63" i="8" s="1"/>
  <c r="AQ63" i="8" s="1"/>
  <c r="AR63" i="8" s="1"/>
  <c r="U23" i="8"/>
  <c r="Q27" i="12"/>
  <c r="AG27" i="12" s="1"/>
  <c r="AF27" i="12"/>
  <c r="V27" i="12"/>
  <c r="Y27" i="12" s="1"/>
  <c r="AA27" i="12" s="1"/>
  <c r="AC27" i="12" s="1"/>
  <c r="AH172" i="12"/>
  <c r="U148" i="8"/>
  <c r="V148" i="8"/>
  <c r="Y148" i="8" s="1"/>
  <c r="AR60" i="8"/>
  <c r="X117" i="8"/>
  <c r="Z117" i="8" s="1"/>
  <c r="AI117" i="8" s="1"/>
  <c r="AQ117" i="8" s="1"/>
  <c r="AR117" i="8" s="1"/>
  <c r="W117" i="8"/>
  <c r="T34" i="13"/>
  <c r="L34" i="13"/>
  <c r="S34" i="13"/>
  <c r="K34" i="13"/>
  <c r="W34" i="13"/>
  <c r="O34" i="13"/>
  <c r="V34" i="13"/>
  <c r="N34" i="13"/>
  <c r="P34" i="13" s="1"/>
  <c r="U34" i="13"/>
  <c r="M34" i="13"/>
  <c r="U328" i="8"/>
  <c r="Q328" i="12"/>
  <c r="AG328" i="12" s="1"/>
  <c r="AF328" i="12"/>
  <c r="V328" i="12"/>
  <c r="X121" i="8"/>
  <c r="Z121" i="8" s="1"/>
  <c r="AI121" i="8" s="1"/>
  <c r="AQ121" i="8" s="1"/>
  <c r="AR121" i="8" s="1"/>
  <c r="W121" i="8"/>
  <c r="V319" i="13"/>
  <c r="N319" i="13"/>
  <c r="U319" i="13"/>
  <c r="M319" i="13"/>
  <c r="T319" i="13"/>
  <c r="L319" i="13"/>
  <c r="S319" i="13"/>
  <c r="K319" i="13"/>
  <c r="P319" i="13" s="1"/>
  <c r="O319" i="13"/>
  <c r="W319" i="13"/>
  <c r="X319" i="13" s="1"/>
  <c r="I319" i="12" s="1"/>
  <c r="J319" i="12" s="1"/>
  <c r="K319" i="12" s="1"/>
  <c r="V180" i="8"/>
  <c r="Y180" i="8" s="1"/>
  <c r="P170" i="13"/>
  <c r="X97" i="8"/>
  <c r="Z97" i="8" s="1"/>
  <c r="AI97" i="8" s="1"/>
  <c r="AQ97" i="8" s="1"/>
  <c r="AR97" i="8" s="1"/>
  <c r="W97" i="8"/>
  <c r="X198" i="8"/>
  <c r="Z198" i="8" s="1"/>
  <c r="AI198" i="8" s="1"/>
  <c r="AQ198" i="8" s="1"/>
  <c r="AR198" i="8" s="1"/>
  <c r="W198" i="8"/>
  <c r="P356" i="13"/>
  <c r="AC271" i="12"/>
  <c r="V85" i="8"/>
  <c r="Y85" i="8" s="1"/>
  <c r="W81" i="13"/>
  <c r="O81" i="13"/>
  <c r="V81" i="13"/>
  <c r="N81" i="13"/>
  <c r="U81" i="13"/>
  <c r="X81" i="13" s="1"/>
  <c r="I81" i="12" s="1"/>
  <c r="J81" i="12" s="1"/>
  <c r="K81" i="12" s="1"/>
  <c r="M81" i="13"/>
  <c r="S81" i="13"/>
  <c r="L81" i="13"/>
  <c r="K81" i="13"/>
  <c r="P81" i="13" s="1"/>
  <c r="T81" i="13"/>
  <c r="W167" i="13"/>
  <c r="O167" i="13"/>
  <c r="V167" i="13"/>
  <c r="N167" i="13"/>
  <c r="U167" i="13"/>
  <c r="M167" i="13"/>
  <c r="T167" i="13"/>
  <c r="X167" i="13" s="1"/>
  <c r="I167" i="12" s="1"/>
  <c r="J167" i="12" s="1"/>
  <c r="K167" i="12" s="1"/>
  <c r="L167" i="13"/>
  <c r="S167" i="13"/>
  <c r="K167" i="13"/>
  <c r="U68" i="8"/>
  <c r="W137" i="13"/>
  <c r="O137" i="13"/>
  <c r="V137" i="13"/>
  <c r="N137" i="13"/>
  <c r="U137" i="13"/>
  <c r="M137" i="13"/>
  <c r="T137" i="13"/>
  <c r="L137" i="13"/>
  <c r="S137" i="13"/>
  <c r="X137" i="13" s="1"/>
  <c r="I137" i="12" s="1"/>
  <c r="J137" i="12" s="1"/>
  <c r="K137" i="12" s="1"/>
  <c r="K137" i="13"/>
  <c r="AL192" i="12"/>
  <c r="AO192" i="12" s="1"/>
  <c r="P343" i="13"/>
  <c r="AR344" i="8"/>
  <c r="U128" i="8"/>
  <c r="AF128" i="12"/>
  <c r="V128" i="12"/>
  <c r="Q128" i="12"/>
  <c r="AG128" i="12" s="1"/>
  <c r="AH58" i="12"/>
  <c r="AJ169" i="12"/>
  <c r="Z169" i="12"/>
  <c r="AK169" i="12"/>
  <c r="S292" i="13"/>
  <c r="K292" i="13"/>
  <c r="W292" i="13"/>
  <c r="O292" i="13"/>
  <c r="V292" i="13"/>
  <c r="N292" i="13"/>
  <c r="U292" i="13"/>
  <c r="M292" i="13"/>
  <c r="T292" i="13"/>
  <c r="L292" i="13"/>
  <c r="R52" i="13"/>
  <c r="J52" i="13"/>
  <c r="H52" i="13"/>
  <c r="AA247" i="12"/>
  <c r="Q247" i="12"/>
  <c r="AG247" i="12" s="1"/>
  <c r="V247" i="12"/>
  <c r="AF247" i="12"/>
  <c r="W225" i="8"/>
  <c r="X225" i="8"/>
  <c r="Z225" i="8" s="1"/>
  <c r="AI225" i="8" s="1"/>
  <c r="AQ225" i="8" s="1"/>
  <c r="AR225" i="8" s="1"/>
  <c r="W160" i="13"/>
  <c r="O160" i="13"/>
  <c r="V160" i="13"/>
  <c r="N160" i="13"/>
  <c r="U160" i="13"/>
  <c r="M160" i="13"/>
  <c r="T160" i="13"/>
  <c r="L160" i="13"/>
  <c r="S160" i="13"/>
  <c r="X160" i="13" s="1"/>
  <c r="I160" i="12" s="1"/>
  <c r="J160" i="12" s="1"/>
  <c r="K160" i="12" s="1"/>
  <c r="K160" i="13"/>
  <c r="AE278" i="12"/>
  <c r="AH278" i="12" s="1"/>
  <c r="AB278" i="12"/>
  <c r="AC278" i="12" s="1"/>
  <c r="AQ278" i="12"/>
  <c r="AP278" i="12"/>
  <c r="AR278" i="12" s="1"/>
  <c r="X278" i="12"/>
  <c r="AK302" i="12"/>
  <c r="AJ302" i="12"/>
  <c r="Z302" i="12"/>
  <c r="U210" i="8"/>
  <c r="V210" i="8"/>
  <c r="Y210" i="8" s="1"/>
  <c r="AP105" i="12"/>
  <c r="AB105" i="12"/>
  <c r="AC105" i="12" s="1"/>
  <c r="AQ105" i="12"/>
  <c r="AK116" i="12"/>
  <c r="AJ116" i="12"/>
  <c r="Z116" i="12"/>
  <c r="T323" i="13"/>
  <c r="L323" i="13"/>
  <c r="O323" i="13"/>
  <c r="N323" i="13"/>
  <c r="W323" i="13"/>
  <c r="M323" i="13"/>
  <c r="P323" i="13" s="1"/>
  <c r="V323" i="13"/>
  <c r="K323" i="13"/>
  <c r="U323" i="13"/>
  <c r="S323" i="13"/>
  <c r="X323" i="13" s="1"/>
  <c r="I323" i="12" s="1"/>
  <c r="J323" i="12" s="1"/>
  <c r="K323" i="12" s="1"/>
  <c r="AL293" i="12"/>
  <c r="U157" i="13"/>
  <c r="M157" i="13"/>
  <c r="T157" i="13"/>
  <c r="L157" i="13"/>
  <c r="S157" i="13"/>
  <c r="X157" i="13" s="1"/>
  <c r="I157" i="12" s="1"/>
  <c r="J157" i="12" s="1"/>
  <c r="K157" i="12" s="1"/>
  <c r="K157" i="13"/>
  <c r="W157" i="13"/>
  <c r="O157" i="13"/>
  <c r="V157" i="13"/>
  <c r="N157" i="13"/>
  <c r="W168" i="13"/>
  <c r="O168" i="13"/>
  <c r="V168" i="13"/>
  <c r="N168" i="13"/>
  <c r="U168" i="13"/>
  <c r="M168" i="13"/>
  <c r="T168" i="13"/>
  <c r="X168" i="13" s="1"/>
  <c r="I168" i="12" s="1"/>
  <c r="J168" i="12" s="1"/>
  <c r="L168" i="13"/>
  <c r="S168" i="13"/>
  <c r="K168" i="13"/>
  <c r="Q262" i="12"/>
  <c r="AG262" i="12" s="1"/>
  <c r="AA262" i="12"/>
  <c r="V262" i="12"/>
  <c r="AF262" i="12"/>
  <c r="U361" i="12"/>
  <c r="AH258" i="12"/>
  <c r="W277" i="13"/>
  <c r="O277" i="13"/>
  <c r="V277" i="13"/>
  <c r="N277" i="13"/>
  <c r="U277" i="13"/>
  <c r="X277" i="13" s="1"/>
  <c r="I277" i="12" s="1"/>
  <c r="J277" i="12" s="1"/>
  <c r="M277" i="13"/>
  <c r="T277" i="13"/>
  <c r="L277" i="13"/>
  <c r="S277" i="13"/>
  <c r="K277" i="13"/>
  <c r="U346" i="8"/>
  <c r="P80" i="13"/>
  <c r="AO243" i="12"/>
  <c r="W199" i="13"/>
  <c r="O199" i="13"/>
  <c r="V199" i="13"/>
  <c r="N199" i="13"/>
  <c r="U199" i="13"/>
  <c r="M199" i="13"/>
  <c r="T199" i="13"/>
  <c r="L199" i="13"/>
  <c r="S199" i="13"/>
  <c r="X199" i="13" s="1"/>
  <c r="I199" i="12" s="1"/>
  <c r="J199" i="12" s="1"/>
  <c r="K199" i="12" s="1"/>
  <c r="K199" i="13"/>
  <c r="V286" i="8"/>
  <c r="Y286" i="8" s="1"/>
  <c r="U286" i="8"/>
  <c r="U218" i="13"/>
  <c r="M218" i="13"/>
  <c r="T218" i="13"/>
  <c r="L218" i="13"/>
  <c r="S218" i="13"/>
  <c r="K218" i="13"/>
  <c r="P218" i="13" s="1"/>
  <c r="W218" i="13"/>
  <c r="O218" i="13"/>
  <c r="V218" i="13"/>
  <c r="N218" i="13"/>
  <c r="X357" i="8"/>
  <c r="Z357" i="8" s="1"/>
  <c r="AI357" i="8" s="1"/>
  <c r="AQ357" i="8" s="1"/>
  <c r="W357" i="8"/>
  <c r="U166" i="8"/>
  <c r="W180" i="13"/>
  <c r="O180" i="13"/>
  <c r="V180" i="13"/>
  <c r="N180" i="13"/>
  <c r="U180" i="13"/>
  <c r="M180" i="13"/>
  <c r="T180" i="13"/>
  <c r="X180" i="13" s="1"/>
  <c r="I180" i="12" s="1"/>
  <c r="J180" i="12" s="1"/>
  <c r="L180" i="13"/>
  <c r="S180" i="13"/>
  <c r="K180" i="13"/>
  <c r="AE174" i="12"/>
  <c r="AQ174" i="12"/>
  <c r="AP174" i="12"/>
  <c r="AR174" i="12" s="1"/>
  <c r="AB174" i="12"/>
  <c r="X174" i="12"/>
  <c r="Y174" i="12" s="1"/>
  <c r="AA174" i="12" s="1"/>
  <c r="T83" i="13"/>
  <c r="L83" i="13"/>
  <c r="W83" i="13"/>
  <c r="O83" i="13"/>
  <c r="P83" i="13" s="1"/>
  <c r="M83" i="13"/>
  <c r="K83" i="13"/>
  <c r="V83" i="13"/>
  <c r="U83" i="13"/>
  <c r="X83" i="13" s="1"/>
  <c r="I83" i="12" s="1"/>
  <c r="J83" i="12" s="1"/>
  <c r="S83" i="13"/>
  <c r="N83" i="13"/>
  <c r="V327" i="13"/>
  <c r="X327" i="13" s="1"/>
  <c r="I327" i="12" s="1"/>
  <c r="J327" i="12" s="1"/>
  <c r="K327" i="12" s="1"/>
  <c r="N327" i="13"/>
  <c r="U327" i="13"/>
  <c r="M327" i="13"/>
  <c r="K327" i="13"/>
  <c r="W327" i="13"/>
  <c r="T327" i="13"/>
  <c r="S327" i="13"/>
  <c r="O327" i="13"/>
  <c r="P327" i="13" s="1"/>
  <c r="L327" i="13"/>
  <c r="X239" i="8"/>
  <c r="Z239" i="8" s="1"/>
  <c r="AI239" i="8" s="1"/>
  <c r="AQ239" i="8" s="1"/>
  <c r="W239" i="8"/>
  <c r="AQ253" i="12"/>
  <c r="AP253" i="12"/>
  <c r="AR253" i="12" s="1"/>
  <c r="J35" i="11" s="1"/>
  <c r="X253" i="12"/>
  <c r="AB253" i="12"/>
  <c r="AE253" i="12"/>
  <c r="AH253" i="12" s="1"/>
  <c r="S82" i="13"/>
  <c r="K82" i="13"/>
  <c r="P82" i="13" s="1"/>
  <c r="W82" i="13"/>
  <c r="O82" i="13"/>
  <c r="V82" i="13"/>
  <c r="N82" i="13"/>
  <c r="U82" i="13"/>
  <c r="T82" i="13"/>
  <c r="M82" i="13"/>
  <c r="L82" i="13"/>
  <c r="X302" i="8"/>
  <c r="Z302" i="8" s="1"/>
  <c r="AI302" i="8" s="1"/>
  <c r="AQ302" i="8" s="1"/>
  <c r="AR302" i="8" s="1"/>
  <c r="W302" i="8"/>
  <c r="Q302" i="12"/>
  <c r="AG302" i="12" s="1"/>
  <c r="V302" i="12"/>
  <c r="AF302" i="12"/>
  <c r="W193" i="13"/>
  <c r="O193" i="13"/>
  <c r="V193" i="13"/>
  <c r="N193" i="13"/>
  <c r="P193" i="13" s="1"/>
  <c r="S193" i="13"/>
  <c r="M193" i="13"/>
  <c r="L193" i="13"/>
  <c r="K193" i="13"/>
  <c r="U193" i="13"/>
  <c r="T193" i="13"/>
  <c r="R166" i="13"/>
  <c r="J166" i="13"/>
  <c r="H166" i="13"/>
  <c r="AK51" i="12"/>
  <c r="AJ51" i="12"/>
  <c r="Z51" i="12"/>
  <c r="AN33" i="12"/>
  <c r="AO33" i="12" s="1"/>
  <c r="Q209" i="12"/>
  <c r="AG209" i="12" s="1"/>
  <c r="AF209" i="12"/>
  <c r="V209" i="12"/>
  <c r="X110" i="8"/>
  <c r="Z110" i="8" s="1"/>
  <c r="AI110" i="8" s="1"/>
  <c r="AQ110" i="8" s="1"/>
  <c r="AR110" i="8" s="1"/>
  <c r="W110" i="8"/>
  <c r="Z263" i="8"/>
  <c r="AI263" i="8" s="1"/>
  <c r="AQ263" i="8" s="1"/>
  <c r="AR263" i="8" s="1"/>
  <c r="W132" i="8"/>
  <c r="W283" i="8"/>
  <c r="X174" i="8"/>
  <c r="Z174" i="8" s="1"/>
  <c r="AI174" i="8" s="1"/>
  <c r="AQ174" i="8" s="1"/>
  <c r="AR174" i="8" s="1"/>
  <c r="W174" i="8"/>
  <c r="X313" i="8"/>
  <c r="Z313" i="8" s="1"/>
  <c r="AI313" i="8" s="1"/>
  <c r="AQ313" i="8" s="1"/>
  <c r="AR313" i="8" s="1"/>
  <c r="W313" i="8"/>
  <c r="Z322" i="8"/>
  <c r="AI322" i="8" s="1"/>
  <c r="AQ322" i="8" s="1"/>
  <c r="AR322" i="8" s="1"/>
  <c r="Z327" i="8"/>
  <c r="AI327" i="8" s="1"/>
  <c r="AQ327" i="8" s="1"/>
  <c r="Z246" i="8"/>
  <c r="AI246" i="8" s="1"/>
  <c r="AQ246" i="8" s="1"/>
  <c r="AR246" i="8" s="1"/>
  <c r="Z135" i="8"/>
  <c r="AI135" i="8" s="1"/>
  <c r="AQ135" i="8" s="1"/>
  <c r="AR135" i="8" s="1"/>
  <c r="X338" i="8"/>
  <c r="Z338" i="8" s="1"/>
  <c r="AI338" i="8" s="1"/>
  <c r="AQ338" i="8" s="1"/>
  <c r="AR338" i="8" s="1"/>
  <c r="W338" i="8"/>
  <c r="V333" i="13"/>
  <c r="N333" i="13"/>
  <c r="T333" i="13"/>
  <c r="X333" i="13" s="1"/>
  <c r="I333" i="12" s="1"/>
  <c r="J333" i="12" s="1"/>
  <c r="L333" i="13"/>
  <c r="S333" i="13"/>
  <c r="K333" i="13"/>
  <c r="W333" i="13"/>
  <c r="U333" i="13"/>
  <c r="O333" i="13"/>
  <c r="P333" i="13" s="1"/>
  <c r="M333" i="13"/>
  <c r="V106" i="12"/>
  <c r="Y106" i="12" s="1"/>
  <c r="AA106" i="12" s="1"/>
  <c r="AC106" i="12" s="1"/>
  <c r="AF106" i="12"/>
  <c r="Q106" i="12"/>
  <c r="AG106" i="12" s="1"/>
  <c r="AQ134" i="12"/>
  <c r="AP134" i="12"/>
  <c r="X134" i="12"/>
  <c r="Y134" i="12" s="1"/>
  <c r="AA134" i="12" s="1"/>
  <c r="AE134" i="12"/>
  <c r="AH134" i="12" s="1"/>
  <c r="AB134" i="12"/>
  <c r="Q211" i="12"/>
  <c r="AG211" i="12" s="1"/>
  <c r="AF211" i="12"/>
  <c r="V211" i="12"/>
  <c r="AK43" i="12"/>
  <c r="AJ43" i="12"/>
  <c r="Z43" i="12"/>
  <c r="X130" i="8"/>
  <c r="Z130" i="8" s="1"/>
  <c r="AI130" i="8" s="1"/>
  <c r="AQ130" i="8" s="1"/>
  <c r="AR130" i="8" s="1"/>
  <c r="W130" i="8"/>
  <c r="AL77" i="12"/>
  <c r="AO77" i="12" s="1"/>
  <c r="S330" i="13"/>
  <c r="K330" i="13"/>
  <c r="P330" i="13" s="1"/>
  <c r="U330" i="13"/>
  <c r="M330" i="13"/>
  <c r="O330" i="13"/>
  <c r="N330" i="13"/>
  <c r="L330" i="13"/>
  <c r="W330" i="13"/>
  <c r="V330" i="13"/>
  <c r="T330" i="13"/>
  <c r="W353" i="13"/>
  <c r="O353" i="13"/>
  <c r="U353" i="13"/>
  <c r="M353" i="13"/>
  <c r="T353" i="13"/>
  <c r="L353" i="13"/>
  <c r="N353" i="13"/>
  <c r="K353" i="13"/>
  <c r="P353" i="13" s="1"/>
  <c r="V353" i="13"/>
  <c r="S353" i="13"/>
  <c r="AL294" i="12"/>
  <c r="V133" i="12"/>
  <c r="AF133" i="12"/>
  <c r="Q133" i="12"/>
  <c r="AG133" i="12" s="1"/>
  <c r="AH350" i="12"/>
  <c r="AA294" i="12"/>
  <c r="AC294" i="12" s="1"/>
  <c r="W320" i="13"/>
  <c r="O320" i="13"/>
  <c r="V320" i="13"/>
  <c r="N320" i="13"/>
  <c r="U320" i="13"/>
  <c r="M320" i="13"/>
  <c r="T320" i="13"/>
  <c r="X320" i="13" s="1"/>
  <c r="I320" i="12" s="1"/>
  <c r="J320" i="12" s="1"/>
  <c r="K320" i="12" s="1"/>
  <c r="L320" i="13"/>
  <c r="S320" i="13"/>
  <c r="K320" i="13"/>
  <c r="P273" i="13"/>
  <c r="W182" i="13"/>
  <c r="O182" i="13"/>
  <c r="V182" i="13"/>
  <c r="N182" i="13"/>
  <c r="U182" i="13"/>
  <c r="M182" i="13"/>
  <c r="T182" i="13"/>
  <c r="L182" i="13"/>
  <c r="P182" i="13" s="1"/>
  <c r="S182" i="13"/>
  <c r="X182" i="13" s="1"/>
  <c r="I182" i="12" s="1"/>
  <c r="J182" i="12" s="1"/>
  <c r="K182" i="12" s="1"/>
  <c r="K182" i="13"/>
  <c r="O9" i="13"/>
  <c r="W9" i="13"/>
  <c r="N9" i="13"/>
  <c r="V9" i="13"/>
  <c r="M9" i="13"/>
  <c r="U9" i="13"/>
  <c r="L9" i="13"/>
  <c r="T9" i="13"/>
  <c r="K9" i="13"/>
  <c r="S9" i="13"/>
  <c r="X9" i="13" s="1"/>
  <c r="I9" i="12" s="1"/>
  <c r="J9" i="12" s="1"/>
  <c r="K9" i="12" s="1"/>
  <c r="S33" i="13"/>
  <c r="X33" i="13" s="1"/>
  <c r="I33" i="12" s="1"/>
  <c r="J33" i="12" s="1"/>
  <c r="K33" i="13"/>
  <c r="W33" i="13"/>
  <c r="O33" i="13"/>
  <c r="V33" i="13"/>
  <c r="N33" i="13"/>
  <c r="U33" i="13"/>
  <c r="M33" i="13"/>
  <c r="T33" i="13"/>
  <c r="L33" i="13"/>
  <c r="W132" i="13"/>
  <c r="O132" i="13"/>
  <c r="V132" i="13"/>
  <c r="N132" i="13"/>
  <c r="U132" i="13"/>
  <c r="M132" i="13"/>
  <c r="T132" i="13"/>
  <c r="L132" i="13"/>
  <c r="S132" i="13"/>
  <c r="K132" i="13"/>
  <c r="AK236" i="12"/>
  <c r="AI236" i="12"/>
  <c r="Z236" i="12"/>
  <c r="U220" i="8"/>
  <c r="AH233" i="12"/>
  <c r="O98" i="13"/>
  <c r="U98" i="13"/>
  <c r="L98" i="13"/>
  <c r="T98" i="13"/>
  <c r="K98" i="13"/>
  <c r="S98" i="13"/>
  <c r="W98" i="13"/>
  <c r="X98" i="13" s="1"/>
  <c r="I98" i="12" s="1"/>
  <c r="J98" i="12" s="1"/>
  <c r="K98" i="12" s="1"/>
  <c r="V98" i="13"/>
  <c r="N98" i="13"/>
  <c r="M98" i="13"/>
  <c r="T94" i="13"/>
  <c r="L94" i="13"/>
  <c r="W94" i="13"/>
  <c r="X94" i="13" s="1"/>
  <c r="I94" i="12" s="1"/>
  <c r="J94" i="12" s="1"/>
  <c r="K94" i="12" s="1"/>
  <c r="O94" i="13"/>
  <c r="V94" i="13"/>
  <c r="N94" i="13"/>
  <c r="U94" i="13"/>
  <c r="M94" i="13"/>
  <c r="S94" i="13"/>
  <c r="K94" i="13"/>
  <c r="P113" i="13"/>
  <c r="Q284" i="12"/>
  <c r="AG284" i="12" s="1"/>
  <c r="AF284" i="12"/>
  <c r="V284" i="12"/>
  <c r="AR125" i="8"/>
  <c r="P256" i="13"/>
  <c r="P351" i="13"/>
  <c r="X69" i="8"/>
  <c r="Z69" i="8" s="1"/>
  <c r="AI69" i="8" s="1"/>
  <c r="AQ69" i="8" s="1"/>
  <c r="AR69" i="8" s="1"/>
  <c r="W69" i="8"/>
  <c r="S171" i="13"/>
  <c r="X171" i="13" s="1"/>
  <c r="I171" i="12" s="1"/>
  <c r="J171" i="12" s="1"/>
  <c r="K171" i="13"/>
  <c r="W171" i="13"/>
  <c r="O171" i="13"/>
  <c r="V171" i="13"/>
  <c r="N171" i="13"/>
  <c r="U171" i="13"/>
  <c r="M171" i="13"/>
  <c r="T171" i="13"/>
  <c r="L171" i="13"/>
  <c r="Q249" i="12"/>
  <c r="AG249" i="12" s="1"/>
  <c r="AF249" i="12"/>
  <c r="V249" i="12"/>
  <c r="P316" i="13"/>
  <c r="P230" i="13"/>
  <c r="J130" i="13"/>
  <c r="R130" i="13"/>
  <c r="H130" i="13"/>
  <c r="X172" i="13"/>
  <c r="I172" i="12" s="1"/>
  <c r="J172" i="12" s="1"/>
  <c r="X330" i="13"/>
  <c r="I330" i="12" s="1"/>
  <c r="J330" i="12" s="1"/>
  <c r="V138" i="12"/>
  <c r="Y138" i="12" s="1"/>
  <c r="AA138" i="12" s="1"/>
  <c r="AC138" i="12" s="1"/>
  <c r="Q138" i="12"/>
  <c r="AG138" i="12" s="1"/>
  <c r="AF138" i="12"/>
  <c r="W326" i="13"/>
  <c r="O326" i="13"/>
  <c r="U326" i="13"/>
  <c r="M326" i="13"/>
  <c r="P326" i="13" s="1"/>
  <c r="T326" i="13"/>
  <c r="L326" i="13"/>
  <c r="V326" i="13"/>
  <c r="S326" i="13"/>
  <c r="N326" i="13"/>
  <c r="K326" i="13"/>
  <c r="AH181" i="12"/>
  <c r="X353" i="13"/>
  <c r="I353" i="12" s="1"/>
  <c r="J353" i="12" s="1"/>
  <c r="AK14" i="12"/>
  <c r="AJ14" i="12"/>
  <c r="Z14" i="12"/>
  <c r="AH119" i="12"/>
  <c r="X51" i="8"/>
  <c r="Z51" i="8" s="1"/>
  <c r="AI51" i="8" s="1"/>
  <c r="AQ51" i="8" s="1"/>
  <c r="AR51" i="8" s="1"/>
  <c r="W51" i="8"/>
  <c r="P139" i="13"/>
  <c r="U245" i="13"/>
  <c r="M245" i="13"/>
  <c r="T245" i="13"/>
  <c r="L245" i="13"/>
  <c r="S245" i="13"/>
  <c r="K245" i="13"/>
  <c r="P245" i="13" s="1"/>
  <c r="W245" i="13"/>
  <c r="O245" i="13"/>
  <c r="V245" i="13"/>
  <c r="N245" i="13"/>
  <c r="W315" i="13"/>
  <c r="O315" i="13"/>
  <c r="V315" i="13"/>
  <c r="N315" i="13"/>
  <c r="U315" i="13"/>
  <c r="M315" i="13"/>
  <c r="T315" i="13"/>
  <c r="L315" i="13"/>
  <c r="S315" i="13"/>
  <c r="K315" i="13"/>
  <c r="P315" i="13" s="1"/>
  <c r="V359" i="12"/>
  <c r="Y359" i="12" s="1"/>
  <c r="AA359" i="12"/>
  <c r="AC359" i="12" s="1"/>
  <c r="Q359" i="12"/>
  <c r="AG359" i="12" s="1"/>
  <c r="AF359" i="12"/>
  <c r="P348" i="13"/>
  <c r="AP287" i="12"/>
  <c r="AR287" i="12" s="1"/>
  <c r="J40" i="11" s="1"/>
  <c r="AE287" i="12"/>
  <c r="AH287" i="12" s="1"/>
  <c r="X287" i="12"/>
  <c r="Y287" i="12" s="1"/>
  <c r="AA287" i="12" s="1"/>
  <c r="AQ287" i="12"/>
  <c r="AB287" i="12"/>
  <c r="W159" i="13"/>
  <c r="O159" i="13"/>
  <c r="V159" i="13"/>
  <c r="N159" i="13"/>
  <c r="U159" i="13"/>
  <c r="M159" i="13"/>
  <c r="T159" i="13"/>
  <c r="L159" i="13"/>
  <c r="S159" i="13"/>
  <c r="K159" i="13"/>
  <c r="P159" i="13" s="1"/>
  <c r="AH17" i="12"/>
  <c r="W32" i="13"/>
  <c r="O32" i="13"/>
  <c r="V32" i="13"/>
  <c r="N32" i="13"/>
  <c r="U32" i="13"/>
  <c r="M32" i="13"/>
  <c r="T32" i="13"/>
  <c r="L32" i="13"/>
  <c r="S32" i="13"/>
  <c r="K32" i="13"/>
  <c r="U306" i="13"/>
  <c r="M306" i="13"/>
  <c r="T306" i="13"/>
  <c r="L306" i="13"/>
  <c r="S306" i="13"/>
  <c r="X306" i="13" s="1"/>
  <c r="I306" i="12" s="1"/>
  <c r="J306" i="12" s="1"/>
  <c r="K306" i="13"/>
  <c r="W306" i="13"/>
  <c r="O306" i="13"/>
  <c r="N306" i="13"/>
  <c r="P306" i="13" s="1"/>
  <c r="V306" i="13"/>
  <c r="U204" i="8"/>
  <c r="AF204" i="12"/>
  <c r="V204" i="12"/>
  <c r="Y204" i="12" s="1"/>
  <c r="AA204" i="12" s="1"/>
  <c r="AC204" i="12" s="1"/>
  <c r="Q204" i="12"/>
  <c r="AG204" i="12" s="1"/>
  <c r="S129" i="13"/>
  <c r="K129" i="13"/>
  <c r="P129" i="13" s="1"/>
  <c r="W129" i="13"/>
  <c r="O129" i="13"/>
  <c r="V129" i="13"/>
  <c r="N129" i="13"/>
  <c r="U129" i="13"/>
  <c r="M129" i="13"/>
  <c r="T129" i="13"/>
  <c r="L129" i="13"/>
  <c r="AR104" i="12"/>
  <c r="S147" i="13"/>
  <c r="K147" i="13"/>
  <c r="P147" i="13" s="1"/>
  <c r="W147" i="13"/>
  <c r="O147" i="13"/>
  <c r="V147" i="13"/>
  <c r="N147" i="13"/>
  <c r="U147" i="13"/>
  <c r="M147" i="13"/>
  <c r="T147" i="13"/>
  <c r="L147" i="13"/>
  <c r="X65" i="8"/>
  <c r="Z65" i="8" s="1"/>
  <c r="AI65" i="8" s="1"/>
  <c r="AQ65" i="8" s="1"/>
  <c r="W65" i="8"/>
  <c r="U91" i="8"/>
  <c r="W303" i="13"/>
  <c r="O303" i="13"/>
  <c r="V303" i="13"/>
  <c r="N303" i="13"/>
  <c r="U303" i="13"/>
  <c r="M303" i="13"/>
  <c r="T303" i="13"/>
  <c r="L303" i="13"/>
  <c r="S303" i="13"/>
  <c r="K303" i="13"/>
  <c r="X42" i="13"/>
  <c r="I42" i="12" s="1"/>
  <c r="J42" i="12" s="1"/>
  <c r="X312" i="13"/>
  <c r="I312" i="12" s="1"/>
  <c r="J312" i="12" s="1"/>
  <c r="K312" i="12" s="1"/>
  <c r="X73" i="8"/>
  <c r="Z73" i="8" s="1"/>
  <c r="AI73" i="8" s="1"/>
  <c r="AQ73" i="8" s="1"/>
  <c r="AR73" i="8" s="1"/>
  <c r="W73" i="8"/>
  <c r="AL330" i="12"/>
  <c r="AO330" i="12" s="1"/>
  <c r="AQ265" i="12"/>
  <c r="AP265" i="12"/>
  <c r="AB265" i="12"/>
  <c r="AC265" i="12" s="1"/>
  <c r="W151" i="13"/>
  <c r="O151" i="13"/>
  <c r="V151" i="13"/>
  <c r="N151" i="13"/>
  <c r="U151" i="13"/>
  <c r="M151" i="13"/>
  <c r="T151" i="13"/>
  <c r="X151" i="13" s="1"/>
  <c r="I151" i="12" s="1"/>
  <c r="J151" i="12" s="1"/>
  <c r="K151" i="12" s="1"/>
  <c r="L151" i="13"/>
  <c r="S151" i="13"/>
  <c r="K151" i="13"/>
  <c r="Q180" i="12"/>
  <c r="AG180" i="12" s="1"/>
  <c r="AF180" i="12"/>
  <c r="V180" i="12"/>
  <c r="Y180" i="12" s="1"/>
  <c r="AA180" i="12" s="1"/>
  <c r="AC180" i="12" s="1"/>
  <c r="X170" i="13"/>
  <c r="I170" i="12" s="1"/>
  <c r="J170" i="12" s="1"/>
  <c r="Q198" i="12"/>
  <c r="AG198" i="12" s="1"/>
  <c r="AF198" i="12"/>
  <c r="V198" i="12"/>
  <c r="AH95" i="12"/>
  <c r="X9" i="8"/>
  <c r="Z9" i="8" s="1"/>
  <c r="AI9" i="8" s="1"/>
  <c r="AQ9" i="8" s="1"/>
  <c r="AR9" i="8" s="1"/>
  <c r="W9" i="8"/>
  <c r="X309" i="12"/>
  <c r="AB309" i="12"/>
  <c r="AE309" i="12"/>
  <c r="AH309" i="12" s="1"/>
  <c r="AQ309" i="12"/>
  <c r="AP309" i="12"/>
  <c r="AR309" i="12" s="1"/>
  <c r="T124" i="13"/>
  <c r="L124" i="13"/>
  <c r="S124" i="13"/>
  <c r="K124" i="13"/>
  <c r="P124" i="13" s="1"/>
  <c r="W124" i="13"/>
  <c r="O124" i="13"/>
  <c r="V124" i="13"/>
  <c r="N124" i="13"/>
  <c r="U124" i="13"/>
  <c r="M124" i="13"/>
  <c r="P167" i="13"/>
  <c r="U196" i="13"/>
  <c r="M196" i="13"/>
  <c r="T196" i="13"/>
  <c r="L196" i="13"/>
  <c r="S196" i="13"/>
  <c r="X196" i="13" s="1"/>
  <c r="I196" i="12" s="1"/>
  <c r="J196" i="12" s="1"/>
  <c r="K196" i="12" s="1"/>
  <c r="K196" i="13"/>
  <c r="O196" i="13"/>
  <c r="N196" i="13"/>
  <c r="W196" i="13"/>
  <c r="V196" i="13"/>
  <c r="AF68" i="12"/>
  <c r="V68" i="12"/>
  <c r="Q68" i="12"/>
  <c r="AG68" i="12" s="1"/>
  <c r="X262" i="8"/>
  <c r="Z262" i="8" s="1"/>
  <c r="AI262" i="8" s="1"/>
  <c r="AQ262" i="8" s="1"/>
  <c r="AR262" i="8" s="1"/>
  <c r="W262" i="8"/>
  <c r="U202" i="13"/>
  <c r="M202" i="13"/>
  <c r="P202" i="13" s="1"/>
  <c r="T202" i="13"/>
  <c r="L202" i="13"/>
  <c r="S202" i="13"/>
  <c r="K202" i="13"/>
  <c r="W202" i="13"/>
  <c r="O202" i="13"/>
  <c r="V202" i="13"/>
  <c r="N202" i="13"/>
  <c r="W337" i="13"/>
  <c r="O337" i="13"/>
  <c r="U337" i="13"/>
  <c r="M337" i="13"/>
  <c r="T337" i="13"/>
  <c r="L337" i="13"/>
  <c r="V337" i="13"/>
  <c r="S337" i="13"/>
  <c r="X337" i="13" s="1"/>
  <c r="I337" i="12" s="1"/>
  <c r="J337" i="12" s="1"/>
  <c r="K337" i="12" s="1"/>
  <c r="N337" i="13"/>
  <c r="K337" i="13"/>
  <c r="P337" i="13" s="1"/>
  <c r="U237" i="13"/>
  <c r="M237" i="13"/>
  <c r="T237" i="13"/>
  <c r="L237" i="13"/>
  <c r="S237" i="13"/>
  <c r="X237" i="13" s="1"/>
  <c r="I237" i="12" s="1"/>
  <c r="J237" i="12" s="1"/>
  <c r="K237" i="12" s="1"/>
  <c r="K237" i="13"/>
  <c r="W237" i="13"/>
  <c r="O237" i="13"/>
  <c r="V237" i="13"/>
  <c r="N237" i="13"/>
  <c r="AH345" i="12"/>
  <c r="X343" i="13"/>
  <c r="I343" i="12" s="1"/>
  <c r="J343" i="12" s="1"/>
  <c r="K343" i="12" s="1"/>
  <c r="U67" i="13"/>
  <c r="M67" i="13"/>
  <c r="T67" i="13"/>
  <c r="L67" i="13"/>
  <c r="S67" i="13"/>
  <c r="K67" i="13"/>
  <c r="P67" i="13" s="1"/>
  <c r="W67" i="13"/>
  <c r="O67" i="13"/>
  <c r="V67" i="13"/>
  <c r="N67" i="13"/>
  <c r="V144" i="8"/>
  <c r="Y144" i="8" s="1"/>
  <c r="Y361" i="8" s="1"/>
  <c r="U164" i="8"/>
  <c r="V164" i="8"/>
  <c r="Y164" i="8" s="1"/>
  <c r="H169" i="13"/>
  <c r="R169" i="13"/>
  <c r="J169" i="13"/>
  <c r="W121" i="13"/>
  <c r="O121" i="13"/>
  <c r="V121" i="13"/>
  <c r="N121" i="13"/>
  <c r="P121" i="13" s="1"/>
  <c r="U121" i="13"/>
  <c r="M121" i="13"/>
  <c r="T121" i="13"/>
  <c r="L121" i="13"/>
  <c r="S121" i="13"/>
  <c r="X121" i="13" s="1"/>
  <c r="I121" i="12" s="1"/>
  <c r="J121" i="12" s="1"/>
  <c r="K121" i="12" s="1"/>
  <c r="K121" i="13"/>
  <c r="P292" i="13"/>
  <c r="S279" i="13"/>
  <c r="K279" i="13"/>
  <c r="P279" i="13" s="1"/>
  <c r="W279" i="13"/>
  <c r="O279" i="13"/>
  <c r="V279" i="13"/>
  <c r="N279" i="13"/>
  <c r="U279" i="13"/>
  <c r="M279" i="13"/>
  <c r="T279" i="13"/>
  <c r="L279" i="13"/>
  <c r="AH313" i="12"/>
  <c r="S115" i="13"/>
  <c r="K115" i="13"/>
  <c r="W115" i="13"/>
  <c r="O115" i="13"/>
  <c r="V115" i="13"/>
  <c r="N115" i="13"/>
  <c r="U115" i="13"/>
  <c r="X115" i="13" s="1"/>
  <c r="I115" i="12" s="1"/>
  <c r="J115" i="12" s="1"/>
  <c r="K115" i="12" s="1"/>
  <c r="M115" i="13"/>
  <c r="T115" i="13"/>
  <c r="L115" i="13"/>
  <c r="X46" i="13"/>
  <c r="I46" i="12" s="1"/>
  <c r="J46" i="12" s="1"/>
  <c r="AI76" i="12"/>
  <c r="X103" i="13"/>
  <c r="I103" i="12" s="1"/>
  <c r="J103" i="12" s="1"/>
  <c r="K103" i="12" s="1"/>
  <c r="O283" i="13"/>
  <c r="W283" i="13"/>
  <c r="N283" i="13"/>
  <c r="V283" i="13"/>
  <c r="M283" i="13"/>
  <c r="U283" i="13"/>
  <c r="L283" i="13"/>
  <c r="T283" i="13"/>
  <c r="X283" i="13" s="1"/>
  <c r="I283" i="12" s="1"/>
  <c r="J283" i="12" s="1"/>
  <c r="K283" i="12" s="1"/>
  <c r="K283" i="13"/>
  <c r="S283" i="13"/>
  <c r="H302" i="13"/>
  <c r="R302" i="13"/>
  <c r="J302" i="13"/>
  <c r="AL184" i="12"/>
  <c r="AI184" i="12"/>
  <c r="X146" i="13"/>
  <c r="I146" i="12" s="1"/>
  <c r="J146" i="12" s="1"/>
  <c r="Q304" i="12"/>
  <c r="AG304" i="12" s="1"/>
  <c r="V304" i="12"/>
  <c r="AF304" i="12"/>
  <c r="S304" i="13"/>
  <c r="K304" i="13"/>
  <c r="W304" i="13"/>
  <c r="O304" i="13"/>
  <c r="V304" i="13"/>
  <c r="N304" i="13"/>
  <c r="U304" i="13"/>
  <c r="M304" i="13"/>
  <c r="P304" i="13" s="1"/>
  <c r="T304" i="13"/>
  <c r="L304" i="13"/>
  <c r="AB36" i="12"/>
  <c r="AQ36" i="12"/>
  <c r="X36" i="12"/>
  <c r="AP36" i="12"/>
  <c r="AE36" i="12"/>
  <c r="R116" i="13"/>
  <c r="J116" i="13"/>
  <c r="H116" i="13"/>
  <c r="X65" i="13"/>
  <c r="I65" i="12" s="1"/>
  <c r="J65" i="12" s="1"/>
  <c r="Y227" i="12"/>
  <c r="AA227" i="12" s="1"/>
  <c r="AH314" i="12"/>
  <c r="V174" i="12"/>
  <c r="AF174" i="12"/>
  <c r="Q174" i="12"/>
  <c r="AG174" i="12" s="1"/>
  <c r="V88" i="8"/>
  <c r="Y88" i="8" s="1"/>
  <c r="U88" i="8"/>
  <c r="AH282" i="12"/>
  <c r="U10" i="8"/>
  <c r="Q10" i="12"/>
  <c r="AG10" i="12" s="1"/>
  <c r="AF10" i="12"/>
  <c r="V10" i="12"/>
  <c r="W250" i="13"/>
  <c r="O250" i="13"/>
  <c r="V250" i="13"/>
  <c r="N250" i="13"/>
  <c r="U250" i="13"/>
  <c r="M250" i="13"/>
  <c r="P250" i="13" s="1"/>
  <c r="T250" i="13"/>
  <c r="L250" i="13"/>
  <c r="S250" i="13"/>
  <c r="K250" i="13"/>
  <c r="P157" i="13"/>
  <c r="AK24" i="12"/>
  <c r="AJ24" i="12"/>
  <c r="Z24" i="12"/>
  <c r="AH132" i="12"/>
  <c r="AQ100" i="12"/>
  <c r="AB100" i="12"/>
  <c r="X100" i="12"/>
  <c r="AP100" i="12"/>
  <c r="AE100" i="12"/>
  <c r="AH100" i="12" s="1"/>
  <c r="X11" i="13"/>
  <c r="I11" i="12" s="1"/>
  <c r="J11" i="12" s="1"/>
  <c r="K11" i="12" s="1"/>
  <c r="AR254" i="8"/>
  <c r="S361" i="12"/>
  <c r="T140" i="13"/>
  <c r="L140" i="13"/>
  <c r="S140" i="13"/>
  <c r="X140" i="13" s="1"/>
  <c r="I140" i="12" s="1"/>
  <c r="J140" i="12" s="1"/>
  <c r="K140" i="12" s="1"/>
  <c r="K140" i="13"/>
  <c r="W140" i="13"/>
  <c r="O140" i="13"/>
  <c r="P140" i="13" s="1"/>
  <c r="V140" i="13"/>
  <c r="N140" i="13"/>
  <c r="U140" i="13"/>
  <c r="M140" i="13"/>
  <c r="P277" i="13"/>
  <c r="X281" i="13"/>
  <c r="I281" i="12" s="1"/>
  <c r="J281" i="12" s="1"/>
  <c r="K281" i="12" s="1"/>
  <c r="AF346" i="12"/>
  <c r="V346" i="12"/>
  <c r="Q346" i="12"/>
  <c r="AG346" i="12" s="1"/>
  <c r="X220" i="13"/>
  <c r="I220" i="12" s="1"/>
  <c r="J220" i="12" s="1"/>
  <c r="K220" i="12" s="1"/>
  <c r="W47" i="13"/>
  <c r="O47" i="13"/>
  <c r="V47" i="13"/>
  <c r="N47" i="13"/>
  <c r="U47" i="13"/>
  <c r="M47" i="13"/>
  <c r="T47" i="13"/>
  <c r="L47" i="13"/>
  <c r="S47" i="13"/>
  <c r="X47" i="13" s="1"/>
  <c r="I47" i="12" s="1"/>
  <c r="J47" i="12" s="1"/>
  <c r="K47" i="12" s="1"/>
  <c r="K47" i="13"/>
  <c r="P47" i="13" s="1"/>
  <c r="AH127" i="12"/>
  <c r="AI65" i="12"/>
  <c r="X142" i="13"/>
  <c r="I142" i="12" s="1"/>
  <c r="J142" i="12" s="1"/>
  <c r="X314" i="8"/>
  <c r="Z314" i="8" s="1"/>
  <c r="AI314" i="8" s="1"/>
  <c r="AQ314" i="8" s="1"/>
  <c r="W314" i="8"/>
  <c r="W239" i="13"/>
  <c r="O239" i="13"/>
  <c r="V239" i="13"/>
  <c r="N239" i="13"/>
  <c r="U239" i="13"/>
  <c r="M239" i="13"/>
  <c r="T239" i="13"/>
  <c r="L239" i="13"/>
  <c r="S239" i="13"/>
  <c r="X239" i="13" s="1"/>
  <c r="I239" i="12" s="1"/>
  <c r="J239" i="12" s="1"/>
  <c r="K239" i="12" s="1"/>
  <c r="K239" i="13"/>
  <c r="AF166" i="12"/>
  <c r="V166" i="12"/>
  <c r="Q166" i="12"/>
  <c r="AG166" i="12" s="1"/>
  <c r="P180" i="13"/>
  <c r="AH185" i="12"/>
  <c r="AQ57" i="12"/>
  <c r="X57" i="12"/>
  <c r="Y57" i="12" s="1"/>
  <c r="AA57" i="12" s="1"/>
  <c r="AE57" i="12"/>
  <c r="AH57" i="12" s="1"/>
  <c r="AP57" i="12"/>
  <c r="AB57" i="12"/>
  <c r="W161" i="13"/>
  <c r="O161" i="13"/>
  <c r="V161" i="13"/>
  <c r="N161" i="13"/>
  <c r="U161" i="13"/>
  <c r="M161" i="13"/>
  <c r="T161" i="13"/>
  <c r="L161" i="13"/>
  <c r="S161" i="13"/>
  <c r="X161" i="13" s="1"/>
  <c r="I161" i="12" s="1"/>
  <c r="J161" i="12" s="1"/>
  <c r="K161" i="12" s="1"/>
  <c r="K161" i="13"/>
  <c r="AR87" i="8"/>
  <c r="X264" i="13"/>
  <c r="I264" i="12" s="1"/>
  <c r="J264" i="12" s="1"/>
  <c r="K264" i="12" s="1"/>
  <c r="R51" i="13"/>
  <c r="J51" i="13"/>
  <c r="H51" i="13"/>
  <c r="S87" i="13"/>
  <c r="X87" i="13" s="1"/>
  <c r="I87" i="12" s="1"/>
  <c r="J87" i="12" s="1"/>
  <c r="K87" i="13"/>
  <c r="W87" i="13"/>
  <c r="O87" i="13"/>
  <c r="V87" i="13"/>
  <c r="N87" i="13"/>
  <c r="M87" i="13"/>
  <c r="L87" i="13"/>
  <c r="U87" i="13"/>
  <c r="T87" i="13"/>
  <c r="Z132" i="8"/>
  <c r="AI132" i="8" s="1"/>
  <c r="AQ132" i="8" s="1"/>
  <c r="AR132" i="8" s="1"/>
  <c r="Z283" i="8"/>
  <c r="AI283" i="8" s="1"/>
  <c r="AQ283" i="8" s="1"/>
  <c r="AR283" i="8" s="1"/>
  <c r="W199" i="8"/>
  <c r="X199" i="8"/>
  <c r="Z199" i="8" s="1"/>
  <c r="AI199" i="8" s="1"/>
  <c r="AQ199" i="8" s="1"/>
  <c r="AR199" i="8" s="1"/>
  <c r="W135" i="8"/>
  <c r="U20" i="13"/>
  <c r="M20" i="13"/>
  <c r="T20" i="13"/>
  <c r="L20" i="13"/>
  <c r="S20" i="13"/>
  <c r="X20" i="13" s="1"/>
  <c r="I20" i="12" s="1"/>
  <c r="J20" i="12" s="1"/>
  <c r="K20" i="13"/>
  <c r="P20" i="13" s="1"/>
  <c r="W20" i="13"/>
  <c r="O20" i="13"/>
  <c r="V20" i="13"/>
  <c r="N20" i="13"/>
  <c r="S322" i="13"/>
  <c r="K322" i="13"/>
  <c r="P322" i="13" s="1"/>
  <c r="U322" i="13"/>
  <c r="L322" i="13"/>
  <c r="T322" i="13"/>
  <c r="O322" i="13"/>
  <c r="W322" i="13"/>
  <c r="N322" i="13"/>
  <c r="V322" i="13"/>
  <c r="M322" i="13"/>
  <c r="X190" i="8"/>
  <c r="Z190" i="8" s="1"/>
  <c r="AI190" i="8" s="1"/>
  <c r="AQ190" i="8" s="1"/>
  <c r="AR190" i="8" s="1"/>
  <c r="W190" i="8"/>
  <c r="AF311" i="12"/>
  <c r="V311" i="12"/>
  <c r="Y311" i="12" s="1"/>
  <c r="AA311" i="12" s="1"/>
  <c r="AC311" i="12" s="1"/>
  <c r="Q311" i="12"/>
  <c r="AG311" i="12" s="1"/>
  <c r="W301" i="13"/>
  <c r="O301" i="13"/>
  <c r="V301" i="13"/>
  <c r="N301" i="13"/>
  <c r="P301" i="13" s="1"/>
  <c r="U301" i="13"/>
  <c r="M301" i="13"/>
  <c r="T301" i="13"/>
  <c r="L301" i="13"/>
  <c r="S301" i="13"/>
  <c r="K301" i="13"/>
  <c r="W345" i="13"/>
  <c r="O345" i="13"/>
  <c r="U345" i="13"/>
  <c r="M345" i="13"/>
  <c r="T345" i="13"/>
  <c r="L345" i="13"/>
  <c r="N345" i="13"/>
  <c r="K345" i="13"/>
  <c r="P345" i="13" s="1"/>
  <c r="V345" i="13"/>
  <c r="S345" i="13"/>
  <c r="X345" i="13" s="1"/>
  <c r="I345" i="12" s="1"/>
  <c r="J345" i="12" s="1"/>
  <c r="R14" i="13"/>
  <c r="J14" i="13"/>
  <c r="H14" i="13"/>
  <c r="U117" i="13"/>
  <c r="M117" i="13"/>
  <c r="T117" i="13"/>
  <c r="L117" i="13"/>
  <c r="S117" i="13"/>
  <c r="X117" i="13" s="1"/>
  <c r="I117" i="12" s="1"/>
  <c r="J117" i="12" s="1"/>
  <c r="K117" i="12" s="1"/>
  <c r="K117" i="13"/>
  <c r="W117" i="13"/>
  <c r="O117" i="13"/>
  <c r="V117" i="13"/>
  <c r="N117" i="13"/>
  <c r="X139" i="13"/>
  <c r="I139" i="12" s="1"/>
  <c r="J139" i="12" s="1"/>
  <c r="X160" i="8"/>
  <c r="Z160" i="8" s="1"/>
  <c r="AI160" i="8" s="1"/>
  <c r="AQ160" i="8" s="1"/>
  <c r="AR160" i="8" s="1"/>
  <c r="W160" i="8"/>
  <c r="S49" i="13"/>
  <c r="K49" i="13"/>
  <c r="W49" i="13"/>
  <c r="X49" i="13" s="1"/>
  <c r="I49" i="12" s="1"/>
  <c r="J49" i="12" s="1"/>
  <c r="K49" i="12" s="1"/>
  <c r="O49" i="13"/>
  <c r="V49" i="13"/>
  <c r="N49" i="13"/>
  <c r="U49" i="13"/>
  <c r="M49" i="13"/>
  <c r="T49" i="13"/>
  <c r="L49" i="13"/>
  <c r="X108" i="13"/>
  <c r="I108" i="12" s="1"/>
  <c r="J108" i="12" s="1"/>
  <c r="K108" i="12" s="1"/>
  <c r="P32" i="13"/>
  <c r="T339" i="13"/>
  <c r="L339" i="13"/>
  <c r="S339" i="13"/>
  <c r="K339" i="13"/>
  <c r="W339" i="13"/>
  <c r="O339" i="13"/>
  <c r="V339" i="13"/>
  <c r="N339" i="13"/>
  <c r="P339" i="13" s="1"/>
  <c r="U339" i="13"/>
  <c r="M339" i="13"/>
  <c r="U342" i="8"/>
  <c r="X34" i="13"/>
  <c r="I34" i="12" s="1"/>
  <c r="J34" i="12" s="1"/>
  <c r="K34" i="12" s="1"/>
  <c r="W229" i="13"/>
  <c r="O229" i="13"/>
  <c r="V229" i="13"/>
  <c r="N229" i="13"/>
  <c r="U229" i="13"/>
  <c r="M229" i="13"/>
  <c r="T229" i="13"/>
  <c r="L229" i="13"/>
  <c r="S229" i="13"/>
  <c r="K229" i="13"/>
  <c r="P229" i="13" s="1"/>
  <c r="W56" i="13"/>
  <c r="O56" i="13"/>
  <c r="V56" i="13"/>
  <c r="N56" i="13"/>
  <c r="U56" i="13"/>
  <c r="M56" i="13"/>
  <c r="T56" i="13"/>
  <c r="X56" i="13" s="1"/>
  <c r="I56" i="12" s="1"/>
  <c r="J56" i="12" s="1"/>
  <c r="K56" i="12" s="1"/>
  <c r="L56" i="13"/>
  <c r="S56" i="13"/>
  <c r="K56" i="13"/>
  <c r="Q91" i="12"/>
  <c r="AG91" i="12" s="1"/>
  <c r="V91" i="12"/>
  <c r="AF91" i="12"/>
  <c r="P303" i="13"/>
  <c r="AK154" i="12"/>
  <c r="AJ154" i="12"/>
  <c r="Z154" i="12"/>
  <c r="AI85" i="12"/>
  <c r="Z85" i="12"/>
  <c r="AK85" i="12"/>
  <c r="V228" i="12"/>
  <c r="Y228" i="12" s="1"/>
  <c r="AF228" i="12"/>
  <c r="Q228" i="12"/>
  <c r="AG228" i="12" s="1"/>
  <c r="P151" i="13"/>
  <c r="W288" i="13"/>
  <c r="O288" i="13"/>
  <c r="V288" i="13"/>
  <c r="N288" i="13"/>
  <c r="U288" i="13"/>
  <c r="M288" i="13"/>
  <c r="T288" i="13"/>
  <c r="X288" i="13" s="1"/>
  <c r="I288" i="12" s="1"/>
  <c r="J288" i="12" s="1"/>
  <c r="K288" i="12" s="1"/>
  <c r="L288" i="13"/>
  <c r="S288" i="13"/>
  <c r="K288" i="13"/>
  <c r="U317" i="8"/>
  <c r="AO26" i="12"/>
  <c r="P196" i="13"/>
  <c r="V264" i="8"/>
  <c r="Y264" i="8" s="1"/>
  <c r="X126" i="13"/>
  <c r="I126" i="12" s="1"/>
  <c r="J126" i="12" s="1"/>
  <c r="K126" i="12" s="1"/>
  <c r="AH352" i="12"/>
  <c r="AK204" i="12"/>
  <c r="Z204" i="12"/>
  <c r="AJ204" i="12"/>
  <c r="S251" i="13"/>
  <c r="K251" i="13"/>
  <c r="W251" i="13"/>
  <c r="O251" i="13"/>
  <c r="P251" i="13" s="1"/>
  <c r="V251" i="13"/>
  <c r="N251" i="13"/>
  <c r="U251" i="13"/>
  <c r="M251" i="13"/>
  <c r="T251" i="13"/>
  <c r="L251" i="13"/>
  <c r="W289" i="13"/>
  <c r="O289" i="13"/>
  <c r="V289" i="13"/>
  <c r="N289" i="13"/>
  <c r="U289" i="13"/>
  <c r="M289" i="13"/>
  <c r="T289" i="13"/>
  <c r="L289" i="13"/>
  <c r="S289" i="13"/>
  <c r="X289" i="13" s="1"/>
  <c r="I289" i="12" s="1"/>
  <c r="J289" i="12" s="1"/>
  <c r="K289" i="13"/>
  <c r="P237" i="13"/>
  <c r="X127" i="13"/>
  <c r="I127" i="12" s="1"/>
  <c r="J127" i="12" s="1"/>
  <c r="W254" i="13"/>
  <c r="O254" i="13"/>
  <c r="V254" i="13"/>
  <c r="X254" i="13" s="1"/>
  <c r="I254" i="12" s="1"/>
  <c r="J254" i="12" s="1"/>
  <c r="K254" i="12" s="1"/>
  <c r="N254" i="13"/>
  <c r="S254" i="13"/>
  <c r="M254" i="13"/>
  <c r="L254" i="13"/>
  <c r="U254" i="13"/>
  <c r="K254" i="13"/>
  <c r="P254" i="13" s="1"/>
  <c r="T254" i="13"/>
  <c r="AP71" i="12"/>
  <c r="X71" i="12"/>
  <c r="AB71" i="12"/>
  <c r="AE71" i="12"/>
  <c r="AH71" i="12" s="1"/>
  <c r="AQ71" i="12"/>
  <c r="V197" i="13"/>
  <c r="N197" i="13"/>
  <c r="U197" i="13"/>
  <c r="M197" i="13"/>
  <c r="T197" i="13"/>
  <c r="L197" i="13"/>
  <c r="S197" i="13"/>
  <c r="K197" i="13"/>
  <c r="W197" i="13"/>
  <c r="O197" i="13"/>
  <c r="X292" i="13"/>
  <c r="I292" i="12" s="1"/>
  <c r="J292" i="12" s="1"/>
  <c r="K292" i="12" s="1"/>
  <c r="X145" i="8"/>
  <c r="Z145" i="8" s="1"/>
  <c r="AI145" i="8" s="1"/>
  <c r="AQ145" i="8" s="1"/>
  <c r="AR145" i="8" s="1"/>
  <c r="W145" i="8"/>
  <c r="P115" i="13"/>
  <c r="W46" i="13"/>
  <c r="O46" i="13"/>
  <c r="V46" i="13"/>
  <c r="N46" i="13"/>
  <c r="U46" i="13"/>
  <c r="M46" i="13"/>
  <c r="T46" i="13"/>
  <c r="L46" i="13"/>
  <c r="S46" i="13"/>
  <c r="K46" i="13"/>
  <c r="P46" i="13" s="1"/>
  <c r="T285" i="13"/>
  <c r="L285" i="13"/>
  <c r="S285" i="13"/>
  <c r="K285" i="13"/>
  <c r="W285" i="13"/>
  <c r="O285" i="13"/>
  <c r="V285" i="13"/>
  <c r="N285" i="13"/>
  <c r="U285" i="13"/>
  <c r="M285" i="13"/>
  <c r="V11" i="8"/>
  <c r="Y11" i="8" s="1"/>
  <c r="U11" i="8"/>
  <c r="U224" i="13"/>
  <c r="L224" i="13"/>
  <c r="T224" i="13"/>
  <c r="X224" i="13" s="1"/>
  <c r="I224" i="12" s="1"/>
  <c r="J224" i="12" s="1"/>
  <c r="K224" i="12" s="1"/>
  <c r="K224" i="13"/>
  <c r="S224" i="13"/>
  <c r="O224" i="13"/>
  <c r="W224" i="13"/>
  <c r="N224" i="13"/>
  <c r="M224" i="13"/>
  <c r="V224" i="13"/>
  <c r="O297" i="13"/>
  <c r="W297" i="13"/>
  <c r="N297" i="13"/>
  <c r="V297" i="13"/>
  <c r="M297" i="13"/>
  <c r="U297" i="13"/>
  <c r="L297" i="13"/>
  <c r="T297" i="13"/>
  <c r="K297" i="13"/>
  <c r="P297" i="13" s="1"/>
  <c r="S297" i="13"/>
  <c r="W71" i="8"/>
  <c r="X71" i="8"/>
  <c r="Z71" i="8" s="1"/>
  <c r="AI71" i="8" s="1"/>
  <c r="AQ71" i="8" s="1"/>
  <c r="AR71" i="8" s="1"/>
  <c r="AJ276" i="12"/>
  <c r="AI276" i="12"/>
  <c r="Z276" i="12"/>
  <c r="AA276" i="12" s="1"/>
  <c r="AC276" i="12" s="1"/>
  <c r="AK276" i="12"/>
  <c r="U8" i="13"/>
  <c r="M8" i="13"/>
  <c r="T8" i="13"/>
  <c r="L8" i="13"/>
  <c r="S8" i="13"/>
  <c r="K8" i="13"/>
  <c r="W8" i="13"/>
  <c r="O8" i="13"/>
  <c r="P8" i="13" s="1"/>
  <c r="V8" i="13"/>
  <c r="N8" i="13"/>
  <c r="S107" i="13"/>
  <c r="X107" i="13" s="1"/>
  <c r="I107" i="12" s="1"/>
  <c r="J107" i="12" s="1"/>
  <c r="K107" i="12" s="1"/>
  <c r="K107" i="13"/>
  <c r="P107" i="13" s="1"/>
  <c r="V107" i="13"/>
  <c r="N107" i="13"/>
  <c r="U107" i="13"/>
  <c r="M107" i="13"/>
  <c r="T107" i="13"/>
  <c r="L107" i="13"/>
  <c r="O107" i="13"/>
  <c r="W107" i="13"/>
  <c r="V238" i="13"/>
  <c r="N238" i="13"/>
  <c r="U238" i="13"/>
  <c r="M238" i="13"/>
  <c r="T238" i="13"/>
  <c r="L238" i="13"/>
  <c r="S238" i="13"/>
  <c r="K238" i="13"/>
  <c r="P238" i="13" s="1"/>
  <c r="O238" i="13"/>
  <c r="W238" i="13"/>
  <c r="V294" i="8"/>
  <c r="Y294" i="8" s="1"/>
  <c r="U294" i="8"/>
  <c r="T164" i="13"/>
  <c r="L164" i="13"/>
  <c r="S164" i="13"/>
  <c r="K164" i="13"/>
  <c r="P164" i="13" s="1"/>
  <c r="W164" i="13"/>
  <c r="O164" i="13"/>
  <c r="V164" i="13"/>
  <c r="N164" i="13"/>
  <c r="U164" i="13"/>
  <c r="M164" i="13"/>
  <c r="X114" i="8"/>
  <c r="Z114" i="8" s="1"/>
  <c r="AI114" i="8" s="1"/>
  <c r="AQ114" i="8" s="1"/>
  <c r="AR114" i="8" s="1"/>
  <c r="W114" i="8"/>
  <c r="Q261" i="12"/>
  <c r="AG261" i="12" s="1"/>
  <c r="V261" i="12"/>
  <c r="AA261" i="12"/>
  <c r="AC261" i="12" s="1"/>
  <c r="AF261" i="12"/>
  <c r="X54" i="8"/>
  <c r="Z54" i="8" s="1"/>
  <c r="AI54" i="8" s="1"/>
  <c r="AQ54" i="8" s="1"/>
  <c r="AR54" i="8" s="1"/>
  <c r="W54" i="8"/>
  <c r="W329" i="13"/>
  <c r="O329" i="13"/>
  <c r="T329" i="13"/>
  <c r="L329" i="13"/>
  <c r="N329" i="13"/>
  <c r="M329" i="13"/>
  <c r="P329" i="13" s="1"/>
  <c r="K329" i="13"/>
  <c r="V329" i="13"/>
  <c r="U329" i="13"/>
  <c r="S329" i="13"/>
  <c r="AO103" i="12"/>
  <c r="R24" i="13"/>
  <c r="J24" i="13"/>
  <c r="H24" i="13"/>
  <c r="W348" i="8"/>
  <c r="X348" i="8"/>
  <c r="Z348" i="8" s="1"/>
  <c r="AI348" i="8" s="1"/>
  <c r="AQ348" i="8" s="1"/>
  <c r="AR348" i="8" s="1"/>
  <c r="W308" i="13"/>
  <c r="O308" i="13"/>
  <c r="V308" i="13"/>
  <c r="X308" i="13" s="1"/>
  <c r="I308" i="12" s="1"/>
  <c r="J308" i="12" s="1"/>
  <c r="K308" i="12" s="1"/>
  <c r="N308" i="13"/>
  <c r="U308" i="13"/>
  <c r="M308" i="13"/>
  <c r="T308" i="13"/>
  <c r="L308" i="13"/>
  <c r="S308" i="13"/>
  <c r="K308" i="13"/>
  <c r="AI334" i="12"/>
  <c r="Z334" i="12"/>
  <c r="AA334" i="12" s="1"/>
  <c r="AC334" i="12" s="1"/>
  <c r="AK334" i="12"/>
  <c r="AJ334" i="12"/>
  <c r="AO357" i="12"/>
  <c r="AN82" i="12"/>
  <c r="AO82" i="12" s="1"/>
  <c r="AK355" i="12"/>
  <c r="AI355" i="12"/>
  <c r="Z355" i="12"/>
  <c r="W86" i="13"/>
  <c r="O86" i="13"/>
  <c r="V86" i="13"/>
  <c r="N86" i="13"/>
  <c r="P86" i="13" s="1"/>
  <c r="U86" i="13"/>
  <c r="M86" i="13"/>
  <c r="L86" i="13"/>
  <c r="K86" i="13"/>
  <c r="T86" i="13"/>
  <c r="S86" i="13"/>
  <c r="X16" i="8"/>
  <c r="Z16" i="8" s="1"/>
  <c r="AI16" i="8" s="1"/>
  <c r="AQ16" i="8" s="1"/>
  <c r="AR16" i="8" s="1"/>
  <c r="W16" i="8"/>
  <c r="Z347" i="12"/>
  <c r="AK347" i="12"/>
  <c r="AJ347" i="12"/>
  <c r="AL83" i="12"/>
  <c r="AN83" i="12" s="1"/>
  <c r="AO83" i="12" s="1"/>
  <c r="W275" i="13"/>
  <c r="O275" i="13"/>
  <c r="V275" i="13"/>
  <c r="N275" i="13"/>
  <c r="U275" i="13"/>
  <c r="M275" i="13"/>
  <c r="T275" i="13"/>
  <c r="L275" i="13"/>
  <c r="S275" i="13"/>
  <c r="K275" i="13"/>
  <c r="P275" i="13" s="1"/>
  <c r="X218" i="13"/>
  <c r="I218" i="12" s="1"/>
  <c r="J218" i="12" s="1"/>
  <c r="K218" i="12" s="1"/>
  <c r="W111" i="13"/>
  <c r="O111" i="13"/>
  <c r="U111" i="13"/>
  <c r="M111" i="13"/>
  <c r="T111" i="13"/>
  <c r="L111" i="13"/>
  <c r="S111" i="13"/>
  <c r="X111" i="13" s="1"/>
  <c r="I111" i="12" s="1"/>
  <c r="J111" i="12" s="1"/>
  <c r="K111" i="13"/>
  <c r="V111" i="13"/>
  <c r="N111" i="13"/>
  <c r="P239" i="13"/>
  <c r="W270" i="13"/>
  <c r="O270" i="13"/>
  <c r="V270" i="13"/>
  <c r="N270" i="13"/>
  <c r="U270" i="13"/>
  <c r="M270" i="13"/>
  <c r="T270" i="13"/>
  <c r="L270" i="13"/>
  <c r="S270" i="13"/>
  <c r="K270" i="13"/>
  <c r="W305" i="8"/>
  <c r="X305" i="8"/>
  <c r="Z305" i="8" s="1"/>
  <c r="AI305" i="8" s="1"/>
  <c r="AQ305" i="8" s="1"/>
  <c r="AR305" i="8" s="1"/>
  <c r="U95" i="13"/>
  <c r="M95" i="13"/>
  <c r="S95" i="13"/>
  <c r="K95" i="13"/>
  <c r="P95" i="13" s="1"/>
  <c r="W95" i="13"/>
  <c r="O95" i="13"/>
  <c r="V95" i="13"/>
  <c r="N95" i="13"/>
  <c r="L95" i="13"/>
  <c r="T95" i="13"/>
  <c r="X95" i="13" s="1"/>
  <c r="I95" i="12" s="1"/>
  <c r="J95" i="12" s="1"/>
  <c r="O131" i="13"/>
  <c r="W131" i="13"/>
  <c r="N131" i="13"/>
  <c r="V131" i="13"/>
  <c r="M131" i="13"/>
  <c r="U131" i="13"/>
  <c r="L131" i="13"/>
  <c r="T131" i="13"/>
  <c r="K131" i="13"/>
  <c r="P131" i="13" s="1"/>
  <c r="S131" i="13"/>
  <c r="W241" i="13"/>
  <c r="O241" i="13"/>
  <c r="V241" i="13"/>
  <c r="X241" i="13" s="1"/>
  <c r="I241" i="12" s="1"/>
  <c r="J241" i="12" s="1"/>
  <c r="N241" i="13"/>
  <c r="U241" i="13"/>
  <c r="M241" i="13"/>
  <c r="T241" i="13"/>
  <c r="L241" i="13"/>
  <c r="S241" i="13"/>
  <c r="K241" i="13"/>
  <c r="P241" i="13" s="1"/>
  <c r="X82" i="13"/>
  <c r="I82" i="12" s="1"/>
  <c r="J82" i="12" s="1"/>
  <c r="X193" i="13"/>
  <c r="I193" i="12" s="1"/>
  <c r="J193" i="12" s="1"/>
  <c r="K193" i="12" s="1"/>
  <c r="Y278" i="12"/>
  <c r="S243" i="13"/>
  <c r="X243" i="13" s="1"/>
  <c r="I243" i="12" s="1"/>
  <c r="J243" i="12" s="1"/>
  <c r="K243" i="13"/>
  <c r="W243" i="13"/>
  <c r="O243" i="13"/>
  <c r="V243" i="13"/>
  <c r="N243" i="13"/>
  <c r="U243" i="13"/>
  <c r="M243" i="13"/>
  <c r="T243" i="13"/>
  <c r="L243" i="13"/>
  <c r="P87" i="13"/>
  <c r="X19" i="8"/>
  <c r="Z19" i="8" s="1"/>
  <c r="AI19" i="8" s="1"/>
  <c r="AQ19" i="8" s="1"/>
  <c r="AR19" i="8" s="1"/>
  <c r="W19" i="8"/>
  <c r="W202" i="8"/>
  <c r="Z219" i="8"/>
  <c r="AI219" i="8" s="1"/>
  <c r="AQ219" i="8" s="1"/>
  <c r="AR219" i="8" s="1"/>
  <c r="W170" i="8"/>
  <c r="Z253" i="8"/>
  <c r="AI253" i="8" s="1"/>
  <c r="AQ253" i="8" s="1"/>
  <c r="Z7" i="8"/>
  <c r="AI7" i="8" s="1"/>
  <c r="AQ7" i="8" s="1"/>
  <c r="AR7" i="8" s="1"/>
  <c r="W287" i="8"/>
  <c r="Z285" i="8"/>
  <c r="AI285" i="8" s="1"/>
  <c r="AQ285" i="8" s="1"/>
  <c r="AR285" i="8" s="1"/>
  <c r="X80" i="8"/>
  <c r="Z80" i="8" s="1"/>
  <c r="AI80" i="8" s="1"/>
  <c r="AQ80" i="8" s="1"/>
  <c r="AR80" i="8" s="1"/>
  <c r="W80" i="8"/>
  <c r="P320" i="13"/>
  <c r="W39" i="13"/>
  <c r="O39" i="13"/>
  <c r="V39" i="13"/>
  <c r="N39" i="13"/>
  <c r="U39" i="13"/>
  <c r="M39" i="13"/>
  <c r="T39" i="13"/>
  <c r="L39" i="13"/>
  <c r="S39" i="13"/>
  <c r="X39" i="13" s="1"/>
  <c r="I39" i="12" s="1"/>
  <c r="J39" i="12" s="1"/>
  <c r="K39" i="13"/>
  <c r="P39" i="13" s="1"/>
  <c r="AL146" i="12"/>
  <c r="AO146" i="12" s="1"/>
  <c r="R236" i="13"/>
  <c r="X236" i="13" s="1"/>
  <c r="I236" i="12" s="1"/>
  <c r="J236" i="12" s="1"/>
  <c r="K236" i="12" s="1"/>
  <c r="J236" i="13"/>
  <c r="P236" i="13" s="1"/>
  <c r="X13" i="13"/>
  <c r="I13" i="12" s="1"/>
  <c r="J13" i="12" s="1"/>
  <c r="K13" i="12" s="1"/>
  <c r="AF320" i="12"/>
  <c r="V320" i="12"/>
  <c r="Q320" i="12"/>
  <c r="AG320" i="12" s="1"/>
  <c r="X194" i="8"/>
  <c r="Z194" i="8" s="1"/>
  <c r="AI194" i="8" s="1"/>
  <c r="AQ194" i="8" s="1"/>
  <c r="AR194" i="8" s="1"/>
  <c r="W194" i="8"/>
  <c r="AF194" i="12"/>
  <c r="V194" i="12"/>
  <c r="Y194" i="12" s="1"/>
  <c r="Q194" i="12"/>
  <c r="AG194" i="12" s="1"/>
  <c r="P94" i="13"/>
  <c r="W312" i="8"/>
  <c r="X312" i="8"/>
  <c r="Z312" i="8" s="1"/>
  <c r="AI312" i="8" s="1"/>
  <c r="AQ312" i="8" s="1"/>
  <c r="AR312" i="8" s="1"/>
  <c r="P310" i="13"/>
  <c r="X256" i="13"/>
  <c r="I256" i="12" s="1"/>
  <c r="J256" i="12" s="1"/>
  <c r="K256" i="12" s="1"/>
  <c r="Q69" i="12"/>
  <c r="AG69" i="12" s="1"/>
  <c r="V69" i="12"/>
  <c r="Y69" i="12" s="1"/>
  <c r="AA69" i="12" s="1"/>
  <c r="AC69" i="12" s="1"/>
  <c r="AF69" i="12"/>
  <c r="P171" i="13"/>
  <c r="X316" i="13"/>
  <c r="I316" i="12" s="1"/>
  <c r="J316" i="12" s="1"/>
  <c r="K316" i="12" s="1"/>
  <c r="X72" i="8"/>
  <c r="Z72" i="8" s="1"/>
  <c r="AI72" i="8" s="1"/>
  <c r="AQ72" i="8" s="1"/>
  <c r="W72" i="8"/>
  <c r="X326" i="13"/>
  <c r="I326" i="12" s="1"/>
  <c r="J326" i="12" s="1"/>
  <c r="K326" i="12" s="1"/>
  <c r="W53" i="13"/>
  <c r="O53" i="13"/>
  <c r="V53" i="13"/>
  <c r="N53" i="13"/>
  <c r="U53" i="13"/>
  <c r="M53" i="13"/>
  <c r="T53" i="13"/>
  <c r="L53" i="13"/>
  <c r="S53" i="13"/>
  <c r="K53" i="13"/>
  <c r="P53" i="13" s="1"/>
  <c r="W240" i="13"/>
  <c r="O240" i="13"/>
  <c r="V240" i="13"/>
  <c r="N240" i="13"/>
  <c r="U240" i="13"/>
  <c r="M240" i="13"/>
  <c r="T240" i="13"/>
  <c r="L240" i="13"/>
  <c r="S240" i="13"/>
  <c r="K240" i="13"/>
  <c r="P240" i="13" s="1"/>
  <c r="T252" i="13"/>
  <c r="L252" i="13"/>
  <c r="S252" i="13"/>
  <c r="K252" i="13"/>
  <c r="W252" i="13"/>
  <c r="O252" i="13"/>
  <c r="V252" i="13"/>
  <c r="X252" i="13" s="1"/>
  <c r="I252" i="12" s="1"/>
  <c r="J252" i="12" s="1"/>
  <c r="K252" i="12" s="1"/>
  <c r="N252" i="13"/>
  <c r="U252" i="13"/>
  <c r="M252" i="13"/>
  <c r="AH231" i="12"/>
  <c r="P9" i="13"/>
  <c r="X132" i="13"/>
  <c r="I132" i="12" s="1"/>
  <c r="J132" i="12" s="1"/>
  <c r="AE75" i="12"/>
  <c r="AH75" i="12" s="1"/>
  <c r="X75" i="12"/>
  <c r="Y75" i="12" s="1"/>
  <c r="AQ75" i="12"/>
  <c r="AB75" i="12"/>
  <c r="AC75" i="12" s="1"/>
  <c r="AP75" i="12"/>
  <c r="W192" i="13"/>
  <c r="O192" i="13"/>
  <c r="V192" i="13"/>
  <c r="N192" i="13"/>
  <c r="U192" i="13"/>
  <c r="M192" i="13"/>
  <c r="K192" i="13"/>
  <c r="T192" i="13"/>
  <c r="S192" i="13"/>
  <c r="X192" i="13" s="1"/>
  <c r="I192" i="12" s="1"/>
  <c r="J192" i="12" s="1"/>
  <c r="L192" i="13"/>
  <c r="W125" i="13"/>
  <c r="N125" i="13"/>
  <c r="V125" i="13"/>
  <c r="M125" i="13"/>
  <c r="U125" i="13"/>
  <c r="L125" i="13"/>
  <c r="T125" i="13"/>
  <c r="K125" i="13"/>
  <c r="S125" i="13"/>
  <c r="X125" i="13" s="1"/>
  <c r="I125" i="12" s="1"/>
  <c r="J125" i="12" s="1"/>
  <c r="K125" i="12" s="1"/>
  <c r="O125" i="13"/>
  <c r="AK209" i="12"/>
  <c r="Z209" i="12"/>
  <c r="AJ209" i="12"/>
  <c r="W297" i="8"/>
  <c r="X297" i="8"/>
  <c r="Z297" i="8" s="1"/>
  <c r="AI297" i="8" s="1"/>
  <c r="AQ297" i="8" s="1"/>
  <c r="Q300" i="12"/>
  <c r="AG300" i="12" s="1"/>
  <c r="V300" i="12"/>
  <c r="Y300" i="12" s="1"/>
  <c r="AF300" i="12"/>
  <c r="AJ234" i="12"/>
  <c r="Z234" i="12"/>
  <c r="AK234" i="12"/>
  <c r="W153" i="13"/>
  <c r="O153" i="13"/>
  <c r="V153" i="13"/>
  <c r="N153" i="13"/>
  <c r="U153" i="13"/>
  <c r="M153" i="13"/>
  <c r="T153" i="13"/>
  <c r="L153" i="13"/>
  <c r="S153" i="13"/>
  <c r="X153" i="13" s="1"/>
  <c r="I153" i="12" s="1"/>
  <c r="J153" i="12" s="1"/>
  <c r="K153" i="12" s="1"/>
  <c r="K153" i="13"/>
  <c r="P153" i="13" s="1"/>
  <c r="V246" i="13"/>
  <c r="N246" i="13"/>
  <c r="U246" i="13"/>
  <c r="M246" i="13"/>
  <c r="T246" i="13"/>
  <c r="L246" i="13"/>
  <c r="S246" i="13"/>
  <c r="X246" i="13" s="1"/>
  <c r="I246" i="12" s="1"/>
  <c r="J246" i="12" s="1"/>
  <c r="K246" i="13"/>
  <c r="O246" i="13"/>
  <c r="W246" i="13"/>
  <c r="W128" i="13"/>
  <c r="O128" i="13"/>
  <c r="V128" i="13"/>
  <c r="N128" i="13"/>
  <c r="U128" i="13"/>
  <c r="M128" i="13"/>
  <c r="T128" i="13"/>
  <c r="L128" i="13"/>
  <c r="S128" i="13"/>
  <c r="K128" i="13"/>
  <c r="P128" i="13" s="1"/>
  <c r="AF312" i="12"/>
  <c r="V312" i="12"/>
  <c r="Q312" i="12"/>
  <c r="AG312" i="12" s="1"/>
  <c r="D7" i="1"/>
  <c r="AR29" i="8"/>
  <c r="X291" i="8"/>
  <c r="Z291" i="8" s="1"/>
  <c r="AI291" i="8" s="1"/>
  <c r="AQ291" i="8" s="1"/>
  <c r="AR291" i="8" s="1"/>
  <c r="W291" i="8"/>
  <c r="AE187" i="12"/>
  <c r="AH187" i="12" s="1"/>
  <c r="AQ187" i="12"/>
  <c r="AB187" i="12"/>
  <c r="X187" i="12"/>
  <c r="Y187" i="12" s="1"/>
  <c r="AA187" i="12" s="1"/>
  <c r="AP187" i="12"/>
  <c r="AR187" i="12" s="1"/>
  <c r="S298" i="13"/>
  <c r="K298" i="13"/>
  <c r="W298" i="13"/>
  <c r="O298" i="13"/>
  <c r="V298" i="13"/>
  <c r="X298" i="13" s="1"/>
  <c r="I298" i="12" s="1"/>
  <c r="J298" i="12" s="1"/>
  <c r="K298" i="12" s="1"/>
  <c r="N298" i="13"/>
  <c r="U298" i="13"/>
  <c r="M298" i="13"/>
  <c r="T298" i="13"/>
  <c r="L298" i="13"/>
  <c r="V307" i="13"/>
  <c r="N307" i="13"/>
  <c r="U307" i="13"/>
  <c r="M307" i="13"/>
  <c r="T307" i="13"/>
  <c r="L307" i="13"/>
  <c r="S307" i="13"/>
  <c r="K307" i="13"/>
  <c r="P307" i="13" s="1"/>
  <c r="W307" i="13"/>
  <c r="O307" i="13"/>
  <c r="Q86" i="12"/>
  <c r="AG86" i="12" s="1"/>
  <c r="V86" i="12"/>
  <c r="AF86" i="12"/>
  <c r="AK259" i="12"/>
  <c r="AJ259" i="12"/>
  <c r="AI259" i="12"/>
  <c r="AA259" i="12"/>
  <c r="Z259" i="12"/>
  <c r="V51" i="12"/>
  <c r="AF51" i="12"/>
  <c r="Q51" i="12"/>
  <c r="AG51" i="12" s="1"/>
  <c r="P117" i="13"/>
  <c r="X245" i="13"/>
  <c r="I245" i="12" s="1"/>
  <c r="J245" i="12" s="1"/>
  <c r="K245" i="12" s="1"/>
  <c r="AH205" i="12"/>
  <c r="X315" i="13"/>
  <c r="I315" i="12" s="1"/>
  <c r="J315" i="12" s="1"/>
  <c r="K315" i="12" s="1"/>
  <c r="AL67" i="12"/>
  <c r="AN67" i="12"/>
  <c r="W290" i="13"/>
  <c r="O290" i="13"/>
  <c r="V290" i="13"/>
  <c r="N290" i="13"/>
  <c r="U290" i="13"/>
  <c r="M290" i="13"/>
  <c r="T290" i="13"/>
  <c r="L290" i="13"/>
  <c r="S290" i="13"/>
  <c r="K290" i="13"/>
  <c r="P290" i="13" s="1"/>
  <c r="AR70" i="12"/>
  <c r="P49" i="13"/>
  <c r="AJ328" i="12"/>
  <c r="AK328" i="12"/>
  <c r="Z328" i="12"/>
  <c r="X159" i="13"/>
  <c r="I159" i="12" s="1"/>
  <c r="J159" i="12" s="1"/>
  <c r="K159" i="12" s="1"/>
  <c r="X32" i="13"/>
  <c r="I32" i="12" s="1"/>
  <c r="J32" i="12" s="1"/>
  <c r="O26" i="13"/>
  <c r="W26" i="13"/>
  <c r="N26" i="13"/>
  <c r="V26" i="13"/>
  <c r="M26" i="13"/>
  <c r="U26" i="13"/>
  <c r="L26" i="13"/>
  <c r="T26" i="13"/>
  <c r="K26" i="13"/>
  <c r="P26" i="13" s="1"/>
  <c r="S26" i="13"/>
  <c r="X129" i="13"/>
  <c r="I129" i="12" s="1"/>
  <c r="J129" i="12" s="1"/>
  <c r="V158" i="13"/>
  <c r="N158" i="13"/>
  <c r="P158" i="13" s="1"/>
  <c r="U158" i="13"/>
  <c r="M158" i="13"/>
  <c r="T158" i="13"/>
  <c r="L158" i="13"/>
  <c r="S158" i="13"/>
  <c r="K158" i="13"/>
  <c r="W158" i="13"/>
  <c r="O158" i="13"/>
  <c r="X147" i="13"/>
  <c r="I147" i="12" s="1"/>
  <c r="J147" i="12" s="1"/>
  <c r="K147" i="12" s="1"/>
  <c r="N25" i="14"/>
  <c r="N559" i="14" s="1"/>
  <c r="M559" i="14"/>
  <c r="P56" i="13"/>
  <c r="X303" i="13"/>
  <c r="I303" i="12" s="1"/>
  <c r="J303" i="12" s="1"/>
  <c r="K303" i="12" s="1"/>
  <c r="R154" i="13"/>
  <c r="J154" i="13"/>
  <c r="H154" i="13"/>
  <c r="J85" i="13"/>
  <c r="P85" i="13" s="1"/>
  <c r="R85" i="13"/>
  <c r="X85" i="13" s="1"/>
  <c r="I85" i="12" s="1"/>
  <c r="J85" i="12" s="1"/>
  <c r="K85" i="12" s="1"/>
  <c r="X228" i="8"/>
  <c r="Z228" i="8" s="1"/>
  <c r="AI228" i="8" s="1"/>
  <c r="AQ228" i="8" s="1"/>
  <c r="AR228" i="8" s="1"/>
  <c r="W228" i="8"/>
  <c r="W143" i="8"/>
  <c r="X143" i="8"/>
  <c r="Z143" i="8" s="1"/>
  <c r="AI143" i="8" s="1"/>
  <c r="AQ143" i="8" s="1"/>
  <c r="AR143" i="8" s="1"/>
  <c r="AE21" i="12"/>
  <c r="AH21" i="12" s="1"/>
  <c r="AB21" i="12"/>
  <c r="AQ21" i="12"/>
  <c r="AP21" i="12"/>
  <c r="AR21" i="12" s="1"/>
  <c r="X21" i="12"/>
  <c r="X172" i="8"/>
  <c r="Z172" i="8" s="1"/>
  <c r="AI172" i="8" s="1"/>
  <c r="AQ172" i="8" s="1"/>
  <c r="AR172" i="8" s="1"/>
  <c r="W172" i="8"/>
  <c r="W223" i="13"/>
  <c r="O223" i="13"/>
  <c r="V223" i="13"/>
  <c r="N223" i="13"/>
  <c r="U223" i="13"/>
  <c r="M223" i="13"/>
  <c r="T223" i="13"/>
  <c r="L223" i="13"/>
  <c r="P223" i="13" s="1"/>
  <c r="K223" i="13"/>
  <c r="S223" i="13"/>
  <c r="P288" i="13"/>
  <c r="X124" i="13"/>
  <c r="I124" i="12" s="1"/>
  <c r="J124" i="12" s="1"/>
  <c r="AF347" i="12"/>
  <c r="Q347" i="12"/>
  <c r="AG347" i="12" s="1"/>
  <c r="V347" i="12"/>
  <c r="T148" i="13"/>
  <c r="L148" i="13"/>
  <c r="S148" i="13"/>
  <c r="K148" i="13"/>
  <c r="W148" i="13"/>
  <c r="O148" i="13"/>
  <c r="V148" i="13"/>
  <c r="N148" i="13"/>
  <c r="U148" i="13"/>
  <c r="M148" i="13"/>
  <c r="AH280" i="12"/>
  <c r="Q264" i="12"/>
  <c r="AG264" i="12" s="1"/>
  <c r="AA264" i="12"/>
  <c r="V264" i="12"/>
  <c r="AF264" i="12"/>
  <c r="AK50" i="12"/>
  <c r="AJ50" i="12"/>
  <c r="Z50" i="12"/>
  <c r="W126" i="13"/>
  <c r="O126" i="13"/>
  <c r="V126" i="13"/>
  <c r="N126" i="13"/>
  <c r="U126" i="13"/>
  <c r="M126" i="13"/>
  <c r="T126" i="13"/>
  <c r="L126" i="13"/>
  <c r="S126" i="13"/>
  <c r="K126" i="13"/>
  <c r="P126" i="13" s="1"/>
  <c r="R204" i="13"/>
  <c r="J204" i="13"/>
  <c r="H204" i="13"/>
  <c r="X202" i="13"/>
  <c r="I202" i="12" s="1"/>
  <c r="J202" i="12" s="1"/>
  <c r="K202" i="12" s="1"/>
  <c r="AQ133" i="12"/>
  <c r="AB133" i="12"/>
  <c r="AP133" i="12"/>
  <c r="X133" i="12"/>
  <c r="AE133" i="12"/>
  <c r="P289" i="13"/>
  <c r="AE261" i="12"/>
  <c r="AQ261" i="12"/>
  <c r="X261" i="12"/>
  <c r="AP261" i="12"/>
  <c r="AR261" i="12" s="1"/>
  <c r="AB261" i="12"/>
  <c r="W127" i="13"/>
  <c r="O127" i="13"/>
  <c r="V127" i="13"/>
  <c r="N127" i="13"/>
  <c r="U127" i="13"/>
  <c r="M127" i="13"/>
  <c r="T127" i="13"/>
  <c r="L127" i="13"/>
  <c r="S127" i="13"/>
  <c r="K127" i="13"/>
  <c r="P127" i="13" s="1"/>
  <c r="W84" i="13"/>
  <c r="N84" i="13"/>
  <c r="T84" i="13"/>
  <c r="K84" i="13"/>
  <c r="P84" i="13" s="1"/>
  <c r="S84" i="13"/>
  <c r="O84" i="13"/>
  <c r="M84" i="13"/>
  <c r="L84" i="13"/>
  <c r="V84" i="13"/>
  <c r="U84" i="13"/>
  <c r="X67" i="13"/>
  <c r="I67" i="12" s="1"/>
  <c r="J67" i="12" s="1"/>
  <c r="AR98" i="8"/>
  <c r="D17" i="1"/>
  <c r="U52" i="8"/>
  <c r="V144" i="12"/>
  <c r="AF144" i="12"/>
  <c r="Q144" i="12"/>
  <c r="AG144" i="12" s="1"/>
  <c r="P197" i="13"/>
  <c r="AH353" i="12"/>
  <c r="X113" i="8"/>
  <c r="Z113" i="8" s="1"/>
  <c r="AI113" i="8" s="1"/>
  <c r="AQ113" i="8" s="1"/>
  <c r="W113" i="8"/>
  <c r="U248" i="8"/>
  <c r="AF248" i="12"/>
  <c r="V248" i="12"/>
  <c r="AA248" i="12"/>
  <c r="Q248" i="12"/>
  <c r="AG248" i="12" s="1"/>
  <c r="X279" i="13"/>
  <c r="I279" i="12" s="1"/>
  <c r="J279" i="12" s="1"/>
  <c r="V96" i="13"/>
  <c r="N96" i="13"/>
  <c r="T96" i="13"/>
  <c r="L96" i="13"/>
  <c r="W96" i="13"/>
  <c r="O96" i="13"/>
  <c r="U96" i="13"/>
  <c r="S96" i="13"/>
  <c r="M96" i="13"/>
  <c r="K96" i="13"/>
  <c r="P96" i="13" s="1"/>
  <c r="U141" i="8"/>
  <c r="V141" i="12"/>
  <c r="Y141" i="12" s="1"/>
  <c r="AA141" i="12" s="1"/>
  <c r="AC141" i="12" s="1"/>
  <c r="Q141" i="12"/>
  <c r="AG141" i="12" s="1"/>
  <c r="AF141" i="12"/>
  <c r="P285" i="13"/>
  <c r="AE89" i="12"/>
  <c r="AH89" i="12" s="1"/>
  <c r="AQ89" i="12"/>
  <c r="AP89" i="12"/>
  <c r="X89" i="12"/>
  <c r="Y89" i="12" s="1"/>
  <c r="AA89" i="12" s="1"/>
  <c r="AB89" i="12"/>
  <c r="P283" i="13"/>
  <c r="X42" i="8"/>
  <c r="Z42" i="8" s="1"/>
  <c r="AI42" i="8" s="1"/>
  <c r="AQ42" i="8" s="1"/>
  <c r="AR42" i="8" s="1"/>
  <c r="W42" i="8"/>
  <c r="R276" i="13"/>
  <c r="J276" i="13"/>
  <c r="H276" i="13"/>
  <c r="AH114" i="12"/>
  <c r="W91" i="13"/>
  <c r="O91" i="13"/>
  <c r="T91" i="13"/>
  <c r="L91" i="13"/>
  <c r="S91" i="13"/>
  <c r="X91" i="13" s="1"/>
  <c r="I91" i="12" s="1"/>
  <c r="J91" i="12" s="1"/>
  <c r="K91" i="12" s="1"/>
  <c r="K91" i="13"/>
  <c r="V91" i="13"/>
  <c r="U91" i="13"/>
  <c r="N91" i="13"/>
  <c r="P91" i="13" s="1"/>
  <c r="M91" i="13"/>
  <c r="X304" i="13"/>
  <c r="I304" i="12" s="1"/>
  <c r="J304" i="12" s="1"/>
  <c r="K304" i="12" s="1"/>
  <c r="AH242" i="12"/>
  <c r="W344" i="13"/>
  <c r="O344" i="13"/>
  <c r="V344" i="13"/>
  <c r="N344" i="13"/>
  <c r="T344" i="13"/>
  <c r="L344" i="13"/>
  <c r="S344" i="13"/>
  <c r="X344" i="13" s="1"/>
  <c r="I344" i="12" s="1"/>
  <c r="J344" i="12" s="1"/>
  <c r="K344" i="12" s="1"/>
  <c r="K344" i="13"/>
  <c r="P344" i="13" s="1"/>
  <c r="U344" i="13"/>
  <c r="M344" i="13"/>
  <c r="AK268" i="12"/>
  <c r="Z268" i="12"/>
  <c r="AJ268" i="12"/>
  <c r="AK96" i="12"/>
  <c r="AO96" i="12" s="1"/>
  <c r="AK74" i="12"/>
  <c r="AI74" i="12"/>
  <c r="Z74" i="12"/>
  <c r="X296" i="8"/>
  <c r="Z296" i="8" s="1"/>
  <c r="AI296" i="8" s="1"/>
  <c r="AQ296" i="8" s="1"/>
  <c r="AR296" i="8" s="1"/>
  <c r="W296" i="8"/>
  <c r="Q296" i="12"/>
  <c r="AG296" i="12" s="1"/>
  <c r="AF296" i="12"/>
  <c r="V296" i="12"/>
  <c r="AH246" i="12"/>
  <c r="X250" i="13"/>
  <c r="I250" i="12" s="1"/>
  <c r="J250" i="12" s="1"/>
  <c r="K250" i="12" s="1"/>
  <c r="O321" i="13"/>
  <c r="W321" i="13"/>
  <c r="N321" i="13"/>
  <c r="V321" i="13"/>
  <c r="M321" i="13"/>
  <c r="U321" i="13"/>
  <c r="L321" i="13"/>
  <c r="T321" i="13"/>
  <c r="X321" i="13" s="1"/>
  <c r="I321" i="12" s="1"/>
  <c r="J321" i="12" s="1"/>
  <c r="K321" i="12" s="1"/>
  <c r="K321" i="13"/>
  <c r="P321" i="13" s="1"/>
  <c r="S321" i="13"/>
  <c r="J54" i="7"/>
  <c r="E5" i="1"/>
  <c r="E54" i="1" s="1"/>
  <c r="P308" i="13"/>
  <c r="W268" i="8"/>
  <c r="X268" i="8"/>
  <c r="Z268" i="8" s="1"/>
  <c r="AI268" i="8" s="1"/>
  <c r="AQ268" i="8" s="1"/>
  <c r="AF268" i="12"/>
  <c r="V268" i="12"/>
  <c r="Y268" i="12" s="1"/>
  <c r="AA268" i="12" s="1"/>
  <c r="AC268" i="12" s="1"/>
  <c r="Q268" i="12"/>
  <c r="AG268" i="12" s="1"/>
  <c r="R334" i="13"/>
  <c r="J334" i="13"/>
  <c r="H334" i="13"/>
  <c r="H355" i="13"/>
  <c r="R355" i="13"/>
  <c r="J355" i="13"/>
  <c r="U359" i="13"/>
  <c r="M359" i="13"/>
  <c r="T359" i="13"/>
  <c r="L359" i="13"/>
  <c r="S359" i="13"/>
  <c r="K359" i="13"/>
  <c r="W359" i="13"/>
  <c r="O359" i="13"/>
  <c r="N359" i="13"/>
  <c r="P359" i="13" s="1"/>
  <c r="V359" i="13"/>
  <c r="W226" i="13"/>
  <c r="O226" i="13"/>
  <c r="V226" i="13"/>
  <c r="N226" i="13"/>
  <c r="U226" i="13"/>
  <c r="M226" i="13"/>
  <c r="T226" i="13"/>
  <c r="L226" i="13"/>
  <c r="S226" i="13"/>
  <c r="K226" i="13"/>
  <c r="P226" i="13" s="1"/>
  <c r="AO307" i="12"/>
  <c r="AL307" i="12"/>
  <c r="R347" i="13"/>
  <c r="J347" i="13"/>
  <c r="H347" i="13"/>
  <c r="X77" i="8"/>
  <c r="Z77" i="8" s="1"/>
  <c r="AI77" i="8" s="1"/>
  <c r="AQ77" i="8" s="1"/>
  <c r="AR77" i="8" s="1"/>
  <c r="W77" i="8"/>
  <c r="P111" i="13"/>
  <c r="P270" i="13"/>
  <c r="AK203" i="12"/>
  <c r="Z203" i="12"/>
  <c r="AJ203" i="12"/>
  <c r="P222" i="13"/>
  <c r="AE40" i="12"/>
  <c r="AH40" i="12" s="1"/>
  <c r="AB40" i="12"/>
  <c r="AC40" i="12" s="1"/>
  <c r="X40" i="12"/>
  <c r="Y40" i="12" s="1"/>
  <c r="AQ40" i="12"/>
  <c r="AP40" i="12"/>
  <c r="X131" i="13"/>
  <c r="I131" i="12" s="1"/>
  <c r="J131" i="12" s="1"/>
  <c r="K131" i="12" s="1"/>
  <c r="AL217" i="12"/>
  <c r="AO217" i="12" s="1"/>
  <c r="AN274" i="12"/>
  <c r="AO274" i="12" s="1"/>
  <c r="P243" i="13"/>
  <c r="W37" i="13"/>
  <c r="O37" i="13"/>
  <c r="V37" i="13"/>
  <c r="N37" i="13"/>
  <c r="P37" i="13" s="1"/>
  <c r="U37" i="13"/>
  <c r="M37" i="13"/>
  <c r="T37" i="13"/>
  <c r="L37" i="13"/>
  <c r="S37" i="13"/>
  <c r="K37" i="13"/>
  <c r="Y21" i="12"/>
  <c r="AA21" i="12" s="1"/>
  <c r="AC21" i="12" s="1"/>
  <c r="AR139" i="8"/>
  <c r="X44" i="8"/>
  <c r="Z44" i="8" s="1"/>
  <c r="AI44" i="8" s="1"/>
  <c r="AQ44" i="8" s="1"/>
  <c r="AR44" i="8" s="1"/>
  <c r="W44" i="8"/>
  <c r="Z202" i="8"/>
  <c r="AI202" i="8" s="1"/>
  <c r="AQ202" i="8" s="1"/>
  <c r="W237" i="8"/>
  <c r="X237" i="8"/>
  <c r="Z237" i="8" s="1"/>
  <c r="AI237" i="8" s="1"/>
  <c r="AQ237" i="8" s="1"/>
  <c r="AR237" i="8" s="1"/>
  <c r="AR37" i="8"/>
  <c r="W219" i="8"/>
  <c r="Z170" i="8"/>
  <c r="AI170" i="8" s="1"/>
  <c r="AQ170" i="8" s="1"/>
  <c r="AR170" i="8" s="1"/>
  <c r="X292" i="8"/>
  <c r="Z292" i="8" s="1"/>
  <c r="AI292" i="8" s="1"/>
  <c r="AQ292" i="8" s="1"/>
  <c r="AR292" i="8" s="1"/>
  <c r="W292" i="8"/>
  <c r="W253" i="8"/>
  <c r="X21" i="8"/>
  <c r="Z21" i="8" s="1"/>
  <c r="AI21" i="8" s="1"/>
  <c r="AQ21" i="8" s="1"/>
  <c r="AR21" i="8" s="1"/>
  <c r="W21" i="8"/>
  <c r="W7" i="8"/>
  <c r="Z287" i="8"/>
  <c r="AI287" i="8" s="1"/>
  <c r="AQ287" i="8" s="1"/>
  <c r="AR287" i="8" s="1"/>
  <c r="W285" i="8"/>
  <c r="V188" i="8"/>
  <c r="Y188" i="8" s="1"/>
  <c r="U188" i="8"/>
  <c r="X133" i="8"/>
  <c r="Z133" i="8" s="1"/>
  <c r="AI133" i="8" s="1"/>
  <c r="AQ133" i="8" s="1"/>
  <c r="AR133" i="8" s="1"/>
  <c r="W133" i="8"/>
  <c r="P33" i="13"/>
  <c r="P132" i="13"/>
  <c r="X150" i="8"/>
  <c r="Z150" i="8" s="1"/>
  <c r="AI150" i="8" s="1"/>
  <c r="AQ150" i="8" s="1"/>
  <c r="AR150" i="8" s="1"/>
  <c r="W150" i="8"/>
  <c r="Q220" i="12"/>
  <c r="AG220" i="12" s="1"/>
  <c r="V220" i="12"/>
  <c r="AF220" i="12"/>
  <c r="U109" i="8"/>
  <c r="V109" i="8"/>
  <c r="Y109" i="8" s="1"/>
  <c r="AE262" i="12"/>
  <c r="AB262" i="12"/>
  <c r="X262" i="12"/>
  <c r="AQ262" i="12"/>
  <c r="AP262" i="12"/>
  <c r="U99" i="13"/>
  <c r="L99" i="13"/>
  <c r="S99" i="13"/>
  <c r="O99" i="13"/>
  <c r="W99" i="13"/>
  <c r="N99" i="13"/>
  <c r="V99" i="13"/>
  <c r="M99" i="13"/>
  <c r="T99" i="13"/>
  <c r="K99" i="13"/>
  <c r="X300" i="8"/>
  <c r="Z300" i="8" s="1"/>
  <c r="AI300" i="8" s="1"/>
  <c r="AQ300" i="8" s="1"/>
  <c r="AR300" i="8" s="1"/>
  <c r="W300" i="8"/>
  <c r="R234" i="13"/>
  <c r="J234" i="13"/>
  <c r="H234" i="13"/>
  <c r="AI228" i="12"/>
  <c r="Z228" i="12"/>
  <c r="AK228" i="12"/>
  <c r="AH53" i="12"/>
  <c r="P246" i="13"/>
  <c r="W175" i="13"/>
  <c r="O175" i="13"/>
  <c r="V175" i="13"/>
  <c r="N175" i="13"/>
  <c r="U175" i="13"/>
  <c r="M175" i="13"/>
  <c r="T175" i="13"/>
  <c r="L175" i="13"/>
  <c r="S175" i="13"/>
  <c r="X175" i="13" s="1"/>
  <c r="I175" i="12" s="1"/>
  <c r="J175" i="12" s="1"/>
  <c r="K175" i="12" s="1"/>
  <c r="K175" i="13"/>
  <c r="U24" i="8"/>
  <c r="P298" i="13"/>
  <c r="S176" i="13"/>
  <c r="K176" i="13"/>
  <c r="W176" i="13"/>
  <c r="O176" i="13"/>
  <c r="V176" i="13"/>
  <c r="N176" i="13"/>
  <c r="U176" i="13"/>
  <c r="M176" i="13"/>
  <c r="T176" i="13"/>
  <c r="L176" i="13"/>
  <c r="AH46" i="12"/>
  <c r="V60" i="13"/>
  <c r="N60" i="13"/>
  <c r="U60" i="13"/>
  <c r="M60" i="13"/>
  <c r="P60" i="13" s="1"/>
  <c r="T60" i="13"/>
  <c r="L60" i="13"/>
  <c r="S60" i="13"/>
  <c r="K60" i="13"/>
  <c r="W60" i="13"/>
  <c r="O60" i="13"/>
  <c r="U86" i="8"/>
  <c r="J259" i="13"/>
  <c r="R259" i="13"/>
  <c r="H259" i="13"/>
  <c r="X53" i="13"/>
  <c r="I53" i="12" s="1"/>
  <c r="J53" i="12" s="1"/>
  <c r="X301" i="13"/>
  <c r="I301" i="12" s="1"/>
  <c r="J301" i="12" s="1"/>
  <c r="K301" i="12" s="1"/>
  <c r="AL72" i="12"/>
  <c r="AO72" i="12" s="1"/>
  <c r="W350" i="13"/>
  <c r="X350" i="13" s="1"/>
  <c r="I350" i="12" s="1"/>
  <c r="J350" i="12" s="1"/>
  <c r="O350" i="13"/>
  <c r="V350" i="13"/>
  <c r="N350" i="13"/>
  <c r="U350" i="13"/>
  <c r="M350" i="13"/>
  <c r="T350" i="13"/>
  <c r="L350" i="13"/>
  <c r="K350" i="13"/>
  <c r="P350" i="13" s="1"/>
  <c r="S350" i="13"/>
  <c r="X20" i="8"/>
  <c r="Z20" i="8" s="1"/>
  <c r="AI20" i="8" s="1"/>
  <c r="AQ20" i="8" s="1"/>
  <c r="AR20" i="8" s="1"/>
  <c r="W20" i="8"/>
  <c r="AK18" i="12"/>
  <c r="AI18" i="12"/>
  <c r="Z18" i="12"/>
  <c r="T331" i="13"/>
  <c r="L331" i="13"/>
  <c r="V331" i="13"/>
  <c r="N331" i="13"/>
  <c r="O331" i="13"/>
  <c r="M331" i="13"/>
  <c r="K331" i="13"/>
  <c r="W331" i="13"/>
  <c r="U331" i="13"/>
  <c r="S331" i="13"/>
  <c r="X331" i="13" s="1"/>
  <c r="I331" i="12" s="1"/>
  <c r="J331" i="12" s="1"/>
  <c r="K331" i="12" s="1"/>
  <c r="U324" i="13"/>
  <c r="M324" i="13"/>
  <c r="S324" i="13"/>
  <c r="K324" i="13"/>
  <c r="P324" i="13" s="1"/>
  <c r="N324" i="13"/>
  <c r="L324" i="13"/>
  <c r="W324" i="13"/>
  <c r="V324" i="13"/>
  <c r="T324" i="13"/>
  <c r="O324" i="13"/>
  <c r="AK70" i="12"/>
  <c r="J328" i="13"/>
  <c r="H328" i="13"/>
  <c r="R328" i="13"/>
  <c r="AL111" i="12"/>
  <c r="X22" i="13"/>
  <c r="I22" i="12" s="1"/>
  <c r="J22" i="12" s="1"/>
  <c r="K22" i="12" s="1"/>
  <c r="AR101" i="8"/>
  <c r="D18" i="1"/>
  <c r="W293" i="8"/>
  <c r="X293" i="8"/>
  <c r="Z293" i="8" s="1"/>
  <c r="AI293" i="8" s="1"/>
  <c r="AQ293" i="8" s="1"/>
  <c r="AL276" i="12"/>
  <c r="X26" i="13"/>
  <c r="I26" i="12" s="1"/>
  <c r="J26" i="12" s="1"/>
  <c r="K26" i="12" s="1"/>
  <c r="X339" i="13"/>
  <c r="I339" i="12" s="1"/>
  <c r="J339" i="12" s="1"/>
  <c r="K339" i="12" s="1"/>
  <c r="AF342" i="12"/>
  <c r="V342" i="12"/>
  <c r="Y342" i="12" s="1"/>
  <c r="AA342" i="12" s="1"/>
  <c r="AC342" i="12" s="1"/>
  <c r="Q342" i="12"/>
  <c r="AG342" i="12" s="1"/>
  <c r="AK188" i="12"/>
  <c r="AJ188" i="12"/>
  <c r="Z188" i="12"/>
  <c r="X229" i="13"/>
  <c r="I229" i="12" s="1"/>
  <c r="J229" i="12" s="1"/>
  <c r="K229" i="12" s="1"/>
  <c r="AJ25" i="12"/>
  <c r="AI25" i="12"/>
  <c r="AA25" i="12"/>
  <c r="Z25" i="12"/>
  <c r="AK25" i="12"/>
  <c r="AO299" i="12"/>
  <c r="P30" i="13"/>
  <c r="S163" i="13"/>
  <c r="K163" i="13"/>
  <c r="P163" i="13" s="1"/>
  <c r="W163" i="13"/>
  <c r="O163" i="13"/>
  <c r="V163" i="13"/>
  <c r="N163" i="13"/>
  <c r="U163" i="13"/>
  <c r="M163" i="13"/>
  <c r="T163" i="13"/>
  <c r="L163" i="13"/>
  <c r="AF195" i="12"/>
  <c r="V195" i="12"/>
  <c r="Y195" i="12" s="1"/>
  <c r="Q195" i="12"/>
  <c r="AG195" i="12" s="1"/>
  <c r="W145" i="13"/>
  <c r="O145" i="13"/>
  <c r="V145" i="13"/>
  <c r="N145" i="13"/>
  <c r="U145" i="13"/>
  <c r="M145" i="13"/>
  <c r="T145" i="13"/>
  <c r="L145" i="13"/>
  <c r="S145" i="13"/>
  <c r="X145" i="13" s="1"/>
  <c r="I145" i="12" s="1"/>
  <c r="J145" i="12" s="1"/>
  <c r="K145" i="12" s="1"/>
  <c r="K145" i="13"/>
  <c r="P145" i="13" s="1"/>
  <c r="AA317" i="12"/>
  <c r="AC317" i="12" s="1"/>
  <c r="AF317" i="12"/>
  <c r="V317" i="12"/>
  <c r="Y317" i="12" s="1"/>
  <c r="Q317" i="12"/>
  <c r="AG317" i="12" s="1"/>
  <c r="AF85" i="12"/>
  <c r="Q85" i="12"/>
  <c r="AG85" i="12" s="1"/>
  <c r="V85" i="12"/>
  <c r="X299" i="8"/>
  <c r="Z299" i="8" s="1"/>
  <c r="AI299" i="8" s="1"/>
  <c r="AQ299" i="8" s="1"/>
  <c r="AR299" i="8" s="1"/>
  <c r="W299" i="8"/>
  <c r="X56" i="8"/>
  <c r="Z56" i="8" s="1"/>
  <c r="AI56" i="8" s="1"/>
  <c r="AQ56" i="8" s="1"/>
  <c r="AR56" i="8" s="1"/>
  <c r="W56" i="8"/>
  <c r="P148" i="13"/>
  <c r="AR115" i="8"/>
  <c r="AQ244" i="12"/>
  <c r="AP244" i="12"/>
  <c r="X244" i="12"/>
  <c r="Y244" i="12" s="1"/>
  <c r="AB244" i="12"/>
  <c r="AC244" i="12" s="1"/>
  <c r="AE244" i="12"/>
  <c r="AH244" i="12" s="1"/>
  <c r="U257" i="13"/>
  <c r="M257" i="13"/>
  <c r="O257" i="13"/>
  <c r="N257" i="13"/>
  <c r="W257" i="13"/>
  <c r="L257" i="13"/>
  <c r="V257" i="13"/>
  <c r="K257" i="13"/>
  <c r="P257" i="13" s="1"/>
  <c r="T257" i="13"/>
  <c r="S257" i="13"/>
  <c r="R50" i="13"/>
  <c r="J50" i="13"/>
  <c r="H50" i="13"/>
  <c r="AA234" i="12"/>
  <c r="AF234" i="12"/>
  <c r="V234" i="12"/>
  <c r="Q234" i="12"/>
  <c r="AG234" i="12" s="1"/>
  <c r="U35" i="13"/>
  <c r="M35" i="13"/>
  <c r="T35" i="13"/>
  <c r="L35" i="13"/>
  <c r="S35" i="13"/>
  <c r="K35" i="13"/>
  <c r="P35" i="13" s="1"/>
  <c r="W35" i="13"/>
  <c r="O35" i="13"/>
  <c r="V35" i="13"/>
  <c r="N35" i="13"/>
  <c r="AE61" i="12"/>
  <c r="AH61" i="12" s="1"/>
  <c r="AP61" i="12"/>
  <c r="X61" i="12"/>
  <c r="Y61" i="12" s="1"/>
  <c r="AA61" i="12" s="1"/>
  <c r="AB61" i="12"/>
  <c r="AQ61" i="12"/>
  <c r="X251" i="13"/>
  <c r="I251" i="12" s="1"/>
  <c r="J251" i="12" s="1"/>
  <c r="K251" i="12" s="1"/>
  <c r="W64" i="13"/>
  <c r="O64" i="13"/>
  <c r="V64" i="13"/>
  <c r="N64" i="13"/>
  <c r="U64" i="13"/>
  <c r="M64" i="13"/>
  <c r="T64" i="13"/>
  <c r="L64" i="13"/>
  <c r="S64" i="13"/>
  <c r="X64" i="13" s="1"/>
  <c r="I64" i="12" s="1"/>
  <c r="J64" i="12" s="1"/>
  <c r="K64" i="12" s="1"/>
  <c r="K64" i="13"/>
  <c r="P64" i="13" s="1"/>
  <c r="X41" i="8"/>
  <c r="Z41" i="8" s="1"/>
  <c r="AI41" i="8" s="1"/>
  <c r="AQ41" i="8" s="1"/>
  <c r="AR41" i="8" s="1"/>
  <c r="W41" i="8"/>
  <c r="X84" i="13"/>
  <c r="I84" i="12" s="1"/>
  <c r="J84" i="12" s="1"/>
  <c r="K84" i="12" s="1"/>
  <c r="V335" i="13"/>
  <c r="N335" i="13"/>
  <c r="U335" i="13"/>
  <c r="M335" i="13"/>
  <c r="S335" i="13"/>
  <c r="K335" i="13"/>
  <c r="P335" i="13" s="1"/>
  <c r="T335" i="13"/>
  <c r="O335" i="13"/>
  <c r="L335" i="13"/>
  <c r="W335" i="13"/>
  <c r="U59" i="13"/>
  <c r="M59" i="13"/>
  <c r="T59" i="13"/>
  <c r="L59" i="13"/>
  <c r="S59" i="13"/>
  <c r="K59" i="13"/>
  <c r="P59" i="13" s="1"/>
  <c r="W59" i="13"/>
  <c r="O59" i="13"/>
  <c r="V59" i="13"/>
  <c r="N59" i="13"/>
  <c r="W291" i="13"/>
  <c r="O291" i="13"/>
  <c r="V291" i="13"/>
  <c r="N291" i="13"/>
  <c r="U291" i="13"/>
  <c r="M291" i="13"/>
  <c r="T291" i="13"/>
  <c r="L291" i="13"/>
  <c r="S291" i="13"/>
  <c r="K291" i="13"/>
  <c r="W207" i="13"/>
  <c r="O207" i="13"/>
  <c r="V207" i="13"/>
  <c r="N207" i="13"/>
  <c r="U207" i="13"/>
  <c r="X207" i="13" s="1"/>
  <c r="I207" i="12" s="1"/>
  <c r="J207" i="12" s="1"/>
  <c r="K207" i="12" s="1"/>
  <c r="M207" i="13"/>
  <c r="T207" i="13"/>
  <c r="L207" i="13"/>
  <c r="S207" i="13"/>
  <c r="K207" i="13"/>
  <c r="P207" i="13" s="1"/>
  <c r="X22" i="8"/>
  <c r="Z22" i="8" s="1"/>
  <c r="AI22" i="8" s="1"/>
  <c r="AQ22" i="8" s="1"/>
  <c r="AR22" i="8" s="1"/>
  <c r="W22" i="8"/>
  <c r="V22" i="12"/>
  <c r="AA22" i="12"/>
  <c r="Q22" i="12"/>
  <c r="AG22" i="12" s="1"/>
  <c r="AF22" i="12"/>
  <c r="AH78" i="12"/>
  <c r="X197" i="13"/>
  <c r="I197" i="12" s="1"/>
  <c r="J197" i="12" s="1"/>
  <c r="K197" i="12" s="1"/>
  <c r="V211" i="13"/>
  <c r="N211" i="13"/>
  <c r="U211" i="13"/>
  <c r="M211" i="13"/>
  <c r="T211" i="13"/>
  <c r="L211" i="13"/>
  <c r="S211" i="13"/>
  <c r="X211" i="13" s="1"/>
  <c r="I211" i="12" s="1"/>
  <c r="J211" i="12" s="1"/>
  <c r="K211" i="12" s="1"/>
  <c r="K211" i="13"/>
  <c r="W211" i="13"/>
  <c r="O211" i="13"/>
  <c r="U74" i="8"/>
  <c r="X92" i="8"/>
  <c r="Z92" i="8" s="1"/>
  <c r="AI92" i="8" s="1"/>
  <c r="AQ92" i="8" s="1"/>
  <c r="W92" i="8"/>
  <c r="X285" i="13"/>
  <c r="I285" i="12" s="1"/>
  <c r="J285" i="12" s="1"/>
  <c r="K285" i="12" s="1"/>
  <c r="AJ109" i="12"/>
  <c r="AI109" i="12"/>
  <c r="AA109" i="12"/>
  <c r="Z109" i="12"/>
  <c r="AK109" i="12"/>
  <c r="P224" i="13"/>
  <c r="X297" i="13"/>
  <c r="I297" i="12" s="1"/>
  <c r="J297" i="12" s="1"/>
  <c r="K297" i="12" s="1"/>
  <c r="AK247" i="12"/>
  <c r="AJ247" i="12"/>
  <c r="Z247" i="12"/>
  <c r="W301" i="8"/>
  <c r="X301" i="8"/>
  <c r="Z301" i="8" s="1"/>
  <c r="AI301" i="8" s="1"/>
  <c r="AQ301" i="8" s="1"/>
  <c r="AR301" i="8" s="1"/>
  <c r="X8" i="13"/>
  <c r="I8" i="12" s="1"/>
  <c r="J8" i="12" s="1"/>
  <c r="K8" i="12" s="1"/>
  <c r="Y263" i="12"/>
  <c r="AA263" i="12" s="1"/>
  <c r="AC263" i="12" s="1"/>
  <c r="X238" i="13"/>
  <c r="I238" i="12" s="1"/>
  <c r="J238" i="12" s="1"/>
  <c r="K238" i="12" s="1"/>
  <c r="W200" i="8"/>
  <c r="X200" i="8"/>
  <c r="Z200" i="8" s="1"/>
  <c r="AI200" i="8" s="1"/>
  <c r="AQ200" i="8" s="1"/>
  <c r="AR200" i="8" s="1"/>
  <c r="X164" i="13"/>
  <c r="I164" i="12" s="1"/>
  <c r="J164" i="12" s="1"/>
  <c r="S155" i="13"/>
  <c r="K155" i="13"/>
  <c r="W155" i="13"/>
  <c r="O155" i="13"/>
  <c r="P155" i="13" s="1"/>
  <c r="V155" i="13"/>
  <c r="N155" i="13"/>
  <c r="U155" i="13"/>
  <c r="X155" i="13" s="1"/>
  <c r="I155" i="12" s="1"/>
  <c r="J155" i="12" s="1"/>
  <c r="M155" i="13"/>
  <c r="T155" i="13"/>
  <c r="L155" i="13"/>
  <c r="R268" i="13"/>
  <c r="J268" i="13"/>
  <c r="H268" i="13"/>
  <c r="W143" i="13"/>
  <c r="O143" i="13"/>
  <c r="V143" i="13"/>
  <c r="N143" i="13"/>
  <c r="U143" i="13"/>
  <c r="M143" i="13"/>
  <c r="T143" i="13"/>
  <c r="L143" i="13"/>
  <c r="S143" i="13"/>
  <c r="X143" i="13" s="1"/>
  <c r="I143" i="12" s="1"/>
  <c r="J143" i="12" s="1"/>
  <c r="K143" i="13"/>
  <c r="P143" i="13" s="1"/>
  <c r="X259" i="8"/>
  <c r="Z259" i="8" s="1"/>
  <c r="AI259" i="8" s="1"/>
  <c r="AQ259" i="8" s="1"/>
  <c r="AR259" i="8" s="1"/>
  <c r="W259" i="8"/>
  <c r="J74" i="13"/>
  <c r="P74" i="13" s="1"/>
  <c r="R74" i="13"/>
  <c r="X74" i="13" s="1"/>
  <c r="I74" i="12" s="1"/>
  <c r="J74" i="12" s="1"/>
  <c r="W136" i="13"/>
  <c r="O136" i="13"/>
  <c r="V136" i="13"/>
  <c r="N136" i="13"/>
  <c r="U136" i="13"/>
  <c r="M136" i="13"/>
  <c r="T136" i="13"/>
  <c r="L136" i="13"/>
  <c r="S136" i="13"/>
  <c r="X136" i="13" s="1"/>
  <c r="I136" i="12" s="1"/>
  <c r="J136" i="12" s="1"/>
  <c r="K136" i="12" s="1"/>
  <c r="K136" i="13"/>
  <c r="P136" i="13" s="1"/>
  <c r="AK210" i="12"/>
  <c r="AI210" i="12"/>
  <c r="Z210" i="12"/>
  <c r="AA210" i="12" s="1"/>
  <c r="AC210" i="12" s="1"/>
  <c r="AJ210" i="12"/>
  <c r="X329" i="13"/>
  <c r="I329" i="12" s="1"/>
  <c r="J329" i="12" s="1"/>
  <c r="W185" i="13"/>
  <c r="O185" i="13"/>
  <c r="V185" i="13"/>
  <c r="N185" i="13"/>
  <c r="S185" i="13"/>
  <c r="M185" i="13"/>
  <c r="L185" i="13"/>
  <c r="U185" i="13"/>
  <c r="K185" i="13"/>
  <c r="P185" i="13" s="1"/>
  <c r="T185" i="13"/>
  <c r="X185" i="13" s="1"/>
  <c r="I185" i="12" s="1"/>
  <c r="J185" i="12" s="1"/>
  <c r="AO224" i="12"/>
  <c r="V101" i="13"/>
  <c r="N101" i="13"/>
  <c r="U101" i="13"/>
  <c r="M101" i="13"/>
  <c r="S101" i="13"/>
  <c r="X101" i="13" s="1"/>
  <c r="I101" i="12" s="1"/>
  <c r="J101" i="12" s="1"/>
  <c r="K101" i="12" s="1"/>
  <c r="K101" i="13"/>
  <c r="P101" i="13" s="1"/>
  <c r="W101" i="13"/>
  <c r="T101" i="13"/>
  <c r="O101" i="13"/>
  <c r="L101" i="13"/>
  <c r="P5" i="13"/>
  <c r="AR123" i="8"/>
  <c r="D23" i="1"/>
  <c r="P205" i="13"/>
  <c r="AK173" i="12"/>
  <c r="AI173" i="12"/>
  <c r="Z173" i="12"/>
  <c r="AA173" i="12"/>
  <c r="AJ173" i="12"/>
  <c r="P38" i="13"/>
  <c r="X86" i="13"/>
  <c r="I86" i="12" s="1"/>
  <c r="J86" i="12" s="1"/>
  <c r="K86" i="12" s="1"/>
  <c r="Q356" i="12"/>
  <c r="AG356" i="12" s="1"/>
  <c r="AF356" i="12"/>
  <c r="V356" i="12"/>
  <c r="Y356" i="12" s="1"/>
  <c r="AA356" i="12" s="1"/>
  <c r="AC356" i="12" s="1"/>
  <c r="X275" i="13"/>
  <c r="I275" i="12" s="1"/>
  <c r="J275" i="12" s="1"/>
  <c r="W313" i="13"/>
  <c r="O313" i="13"/>
  <c r="V313" i="13"/>
  <c r="N313" i="13"/>
  <c r="U313" i="13"/>
  <c r="M313" i="13"/>
  <c r="T313" i="13"/>
  <c r="L313" i="13"/>
  <c r="P313" i="13" s="1"/>
  <c r="S313" i="13"/>
  <c r="K313" i="13"/>
  <c r="X270" i="13"/>
  <c r="I270" i="12" s="1"/>
  <c r="J270" i="12" s="1"/>
  <c r="U14" i="8"/>
  <c r="V219" i="13"/>
  <c r="N219" i="13"/>
  <c r="P219" i="13" s="1"/>
  <c r="U219" i="13"/>
  <c r="M219" i="13"/>
  <c r="T219" i="13"/>
  <c r="L219" i="13"/>
  <c r="S219" i="13"/>
  <c r="X219" i="13" s="1"/>
  <c r="I219" i="12" s="1"/>
  <c r="J219" i="12" s="1"/>
  <c r="K219" i="12" s="1"/>
  <c r="K219" i="13"/>
  <c r="W219" i="13"/>
  <c r="O219" i="13"/>
  <c r="S93" i="13"/>
  <c r="X93" i="13" s="1"/>
  <c r="I93" i="12" s="1"/>
  <c r="J93" i="12" s="1"/>
  <c r="K93" i="13"/>
  <c r="V93" i="13"/>
  <c r="N93" i="13"/>
  <c r="U93" i="13"/>
  <c r="M93" i="13"/>
  <c r="T93" i="13"/>
  <c r="L93" i="13"/>
  <c r="P93" i="13" s="1"/>
  <c r="O93" i="13"/>
  <c r="W93" i="13"/>
  <c r="R203" i="13"/>
  <c r="J203" i="13"/>
  <c r="H203" i="13"/>
  <c r="W222" i="13"/>
  <c r="O222" i="13"/>
  <c r="V222" i="13"/>
  <c r="N222" i="13"/>
  <c r="U222" i="13"/>
  <c r="M222" i="13"/>
  <c r="T222" i="13"/>
  <c r="L222" i="13"/>
  <c r="S222" i="13"/>
  <c r="X222" i="13" s="1"/>
  <c r="I222" i="12" s="1"/>
  <c r="J222" i="12" s="1"/>
  <c r="K222" i="12" s="1"/>
  <c r="K222" i="13"/>
  <c r="Y71" i="12"/>
  <c r="AA71" i="12" s="1"/>
  <c r="AC71" i="12" s="1"/>
  <c r="S41" i="13"/>
  <c r="K41" i="13"/>
  <c r="P41" i="13" s="1"/>
  <c r="W41" i="13"/>
  <c r="O41" i="13"/>
  <c r="V41" i="13"/>
  <c r="N41" i="13"/>
  <c r="U41" i="13"/>
  <c r="M41" i="13"/>
  <c r="T41" i="13"/>
  <c r="L41" i="13"/>
  <c r="V179" i="13"/>
  <c r="N179" i="13"/>
  <c r="U179" i="13"/>
  <c r="M179" i="13"/>
  <c r="T179" i="13"/>
  <c r="L179" i="13"/>
  <c r="S179" i="13"/>
  <c r="X179" i="13" s="1"/>
  <c r="I179" i="12" s="1"/>
  <c r="J179" i="12" s="1"/>
  <c r="K179" i="12" s="1"/>
  <c r="K179" i="13"/>
  <c r="W179" i="13"/>
  <c r="O179" i="13"/>
  <c r="Y190" i="12"/>
  <c r="X358" i="8"/>
  <c r="Z358" i="8" s="1"/>
  <c r="AI358" i="8" s="1"/>
  <c r="AQ358" i="8" s="1"/>
  <c r="AR358" i="8" s="1"/>
  <c r="W358" i="8"/>
  <c r="Z119" i="8"/>
  <c r="AI119" i="8" s="1"/>
  <c r="AQ119" i="8" s="1"/>
  <c r="AR119" i="8" s="1"/>
  <c r="Z79" i="8"/>
  <c r="AI79" i="8" s="1"/>
  <c r="AQ79" i="8" s="1"/>
  <c r="AR79" i="8" s="1"/>
  <c r="X25" i="8"/>
  <c r="Z25" i="8" s="1"/>
  <c r="AI25" i="8" s="1"/>
  <c r="AQ25" i="8" s="1"/>
  <c r="AR25" i="8" s="1"/>
  <c r="W25" i="8"/>
  <c r="W340" i="8"/>
  <c r="X340" i="8"/>
  <c r="Z340" i="8" s="1"/>
  <c r="AI340" i="8" s="1"/>
  <c r="AQ340" i="8" s="1"/>
  <c r="AR340" i="8" s="1"/>
  <c r="S12" i="13"/>
  <c r="X12" i="13" s="1"/>
  <c r="I12" i="12" s="1"/>
  <c r="J12" i="12" s="1"/>
  <c r="K12" i="12" s="1"/>
  <c r="K12" i="13"/>
  <c r="W12" i="13"/>
  <c r="O12" i="13"/>
  <c r="V12" i="13"/>
  <c r="N12" i="13"/>
  <c r="P12" i="13" s="1"/>
  <c r="U12" i="13"/>
  <c r="M12" i="13"/>
  <c r="T12" i="13"/>
  <c r="L12" i="13"/>
  <c r="X54" i="13"/>
  <c r="I54" i="12" s="1"/>
  <c r="J54" i="12" s="1"/>
  <c r="K54" i="12" s="1"/>
  <c r="AN124" i="12"/>
  <c r="AO124" i="12" s="1"/>
  <c r="AQ284" i="12"/>
  <c r="X284" i="12"/>
  <c r="AP284" i="12"/>
  <c r="AR284" i="12" s="1"/>
  <c r="AB284" i="12"/>
  <c r="AE284" i="12"/>
  <c r="X240" i="13"/>
  <c r="I240" i="12" s="1"/>
  <c r="J240" i="12" s="1"/>
  <c r="AO168" i="12"/>
  <c r="AL139" i="12"/>
  <c r="AO139" i="12" s="1"/>
  <c r="P192" i="13"/>
  <c r="P252" i="13"/>
  <c r="W273" i="8"/>
  <c r="X273" i="8"/>
  <c r="Z273" i="8" s="1"/>
  <c r="AI273" i="8" s="1"/>
  <c r="AQ273" i="8" s="1"/>
  <c r="AR273" i="8" s="1"/>
  <c r="V118" i="13"/>
  <c r="N118" i="13"/>
  <c r="P118" i="13" s="1"/>
  <c r="U118" i="13"/>
  <c r="M118" i="13"/>
  <c r="T118" i="13"/>
  <c r="L118" i="13"/>
  <c r="S118" i="13"/>
  <c r="X118" i="13" s="1"/>
  <c r="I118" i="12" s="1"/>
  <c r="J118" i="12" s="1"/>
  <c r="K118" i="13"/>
  <c r="W118" i="13"/>
  <c r="O118" i="13"/>
  <c r="R209" i="13"/>
  <c r="J209" i="13"/>
  <c r="H209" i="13"/>
  <c r="V77" i="13"/>
  <c r="N77" i="13"/>
  <c r="S77" i="13"/>
  <c r="K77" i="13"/>
  <c r="M77" i="13"/>
  <c r="L77" i="13"/>
  <c r="W77" i="13"/>
  <c r="U77" i="13"/>
  <c r="T77" i="13"/>
  <c r="O77" i="13"/>
  <c r="V260" i="13"/>
  <c r="M260" i="13"/>
  <c r="U260" i="13"/>
  <c r="L260" i="13"/>
  <c r="T260" i="13"/>
  <c r="K260" i="13"/>
  <c r="P260" i="13" s="1"/>
  <c r="O260" i="13"/>
  <c r="W260" i="13"/>
  <c r="S260" i="13"/>
  <c r="X260" i="13" s="1"/>
  <c r="I260" i="12" s="1"/>
  <c r="J260" i="12" s="1"/>
  <c r="K260" i="12" s="1"/>
  <c r="N260" i="13"/>
  <c r="W29" i="13"/>
  <c r="O29" i="13"/>
  <c r="V29" i="13"/>
  <c r="N29" i="13"/>
  <c r="U29" i="13"/>
  <c r="M29" i="13"/>
  <c r="T29" i="13"/>
  <c r="L29" i="13"/>
  <c r="S29" i="13"/>
  <c r="X29" i="13" s="1"/>
  <c r="I29" i="12" s="1"/>
  <c r="J29" i="12" s="1"/>
  <c r="K29" i="12" s="1"/>
  <c r="K29" i="13"/>
  <c r="P29" i="13" s="1"/>
  <c r="AH232" i="12"/>
  <c r="X99" i="13"/>
  <c r="I99" i="12" s="1"/>
  <c r="J99" i="12" s="1"/>
  <c r="K99" i="12" s="1"/>
  <c r="Z216" i="12"/>
  <c r="AK216" i="12"/>
  <c r="AJ216" i="12"/>
  <c r="P125" i="13"/>
  <c r="W215" i="13"/>
  <c r="O215" i="13"/>
  <c r="V215" i="13"/>
  <c r="N215" i="13"/>
  <c r="U215" i="13"/>
  <c r="M215" i="13"/>
  <c r="T215" i="13"/>
  <c r="L215" i="13"/>
  <c r="K215" i="13"/>
  <c r="P215" i="13" s="1"/>
  <c r="S215" i="13"/>
  <c r="X215" i="13" s="1"/>
  <c r="I215" i="12" s="1"/>
  <c r="J215" i="12" s="1"/>
  <c r="K215" i="12" s="1"/>
  <c r="P77" i="13"/>
  <c r="T7" i="13"/>
  <c r="L7" i="13"/>
  <c r="S7" i="13"/>
  <c r="X7" i="13" s="1"/>
  <c r="I7" i="12" s="1"/>
  <c r="J7" i="12" s="1"/>
  <c r="K7" i="12" s="1"/>
  <c r="K7" i="13"/>
  <c r="P7" i="13" s="1"/>
  <c r="W7" i="13"/>
  <c r="O7" i="13"/>
  <c r="V7" i="13"/>
  <c r="N7" i="13"/>
  <c r="U7" i="13"/>
  <c r="M7" i="13"/>
  <c r="H228" i="13"/>
  <c r="R228" i="13"/>
  <c r="J228" i="13"/>
  <c r="P175" i="13"/>
  <c r="AO260" i="12"/>
  <c r="X128" i="13"/>
  <c r="I128" i="12" s="1"/>
  <c r="J128" i="12" s="1"/>
  <c r="K128" i="12" s="1"/>
  <c r="U332" i="13"/>
  <c r="M332" i="13"/>
  <c r="S332" i="13"/>
  <c r="X332" i="13" s="1"/>
  <c r="I332" i="12" s="1"/>
  <c r="J332" i="12" s="1"/>
  <c r="K332" i="12" s="1"/>
  <c r="K332" i="13"/>
  <c r="W332" i="13"/>
  <c r="O332" i="13"/>
  <c r="T332" i="13"/>
  <c r="N332" i="13"/>
  <c r="L332" i="13"/>
  <c r="V332" i="13"/>
  <c r="AH102" i="12"/>
  <c r="S200" i="13"/>
  <c r="X200" i="13" s="1"/>
  <c r="I200" i="12" s="1"/>
  <c r="J200" i="12" s="1"/>
  <c r="K200" i="12" s="1"/>
  <c r="K200" i="13"/>
  <c r="P200" i="13" s="1"/>
  <c r="W200" i="13"/>
  <c r="O200" i="13"/>
  <c r="V200" i="13"/>
  <c r="N200" i="13"/>
  <c r="U200" i="13"/>
  <c r="M200" i="13"/>
  <c r="L200" i="13"/>
  <c r="T200" i="13"/>
  <c r="AF203" i="12"/>
  <c r="V203" i="12"/>
  <c r="Q203" i="12"/>
  <c r="AG203" i="12" s="1"/>
  <c r="T305" i="13"/>
  <c r="L305" i="13"/>
  <c r="S305" i="13"/>
  <c r="X305" i="13" s="1"/>
  <c r="I305" i="12" s="1"/>
  <c r="J305" i="12" s="1"/>
  <c r="K305" i="13"/>
  <c r="P305" i="13" s="1"/>
  <c r="W305" i="13"/>
  <c r="O305" i="13"/>
  <c r="V305" i="13"/>
  <c r="N305" i="13"/>
  <c r="M305" i="13"/>
  <c r="U305" i="13"/>
  <c r="AF24" i="12"/>
  <c r="V24" i="12"/>
  <c r="Y24" i="12" s="1"/>
  <c r="AA24" i="12" s="1"/>
  <c r="AC24" i="12" s="1"/>
  <c r="Q24" i="12"/>
  <c r="AG24" i="12" s="1"/>
  <c r="P176" i="13"/>
  <c r="X307" i="13"/>
  <c r="I307" i="12" s="1"/>
  <c r="J307" i="12" s="1"/>
  <c r="AL208" i="12"/>
  <c r="AO208" i="12" s="1"/>
  <c r="AC309" i="12"/>
  <c r="AO113" i="12"/>
  <c r="V20" i="12"/>
  <c r="Y20" i="12" s="1"/>
  <c r="AA20" i="12"/>
  <c r="AC20" i="12" s="1"/>
  <c r="Q20" i="12"/>
  <c r="AG20" i="12" s="1"/>
  <c r="AF20" i="12"/>
  <c r="H18" i="13"/>
  <c r="R18" i="13"/>
  <c r="J18" i="13"/>
  <c r="W205" i="8"/>
  <c r="X205" i="8"/>
  <c r="Z205" i="8" s="1"/>
  <c r="AI205" i="8" s="1"/>
  <c r="AQ205" i="8" s="1"/>
  <c r="AR205" i="8" s="1"/>
  <c r="P331" i="13"/>
  <c r="X290" i="13"/>
  <c r="I290" i="12" s="1"/>
  <c r="J290" i="12" s="1"/>
  <c r="K290" i="12" s="1"/>
  <c r="V299" i="13"/>
  <c r="M299" i="13"/>
  <c r="U299" i="13"/>
  <c r="L299" i="13"/>
  <c r="T299" i="13"/>
  <c r="X299" i="13" s="1"/>
  <c r="I299" i="12" s="1"/>
  <c r="J299" i="12" s="1"/>
  <c r="K299" i="12" s="1"/>
  <c r="K299" i="13"/>
  <c r="P299" i="13" s="1"/>
  <c r="S299" i="13"/>
  <c r="O299" i="13"/>
  <c r="W299" i="13"/>
  <c r="N299" i="13"/>
  <c r="W22" i="13"/>
  <c r="O22" i="13"/>
  <c r="V22" i="13"/>
  <c r="N22" i="13"/>
  <c r="U22" i="13"/>
  <c r="M22" i="13"/>
  <c r="T22" i="13"/>
  <c r="L22" i="13"/>
  <c r="S22" i="13"/>
  <c r="K22" i="13"/>
  <c r="P22" i="13" s="1"/>
  <c r="AK10" i="12"/>
  <c r="AJ10" i="12"/>
  <c r="Z10" i="12"/>
  <c r="Z361" i="12" s="1"/>
  <c r="Y253" i="12"/>
  <c r="AA253" i="12" s="1"/>
  <c r="W183" i="13"/>
  <c r="O183" i="13"/>
  <c r="V183" i="13"/>
  <c r="N183" i="13"/>
  <c r="U183" i="13"/>
  <c r="M183" i="13"/>
  <c r="T183" i="13"/>
  <c r="L183" i="13"/>
  <c r="S183" i="13"/>
  <c r="X183" i="13" s="1"/>
  <c r="I183" i="12" s="1"/>
  <c r="J183" i="12" s="1"/>
  <c r="K183" i="12" s="1"/>
  <c r="K183" i="13"/>
  <c r="X206" i="13"/>
  <c r="I206" i="12" s="1"/>
  <c r="J206" i="12" s="1"/>
  <c r="K206" i="12" s="1"/>
  <c r="R188" i="13"/>
  <c r="J188" i="13"/>
  <c r="H188" i="13"/>
  <c r="X158" i="13"/>
  <c r="I158" i="12" s="1"/>
  <c r="J158" i="12" s="1"/>
  <c r="K158" i="12" s="1"/>
  <c r="J25" i="13"/>
  <c r="R25" i="13"/>
  <c r="H25" i="13"/>
  <c r="X236" i="8"/>
  <c r="Z236" i="8" s="1"/>
  <c r="AI236" i="8" s="1"/>
  <c r="AQ236" i="8" s="1"/>
  <c r="AR236" i="8" s="1"/>
  <c r="W236" i="8"/>
  <c r="AB15" i="12"/>
  <c r="AQ15" i="12"/>
  <c r="AP15" i="12"/>
  <c r="X15" i="12"/>
  <c r="AE15" i="12"/>
  <c r="X62" i="13"/>
  <c r="I62" i="12" s="1"/>
  <c r="J62" i="12" s="1"/>
  <c r="K62" i="12" s="1"/>
  <c r="W258" i="13"/>
  <c r="O258" i="13"/>
  <c r="V258" i="13"/>
  <c r="N258" i="13"/>
  <c r="S258" i="13"/>
  <c r="X258" i="13" s="1"/>
  <c r="I258" i="12" s="1"/>
  <c r="J258" i="12" s="1"/>
  <c r="K258" i="13"/>
  <c r="P258" i="13" s="1"/>
  <c r="M258" i="13"/>
  <c r="L258" i="13"/>
  <c r="U258" i="13"/>
  <c r="T258" i="13"/>
  <c r="U79" i="13"/>
  <c r="M79" i="13"/>
  <c r="T79" i="13"/>
  <c r="L79" i="13"/>
  <c r="S79" i="13"/>
  <c r="X79" i="13" s="1"/>
  <c r="I79" i="12" s="1"/>
  <c r="J79" i="12" s="1"/>
  <c r="K79" i="12" s="1"/>
  <c r="K79" i="13"/>
  <c r="P79" i="13" s="1"/>
  <c r="O79" i="13"/>
  <c r="N79" i="13"/>
  <c r="W79" i="13"/>
  <c r="V79" i="13"/>
  <c r="AJ106" i="12"/>
  <c r="AK106" i="12"/>
  <c r="Z106" i="12"/>
  <c r="Q289" i="12"/>
  <c r="AG289" i="12" s="1"/>
  <c r="AF289" i="12"/>
  <c r="V289" i="12"/>
  <c r="Y289" i="12" s="1"/>
  <c r="AA289" i="12"/>
  <c r="AC289" i="12" s="1"/>
  <c r="X223" i="13"/>
  <c r="I223" i="12" s="1"/>
  <c r="J223" i="12" s="1"/>
  <c r="K223" i="12" s="1"/>
  <c r="X347" i="8"/>
  <c r="Z347" i="8" s="1"/>
  <c r="AI347" i="8" s="1"/>
  <c r="AQ347" i="8" s="1"/>
  <c r="W347" i="8"/>
  <c r="S208" i="13"/>
  <c r="X208" i="13" s="1"/>
  <c r="I208" i="12" s="1"/>
  <c r="J208" i="12" s="1"/>
  <c r="K208" i="13"/>
  <c r="P208" i="13" s="1"/>
  <c r="W208" i="13"/>
  <c r="O208" i="13"/>
  <c r="V208" i="13"/>
  <c r="N208" i="13"/>
  <c r="U208" i="13"/>
  <c r="M208" i="13"/>
  <c r="L208" i="13"/>
  <c r="T208" i="13"/>
  <c r="V150" i="13"/>
  <c r="N150" i="13"/>
  <c r="U150" i="13"/>
  <c r="M150" i="13"/>
  <c r="T150" i="13"/>
  <c r="L150" i="13"/>
  <c r="S150" i="13"/>
  <c r="X150" i="13" s="1"/>
  <c r="I150" i="12" s="1"/>
  <c r="J150" i="12" s="1"/>
  <c r="K150" i="13"/>
  <c r="W150" i="13"/>
  <c r="O150" i="13"/>
  <c r="X148" i="13"/>
  <c r="I148" i="12" s="1"/>
  <c r="J148" i="12" s="1"/>
  <c r="K148" i="12" s="1"/>
  <c r="X353" i="8"/>
  <c r="Z353" i="8" s="1"/>
  <c r="AI353" i="8" s="1"/>
  <c r="AQ353" i="8" s="1"/>
  <c r="W353" i="8"/>
  <c r="U340" i="13"/>
  <c r="M340" i="13"/>
  <c r="T340" i="13"/>
  <c r="L340" i="13"/>
  <c r="S340" i="13"/>
  <c r="X340" i="13" s="1"/>
  <c r="I340" i="12" s="1"/>
  <c r="J340" i="12" s="1"/>
  <c r="K340" i="12" s="1"/>
  <c r="K340" i="13"/>
  <c r="W340" i="13"/>
  <c r="O340" i="13"/>
  <c r="V340" i="13"/>
  <c r="N340" i="13"/>
  <c r="D9" i="1"/>
  <c r="AR35" i="8"/>
  <c r="AK269" i="12"/>
  <c r="AJ269" i="12"/>
  <c r="Z269" i="12"/>
  <c r="AI170" i="12"/>
  <c r="P291" i="13"/>
  <c r="AF52" i="12"/>
  <c r="V52" i="12"/>
  <c r="Y52" i="12" s="1"/>
  <c r="AA52" i="12" s="1"/>
  <c r="AC52" i="12" s="1"/>
  <c r="Q52" i="12"/>
  <c r="AG52" i="12" s="1"/>
  <c r="T280" i="13"/>
  <c r="L280" i="13"/>
  <c r="S280" i="13"/>
  <c r="X280" i="13" s="1"/>
  <c r="I280" i="12" s="1"/>
  <c r="J280" i="12" s="1"/>
  <c r="K280" i="13"/>
  <c r="W280" i="13"/>
  <c r="O280" i="13"/>
  <c r="V280" i="13"/>
  <c r="N280" i="13"/>
  <c r="M280" i="13"/>
  <c r="U280" i="13"/>
  <c r="P211" i="13"/>
  <c r="AL155" i="12"/>
  <c r="X96" i="8"/>
  <c r="Z96" i="8" s="1"/>
  <c r="AI96" i="8" s="1"/>
  <c r="AQ96" i="8" s="1"/>
  <c r="AR96" i="8" s="1"/>
  <c r="W96" i="8"/>
  <c r="Q74" i="12"/>
  <c r="AG74" i="12" s="1"/>
  <c r="AF74" i="12"/>
  <c r="V74" i="12"/>
  <c r="Y74" i="12" s="1"/>
  <c r="AA74" i="12"/>
  <c r="AC74" i="12" s="1"/>
  <c r="AQ186" i="12"/>
  <c r="AE186" i="12"/>
  <c r="AH186" i="12" s="1"/>
  <c r="AB186" i="12"/>
  <c r="AP186" i="12"/>
  <c r="X186" i="12"/>
  <c r="X18" i="8"/>
  <c r="Z18" i="8" s="1"/>
  <c r="AI18" i="8" s="1"/>
  <c r="AQ18" i="8" s="1"/>
  <c r="AR18" i="8" s="1"/>
  <c r="W18" i="8"/>
  <c r="X96" i="13"/>
  <c r="I96" i="12" s="1"/>
  <c r="J96" i="12" s="1"/>
  <c r="W97" i="13"/>
  <c r="O97" i="13"/>
  <c r="U97" i="13"/>
  <c r="M97" i="13"/>
  <c r="N97" i="13"/>
  <c r="L97" i="13"/>
  <c r="P97" i="13" s="1"/>
  <c r="K97" i="13"/>
  <c r="V97" i="13"/>
  <c r="T97" i="13"/>
  <c r="S97" i="13"/>
  <c r="X97" i="13" s="1"/>
  <c r="I97" i="12" s="1"/>
  <c r="J97" i="12" s="1"/>
  <c r="K97" i="12" s="1"/>
  <c r="P314" i="13"/>
  <c r="R109" i="13"/>
  <c r="J109" i="13"/>
  <c r="H109" i="13"/>
  <c r="U149" i="13"/>
  <c r="M149" i="13"/>
  <c r="T149" i="13"/>
  <c r="L149" i="13"/>
  <c r="P149" i="13" s="1"/>
  <c r="S149" i="13"/>
  <c r="X149" i="13" s="1"/>
  <c r="I149" i="12" s="1"/>
  <c r="J149" i="12" s="1"/>
  <c r="K149" i="12" s="1"/>
  <c r="K149" i="13"/>
  <c r="W149" i="13"/>
  <c r="O149" i="13"/>
  <c r="V149" i="13"/>
  <c r="N149" i="13"/>
  <c r="U92" i="13"/>
  <c r="M92" i="13"/>
  <c r="T92" i="13"/>
  <c r="L92" i="13"/>
  <c r="S92" i="13"/>
  <c r="X92" i="13" s="1"/>
  <c r="I92" i="12" s="1"/>
  <c r="J92" i="12" s="1"/>
  <c r="K92" i="12" s="1"/>
  <c r="K92" i="13"/>
  <c r="P92" i="13" s="1"/>
  <c r="N92" i="13"/>
  <c r="W92" i="13"/>
  <c r="V92" i="13"/>
  <c r="O92" i="13"/>
  <c r="W162" i="13"/>
  <c r="O162" i="13"/>
  <c r="V162" i="13"/>
  <c r="N162" i="13"/>
  <c r="U162" i="13"/>
  <c r="M162" i="13"/>
  <c r="T162" i="13"/>
  <c r="L162" i="13"/>
  <c r="S162" i="13"/>
  <c r="X162" i="13" s="1"/>
  <c r="I162" i="12" s="1"/>
  <c r="J162" i="12" s="1"/>
  <c r="K162" i="12" s="1"/>
  <c r="K162" i="13"/>
  <c r="P162" i="13" s="1"/>
  <c r="R247" i="13"/>
  <c r="J247" i="13"/>
  <c r="H247" i="13"/>
  <c r="AO84" i="12"/>
  <c r="AK59" i="12"/>
  <c r="AH87" i="12"/>
  <c r="T156" i="13"/>
  <c r="L156" i="13"/>
  <c r="S156" i="13"/>
  <c r="X156" i="13" s="1"/>
  <c r="I156" i="12" s="1"/>
  <c r="J156" i="12" s="1"/>
  <c r="K156" i="12" s="1"/>
  <c r="K156" i="13"/>
  <c r="W156" i="13"/>
  <c r="O156" i="13"/>
  <c r="V156" i="13"/>
  <c r="N156" i="13"/>
  <c r="U156" i="13"/>
  <c r="M156" i="13"/>
  <c r="X316" i="8"/>
  <c r="Z316" i="8" s="1"/>
  <c r="AI316" i="8" s="1"/>
  <c r="AQ316" i="8" s="1"/>
  <c r="AR316" i="8" s="1"/>
  <c r="W316" i="8"/>
  <c r="AK248" i="12"/>
  <c r="Z248" i="12"/>
  <c r="AJ248" i="12"/>
  <c r="X343" i="8"/>
  <c r="Z343" i="8" s="1"/>
  <c r="AI343" i="8" s="1"/>
  <c r="AQ343" i="8" s="1"/>
  <c r="AR343" i="8" s="1"/>
  <c r="W343" i="8"/>
  <c r="AF343" i="12"/>
  <c r="V343" i="12"/>
  <c r="Q343" i="12"/>
  <c r="AG343" i="12" s="1"/>
  <c r="V225" i="13"/>
  <c r="N225" i="13"/>
  <c r="U225" i="13"/>
  <c r="M225" i="13"/>
  <c r="P225" i="13" s="1"/>
  <c r="T225" i="13"/>
  <c r="L225" i="13"/>
  <c r="S225" i="13"/>
  <c r="X225" i="13" s="1"/>
  <c r="I225" i="12" s="1"/>
  <c r="J225" i="12" s="1"/>
  <c r="K225" i="13"/>
  <c r="W225" i="13"/>
  <c r="O225" i="13"/>
  <c r="AQ267" i="12"/>
  <c r="AE267" i="12"/>
  <c r="AH267" i="12" s="1"/>
  <c r="AB267" i="12"/>
  <c r="AP267" i="12"/>
  <c r="X267" i="12"/>
  <c r="Y267" i="12" s="1"/>
  <c r="AA267" i="12" s="1"/>
  <c r="AC267" i="12" s="1"/>
  <c r="AL305" i="12"/>
  <c r="AO305" i="12" s="1"/>
  <c r="R210" i="13"/>
  <c r="J210" i="13"/>
  <c r="H210" i="13"/>
  <c r="U354" i="8"/>
  <c r="V354" i="8"/>
  <c r="Y354" i="8" s="1"/>
  <c r="V214" i="8"/>
  <c r="Y214" i="8" s="1"/>
  <c r="U214" i="8"/>
  <c r="S6" i="13"/>
  <c r="X6" i="13" s="1"/>
  <c r="I6" i="12" s="1"/>
  <c r="J6" i="12" s="1"/>
  <c r="K6" i="12" s="1"/>
  <c r="K6" i="13"/>
  <c r="W6" i="13"/>
  <c r="O6" i="13"/>
  <c r="V6" i="13"/>
  <c r="N6" i="13"/>
  <c r="U6" i="13"/>
  <c r="M6" i="13"/>
  <c r="T6" i="13"/>
  <c r="L6" i="13"/>
  <c r="X5" i="13"/>
  <c r="U178" i="13"/>
  <c r="M178" i="13"/>
  <c r="T178" i="13"/>
  <c r="L178" i="13"/>
  <c r="S178" i="13"/>
  <c r="X178" i="13" s="1"/>
  <c r="I178" i="12" s="1"/>
  <c r="J178" i="12" s="1"/>
  <c r="K178" i="12" s="1"/>
  <c r="K178" i="13"/>
  <c r="W178" i="13"/>
  <c r="O178" i="13"/>
  <c r="V178" i="13"/>
  <c r="N178" i="13"/>
  <c r="AE358" i="12"/>
  <c r="AH358" i="12" s="1"/>
  <c r="AB358" i="12"/>
  <c r="AQ358" i="12"/>
  <c r="AP358" i="12"/>
  <c r="X358" i="12"/>
  <c r="W336" i="13"/>
  <c r="O336" i="13"/>
  <c r="V336" i="13"/>
  <c r="N336" i="13"/>
  <c r="P336" i="13" s="1"/>
  <c r="T336" i="13"/>
  <c r="L336" i="13"/>
  <c r="S336" i="13"/>
  <c r="X336" i="13" s="1"/>
  <c r="I336" i="12" s="1"/>
  <c r="J336" i="12" s="1"/>
  <c r="K336" i="12" s="1"/>
  <c r="K336" i="13"/>
  <c r="U336" i="13"/>
  <c r="M336" i="13"/>
  <c r="J173" i="13"/>
  <c r="R173" i="13"/>
  <c r="H173" i="13"/>
  <c r="T231" i="13"/>
  <c r="L231" i="13"/>
  <c r="S231" i="13"/>
  <c r="X231" i="13" s="1"/>
  <c r="I231" i="12" s="1"/>
  <c r="J231" i="12" s="1"/>
  <c r="K231" i="13"/>
  <c r="P231" i="13" s="1"/>
  <c r="W231" i="13"/>
  <c r="O231" i="13"/>
  <c r="V231" i="13"/>
  <c r="N231" i="13"/>
  <c r="M231" i="13"/>
  <c r="U231" i="13"/>
  <c r="AF104" i="12"/>
  <c r="V104" i="12"/>
  <c r="Y104" i="12" s="1"/>
  <c r="AA104" i="12" s="1"/>
  <c r="AC104" i="12" s="1"/>
  <c r="Q104" i="12"/>
  <c r="AG104" i="12" s="1"/>
  <c r="AH104" i="12" s="1"/>
  <c r="X82" i="8"/>
  <c r="Z82" i="8" s="1"/>
  <c r="AI82" i="8" s="1"/>
  <c r="AQ82" i="8" s="1"/>
  <c r="W82" i="8"/>
  <c r="X359" i="13"/>
  <c r="I359" i="12" s="1"/>
  <c r="J359" i="12" s="1"/>
  <c r="W356" i="8"/>
  <c r="X356" i="8"/>
  <c r="Z356" i="8" s="1"/>
  <c r="AI356" i="8" s="1"/>
  <c r="AQ356" i="8" s="1"/>
  <c r="AR356" i="8" s="1"/>
  <c r="X226" i="13"/>
  <c r="I226" i="12" s="1"/>
  <c r="J226" i="12" s="1"/>
  <c r="K226" i="12" s="1"/>
  <c r="T217" i="13"/>
  <c r="L217" i="13"/>
  <c r="S217" i="13"/>
  <c r="X217" i="13" s="1"/>
  <c r="I217" i="12" s="1"/>
  <c r="J217" i="12" s="1"/>
  <c r="K217" i="13"/>
  <c r="P217" i="13" s="1"/>
  <c r="W217" i="13"/>
  <c r="O217" i="13"/>
  <c r="V217" i="13"/>
  <c r="N217" i="13"/>
  <c r="U217" i="13"/>
  <c r="M217" i="13"/>
  <c r="X168" i="8"/>
  <c r="Z168" i="8" s="1"/>
  <c r="AI168" i="8" s="1"/>
  <c r="AQ168" i="8" s="1"/>
  <c r="AR168" i="8" s="1"/>
  <c r="W168" i="8"/>
  <c r="W181" i="13"/>
  <c r="O181" i="13"/>
  <c r="V181" i="13"/>
  <c r="N181" i="13"/>
  <c r="U181" i="13"/>
  <c r="M181" i="13"/>
  <c r="T181" i="13"/>
  <c r="L181" i="13"/>
  <c r="S181" i="13"/>
  <c r="X181" i="13" s="1"/>
  <c r="I181" i="12" s="1"/>
  <c r="J181" i="12" s="1"/>
  <c r="K181" i="13"/>
  <c r="P181" i="13" s="1"/>
  <c r="AI155" i="12"/>
  <c r="AO155" i="12" s="1"/>
  <c r="X46" i="8"/>
  <c r="Z46" i="8" s="1"/>
  <c r="AI46" i="8" s="1"/>
  <c r="AQ46" i="8" s="1"/>
  <c r="AR46" i="8" s="1"/>
  <c r="W46" i="8"/>
  <c r="W183" i="8"/>
  <c r="X183" i="8"/>
  <c r="Z183" i="8" s="1"/>
  <c r="AI183" i="8" s="1"/>
  <c r="AQ183" i="8" s="1"/>
  <c r="AR183" i="8" s="1"/>
  <c r="AL60" i="12"/>
  <c r="AO60" i="12" s="1"/>
  <c r="W73" i="13"/>
  <c r="O73" i="13"/>
  <c r="V73" i="13"/>
  <c r="U73" i="13"/>
  <c r="T73" i="13"/>
  <c r="K73" i="13"/>
  <c r="P73" i="13" s="1"/>
  <c r="S73" i="13"/>
  <c r="X73" i="13" s="1"/>
  <c r="I73" i="12" s="1"/>
  <c r="J73" i="12" s="1"/>
  <c r="K73" i="12" s="1"/>
  <c r="N73" i="13"/>
  <c r="M73" i="13"/>
  <c r="L73" i="13"/>
  <c r="P31" i="13"/>
  <c r="AA255" i="12"/>
  <c r="Q255" i="12"/>
  <c r="AG255" i="12" s="1"/>
  <c r="AF255" i="12"/>
  <c r="V255" i="12"/>
  <c r="U189" i="13"/>
  <c r="M189" i="13"/>
  <c r="T189" i="13"/>
  <c r="L189" i="13"/>
  <c r="S189" i="13"/>
  <c r="X189" i="13" s="1"/>
  <c r="I189" i="12" s="1"/>
  <c r="J189" i="12" s="1"/>
  <c r="K189" i="12" s="1"/>
  <c r="K189" i="13"/>
  <c r="O189" i="13"/>
  <c r="N189" i="13"/>
  <c r="W189" i="13"/>
  <c r="V189" i="13"/>
  <c r="P179" i="13"/>
  <c r="X37" i="13"/>
  <c r="I37" i="12" s="1"/>
  <c r="J37" i="12" s="1"/>
  <c r="K37" i="12" s="1"/>
  <c r="AK23" i="12"/>
  <c r="AJ23" i="12"/>
  <c r="AA23" i="12"/>
  <c r="AI23" i="12"/>
  <c r="Z23" i="12"/>
  <c r="X5" i="8"/>
  <c r="W5" i="8"/>
  <c r="X243" i="8"/>
  <c r="Z243" i="8" s="1"/>
  <c r="AI243" i="8" s="1"/>
  <c r="AQ243" i="8" s="1"/>
  <c r="AR243" i="8" s="1"/>
  <c r="W243" i="8"/>
  <c r="X32" i="8"/>
  <c r="Z32" i="8" s="1"/>
  <c r="AI32" i="8" s="1"/>
  <c r="AQ32" i="8" s="1"/>
  <c r="W32" i="8"/>
  <c r="W146" i="8"/>
  <c r="W119" i="8"/>
  <c r="W79" i="8"/>
  <c r="X59" i="8"/>
  <c r="Z59" i="8" s="1"/>
  <c r="AI59" i="8" s="1"/>
  <c r="AQ59" i="8" s="1"/>
  <c r="AR59" i="8" s="1"/>
  <c r="W59" i="8"/>
  <c r="W296" i="13"/>
  <c r="O296" i="13"/>
  <c r="V296" i="13"/>
  <c r="N296" i="13"/>
  <c r="U296" i="13"/>
  <c r="M296" i="13"/>
  <c r="T296" i="13"/>
  <c r="L296" i="13"/>
  <c r="P296" i="13" s="1"/>
  <c r="S296" i="13"/>
  <c r="X296" i="13" s="1"/>
  <c r="I296" i="12" s="1"/>
  <c r="J296" i="12" s="1"/>
  <c r="K296" i="12" s="1"/>
  <c r="K296" i="13"/>
  <c r="V129" i="12"/>
  <c r="Y129" i="12" s="1"/>
  <c r="AA129" i="12"/>
  <c r="AC129" i="12" s="1"/>
  <c r="AF129" i="12"/>
  <c r="Q129" i="12"/>
  <c r="AG129" i="12" s="1"/>
  <c r="X66" i="8"/>
  <c r="Z66" i="8" s="1"/>
  <c r="AI66" i="8" s="1"/>
  <c r="AQ66" i="8" s="1"/>
  <c r="AR66" i="8" s="1"/>
  <c r="W66" i="8"/>
  <c r="P99" i="13"/>
  <c r="U318" i="13"/>
  <c r="M318" i="13"/>
  <c r="P318" i="13" s="1"/>
  <c r="T318" i="13"/>
  <c r="L318" i="13"/>
  <c r="S318" i="13"/>
  <c r="X318" i="13" s="1"/>
  <c r="I318" i="12" s="1"/>
  <c r="J318" i="12" s="1"/>
  <c r="K318" i="12" s="1"/>
  <c r="K318" i="13"/>
  <c r="W318" i="13"/>
  <c r="O318" i="13"/>
  <c r="V318" i="13"/>
  <c r="N318" i="13"/>
  <c r="R216" i="13"/>
  <c r="J216" i="13"/>
  <c r="H216" i="13"/>
  <c r="W102" i="13"/>
  <c r="O102" i="13"/>
  <c r="V102" i="13"/>
  <c r="N102" i="13"/>
  <c r="T102" i="13"/>
  <c r="L102" i="13"/>
  <c r="S102" i="13"/>
  <c r="K102" i="13"/>
  <c r="P102" i="13" s="1"/>
  <c r="U102" i="13"/>
  <c r="M102" i="13"/>
  <c r="X341" i="8"/>
  <c r="Z341" i="8" s="1"/>
  <c r="AI341" i="8" s="1"/>
  <c r="AQ341" i="8" s="1"/>
  <c r="AR341" i="8" s="1"/>
  <c r="W341" i="8"/>
  <c r="AF341" i="12"/>
  <c r="V341" i="12"/>
  <c r="Y341" i="12" s="1"/>
  <c r="AA341" i="12" s="1"/>
  <c r="AC341" i="12" s="1"/>
  <c r="Q341" i="12"/>
  <c r="AG341" i="12" s="1"/>
  <c r="X77" i="13"/>
  <c r="I77" i="12" s="1"/>
  <c r="J77" i="12" s="1"/>
  <c r="X206" i="8"/>
  <c r="Z206" i="8" s="1"/>
  <c r="AI206" i="8" s="1"/>
  <c r="AQ206" i="8" s="1"/>
  <c r="AR206" i="8" s="1"/>
  <c r="W206" i="8"/>
  <c r="AF206" i="12"/>
  <c r="V206" i="12"/>
  <c r="Q206" i="12"/>
  <c r="AG206" i="12" s="1"/>
  <c r="V282" i="13"/>
  <c r="N282" i="13"/>
  <c r="U282" i="13"/>
  <c r="M282" i="13"/>
  <c r="T282" i="13"/>
  <c r="L282" i="13"/>
  <c r="S282" i="13"/>
  <c r="X282" i="13" s="1"/>
  <c r="I282" i="12" s="1"/>
  <c r="J282" i="12" s="1"/>
  <c r="K282" i="13"/>
  <c r="P282" i="13" s="1"/>
  <c r="W282" i="13"/>
  <c r="O282" i="13"/>
  <c r="W221" i="8"/>
  <c r="X221" i="8"/>
  <c r="Z221" i="8" s="1"/>
  <c r="AI221" i="8" s="1"/>
  <c r="AQ221" i="8" s="1"/>
  <c r="AR221" i="8" s="1"/>
  <c r="P332" i="13"/>
  <c r="T177" i="13"/>
  <c r="L177" i="13"/>
  <c r="S177" i="13"/>
  <c r="X177" i="13" s="1"/>
  <c r="I177" i="12" s="1"/>
  <c r="J177" i="12" s="1"/>
  <c r="K177" i="12" s="1"/>
  <c r="K177" i="13"/>
  <c r="P177" i="13" s="1"/>
  <c r="W177" i="13"/>
  <c r="O177" i="13"/>
  <c r="V177" i="13"/>
  <c r="N177" i="13"/>
  <c r="U177" i="13"/>
  <c r="M177" i="13"/>
  <c r="X203" i="8"/>
  <c r="Z203" i="8" s="1"/>
  <c r="AI203" i="8" s="1"/>
  <c r="AQ203" i="8" s="1"/>
  <c r="AR203" i="8" s="1"/>
  <c r="W203" i="8"/>
  <c r="W45" i="13"/>
  <c r="O45" i="13"/>
  <c r="V45" i="13"/>
  <c r="N45" i="13"/>
  <c r="U45" i="13"/>
  <c r="M45" i="13"/>
  <c r="T45" i="13"/>
  <c r="L45" i="13"/>
  <c r="P45" i="13" s="1"/>
  <c r="S45" i="13"/>
  <c r="X45" i="13" s="1"/>
  <c r="I45" i="12" s="1"/>
  <c r="J45" i="12" s="1"/>
  <c r="K45" i="12" s="1"/>
  <c r="K45" i="13"/>
  <c r="W242" i="13"/>
  <c r="O242" i="13"/>
  <c r="V242" i="13"/>
  <c r="N242" i="13"/>
  <c r="U242" i="13"/>
  <c r="M242" i="13"/>
  <c r="T242" i="13"/>
  <c r="L242" i="13"/>
  <c r="S242" i="13"/>
  <c r="X242" i="13" s="1"/>
  <c r="I242" i="12" s="1"/>
  <c r="J242" i="12" s="1"/>
  <c r="K242" i="13"/>
  <c r="P242" i="13" s="1"/>
  <c r="X176" i="13"/>
  <c r="I176" i="12" s="1"/>
  <c r="J176" i="12" s="1"/>
  <c r="K176" i="12" s="1"/>
  <c r="X60" i="13"/>
  <c r="I60" i="12" s="1"/>
  <c r="J60" i="12" s="1"/>
  <c r="Y309" i="12"/>
  <c r="X169" i="8"/>
  <c r="Z169" i="8" s="1"/>
  <c r="AI169" i="8" s="1"/>
  <c r="AQ169" i="8" s="1"/>
  <c r="AR169" i="8" s="1"/>
  <c r="W169" i="8"/>
  <c r="O235" i="13"/>
  <c r="W235" i="13"/>
  <c r="N235" i="13"/>
  <c r="V235" i="13"/>
  <c r="M235" i="13"/>
  <c r="U235" i="13"/>
  <c r="L235" i="13"/>
  <c r="T235" i="13"/>
  <c r="K235" i="13"/>
  <c r="P235" i="13" s="1"/>
  <c r="S235" i="13"/>
  <c r="AK195" i="12"/>
  <c r="AJ195" i="12"/>
  <c r="Z195" i="12"/>
  <c r="W119" i="13"/>
  <c r="O119" i="13"/>
  <c r="V119" i="13"/>
  <c r="N119" i="13"/>
  <c r="U119" i="13"/>
  <c r="M119" i="13"/>
  <c r="T119" i="13"/>
  <c r="L119" i="13"/>
  <c r="S119" i="13"/>
  <c r="X119" i="13" s="1"/>
  <c r="I119" i="12" s="1"/>
  <c r="J119" i="12" s="1"/>
  <c r="K119" i="13"/>
  <c r="P119" i="13" s="1"/>
  <c r="X324" i="13"/>
  <c r="I324" i="12" s="1"/>
  <c r="J324" i="12" s="1"/>
  <c r="K324" i="12" s="1"/>
  <c r="U165" i="13"/>
  <c r="M165" i="13"/>
  <c r="T165" i="13"/>
  <c r="L165" i="13"/>
  <c r="S165" i="13"/>
  <c r="X165" i="13" s="1"/>
  <c r="I165" i="12" s="1"/>
  <c r="J165" i="12" s="1"/>
  <c r="K165" i="12" s="1"/>
  <c r="K165" i="13"/>
  <c r="P165" i="13" s="1"/>
  <c r="W165" i="13"/>
  <c r="O165" i="13"/>
  <c r="V165" i="13"/>
  <c r="N165" i="13"/>
  <c r="AK354" i="12"/>
  <c r="AJ354" i="12"/>
  <c r="AI354" i="12"/>
  <c r="AA354" i="12"/>
  <c r="Z354" i="12"/>
  <c r="X336" i="8"/>
  <c r="Z336" i="8" s="1"/>
  <c r="AI336" i="8" s="1"/>
  <c r="AQ336" i="8" s="1"/>
  <c r="AR336" i="8" s="1"/>
  <c r="W336" i="8"/>
  <c r="Q36" i="12"/>
  <c r="AG36" i="12" s="1"/>
  <c r="AF36" i="12"/>
  <c r="V36" i="12"/>
  <c r="S338" i="13"/>
  <c r="X338" i="13" s="1"/>
  <c r="I338" i="12" s="1"/>
  <c r="J338" i="12" s="1"/>
  <c r="K338" i="12" s="1"/>
  <c r="K338" i="13"/>
  <c r="P338" i="13" s="1"/>
  <c r="V338" i="13"/>
  <c r="N338" i="13"/>
  <c r="U338" i="13"/>
  <c r="M338" i="13"/>
  <c r="O338" i="13"/>
  <c r="L338" i="13"/>
  <c r="W338" i="13"/>
  <c r="T338" i="13"/>
  <c r="H10" i="13"/>
  <c r="R10" i="13"/>
  <c r="J10" i="13"/>
  <c r="P183" i="13"/>
  <c r="W197" i="8"/>
  <c r="X197" i="8"/>
  <c r="Z197" i="8" s="1"/>
  <c r="AI197" i="8" s="1"/>
  <c r="AQ197" i="8" s="1"/>
  <c r="AR197" i="8" s="1"/>
  <c r="W135" i="13"/>
  <c r="O135" i="13"/>
  <c r="V135" i="13"/>
  <c r="N135" i="13"/>
  <c r="U135" i="13"/>
  <c r="M135" i="13"/>
  <c r="T135" i="13"/>
  <c r="L135" i="13"/>
  <c r="S135" i="13"/>
  <c r="X135" i="13" s="1"/>
  <c r="I135" i="12" s="1"/>
  <c r="J135" i="12" s="1"/>
  <c r="K135" i="12" s="1"/>
  <c r="K135" i="13"/>
  <c r="P135" i="13" s="1"/>
  <c r="W206" i="13"/>
  <c r="O206" i="13"/>
  <c r="V206" i="13"/>
  <c r="N206" i="13"/>
  <c r="U206" i="13"/>
  <c r="M206" i="13"/>
  <c r="T206" i="13"/>
  <c r="L206" i="13"/>
  <c r="S206" i="13"/>
  <c r="K206" i="13"/>
  <c r="P206" i="13" s="1"/>
  <c r="AQ198" i="12"/>
  <c r="AB198" i="12"/>
  <c r="X198" i="12"/>
  <c r="AP198" i="12"/>
  <c r="AR198" i="12" s="1"/>
  <c r="AE198" i="12"/>
  <c r="V349" i="13"/>
  <c r="N349" i="13"/>
  <c r="U349" i="13"/>
  <c r="M349" i="13"/>
  <c r="T349" i="13"/>
  <c r="L349" i="13"/>
  <c r="S349" i="13"/>
  <c r="X349" i="13" s="1"/>
  <c r="I349" i="12" s="1"/>
  <c r="J349" i="12" s="1"/>
  <c r="K349" i="12" s="1"/>
  <c r="K349" i="13"/>
  <c r="P349" i="13" s="1"/>
  <c r="W349" i="13"/>
  <c r="O349" i="13"/>
  <c r="X154" i="8"/>
  <c r="Z154" i="8" s="1"/>
  <c r="AI154" i="8" s="1"/>
  <c r="AQ154" i="8" s="1"/>
  <c r="AR154" i="8" s="1"/>
  <c r="W154" i="8"/>
  <c r="V154" i="12"/>
  <c r="Q154" i="12"/>
  <c r="AG154" i="12" s="1"/>
  <c r="AF154" i="12"/>
  <c r="AL63" i="12"/>
  <c r="AO63" i="12" s="1"/>
  <c r="T293" i="13"/>
  <c r="L293" i="13"/>
  <c r="S293" i="13"/>
  <c r="X293" i="13" s="1"/>
  <c r="I293" i="12" s="1"/>
  <c r="J293" i="12" s="1"/>
  <c r="K293" i="13"/>
  <c r="P293" i="13" s="1"/>
  <c r="W293" i="13"/>
  <c r="O293" i="13"/>
  <c r="V293" i="13"/>
  <c r="N293" i="13"/>
  <c r="U293" i="13"/>
  <c r="M293" i="13"/>
  <c r="W16" i="13"/>
  <c r="O16" i="13"/>
  <c r="V16" i="13"/>
  <c r="N16" i="13"/>
  <c r="U16" i="13"/>
  <c r="M16" i="13"/>
  <c r="T16" i="13"/>
  <c r="L16" i="13"/>
  <c r="S16" i="13"/>
  <c r="X16" i="13" s="1"/>
  <c r="I16" i="12" s="1"/>
  <c r="J16" i="12" s="1"/>
  <c r="K16" i="12" s="1"/>
  <c r="K16" i="13"/>
  <c r="P16" i="13" s="1"/>
  <c r="W62" i="13"/>
  <c r="O62" i="13"/>
  <c r="V62" i="13"/>
  <c r="N62" i="13"/>
  <c r="U62" i="13"/>
  <c r="M62" i="13"/>
  <c r="T62" i="13"/>
  <c r="L62" i="13"/>
  <c r="S62" i="13"/>
  <c r="K62" i="13"/>
  <c r="P62" i="13" s="1"/>
  <c r="AK300" i="12"/>
  <c r="AJ300" i="12"/>
  <c r="Z300" i="12"/>
  <c r="AA300" i="12" s="1"/>
  <c r="AC300" i="12" s="1"/>
  <c r="W30" i="13"/>
  <c r="O30" i="13"/>
  <c r="V30" i="13"/>
  <c r="N30" i="13"/>
  <c r="U30" i="13"/>
  <c r="M30" i="13"/>
  <c r="T30" i="13"/>
  <c r="L30" i="13"/>
  <c r="S30" i="13"/>
  <c r="X30" i="13" s="1"/>
  <c r="I30" i="12" s="1"/>
  <c r="J30" i="12" s="1"/>
  <c r="K30" i="12" s="1"/>
  <c r="K30" i="13"/>
  <c r="R106" i="13"/>
  <c r="J106" i="13"/>
  <c r="H106" i="13"/>
  <c r="X163" i="13"/>
  <c r="I163" i="12" s="1"/>
  <c r="J163" i="12" s="1"/>
  <c r="K163" i="12" s="1"/>
  <c r="W289" i="8"/>
  <c r="X289" i="8"/>
  <c r="Z289" i="8" s="1"/>
  <c r="AI289" i="8" s="1"/>
  <c r="AQ289" i="8" s="1"/>
  <c r="AR289" i="8" s="1"/>
  <c r="Y271" i="12"/>
  <c r="W195" i="8"/>
  <c r="X195" i="8"/>
  <c r="Z195" i="8" s="1"/>
  <c r="AI195" i="8" s="1"/>
  <c r="AQ195" i="8" s="1"/>
  <c r="AR195" i="8" s="1"/>
  <c r="AI32" i="12"/>
  <c r="AN32" i="12" s="1"/>
  <c r="P150" i="13"/>
  <c r="X321" i="8"/>
  <c r="Z321" i="8" s="1"/>
  <c r="AI321" i="8" s="1"/>
  <c r="AQ321" i="8" s="1"/>
  <c r="AR321" i="8" s="1"/>
  <c r="W321" i="8"/>
  <c r="W144" i="13"/>
  <c r="O144" i="13"/>
  <c r="V144" i="13"/>
  <c r="N144" i="13"/>
  <c r="U144" i="13"/>
  <c r="M144" i="13"/>
  <c r="T144" i="13"/>
  <c r="L144" i="13"/>
  <c r="S144" i="13"/>
  <c r="X144" i="13" s="1"/>
  <c r="I144" i="12" s="1"/>
  <c r="J144" i="12" s="1"/>
  <c r="K144" i="12" s="1"/>
  <c r="K144" i="13"/>
  <c r="P144" i="13" s="1"/>
  <c r="P340" i="13"/>
  <c r="X257" i="13"/>
  <c r="I257" i="12" s="1"/>
  <c r="J257" i="12" s="1"/>
  <c r="K257" i="12" s="1"/>
  <c r="X165" i="8"/>
  <c r="Z165" i="8" s="1"/>
  <c r="AI165" i="8" s="1"/>
  <c r="AQ165" i="8" s="1"/>
  <c r="AR165" i="8" s="1"/>
  <c r="W165" i="8"/>
  <c r="W63" i="13"/>
  <c r="O63" i="13"/>
  <c r="V63" i="13"/>
  <c r="N63" i="13"/>
  <c r="U63" i="13"/>
  <c r="M63" i="13"/>
  <c r="T63" i="13"/>
  <c r="L63" i="13"/>
  <c r="S63" i="13"/>
  <c r="X63" i="13" s="1"/>
  <c r="I63" i="12" s="1"/>
  <c r="J63" i="12" s="1"/>
  <c r="K63" i="13"/>
  <c r="P63" i="13" s="1"/>
  <c r="P137" i="13"/>
  <c r="X35" i="13"/>
  <c r="I35" i="12" s="1"/>
  <c r="J35" i="12" s="1"/>
  <c r="K35" i="12" s="1"/>
  <c r="AH88" i="12"/>
  <c r="U232" i="13"/>
  <c r="M232" i="13"/>
  <c r="T232" i="13"/>
  <c r="L232" i="13"/>
  <c r="S232" i="13"/>
  <c r="X232" i="13" s="1"/>
  <c r="I232" i="12" s="1"/>
  <c r="J232" i="12" s="1"/>
  <c r="K232" i="13"/>
  <c r="P232" i="13" s="1"/>
  <c r="W232" i="13"/>
  <c r="O232" i="13"/>
  <c r="N232" i="13"/>
  <c r="V232" i="13"/>
  <c r="T19" i="13"/>
  <c r="K19" i="13"/>
  <c r="P19" i="13" s="1"/>
  <c r="S19" i="13"/>
  <c r="X19" i="13" s="1"/>
  <c r="I19" i="12" s="1"/>
  <c r="J19" i="12" s="1"/>
  <c r="K19" i="12" s="1"/>
  <c r="O19" i="13"/>
  <c r="W19" i="13"/>
  <c r="N19" i="13"/>
  <c r="V19" i="13"/>
  <c r="M19" i="13"/>
  <c r="U19" i="13"/>
  <c r="L19" i="13"/>
  <c r="Q295" i="12"/>
  <c r="AG295" i="12" s="1"/>
  <c r="V295" i="12"/>
  <c r="AF295" i="12"/>
  <c r="R269" i="13"/>
  <c r="J269" i="13"/>
  <c r="H269" i="13"/>
  <c r="X335" i="13"/>
  <c r="I335" i="12" s="1"/>
  <c r="J335" i="12" s="1"/>
  <c r="K335" i="12" s="1"/>
  <c r="X59" i="13"/>
  <c r="I59" i="12" s="1"/>
  <c r="J59" i="12" s="1"/>
  <c r="X291" i="13"/>
  <c r="I291" i="12" s="1"/>
  <c r="J291" i="12" s="1"/>
  <c r="K291" i="12" s="1"/>
  <c r="AL275" i="12"/>
  <c r="AN275" i="12" s="1"/>
  <c r="AO275" i="12" s="1"/>
  <c r="AK194" i="12"/>
  <c r="AJ194" i="12"/>
  <c r="Z194" i="12"/>
  <c r="AA194" i="12" s="1"/>
  <c r="AC194" i="12" s="1"/>
  <c r="W212" i="13"/>
  <c r="O212" i="13"/>
  <c r="V212" i="13"/>
  <c r="N212" i="13"/>
  <c r="U212" i="13"/>
  <c r="M212" i="13"/>
  <c r="T212" i="13"/>
  <c r="L212" i="13"/>
  <c r="S212" i="13"/>
  <c r="X212" i="13" s="1"/>
  <c r="I212" i="12" s="1"/>
  <c r="J212" i="12" s="1"/>
  <c r="K212" i="12" s="1"/>
  <c r="K212" i="13"/>
  <c r="P212" i="13" s="1"/>
  <c r="P280" i="13"/>
  <c r="X332" i="8"/>
  <c r="Z332" i="8" s="1"/>
  <c r="AI332" i="8" s="1"/>
  <c r="AQ332" i="8" s="1"/>
  <c r="AR332" i="8" s="1"/>
  <c r="W332" i="8"/>
  <c r="U286" i="13"/>
  <c r="M286" i="13"/>
  <c r="T286" i="13"/>
  <c r="L286" i="13"/>
  <c r="S286" i="13"/>
  <c r="X286" i="13" s="1"/>
  <c r="I286" i="12" s="1"/>
  <c r="J286" i="12" s="1"/>
  <c r="K286" i="13"/>
  <c r="P286" i="13" s="1"/>
  <c r="W286" i="13"/>
  <c r="O286" i="13"/>
  <c r="V286" i="13"/>
  <c r="N286" i="13"/>
  <c r="W48" i="13"/>
  <c r="O48" i="13"/>
  <c r="V48" i="13"/>
  <c r="N48" i="13"/>
  <c r="U48" i="13"/>
  <c r="M48" i="13"/>
  <c r="T48" i="13"/>
  <c r="L48" i="13"/>
  <c r="S48" i="13"/>
  <c r="X48" i="13" s="1"/>
  <c r="I48" i="12" s="1"/>
  <c r="J48" i="12" s="1"/>
  <c r="K48" i="12" s="1"/>
  <c r="K48" i="13"/>
  <c r="P48" i="13" s="1"/>
  <c r="O266" i="13"/>
  <c r="W266" i="13"/>
  <c r="N266" i="13"/>
  <c r="U266" i="13"/>
  <c r="L266" i="13"/>
  <c r="T266" i="13"/>
  <c r="K266" i="13"/>
  <c r="P266" i="13" s="1"/>
  <c r="M266" i="13"/>
  <c r="V266" i="13"/>
  <c r="S266" i="13"/>
  <c r="X266" i="13" s="1"/>
  <c r="I266" i="12" s="1"/>
  <c r="J266" i="12" s="1"/>
  <c r="K266" i="12" s="1"/>
  <c r="Q18" i="12"/>
  <c r="AG18" i="12" s="1"/>
  <c r="AF18" i="12"/>
  <c r="V18" i="12"/>
  <c r="X247" i="8"/>
  <c r="Z247" i="8" s="1"/>
  <c r="AI247" i="8" s="1"/>
  <c r="AQ247" i="8" s="1"/>
  <c r="AR247" i="8" s="1"/>
  <c r="W247" i="8"/>
  <c r="Y358" i="12"/>
  <c r="AA358" i="12" s="1"/>
  <c r="AC358" i="12" s="1"/>
  <c r="P160" i="13"/>
  <c r="X26" i="8"/>
  <c r="Z26" i="8" s="1"/>
  <c r="AI26" i="8" s="1"/>
  <c r="AQ26" i="8" s="1"/>
  <c r="AR26" i="8" s="1"/>
  <c r="W26" i="8"/>
  <c r="Q28" i="12"/>
  <c r="AG28" i="12" s="1"/>
  <c r="AF28" i="12"/>
  <c r="V28" i="12"/>
  <c r="Y28" i="12" s="1"/>
  <c r="AA28" i="12" s="1"/>
  <c r="AC28" i="12" s="1"/>
  <c r="X314" i="13"/>
  <c r="I314" i="12" s="1"/>
  <c r="J314" i="12" s="1"/>
  <c r="W15" i="8"/>
  <c r="X15" i="8"/>
  <c r="Z15" i="8" s="1"/>
  <c r="AI15" i="8" s="1"/>
  <c r="AQ15" i="8" s="1"/>
  <c r="AR15" i="8" s="1"/>
  <c r="Q15" i="12"/>
  <c r="AG15" i="12" s="1"/>
  <c r="AF15" i="12"/>
  <c r="V15" i="12"/>
  <c r="W159" i="8"/>
  <c r="X159" i="8"/>
  <c r="Z159" i="8" s="1"/>
  <c r="AI159" i="8" s="1"/>
  <c r="AQ159" i="8" s="1"/>
  <c r="AR159" i="8" s="1"/>
  <c r="O357" i="13"/>
  <c r="W357" i="13"/>
  <c r="N357" i="13"/>
  <c r="U357" i="13"/>
  <c r="L357" i="13"/>
  <c r="T357" i="13"/>
  <c r="K357" i="13"/>
  <c r="P357" i="13" s="1"/>
  <c r="V357" i="13"/>
  <c r="S357" i="13"/>
  <c r="X357" i="13" s="1"/>
  <c r="I357" i="12" s="1"/>
  <c r="J357" i="12" s="1"/>
  <c r="K357" i="12" s="1"/>
  <c r="M357" i="13"/>
  <c r="P156" i="13"/>
  <c r="V295" i="13"/>
  <c r="N295" i="13"/>
  <c r="U295" i="13"/>
  <c r="M295" i="13"/>
  <c r="T295" i="13"/>
  <c r="L295" i="13"/>
  <c r="S295" i="13"/>
  <c r="X295" i="13" s="1"/>
  <c r="I295" i="12" s="1"/>
  <c r="J295" i="12" s="1"/>
  <c r="K295" i="12" s="1"/>
  <c r="K295" i="13"/>
  <c r="P295" i="13" s="1"/>
  <c r="W295" i="13"/>
  <c r="O295" i="13"/>
  <c r="H248" i="13"/>
  <c r="R248" i="13"/>
  <c r="J248" i="13"/>
  <c r="X339" i="8"/>
  <c r="Z339" i="8" s="1"/>
  <c r="AI339" i="8" s="1"/>
  <c r="AQ339" i="8" s="1"/>
  <c r="AR339" i="8" s="1"/>
  <c r="W339" i="8"/>
  <c r="V50" i="8"/>
  <c r="Y50" i="8" s="1"/>
  <c r="U50" i="8"/>
  <c r="Y55" i="12"/>
  <c r="AA55" i="12" s="1"/>
  <c r="AC55" i="12" s="1"/>
  <c r="AR192" i="8"/>
  <c r="AH44" i="12"/>
  <c r="U334" i="8"/>
  <c r="V334" i="8"/>
  <c r="Y334" i="8" s="1"/>
  <c r="AK249" i="12"/>
  <c r="AJ249" i="12"/>
  <c r="Z249" i="12"/>
  <c r="X81" i="8"/>
  <c r="Z81" i="8" s="1"/>
  <c r="AI81" i="8" s="1"/>
  <c r="AQ81" i="8" s="1"/>
  <c r="AR81" i="8" s="1"/>
  <c r="W81" i="8"/>
  <c r="P6" i="13"/>
  <c r="AO297" i="12"/>
  <c r="AO329" i="12"/>
  <c r="P168" i="13"/>
  <c r="AO283" i="12"/>
  <c r="P178" i="13"/>
  <c r="Y100" i="12"/>
  <c r="AA100" i="12" s="1"/>
  <c r="AC100" i="12" s="1"/>
  <c r="W205" i="13"/>
  <c r="O205" i="13"/>
  <c r="V205" i="13"/>
  <c r="N205" i="13"/>
  <c r="U205" i="13"/>
  <c r="M205" i="13"/>
  <c r="T205" i="13"/>
  <c r="L205" i="13"/>
  <c r="S205" i="13"/>
  <c r="X205" i="13" s="1"/>
  <c r="I205" i="12" s="1"/>
  <c r="J205" i="12" s="1"/>
  <c r="K205" i="13"/>
  <c r="W307" i="8"/>
  <c r="X104" i="8"/>
  <c r="Z104" i="8" s="1"/>
  <c r="AI104" i="8" s="1"/>
  <c r="AQ104" i="8" s="1"/>
  <c r="AR104" i="8" s="1"/>
  <c r="W104" i="8"/>
  <c r="X80" i="13"/>
  <c r="I80" i="12" s="1"/>
  <c r="J80" i="12" s="1"/>
  <c r="K80" i="12" s="1"/>
  <c r="W38" i="13"/>
  <c r="O38" i="13"/>
  <c r="V38" i="13"/>
  <c r="N38" i="13"/>
  <c r="U38" i="13"/>
  <c r="M38" i="13"/>
  <c r="T38" i="13"/>
  <c r="L38" i="13"/>
  <c r="S38" i="13"/>
  <c r="X38" i="13" s="1"/>
  <c r="I38" i="12" s="1"/>
  <c r="J38" i="12" s="1"/>
  <c r="K38" i="12" s="1"/>
  <c r="K38" i="13"/>
  <c r="AL286" i="12"/>
  <c r="AN286" i="12" s="1"/>
  <c r="AO286" i="12" s="1"/>
  <c r="P199" i="13"/>
  <c r="AK143" i="12"/>
  <c r="AO143" i="12" s="1"/>
  <c r="X213" i="13"/>
  <c r="I213" i="12" s="1"/>
  <c r="J213" i="12" s="1"/>
  <c r="K213" i="12" s="1"/>
  <c r="Y191" i="12"/>
  <c r="AA191" i="12" s="1"/>
  <c r="AC191" i="12" s="1"/>
  <c r="X313" i="13"/>
  <c r="I313" i="12" s="1"/>
  <c r="J313" i="12" s="1"/>
  <c r="Q14" i="12"/>
  <c r="AG14" i="12" s="1"/>
  <c r="AF14" i="12"/>
  <c r="V14" i="12"/>
  <c r="W138" i="13"/>
  <c r="O138" i="13"/>
  <c r="V138" i="13"/>
  <c r="N138" i="13"/>
  <c r="U138" i="13"/>
  <c r="M138" i="13"/>
  <c r="T138" i="13"/>
  <c r="L138" i="13"/>
  <c r="S138" i="13"/>
  <c r="X138" i="13" s="1"/>
  <c r="I138" i="12" s="1"/>
  <c r="J138" i="12" s="1"/>
  <c r="K138" i="13"/>
  <c r="P138" i="13" s="1"/>
  <c r="Y186" i="12"/>
  <c r="AA186" i="12" s="1"/>
  <c r="AC186" i="12" s="1"/>
  <c r="X49" i="8"/>
  <c r="Z49" i="8" s="1"/>
  <c r="AI49" i="8" s="1"/>
  <c r="AQ49" i="8" s="1"/>
  <c r="AR49" i="8" s="1"/>
  <c r="W49" i="8"/>
  <c r="X41" i="13"/>
  <c r="I41" i="12" s="1"/>
  <c r="J41" i="12" s="1"/>
  <c r="K41" i="12" s="1"/>
  <c r="AI277" i="12"/>
  <c r="AO277" i="12" s="1"/>
  <c r="P189" i="13"/>
  <c r="X306" i="8"/>
  <c r="Z306" i="8" s="1"/>
  <c r="AI306" i="8" s="1"/>
  <c r="AQ306" i="8" s="1"/>
  <c r="AR306" i="8" s="1"/>
  <c r="W306" i="8"/>
  <c r="Q306" i="12"/>
  <c r="AG306" i="12" s="1"/>
  <c r="V306" i="12"/>
  <c r="Y306" i="12" s="1"/>
  <c r="AA306" i="12" s="1"/>
  <c r="AC306" i="12" s="1"/>
  <c r="AF306" i="12"/>
  <c r="J23" i="13"/>
  <c r="J361" i="13" s="1"/>
  <c r="R23" i="13"/>
  <c r="H23" i="13"/>
  <c r="W227" i="8"/>
  <c r="W251" i="8"/>
  <c r="W276" i="8"/>
  <c r="Z146" i="8"/>
  <c r="AI146" i="8" s="1"/>
  <c r="AQ146" i="8" s="1"/>
  <c r="AR146" i="8" s="1"/>
  <c r="AO225" i="12" l="1"/>
  <c r="AO333" i="12"/>
  <c r="AL225" i="12"/>
  <c r="AO334" i="12"/>
  <c r="AO59" i="12"/>
  <c r="AH174" i="12"/>
  <c r="AH66" i="12"/>
  <c r="AO173" i="12"/>
  <c r="AH359" i="12"/>
  <c r="AO67" i="12"/>
  <c r="AH138" i="12"/>
  <c r="AH240" i="12"/>
  <c r="AG361" i="12"/>
  <c r="AH284" i="12"/>
  <c r="AH195" i="12"/>
  <c r="AI195" i="12" s="1"/>
  <c r="AH342" i="12"/>
  <c r="AJ342" i="12" s="1"/>
  <c r="AH268" i="12"/>
  <c r="AI268" i="12" s="1"/>
  <c r="AR71" i="12"/>
  <c r="AA228" i="12"/>
  <c r="AC228" i="12" s="1"/>
  <c r="AO184" i="12"/>
  <c r="AO76" i="12"/>
  <c r="AR190" i="12"/>
  <c r="E23" i="11"/>
  <c r="H23" i="11" s="1"/>
  <c r="AH216" i="12"/>
  <c r="AI216" i="12" s="1"/>
  <c r="AO142" i="12"/>
  <c r="AR358" i="12"/>
  <c r="AH74" i="12"/>
  <c r="AH289" i="12"/>
  <c r="AI289" i="12" s="1"/>
  <c r="AA169" i="12"/>
  <c r="AC169" i="12" s="1"/>
  <c r="W180" i="8"/>
  <c r="AR40" i="12"/>
  <c r="AH180" i="12"/>
  <c r="AL180" i="12" s="1"/>
  <c r="AH106" i="12"/>
  <c r="AI106" i="12" s="1"/>
  <c r="D11" i="1"/>
  <c r="AL214" i="12"/>
  <c r="AO214" i="12" s="1"/>
  <c r="Z264" i="8"/>
  <c r="AI264" i="8" s="1"/>
  <c r="AQ264" i="8" s="1"/>
  <c r="AR264" i="8" s="1"/>
  <c r="AR152" i="12"/>
  <c r="AC174" i="12"/>
  <c r="Z284" i="8"/>
  <c r="AI284" i="8" s="1"/>
  <c r="AQ284" i="8" s="1"/>
  <c r="AR284" i="8" s="1"/>
  <c r="AH198" i="12"/>
  <c r="AM198" i="12" s="1"/>
  <c r="AO354" i="12"/>
  <c r="AA195" i="12"/>
  <c r="AC195" i="12" s="1"/>
  <c r="AH341" i="12"/>
  <c r="AO109" i="12"/>
  <c r="AH133" i="12"/>
  <c r="O25" i="14"/>
  <c r="AR57" i="12"/>
  <c r="AL118" i="12"/>
  <c r="AO118" i="12" s="1"/>
  <c r="AR227" i="12"/>
  <c r="AO32" i="12"/>
  <c r="Y36" i="12"/>
  <c r="AA36" i="12" s="1"/>
  <c r="AC36" i="12" s="1"/>
  <c r="AO170" i="12"/>
  <c r="AH20" i="12"/>
  <c r="AO210" i="12"/>
  <c r="AR61" i="12"/>
  <c r="AC89" i="12"/>
  <c r="V361" i="12"/>
  <c r="AC287" i="12"/>
  <c r="D40" i="11" s="1"/>
  <c r="G40" i="11" s="1"/>
  <c r="AF361" i="12"/>
  <c r="AR133" i="12"/>
  <c r="AO276" i="12"/>
  <c r="AC57" i="12"/>
  <c r="AR36" i="12"/>
  <c r="AC134" i="12"/>
  <c r="AL110" i="12"/>
  <c r="AN110" i="12" s="1"/>
  <c r="AB182" i="12"/>
  <c r="AC182" i="12" s="1"/>
  <c r="AQ182" i="12"/>
  <c r="AE182" i="12"/>
  <c r="AH182" i="12" s="1"/>
  <c r="AP182" i="12"/>
  <c r="X182" i="12"/>
  <c r="Y182" i="12" s="1"/>
  <c r="AQ157" i="12"/>
  <c r="AB157" i="12"/>
  <c r="X157" i="12"/>
  <c r="Y157" i="12" s="1"/>
  <c r="AA157" i="12" s="1"/>
  <c r="AP157" i="12"/>
  <c r="AE157" i="12"/>
  <c r="AH157" i="12" s="1"/>
  <c r="AB165" i="12"/>
  <c r="AC165" i="12" s="1"/>
  <c r="AP165" i="12"/>
  <c r="X165" i="12"/>
  <c r="Y165" i="12" s="1"/>
  <c r="AQ165" i="12"/>
  <c r="AE165" i="12"/>
  <c r="AH165" i="12" s="1"/>
  <c r="AQ149" i="12"/>
  <c r="AB149" i="12"/>
  <c r="X149" i="12"/>
  <c r="Y149" i="12" s="1"/>
  <c r="AA149" i="12" s="1"/>
  <c r="AP149" i="12"/>
  <c r="AR149" i="12" s="1"/>
  <c r="AE149" i="12"/>
  <c r="AH149" i="12" s="1"/>
  <c r="AP215" i="12"/>
  <c r="AB215" i="12"/>
  <c r="AC215" i="12" s="1"/>
  <c r="X215" i="12"/>
  <c r="Y215" i="12" s="1"/>
  <c r="AE215" i="12"/>
  <c r="AH215" i="12" s="1"/>
  <c r="AQ215" i="12"/>
  <c r="AQ310" i="12"/>
  <c r="AP310" i="12"/>
  <c r="AB310" i="12"/>
  <c r="AC310" i="12" s="1"/>
  <c r="AQ196" i="12"/>
  <c r="X196" i="12"/>
  <c r="Y196" i="12" s="1"/>
  <c r="AA196" i="12" s="1"/>
  <c r="AP196" i="12"/>
  <c r="AE196" i="12"/>
  <c r="AH196" i="12" s="1"/>
  <c r="AB196" i="12"/>
  <c r="AK104" i="12"/>
  <c r="AQ29" i="12"/>
  <c r="X29" i="12"/>
  <c r="Y29" i="12" s="1"/>
  <c r="AA29" i="12" s="1"/>
  <c r="AP29" i="12"/>
  <c r="AE29" i="12"/>
  <c r="AH29" i="12" s="1"/>
  <c r="AB29" i="12"/>
  <c r="AQ179" i="12"/>
  <c r="AE179" i="12"/>
  <c r="AH179" i="12" s="1"/>
  <c r="AB179" i="12"/>
  <c r="AP179" i="12"/>
  <c r="AR179" i="12" s="1"/>
  <c r="X179" i="12"/>
  <c r="Y179" i="12" s="1"/>
  <c r="AA179" i="12" s="1"/>
  <c r="AB252" i="12"/>
  <c r="AC252" i="12" s="1"/>
  <c r="AP252" i="12"/>
  <c r="X252" i="12"/>
  <c r="Y252" i="12" s="1"/>
  <c r="AE252" i="12"/>
  <c r="AH252" i="12" s="1"/>
  <c r="AQ252" i="12"/>
  <c r="AP288" i="12"/>
  <c r="AE288" i="12"/>
  <c r="AH288" i="12" s="1"/>
  <c r="X288" i="12"/>
  <c r="Y288" i="12" s="1"/>
  <c r="AQ288" i="12"/>
  <c r="AB288" i="12"/>
  <c r="AC288" i="12" s="1"/>
  <c r="AE56" i="12"/>
  <c r="AH56" i="12" s="1"/>
  <c r="AQ56" i="12"/>
  <c r="X56" i="12"/>
  <c r="Y56" i="12" s="1"/>
  <c r="AA56" i="12" s="1"/>
  <c r="AC56" i="12" s="1"/>
  <c r="AB56" i="12"/>
  <c r="AP56" i="12"/>
  <c r="AQ239" i="12"/>
  <c r="X239" i="12"/>
  <c r="Y239" i="12" s="1"/>
  <c r="AA239" i="12" s="1"/>
  <c r="AC239" i="12" s="1"/>
  <c r="AP239" i="12"/>
  <c r="AR239" i="12" s="1"/>
  <c r="AB239" i="12"/>
  <c r="AE239" i="12"/>
  <c r="AH239" i="12" s="1"/>
  <c r="AQ160" i="12"/>
  <c r="X160" i="12"/>
  <c r="Y160" i="12" s="1"/>
  <c r="AA160" i="12" s="1"/>
  <c r="AP160" i="12"/>
  <c r="AE160" i="12"/>
  <c r="AH160" i="12" s="1"/>
  <c r="AB160" i="12"/>
  <c r="AQ319" i="12"/>
  <c r="AP319" i="12"/>
  <c r="X319" i="12"/>
  <c r="Y319" i="12" s="1"/>
  <c r="AA319" i="12" s="1"/>
  <c r="AE319" i="12"/>
  <c r="AH319" i="12" s="1"/>
  <c r="AB319" i="12"/>
  <c r="AB357" i="12"/>
  <c r="AC357" i="12" s="1"/>
  <c r="D52" i="11" s="1"/>
  <c r="G52" i="11" s="1"/>
  <c r="AQ357" i="12"/>
  <c r="AP357" i="12"/>
  <c r="AQ135" i="12"/>
  <c r="AB135" i="12"/>
  <c r="AE135" i="12"/>
  <c r="AH135" i="12" s="1"/>
  <c r="AP135" i="12"/>
  <c r="AR135" i="12" s="1"/>
  <c r="X135" i="12"/>
  <c r="Y135" i="12" s="1"/>
  <c r="AA135" i="12" s="1"/>
  <c r="AC135" i="12" s="1"/>
  <c r="AE298" i="12"/>
  <c r="AH298" i="12" s="1"/>
  <c r="AB298" i="12"/>
  <c r="AQ298" i="12"/>
  <c r="AP298" i="12"/>
  <c r="X298" i="12"/>
  <c r="Y298" i="12" s="1"/>
  <c r="AA298" i="12" s="1"/>
  <c r="AE189" i="12"/>
  <c r="AH189" i="12" s="1"/>
  <c r="AQ189" i="12"/>
  <c r="X189" i="12"/>
  <c r="Y189" i="12" s="1"/>
  <c r="AA189" i="12" s="1"/>
  <c r="AC189" i="12" s="1"/>
  <c r="AP189" i="12"/>
  <c r="AB189" i="12"/>
  <c r="AB117" i="12"/>
  <c r="X117" i="12"/>
  <c r="Y117" i="12" s="1"/>
  <c r="AA117" i="12" s="1"/>
  <c r="AC117" i="12" s="1"/>
  <c r="AQ117" i="12"/>
  <c r="AE117" i="12"/>
  <c r="AH117" i="12" s="1"/>
  <c r="AP117" i="12"/>
  <c r="AQ283" i="12"/>
  <c r="AP283" i="12"/>
  <c r="AR283" i="12" s="1"/>
  <c r="AB283" i="12"/>
  <c r="AC283" i="12" s="1"/>
  <c r="AQ151" i="12"/>
  <c r="AB151" i="12"/>
  <c r="X151" i="12"/>
  <c r="Y151" i="12" s="1"/>
  <c r="AA151" i="12" s="1"/>
  <c r="AP151" i="12"/>
  <c r="AR151" i="12" s="1"/>
  <c r="AE151" i="12"/>
  <c r="AH151" i="12" s="1"/>
  <c r="AQ137" i="12"/>
  <c r="AP137" i="12"/>
  <c r="AR137" i="12" s="1"/>
  <c r="AE137" i="12"/>
  <c r="AH137" i="12" s="1"/>
  <c r="AB137" i="12"/>
  <c r="X137" i="12"/>
  <c r="Y137" i="12" s="1"/>
  <c r="AA137" i="12" s="1"/>
  <c r="AC137" i="12" s="1"/>
  <c r="AQ351" i="12"/>
  <c r="AP351" i="12"/>
  <c r="X351" i="12"/>
  <c r="Y351" i="12" s="1"/>
  <c r="AA351" i="12" s="1"/>
  <c r="AE351" i="12"/>
  <c r="AH351" i="12" s="1"/>
  <c r="AB351" i="12"/>
  <c r="AE273" i="12"/>
  <c r="AH273" i="12" s="1"/>
  <c r="AQ273" i="12"/>
  <c r="AP273" i="12"/>
  <c r="AR273" i="12" s="1"/>
  <c r="X273" i="12"/>
  <c r="Y273" i="12" s="1"/>
  <c r="AA273" i="12" s="1"/>
  <c r="AB273" i="12"/>
  <c r="AQ122" i="12"/>
  <c r="AP122" i="12"/>
  <c r="X122" i="12"/>
  <c r="AE122" i="12"/>
  <c r="AH122" i="12" s="1"/>
  <c r="AB122" i="12"/>
  <c r="AC122" i="12" s="1"/>
  <c r="AE97" i="12"/>
  <c r="AH97" i="12" s="1"/>
  <c r="AQ97" i="12"/>
  <c r="AP97" i="12"/>
  <c r="AB97" i="12"/>
  <c r="X97" i="12"/>
  <c r="AQ145" i="12"/>
  <c r="AP145" i="12"/>
  <c r="X145" i="12"/>
  <c r="Y145" i="12" s="1"/>
  <c r="AA145" i="12" s="1"/>
  <c r="AE145" i="12"/>
  <c r="AH145" i="12" s="1"/>
  <c r="AB145" i="12"/>
  <c r="AB224" i="12"/>
  <c r="AC224" i="12" s="1"/>
  <c r="AQ224" i="12"/>
  <c r="AP224" i="12"/>
  <c r="AB47" i="12"/>
  <c r="X47" i="12"/>
  <c r="Y47" i="12" s="1"/>
  <c r="AA47" i="12" s="1"/>
  <c r="AQ47" i="12"/>
  <c r="AP47" i="12"/>
  <c r="AE47" i="12"/>
  <c r="AH47" i="12" s="1"/>
  <c r="X73" i="12"/>
  <c r="Y73" i="12" s="1"/>
  <c r="AA73" i="12" s="1"/>
  <c r="AE73" i="12"/>
  <c r="AH73" i="12" s="1"/>
  <c r="AB73" i="12"/>
  <c r="AQ73" i="12"/>
  <c r="AP73" i="12"/>
  <c r="AE79" i="12"/>
  <c r="AH79" i="12" s="1"/>
  <c r="AB79" i="12"/>
  <c r="AQ79" i="12"/>
  <c r="AP79" i="12"/>
  <c r="X79" i="12"/>
  <c r="Y79" i="12" s="1"/>
  <c r="AA79" i="12" s="1"/>
  <c r="AC79" i="12" s="1"/>
  <c r="AB49" i="12"/>
  <c r="AQ49" i="12"/>
  <c r="AP49" i="12"/>
  <c r="AE49" i="12"/>
  <c r="AH49" i="12" s="1"/>
  <c r="X49" i="12"/>
  <c r="Y49" i="12" s="1"/>
  <c r="AA49" i="12" s="1"/>
  <c r="AE94" i="12"/>
  <c r="AH94" i="12" s="1"/>
  <c r="AQ94" i="12"/>
  <c r="AP94" i="12"/>
  <c r="AR94" i="12" s="1"/>
  <c r="AB94" i="12"/>
  <c r="X94" i="12"/>
  <c r="Y94" i="12" s="1"/>
  <c r="AA94" i="12" s="1"/>
  <c r="AB167" i="12"/>
  <c r="AQ167" i="12"/>
  <c r="X167" i="12"/>
  <c r="Y167" i="12" s="1"/>
  <c r="AA167" i="12" s="1"/>
  <c r="AP167" i="12"/>
  <c r="AE167" i="12"/>
  <c r="AH167" i="12" s="1"/>
  <c r="AQ349" i="12"/>
  <c r="AP349" i="12"/>
  <c r="X349" i="12"/>
  <c r="Y349" i="12" s="1"/>
  <c r="AA349" i="12" s="1"/>
  <c r="AE349" i="12"/>
  <c r="AH349" i="12" s="1"/>
  <c r="AB349" i="12"/>
  <c r="AQ183" i="12"/>
  <c r="AP183" i="12"/>
  <c r="X183" i="12"/>
  <c r="Y183" i="12" s="1"/>
  <c r="AA183" i="12" s="1"/>
  <c r="AE183" i="12"/>
  <c r="AH183" i="12" s="1"/>
  <c r="AB183" i="12"/>
  <c r="AQ211" i="12"/>
  <c r="AB211" i="12"/>
  <c r="X211" i="12"/>
  <c r="Y211" i="12" s="1"/>
  <c r="AA211" i="12" s="1"/>
  <c r="AP211" i="12"/>
  <c r="AE211" i="12"/>
  <c r="AH211" i="12" s="1"/>
  <c r="AQ115" i="12"/>
  <c r="AE115" i="12"/>
  <c r="AH115" i="12" s="1"/>
  <c r="AP115" i="12"/>
  <c r="AR115" i="12" s="1"/>
  <c r="AB115" i="12"/>
  <c r="X115" i="12"/>
  <c r="Y115" i="12" s="1"/>
  <c r="AA115" i="12" s="1"/>
  <c r="AP296" i="12"/>
  <c r="X296" i="12"/>
  <c r="AB296" i="12"/>
  <c r="AE296" i="12"/>
  <c r="AH296" i="12" s="1"/>
  <c r="AQ296" i="12"/>
  <c r="AB260" i="12"/>
  <c r="AC260" i="12" s="1"/>
  <c r="AQ260" i="12"/>
  <c r="AP260" i="12"/>
  <c r="AQ136" i="12"/>
  <c r="AP136" i="12"/>
  <c r="X136" i="12"/>
  <c r="Y136" i="12" s="1"/>
  <c r="AA136" i="12" s="1"/>
  <c r="AE136" i="12"/>
  <c r="AH136" i="12" s="1"/>
  <c r="AB136" i="12"/>
  <c r="AE91" i="12"/>
  <c r="AH91" i="12" s="1"/>
  <c r="AB91" i="12"/>
  <c r="AQ91" i="12"/>
  <c r="X91" i="12"/>
  <c r="Y91" i="12" s="1"/>
  <c r="AA91" i="12" s="1"/>
  <c r="AP91" i="12"/>
  <c r="AQ337" i="12"/>
  <c r="AP337" i="12"/>
  <c r="AB337" i="12"/>
  <c r="AE337" i="12"/>
  <c r="AH337" i="12" s="1"/>
  <c r="X337" i="12"/>
  <c r="Y337" i="12" s="1"/>
  <c r="AA337" i="12" s="1"/>
  <c r="AB327" i="12"/>
  <c r="AC327" i="12" s="1"/>
  <c r="AE327" i="12"/>
  <c r="AH327" i="12" s="1"/>
  <c r="AQ327" i="12"/>
  <c r="AP327" i="12"/>
  <c r="X327" i="12"/>
  <c r="Y327" i="12" s="1"/>
  <c r="AE81" i="12"/>
  <c r="AH81" i="12" s="1"/>
  <c r="X81" i="12"/>
  <c r="Y81" i="12" s="1"/>
  <c r="AA81" i="12" s="1"/>
  <c r="AB81" i="12"/>
  <c r="AP81" i="12"/>
  <c r="AQ81" i="12"/>
  <c r="AQ201" i="12"/>
  <c r="AP201" i="12"/>
  <c r="AE201" i="12"/>
  <c r="AH201" i="12" s="1"/>
  <c r="AB201" i="12"/>
  <c r="AC201" i="12" s="1"/>
  <c r="X201" i="12"/>
  <c r="Y201" i="12" s="1"/>
  <c r="AQ31" i="12"/>
  <c r="X31" i="12"/>
  <c r="Y31" i="12" s="1"/>
  <c r="AA31" i="12" s="1"/>
  <c r="AC31" i="12" s="1"/>
  <c r="AP31" i="12"/>
  <c r="AE31" i="12"/>
  <c r="AH31" i="12" s="1"/>
  <c r="AB31" i="12"/>
  <c r="AB38" i="12"/>
  <c r="X38" i="12"/>
  <c r="Y38" i="12" s="1"/>
  <c r="AA38" i="12" s="1"/>
  <c r="AC38" i="12" s="1"/>
  <c r="AQ38" i="12"/>
  <c r="AP38" i="12"/>
  <c r="AE38" i="12"/>
  <c r="AH38" i="12" s="1"/>
  <c r="AQ266" i="12"/>
  <c r="AP266" i="12"/>
  <c r="AB266" i="12"/>
  <c r="AC266" i="12" s="1"/>
  <c r="AQ144" i="12"/>
  <c r="X144" i="12"/>
  <c r="Y144" i="12" s="1"/>
  <c r="AA144" i="12" s="1"/>
  <c r="AC144" i="12" s="1"/>
  <c r="AE144" i="12"/>
  <c r="AH144" i="12" s="1"/>
  <c r="AB144" i="12"/>
  <c r="AP144" i="12"/>
  <c r="AQ336" i="12"/>
  <c r="AP336" i="12"/>
  <c r="AB336" i="12"/>
  <c r="AE336" i="12"/>
  <c r="AH336" i="12" s="1"/>
  <c r="X336" i="12"/>
  <c r="Y336" i="12" s="1"/>
  <c r="AA336" i="12" s="1"/>
  <c r="AQ6" i="12"/>
  <c r="AP6" i="12"/>
  <c r="X6" i="12"/>
  <c r="Y6" i="12" s="1"/>
  <c r="AA6" i="12" s="1"/>
  <c r="AE6" i="12"/>
  <c r="AH6" i="12" s="1"/>
  <c r="AB6" i="12"/>
  <c r="AB299" i="12"/>
  <c r="AC299" i="12" s="1"/>
  <c r="AQ299" i="12"/>
  <c r="AP299" i="12"/>
  <c r="AR299" i="12" s="1"/>
  <c r="AB12" i="12"/>
  <c r="AQ12" i="12"/>
  <c r="AP12" i="12"/>
  <c r="X12" i="12"/>
  <c r="Y12" i="12" s="1"/>
  <c r="AA12" i="12" s="1"/>
  <c r="AC12" i="12" s="1"/>
  <c r="AE12" i="12"/>
  <c r="AH12" i="12" s="1"/>
  <c r="AP222" i="12"/>
  <c r="X222" i="12"/>
  <c r="Y222" i="12" s="1"/>
  <c r="AA222" i="12" s="1"/>
  <c r="AE222" i="12"/>
  <c r="AH222" i="12" s="1"/>
  <c r="AQ222" i="12"/>
  <c r="AB222" i="12"/>
  <c r="AQ207" i="12"/>
  <c r="X207" i="12"/>
  <c r="Y207" i="12" s="1"/>
  <c r="AA207" i="12" s="1"/>
  <c r="AP207" i="12"/>
  <c r="AE207" i="12"/>
  <c r="AH207" i="12" s="1"/>
  <c r="AB207" i="12"/>
  <c r="AB331" i="12"/>
  <c r="X331" i="12"/>
  <c r="Y331" i="12" s="1"/>
  <c r="AA331" i="12" s="1"/>
  <c r="AQ331" i="12"/>
  <c r="AP331" i="12"/>
  <c r="AE331" i="12"/>
  <c r="AH331" i="12" s="1"/>
  <c r="AB308" i="12"/>
  <c r="AE308" i="12"/>
  <c r="AH308" i="12" s="1"/>
  <c r="AQ308" i="12"/>
  <c r="AP308" i="12"/>
  <c r="AR308" i="12" s="1"/>
  <c r="X308" i="12"/>
  <c r="Y308" i="12" s="1"/>
  <c r="AA308" i="12" s="1"/>
  <c r="AQ121" i="12"/>
  <c r="AB121" i="12"/>
  <c r="AE121" i="12"/>
  <c r="AH121" i="12" s="1"/>
  <c r="AP121" i="12"/>
  <c r="X121" i="12"/>
  <c r="Y121" i="12" s="1"/>
  <c r="AA121" i="12" s="1"/>
  <c r="AQ237" i="12"/>
  <c r="X237" i="12"/>
  <c r="Y237" i="12" s="1"/>
  <c r="AA237" i="12" s="1"/>
  <c r="AE237" i="12"/>
  <c r="AH237" i="12" s="1"/>
  <c r="AP237" i="12"/>
  <c r="AR237" i="12" s="1"/>
  <c r="AB237" i="12"/>
  <c r="AB230" i="12"/>
  <c r="AQ230" i="12"/>
  <c r="X230" i="12"/>
  <c r="Y230" i="12" s="1"/>
  <c r="AA230" i="12" s="1"/>
  <c r="AC230" i="12" s="1"/>
  <c r="AP230" i="12"/>
  <c r="AE230" i="12"/>
  <c r="AH230" i="12" s="1"/>
  <c r="AQ112" i="12"/>
  <c r="AB112" i="12"/>
  <c r="AC112" i="12" s="1"/>
  <c r="AP112" i="12"/>
  <c r="AQ338" i="12"/>
  <c r="AP338" i="12"/>
  <c r="AR338" i="12" s="1"/>
  <c r="AB338" i="12"/>
  <c r="X338" i="12"/>
  <c r="Y338" i="12" s="1"/>
  <c r="AA338" i="12" s="1"/>
  <c r="AC338" i="12" s="1"/>
  <c r="AE338" i="12"/>
  <c r="AH338" i="12" s="1"/>
  <c r="AB162" i="12"/>
  <c r="AP162" i="12"/>
  <c r="AR162" i="12" s="1"/>
  <c r="X162" i="12"/>
  <c r="Y162" i="12" s="1"/>
  <c r="AA162" i="12" s="1"/>
  <c r="AC162" i="12" s="1"/>
  <c r="AQ162" i="12"/>
  <c r="AE162" i="12"/>
  <c r="AH162" i="12" s="1"/>
  <c r="AQ200" i="12"/>
  <c r="AE200" i="12"/>
  <c r="AH200" i="12" s="1"/>
  <c r="AB200" i="12"/>
  <c r="AC200" i="12" s="1"/>
  <c r="X200" i="12"/>
  <c r="Y200" i="12" s="1"/>
  <c r="AP200" i="12"/>
  <c r="AR200" i="12" s="1"/>
  <c r="AB16" i="12"/>
  <c r="AQ16" i="12"/>
  <c r="AP16" i="12"/>
  <c r="X16" i="12"/>
  <c r="Y16" i="12" s="1"/>
  <c r="AA16" i="12" s="1"/>
  <c r="AC16" i="12" s="1"/>
  <c r="AE16" i="12"/>
  <c r="AH16" i="12" s="1"/>
  <c r="AQ340" i="12"/>
  <c r="AP340" i="12"/>
  <c r="AB340" i="12"/>
  <c r="X340" i="12"/>
  <c r="Y340" i="12" s="1"/>
  <c r="AA340" i="12" s="1"/>
  <c r="AE340" i="12"/>
  <c r="AH340" i="12" s="1"/>
  <c r="AB332" i="12"/>
  <c r="X332" i="12"/>
  <c r="Y332" i="12" s="1"/>
  <c r="AA332" i="12" s="1"/>
  <c r="AQ332" i="12"/>
  <c r="AP332" i="12"/>
  <c r="AE332" i="12"/>
  <c r="AH332" i="12" s="1"/>
  <c r="AQ64" i="12"/>
  <c r="X64" i="12"/>
  <c r="Y64" i="12" s="1"/>
  <c r="AE64" i="12"/>
  <c r="AH64" i="12" s="1"/>
  <c r="AP64" i="12"/>
  <c r="AB64" i="12"/>
  <c r="AC64" i="12" s="1"/>
  <c r="AQ321" i="12"/>
  <c r="AP321" i="12"/>
  <c r="X321" i="12"/>
  <c r="Y321" i="12" s="1"/>
  <c r="AA321" i="12" s="1"/>
  <c r="AE321" i="12"/>
  <c r="AH321" i="12" s="1"/>
  <c r="AB321" i="12"/>
  <c r="AB125" i="12"/>
  <c r="AC125" i="12" s="1"/>
  <c r="AQ125" i="12"/>
  <c r="AP125" i="12"/>
  <c r="AB254" i="12"/>
  <c r="AC254" i="12" s="1"/>
  <c r="AP254" i="12"/>
  <c r="X254" i="12"/>
  <c r="Y254" i="12" s="1"/>
  <c r="AE254" i="12"/>
  <c r="AH254" i="12" s="1"/>
  <c r="AQ254" i="12"/>
  <c r="AB19" i="12"/>
  <c r="AC19" i="12" s="1"/>
  <c r="AQ19" i="12"/>
  <c r="AP19" i="12"/>
  <c r="AB45" i="12"/>
  <c r="AQ45" i="12"/>
  <c r="AP45" i="12"/>
  <c r="AE45" i="12"/>
  <c r="AH45" i="12" s="1"/>
  <c r="X45" i="12"/>
  <c r="Y45" i="12" s="1"/>
  <c r="AA45" i="12" s="1"/>
  <c r="AQ318" i="12"/>
  <c r="AP318" i="12"/>
  <c r="X318" i="12"/>
  <c r="Y318" i="12" s="1"/>
  <c r="AA318" i="12" s="1"/>
  <c r="AE318" i="12"/>
  <c r="AH318" i="12" s="1"/>
  <c r="AB318" i="12"/>
  <c r="AE178" i="12"/>
  <c r="AH178" i="12" s="1"/>
  <c r="AQ178" i="12"/>
  <c r="AB178" i="12"/>
  <c r="AP178" i="12"/>
  <c r="X178" i="12"/>
  <c r="Y178" i="12" s="1"/>
  <c r="AA178" i="12" s="1"/>
  <c r="AC178" i="12" s="1"/>
  <c r="AQ156" i="12"/>
  <c r="AE156" i="12"/>
  <c r="AH156" i="12" s="1"/>
  <c r="AB156" i="12"/>
  <c r="X156" i="12"/>
  <c r="Y156" i="12" s="1"/>
  <c r="AA156" i="12" s="1"/>
  <c r="AP156" i="12"/>
  <c r="AR156" i="12" s="1"/>
  <c r="AE92" i="12"/>
  <c r="AH92" i="12" s="1"/>
  <c r="AB92" i="12"/>
  <c r="AC92" i="12" s="1"/>
  <c r="X92" i="12"/>
  <c r="Y92" i="12" s="1"/>
  <c r="AQ92" i="12"/>
  <c r="AP92" i="12"/>
  <c r="AR92" i="12" s="1"/>
  <c r="AP219" i="12"/>
  <c r="AQ219" i="12"/>
  <c r="AB219" i="12"/>
  <c r="X219" i="12"/>
  <c r="Y219" i="12" s="1"/>
  <c r="AA219" i="12" s="1"/>
  <c r="AE219" i="12"/>
  <c r="AH219" i="12" s="1"/>
  <c r="AQ101" i="12"/>
  <c r="AE101" i="12"/>
  <c r="AH101" i="12" s="1"/>
  <c r="AB101" i="12"/>
  <c r="AC101" i="12" s="1"/>
  <c r="X101" i="12"/>
  <c r="Y101" i="12" s="1"/>
  <c r="AP101" i="12"/>
  <c r="AQ175" i="12"/>
  <c r="AE175" i="12"/>
  <c r="AH175" i="12" s="1"/>
  <c r="AP175" i="12"/>
  <c r="AB175" i="12"/>
  <c r="X175" i="12"/>
  <c r="Y175" i="12" s="1"/>
  <c r="AA175" i="12" s="1"/>
  <c r="AQ344" i="12"/>
  <c r="AP344" i="12"/>
  <c r="AR344" i="12" s="1"/>
  <c r="J48" i="11" s="1"/>
  <c r="X344" i="12"/>
  <c r="Y344" i="12" s="1"/>
  <c r="AA344" i="12" s="1"/>
  <c r="AB344" i="12"/>
  <c r="AE344" i="12"/>
  <c r="AH344" i="12" s="1"/>
  <c r="AB161" i="12"/>
  <c r="AE161" i="12"/>
  <c r="AH161" i="12" s="1"/>
  <c r="AQ161" i="12"/>
  <c r="AP161" i="12"/>
  <c r="X161" i="12"/>
  <c r="Y161" i="12" s="1"/>
  <c r="AA161" i="12" s="1"/>
  <c r="AC161" i="12" s="1"/>
  <c r="AQ98" i="12"/>
  <c r="AP98" i="12"/>
  <c r="AB98" i="12"/>
  <c r="AC98" i="12" s="1"/>
  <c r="AB9" i="12"/>
  <c r="AC9" i="12" s="1"/>
  <c r="AQ9" i="12"/>
  <c r="AP9" i="12"/>
  <c r="AQ320" i="12"/>
  <c r="AP320" i="12"/>
  <c r="X320" i="12"/>
  <c r="AE320" i="12"/>
  <c r="AH320" i="12" s="1"/>
  <c r="AB320" i="12"/>
  <c r="AQ199" i="12"/>
  <c r="AB199" i="12"/>
  <c r="AE199" i="12"/>
  <c r="AH199" i="12" s="1"/>
  <c r="AP199" i="12"/>
  <c r="AR199" i="12" s="1"/>
  <c r="X199" i="12"/>
  <c r="Y199" i="12" s="1"/>
  <c r="AA199" i="12" s="1"/>
  <c r="AQ348" i="12"/>
  <c r="AP348" i="12"/>
  <c r="X348" i="12"/>
  <c r="Y348" i="12" s="1"/>
  <c r="AA348" i="12" s="1"/>
  <c r="AE348" i="12"/>
  <c r="AH348" i="12" s="1"/>
  <c r="AB348" i="12"/>
  <c r="AP48" i="12"/>
  <c r="X48" i="12"/>
  <c r="Y48" i="12" s="1"/>
  <c r="AA48" i="12" s="1"/>
  <c r="AE48" i="12"/>
  <c r="AH48" i="12" s="1"/>
  <c r="AQ48" i="12"/>
  <c r="AB48" i="12"/>
  <c r="AQ177" i="12"/>
  <c r="AE177" i="12"/>
  <c r="AH177" i="12" s="1"/>
  <c r="AP177" i="12"/>
  <c r="AR177" i="12" s="1"/>
  <c r="AB177" i="12"/>
  <c r="X177" i="12"/>
  <c r="Y177" i="12" s="1"/>
  <c r="AA177" i="12" s="1"/>
  <c r="AB30" i="12"/>
  <c r="AQ30" i="12"/>
  <c r="X30" i="12"/>
  <c r="Y30" i="12" s="1"/>
  <c r="AA30" i="12" s="1"/>
  <c r="AP30" i="12"/>
  <c r="AE30" i="12"/>
  <c r="AH30" i="12" s="1"/>
  <c r="AQ7" i="12"/>
  <c r="AP7" i="12"/>
  <c r="X7" i="12"/>
  <c r="Y7" i="12" s="1"/>
  <c r="AE7" i="12"/>
  <c r="AH7" i="12" s="1"/>
  <c r="AB7" i="12"/>
  <c r="AC7" i="12" s="1"/>
  <c r="AP295" i="12"/>
  <c r="AE295" i="12"/>
  <c r="AH295" i="12" s="1"/>
  <c r="AQ295" i="12"/>
  <c r="X295" i="12"/>
  <c r="Y295" i="12" s="1"/>
  <c r="AA295" i="12" s="1"/>
  <c r="AC295" i="12" s="1"/>
  <c r="AB295" i="12"/>
  <c r="AP212" i="12"/>
  <c r="AR212" i="12" s="1"/>
  <c r="AQ212" i="12"/>
  <c r="AB212" i="12"/>
  <c r="X212" i="12"/>
  <c r="Y212" i="12" s="1"/>
  <c r="AA212" i="12" s="1"/>
  <c r="AE212" i="12"/>
  <c r="AH212" i="12" s="1"/>
  <c r="AQ153" i="12"/>
  <c r="AP153" i="12"/>
  <c r="AR153" i="12" s="1"/>
  <c r="AE153" i="12"/>
  <c r="AH153" i="12" s="1"/>
  <c r="AB153" i="12"/>
  <c r="X153" i="12"/>
  <c r="Y153" i="12" s="1"/>
  <c r="AA153" i="12" s="1"/>
  <c r="AE107" i="12"/>
  <c r="AH107" i="12" s="1"/>
  <c r="AQ107" i="12"/>
  <c r="AB107" i="12"/>
  <c r="AP107" i="12"/>
  <c r="AR107" i="12" s="1"/>
  <c r="X107" i="12"/>
  <c r="Y107" i="12" s="1"/>
  <c r="AA107" i="12" s="1"/>
  <c r="AC107" i="12" s="1"/>
  <c r="AQ140" i="12"/>
  <c r="AE140" i="12"/>
  <c r="AH140" i="12" s="1"/>
  <c r="AB140" i="12"/>
  <c r="X140" i="12"/>
  <c r="Y140" i="12" s="1"/>
  <c r="AA140" i="12" s="1"/>
  <c r="AC140" i="12" s="1"/>
  <c r="D26" i="11" s="1"/>
  <c r="G26" i="11" s="1"/>
  <c r="AP140" i="12"/>
  <c r="AR140" i="12" s="1"/>
  <c r="J26" i="11" s="1"/>
  <c r="AB323" i="12"/>
  <c r="AQ323" i="12"/>
  <c r="AP323" i="12"/>
  <c r="X323" i="12"/>
  <c r="Y323" i="12" s="1"/>
  <c r="AA323" i="12" s="1"/>
  <c r="AE323" i="12"/>
  <c r="AH323" i="12" s="1"/>
  <c r="AE108" i="12"/>
  <c r="AH108" i="12" s="1"/>
  <c r="AB108" i="12"/>
  <c r="AQ108" i="12"/>
  <c r="AP108" i="12"/>
  <c r="X108" i="12"/>
  <c r="Y108" i="12" s="1"/>
  <c r="AA108" i="12" s="1"/>
  <c r="AQ343" i="12"/>
  <c r="AP343" i="12"/>
  <c r="X343" i="12"/>
  <c r="Y343" i="12" s="1"/>
  <c r="AA343" i="12" s="1"/>
  <c r="AC343" i="12" s="1"/>
  <c r="D47" i="11" s="1"/>
  <c r="G47" i="11" s="1"/>
  <c r="AB343" i="12"/>
  <c r="AE343" i="12"/>
  <c r="AH343" i="12" s="1"/>
  <c r="X166" i="13"/>
  <c r="I166" i="12" s="1"/>
  <c r="J166" i="12" s="1"/>
  <c r="K166" i="12" s="1"/>
  <c r="AM174" i="12"/>
  <c r="AJ174" i="12"/>
  <c r="X286" i="8"/>
  <c r="Z286" i="8" s="1"/>
  <c r="AI286" i="8" s="1"/>
  <c r="AQ286" i="8" s="1"/>
  <c r="W286" i="8"/>
  <c r="AL172" i="12"/>
  <c r="AI172" i="12"/>
  <c r="X138" i="8"/>
  <c r="Z138" i="8" s="1"/>
  <c r="AI138" i="8" s="1"/>
  <c r="AQ138" i="8" s="1"/>
  <c r="W138" i="8"/>
  <c r="AB322" i="12"/>
  <c r="AQ322" i="12"/>
  <c r="AP322" i="12"/>
  <c r="X322" i="12"/>
  <c r="Y322" i="12" s="1"/>
  <c r="AA322" i="12" s="1"/>
  <c r="AE322" i="12"/>
  <c r="AH322" i="12" s="1"/>
  <c r="X194" i="13"/>
  <c r="I194" i="12" s="1"/>
  <c r="J194" i="12" s="1"/>
  <c r="Y122" i="12"/>
  <c r="AH28" i="12"/>
  <c r="AO23" i="12"/>
  <c r="X214" i="8"/>
  <c r="Z214" i="8" s="1"/>
  <c r="AI214" i="8" s="1"/>
  <c r="AQ214" i="8" s="1"/>
  <c r="AR214" i="8" s="1"/>
  <c r="W214" i="8"/>
  <c r="T188" i="13"/>
  <c r="L188" i="13"/>
  <c r="S188" i="13"/>
  <c r="K188" i="13"/>
  <c r="P188" i="13" s="1"/>
  <c r="O188" i="13"/>
  <c r="N188" i="13"/>
  <c r="M188" i="13"/>
  <c r="W188" i="13"/>
  <c r="V188" i="13"/>
  <c r="U188" i="13"/>
  <c r="AC253" i="12"/>
  <c r="D35" i="11" s="1"/>
  <c r="G35" i="11" s="1"/>
  <c r="W18" i="13"/>
  <c r="O18" i="13"/>
  <c r="V18" i="13"/>
  <c r="N18" i="13"/>
  <c r="U18" i="13"/>
  <c r="M18" i="13"/>
  <c r="T18" i="13"/>
  <c r="L18" i="13"/>
  <c r="S18" i="13"/>
  <c r="K18" i="13"/>
  <c r="P18" i="13" s="1"/>
  <c r="W228" i="13"/>
  <c r="O228" i="13"/>
  <c r="V228" i="13"/>
  <c r="N228" i="13"/>
  <c r="U228" i="13"/>
  <c r="M228" i="13"/>
  <c r="T228" i="13"/>
  <c r="L228" i="13"/>
  <c r="P228" i="13" s="1"/>
  <c r="S228" i="13"/>
  <c r="K228" i="13"/>
  <c r="AL232" i="12"/>
  <c r="AK232" i="12"/>
  <c r="T209" i="13"/>
  <c r="L209" i="13"/>
  <c r="P209" i="13" s="1"/>
  <c r="S209" i="13"/>
  <c r="X209" i="13" s="1"/>
  <c r="I209" i="12" s="1"/>
  <c r="J209" i="12" s="1"/>
  <c r="K209" i="12" s="1"/>
  <c r="K209" i="13"/>
  <c r="W209" i="13"/>
  <c r="O209" i="13"/>
  <c r="V209" i="13"/>
  <c r="N209" i="13"/>
  <c r="M209" i="13"/>
  <c r="U209" i="13"/>
  <c r="AH356" i="12"/>
  <c r="AQ8" i="12"/>
  <c r="AP8" i="12"/>
  <c r="X8" i="12"/>
  <c r="Y8" i="12" s="1"/>
  <c r="AE8" i="12"/>
  <c r="AH8" i="12" s="1"/>
  <c r="AB8" i="12"/>
  <c r="AC8" i="12" s="1"/>
  <c r="AB297" i="12"/>
  <c r="AC297" i="12" s="1"/>
  <c r="AQ297" i="12"/>
  <c r="AP297" i="12"/>
  <c r="AR297" i="12" s="1"/>
  <c r="AL78" i="12"/>
  <c r="AJ78" i="12"/>
  <c r="AO25" i="12"/>
  <c r="AN111" i="12"/>
  <c r="AO111" i="12" s="1"/>
  <c r="AN70" i="12"/>
  <c r="AO70" i="12" s="1"/>
  <c r="X86" i="8"/>
  <c r="Z86" i="8" s="1"/>
  <c r="AI86" i="8" s="1"/>
  <c r="AQ86" i="8" s="1"/>
  <c r="AR86" i="8" s="1"/>
  <c r="W86" i="8"/>
  <c r="AL53" i="12"/>
  <c r="AI53" i="12"/>
  <c r="AO53" i="12" s="1"/>
  <c r="AH262" i="12"/>
  <c r="AQ131" i="12"/>
  <c r="AB131" i="12"/>
  <c r="AC131" i="12" s="1"/>
  <c r="AP131" i="12"/>
  <c r="AR89" i="12"/>
  <c r="X141" i="8"/>
  <c r="Z141" i="8" s="1"/>
  <c r="AI141" i="8" s="1"/>
  <c r="AQ141" i="8" s="1"/>
  <c r="W141" i="8"/>
  <c r="AM21" i="12"/>
  <c r="AK21" i="12"/>
  <c r="AO21" i="12" s="1"/>
  <c r="AQ159" i="12"/>
  <c r="AB159" i="12"/>
  <c r="AC159" i="12" s="1"/>
  <c r="X159" i="12"/>
  <c r="Y159" i="12" s="1"/>
  <c r="AP159" i="12"/>
  <c r="AE159" i="12"/>
  <c r="AH159" i="12" s="1"/>
  <c r="AQ315" i="12"/>
  <c r="AP315" i="12"/>
  <c r="AR315" i="12" s="1"/>
  <c r="X315" i="12"/>
  <c r="Y315" i="12" s="1"/>
  <c r="AA315" i="12" s="1"/>
  <c r="AE315" i="12"/>
  <c r="AH315" i="12" s="1"/>
  <c r="AB315" i="12"/>
  <c r="AR297" i="8"/>
  <c r="AB13" i="12"/>
  <c r="AQ13" i="12"/>
  <c r="AP13" i="12"/>
  <c r="AR13" i="12" s="1"/>
  <c r="X13" i="12"/>
  <c r="Y13" i="12" s="1"/>
  <c r="AA13" i="12" s="1"/>
  <c r="AE13" i="12"/>
  <c r="AH13" i="12" s="1"/>
  <c r="AM352" i="12"/>
  <c r="AK352" i="12"/>
  <c r="AE264" i="12"/>
  <c r="AH264" i="12" s="1"/>
  <c r="AB264" i="12"/>
  <c r="AP264" i="12"/>
  <c r="X264" i="12"/>
  <c r="Y264" i="12" s="1"/>
  <c r="AQ264" i="12"/>
  <c r="AR100" i="12"/>
  <c r="AL345" i="12"/>
  <c r="AJ345" i="12"/>
  <c r="AR265" i="12"/>
  <c r="AQ312" i="12"/>
  <c r="AP312" i="12"/>
  <c r="AR312" i="12" s="1"/>
  <c r="X312" i="12"/>
  <c r="Y312" i="12" s="1"/>
  <c r="AA312" i="12" s="1"/>
  <c r="AE312" i="12"/>
  <c r="AH312" i="12" s="1"/>
  <c r="AB312" i="12"/>
  <c r="AL181" i="12"/>
  <c r="AK181" i="12"/>
  <c r="AO181" i="12" s="1"/>
  <c r="AN294" i="12"/>
  <c r="AO294" i="12" s="1"/>
  <c r="AM134" i="12"/>
  <c r="AK134" i="12"/>
  <c r="W346" i="8"/>
  <c r="X346" i="8"/>
  <c r="Z346" i="8" s="1"/>
  <c r="AI346" i="8" s="1"/>
  <c r="AQ346" i="8" s="1"/>
  <c r="Y262" i="12"/>
  <c r="AN293" i="12"/>
  <c r="AO293" i="12" s="1"/>
  <c r="V52" i="13"/>
  <c r="N52" i="13"/>
  <c r="U52" i="13"/>
  <c r="X52" i="13" s="1"/>
  <c r="I52" i="12" s="1"/>
  <c r="J52" i="12" s="1"/>
  <c r="M52" i="13"/>
  <c r="T52" i="13"/>
  <c r="L52" i="13"/>
  <c r="S52" i="13"/>
  <c r="K52" i="13"/>
  <c r="W52" i="13"/>
  <c r="O52" i="13"/>
  <c r="U294" i="13"/>
  <c r="M294" i="13"/>
  <c r="T294" i="13"/>
  <c r="X294" i="13" s="1"/>
  <c r="I294" i="12" s="1"/>
  <c r="J294" i="12" s="1"/>
  <c r="L294" i="13"/>
  <c r="S294" i="13"/>
  <c r="K294" i="13"/>
  <c r="W294" i="13"/>
  <c r="O294" i="13"/>
  <c r="N294" i="13"/>
  <c r="V294" i="13"/>
  <c r="S255" i="13"/>
  <c r="K255" i="13"/>
  <c r="P255" i="13" s="1"/>
  <c r="W255" i="13"/>
  <c r="O255" i="13"/>
  <c r="T255" i="13"/>
  <c r="X255" i="13" s="1"/>
  <c r="I255" i="12" s="1"/>
  <c r="J255" i="12" s="1"/>
  <c r="K255" i="12" s="1"/>
  <c r="N255" i="13"/>
  <c r="M255" i="13"/>
  <c r="L255" i="13"/>
  <c r="V255" i="13"/>
  <c r="U255" i="13"/>
  <c r="AP113" i="12"/>
  <c r="AB113" i="12"/>
  <c r="AC113" i="12" s="1"/>
  <c r="AQ113" i="12"/>
  <c r="AM190" i="12"/>
  <c r="AK190" i="12"/>
  <c r="AO110" i="12"/>
  <c r="AR221" i="12"/>
  <c r="W300" i="13"/>
  <c r="O300" i="13"/>
  <c r="V300" i="13"/>
  <c r="N300" i="13"/>
  <c r="U300" i="13"/>
  <c r="M300" i="13"/>
  <c r="T300" i="13"/>
  <c r="L300" i="13"/>
  <c r="P300" i="13" s="1"/>
  <c r="S300" i="13"/>
  <c r="X300" i="13" s="1"/>
  <c r="I300" i="12" s="1"/>
  <c r="J300" i="12" s="1"/>
  <c r="K300" i="13"/>
  <c r="AH27" i="12"/>
  <c r="W85" i="8"/>
  <c r="Z180" i="8"/>
  <c r="AI180" i="8" s="1"/>
  <c r="AQ180" i="8" s="1"/>
  <c r="AR180" i="8" s="1"/>
  <c r="AM152" i="12"/>
  <c r="AI152" i="12"/>
  <c r="AR346" i="12"/>
  <c r="AL102" i="12"/>
  <c r="AI102" i="12"/>
  <c r="D37" i="11"/>
  <c r="G37" i="11" s="1"/>
  <c r="X220" i="8"/>
  <c r="Z220" i="8" s="1"/>
  <c r="AI220" i="8" s="1"/>
  <c r="AQ220" i="8" s="1"/>
  <c r="AR220" i="8" s="1"/>
  <c r="W220" i="8"/>
  <c r="X210" i="8"/>
  <c r="Z210" i="8" s="1"/>
  <c r="AI210" i="8" s="1"/>
  <c r="AQ210" i="8" s="1"/>
  <c r="AR210" i="8" s="1"/>
  <c r="W210" i="8"/>
  <c r="X68" i="8"/>
  <c r="Z68" i="8" s="1"/>
  <c r="AI68" i="8" s="1"/>
  <c r="AQ68" i="8" s="1"/>
  <c r="AR68" i="8" s="1"/>
  <c r="W68" i="8"/>
  <c r="AP235" i="12"/>
  <c r="AQ235" i="12"/>
  <c r="AB235" i="12"/>
  <c r="AC235" i="12" s="1"/>
  <c r="S23" i="13"/>
  <c r="O23" i="13"/>
  <c r="W23" i="13"/>
  <c r="N23" i="13"/>
  <c r="V23" i="13"/>
  <c r="M23" i="13"/>
  <c r="U23" i="13"/>
  <c r="U361" i="13" s="1"/>
  <c r="L23" i="13"/>
  <c r="T23" i="13"/>
  <c r="K23" i="13"/>
  <c r="X50" i="8"/>
  <c r="Z50" i="8" s="1"/>
  <c r="AI50" i="8" s="1"/>
  <c r="AQ50" i="8" s="1"/>
  <c r="AR50" i="8" s="1"/>
  <c r="W50" i="8"/>
  <c r="X109" i="13"/>
  <c r="I109" i="12" s="1"/>
  <c r="J109" i="12" s="1"/>
  <c r="K109" i="12" s="1"/>
  <c r="AL74" i="12"/>
  <c r="AR347" i="8"/>
  <c r="D49" i="1"/>
  <c r="AL20" i="12"/>
  <c r="AK20" i="12"/>
  <c r="AC264" i="12"/>
  <c r="AI205" i="12"/>
  <c r="AO205" i="12" s="1"/>
  <c r="AE126" i="12"/>
  <c r="AH126" i="12" s="1"/>
  <c r="AQ126" i="12"/>
  <c r="AB126" i="12"/>
  <c r="AC126" i="12" s="1"/>
  <c r="AP126" i="12"/>
  <c r="X126" i="12"/>
  <c r="Y126" i="12" s="1"/>
  <c r="AB34" i="12"/>
  <c r="AQ34" i="12"/>
  <c r="X34" i="12"/>
  <c r="Y34" i="12" s="1"/>
  <c r="AA34" i="12" s="1"/>
  <c r="AP34" i="12"/>
  <c r="AR34" i="12" s="1"/>
  <c r="J8" i="11" s="1"/>
  <c r="AE34" i="12"/>
  <c r="AH34" i="12" s="1"/>
  <c r="AP220" i="12"/>
  <c r="AQ220" i="12"/>
  <c r="AE220" i="12"/>
  <c r="AH220" i="12" s="1"/>
  <c r="AB220" i="12"/>
  <c r="X220" i="12"/>
  <c r="X10" i="8"/>
  <c r="Z10" i="8" s="1"/>
  <c r="AI10" i="8" s="1"/>
  <c r="AQ10" i="8" s="1"/>
  <c r="AR10" i="8" s="1"/>
  <c r="W10" i="8"/>
  <c r="AH36" i="12"/>
  <c r="X164" i="8"/>
  <c r="Z164" i="8" s="1"/>
  <c r="AI164" i="8" s="1"/>
  <c r="AQ164" i="8" s="1"/>
  <c r="AR164" i="8" s="1"/>
  <c r="W164" i="8"/>
  <c r="AL95" i="12"/>
  <c r="AJ95" i="12"/>
  <c r="V130" i="13"/>
  <c r="M130" i="13"/>
  <c r="U130" i="13"/>
  <c r="L130" i="13"/>
  <c r="P130" i="13" s="1"/>
  <c r="T130" i="13"/>
  <c r="K130" i="13"/>
  <c r="S130" i="13"/>
  <c r="X130" i="13" s="1"/>
  <c r="I130" i="12" s="1"/>
  <c r="J130" i="12" s="1"/>
  <c r="K130" i="12" s="1"/>
  <c r="O130" i="13"/>
  <c r="W130" i="13"/>
  <c r="N130" i="13"/>
  <c r="AR327" i="8"/>
  <c r="AC262" i="12"/>
  <c r="P52" i="13"/>
  <c r="P294" i="13"/>
  <c r="D28" i="1"/>
  <c r="U43" i="13"/>
  <c r="M43" i="13"/>
  <c r="T43" i="13"/>
  <c r="L43" i="13"/>
  <c r="P43" i="13" s="1"/>
  <c r="S43" i="13"/>
  <c r="X43" i="13" s="1"/>
  <c r="I43" i="12" s="1"/>
  <c r="J43" i="12" s="1"/>
  <c r="K43" i="12" s="1"/>
  <c r="K43" i="13"/>
  <c r="W43" i="13"/>
  <c r="O43" i="13"/>
  <c r="V43" i="13"/>
  <c r="N43" i="13"/>
  <c r="W320" i="8"/>
  <c r="X320" i="8"/>
  <c r="Z320" i="8" s="1"/>
  <c r="AI320" i="8" s="1"/>
  <c r="AQ320" i="8" s="1"/>
  <c r="AR320" i="8" s="1"/>
  <c r="AN65" i="12"/>
  <c r="AO65" i="12" s="1"/>
  <c r="AR27" i="12"/>
  <c r="Z85" i="8"/>
  <c r="AI85" i="8" s="1"/>
  <c r="AQ85" i="8" s="1"/>
  <c r="AR85" i="8" s="1"/>
  <c r="AM325" i="12"/>
  <c r="AI325" i="12"/>
  <c r="AR272" i="12"/>
  <c r="AQ158" i="12"/>
  <c r="X158" i="12"/>
  <c r="Y158" i="12" s="1"/>
  <c r="AA158" i="12" s="1"/>
  <c r="AC158" i="12" s="1"/>
  <c r="AP158" i="12"/>
  <c r="AE158" i="12"/>
  <c r="AH158" i="12" s="1"/>
  <c r="AB158" i="12"/>
  <c r="AQ99" i="12"/>
  <c r="AP99" i="12"/>
  <c r="AB99" i="12"/>
  <c r="AC99" i="12" s="1"/>
  <c r="V203" i="13"/>
  <c r="N203" i="13"/>
  <c r="U203" i="13"/>
  <c r="X203" i="13" s="1"/>
  <c r="I203" i="12" s="1"/>
  <c r="J203" i="12" s="1"/>
  <c r="K203" i="12" s="1"/>
  <c r="M203" i="13"/>
  <c r="P203" i="13" s="1"/>
  <c r="T203" i="13"/>
  <c r="L203" i="13"/>
  <c r="S203" i="13"/>
  <c r="K203" i="13"/>
  <c r="W203" i="13"/>
  <c r="O203" i="13"/>
  <c r="AQ285" i="12"/>
  <c r="AP285" i="12"/>
  <c r="AR285" i="12" s="1"/>
  <c r="AE285" i="12"/>
  <c r="AH285" i="12" s="1"/>
  <c r="AB285" i="12"/>
  <c r="X285" i="12"/>
  <c r="Y285" i="12" s="1"/>
  <c r="AA285" i="12" s="1"/>
  <c r="AM244" i="12"/>
  <c r="AK244" i="12"/>
  <c r="AO244" i="12" s="1"/>
  <c r="AB304" i="12"/>
  <c r="AE304" i="12"/>
  <c r="AH304" i="12" s="1"/>
  <c r="AQ304" i="12"/>
  <c r="AP304" i="12"/>
  <c r="X304" i="12"/>
  <c r="AE85" i="12"/>
  <c r="AH85" i="12" s="1"/>
  <c r="X85" i="12"/>
  <c r="AP85" i="12"/>
  <c r="AB85" i="12"/>
  <c r="AQ85" i="12"/>
  <c r="AK187" i="12"/>
  <c r="AO187" i="12" s="1"/>
  <c r="AQ316" i="12"/>
  <c r="AP316" i="12"/>
  <c r="X316" i="12"/>
  <c r="Y316" i="12" s="1"/>
  <c r="AE316" i="12"/>
  <c r="AH316" i="12" s="1"/>
  <c r="AB316" i="12"/>
  <c r="AC316" i="12" s="1"/>
  <c r="X294" i="8"/>
  <c r="Z294" i="8" s="1"/>
  <c r="AI294" i="8" s="1"/>
  <c r="AQ294" i="8" s="1"/>
  <c r="AR294" i="8" s="1"/>
  <c r="W294" i="8"/>
  <c r="AB292" i="12"/>
  <c r="AC292" i="12" s="1"/>
  <c r="X292" i="12"/>
  <c r="Y292" i="12" s="1"/>
  <c r="AQ292" i="12"/>
  <c r="AP292" i="12"/>
  <c r="AE292" i="12"/>
  <c r="AH292" i="12" s="1"/>
  <c r="AL185" i="12"/>
  <c r="AI185" i="12"/>
  <c r="AK100" i="12"/>
  <c r="AB103" i="12"/>
  <c r="AC103" i="12" s="1"/>
  <c r="AQ103" i="12"/>
  <c r="AP103" i="12"/>
  <c r="W169" i="13"/>
  <c r="O169" i="13"/>
  <c r="V169" i="13"/>
  <c r="N169" i="13"/>
  <c r="U169" i="13"/>
  <c r="M169" i="13"/>
  <c r="T169" i="13"/>
  <c r="L169" i="13"/>
  <c r="S169" i="13"/>
  <c r="K169" i="13"/>
  <c r="P169" i="13" s="1"/>
  <c r="AR65" i="8"/>
  <c r="D12" i="1"/>
  <c r="AK359" i="12"/>
  <c r="AN359" i="12" s="1"/>
  <c r="Y206" i="12"/>
  <c r="AA206" i="12" s="1"/>
  <c r="AC206" i="12" s="1"/>
  <c r="AB290" i="12"/>
  <c r="X290" i="12"/>
  <c r="Y290" i="12" s="1"/>
  <c r="AA290" i="12" s="1"/>
  <c r="AQ290" i="12"/>
  <c r="AP290" i="12"/>
  <c r="AE290" i="12"/>
  <c r="AH290" i="12" s="1"/>
  <c r="AR92" i="8"/>
  <c r="D16" i="1"/>
  <c r="X24" i="8"/>
  <c r="Z24" i="8" s="1"/>
  <c r="AI24" i="8" s="1"/>
  <c r="AQ24" i="8" s="1"/>
  <c r="AR24" i="8" s="1"/>
  <c r="W24" i="8"/>
  <c r="W154" i="13"/>
  <c r="O154" i="13"/>
  <c r="V154" i="13"/>
  <c r="N154" i="13"/>
  <c r="U154" i="13"/>
  <c r="X154" i="13" s="1"/>
  <c r="I154" i="12" s="1"/>
  <c r="J154" i="12" s="1"/>
  <c r="K154" i="12" s="1"/>
  <c r="M154" i="13"/>
  <c r="T154" i="13"/>
  <c r="L154" i="13"/>
  <c r="S154" i="13"/>
  <c r="K154" i="13"/>
  <c r="X23" i="13"/>
  <c r="I23" i="12" s="1"/>
  <c r="J23" i="12" s="1"/>
  <c r="K23" i="12" s="1"/>
  <c r="AR32" i="8"/>
  <c r="D8" i="1"/>
  <c r="AB226" i="12"/>
  <c r="AQ226" i="12"/>
  <c r="X226" i="12"/>
  <c r="Y226" i="12" s="1"/>
  <c r="AA226" i="12" s="1"/>
  <c r="AP226" i="12"/>
  <c r="AE226" i="12"/>
  <c r="AH226" i="12" s="1"/>
  <c r="AR82" i="8"/>
  <c r="W173" i="13"/>
  <c r="N173" i="13"/>
  <c r="V173" i="13"/>
  <c r="X173" i="13" s="1"/>
  <c r="I173" i="12" s="1"/>
  <c r="J173" i="12" s="1"/>
  <c r="K173" i="12" s="1"/>
  <c r="M173" i="13"/>
  <c r="U173" i="13"/>
  <c r="L173" i="13"/>
  <c r="T173" i="13"/>
  <c r="K173" i="13"/>
  <c r="S173" i="13"/>
  <c r="O173" i="13"/>
  <c r="AL87" i="12"/>
  <c r="AI87" i="12"/>
  <c r="AR186" i="12"/>
  <c r="AR353" i="8"/>
  <c r="X188" i="13"/>
  <c r="I188" i="12" s="1"/>
  <c r="J188" i="12" s="1"/>
  <c r="K188" i="12" s="1"/>
  <c r="AE128" i="12"/>
  <c r="AH128" i="12" s="1"/>
  <c r="AB128" i="12"/>
  <c r="AQ128" i="12"/>
  <c r="AP128" i="12"/>
  <c r="X128" i="12"/>
  <c r="Y128" i="12" s="1"/>
  <c r="AA128" i="12" s="1"/>
  <c r="AC128" i="12" s="1"/>
  <c r="AM61" i="12"/>
  <c r="AO61" i="12" s="1"/>
  <c r="AK61" i="12"/>
  <c r="T50" i="13"/>
  <c r="X50" i="13" s="1"/>
  <c r="I50" i="12" s="1"/>
  <c r="J50" i="12" s="1"/>
  <c r="K50" i="12" s="1"/>
  <c r="L50" i="13"/>
  <c r="S50" i="13"/>
  <c r="K50" i="13"/>
  <c r="P50" i="13" s="1"/>
  <c r="W50" i="13"/>
  <c r="O50" i="13"/>
  <c r="V50" i="13"/>
  <c r="N50" i="13"/>
  <c r="U50" i="13"/>
  <c r="M50" i="13"/>
  <c r="AR244" i="12"/>
  <c r="AH317" i="12"/>
  <c r="AB229" i="12"/>
  <c r="AQ229" i="12"/>
  <c r="AP229" i="12"/>
  <c r="AE229" i="12"/>
  <c r="AH229" i="12" s="1"/>
  <c r="X229" i="12"/>
  <c r="Y229" i="12" s="1"/>
  <c r="AA229" i="12" s="1"/>
  <c r="AR293" i="8"/>
  <c r="X109" i="8"/>
  <c r="Z109" i="8" s="1"/>
  <c r="AI109" i="8" s="1"/>
  <c r="AQ109" i="8" s="1"/>
  <c r="W109" i="8"/>
  <c r="X188" i="8"/>
  <c r="Z188" i="8" s="1"/>
  <c r="AI188" i="8" s="1"/>
  <c r="AQ188" i="8" s="1"/>
  <c r="W188" i="8"/>
  <c r="AR202" i="8"/>
  <c r="V355" i="13"/>
  <c r="N355" i="13"/>
  <c r="U355" i="13"/>
  <c r="X355" i="13" s="1"/>
  <c r="I355" i="12" s="1"/>
  <c r="J355" i="12" s="1"/>
  <c r="K355" i="12" s="1"/>
  <c r="M355" i="13"/>
  <c r="T355" i="13"/>
  <c r="L355" i="13"/>
  <c r="S355" i="13"/>
  <c r="K355" i="13"/>
  <c r="P355" i="13" s="1"/>
  <c r="W355" i="13"/>
  <c r="O355" i="13"/>
  <c r="AL246" i="12"/>
  <c r="AI246" i="12"/>
  <c r="AO246" i="12" s="1"/>
  <c r="AJ74" i="12"/>
  <c r="AK89" i="12"/>
  <c r="AO89" i="12" s="1"/>
  <c r="X248" i="8"/>
  <c r="Z248" i="8" s="1"/>
  <c r="AI248" i="8" s="1"/>
  <c r="AQ248" i="8" s="1"/>
  <c r="AR248" i="8" s="1"/>
  <c r="W248" i="8"/>
  <c r="AH261" i="12"/>
  <c r="P154" i="13"/>
  <c r="AQ245" i="12"/>
  <c r="AB245" i="12"/>
  <c r="AP245" i="12"/>
  <c r="X245" i="12"/>
  <c r="Y245" i="12" s="1"/>
  <c r="AA245" i="12" s="1"/>
  <c r="AC245" i="12" s="1"/>
  <c r="AE245" i="12"/>
  <c r="AH245" i="12" s="1"/>
  <c r="AR75" i="12"/>
  <c r="Y261" i="12"/>
  <c r="X11" i="8"/>
  <c r="Z11" i="8" s="1"/>
  <c r="AI11" i="8" s="1"/>
  <c r="AQ11" i="8" s="1"/>
  <c r="AR11" i="8" s="1"/>
  <c r="W11" i="8"/>
  <c r="AH228" i="12"/>
  <c r="AM57" i="12"/>
  <c r="AK57" i="12"/>
  <c r="AO57" i="12" s="1"/>
  <c r="AR314" i="8"/>
  <c r="AJ282" i="12"/>
  <c r="AO282" i="12" s="1"/>
  <c r="AL314" i="12"/>
  <c r="AI314" i="12"/>
  <c r="Y304" i="12"/>
  <c r="AA304" i="12" s="1"/>
  <c r="AC304" i="12" s="1"/>
  <c r="AL119" i="12"/>
  <c r="AI119" i="12"/>
  <c r="AJ350" i="12"/>
  <c r="AO350" i="12" s="1"/>
  <c r="AR134" i="12"/>
  <c r="X166" i="8"/>
  <c r="Z166" i="8" s="1"/>
  <c r="AI166" i="8" s="1"/>
  <c r="AQ166" i="8" s="1"/>
  <c r="AR166" i="8" s="1"/>
  <c r="W166" i="8"/>
  <c r="AO130" i="12"/>
  <c r="X211" i="8"/>
  <c r="Z211" i="8" s="1"/>
  <c r="AI211" i="8" s="1"/>
  <c r="AQ211" i="8" s="1"/>
  <c r="AR211" i="8" s="1"/>
  <c r="W211" i="8"/>
  <c r="AL240" i="12"/>
  <c r="AI240" i="12"/>
  <c r="AM271" i="12"/>
  <c r="AK271" i="12"/>
  <c r="X249" i="13"/>
  <c r="I249" i="12" s="1"/>
  <c r="J249" i="12" s="1"/>
  <c r="K249" i="12" s="1"/>
  <c r="AC152" i="12"/>
  <c r="AB291" i="12"/>
  <c r="X291" i="12"/>
  <c r="Y291" i="12" s="1"/>
  <c r="AA291" i="12" s="1"/>
  <c r="AQ291" i="12"/>
  <c r="AP291" i="12"/>
  <c r="AE291" i="12"/>
  <c r="AH291" i="12" s="1"/>
  <c r="AQ257" i="12"/>
  <c r="AP257" i="12"/>
  <c r="AR257" i="12" s="1"/>
  <c r="X257" i="12"/>
  <c r="Y257" i="12" s="1"/>
  <c r="AA257" i="12" s="1"/>
  <c r="AC257" i="12" s="1"/>
  <c r="AB257" i="12"/>
  <c r="AE257" i="12"/>
  <c r="AH257" i="12" s="1"/>
  <c r="AL341" i="12"/>
  <c r="AO341" i="12" s="1"/>
  <c r="AK341" i="12"/>
  <c r="AQ148" i="12"/>
  <c r="AE148" i="12"/>
  <c r="AH148" i="12" s="1"/>
  <c r="X148" i="12"/>
  <c r="Y148" i="12" s="1"/>
  <c r="AA148" i="12" s="1"/>
  <c r="AC148" i="12" s="1"/>
  <c r="AB148" i="12"/>
  <c r="AP148" i="12"/>
  <c r="AE86" i="12"/>
  <c r="AH86" i="12" s="1"/>
  <c r="AP86" i="12"/>
  <c r="AB86" i="12"/>
  <c r="AQ86" i="12"/>
  <c r="X86" i="12"/>
  <c r="Y86" i="12" s="1"/>
  <c r="AA86" i="12" s="1"/>
  <c r="AC86" i="12" s="1"/>
  <c r="X74" i="8"/>
  <c r="Z74" i="8" s="1"/>
  <c r="AI74" i="8" s="1"/>
  <c r="AQ74" i="8" s="1"/>
  <c r="AR74" i="8" s="1"/>
  <c r="W74" i="8"/>
  <c r="AL195" i="12"/>
  <c r="AO195" i="12" s="1"/>
  <c r="AL342" i="12"/>
  <c r="AB301" i="12"/>
  <c r="AP301" i="12"/>
  <c r="X301" i="12"/>
  <c r="Y301" i="12" s="1"/>
  <c r="AA301" i="12" s="1"/>
  <c r="AE301" i="12"/>
  <c r="AH301" i="12" s="1"/>
  <c r="AQ301" i="12"/>
  <c r="AL280" i="12"/>
  <c r="AI280" i="12"/>
  <c r="O559" i="14"/>
  <c r="F5" i="11"/>
  <c r="AL231" i="12"/>
  <c r="AK231" i="12"/>
  <c r="AB326" i="12"/>
  <c r="AQ326" i="12"/>
  <c r="AP326" i="12"/>
  <c r="X326" i="12"/>
  <c r="Y326" i="12" s="1"/>
  <c r="AA326" i="12" s="1"/>
  <c r="AC326" i="12" s="1"/>
  <c r="AE326" i="12"/>
  <c r="AH326" i="12" s="1"/>
  <c r="Y320" i="12"/>
  <c r="AA320" i="12" s="1"/>
  <c r="AC320" i="12" s="1"/>
  <c r="AP236" i="12"/>
  <c r="AR236" i="12" s="1"/>
  <c r="AE236" i="12"/>
  <c r="AH236" i="12" s="1"/>
  <c r="AQ236" i="12"/>
  <c r="AB236" i="12"/>
  <c r="X236" i="12"/>
  <c r="Y236" i="12" s="1"/>
  <c r="AA236" i="12" s="1"/>
  <c r="AR253" i="8"/>
  <c r="D35" i="1"/>
  <c r="W317" i="8"/>
  <c r="X317" i="8"/>
  <c r="Z317" i="8" s="1"/>
  <c r="AI317" i="8" s="1"/>
  <c r="AQ317" i="8" s="1"/>
  <c r="AR317" i="8" s="1"/>
  <c r="Y346" i="12"/>
  <c r="AA346" i="12" s="1"/>
  <c r="AC346" i="12" s="1"/>
  <c r="X88" i="8"/>
  <c r="Z88" i="8" s="1"/>
  <c r="AI88" i="8" s="1"/>
  <c r="AQ88" i="8" s="1"/>
  <c r="W88" i="8"/>
  <c r="AC227" i="12"/>
  <c r="AM309" i="12"/>
  <c r="AJ309" i="12"/>
  <c r="Y198" i="12"/>
  <c r="AA198" i="12" s="1"/>
  <c r="AC198" i="12" s="1"/>
  <c r="AH204" i="12"/>
  <c r="AL17" i="12"/>
  <c r="AI17" i="12"/>
  <c r="AO17" i="12" s="1"/>
  <c r="AK138" i="12"/>
  <c r="AN138" i="12" s="1"/>
  <c r="AO138" i="12" s="1"/>
  <c r="Y284" i="12"/>
  <c r="AA284" i="12" s="1"/>
  <c r="AC284" i="12" s="1"/>
  <c r="X128" i="8"/>
  <c r="Z128" i="8" s="1"/>
  <c r="AI128" i="8" s="1"/>
  <c r="AQ128" i="8" s="1"/>
  <c r="W128" i="8"/>
  <c r="AL66" i="12"/>
  <c r="AI66" i="12"/>
  <c r="AR69" i="12"/>
  <c r="W249" i="13"/>
  <c r="O249" i="13"/>
  <c r="V249" i="13"/>
  <c r="N249" i="13"/>
  <c r="U249" i="13"/>
  <c r="M249" i="13"/>
  <c r="T249" i="13"/>
  <c r="L249" i="13"/>
  <c r="S249" i="13"/>
  <c r="K249" i="13"/>
  <c r="P249" i="13" s="1"/>
  <c r="D41" i="1"/>
  <c r="W144" i="8"/>
  <c r="W248" i="13"/>
  <c r="O248" i="13"/>
  <c r="V248" i="13"/>
  <c r="N248" i="13"/>
  <c r="U248" i="13"/>
  <c r="M248" i="13"/>
  <c r="T248" i="13"/>
  <c r="L248" i="13"/>
  <c r="S248" i="13"/>
  <c r="X248" i="13" s="1"/>
  <c r="I248" i="12" s="1"/>
  <c r="J248" i="12" s="1"/>
  <c r="K248" i="12" s="1"/>
  <c r="K248" i="13"/>
  <c r="P248" i="13" s="1"/>
  <c r="AL88" i="12"/>
  <c r="AJ88" i="12"/>
  <c r="AP223" i="12"/>
  <c r="AB223" i="12"/>
  <c r="X223" i="12"/>
  <c r="Y223" i="12" s="1"/>
  <c r="AA223" i="12" s="1"/>
  <c r="AE223" i="12"/>
  <c r="AH223" i="12" s="1"/>
  <c r="AQ223" i="12"/>
  <c r="AE62" i="12"/>
  <c r="AH62" i="12" s="1"/>
  <c r="AB62" i="12"/>
  <c r="AQ62" i="12"/>
  <c r="AP62" i="12"/>
  <c r="X62" i="12"/>
  <c r="Y62" i="12" s="1"/>
  <c r="AA62" i="12" s="1"/>
  <c r="AC62" i="12" s="1"/>
  <c r="AH306" i="12"/>
  <c r="X334" i="8"/>
  <c r="Z334" i="8" s="1"/>
  <c r="AI334" i="8" s="1"/>
  <c r="AQ334" i="8" s="1"/>
  <c r="W334" i="8"/>
  <c r="Y15" i="12"/>
  <c r="AA15" i="12" s="1"/>
  <c r="AC15" i="12" s="1"/>
  <c r="AQ35" i="12"/>
  <c r="X35" i="12"/>
  <c r="Y35" i="12" s="1"/>
  <c r="AA35" i="12" s="1"/>
  <c r="AP35" i="12"/>
  <c r="AE35" i="12"/>
  <c r="AH35" i="12" s="1"/>
  <c r="AB35" i="12"/>
  <c r="AB163" i="12"/>
  <c r="AP163" i="12"/>
  <c r="X163" i="12"/>
  <c r="Y163" i="12" s="1"/>
  <c r="AA163" i="12" s="1"/>
  <c r="AQ163" i="12"/>
  <c r="AE163" i="12"/>
  <c r="AH163" i="12" s="1"/>
  <c r="W10" i="13"/>
  <c r="O10" i="13"/>
  <c r="O361" i="13" s="1"/>
  <c r="V10" i="13"/>
  <c r="X10" i="13" s="1"/>
  <c r="N10" i="13"/>
  <c r="U10" i="13"/>
  <c r="M10" i="13"/>
  <c r="M361" i="13" s="1"/>
  <c r="T10" i="13"/>
  <c r="T361" i="13" s="1"/>
  <c r="L10" i="13"/>
  <c r="L361" i="13" s="1"/>
  <c r="S10" i="13"/>
  <c r="S361" i="13" s="1"/>
  <c r="K10" i="13"/>
  <c r="P10" i="13" s="1"/>
  <c r="S216" i="13"/>
  <c r="X216" i="13" s="1"/>
  <c r="I216" i="12" s="1"/>
  <c r="J216" i="12" s="1"/>
  <c r="K216" i="13"/>
  <c r="W216" i="13"/>
  <c r="O216" i="13"/>
  <c r="V216" i="13"/>
  <c r="N216" i="13"/>
  <c r="U216" i="13"/>
  <c r="M216" i="13"/>
  <c r="L216" i="13"/>
  <c r="P216" i="13" s="1"/>
  <c r="T216" i="13"/>
  <c r="AP37" i="12"/>
  <c r="X37" i="12"/>
  <c r="Y37" i="12" s="1"/>
  <c r="AQ37" i="12"/>
  <c r="AE37" i="12"/>
  <c r="AH37" i="12" s="1"/>
  <c r="AB37" i="12"/>
  <c r="AC37" i="12" s="1"/>
  <c r="P173" i="13"/>
  <c r="AJ358" i="12"/>
  <c r="AN358" i="12" s="1"/>
  <c r="AO358" i="12" s="1"/>
  <c r="I5" i="12"/>
  <c r="W354" i="8"/>
  <c r="X354" i="8"/>
  <c r="Z354" i="8" s="1"/>
  <c r="AI354" i="8" s="1"/>
  <c r="AQ354" i="8" s="1"/>
  <c r="AR354" i="8" s="1"/>
  <c r="AR267" i="12"/>
  <c r="AK186" i="12"/>
  <c r="AO186" i="12" s="1"/>
  <c r="AH15" i="12"/>
  <c r="W25" i="13"/>
  <c r="N25" i="13"/>
  <c r="V25" i="13"/>
  <c r="M25" i="13"/>
  <c r="P25" i="13" s="1"/>
  <c r="U25" i="13"/>
  <c r="L25" i="13"/>
  <c r="T25" i="13"/>
  <c r="K25" i="13"/>
  <c r="S25" i="13"/>
  <c r="O25" i="13"/>
  <c r="Y85" i="12"/>
  <c r="AA85" i="12" s="1"/>
  <c r="AC85" i="12" s="1"/>
  <c r="W328" i="13"/>
  <c r="O328" i="13"/>
  <c r="V328" i="13"/>
  <c r="N328" i="13"/>
  <c r="S328" i="13"/>
  <c r="X328" i="13" s="1"/>
  <c r="I328" i="12" s="1"/>
  <c r="J328" i="12" s="1"/>
  <c r="K328" i="12" s="1"/>
  <c r="K328" i="13"/>
  <c r="M328" i="13"/>
  <c r="P328" i="13" s="1"/>
  <c r="L328" i="13"/>
  <c r="U328" i="13"/>
  <c r="T328" i="13"/>
  <c r="AL46" i="12"/>
  <c r="AI46" i="12"/>
  <c r="AR262" i="12"/>
  <c r="Y220" i="12"/>
  <c r="AA220" i="12" s="1"/>
  <c r="AC220" i="12" s="1"/>
  <c r="AL268" i="12"/>
  <c r="AB250" i="12"/>
  <c r="AP250" i="12"/>
  <c r="AR250" i="12" s="1"/>
  <c r="X250" i="12"/>
  <c r="Y250" i="12" s="1"/>
  <c r="AA250" i="12" s="1"/>
  <c r="AE250" i="12"/>
  <c r="AH250" i="12" s="1"/>
  <c r="AQ250" i="12"/>
  <c r="Y296" i="12"/>
  <c r="AA296" i="12" s="1"/>
  <c r="AC296" i="12" s="1"/>
  <c r="AL114" i="12"/>
  <c r="AK114" i="12"/>
  <c r="AH141" i="12"/>
  <c r="AR113" i="8"/>
  <c r="D21" i="1"/>
  <c r="X52" i="8"/>
  <c r="Z52" i="8" s="1"/>
  <c r="AI52" i="8" s="1"/>
  <c r="AQ52" i="8" s="1"/>
  <c r="AR52" i="8" s="1"/>
  <c r="W52" i="8"/>
  <c r="AQ202" i="12"/>
  <c r="AP202" i="12"/>
  <c r="AE202" i="12"/>
  <c r="AH202" i="12" s="1"/>
  <c r="AB202" i="12"/>
  <c r="X202" i="12"/>
  <c r="Y202" i="12" s="1"/>
  <c r="AA202" i="12" s="1"/>
  <c r="AC187" i="12"/>
  <c r="AH300" i="12"/>
  <c r="AP218" i="12"/>
  <c r="AQ218" i="12"/>
  <c r="AE218" i="12"/>
  <c r="AH218" i="12" s="1"/>
  <c r="AB218" i="12"/>
  <c r="X218" i="12"/>
  <c r="Y218" i="12" s="1"/>
  <c r="AA218" i="12" s="1"/>
  <c r="T24" i="13"/>
  <c r="L24" i="13"/>
  <c r="S24" i="13"/>
  <c r="K24" i="13"/>
  <c r="W24" i="13"/>
  <c r="O24" i="13"/>
  <c r="P24" i="13" s="1"/>
  <c r="V24" i="13"/>
  <c r="X24" i="13" s="1"/>
  <c r="I24" i="12" s="1"/>
  <c r="J24" i="12" s="1"/>
  <c r="N24" i="13"/>
  <c r="U24" i="13"/>
  <c r="M24" i="13"/>
  <c r="AM71" i="12"/>
  <c r="AK71" i="12"/>
  <c r="X342" i="8"/>
  <c r="Z342" i="8" s="1"/>
  <c r="AI342" i="8" s="1"/>
  <c r="AQ342" i="8" s="1"/>
  <c r="W342" i="8"/>
  <c r="U14" i="13"/>
  <c r="M14" i="13"/>
  <c r="T14" i="13"/>
  <c r="X14" i="13" s="1"/>
  <c r="I14" i="12" s="1"/>
  <c r="J14" i="12" s="1"/>
  <c r="K14" i="12" s="1"/>
  <c r="L14" i="13"/>
  <c r="S14" i="13"/>
  <c r="K14" i="13"/>
  <c r="P14" i="13" s="1"/>
  <c r="W14" i="13"/>
  <c r="W361" i="13" s="1"/>
  <c r="O14" i="13"/>
  <c r="V14" i="13"/>
  <c r="N14" i="13"/>
  <c r="U51" i="13"/>
  <c r="M51" i="13"/>
  <c r="T51" i="13"/>
  <c r="L51" i="13"/>
  <c r="S51" i="13"/>
  <c r="X51" i="13" s="1"/>
  <c r="I51" i="12" s="1"/>
  <c r="J51" i="12" s="1"/>
  <c r="K51" i="12" s="1"/>
  <c r="K51" i="13"/>
  <c r="W51" i="13"/>
  <c r="O51" i="13"/>
  <c r="V51" i="13"/>
  <c r="N51" i="13"/>
  <c r="AL132" i="12"/>
  <c r="AJ132" i="12"/>
  <c r="W302" i="13"/>
  <c r="O302" i="13"/>
  <c r="V302" i="13"/>
  <c r="N302" i="13"/>
  <c r="U302" i="13"/>
  <c r="X302" i="13" s="1"/>
  <c r="I302" i="12" s="1"/>
  <c r="J302" i="12" s="1"/>
  <c r="K302" i="12" s="1"/>
  <c r="M302" i="13"/>
  <c r="P302" i="13" s="1"/>
  <c r="T302" i="13"/>
  <c r="L302" i="13"/>
  <c r="S302" i="13"/>
  <c r="K302" i="13"/>
  <c r="AK287" i="12"/>
  <c r="AR357" i="8"/>
  <c r="D52" i="1"/>
  <c r="AJ258" i="12"/>
  <c r="AO258" i="12" s="1"/>
  <c r="AR105" i="12"/>
  <c r="AM278" i="12"/>
  <c r="AI278" i="12"/>
  <c r="W328" i="8"/>
  <c r="X328" i="8"/>
  <c r="Z328" i="8" s="1"/>
  <c r="AI328" i="8" s="1"/>
  <c r="AQ328" i="8" s="1"/>
  <c r="AR328" i="8" s="1"/>
  <c r="W23" i="8"/>
  <c r="X23" i="8"/>
  <c r="Z23" i="8" s="1"/>
  <c r="AI23" i="8" s="1"/>
  <c r="AQ23" i="8" s="1"/>
  <c r="V68" i="13"/>
  <c r="N68" i="13"/>
  <c r="U68" i="13"/>
  <c r="M68" i="13"/>
  <c r="T68" i="13"/>
  <c r="L68" i="13"/>
  <c r="S68" i="13"/>
  <c r="X68" i="13" s="1"/>
  <c r="I68" i="12" s="1"/>
  <c r="J68" i="12" s="1"/>
  <c r="K68" i="12" s="1"/>
  <c r="K68" i="13"/>
  <c r="W68" i="13"/>
  <c r="O68" i="13"/>
  <c r="AH169" i="12"/>
  <c r="T195" i="13"/>
  <c r="L195" i="13"/>
  <c r="S195" i="13"/>
  <c r="K195" i="13"/>
  <c r="N195" i="13"/>
  <c r="M195" i="13"/>
  <c r="P195" i="13" s="1"/>
  <c r="W195" i="13"/>
  <c r="X195" i="13" s="1"/>
  <c r="I195" i="12" s="1"/>
  <c r="J195" i="12" s="1"/>
  <c r="V195" i="13"/>
  <c r="U195" i="13"/>
  <c r="O195" i="13"/>
  <c r="AM227" i="12"/>
  <c r="AO227" i="12" s="1"/>
  <c r="AK227" i="12"/>
  <c r="AN270" i="12"/>
  <c r="AO270" i="12" s="1"/>
  <c r="AC97" i="12"/>
  <c r="AH93" i="12"/>
  <c r="AR55" i="12"/>
  <c r="W284" i="8"/>
  <c r="W311" i="8"/>
  <c r="Z144" i="8"/>
  <c r="AI144" i="8" s="1"/>
  <c r="AQ144" i="8" s="1"/>
  <c r="W295" i="8"/>
  <c r="X106" i="13"/>
  <c r="I106" i="12" s="1"/>
  <c r="J106" i="12" s="1"/>
  <c r="W109" i="13"/>
  <c r="N109" i="13"/>
  <c r="U109" i="13"/>
  <c r="L109" i="13"/>
  <c r="T109" i="13"/>
  <c r="K109" i="13"/>
  <c r="P109" i="13" s="1"/>
  <c r="O109" i="13"/>
  <c r="V109" i="13"/>
  <c r="S109" i="13"/>
  <c r="M109" i="13"/>
  <c r="X18" i="13"/>
  <c r="I18" i="12" s="1"/>
  <c r="J18" i="12" s="1"/>
  <c r="K18" i="12" s="1"/>
  <c r="X228" i="13"/>
  <c r="I228" i="12" s="1"/>
  <c r="J228" i="12" s="1"/>
  <c r="AB84" i="12"/>
  <c r="AC84" i="12" s="1"/>
  <c r="AP84" i="12"/>
  <c r="AQ84" i="12"/>
  <c r="AQ22" i="12"/>
  <c r="AE22" i="12"/>
  <c r="AH22" i="12" s="1"/>
  <c r="AB22" i="12"/>
  <c r="AC22" i="12" s="1"/>
  <c r="AP22" i="12"/>
  <c r="AR22" i="12" s="1"/>
  <c r="X22" i="12"/>
  <c r="Y22" i="12" s="1"/>
  <c r="AP213" i="12"/>
  <c r="X213" i="12"/>
  <c r="Y213" i="12" s="1"/>
  <c r="AA213" i="12" s="1"/>
  <c r="AQ213" i="12"/>
  <c r="AE213" i="12"/>
  <c r="AH213" i="12" s="1"/>
  <c r="AB213" i="12"/>
  <c r="AB324" i="12"/>
  <c r="AC324" i="12" s="1"/>
  <c r="AE324" i="12"/>
  <c r="AH324" i="12" s="1"/>
  <c r="AQ324" i="12"/>
  <c r="X324" i="12"/>
  <c r="Y324" i="12" s="1"/>
  <c r="AP324" i="12"/>
  <c r="R361" i="13"/>
  <c r="AQ206" i="12"/>
  <c r="X206" i="12"/>
  <c r="AP206" i="12"/>
  <c r="AE206" i="12"/>
  <c r="AH206" i="12" s="1"/>
  <c r="AB206" i="12"/>
  <c r="S259" i="13"/>
  <c r="X259" i="13" s="1"/>
  <c r="I259" i="12" s="1"/>
  <c r="J259" i="12" s="1"/>
  <c r="K259" i="12" s="1"/>
  <c r="V259" i="13"/>
  <c r="M259" i="13"/>
  <c r="U259" i="13"/>
  <c r="L259" i="13"/>
  <c r="K259" i="13"/>
  <c r="W259" i="13"/>
  <c r="T259" i="13"/>
  <c r="O259" i="13"/>
  <c r="N259" i="13"/>
  <c r="P259" i="13" s="1"/>
  <c r="W234" i="13"/>
  <c r="O234" i="13"/>
  <c r="V234" i="13"/>
  <c r="N234" i="13"/>
  <c r="U234" i="13"/>
  <c r="M234" i="13"/>
  <c r="T234" i="13"/>
  <c r="X234" i="13" s="1"/>
  <c r="I234" i="12" s="1"/>
  <c r="J234" i="12" s="1"/>
  <c r="K234" i="12" s="1"/>
  <c r="L234" i="13"/>
  <c r="S234" i="13"/>
  <c r="K234" i="13"/>
  <c r="P234" i="13" s="1"/>
  <c r="AM40" i="12"/>
  <c r="AI40" i="12"/>
  <c r="T347" i="13"/>
  <c r="L347" i="13"/>
  <c r="S347" i="13"/>
  <c r="X347" i="13" s="1"/>
  <c r="I347" i="12" s="1"/>
  <c r="J347" i="12" s="1"/>
  <c r="K347" i="12" s="1"/>
  <c r="K347" i="13"/>
  <c r="W347" i="13"/>
  <c r="O347" i="13"/>
  <c r="V347" i="13"/>
  <c r="N347" i="13"/>
  <c r="M347" i="13"/>
  <c r="U347" i="13"/>
  <c r="W334" i="13"/>
  <c r="O334" i="13"/>
  <c r="U334" i="13"/>
  <c r="M334" i="13"/>
  <c r="T334" i="13"/>
  <c r="X334" i="13" s="1"/>
  <c r="I334" i="12" s="1"/>
  <c r="J334" i="12" s="1"/>
  <c r="L334" i="13"/>
  <c r="N334" i="13"/>
  <c r="K334" i="13"/>
  <c r="P334" i="13" s="1"/>
  <c r="V334" i="13"/>
  <c r="S334" i="13"/>
  <c r="AR268" i="8"/>
  <c r="D38" i="1"/>
  <c r="AL242" i="12"/>
  <c r="AJ242" i="12"/>
  <c r="AO242" i="12" s="1"/>
  <c r="W276" i="13"/>
  <c r="O276" i="13"/>
  <c r="V276" i="13"/>
  <c r="N276" i="13"/>
  <c r="U276" i="13"/>
  <c r="M276" i="13"/>
  <c r="T276" i="13"/>
  <c r="L276" i="13"/>
  <c r="S276" i="13"/>
  <c r="X276" i="13" s="1"/>
  <c r="I276" i="12" s="1"/>
  <c r="J276" i="12" s="1"/>
  <c r="K276" i="13"/>
  <c r="P276" i="13" s="1"/>
  <c r="AC61" i="12"/>
  <c r="AM133" i="12"/>
  <c r="AK133" i="12"/>
  <c r="W204" i="13"/>
  <c r="O204" i="13"/>
  <c r="V204" i="13"/>
  <c r="N204" i="13"/>
  <c r="P204" i="13" s="1"/>
  <c r="U204" i="13"/>
  <c r="M204" i="13"/>
  <c r="T204" i="13"/>
  <c r="L204" i="13"/>
  <c r="S204" i="13"/>
  <c r="X204" i="13" s="1"/>
  <c r="I204" i="12" s="1"/>
  <c r="J204" i="12" s="1"/>
  <c r="K204" i="13"/>
  <c r="AQ147" i="12"/>
  <c r="AP147" i="12"/>
  <c r="AB147" i="12"/>
  <c r="AE147" i="12"/>
  <c r="AH147" i="12" s="1"/>
  <c r="X147" i="12"/>
  <c r="Y147" i="12" s="1"/>
  <c r="AA147" i="12" s="1"/>
  <c r="AR72" i="8"/>
  <c r="D13" i="1"/>
  <c r="AE193" i="12"/>
  <c r="AH193" i="12" s="1"/>
  <c r="AB193" i="12"/>
  <c r="AP193" i="12"/>
  <c r="AR193" i="12" s="1"/>
  <c r="X193" i="12"/>
  <c r="Y193" i="12" s="1"/>
  <c r="AA193" i="12" s="1"/>
  <c r="AQ193" i="12"/>
  <c r="AH311" i="12"/>
  <c r="P51" i="13"/>
  <c r="X91" i="8"/>
  <c r="Z91" i="8" s="1"/>
  <c r="AI91" i="8" s="1"/>
  <c r="AQ91" i="8" s="1"/>
  <c r="AR91" i="8" s="1"/>
  <c r="W91" i="8"/>
  <c r="X204" i="8"/>
  <c r="Z204" i="8" s="1"/>
  <c r="AI204" i="8" s="1"/>
  <c r="AQ204" i="8" s="1"/>
  <c r="AR204" i="8" s="1"/>
  <c r="W204" i="8"/>
  <c r="AL106" i="12"/>
  <c r="AN106" i="12" s="1"/>
  <c r="V166" i="13"/>
  <c r="N166" i="13"/>
  <c r="U166" i="13"/>
  <c r="M166" i="13"/>
  <c r="T166" i="13"/>
  <c r="L166" i="13"/>
  <c r="S166" i="13"/>
  <c r="K166" i="13"/>
  <c r="P166" i="13" s="1"/>
  <c r="W166" i="13"/>
  <c r="O166" i="13"/>
  <c r="AR239" i="8"/>
  <c r="D33" i="1"/>
  <c r="AL58" i="12"/>
  <c r="AK58" i="12"/>
  <c r="P68" i="13"/>
  <c r="AR276" i="8"/>
  <c r="D39" i="1"/>
  <c r="S194" i="13"/>
  <c r="K194" i="13"/>
  <c r="W194" i="13"/>
  <c r="O194" i="13"/>
  <c r="V194" i="13"/>
  <c r="U194" i="13"/>
  <c r="T194" i="13"/>
  <c r="N194" i="13"/>
  <c r="M194" i="13"/>
  <c r="P194" i="13" s="1"/>
  <c r="L194" i="13"/>
  <c r="AH221" i="12"/>
  <c r="Y97" i="12"/>
  <c r="AM55" i="12"/>
  <c r="AJ55" i="12"/>
  <c r="AR234" i="8"/>
  <c r="D32" i="1"/>
  <c r="Z311" i="8"/>
  <c r="AI311" i="8" s="1"/>
  <c r="AQ311" i="8" s="1"/>
  <c r="AR311" i="8" s="1"/>
  <c r="Z295" i="8"/>
  <c r="AI295" i="8" s="1"/>
  <c r="AQ295" i="8" s="1"/>
  <c r="AR295" i="8" s="1"/>
  <c r="AB26" i="12"/>
  <c r="AC26" i="12" s="1"/>
  <c r="AQ26" i="12"/>
  <c r="AP26" i="12"/>
  <c r="P23" i="13"/>
  <c r="AJ44" i="12"/>
  <c r="AO44" i="12" s="1"/>
  <c r="AQ335" i="12"/>
  <c r="AP335" i="12"/>
  <c r="AB335" i="12"/>
  <c r="X335" i="12"/>
  <c r="Y335" i="12" s="1"/>
  <c r="AA335" i="12" s="1"/>
  <c r="AE335" i="12"/>
  <c r="AH335" i="12" s="1"/>
  <c r="W106" i="13"/>
  <c r="O106" i="13"/>
  <c r="U106" i="13"/>
  <c r="M106" i="13"/>
  <c r="T106" i="13"/>
  <c r="L106" i="13"/>
  <c r="S106" i="13"/>
  <c r="K106" i="13"/>
  <c r="V106" i="13"/>
  <c r="N106" i="13"/>
  <c r="N361" i="13" s="1"/>
  <c r="AE176" i="12"/>
  <c r="AH176" i="12" s="1"/>
  <c r="X176" i="12"/>
  <c r="Y176" i="12" s="1"/>
  <c r="AA176" i="12" s="1"/>
  <c r="AC176" i="12" s="1"/>
  <c r="AQ176" i="12"/>
  <c r="AP176" i="12"/>
  <c r="AB176" i="12"/>
  <c r="X25" i="13"/>
  <c r="I25" i="12" s="1"/>
  <c r="J25" i="12" s="1"/>
  <c r="K25" i="12" s="1"/>
  <c r="AQ251" i="12"/>
  <c r="AP251" i="12"/>
  <c r="AR251" i="12" s="1"/>
  <c r="X251" i="12"/>
  <c r="Y251" i="12" s="1"/>
  <c r="AA251" i="12" s="1"/>
  <c r="AB251" i="12"/>
  <c r="AE251" i="12"/>
  <c r="AH251" i="12" s="1"/>
  <c r="AQ339" i="12"/>
  <c r="AP339" i="12"/>
  <c r="AB339" i="12"/>
  <c r="AE339" i="12"/>
  <c r="AH339" i="12" s="1"/>
  <c r="X339" i="12"/>
  <c r="Y339" i="12" s="1"/>
  <c r="AA339" i="12" s="1"/>
  <c r="AE41" i="12"/>
  <c r="AH41" i="12" s="1"/>
  <c r="AP41" i="12"/>
  <c r="AB41" i="12"/>
  <c r="X41" i="12"/>
  <c r="Y41" i="12" s="1"/>
  <c r="AA41" i="12" s="1"/>
  <c r="AQ41" i="12"/>
  <c r="AP80" i="12"/>
  <c r="AB80" i="12"/>
  <c r="AQ80" i="12"/>
  <c r="AE80" i="12"/>
  <c r="AH80" i="12" s="1"/>
  <c r="X80" i="12"/>
  <c r="Y80" i="12" s="1"/>
  <c r="AA80" i="12" s="1"/>
  <c r="AC80" i="12" s="1"/>
  <c r="D30" i="1"/>
  <c r="V269" i="13"/>
  <c r="N269" i="13"/>
  <c r="P269" i="13" s="1"/>
  <c r="U269" i="13"/>
  <c r="M269" i="13"/>
  <c r="T269" i="13"/>
  <c r="L269" i="13"/>
  <c r="S269" i="13"/>
  <c r="X269" i="13" s="1"/>
  <c r="I269" i="12" s="1"/>
  <c r="J269" i="12" s="1"/>
  <c r="K269" i="12" s="1"/>
  <c r="K269" i="13"/>
  <c r="W269" i="13"/>
  <c r="O269" i="13"/>
  <c r="P106" i="13"/>
  <c r="AH129" i="12"/>
  <c r="Z5" i="8"/>
  <c r="U210" i="13"/>
  <c r="M210" i="13"/>
  <c r="T210" i="13"/>
  <c r="L210" i="13"/>
  <c r="S210" i="13"/>
  <c r="X210" i="13" s="1"/>
  <c r="I210" i="12" s="1"/>
  <c r="J210" i="12" s="1"/>
  <c r="K210" i="13"/>
  <c r="P210" i="13" s="1"/>
  <c r="W210" i="13"/>
  <c r="O210" i="13"/>
  <c r="V210" i="13"/>
  <c r="N210" i="13"/>
  <c r="AM267" i="12"/>
  <c r="AK267" i="12"/>
  <c r="W247" i="13"/>
  <c r="O247" i="13"/>
  <c r="V247" i="13"/>
  <c r="N247" i="13"/>
  <c r="U247" i="13"/>
  <c r="M247" i="13"/>
  <c r="T247" i="13"/>
  <c r="L247" i="13"/>
  <c r="S247" i="13"/>
  <c r="X247" i="13" s="1"/>
  <c r="I247" i="12" s="1"/>
  <c r="J247" i="12" s="1"/>
  <c r="K247" i="12" s="1"/>
  <c r="K247" i="13"/>
  <c r="P247" i="13" s="1"/>
  <c r="AH52" i="12"/>
  <c r="AR15" i="12"/>
  <c r="AH24" i="12"/>
  <c r="AM284" i="12"/>
  <c r="AK284" i="12"/>
  <c r="AE54" i="12"/>
  <c r="AH54" i="12" s="1"/>
  <c r="AQ54" i="12"/>
  <c r="AB54" i="12"/>
  <c r="AP54" i="12"/>
  <c r="X54" i="12"/>
  <c r="Y54" i="12" s="1"/>
  <c r="AA54" i="12" s="1"/>
  <c r="AC54" i="12" s="1"/>
  <c r="X14" i="8"/>
  <c r="Z14" i="8" s="1"/>
  <c r="AI14" i="8" s="1"/>
  <c r="AQ14" i="8" s="1"/>
  <c r="AR14" i="8" s="1"/>
  <c r="W14" i="8"/>
  <c r="U268" i="13"/>
  <c r="M268" i="13"/>
  <c r="T268" i="13"/>
  <c r="L268" i="13"/>
  <c r="S268" i="13"/>
  <c r="X268" i="13" s="1"/>
  <c r="I268" i="12" s="1"/>
  <c r="J268" i="12" s="1"/>
  <c r="K268" i="13"/>
  <c r="P268" i="13" s="1"/>
  <c r="W268" i="13"/>
  <c r="O268" i="13"/>
  <c r="V268" i="13"/>
  <c r="N268" i="13"/>
  <c r="AE238" i="12"/>
  <c r="AH238" i="12" s="1"/>
  <c r="AB238" i="12"/>
  <c r="AC238" i="12" s="1"/>
  <c r="D33" i="11" s="1"/>
  <c r="G33" i="11" s="1"/>
  <c r="AQ238" i="12"/>
  <c r="X238" i="12"/>
  <c r="Y238" i="12" s="1"/>
  <c r="AP238" i="12"/>
  <c r="AQ197" i="12"/>
  <c r="X197" i="12"/>
  <c r="Y197" i="12" s="1"/>
  <c r="AA197" i="12" s="1"/>
  <c r="AC197" i="12" s="1"/>
  <c r="AE197" i="12"/>
  <c r="AH197" i="12" s="1"/>
  <c r="AB197" i="12"/>
  <c r="AP197" i="12"/>
  <c r="D10" i="1"/>
  <c r="P347" i="13"/>
  <c r="AI353" i="12"/>
  <c r="AN353" i="12" s="1"/>
  <c r="AB303" i="12"/>
  <c r="AE303" i="12"/>
  <c r="AH303" i="12" s="1"/>
  <c r="AQ303" i="12"/>
  <c r="AP303" i="12"/>
  <c r="X303" i="12"/>
  <c r="Y303" i="12" s="1"/>
  <c r="AA303" i="12" s="1"/>
  <c r="AO259" i="12"/>
  <c r="AM75" i="12"/>
  <c r="AJ75" i="12"/>
  <c r="AO75" i="12" s="1"/>
  <c r="AB256" i="12"/>
  <c r="AQ256" i="12"/>
  <c r="AP256" i="12"/>
  <c r="X256" i="12"/>
  <c r="Y256" i="12" s="1"/>
  <c r="AA256" i="12" s="1"/>
  <c r="AE256" i="12"/>
  <c r="AH256" i="12" s="1"/>
  <c r="AH194" i="12"/>
  <c r="AL127" i="12"/>
  <c r="AI127" i="12"/>
  <c r="AO127" i="12" s="1"/>
  <c r="AE281" i="12"/>
  <c r="AH281" i="12" s="1"/>
  <c r="AQ281" i="12"/>
  <c r="AP281" i="12"/>
  <c r="X281" i="12"/>
  <c r="Y281" i="12" s="1"/>
  <c r="AA281" i="12" s="1"/>
  <c r="AB281" i="12"/>
  <c r="AB11" i="12"/>
  <c r="AC11" i="12" s="1"/>
  <c r="AQ11" i="12"/>
  <c r="AP11" i="12"/>
  <c r="AR11" i="12" s="1"/>
  <c r="X11" i="12"/>
  <c r="Y11" i="12" s="1"/>
  <c r="AE11" i="12"/>
  <c r="AH11" i="12" s="1"/>
  <c r="T116" i="13"/>
  <c r="L116" i="13"/>
  <c r="S116" i="13"/>
  <c r="K116" i="13"/>
  <c r="P116" i="13" s="1"/>
  <c r="W116" i="13"/>
  <c r="O116" i="13"/>
  <c r="V116" i="13"/>
  <c r="X116" i="13" s="1"/>
  <c r="I116" i="12" s="1"/>
  <c r="J116" i="12" s="1"/>
  <c r="K116" i="12" s="1"/>
  <c r="N116" i="13"/>
  <c r="U116" i="13"/>
  <c r="M116" i="13"/>
  <c r="AL313" i="12"/>
  <c r="AK313" i="12"/>
  <c r="X169" i="13"/>
  <c r="I169" i="12" s="1"/>
  <c r="J169" i="12" s="1"/>
  <c r="AL233" i="12"/>
  <c r="AK233" i="12"/>
  <c r="Y133" i="12"/>
  <c r="AA133" i="12" s="1"/>
  <c r="AC133" i="12" s="1"/>
  <c r="AM253" i="12"/>
  <c r="AK253" i="12"/>
  <c r="X148" i="8"/>
  <c r="Z148" i="8" s="1"/>
  <c r="AI148" i="8" s="1"/>
  <c r="AQ148" i="8" s="1"/>
  <c r="AR148" i="8" s="1"/>
  <c r="W148" i="8"/>
  <c r="X116" i="8"/>
  <c r="Z116" i="8" s="1"/>
  <c r="AI116" i="8" s="1"/>
  <c r="AQ116" i="8" s="1"/>
  <c r="W116" i="8"/>
  <c r="Y221" i="12"/>
  <c r="AA221" i="12" s="1"/>
  <c r="AC221" i="12" s="1"/>
  <c r="AR106" i="8"/>
  <c r="D19" i="1"/>
  <c r="AM191" i="12"/>
  <c r="AK191" i="12"/>
  <c r="AH69" i="12"/>
  <c r="AR271" i="12"/>
  <c r="U354" i="13"/>
  <c r="L354" i="13"/>
  <c r="T354" i="13"/>
  <c r="K354" i="13"/>
  <c r="P354" i="13" s="1"/>
  <c r="S354" i="13"/>
  <c r="X354" i="13" s="1"/>
  <c r="I354" i="12" s="1"/>
  <c r="J354" i="12" s="1"/>
  <c r="K354" i="12" s="1"/>
  <c r="O354" i="13"/>
  <c r="W354" i="13"/>
  <c r="N354" i="13"/>
  <c r="V354" i="13"/>
  <c r="M354" i="13"/>
  <c r="W264" i="8"/>
  <c r="AH346" i="12"/>
  <c r="AM263" i="12"/>
  <c r="AK263" i="12"/>
  <c r="AO263" i="12" s="1"/>
  <c r="K23" i="11" l="1"/>
  <c r="F23" i="1" s="1"/>
  <c r="H23" i="1" s="1"/>
  <c r="AO55" i="12"/>
  <c r="AO40" i="12"/>
  <c r="AK198" i="12"/>
  <c r="AL216" i="12"/>
  <c r="AO216" i="12" s="1"/>
  <c r="AO231" i="12"/>
  <c r="AK180" i="12"/>
  <c r="AO180" i="12" s="1"/>
  <c r="AO309" i="12"/>
  <c r="AO95" i="12"/>
  <c r="AO132" i="12"/>
  <c r="AO198" i="12"/>
  <c r="AO240" i="12"/>
  <c r="AO88" i="12"/>
  <c r="AO119" i="12"/>
  <c r="AO74" i="12"/>
  <c r="AO284" i="12"/>
  <c r="AO133" i="12"/>
  <c r="AO185" i="12"/>
  <c r="AN352" i="12"/>
  <c r="AN66" i="12"/>
  <c r="AO66" i="12" s="1"/>
  <c r="AO314" i="12"/>
  <c r="AO278" i="12"/>
  <c r="AO174" i="12"/>
  <c r="AO87" i="12"/>
  <c r="AO359" i="12"/>
  <c r="AO325" i="12"/>
  <c r="AN345" i="12"/>
  <c r="AO345" i="12" s="1"/>
  <c r="AO172" i="12"/>
  <c r="AC199" i="12"/>
  <c r="AR320" i="12"/>
  <c r="AC344" i="12"/>
  <c r="D48" i="11" s="1"/>
  <c r="G48" i="11" s="1"/>
  <c r="AR101" i="12"/>
  <c r="AC156" i="12"/>
  <c r="AR45" i="12"/>
  <c r="AC321" i="12"/>
  <c r="AR340" i="12"/>
  <c r="AC81" i="12"/>
  <c r="AR349" i="12"/>
  <c r="AR224" i="12"/>
  <c r="AR122" i="12"/>
  <c r="AC351" i="12"/>
  <c r="AL289" i="12"/>
  <c r="AO289" i="12" s="1"/>
  <c r="AR54" i="12"/>
  <c r="AO280" i="12"/>
  <c r="AN342" i="12"/>
  <c r="AO342" i="12" s="1"/>
  <c r="AN100" i="12"/>
  <c r="AO100" i="12" s="1"/>
  <c r="E17" i="11" s="1"/>
  <c r="H17" i="11" s="1"/>
  <c r="K17" i="11" s="1"/>
  <c r="AO232" i="12"/>
  <c r="AR343" i="12"/>
  <c r="J47" i="11" s="1"/>
  <c r="AR48" i="12"/>
  <c r="AC319" i="12"/>
  <c r="AO233" i="12"/>
  <c r="AR80" i="12"/>
  <c r="AO106" i="12"/>
  <c r="AC312" i="12"/>
  <c r="E20" i="11"/>
  <c r="H20" i="11" s="1"/>
  <c r="K20" i="11" s="1"/>
  <c r="D42" i="11"/>
  <c r="G42" i="11" s="1"/>
  <c r="AC175" i="12"/>
  <c r="AC318" i="12"/>
  <c r="AR19" i="12"/>
  <c r="AR125" i="12"/>
  <c r="AC332" i="12"/>
  <c r="AR222" i="12"/>
  <c r="AR201" i="12"/>
  <c r="AR327" i="12"/>
  <c r="AC136" i="12"/>
  <c r="AR183" i="12"/>
  <c r="AC151" i="12"/>
  <c r="AC298" i="12"/>
  <c r="AO313" i="12"/>
  <c r="AN253" i="12"/>
  <c r="AO253" i="12" s="1"/>
  <c r="E35" i="11" s="1"/>
  <c r="H35" i="11" s="1"/>
  <c r="AC256" i="12"/>
  <c r="AR339" i="12"/>
  <c r="AO58" i="12"/>
  <c r="AR147" i="12"/>
  <c r="AR218" i="12"/>
  <c r="AO46" i="12"/>
  <c r="AC163" i="12"/>
  <c r="AC291" i="12"/>
  <c r="AR158" i="12"/>
  <c r="AO152" i="12"/>
  <c r="AR211" i="12"/>
  <c r="AR281" i="12"/>
  <c r="AR256" i="12"/>
  <c r="AR176" i="12"/>
  <c r="D36" i="1"/>
  <c r="AR163" i="12"/>
  <c r="AR148" i="12"/>
  <c r="AC290" i="12"/>
  <c r="D45" i="1"/>
  <c r="AO134" i="12"/>
  <c r="AO78" i="12"/>
  <c r="AR8" i="12"/>
  <c r="AR108" i="12"/>
  <c r="J19" i="11" s="1"/>
  <c r="AC348" i="12"/>
  <c r="AR175" i="12"/>
  <c r="AR31" i="12"/>
  <c r="AC91" i="12"/>
  <c r="D15" i="11" s="1"/>
  <c r="G15" i="11" s="1"/>
  <c r="AR296" i="12"/>
  <c r="AC211" i="12"/>
  <c r="AC145" i="12"/>
  <c r="AR357" i="12"/>
  <c r="J52" i="11" s="1"/>
  <c r="AR215" i="12"/>
  <c r="AC250" i="12"/>
  <c r="AR229" i="12"/>
  <c r="AR292" i="12"/>
  <c r="D43" i="1"/>
  <c r="AR159" i="12"/>
  <c r="AC212" i="12"/>
  <c r="AC30" i="12"/>
  <c r="AR98" i="12"/>
  <c r="AR112" i="12"/>
  <c r="AR331" i="12"/>
  <c r="AR12" i="12"/>
  <c r="AC6" i="12"/>
  <c r="AR144" i="12"/>
  <c r="AR260" i="12"/>
  <c r="AC115" i="12"/>
  <c r="AR49" i="12"/>
  <c r="AR73" i="12"/>
  <c r="AC47" i="12"/>
  <c r="AR145" i="12"/>
  <c r="AR165" i="12"/>
  <c r="AR182" i="12"/>
  <c r="J28" i="11" s="1"/>
  <c r="AB354" i="12"/>
  <c r="AC354" i="12" s="1"/>
  <c r="AQ354" i="12"/>
  <c r="AP354" i="12"/>
  <c r="AP247" i="12"/>
  <c r="X247" i="12"/>
  <c r="Y247" i="12" s="1"/>
  <c r="AB247" i="12"/>
  <c r="AC247" i="12" s="1"/>
  <c r="AE247" i="12"/>
  <c r="AH247" i="12" s="1"/>
  <c r="AQ247" i="12"/>
  <c r="AQ347" i="12"/>
  <c r="AP347" i="12"/>
  <c r="X347" i="12"/>
  <c r="Y347" i="12" s="1"/>
  <c r="AA347" i="12" s="1"/>
  <c r="AE347" i="12"/>
  <c r="AH347" i="12" s="1"/>
  <c r="AB347" i="12"/>
  <c r="AB234" i="12"/>
  <c r="AC234" i="12" s="1"/>
  <c r="AQ234" i="12"/>
  <c r="X234" i="12"/>
  <c r="Y234" i="12" s="1"/>
  <c r="AP234" i="12"/>
  <c r="AE234" i="12"/>
  <c r="AH234" i="12" s="1"/>
  <c r="AB259" i="12"/>
  <c r="AC259" i="12" s="1"/>
  <c r="AQ259" i="12"/>
  <c r="AP259" i="12"/>
  <c r="AR259" i="12" s="1"/>
  <c r="E52" i="11"/>
  <c r="H52" i="11" s="1"/>
  <c r="I10" i="12"/>
  <c r="J10" i="12" s="1"/>
  <c r="K10" i="12" s="1"/>
  <c r="X361" i="13"/>
  <c r="AP50" i="12"/>
  <c r="AR50" i="12" s="1"/>
  <c r="X50" i="12"/>
  <c r="Y50" i="12" s="1"/>
  <c r="AA50" i="12" s="1"/>
  <c r="AQ50" i="12"/>
  <c r="AE50" i="12"/>
  <c r="AH50" i="12" s="1"/>
  <c r="AB50" i="12"/>
  <c r="AQ203" i="12"/>
  <c r="X203" i="12"/>
  <c r="Y203" i="12" s="1"/>
  <c r="AA203" i="12" s="1"/>
  <c r="AP203" i="12"/>
  <c r="AE203" i="12"/>
  <c r="AH203" i="12" s="1"/>
  <c r="AB203" i="12"/>
  <c r="AE43" i="12"/>
  <c r="AH43" i="12" s="1"/>
  <c r="X43" i="12"/>
  <c r="Y43" i="12" s="1"/>
  <c r="AA43" i="12" s="1"/>
  <c r="AC43" i="12" s="1"/>
  <c r="AQ43" i="12"/>
  <c r="AP43" i="12"/>
  <c r="AB43" i="12"/>
  <c r="AB328" i="12"/>
  <c r="AQ328" i="12"/>
  <c r="AP328" i="12"/>
  <c r="AR328" i="12" s="1"/>
  <c r="X328" i="12"/>
  <c r="Y328" i="12" s="1"/>
  <c r="AA328" i="12" s="1"/>
  <c r="AE328" i="12"/>
  <c r="AH328" i="12" s="1"/>
  <c r="AB355" i="12"/>
  <c r="AQ355" i="12"/>
  <c r="AP355" i="12"/>
  <c r="AE355" i="12"/>
  <c r="AH355" i="12" s="1"/>
  <c r="X355" i="12"/>
  <c r="Y355" i="12" s="1"/>
  <c r="AA355" i="12" s="1"/>
  <c r="AB302" i="12"/>
  <c r="X302" i="12"/>
  <c r="Y302" i="12" s="1"/>
  <c r="AA302" i="12" s="1"/>
  <c r="AE302" i="12"/>
  <c r="AH302" i="12" s="1"/>
  <c r="AQ302" i="12"/>
  <c r="AP302" i="12"/>
  <c r="P361" i="13"/>
  <c r="AE68" i="12"/>
  <c r="AH68" i="12" s="1"/>
  <c r="AP68" i="12"/>
  <c r="X68" i="12"/>
  <c r="Y68" i="12" s="1"/>
  <c r="AA68" i="12" s="1"/>
  <c r="AC68" i="12" s="1"/>
  <c r="D12" i="11" s="1"/>
  <c r="G12" i="11" s="1"/>
  <c r="AB68" i="12"/>
  <c r="AQ68" i="12"/>
  <c r="AB248" i="12"/>
  <c r="AC248" i="12" s="1"/>
  <c r="AP248" i="12"/>
  <c r="AR248" i="12" s="1"/>
  <c r="X248" i="12"/>
  <c r="Y248" i="12" s="1"/>
  <c r="AE248" i="12"/>
  <c r="AH248" i="12" s="1"/>
  <c r="AQ248" i="12"/>
  <c r="AQ255" i="12"/>
  <c r="AP255" i="12"/>
  <c r="X255" i="12"/>
  <c r="Y255" i="12" s="1"/>
  <c r="AB255" i="12"/>
  <c r="AC255" i="12" s="1"/>
  <c r="AE255" i="12"/>
  <c r="AH255" i="12" s="1"/>
  <c r="AE116" i="12"/>
  <c r="AH116" i="12" s="1"/>
  <c r="X116" i="12"/>
  <c r="Y116" i="12" s="1"/>
  <c r="AA116" i="12" s="1"/>
  <c r="AQ116" i="12"/>
  <c r="AP116" i="12"/>
  <c r="AB116" i="12"/>
  <c r="AQ269" i="12"/>
  <c r="AP269" i="12"/>
  <c r="AR269" i="12" s="1"/>
  <c r="J38" i="11" s="1"/>
  <c r="X269" i="12"/>
  <c r="Y269" i="12" s="1"/>
  <c r="AB269" i="12"/>
  <c r="AC269" i="12" s="1"/>
  <c r="AE269" i="12"/>
  <c r="AH269" i="12" s="1"/>
  <c r="AB14" i="12"/>
  <c r="AQ14" i="12"/>
  <c r="AP14" i="12"/>
  <c r="AR14" i="12" s="1"/>
  <c r="X14" i="12"/>
  <c r="Y14" i="12" s="1"/>
  <c r="AA14" i="12" s="1"/>
  <c r="AE14" i="12"/>
  <c r="AH14" i="12" s="1"/>
  <c r="AQ209" i="12"/>
  <c r="AB209" i="12"/>
  <c r="X209" i="12"/>
  <c r="Y209" i="12" s="1"/>
  <c r="AA209" i="12" s="1"/>
  <c r="AP209" i="12"/>
  <c r="AE209" i="12"/>
  <c r="AH209" i="12" s="1"/>
  <c r="AQ130" i="12"/>
  <c r="AP130" i="12"/>
  <c r="AB130" i="12"/>
  <c r="AC130" i="12" s="1"/>
  <c r="AB51" i="12"/>
  <c r="AQ51" i="12"/>
  <c r="AE51" i="12"/>
  <c r="AH51" i="12" s="1"/>
  <c r="AP51" i="12"/>
  <c r="AR51" i="12" s="1"/>
  <c r="X51" i="12"/>
  <c r="Y51" i="12" s="1"/>
  <c r="AA51" i="12" s="1"/>
  <c r="AQ173" i="12"/>
  <c r="AP173" i="12"/>
  <c r="AB173" i="12"/>
  <c r="AC173" i="12" s="1"/>
  <c r="AO114" i="12"/>
  <c r="E21" i="11" s="1"/>
  <c r="H21" i="11" s="1"/>
  <c r="K21" i="11" s="1"/>
  <c r="AQ154" i="12"/>
  <c r="X154" i="12"/>
  <c r="Y154" i="12" s="1"/>
  <c r="AA154" i="12" s="1"/>
  <c r="AE154" i="12"/>
  <c r="AH154" i="12" s="1"/>
  <c r="AB154" i="12"/>
  <c r="AP154" i="12"/>
  <c r="AR154" i="12" s="1"/>
  <c r="AM218" i="12"/>
  <c r="AI218" i="12"/>
  <c r="AO218" i="12" s="1"/>
  <c r="AM202" i="12"/>
  <c r="AO202" i="12" s="1"/>
  <c r="AI202" i="12"/>
  <c r="AJ30" i="12"/>
  <c r="AN30" i="12" s="1"/>
  <c r="AO30" i="12" s="1"/>
  <c r="AM178" i="12"/>
  <c r="AK178" i="12"/>
  <c r="AK332" i="12"/>
  <c r="AO332" i="12" s="1"/>
  <c r="D21" i="11"/>
  <c r="G21" i="11" s="1"/>
  <c r="AM38" i="12"/>
  <c r="AI38" i="12"/>
  <c r="AR81" i="12"/>
  <c r="AM349" i="12"/>
  <c r="AI349" i="12"/>
  <c r="AO349" i="12" s="1"/>
  <c r="AM122" i="12"/>
  <c r="AK122" i="12"/>
  <c r="AM135" i="12"/>
  <c r="AK135" i="12"/>
  <c r="AM239" i="12"/>
  <c r="AI239" i="12"/>
  <c r="AM149" i="12"/>
  <c r="AI149" i="12"/>
  <c r="AR238" i="12"/>
  <c r="J33" i="11" s="1"/>
  <c r="AC41" i="12"/>
  <c r="AM335" i="12"/>
  <c r="AI335" i="12"/>
  <c r="AL311" i="12"/>
  <c r="AK311" i="12"/>
  <c r="AM213" i="12"/>
  <c r="AI213" i="12"/>
  <c r="AO213" i="12" s="1"/>
  <c r="AM22" i="12"/>
  <c r="AK22" i="12"/>
  <c r="AN287" i="12"/>
  <c r="AO287" i="12" s="1"/>
  <c r="E40" i="11" s="1"/>
  <c r="H40" i="11" s="1"/>
  <c r="AN71" i="12"/>
  <c r="AO71" i="12" s="1"/>
  <c r="AR202" i="12"/>
  <c r="AN114" i="12"/>
  <c r="AR334" i="8"/>
  <c r="D46" i="1"/>
  <c r="AM223" i="12"/>
  <c r="AI223" i="12"/>
  <c r="AR128" i="8"/>
  <c r="D24" i="1"/>
  <c r="AC301" i="12"/>
  <c r="AN271" i="12"/>
  <c r="AO271" i="12" s="1"/>
  <c r="D42" i="1"/>
  <c r="AR290" i="12"/>
  <c r="AR103" i="12"/>
  <c r="J18" i="11" s="1"/>
  <c r="AC34" i="12"/>
  <c r="D8" i="11" s="1"/>
  <c r="G8" i="11" s="1"/>
  <c r="AO20" i="12"/>
  <c r="AN102" i="12"/>
  <c r="AO102" i="12" s="1"/>
  <c r="AR113" i="12"/>
  <c r="J21" i="11" s="1"/>
  <c r="AM8" i="12"/>
  <c r="AI8" i="12"/>
  <c r="AC322" i="12"/>
  <c r="AM212" i="12"/>
  <c r="AI212" i="12"/>
  <c r="AM295" i="12"/>
  <c r="AJ295" i="12"/>
  <c r="AR30" i="12"/>
  <c r="AM177" i="12"/>
  <c r="AJ177" i="12"/>
  <c r="AK199" i="12"/>
  <c r="AO199" i="12" s="1"/>
  <c r="AR9" i="12"/>
  <c r="AR161" i="12"/>
  <c r="AR219" i="12"/>
  <c r="AR254" i="12"/>
  <c r="AR321" i="12"/>
  <c r="AR332" i="12"/>
  <c r="AM237" i="12"/>
  <c r="AK237" i="12"/>
  <c r="AN237" i="12" s="1"/>
  <c r="AC308" i="12"/>
  <c r="AC331" i="12"/>
  <c r="AR6" i="12"/>
  <c r="AR38" i="12"/>
  <c r="AC337" i="12"/>
  <c r="AC349" i="12"/>
  <c r="AC94" i="12"/>
  <c r="AM273" i="12"/>
  <c r="AJ273" i="12"/>
  <c r="AR298" i="12"/>
  <c r="AR319" i="12"/>
  <c r="AM56" i="12"/>
  <c r="AK56" i="12"/>
  <c r="AM252" i="12"/>
  <c r="AK252" i="12"/>
  <c r="AM179" i="12"/>
  <c r="AK179" i="12"/>
  <c r="AO179" i="12" s="1"/>
  <c r="AN104" i="12"/>
  <c r="AO104" i="12" s="1"/>
  <c r="AR310" i="12"/>
  <c r="AI169" i="12"/>
  <c r="AO169" i="12" s="1"/>
  <c r="AR342" i="8"/>
  <c r="D47" i="1"/>
  <c r="AK141" i="12"/>
  <c r="AO141" i="12" s="1"/>
  <c r="AM62" i="12"/>
  <c r="AJ62" i="12"/>
  <c r="AP249" i="12"/>
  <c r="X249" i="12"/>
  <c r="Y249" i="12" s="1"/>
  <c r="AA249" i="12" s="1"/>
  <c r="AB249" i="12"/>
  <c r="AE249" i="12"/>
  <c r="AH249" i="12" s="1"/>
  <c r="AQ249" i="12"/>
  <c r="AB23" i="12"/>
  <c r="AC23" i="12" s="1"/>
  <c r="AQ23" i="12"/>
  <c r="AP23" i="12"/>
  <c r="K361" i="13"/>
  <c r="AB25" i="12"/>
  <c r="AC25" i="12" s="1"/>
  <c r="AQ25" i="12"/>
  <c r="AP25" i="12"/>
  <c r="AM221" i="12"/>
  <c r="AJ221" i="12"/>
  <c r="AM193" i="12"/>
  <c r="AI193" i="12"/>
  <c r="AB18" i="12"/>
  <c r="AQ18" i="12"/>
  <c r="AP18" i="12"/>
  <c r="X18" i="12"/>
  <c r="Y18" i="12" s="1"/>
  <c r="AA18" i="12" s="1"/>
  <c r="AE18" i="12"/>
  <c r="AH18" i="12" s="1"/>
  <c r="AM251" i="12"/>
  <c r="AK251" i="12"/>
  <c r="AC335" i="12"/>
  <c r="AR26" i="12"/>
  <c r="AR144" i="8"/>
  <c r="D27" i="1"/>
  <c r="D6" i="1"/>
  <c r="AR23" i="8"/>
  <c r="AN268" i="12"/>
  <c r="AO268" i="12" s="1"/>
  <c r="I361" i="12"/>
  <c r="J5" i="12"/>
  <c r="AM37" i="12"/>
  <c r="AI37" i="12"/>
  <c r="AL306" i="12"/>
  <c r="AO306" i="12" s="1"/>
  <c r="AI306" i="12"/>
  <c r="AC223" i="12"/>
  <c r="AC236" i="12"/>
  <c r="AR326" i="12"/>
  <c r="AR301" i="12"/>
  <c r="AR86" i="12"/>
  <c r="V361" i="13"/>
  <c r="AM245" i="12"/>
  <c r="AI245" i="12"/>
  <c r="AR128" i="12"/>
  <c r="D14" i="1"/>
  <c r="AK292" i="12"/>
  <c r="AO292" i="12" s="1"/>
  <c r="AM316" i="12"/>
  <c r="AI316" i="12"/>
  <c r="AR85" i="12"/>
  <c r="AR304" i="12"/>
  <c r="AO352" i="12"/>
  <c r="E50" i="11" s="1"/>
  <c r="H50" i="11" s="1"/>
  <c r="AR141" i="8"/>
  <c r="D26" i="1"/>
  <c r="AR322" i="12"/>
  <c r="AK108" i="12"/>
  <c r="AN108" i="12" s="1"/>
  <c r="AO108" i="12" s="1"/>
  <c r="AR295" i="12"/>
  <c r="J42" i="11" s="1"/>
  <c r="AM348" i="12"/>
  <c r="AI348" i="12"/>
  <c r="D18" i="11"/>
  <c r="G18" i="11" s="1"/>
  <c r="AM156" i="12"/>
  <c r="AI156" i="12"/>
  <c r="AM318" i="12"/>
  <c r="AI318" i="12"/>
  <c r="AM16" i="12"/>
  <c r="AI16" i="12"/>
  <c r="AM200" i="12"/>
  <c r="AK200" i="12"/>
  <c r="AM338" i="12"/>
  <c r="AJ338" i="12"/>
  <c r="AO338" i="12" s="1"/>
  <c r="AJ230" i="12"/>
  <c r="AO230" i="12" s="1"/>
  <c r="AC237" i="12"/>
  <c r="AM222" i="12"/>
  <c r="AI222" i="12"/>
  <c r="AI144" i="12"/>
  <c r="AO144" i="12" s="1"/>
  <c r="AM337" i="12"/>
  <c r="AI337" i="12"/>
  <c r="AK91" i="12"/>
  <c r="AO91" i="12" s="1"/>
  <c r="E15" i="11" s="1"/>
  <c r="H15" i="11" s="1"/>
  <c r="AJ137" i="12"/>
  <c r="AN137" i="12" s="1"/>
  <c r="AO137" i="12" s="1"/>
  <c r="D41" i="11"/>
  <c r="G41" i="11" s="1"/>
  <c r="AC149" i="12"/>
  <c r="AQ188" i="12"/>
  <c r="AE188" i="12"/>
  <c r="AH188" i="12" s="1"/>
  <c r="AB188" i="12"/>
  <c r="X188" i="12"/>
  <c r="Y188" i="12" s="1"/>
  <c r="AA188" i="12" s="1"/>
  <c r="AP188" i="12"/>
  <c r="AM158" i="12"/>
  <c r="AI158" i="12"/>
  <c r="AO158" i="12" s="1"/>
  <c r="AM36" i="12"/>
  <c r="AK36" i="12"/>
  <c r="AK34" i="12"/>
  <c r="AP109" i="12"/>
  <c r="AB109" i="12"/>
  <c r="AC109" i="12" s="1"/>
  <c r="D20" i="11" s="1"/>
  <c r="G20" i="11" s="1"/>
  <c r="AQ109" i="12"/>
  <c r="AM6" i="12"/>
  <c r="AI6" i="12"/>
  <c r="AM327" i="12"/>
  <c r="AI327" i="12"/>
  <c r="AM79" i="12"/>
  <c r="AI79" i="12"/>
  <c r="AO79" i="12" s="1"/>
  <c r="AM326" i="12"/>
  <c r="AI326" i="12"/>
  <c r="AM301" i="12"/>
  <c r="AI301" i="12"/>
  <c r="AM148" i="12"/>
  <c r="AI148" i="12"/>
  <c r="AR109" i="8"/>
  <c r="D20" i="1"/>
  <c r="AM262" i="12"/>
  <c r="AK262" i="12"/>
  <c r="AM322" i="12"/>
  <c r="AJ322" i="12"/>
  <c r="AI13" i="12"/>
  <c r="AO13" i="12" s="1"/>
  <c r="AM315" i="12"/>
  <c r="AI315" i="12"/>
  <c r="AR286" i="8"/>
  <c r="D40" i="1"/>
  <c r="AM107" i="12"/>
  <c r="AJ107" i="12"/>
  <c r="AM161" i="12"/>
  <c r="AI161" i="12"/>
  <c r="AM101" i="12"/>
  <c r="AI101" i="12"/>
  <c r="AR230" i="12"/>
  <c r="AC222" i="12"/>
  <c r="AC336" i="12"/>
  <c r="AM81" i="12"/>
  <c r="AK81" i="12"/>
  <c r="AM115" i="12"/>
  <c r="AI115" i="12"/>
  <c r="AI183" i="12"/>
  <c r="AO183" i="12" s="1"/>
  <c r="AM73" i="12"/>
  <c r="AI73" i="12"/>
  <c r="AR252" i="12"/>
  <c r="AI182" i="12"/>
  <c r="AO182" i="12" s="1"/>
  <c r="AM159" i="12"/>
  <c r="AI159" i="12"/>
  <c r="AO159" i="12" s="1"/>
  <c r="AB166" i="12"/>
  <c r="AQ166" i="12"/>
  <c r="AE166" i="12"/>
  <c r="AH166" i="12" s="1"/>
  <c r="AP166" i="12"/>
  <c r="AR166" i="12" s="1"/>
  <c r="X166" i="12"/>
  <c r="Y166" i="12" s="1"/>
  <c r="AA166" i="12" s="1"/>
  <c r="AM45" i="12"/>
  <c r="AI45" i="12"/>
  <c r="AM254" i="12"/>
  <c r="AI254" i="12"/>
  <c r="AM321" i="12"/>
  <c r="AI321" i="12"/>
  <c r="AO321" i="12" s="1"/>
  <c r="AM49" i="12"/>
  <c r="AI49" i="12"/>
  <c r="AM189" i="12"/>
  <c r="AI189" i="12"/>
  <c r="AM319" i="12"/>
  <c r="AI319" i="12"/>
  <c r="AR116" i="8"/>
  <c r="D22" i="1"/>
  <c r="AM256" i="12"/>
  <c r="AO256" i="12" s="1"/>
  <c r="AI256" i="12"/>
  <c r="AM343" i="12"/>
  <c r="AK343" i="12"/>
  <c r="AR324" i="12"/>
  <c r="AC213" i="12"/>
  <c r="AL300" i="12"/>
  <c r="AI300" i="12"/>
  <c r="AM15" i="12"/>
  <c r="AJ15" i="12"/>
  <c r="AM35" i="12"/>
  <c r="AI35" i="12"/>
  <c r="AL204" i="12"/>
  <c r="AI204" i="12"/>
  <c r="AR88" i="8"/>
  <c r="D15" i="1"/>
  <c r="AM86" i="12"/>
  <c r="AK86" i="12"/>
  <c r="D31" i="1"/>
  <c r="AC229" i="12"/>
  <c r="AC281" i="12"/>
  <c r="D39" i="11" s="1"/>
  <c r="G39" i="11" s="1"/>
  <c r="AR303" i="12"/>
  <c r="AO353" i="12"/>
  <c r="AR197" i="12"/>
  <c r="AI129" i="12"/>
  <c r="AO129" i="12" s="1"/>
  <c r="AJ80" i="12"/>
  <c r="AO80" i="12" s="1"/>
  <c r="AM41" i="12"/>
  <c r="AI41" i="12"/>
  <c r="AC251" i="12"/>
  <c r="AR335" i="12"/>
  <c r="AC147" i="12"/>
  <c r="AM206" i="12"/>
  <c r="AO206" i="12" s="1"/>
  <c r="AI206" i="12"/>
  <c r="AR213" i="12"/>
  <c r="AR84" i="12"/>
  <c r="J14" i="11" s="1"/>
  <c r="AR35" i="12"/>
  <c r="J9" i="11" s="1"/>
  <c r="AR62" i="12"/>
  <c r="AR223" i="12"/>
  <c r="AL228" i="12"/>
  <c r="AJ228" i="12"/>
  <c r="AR245" i="12"/>
  <c r="AM229" i="12"/>
  <c r="AJ229" i="12"/>
  <c r="AJ226" i="12"/>
  <c r="AO226" i="12" s="1"/>
  <c r="AR316" i="12"/>
  <c r="AM85" i="12"/>
  <c r="AJ85" i="12"/>
  <c r="AM304" i="12"/>
  <c r="AI304" i="12"/>
  <c r="AC285" i="12"/>
  <c r="AR99" i="12"/>
  <c r="AM220" i="12"/>
  <c r="AI220" i="12"/>
  <c r="AK27" i="12"/>
  <c r="AO27" i="12" s="1"/>
  <c r="AN190" i="12"/>
  <c r="AO190" i="12" s="1"/>
  <c r="AR346" i="8"/>
  <c r="D48" i="1"/>
  <c r="AR264" i="12"/>
  <c r="AC13" i="12"/>
  <c r="AC315" i="12"/>
  <c r="D44" i="11" s="1"/>
  <c r="G44" i="11" s="1"/>
  <c r="AL28" i="12"/>
  <c r="AK28" i="12"/>
  <c r="AK323" i="12"/>
  <c r="AO323" i="12" s="1"/>
  <c r="AC153" i="12"/>
  <c r="AM7" i="12"/>
  <c r="AI7" i="12"/>
  <c r="AR348" i="12"/>
  <c r="D17" i="11"/>
  <c r="G17" i="11" s="1"/>
  <c r="AR318" i="12"/>
  <c r="AR64" i="12"/>
  <c r="AR16" i="12"/>
  <c r="AC121" i="12"/>
  <c r="AM308" i="12"/>
  <c r="AJ308" i="12"/>
  <c r="AM207" i="12"/>
  <c r="AI207" i="12"/>
  <c r="AM336" i="12"/>
  <c r="AI336" i="12"/>
  <c r="AM201" i="12"/>
  <c r="AI201" i="12"/>
  <c r="AR337" i="12"/>
  <c r="AM136" i="12"/>
  <c r="AI136" i="12"/>
  <c r="AK296" i="12"/>
  <c r="AN296" i="12" s="1"/>
  <c r="AO296" i="12" s="1"/>
  <c r="AC183" i="12"/>
  <c r="AM167" i="12"/>
  <c r="AI167" i="12"/>
  <c r="AR79" i="12"/>
  <c r="J13" i="11" s="1"/>
  <c r="AC73" i="12"/>
  <c r="D13" i="11" s="1"/>
  <c r="G13" i="11" s="1"/>
  <c r="AR97" i="12"/>
  <c r="J16" i="11" s="1"/>
  <c r="AM351" i="12"/>
  <c r="AK351" i="12"/>
  <c r="AO351" i="12" s="1"/>
  <c r="AR189" i="12"/>
  <c r="AM298" i="12"/>
  <c r="AI298" i="12"/>
  <c r="AM160" i="12"/>
  <c r="AI160" i="12"/>
  <c r="AM29" i="12"/>
  <c r="AI29" i="12"/>
  <c r="AM196" i="12"/>
  <c r="AI196" i="12"/>
  <c r="AM215" i="12"/>
  <c r="AI215" i="12"/>
  <c r="AO215" i="12" s="1"/>
  <c r="AM157" i="12"/>
  <c r="AI157" i="12"/>
  <c r="AM346" i="12"/>
  <c r="AK346" i="12"/>
  <c r="AM281" i="12"/>
  <c r="AI281" i="12"/>
  <c r="AL194" i="12"/>
  <c r="AI194" i="12"/>
  <c r="AL52" i="12"/>
  <c r="AI52" i="12"/>
  <c r="AN191" i="12"/>
  <c r="AO191" i="12" s="1"/>
  <c r="D51" i="1"/>
  <c r="AM126" i="12"/>
  <c r="AI126" i="12"/>
  <c r="Z361" i="8"/>
  <c r="AI5" i="8"/>
  <c r="AC303" i="12"/>
  <c r="AN267" i="12"/>
  <c r="AO267" i="12" s="1"/>
  <c r="E37" i="11" s="1"/>
  <c r="H37" i="11" s="1"/>
  <c r="AJ236" i="12"/>
  <c r="AN236" i="12" s="1"/>
  <c r="AO236" i="12" s="1"/>
  <c r="AM291" i="12"/>
  <c r="AK291" i="12"/>
  <c r="AO291" i="12" s="1"/>
  <c r="AI128" i="12"/>
  <c r="AO128" i="12" s="1"/>
  <c r="AR226" i="12"/>
  <c r="AR126" i="12"/>
  <c r="AR131" i="12"/>
  <c r="AC323" i="12"/>
  <c r="AM140" i="12"/>
  <c r="AI140" i="12"/>
  <c r="AM48" i="12"/>
  <c r="AI48" i="12"/>
  <c r="AM320" i="12"/>
  <c r="AI320" i="12"/>
  <c r="J17" i="11"/>
  <c r="AM344" i="12"/>
  <c r="AI344" i="12"/>
  <c r="AM175" i="12"/>
  <c r="AJ175" i="12"/>
  <c r="AO175" i="12" s="1"/>
  <c r="AM219" i="12"/>
  <c r="AI219" i="12"/>
  <c r="D16" i="11"/>
  <c r="G16" i="11" s="1"/>
  <c r="AR178" i="12"/>
  <c r="D24" i="11"/>
  <c r="G24" i="11" s="1"/>
  <c r="AM64" i="12"/>
  <c r="AK64" i="12"/>
  <c r="AM340" i="12"/>
  <c r="AO340" i="12" s="1"/>
  <c r="AK340" i="12"/>
  <c r="AM162" i="12"/>
  <c r="AI162" i="12"/>
  <c r="AR121" i="12"/>
  <c r="AR207" i="12"/>
  <c r="AM12" i="12"/>
  <c r="AI12" i="12"/>
  <c r="D25" i="11"/>
  <c r="G25" i="11" s="1"/>
  <c r="AM211" i="12"/>
  <c r="AI211" i="12"/>
  <c r="AR167" i="12"/>
  <c r="AM94" i="12"/>
  <c r="AI94" i="12"/>
  <c r="AO94" i="12" s="1"/>
  <c r="AM47" i="12"/>
  <c r="AI47" i="12"/>
  <c r="AM151" i="12"/>
  <c r="AI151" i="12"/>
  <c r="AR117" i="12"/>
  <c r="AR160" i="12"/>
  <c r="AR56" i="12"/>
  <c r="AI288" i="12"/>
  <c r="AO288" i="12" s="1"/>
  <c r="AR29" i="12"/>
  <c r="J7" i="11" s="1"/>
  <c r="AR196" i="12"/>
  <c r="J30" i="11" s="1"/>
  <c r="AM165" i="12"/>
  <c r="AI165" i="12"/>
  <c r="AR157" i="12"/>
  <c r="D28" i="11"/>
  <c r="G28" i="11" s="1"/>
  <c r="I5" i="11"/>
  <c r="I54" i="11" s="1"/>
  <c r="F54" i="11"/>
  <c r="AM257" i="12"/>
  <c r="AI257" i="12"/>
  <c r="AK261" i="12"/>
  <c r="AO261" i="12" s="1"/>
  <c r="AL317" i="12"/>
  <c r="AI317" i="12"/>
  <c r="AO317" i="12" s="1"/>
  <c r="AM290" i="12"/>
  <c r="AJ290" i="12"/>
  <c r="AR235" i="12"/>
  <c r="AI24" i="12"/>
  <c r="AO24" i="12" s="1"/>
  <c r="X361" i="8"/>
  <c r="AR41" i="12"/>
  <c r="AM238" i="12"/>
  <c r="AI238" i="12"/>
  <c r="AO238" i="12" s="1"/>
  <c r="AC339" i="12"/>
  <c r="AC193" i="12"/>
  <c r="D30" i="11" s="1"/>
  <c r="G30" i="11" s="1"/>
  <c r="AM147" i="12"/>
  <c r="AI147" i="12"/>
  <c r="AO147" i="12" s="1"/>
  <c r="AR206" i="12"/>
  <c r="D14" i="11"/>
  <c r="G14" i="11" s="1"/>
  <c r="AR37" i="12"/>
  <c r="AM163" i="12"/>
  <c r="AI163" i="12"/>
  <c r="AO163" i="12" s="1"/>
  <c r="AC35" i="12"/>
  <c r="D9" i="11" s="1"/>
  <c r="G9" i="11" s="1"/>
  <c r="AM69" i="12"/>
  <c r="AK69" i="12"/>
  <c r="AM11" i="12"/>
  <c r="AI11" i="12"/>
  <c r="AM303" i="12"/>
  <c r="AI303" i="12"/>
  <c r="AO303" i="12" s="1"/>
  <c r="AM197" i="12"/>
  <c r="AJ197" i="12"/>
  <c r="AM54" i="12"/>
  <c r="AJ54" i="12"/>
  <c r="AO54" i="12" s="1"/>
  <c r="AM339" i="12"/>
  <c r="AJ339" i="12"/>
  <c r="AM176" i="12"/>
  <c r="AJ176" i="12"/>
  <c r="AO176" i="12" s="1"/>
  <c r="D11" i="11"/>
  <c r="G11" i="11" s="1"/>
  <c r="AK324" i="12"/>
  <c r="AO324" i="12" s="1"/>
  <c r="AL93" i="12"/>
  <c r="AO93" i="12" s="1"/>
  <c r="AI93" i="12"/>
  <c r="D34" i="1"/>
  <c r="AC218" i="12"/>
  <c r="AC202" i="12"/>
  <c r="AJ250" i="12"/>
  <c r="AO250" i="12" s="1"/>
  <c r="AR291" i="12"/>
  <c r="D44" i="1"/>
  <c r="AR188" i="8"/>
  <c r="D29" i="1"/>
  <c r="AC226" i="12"/>
  <c r="AK285" i="12"/>
  <c r="AO285" i="12" s="1"/>
  <c r="AR220" i="12"/>
  <c r="AM312" i="12"/>
  <c r="AK312" i="12"/>
  <c r="AM264" i="12"/>
  <c r="AK264" i="12"/>
  <c r="AK356" i="12"/>
  <c r="AR138" i="8"/>
  <c r="D25" i="1"/>
  <c r="AC108" i="12"/>
  <c r="D19" i="11" s="1"/>
  <c r="G19" i="11" s="1"/>
  <c r="AR323" i="12"/>
  <c r="AM153" i="12"/>
  <c r="AI153" i="12"/>
  <c r="AR7" i="12"/>
  <c r="AC177" i="12"/>
  <c r="AC48" i="12"/>
  <c r="AC219" i="12"/>
  <c r="AM92" i="12"/>
  <c r="AI92" i="12"/>
  <c r="AO92" i="12" s="1"/>
  <c r="AC45" i="12"/>
  <c r="AC340" i="12"/>
  <c r="AM121" i="12"/>
  <c r="AK121" i="12"/>
  <c r="AJ331" i="12"/>
  <c r="AO331" i="12" s="1"/>
  <c r="AC207" i="12"/>
  <c r="AR336" i="12"/>
  <c r="AR266" i="12"/>
  <c r="J37" i="11" s="1"/>
  <c r="AM31" i="12"/>
  <c r="AK31" i="12"/>
  <c r="AR91" i="12"/>
  <c r="AR136" i="12"/>
  <c r="J25" i="11" s="1"/>
  <c r="AC167" i="12"/>
  <c r="AC49" i="12"/>
  <c r="AR47" i="12"/>
  <c r="AM145" i="12"/>
  <c r="AI145" i="12"/>
  <c r="AM97" i="12"/>
  <c r="AK97" i="12"/>
  <c r="AC273" i="12"/>
  <c r="AR351" i="12"/>
  <c r="AM117" i="12"/>
  <c r="AI117" i="12"/>
  <c r="AC160" i="12"/>
  <c r="AR288" i="12"/>
  <c r="AC179" i="12"/>
  <c r="AC29" i="12"/>
  <c r="D7" i="11" s="1"/>
  <c r="G7" i="11" s="1"/>
  <c r="AC196" i="12"/>
  <c r="AC157" i="12"/>
  <c r="I23" i="1" l="1"/>
  <c r="C23" i="21" s="1"/>
  <c r="L23" i="1"/>
  <c r="M23" i="1" s="1"/>
  <c r="K15" i="11"/>
  <c r="F15" i="1" s="1"/>
  <c r="H15" i="1" s="1"/>
  <c r="K35" i="11"/>
  <c r="F35" i="1" s="1"/>
  <c r="H35" i="1" s="1"/>
  <c r="AO219" i="12"/>
  <c r="AO336" i="12"/>
  <c r="AO115" i="12"/>
  <c r="F20" i="1"/>
  <c r="K50" i="11"/>
  <c r="F50" i="1" s="1"/>
  <c r="H50" i="1" s="1"/>
  <c r="AO228" i="12"/>
  <c r="AO22" i="12"/>
  <c r="AO153" i="12"/>
  <c r="AO257" i="12"/>
  <c r="AO47" i="12"/>
  <c r="AO12" i="12"/>
  <c r="AO64" i="12"/>
  <c r="AO207" i="12"/>
  <c r="AO41" i="12"/>
  <c r="AN189" i="12"/>
  <c r="AN36" i="12"/>
  <c r="AO245" i="12"/>
  <c r="K52" i="11"/>
  <c r="F52" i="1" s="1"/>
  <c r="H52" i="1" s="1"/>
  <c r="K37" i="11"/>
  <c r="F37" i="1" s="1"/>
  <c r="H37" i="1" s="1"/>
  <c r="AO49" i="12"/>
  <c r="AO37" i="12"/>
  <c r="AO197" i="12"/>
  <c r="AO290" i="12"/>
  <c r="E41" i="11" s="1"/>
  <c r="H41" i="11" s="1"/>
  <c r="K41" i="11" s="1"/>
  <c r="F41" i="1" s="1"/>
  <c r="H41" i="1" s="1"/>
  <c r="AO73" i="12"/>
  <c r="F40" i="1"/>
  <c r="K40" i="11"/>
  <c r="AO135" i="12"/>
  <c r="AO52" i="12"/>
  <c r="AO157" i="12"/>
  <c r="AO160" i="12"/>
  <c r="AO262" i="12"/>
  <c r="AO326" i="12"/>
  <c r="AO16" i="12"/>
  <c r="AO177" i="12"/>
  <c r="AO140" i="12"/>
  <c r="E26" i="11" s="1"/>
  <c r="H26" i="11" s="1"/>
  <c r="AO121" i="12"/>
  <c r="AO165" i="12"/>
  <c r="AO167" i="12"/>
  <c r="AO56" i="12"/>
  <c r="AO8" i="12"/>
  <c r="AO149" i="12"/>
  <c r="E33" i="11"/>
  <c r="H33" i="11" s="1"/>
  <c r="AO316" i="12"/>
  <c r="AO11" i="12"/>
  <c r="AO151" i="12"/>
  <c r="AO281" i="12"/>
  <c r="AO81" i="12"/>
  <c r="AO193" i="12"/>
  <c r="AO62" i="12"/>
  <c r="AN295" i="12"/>
  <c r="AO295" i="12" s="1"/>
  <c r="E42" i="11" s="1"/>
  <c r="H42" i="11" s="1"/>
  <c r="AO311" i="12"/>
  <c r="AO239" i="12"/>
  <c r="AN346" i="12"/>
  <c r="AO346" i="12" s="1"/>
  <c r="AO28" i="12"/>
  <c r="AO220" i="12"/>
  <c r="AO301" i="12"/>
  <c r="AO348" i="12"/>
  <c r="AO251" i="12"/>
  <c r="AO221" i="12"/>
  <c r="AO117" i="12"/>
  <c r="AO312" i="12"/>
  <c r="AO339" i="12"/>
  <c r="AO320" i="12"/>
  <c r="AN86" i="12"/>
  <c r="AO86" i="12" s="1"/>
  <c r="AO15" i="12"/>
  <c r="AO45" i="12"/>
  <c r="AN101" i="12"/>
  <c r="AO101" i="12" s="1"/>
  <c r="E18" i="11" s="1"/>
  <c r="H18" i="11" s="1"/>
  <c r="K18" i="11" s="1"/>
  <c r="AO315" i="12"/>
  <c r="AO222" i="12"/>
  <c r="AO200" i="12"/>
  <c r="AR23" i="12"/>
  <c r="AO237" i="12"/>
  <c r="AO212" i="12"/>
  <c r="AO178" i="12"/>
  <c r="AC51" i="12"/>
  <c r="AR116" i="12"/>
  <c r="J22" i="11" s="1"/>
  <c r="AR255" i="12"/>
  <c r="D32" i="11"/>
  <c r="G32" i="11" s="1"/>
  <c r="AO48" i="12"/>
  <c r="F17" i="1"/>
  <c r="H17" i="1" s="1"/>
  <c r="AO300" i="12"/>
  <c r="AC166" i="12"/>
  <c r="AO161" i="12"/>
  <c r="AO148" i="12"/>
  <c r="AO223" i="12"/>
  <c r="AO335" i="12"/>
  <c r="AC116" i="12"/>
  <c r="AC328" i="12"/>
  <c r="D45" i="11" s="1"/>
  <c r="G45" i="11" s="1"/>
  <c r="AR247" i="12"/>
  <c r="AK361" i="12"/>
  <c r="E28" i="11"/>
  <c r="H28" i="11" s="1"/>
  <c r="AO38" i="12"/>
  <c r="AO97" i="12"/>
  <c r="AN356" i="12"/>
  <c r="AO356" i="12" s="1"/>
  <c r="AN69" i="12"/>
  <c r="AO211" i="12"/>
  <c r="AO162" i="12"/>
  <c r="AN344" i="12"/>
  <c r="AO344" i="12" s="1"/>
  <c r="E48" i="11" s="1"/>
  <c r="H48" i="11" s="1"/>
  <c r="AO194" i="12"/>
  <c r="E30" i="11" s="1"/>
  <c r="H30" i="11" s="1"/>
  <c r="AO298" i="12"/>
  <c r="AO308" i="12"/>
  <c r="AO7" i="12"/>
  <c r="AO229" i="12"/>
  <c r="AO204" i="12"/>
  <c r="AO319" i="12"/>
  <c r="AO322" i="12"/>
  <c r="E44" i="11" s="1"/>
  <c r="H44" i="11" s="1"/>
  <c r="AO327" i="12"/>
  <c r="AO337" i="12"/>
  <c r="AO318" i="12"/>
  <c r="AR18" i="12"/>
  <c r="AC355" i="12"/>
  <c r="E16" i="11"/>
  <c r="H16" i="11" s="1"/>
  <c r="J41" i="11"/>
  <c r="AO145" i="12"/>
  <c r="AO264" i="12"/>
  <c r="AO126" i="12"/>
  <c r="E24" i="11" s="1"/>
  <c r="H24" i="11" s="1"/>
  <c r="K24" i="11" s="1"/>
  <c r="AO196" i="12"/>
  <c r="AO201" i="12"/>
  <c r="D22" i="11"/>
  <c r="G22" i="11" s="1"/>
  <c r="AO304" i="12"/>
  <c r="AN35" i="12"/>
  <c r="AO35" i="12" s="1"/>
  <c r="AO189" i="12"/>
  <c r="AO254" i="12"/>
  <c r="AO156" i="12"/>
  <c r="AO252" i="12"/>
  <c r="AO122" i="12"/>
  <c r="AR173" i="12"/>
  <c r="J27" i="11" s="1"/>
  <c r="AC14" i="12"/>
  <c r="D36" i="11"/>
  <c r="G36" i="11" s="1"/>
  <c r="AR302" i="12"/>
  <c r="J43" i="11" s="1"/>
  <c r="AR355" i="12"/>
  <c r="E11" i="11"/>
  <c r="H11" i="11" s="1"/>
  <c r="E46" i="11"/>
  <c r="H46" i="11" s="1"/>
  <c r="K46" i="11" s="1"/>
  <c r="E39" i="11"/>
  <c r="H39" i="11" s="1"/>
  <c r="K39" i="11" s="1"/>
  <c r="F39" i="1" s="1"/>
  <c r="H39" i="1" s="1"/>
  <c r="E6" i="11"/>
  <c r="H6" i="11" s="1"/>
  <c r="K6" i="11" s="1"/>
  <c r="E13" i="11"/>
  <c r="H13" i="11" s="1"/>
  <c r="J46" i="11"/>
  <c r="AM166" i="12"/>
  <c r="AI166" i="12"/>
  <c r="H20" i="1"/>
  <c r="AR109" i="12"/>
  <c r="J20" i="11" s="1"/>
  <c r="AR249" i="12"/>
  <c r="AN273" i="12"/>
  <c r="AO273" i="12" s="1"/>
  <c r="J36" i="11"/>
  <c r="AL361" i="12"/>
  <c r="AC154" i="12"/>
  <c r="D27" i="11" s="1"/>
  <c r="G27" i="11" s="1"/>
  <c r="AI51" i="12"/>
  <c r="AO51" i="12" s="1"/>
  <c r="AM209" i="12"/>
  <c r="AI209" i="12"/>
  <c r="AM355" i="12"/>
  <c r="AJ355" i="12"/>
  <c r="AM43" i="12"/>
  <c r="AI43" i="12"/>
  <c r="AM347" i="12"/>
  <c r="AI347" i="12"/>
  <c r="F24" i="1"/>
  <c r="H24" i="1" s="1"/>
  <c r="AN29" i="12"/>
  <c r="AN136" i="12"/>
  <c r="AO136" i="12" s="1"/>
  <c r="E25" i="11" s="1"/>
  <c r="H25" i="11" s="1"/>
  <c r="AN85" i="12"/>
  <c r="AO85" i="12" s="1"/>
  <c r="E14" i="11" s="1"/>
  <c r="H14" i="11" s="1"/>
  <c r="AN343" i="12"/>
  <c r="AO343" i="12" s="1"/>
  <c r="E47" i="11" s="1"/>
  <c r="H47" i="11" s="1"/>
  <c r="AM18" i="12"/>
  <c r="AJ18" i="12"/>
  <c r="AO18" i="12" s="1"/>
  <c r="AR209" i="12"/>
  <c r="J11" i="11"/>
  <c r="J39" i="11"/>
  <c r="AC50" i="12"/>
  <c r="D10" i="11" s="1"/>
  <c r="G10" i="11" s="1"/>
  <c r="AC347" i="12"/>
  <c r="D49" i="11" s="1"/>
  <c r="G49" i="11" s="1"/>
  <c r="AR354" i="12"/>
  <c r="H40" i="1"/>
  <c r="AM188" i="12"/>
  <c r="AI188" i="12"/>
  <c r="AN31" i="12"/>
  <c r="AO31" i="12" s="1"/>
  <c r="AO69" i="12"/>
  <c r="J34" i="11"/>
  <c r="AN107" i="12"/>
  <c r="AO107" i="12" s="1"/>
  <c r="E19" i="11" s="1"/>
  <c r="H19" i="11" s="1"/>
  <c r="AN34" i="12"/>
  <c r="AO34" i="12" s="1"/>
  <c r="E8" i="11" s="1"/>
  <c r="H8" i="11" s="1"/>
  <c r="J45" i="11"/>
  <c r="AC18" i="12"/>
  <c r="F21" i="1"/>
  <c r="H21" i="1" s="1"/>
  <c r="AC209" i="12"/>
  <c r="AM203" i="12"/>
  <c r="AI203" i="12"/>
  <c r="AO203" i="12" s="1"/>
  <c r="AM234" i="12"/>
  <c r="AI234" i="12"/>
  <c r="AR347" i="12"/>
  <c r="J49" i="11" s="1"/>
  <c r="AM255" i="12"/>
  <c r="AI255" i="12"/>
  <c r="AO255" i="12" s="1"/>
  <c r="AI361" i="8"/>
  <c r="AQ5" i="8"/>
  <c r="AR188" i="12"/>
  <c r="J29" i="11" s="1"/>
  <c r="J361" i="12"/>
  <c r="K5" i="12"/>
  <c r="D6" i="11"/>
  <c r="G6" i="11" s="1"/>
  <c r="AM269" i="12"/>
  <c r="AI269" i="12"/>
  <c r="AM302" i="12"/>
  <c r="AI302" i="12"/>
  <c r="AR203" i="12"/>
  <c r="J31" i="11" s="1"/>
  <c r="AR234" i="12"/>
  <c r="J32" i="11" s="1"/>
  <c r="D51" i="11"/>
  <c r="G51" i="11" s="1"/>
  <c r="AO36" i="12"/>
  <c r="E9" i="11" s="1"/>
  <c r="H9" i="11" s="1"/>
  <c r="AC249" i="12"/>
  <c r="AM154" i="12"/>
  <c r="AI154" i="12"/>
  <c r="AO154" i="12" s="1"/>
  <c r="AM50" i="12"/>
  <c r="AI50" i="12"/>
  <c r="AO6" i="12"/>
  <c r="AC188" i="12"/>
  <c r="D29" i="11" s="1"/>
  <c r="G29" i="11" s="1"/>
  <c r="D46" i="11"/>
  <c r="G46" i="11" s="1"/>
  <c r="AR25" i="12"/>
  <c r="J6" i="11" s="1"/>
  <c r="D38" i="11"/>
  <c r="G38" i="11" s="1"/>
  <c r="AM116" i="12"/>
  <c r="AI116" i="12"/>
  <c r="AR68" i="12"/>
  <c r="J12" i="11" s="1"/>
  <c r="AC302" i="12"/>
  <c r="D43" i="11" s="1"/>
  <c r="G43" i="11" s="1"/>
  <c r="AI328" i="12"/>
  <c r="AO328" i="12" s="1"/>
  <c r="AC203" i="12"/>
  <c r="AB10" i="12"/>
  <c r="AQ10" i="12"/>
  <c r="AP10" i="12"/>
  <c r="AR10" i="12" s="1"/>
  <c r="X10" i="12"/>
  <c r="Y10" i="12" s="1"/>
  <c r="AA10" i="12" s="1"/>
  <c r="AC10" i="12" s="1"/>
  <c r="AE10" i="12"/>
  <c r="AH10" i="12" s="1"/>
  <c r="L17" i="1"/>
  <c r="M17" i="1" s="1"/>
  <c r="I17" i="1"/>
  <c r="C17" i="21" s="1"/>
  <c r="F18" i="1"/>
  <c r="H18" i="1" s="1"/>
  <c r="AM249" i="12"/>
  <c r="AI249" i="12"/>
  <c r="AR130" i="12"/>
  <c r="J24" i="11" s="1"/>
  <c r="AI14" i="12"/>
  <c r="AO14" i="12" s="1"/>
  <c r="AM248" i="12"/>
  <c r="AI248" i="12"/>
  <c r="AM68" i="12"/>
  <c r="AI68" i="12"/>
  <c r="AR43" i="12"/>
  <c r="J10" i="11" s="1"/>
  <c r="AM247" i="12"/>
  <c r="AI247" i="12"/>
  <c r="AO247" i="12" s="1"/>
  <c r="I37" i="1" l="1"/>
  <c r="C37" i="21" s="1"/>
  <c r="L37" i="1"/>
  <c r="M37" i="1" s="1"/>
  <c r="I52" i="1"/>
  <c r="C52" i="21" s="1"/>
  <c r="L52" i="1"/>
  <c r="M52" i="1" s="1"/>
  <c r="I35" i="1"/>
  <c r="C35" i="21" s="1"/>
  <c r="L35" i="1"/>
  <c r="M35" i="1" s="1"/>
  <c r="I50" i="1"/>
  <c r="C50" i="21" s="1"/>
  <c r="L50" i="1"/>
  <c r="M50" i="1" s="1"/>
  <c r="K44" i="11"/>
  <c r="F44" i="1" s="1"/>
  <c r="H44" i="1" s="1"/>
  <c r="F46" i="1"/>
  <c r="H46" i="1" s="1"/>
  <c r="AN269" i="12"/>
  <c r="AO269" i="12" s="1"/>
  <c r="E38" i="11" s="1"/>
  <c r="H38" i="11" s="1"/>
  <c r="K38" i="11" s="1"/>
  <c r="F38" i="1" s="1"/>
  <c r="H38" i="1" s="1"/>
  <c r="K11" i="11"/>
  <c r="F11" i="1" s="1"/>
  <c r="H11" i="1" s="1"/>
  <c r="K30" i="11"/>
  <c r="F30" i="1" s="1"/>
  <c r="H30" i="1" s="1"/>
  <c r="AO43" i="12"/>
  <c r="F8" i="1"/>
  <c r="H8" i="1" s="1"/>
  <c r="K8" i="11"/>
  <c r="F9" i="1"/>
  <c r="H9" i="1" s="1"/>
  <c r="K9" i="11"/>
  <c r="F28" i="1"/>
  <c r="H28" i="1" s="1"/>
  <c r="K28" i="11"/>
  <c r="F47" i="1"/>
  <c r="H47" i="1" s="1"/>
  <c r="L47" i="1" s="1"/>
  <c r="M47" i="1" s="1"/>
  <c r="K47" i="11"/>
  <c r="F48" i="1"/>
  <c r="H48" i="1" s="1"/>
  <c r="L48" i="1" s="1"/>
  <c r="M48" i="1" s="1"/>
  <c r="K48" i="11"/>
  <c r="F26" i="1"/>
  <c r="H26" i="1" s="1"/>
  <c r="K26" i="11"/>
  <c r="F13" i="1"/>
  <c r="H13" i="1" s="1"/>
  <c r="K13" i="11"/>
  <c r="F42" i="1"/>
  <c r="H42" i="1" s="1"/>
  <c r="L42" i="1" s="1"/>
  <c r="M42" i="1" s="1"/>
  <c r="K42" i="11"/>
  <c r="F33" i="1"/>
  <c r="H33" i="1" s="1"/>
  <c r="K33" i="11"/>
  <c r="F19" i="1"/>
  <c r="H19" i="1" s="1"/>
  <c r="K19" i="11"/>
  <c r="F25" i="1"/>
  <c r="H25" i="1" s="1"/>
  <c r="K25" i="11"/>
  <c r="F16" i="1"/>
  <c r="H16" i="1" s="1"/>
  <c r="K16" i="11"/>
  <c r="F14" i="1"/>
  <c r="H14" i="1" s="1"/>
  <c r="K14" i="11"/>
  <c r="F6" i="1"/>
  <c r="H6" i="1" s="1"/>
  <c r="I6" i="1" s="1"/>
  <c r="C6" i="21" s="1"/>
  <c r="E36" i="11"/>
  <c r="H36" i="11" s="1"/>
  <c r="AN234" i="12"/>
  <c r="AO234" i="12" s="1"/>
  <c r="E32" i="11" s="1"/>
  <c r="H32" i="11" s="1"/>
  <c r="AO347" i="12"/>
  <c r="E49" i="11" s="1"/>
  <c r="H49" i="11" s="1"/>
  <c r="K49" i="11" s="1"/>
  <c r="AO50" i="12"/>
  <c r="AN68" i="12"/>
  <c r="AO68" i="12" s="1"/>
  <c r="E12" i="11" s="1"/>
  <c r="H12" i="11" s="1"/>
  <c r="AN355" i="12"/>
  <c r="AO355" i="12" s="1"/>
  <c r="E51" i="11" s="1"/>
  <c r="H51" i="11" s="1"/>
  <c r="AO249" i="12"/>
  <c r="AO116" i="12"/>
  <c r="E22" i="11" s="1"/>
  <c r="H22" i="11" s="1"/>
  <c r="AO209" i="12"/>
  <c r="AN188" i="12"/>
  <c r="AO188" i="12" s="1"/>
  <c r="E29" i="11" s="1"/>
  <c r="H29" i="11" s="1"/>
  <c r="AO248" i="12"/>
  <c r="AO302" i="12"/>
  <c r="AO166" i="12"/>
  <c r="E27" i="11" s="1"/>
  <c r="H27" i="11" s="1"/>
  <c r="L14" i="1"/>
  <c r="M14" i="1" s="1"/>
  <c r="I14" i="1"/>
  <c r="C14" i="21" s="1"/>
  <c r="L25" i="1"/>
  <c r="M25" i="1" s="1"/>
  <c r="I25" i="1"/>
  <c r="C25" i="21" s="1"/>
  <c r="I19" i="1"/>
  <c r="C19" i="21" s="1"/>
  <c r="L19" i="1"/>
  <c r="M19" i="1" s="1"/>
  <c r="E31" i="11"/>
  <c r="H31" i="11" s="1"/>
  <c r="K31" i="11" s="1"/>
  <c r="E10" i="11"/>
  <c r="H10" i="11" s="1"/>
  <c r="I8" i="1"/>
  <c r="C8" i="21" s="1"/>
  <c r="H8" i="21" s="1"/>
  <c r="L46" i="1"/>
  <c r="M46" i="1" s="1"/>
  <c r="I46" i="1"/>
  <c r="C46" i="21" s="1"/>
  <c r="E34" i="11"/>
  <c r="H34" i="11" s="1"/>
  <c r="K34" i="11" s="1"/>
  <c r="I48" i="1"/>
  <c r="C48" i="21" s="1"/>
  <c r="E45" i="11"/>
  <c r="H45" i="11" s="1"/>
  <c r="E43" i="11"/>
  <c r="H43" i="11" s="1"/>
  <c r="L9" i="1"/>
  <c r="M9" i="1" s="1"/>
  <c r="I9" i="1"/>
  <c r="C9" i="21" s="1"/>
  <c r="I26" i="1"/>
  <c r="C26" i="21" s="1"/>
  <c r="L26" i="1"/>
  <c r="M26" i="1" s="1"/>
  <c r="L20" i="1"/>
  <c r="M20" i="1" s="1"/>
  <c r="I20" i="1"/>
  <c r="C20" i="21" s="1"/>
  <c r="I42" i="1"/>
  <c r="C42" i="21" s="1"/>
  <c r="K361" i="12"/>
  <c r="AQ5" i="12"/>
  <c r="AQ361" i="12" s="1"/>
  <c r="AP5" i="12"/>
  <c r="X5" i="12"/>
  <c r="AE5" i="12"/>
  <c r="AB5" i="12"/>
  <c r="AB361" i="12" s="1"/>
  <c r="AQ361" i="8"/>
  <c r="AR361" i="8" s="1"/>
  <c r="AR5" i="8"/>
  <c r="D5" i="1"/>
  <c r="I24" i="1"/>
  <c r="C24" i="21" s="1"/>
  <c r="L24" i="1"/>
  <c r="M24" i="1" s="1"/>
  <c r="L41" i="1"/>
  <c r="M41" i="1" s="1"/>
  <c r="I41" i="1"/>
  <c r="C41" i="21" s="1"/>
  <c r="I40" i="1"/>
  <c r="C40" i="21" s="1"/>
  <c r="L40" i="1"/>
  <c r="M40" i="1" s="1"/>
  <c r="AM10" i="12"/>
  <c r="AM361" i="12" s="1"/>
  <c r="AI10" i="12"/>
  <c r="AI361" i="12" s="1"/>
  <c r="I18" i="1"/>
  <c r="C18" i="21" s="1"/>
  <c r="L18" i="1"/>
  <c r="M18" i="1" s="1"/>
  <c r="I16" i="1"/>
  <c r="C16" i="21" s="1"/>
  <c r="L16" i="1"/>
  <c r="M16" i="1" s="1"/>
  <c r="J51" i="11"/>
  <c r="J44" i="11"/>
  <c r="J15" i="11"/>
  <c r="L15" i="1"/>
  <c r="M15" i="1" s="1"/>
  <c r="I15" i="1"/>
  <c r="C15" i="21" s="1"/>
  <c r="I13" i="1"/>
  <c r="C13" i="21" s="1"/>
  <c r="L13" i="1"/>
  <c r="M13" i="1" s="1"/>
  <c r="F49" i="1"/>
  <c r="H49" i="1" s="1"/>
  <c r="AN361" i="12"/>
  <c r="AO29" i="12"/>
  <c r="E7" i="11" s="1"/>
  <c r="H7" i="11" s="1"/>
  <c r="L6" i="1"/>
  <c r="M6" i="1" s="1"/>
  <c r="L39" i="1"/>
  <c r="M39" i="1" s="1"/>
  <c r="I39" i="1"/>
  <c r="C39" i="21" s="1"/>
  <c r="D34" i="11"/>
  <c r="G34" i="11" s="1"/>
  <c r="L28" i="1"/>
  <c r="M28" i="1" s="1"/>
  <c r="I28" i="1"/>
  <c r="C28" i="21" s="1"/>
  <c r="I21" i="1"/>
  <c r="C21" i="21" s="1"/>
  <c r="L21" i="1"/>
  <c r="M21" i="1" s="1"/>
  <c r="D31" i="11"/>
  <c r="G31" i="11" s="1"/>
  <c r="I44" i="1" l="1"/>
  <c r="C44" i="21" s="1"/>
  <c r="L44" i="1"/>
  <c r="M44" i="1" s="1"/>
  <c r="I30" i="1"/>
  <c r="C30" i="21" s="1"/>
  <c r="L30" i="1"/>
  <c r="M30" i="1" s="1"/>
  <c r="K29" i="11"/>
  <c r="F29" i="1" s="1"/>
  <c r="H29" i="1" s="1"/>
  <c r="I11" i="1"/>
  <c r="C11" i="21" s="1"/>
  <c r="L11" i="1"/>
  <c r="M11" i="1" s="1"/>
  <c r="K7" i="11"/>
  <c r="F7" i="1" s="1"/>
  <c r="H7" i="1" s="1"/>
  <c r="K32" i="11"/>
  <c r="F32" i="1" s="1"/>
  <c r="H32" i="1" s="1"/>
  <c r="K10" i="11"/>
  <c r="F10" i="1" s="1"/>
  <c r="H10" i="1" s="1"/>
  <c r="K36" i="11"/>
  <c r="F36" i="1" s="1"/>
  <c r="H36" i="1" s="1"/>
  <c r="K43" i="11"/>
  <c r="F43" i="1" s="1"/>
  <c r="H43" i="1" s="1"/>
  <c r="F31" i="1"/>
  <c r="H31" i="1" s="1"/>
  <c r="F22" i="1"/>
  <c r="H22" i="1" s="1"/>
  <c r="L22" i="1" s="1"/>
  <c r="M22" i="1" s="1"/>
  <c r="K22" i="11"/>
  <c r="F45" i="1"/>
  <c r="H45" i="1" s="1"/>
  <c r="L45" i="1" s="1"/>
  <c r="M45" i="1" s="1"/>
  <c r="K45" i="11"/>
  <c r="I47" i="1"/>
  <c r="C47" i="21" s="1"/>
  <c r="K27" i="11"/>
  <c r="F27" i="1" s="1"/>
  <c r="H27" i="1" s="1"/>
  <c r="I27" i="1" s="1"/>
  <c r="C27" i="21" s="1"/>
  <c r="H27" i="21" s="1"/>
  <c r="K27" i="1" s="1"/>
  <c r="L27" i="1" s="1"/>
  <c r="M27" i="1" s="1"/>
  <c r="K51" i="11"/>
  <c r="F51" i="1" s="1"/>
  <c r="H51" i="1" s="1"/>
  <c r="I33" i="1"/>
  <c r="C33" i="21" s="1"/>
  <c r="L33" i="1"/>
  <c r="M33" i="1" s="1"/>
  <c r="K12" i="11"/>
  <c r="F12" i="1" s="1"/>
  <c r="H12" i="1" s="1"/>
  <c r="F34" i="1"/>
  <c r="H34" i="1" s="1"/>
  <c r="I34" i="1" s="1"/>
  <c r="C34" i="21" s="1"/>
  <c r="I22" i="1"/>
  <c r="C22" i="21" s="1"/>
  <c r="AO10" i="12"/>
  <c r="I45" i="1"/>
  <c r="C45" i="21" s="1"/>
  <c r="K8" i="1"/>
  <c r="D54" i="1"/>
  <c r="AE361" i="12"/>
  <c r="AH5" i="12"/>
  <c r="L31" i="1"/>
  <c r="M31" i="1" s="1"/>
  <c r="I31" i="1"/>
  <c r="C31" i="21" s="1"/>
  <c r="X361" i="12"/>
  <c r="Y5" i="12"/>
  <c r="L49" i="1"/>
  <c r="M49" i="1" s="1"/>
  <c r="I49" i="1"/>
  <c r="C49" i="21" s="1"/>
  <c r="AP361" i="12"/>
  <c r="AR5" i="12"/>
  <c r="L38" i="1"/>
  <c r="M38" i="1" s="1"/>
  <c r="I38" i="1"/>
  <c r="C38" i="21" s="1"/>
  <c r="I7" i="1" l="1"/>
  <c r="C7" i="21" s="1"/>
  <c r="L7" i="1"/>
  <c r="M7" i="1" s="1"/>
  <c r="L12" i="1"/>
  <c r="M12" i="1" s="1"/>
  <c r="I12" i="1"/>
  <c r="C12" i="21" s="1"/>
  <c r="I29" i="1"/>
  <c r="C29" i="21" s="1"/>
  <c r="L29" i="1"/>
  <c r="M29" i="1" s="1"/>
  <c r="L51" i="1"/>
  <c r="M51" i="1" s="1"/>
  <c r="I51" i="1"/>
  <c r="C51" i="21" s="1"/>
  <c r="L43" i="1"/>
  <c r="M43" i="1" s="1"/>
  <c r="I43" i="1"/>
  <c r="C43" i="21" s="1"/>
  <c r="L36" i="1"/>
  <c r="M36" i="1" s="1"/>
  <c r="I36" i="1"/>
  <c r="C36" i="21" s="1"/>
  <c r="I10" i="1"/>
  <c r="C10" i="21" s="1"/>
  <c r="L10" i="1"/>
  <c r="M10" i="1" s="1"/>
  <c r="I32" i="1"/>
  <c r="C32" i="21" s="1"/>
  <c r="L32" i="1"/>
  <c r="M32" i="1" s="1"/>
  <c r="L34" i="1"/>
  <c r="M34" i="1" s="1"/>
  <c r="AR361" i="12"/>
  <c r="J5" i="11"/>
  <c r="J54" i="11" s="1"/>
  <c r="AH361" i="12"/>
  <c r="AJ5" i="12"/>
  <c r="AJ361" i="12" s="1"/>
  <c r="K54" i="1"/>
  <c r="L8" i="1"/>
  <c r="M8" i="1" s="1"/>
  <c r="H54" i="21"/>
  <c r="Y361" i="12"/>
  <c r="AA5" i="12"/>
  <c r="AA361" i="12" l="1"/>
  <c r="AC5" i="12"/>
  <c r="AO5" i="12"/>
  <c r="AO361" i="12" l="1"/>
  <c r="E5" i="11"/>
  <c r="AC361" i="12"/>
  <c r="D5" i="11"/>
  <c r="G5" i="11" l="1"/>
  <c r="D54" i="11"/>
  <c r="H5" i="11"/>
  <c r="E54" i="11"/>
  <c r="H54" i="11" l="1"/>
  <c r="K5" i="11"/>
  <c r="G54" i="11"/>
  <c r="K54" i="11" l="1"/>
  <c r="F5" i="1"/>
  <c r="F54" i="1" l="1"/>
  <c r="H5" i="1"/>
  <c r="I5" i="1" l="1"/>
  <c r="C5" i="21" s="1"/>
  <c r="H54" i="1"/>
  <c r="L5" i="1"/>
  <c r="I54" i="1" l="1"/>
  <c r="C54" i="21" s="1"/>
  <c r="M5" i="1"/>
  <c r="L54" i="1"/>
  <c r="M54" i="1" l="1"/>
</calcChain>
</file>

<file path=xl/comments1.xml><?xml version="1.0" encoding="utf-8"?>
<comments xmlns="http://schemas.openxmlformats.org/spreadsheetml/2006/main">
  <authors>
    <author>Matthew Willmarth</author>
  </authors>
  <commentList>
    <comment ref="B72" authorId="0" shapeId="0">
      <text>
        <r>
          <rPr>
            <sz val="10"/>
            <color indexed="81"/>
            <rFont val="Calibri"/>
            <family val="2"/>
            <scheme val="minor"/>
          </rPr>
          <t>Not adjusted by ECA in future years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3" authorId="0" shapeId="0">
      <text>
        <r>
          <rPr>
            <sz val="10"/>
            <color indexed="81"/>
            <rFont val="Calibri"/>
            <family val="2"/>
            <scheme val="minor"/>
          </rPr>
          <t>Not adjusted by ECA in future years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26" authorId="0" shapeId="0">
      <text>
        <r>
          <rPr>
            <sz val="9"/>
            <color indexed="81"/>
            <rFont val="Tahoma"/>
            <family val="2"/>
          </rPr>
          <t>http://www.irs.gov/pub/irs-pdf/p15.pdf</t>
        </r>
      </text>
    </comment>
    <comment ref="B127" authorId="0" shapeId="0">
      <text>
        <r>
          <rPr>
            <sz val="9"/>
            <color indexed="81"/>
            <rFont val="Tahoma"/>
            <family val="2"/>
          </rPr>
          <t>http://www.irs.gov/pub/irs-pdf/p15.pdf</t>
        </r>
      </text>
    </comment>
  </commentList>
</comments>
</file>

<file path=xl/comments2.xml><?xml version="1.0" encoding="utf-8"?>
<comments xmlns="http://schemas.openxmlformats.org/spreadsheetml/2006/main">
  <authors>
    <author>Matthew Willmarth</author>
  </authors>
  <commentList>
    <comment ref="B85" authorId="0" shapeId="0">
      <text>
        <r>
          <rPr>
            <sz val="9"/>
            <color indexed="81"/>
            <rFont val="Tahoma"/>
            <family val="2"/>
          </rPr>
          <t>http://www.irs.gov/pub/irs-pdf/p15.pdf</t>
        </r>
      </text>
    </comment>
    <comment ref="B86" authorId="0" shapeId="0">
      <text>
        <r>
          <rPr>
            <sz val="9"/>
            <color indexed="81"/>
            <rFont val="Tahoma"/>
            <family val="2"/>
          </rPr>
          <t>http://www.irs.gov/pub/irs-pdf/p15.pdf</t>
        </r>
      </text>
    </comment>
  </commentList>
</comments>
</file>

<file path=xl/comments3.xml><?xml version="1.0" encoding="utf-8"?>
<comments xmlns="http://schemas.openxmlformats.org/spreadsheetml/2006/main">
  <authors>
    <author>Matthew Willmarth</author>
  </authors>
  <commentList>
    <comment ref="B85" authorId="0" shapeId="0">
      <text>
        <r>
          <rPr>
            <sz val="9"/>
            <color indexed="81"/>
            <rFont val="Tahoma"/>
            <family val="2"/>
          </rPr>
          <t>http://www.irs.gov/pub/irs-pdf/p15.pdf</t>
        </r>
      </text>
    </comment>
    <comment ref="B86" authorId="0" shapeId="0">
      <text>
        <r>
          <rPr>
            <sz val="9"/>
            <color indexed="81"/>
            <rFont val="Tahoma"/>
            <family val="2"/>
          </rPr>
          <t>http://www.irs.gov/pub/irs-pdf/p15.pdf</t>
        </r>
      </text>
    </comment>
  </commentList>
</comments>
</file>

<file path=xl/comments4.xml><?xml version="1.0" encoding="utf-8"?>
<comments xmlns="http://schemas.openxmlformats.org/spreadsheetml/2006/main">
  <authors>
    <author>Matthew Willmarth</author>
  </authors>
  <commentList>
    <comment ref="E12" authorId="0" shapeId="0">
      <text>
        <r>
          <rPr>
            <b/>
            <sz val="9"/>
            <color indexed="81"/>
            <rFont val="Tahoma"/>
            <family val="2"/>
          </rPr>
          <t>Matthew Willmarth:</t>
        </r>
        <r>
          <rPr>
            <sz val="9"/>
            <color indexed="81"/>
            <rFont val="Tahoma"/>
            <family val="2"/>
          </rPr>
          <t xml:space="preserve">
P-6 to P-5</t>
        </r>
      </text>
    </comment>
    <comment ref="E14" authorId="0" shapeId="0">
      <text>
        <r>
          <rPr>
            <b/>
            <sz val="9"/>
            <color indexed="81"/>
            <rFont val="Tahoma"/>
            <family val="2"/>
          </rPr>
          <t>Matthew Willmarth:</t>
        </r>
        <r>
          <rPr>
            <sz val="9"/>
            <color indexed="81"/>
            <rFont val="Tahoma"/>
            <family val="2"/>
          </rPr>
          <t xml:space="preserve">
K-6 to K-5
</t>
        </r>
      </text>
    </comment>
    <comment ref="E15" authorId="0" shapeId="0">
      <text>
        <r>
          <rPr>
            <b/>
            <sz val="9"/>
            <color indexed="81"/>
            <rFont val="Tahoma"/>
            <family val="2"/>
          </rPr>
          <t>Matthew Willmarth:</t>
        </r>
        <r>
          <rPr>
            <sz val="9"/>
            <color indexed="81"/>
            <rFont val="Tahoma"/>
            <family val="2"/>
          </rPr>
          <t xml:space="preserve">
K-9 to K-8
</t>
        </r>
      </text>
    </comment>
    <comment ref="E18" authorId="0" shapeId="0">
      <text>
        <r>
          <rPr>
            <b/>
            <sz val="9"/>
            <color indexed="81"/>
            <rFont val="Tahoma"/>
            <family val="2"/>
          </rPr>
          <t>Matthew Willmarth:</t>
        </r>
        <r>
          <rPr>
            <sz val="9"/>
            <color indexed="81"/>
            <rFont val="Tahoma"/>
            <family val="2"/>
          </rPr>
          <t xml:space="preserve">
6-9 to 6-8</t>
        </r>
      </text>
    </comment>
    <comment ref="E20" authorId="0" shapeId="0">
      <text>
        <r>
          <rPr>
            <b/>
            <sz val="9"/>
            <color indexed="81"/>
            <rFont val="Tahoma"/>
            <family val="2"/>
          </rPr>
          <t>Matthew Willmarth:</t>
        </r>
        <r>
          <rPr>
            <sz val="9"/>
            <color indexed="81"/>
            <rFont val="Tahoma"/>
            <family val="2"/>
          </rPr>
          <t xml:space="preserve">
10-12 to 9-12</t>
        </r>
      </text>
    </comment>
  </commentList>
</comments>
</file>

<file path=xl/comments5.xml><?xml version="1.0" encoding="utf-8"?>
<comments xmlns="http://schemas.openxmlformats.org/spreadsheetml/2006/main">
  <authors>
    <author>jcicar</author>
    <author>Matthew Willmarth</author>
    <author>Jed Cicarelli</author>
  </authors>
  <commentList>
    <comment ref="N37" authorId="0" shapeId="0">
      <text>
        <r>
          <rPr>
            <b/>
            <sz val="9"/>
            <color indexed="81"/>
            <rFont val="Tahoma"/>
            <family val="2"/>
          </rPr>
          <t>jcicar:</t>
        </r>
        <r>
          <rPr>
            <sz val="9"/>
            <color indexed="81"/>
            <rFont val="Tahoma"/>
            <family val="2"/>
          </rPr>
          <t xml:space="preserve">
per district email 6-3-16jc</t>
        </r>
      </text>
    </comment>
    <comment ref="N38" authorId="0" shapeId="0">
      <text>
        <r>
          <rPr>
            <b/>
            <sz val="9"/>
            <color indexed="81"/>
            <rFont val="Tahoma"/>
            <family val="2"/>
          </rPr>
          <t>jcicar:</t>
        </r>
        <r>
          <rPr>
            <sz val="9"/>
            <color indexed="81"/>
            <rFont val="Tahoma"/>
            <family val="2"/>
          </rPr>
          <t xml:space="preserve">
per district email 6-3-16jc</t>
        </r>
      </text>
    </comment>
    <comment ref="N39" authorId="0" shapeId="0">
      <text>
        <r>
          <rPr>
            <b/>
            <sz val="9"/>
            <color indexed="81"/>
            <rFont val="Tahoma"/>
            <family val="2"/>
          </rPr>
          <t>jcicar:</t>
        </r>
        <r>
          <rPr>
            <sz val="9"/>
            <color indexed="81"/>
            <rFont val="Tahoma"/>
            <family val="2"/>
          </rPr>
          <t xml:space="preserve">
per district email 6-3-16jc</t>
        </r>
      </text>
    </comment>
    <comment ref="N40" authorId="0" shapeId="0">
      <text>
        <r>
          <rPr>
            <b/>
            <sz val="9"/>
            <color indexed="81"/>
            <rFont val="Tahoma"/>
            <family val="2"/>
          </rPr>
          <t>jcicar:</t>
        </r>
        <r>
          <rPr>
            <sz val="9"/>
            <color indexed="81"/>
            <rFont val="Tahoma"/>
            <family val="2"/>
          </rPr>
          <t xml:space="preserve">
per district email 6-3-16jc</t>
        </r>
      </text>
    </comment>
    <comment ref="N41" authorId="0" shapeId="0">
      <text>
        <r>
          <rPr>
            <b/>
            <sz val="9"/>
            <color indexed="81"/>
            <rFont val="Tahoma"/>
            <family val="2"/>
          </rPr>
          <t>jcicar:</t>
        </r>
        <r>
          <rPr>
            <sz val="9"/>
            <color indexed="81"/>
            <rFont val="Tahoma"/>
            <family val="2"/>
          </rPr>
          <t xml:space="preserve">
per district email 6-3-16jc</t>
        </r>
      </text>
    </comment>
    <comment ref="N42" authorId="0" shapeId="0">
      <text>
        <r>
          <rPr>
            <b/>
            <sz val="9"/>
            <color indexed="81"/>
            <rFont val="Tahoma"/>
            <family val="2"/>
          </rPr>
          <t>jcicar:</t>
        </r>
        <r>
          <rPr>
            <sz val="9"/>
            <color indexed="81"/>
            <rFont val="Tahoma"/>
            <family val="2"/>
          </rPr>
          <t xml:space="preserve">
per district email 6-3-16jc</t>
        </r>
      </text>
    </comment>
    <comment ref="N43" authorId="0" shapeId="0">
      <text>
        <r>
          <rPr>
            <b/>
            <sz val="9"/>
            <color indexed="81"/>
            <rFont val="Tahoma"/>
            <family val="2"/>
          </rPr>
          <t>jcicar:</t>
        </r>
        <r>
          <rPr>
            <sz val="9"/>
            <color indexed="81"/>
            <rFont val="Tahoma"/>
            <family val="2"/>
          </rPr>
          <t xml:space="preserve">
per district email 6-3-16jc</t>
        </r>
      </text>
    </comment>
    <comment ref="N44" authorId="0" shapeId="0">
      <text>
        <r>
          <rPr>
            <b/>
            <sz val="9"/>
            <color indexed="81"/>
            <rFont val="Tahoma"/>
            <family val="2"/>
          </rPr>
          <t>jcicar:</t>
        </r>
        <r>
          <rPr>
            <sz val="9"/>
            <color indexed="81"/>
            <rFont val="Tahoma"/>
            <family val="2"/>
          </rPr>
          <t xml:space="preserve">
per district email 6-3-16jc</t>
        </r>
      </text>
    </comment>
    <comment ref="N45" authorId="0" shapeId="0">
      <text>
        <r>
          <rPr>
            <b/>
            <sz val="9"/>
            <color indexed="81"/>
            <rFont val="Tahoma"/>
            <family val="2"/>
          </rPr>
          <t>jcicar:</t>
        </r>
        <r>
          <rPr>
            <sz val="9"/>
            <color indexed="81"/>
            <rFont val="Tahoma"/>
            <family val="2"/>
          </rPr>
          <t xml:space="preserve">
per district email 6-3-16jc</t>
        </r>
      </text>
    </comment>
    <comment ref="N46" authorId="0" shapeId="0">
      <text>
        <r>
          <rPr>
            <b/>
            <sz val="9"/>
            <color indexed="81"/>
            <rFont val="Tahoma"/>
            <family val="2"/>
          </rPr>
          <t>jcicar:</t>
        </r>
        <r>
          <rPr>
            <sz val="9"/>
            <color indexed="81"/>
            <rFont val="Tahoma"/>
            <family val="2"/>
          </rPr>
          <t xml:space="preserve">
per district email 6-3-16jc</t>
        </r>
      </text>
    </comment>
    <comment ref="N47" authorId="0" shapeId="0">
      <text>
        <r>
          <rPr>
            <b/>
            <sz val="9"/>
            <color indexed="81"/>
            <rFont val="Tahoma"/>
            <family val="2"/>
          </rPr>
          <t>jcicar:</t>
        </r>
        <r>
          <rPr>
            <sz val="9"/>
            <color indexed="81"/>
            <rFont val="Tahoma"/>
            <family val="2"/>
          </rPr>
          <t xml:space="preserve">
per district email 6-3-16jc</t>
        </r>
      </text>
    </comment>
    <comment ref="N48" authorId="0" shapeId="0">
      <text>
        <r>
          <rPr>
            <b/>
            <sz val="9"/>
            <color indexed="81"/>
            <rFont val="Tahoma"/>
            <family val="2"/>
          </rPr>
          <t>jcicar:</t>
        </r>
        <r>
          <rPr>
            <sz val="9"/>
            <color indexed="81"/>
            <rFont val="Tahoma"/>
            <family val="2"/>
          </rPr>
          <t xml:space="preserve">
per district email 6-3-16jc</t>
        </r>
      </text>
    </comment>
    <comment ref="N49" authorId="0" shapeId="0">
      <text>
        <r>
          <rPr>
            <b/>
            <sz val="9"/>
            <color indexed="81"/>
            <rFont val="Tahoma"/>
            <family val="2"/>
          </rPr>
          <t>jcicar:</t>
        </r>
        <r>
          <rPr>
            <sz val="9"/>
            <color indexed="81"/>
            <rFont val="Tahoma"/>
            <family val="2"/>
          </rPr>
          <t xml:space="preserve">
per district email 6-3-16jc</t>
        </r>
      </text>
    </comment>
    <comment ref="N50" authorId="0" shapeId="0">
      <text>
        <r>
          <rPr>
            <b/>
            <sz val="9"/>
            <color indexed="81"/>
            <rFont val="Tahoma"/>
            <family val="2"/>
          </rPr>
          <t>jcicar:</t>
        </r>
        <r>
          <rPr>
            <sz val="9"/>
            <color indexed="81"/>
            <rFont val="Tahoma"/>
            <family val="2"/>
          </rPr>
          <t xml:space="preserve">
per district email 6-3-16jc</t>
        </r>
      </text>
    </comment>
    <comment ref="N51" authorId="0" shapeId="0">
      <text>
        <r>
          <rPr>
            <b/>
            <sz val="9"/>
            <color indexed="81"/>
            <rFont val="Tahoma"/>
            <family val="2"/>
          </rPr>
          <t>jcicar:</t>
        </r>
        <r>
          <rPr>
            <sz val="9"/>
            <color indexed="81"/>
            <rFont val="Tahoma"/>
            <family val="2"/>
          </rPr>
          <t xml:space="preserve">
per district email 6-3-16jc</t>
        </r>
      </text>
    </comment>
    <comment ref="N52" authorId="0" shapeId="0">
      <text>
        <r>
          <rPr>
            <b/>
            <sz val="9"/>
            <color indexed="81"/>
            <rFont val="Tahoma"/>
            <family val="2"/>
          </rPr>
          <t>jcicar:</t>
        </r>
        <r>
          <rPr>
            <sz val="9"/>
            <color indexed="81"/>
            <rFont val="Tahoma"/>
            <family val="2"/>
          </rPr>
          <t xml:space="preserve">
per district email 6-3-16jc</t>
        </r>
      </text>
    </comment>
    <comment ref="K53" authorId="1" shapeId="0">
      <text>
        <r>
          <rPr>
            <b/>
            <sz val="9"/>
            <color indexed="81"/>
            <rFont val="Tahoma"/>
            <family val="2"/>
          </rPr>
          <t>Matthew Willmarth:</t>
        </r>
        <r>
          <rPr>
            <sz val="9"/>
            <color indexed="81"/>
            <rFont val="Tahoma"/>
            <family val="2"/>
          </rPr>
          <t xml:space="preserve">
Hard coded
</t>
        </r>
      </text>
    </comment>
    <comment ref="N54" authorId="0" shapeId="0">
      <text>
        <r>
          <rPr>
            <b/>
            <sz val="9"/>
            <color indexed="81"/>
            <rFont val="Tahoma"/>
            <family val="2"/>
          </rPr>
          <t>jcicar:</t>
        </r>
        <r>
          <rPr>
            <sz val="9"/>
            <color indexed="81"/>
            <rFont val="Tahoma"/>
            <family val="2"/>
          </rPr>
          <t xml:space="preserve">
per district email 6-3-16jc</t>
        </r>
      </text>
    </comment>
    <comment ref="N55" authorId="0" shapeId="0">
      <text>
        <r>
          <rPr>
            <b/>
            <sz val="9"/>
            <color indexed="81"/>
            <rFont val="Tahoma"/>
            <family val="2"/>
          </rPr>
          <t>jcicar:</t>
        </r>
        <r>
          <rPr>
            <sz val="9"/>
            <color indexed="81"/>
            <rFont val="Tahoma"/>
            <family val="2"/>
          </rPr>
          <t xml:space="preserve">
per district email 6-3-16jc</t>
        </r>
      </text>
    </comment>
    <comment ref="N56" authorId="0" shapeId="0">
      <text>
        <r>
          <rPr>
            <b/>
            <sz val="9"/>
            <color indexed="81"/>
            <rFont val="Tahoma"/>
            <family val="2"/>
          </rPr>
          <t>jcicar:</t>
        </r>
        <r>
          <rPr>
            <sz val="9"/>
            <color indexed="81"/>
            <rFont val="Tahoma"/>
            <family val="2"/>
          </rPr>
          <t xml:space="preserve">
per district email 6-3-16jc</t>
        </r>
      </text>
    </comment>
    <comment ref="L60" authorId="0" shapeId="0">
      <text>
        <r>
          <rPr>
            <b/>
            <sz val="9"/>
            <color indexed="81"/>
            <rFont val="Tahoma"/>
            <family val="2"/>
          </rPr>
          <t>jcicar:</t>
        </r>
        <r>
          <rPr>
            <sz val="9"/>
            <color indexed="81"/>
            <rFont val="Tahoma"/>
            <family val="2"/>
          </rPr>
          <t xml:space="preserve">
Includes K-1 </t>
        </r>
        <r>
          <rPr>
            <b/>
            <sz val="9"/>
            <color indexed="81"/>
            <rFont val="Tahoma"/>
            <family val="2"/>
          </rPr>
          <t>and</t>
        </r>
        <r>
          <rPr>
            <sz val="9"/>
            <color indexed="81"/>
            <rFont val="Tahoma"/>
            <family val="2"/>
          </rPr>
          <t xml:space="preserve"> 2-5 building - verified through SFD 1-16-14</t>
        </r>
      </text>
    </comment>
    <comment ref="N61" authorId="0" shapeId="0">
      <text>
        <r>
          <rPr>
            <b/>
            <sz val="9"/>
            <color indexed="81"/>
            <rFont val="Tahoma"/>
            <family val="2"/>
          </rPr>
          <t>jcicar:</t>
        </r>
        <r>
          <rPr>
            <sz val="9"/>
            <color indexed="81"/>
            <rFont val="Tahoma"/>
            <family val="2"/>
          </rPr>
          <t xml:space="preserve">
Includes K-1 </t>
        </r>
        <r>
          <rPr>
            <b/>
            <sz val="9"/>
            <color indexed="81"/>
            <rFont val="Tahoma"/>
            <family val="2"/>
          </rPr>
          <t>and</t>
        </r>
        <r>
          <rPr>
            <sz val="9"/>
            <color indexed="81"/>
            <rFont val="Tahoma"/>
            <family val="2"/>
          </rPr>
          <t xml:space="preserve"> 2-5 building 
</t>
        </r>
      </text>
    </comment>
    <comment ref="N63" authorId="1" shapeId="0">
      <text>
        <r>
          <rPr>
            <b/>
            <sz val="9"/>
            <color indexed="81"/>
            <rFont val="Tahoma"/>
            <family val="2"/>
          </rPr>
          <t>Matthew Willmarth:</t>
        </r>
        <r>
          <rPr>
            <sz val="9"/>
            <color indexed="81"/>
            <rFont val="Tahoma"/>
            <family val="2"/>
          </rPr>
          <t xml:space="preserve">
Per Jed 11-07</t>
        </r>
      </text>
    </comment>
    <comment ref="I88" authorId="0" shapeId="0">
      <text>
        <r>
          <rPr>
            <b/>
            <sz val="9"/>
            <color indexed="81"/>
            <rFont val="Tahoma"/>
            <family val="2"/>
          </rPr>
          <t>jcicar:</t>
        </r>
        <r>
          <rPr>
            <sz val="9"/>
            <color indexed="81"/>
            <rFont val="Tahoma"/>
            <family val="2"/>
          </rPr>
          <t xml:space="preserve">
per HB127 of the 2011 session, if no allowable calculation is available the allowable GSF shall = actual educational GSF</t>
        </r>
      </text>
    </comment>
    <comment ref="N88" authorId="0" shapeId="0">
      <text>
        <r>
          <rPr>
            <b/>
            <sz val="9"/>
            <color indexed="81"/>
            <rFont val="Tahoma"/>
            <family val="2"/>
          </rPr>
          <t>jcicar:</t>
        </r>
        <r>
          <rPr>
            <sz val="9"/>
            <color indexed="81"/>
            <rFont val="Tahoma"/>
            <family val="2"/>
          </rPr>
          <t xml:space="preserve">
Per district email 4-28-16</t>
        </r>
      </text>
    </comment>
    <comment ref="N91" authorId="0" shapeId="0">
      <text>
        <r>
          <rPr>
            <b/>
            <sz val="9"/>
            <color indexed="81"/>
            <rFont val="Tahoma"/>
            <family val="2"/>
          </rPr>
          <t>jcicar:</t>
        </r>
        <r>
          <rPr>
            <sz val="9"/>
            <color indexed="81"/>
            <rFont val="Tahoma"/>
            <family val="2"/>
          </rPr>
          <t xml:space="preserve">
Per district email 4-28-16</t>
        </r>
      </text>
    </comment>
    <comment ref="N114" authorId="2" shapeId="0">
      <text>
        <r>
          <rPr>
            <b/>
            <sz val="9"/>
            <color indexed="81"/>
            <rFont val="Tahoma"/>
            <family val="2"/>
          </rPr>
          <t>Jed Cicarelli:</t>
        </r>
        <r>
          <rPr>
            <sz val="9"/>
            <color indexed="81"/>
            <rFont val="Tahoma"/>
            <family val="2"/>
          </rPr>
          <t xml:space="preserve">
classroom count per AiM 7-3-17</t>
        </r>
      </text>
    </comment>
    <comment ref="N115" authorId="0" shapeId="0">
      <text>
        <r>
          <rPr>
            <b/>
            <sz val="9"/>
            <color indexed="81"/>
            <rFont val="Tahoma"/>
            <family val="2"/>
          </rPr>
          <t>jcicar:</t>
        </r>
        <r>
          <rPr>
            <sz val="9"/>
            <color indexed="81"/>
            <rFont val="Tahoma"/>
            <family val="2"/>
          </rPr>
          <t xml:space="preserve">
Classroom count per district email 5-12-16</t>
        </r>
      </text>
    </comment>
    <comment ref="N116" authorId="0" shapeId="0">
      <text>
        <r>
          <rPr>
            <b/>
            <sz val="9"/>
            <color indexed="81"/>
            <rFont val="Tahoma"/>
            <family val="2"/>
          </rPr>
          <t>jcicar:</t>
        </r>
        <r>
          <rPr>
            <sz val="9"/>
            <color indexed="81"/>
            <rFont val="Tahoma"/>
            <family val="2"/>
          </rPr>
          <t xml:space="preserve">
Classroom count per district email 5-12-16</t>
        </r>
      </text>
    </comment>
    <comment ref="N117" authorId="0" shapeId="0">
      <text>
        <r>
          <rPr>
            <b/>
            <sz val="9"/>
            <color indexed="81"/>
            <rFont val="Tahoma"/>
            <family val="2"/>
          </rPr>
          <t>jcicar:</t>
        </r>
        <r>
          <rPr>
            <sz val="9"/>
            <color indexed="81"/>
            <rFont val="Tahoma"/>
            <family val="2"/>
          </rPr>
          <t xml:space="preserve">
Classroom count per district email 5-12-16</t>
        </r>
      </text>
    </comment>
    <comment ref="N118" authorId="0" shapeId="0">
      <text>
        <r>
          <rPr>
            <b/>
            <sz val="9"/>
            <color indexed="81"/>
            <rFont val="Tahoma"/>
            <family val="2"/>
          </rPr>
          <t>jcicar:</t>
        </r>
        <r>
          <rPr>
            <sz val="9"/>
            <color indexed="81"/>
            <rFont val="Tahoma"/>
            <family val="2"/>
          </rPr>
          <t xml:space="preserve">
Classroom count per district email 5-12-16</t>
        </r>
      </text>
    </comment>
    <comment ref="H119" authorId="1" shapeId="0">
      <text>
        <r>
          <rPr>
            <b/>
            <sz val="9"/>
            <color indexed="81"/>
            <rFont val="Tahoma"/>
            <family val="2"/>
          </rPr>
          <t>Matthew Willmarth:</t>
        </r>
        <r>
          <rPr>
            <sz val="9"/>
            <color indexed="81"/>
            <rFont val="Tahoma"/>
            <family val="2"/>
          </rPr>
          <t xml:space="preserve">
AiM shows actual GSF as 57,902, but SFD MM worksheet has GSF of 55,843. 57,902 is being used less, 2,145 enhancement.</t>
        </r>
      </text>
    </comment>
    <comment ref="N119" authorId="0" shapeId="0">
      <text>
        <r>
          <rPr>
            <b/>
            <sz val="9"/>
            <color indexed="81"/>
            <rFont val="Tahoma"/>
            <family val="2"/>
          </rPr>
          <t>jcicar:</t>
        </r>
        <r>
          <rPr>
            <sz val="9"/>
            <color indexed="81"/>
            <rFont val="Tahoma"/>
            <family val="2"/>
          </rPr>
          <t xml:space="preserve">
Classroom count per AiM 7-3-17</t>
        </r>
      </text>
    </comment>
    <comment ref="N120" authorId="0" shapeId="0">
      <text>
        <r>
          <rPr>
            <b/>
            <sz val="9"/>
            <color indexed="81"/>
            <rFont val="Tahoma"/>
            <family val="2"/>
          </rPr>
          <t>jcicar:</t>
        </r>
        <r>
          <rPr>
            <sz val="9"/>
            <color indexed="81"/>
            <rFont val="Tahoma"/>
            <family val="2"/>
          </rPr>
          <t xml:space="preserve">
Classroom count per district email 5-12-16</t>
        </r>
      </text>
    </comment>
    <comment ref="N121" authorId="0" shapeId="0">
      <text>
        <r>
          <rPr>
            <b/>
            <sz val="9"/>
            <color indexed="81"/>
            <rFont val="Tahoma"/>
            <family val="2"/>
          </rPr>
          <t>jcicar:</t>
        </r>
        <r>
          <rPr>
            <sz val="9"/>
            <color indexed="81"/>
            <rFont val="Tahoma"/>
            <family val="2"/>
          </rPr>
          <t xml:space="preserve">
Classroom count per district email 5-12-16</t>
        </r>
      </text>
    </comment>
    <comment ref="I122" authorId="0" shapeId="0">
      <text>
        <r>
          <rPr>
            <b/>
            <sz val="9"/>
            <color indexed="81"/>
            <rFont val="Tahoma"/>
            <family val="2"/>
          </rPr>
          <t>jcicar:</t>
        </r>
        <r>
          <rPr>
            <sz val="9"/>
            <color indexed="81"/>
            <rFont val="Tahoma"/>
            <family val="2"/>
          </rPr>
          <t xml:space="preserve">
Educational space of lease per district phone call is 5,369 as follows:
2 classrooms for 1,908
2 classrooms  for 1,418
1 classroom for 543
3-21-16</t>
        </r>
      </text>
    </comment>
    <comment ref="L126" authorId="1" shapeId="0">
      <text>
        <r>
          <rPr>
            <b/>
            <sz val="9"/>
            <color indexed="81"/>
            <rFont val="Tahoma"/>
            <family val="2"/>
          </rPr>
          <t>Matthew Willmarth:</t>
        </r>
        <r>
          <rPr>
            <sz val="9"/>
            <color indexed="81"/>
            <rFont val="Tahoma"/>
            <family val="2"/>
          </rPr>
          <t xml:space="preserve">
The 1972 build date is per the SFD for 0801-004-0100.  Below are the notes entered into AiM by Charlie: "PER PHONE CALL WITH MARCY CATES (6.27.17) - UPDATED DATE TO BLDG DATE TO 1972 FOR ADDITION, DISTRICT SOLD MOST OF THE 1928 PORTION OF BLDG TO TOWN."</t>
        </r>
      </text>
    </comment>
    <comment ref="N127" authorId="2" shapeId="0">
      <text>
        <r>
          <rPr>
            <b/>
            <sz val="9"/>
            <color indexed="81"/>
            <rFont val="Tahoma"/>
            <family val="2"/>
          </rPr>
          <t>Jed Cicarelli:</t>
        </r>
        <r>
          <rPr>
            <sz val="9"/>
            <color indexed="81"/>
            <rFont val="Tahoma"/>
            <family val="2"/>
          </rPr>
          <t xml:space="preserve">
Counts per district email dated 6/30/17</t>
        </r>
      </text>
    </comment>
    <comment ref="N144" authorId="0" shapeId="0">
      <text>
        <r>
          <rPr>
            <b/>
            <sz val="9"/>
            <color indexed="81"/>
            <rFont val="Tahoma"/>
            <family val="2"/>
          </rPr>
          <t>jcicar:</t>
        </r>
        <r>
          <rPr>
            <sz val="9"/>
            <color indexed="81"/>
            <rFont val="Tahoma"/>
            <family val="2"/>
          </rPr>
          <t xml:space="preserve">
changed per district email 6-16-16</t>
        </r>
      </text>
    </comment>
    <comment ref="N145" authorId="0" shapeId="0">
      <text>
        <r>
          <rPr>
            <b/>
            <sz val="9"/>
            <color indexed="81"/>
            <rFont val="Tahoma"/>
            <family val="2"/>
          </rPr>
          <t>jcicar:</t>
        </r>
        <r>
          <rPr>
            <sz val="9"/>
            <color indexed="81"/>
            <rFont val="Tahoma"/>
            <family val="2"/>
          </rPr>
          <t xml:space="preserve">
changed per district email 6-16-16</t>
        </r>
      </text>
    </comment>
    <comment ref="N146" authorId="0" shapeId="0">
      <text>
        <r>
          <rPr>
            <b/>
            <sz val="9"/>
            <color indexed="81"/>
            <rFont val="Tahoma"/>
            <family val="2"/>
          </rPr>
          <t>jcicar:</t>
        </r>
        <r>
          <rPr>
            <sz val="9"/>
            <color indexed="81"/>
            <rFont val="Tahoma"/>
            <family val="2"/>
          </rPr>
          <t xml:space="preserve">
changed per district email 6-16-16</t>
        </r>
      </text>
    </comment>
    <comment ref="N147" authorId="0" shapeId="0">
      <text>
        <r>
          <rPr>
            <b/>
            <sz val="9"/>
            <color indexed="81"/>
            <rFont val="Tahoma"/>
            <family val="2"/>
          </rPr>
          <t>jcicar:</t>
        </r>
        <r>
          <rPr>
            <sz val="9"/>
            <color indexed="81"/>
            <rFont val="Tahoma"/>
            <family val="2"/>
          </rPr>
          <t xml:space="preserve">
changed per district email 6-16-16</t>
        </r>
      </text>
    </comment>
    <comment ref="N148" authorId="0" shapeId="0">
      <text>
        <r>
          <rPr>
            <b/>
            <sz val="9"/>
            <color indexed="81"/>
            <rFont val="Tahoma"/>
            <family val="2"/>
          </rPr>
          <t>jcicar:</t>
        </r>
        <r>
          <rPr>
            <sz val="9"/>
            <color indexed="81"/>
            <rFont val="Tahoma"/>
            <family val="2"/>
          </rPr>
          <t xml:space="preserve">
changed per district email 6-16-16</t>
        </r>
      </text>
    </comment>
    <comment ref="N149" authorId="0" shapeId="0">
      <text>
        <r>
          <rPr>
            <b/>
            <sz val="9"/>
            <color indexed="81"/>
            <rFont val="Tahoma"/>
            <family val="2"/>
          </rPr>
          <t>jcicar:</t>
        </r>
        <r>
          <rPr>
            <sz val="9"/>
            <color indexed="81"/>
            <rFont val="Tahoma"/>
            <family val="2"/>
          </rPr>
          <t xml:space="preserve">
changed per district email 6-16-16</t>
        </r>
      </text>
    </comment>
    <comment ref="N150" authorId="0" shapeId="0">
      <text>
        <r>
          <rPr>
            <b/>
            <sz val="9"/>
            <color indexed="81"/>
            <rFont val="Tahoma"/>
            <family val="2"/>
          </rPr>
          <t>jcicar:</t>
        </r>
        <r>
          <rPr>
            <sz val="9"/>
            <color indexed="81"/>
            <rFont val="Tahoma"/>
            <family val="2"/>
          </rPr>
          <t xml:space="preserve">
changed per district email 6-16-16</t>
        </r>
      </text>
    </comment>
    <comment ref="N151" authorId="0" shapeId="0">
      <text>
        <r>
          <rPr>
            <b/>
            <sz val="9"/>
            <color indexed="81"/>
            <rFont val="Tahoma"/>
            <family val="2"/>
          </rPr>
          <t>jcicar:</t>
        </r>
        <r>
          <rPr>
            <sz val="9"/>
            <color indexed="81"/>
            <rFont val="Tahoma"/>
            <family val="2"/>
          </rPr>
          <t xml:space="preserve">
changed per district email 6-16-16</t>
        </r>
      </text>
    </comment>
    <comment ref="N152" authorId="0" shapeId="0">
      <text>
        <r>
          <rPr>
            <b/>
            <sz val="9"/>
            <color indexed="81"/>
            <rFont val="Tahoma"/>
            <family val="2"/>
          </rPr>
          <t>jcicar:</t>
        </r>
        <r>
          <rPr>
            <sz val="9"/>
            <color indexed="81"/>
            <rFont val="Tahoma"/>
            <family val="2"/>
          </rPr>
          <t xml:space="preserve">
changed per district email 6-16-16</t>
        </r>
      </text>
    </comment>
    <comment ref="N153" authorId="0" shapeId="0">
      <text>
        <r>
          <rPr>
            <b/>
            <sz val="9"/>
            <color indexed="81"/>
            <rFont val="Tahoma"/>
            <family val="2"/>
          </rPr>
          <t>jcicar:</t>
        </r>
        <r>
          <rPr>
            <sz val="9"/>
            <color indexed="81"/>
            <rFont val="Tahoma"/>
            <family val="2"/>
          </rPr>
          <t xml:space="preserve">
changed per district email 6-16-16</t>
        </r>
      </text>
    </comment>
    <comment ref="N154" authorId="0" shapeId="0">
      <text>
        <r>
          <rPr>
            <b/>
            <sz val="9"/>
            <color indexed="81"/>
            <rFont val="Tahoma"/>
            <family val="2"/>
          </rPr>
          <t>jcicar:</t>
        </r>
        <r>
          <rPr>
            <sz val="9"/>
            <color indexed="81"/>
            <rFont val="Tahoma"/>
            <family val="2"/>
          </rPr>
          <t xml:space="preserve">
changed per district email 6-16-16</t>
        </r>
      </text>
    </comment>
    <comment ref="N155" authorId="0" shapeId="0">
      <text>
        <r>
          <rPr>
            <b/>
            <sz val="9"/>
            <color indexed="81"/>
            <rFont val="Tahoma"/>
            <family val="2"/>
          </rPr>
          <t>jcicar:</t>
        </r>
        <r>
          <rPr>
            <sz val="9"/>
            <color indexed="81"/>
            <rFont val="Tahoma"/>
            <family val="2"/>
          </rPr>
          <t xml:space="preserve">
changed per district email 6-16-16</t>
        </r>
      </text>
    </comment>
    <comment ref="N159" authorId="0" shapeId="0">
      <text>
        <r>
          <rPr>
            <b/>
            <sz val="9"/>
            <color indexed="81"/>
            <rFont val="Tahoma"/>
            <family val="2"/>
          </rPr>
          <t>jcicar:</t>
        </r>
        <r>
          <rPr>
            <sz val="9"/>
            <color indexed="81"/>
            <rFont val="Tahoma"/>
            <family val="2"/>
          </rPr>
          <t xml:space="preserve">
changed per district email 6-16-16</t>
        </r>
      </text>
    </comment>
    <comment ref="N160" authorId="0" shapeId="0">
      <text>
        <r>
          <rPr>
            <b/>
            <sz val="9"/>
            <color indexed="81"/>
            <rFont val="Tahoma"/>
            <family val="2"/>
          </rPr>
          <t>jcicar:</t>
        </r>
        <r>
          <rPr>
            <sz val="9"/>
            <color indexed="81"/>
            <rFont val="Tahoma"/>
            <family val="2"/>
          </rPr>
          <t xml:space="preserve">
changed per district email 6-16-16</t>
        </r>
      </text>
    </comment>
    <comment ref="N161" authorId="0" shapeId="0">
      <text>
        <r>
          <rPr>
            <b/>
            <sz val="9"/>
            <color indexed="81"/>
            <rFont val="Tahoma"/>
            <family val="2"/>
          </rPr>
          <t>jcicar:</t>
        </r>
        <r>
          <rPr>
            <sz val="9"/>
            <color indexed="81"/>
            <rFont val="Tahoma"/>
            <family val="2"/>
          </rPr>
          <t xml:space="preserve">
changed per district email 6-16-16</t>
        </r>
      </text>
    </comment>
    <comment ref="N162" authorId="0" shapeId="0">
      <text>
        <r>
          <rPr>
            <b/>
            <sz val="9"/>
            <color indexed="81"/>
            <rFont val="Tahoma"/>
            <family val="2"/>
          </rPr>
          <t>jcicar:</t>
        </r>
        <r>
          <rPr>
            <sz val="9"/>
            <color indexed="81"/>
            <rFont val="Tahoma"/>
            <family val="2"/>
          </rPr>
          <t xml:space="preserve">
changed per district email 6-16-16</t>
        </r>
      </text>
    </comment>
    <comment ref="N163" authorId="0" shapeId="0">
      <text>
        <r>
          <rPr>
            <b/>
            <sz val="9"/>
            <color indexed="81"/>
            <rFont val="Tahoma"/>
            <family val="2"/>
          </rPr>
          <t>jcicar:</t>
        </r>
        <r>
          <rPr>
            <sz val="9"/>
            <color indexed="81"/>
            <rFont val="Tahoma"/>
            <family val="2"/>
          </rPr>
          <t xml:space="preserve">
changed per district email 6-16-16</t>
        </r>
      </text>
    </comment>
    <comment ref="N164" authorId="0" shapeId="0">
      <text>
        <r>
          <rPr>
            <b/>
            <sz val="9"/>
            <color indexed="81"/>
            <rFont val="Tahoma"/>
            <family val="2"/>
          </rPr>
          <t>jcicar:</t>
        </r>
        <r>
          <rPr>
            <sz val="9"/>
            <color indexed="81"/>
            <rFont val="Tahoma"/>
            <family val="2"/>
          </rPr>
          <t xml:space="preserve">
changed per district email 6-16-16</t>
        </r>
      </text>
    </comment>
    <comment ref="N165" authorId="0" shapeId="0">
      <text>
        <r>
          <rPr>
            <b/>
            <sz val="9"/>
            <color indexed="81"/>
            <rFont val="Tahoma"/>
            <family val="2"/>
          </rPr>
          <t>jcicar:</t>
        </r>
        <r>
          <rPr>
            <sz val="9"/>
            <color indexed="81"/>
            <rFont val="Tahoma"/>
            <family val="2"/>
          </rPr>
          <t xml:space="preserve">
changed per district email 6-16-16</t>
        </r>
      </text>
    </comment>
    <comment ref="N166" authorId="0" shapeId="0">
      <text>
        <r>
          <rPr>
            <b/>
            <sz val="9"/>
            <color indexed="81"/>
            <rFont val="Tahoma"/>
            <family val="2"/>
          </rPr>
          <t>jcicar:</t>
        </r>
        <r>
          <rPr>
            <sz val="9"/>
            <color indexed="81"/>
            <rFont val="Tahoma"/>
            <family val="2"/>
          </rPr>
          <t xml:space="preserve">
changed per district email 6-16-16</t>
        </r>
      </text>
    </comment>
    <comment ref="N167" authorId="0" shapeId="0">
      <text>
        <r>
          <rPr>
            <b/>
            <sz val="9"/>
            <color indexed="81"/>
            <rFont val="Tahoma"/>
            <family val="2"/>
          </rPr>
          <t>jcicar:</t>
        </r>
        <r>
          <rPr>
            <sz val="9"/>
            <color indexed="81"/>
            <rFont val="Tahoma"/>
            <family val="2"/>
          </rPr>
          <t xml:space="preserve">
changed per district email 6-16-16</t>
        </r>
      </text>
    </comment>
    <comment ref="H168" authorId="1" shapeId="0">
      <text>
        <r>
          <rPr>
            <b/>
            <sz val="9"/>
            <color indexed="81"/>
            <rFont val="Tahoma"/>
            <family val="2"/>
          </rPr>
          <t>Matthew Willmarth:</t>
        </r>
        <r>
          <rPr>
            <sz val="9"/>
            <color indexed="81"/>
            <rFont val="Tahoma"/>
            <family val="2"/>
          </rPr>
          <t xml:space="preserve">
Added 7,357 GSF for new addition per Jed.</t>
        </r>
      </text>
    </comment>
    <comment ref="N168" authorId="0" shapeId="0">
      <text>
        <r>
          <rPr>
            <b/>
            <sz val="9"/>
            <color indexed="81"/>
            <rFont val="Tahoma"/>
            <family val="2"/>
          </rPr>
          <t>jcicar:</t>
        </r>
        <r>
          <rPr>
            <sz val="9"/>
            <color indexed="81"/>
            <rFont val="Tahoma"/>
            <family val="2"/>
          </rPr>
          <t xml:space="preserve">
changed per district email 6-16-16</t>
        </r>
      </text>
    </comment>
    <comment ref="N169" authorId="0" shapeId="0">
      <text>
        <r>
          <rPr>
            <b/>
            <sz val="9"/>
            <color indexed="81"/>
            <rFont val="Tahoma"/>
            <family val="2"/>
          </rPr>
          <t>jcicar:</t>
        </r>
        <r>
          <rPr>
            <sz val="9"/>
            <color indexed="81"/>
            <rFont val="Tahoma"/>
            <family val="2"/>
          </rPr>
          <t xml:space="preserve">
changed per district email 6-16-16</t>
        </r>
      </text>
    </comment>
    <comment ref="N170" authorId="0" shapeId="0">
      <text>
        <r>
          <rPr>
            <b/>
            <sz val="9"/>
            <color indexed="81"/>
            <rFont val="Tahoma"/>
            <family val="2"/>
          </rPr>
          <t>jcicar:</t>
        </r>
        <r>
          <rPr>
            <sz val="9"/>
            <color indexed="81"/>
            <rFont val="Tahoma"/>
            <family val="2"/>
          </rPr>
          <t xml:space="preserve">
changed per district email 6-16-16</t>
        </r>
      </text>
    </comment>
    <comment ref="I171" authorId="0" shapeId="0">
      <text>
        <r>
          <rPr>
            <b/>
            <sz val="9"/>
            <color indexed="81"/>
            <rFont val="Tahoma"/>
            <family val="2"/>
          </rPr>
          <t>jcicar:</t>
        </r>
        <r>
          <rPr>
            <sz val="9"/>
            <color indexed="81"/>
            <rFont val="Tahoma"/>
            <family val="2"/>
          </rPr>
          <t xml:space="preserve">
per HB127 of the 2011 session, if no allowable calculation is available the allowable GSF shall = actual educational GSF</t>
        </r>
      </text>
    </comment>
    <comment ref="N171" authorId="0" shapeId="0">
      <text>
        <r>
          <rPr>
            <b/>
            <sz val="9"/>
            <color indexed="81"/>
            <rFont val="Tahoma"/>
            <family val="2"/>
          </rPr>
          <t>jcicar:</t>
        </r>
        <r>
          <rPr>
            <sz val="9"/>
            <color indexed="81"/>
            <rFont val="Tahoma"/>
            <family val="2"/>
          </rPr>
          <t xml:space="preserve">
changed per district email 6-16-16</t>
        </r>
      </text>
    </comment>
    <comment ref="N175" authorId="0" shapeId="0">
      <text>
        <r>
          <rPr>
            <b/>
            <sz val="9"/>
            <color indexed="81"/>
            <rFont val="Tahoma"/>
            <family val="2"/>
          </rPr>
          <t>jcicar:</t>
        </r>
        <r>
          <rPr>
            <sz val="9"/>
            <color indexed="81"/>
            <rFont val="Tahoma"/>
            <family val="2"/>
          </rPr>
          <t xml:space="preserve">
changed per district email 6-16-16</t>
        </r>
      </text>
    </comment>
    <comment ref="N176" authorId="0" shapeId="0">
      <text>
        <r>
          <rPr>
            <b/>
            <sz val="9"/>
            <color indexed="81"/>
            <rFont val="Tahoma"/>
            <family val="2"/>
          </rPr>
          <t>jcicar:</t>
        </r>
        <r>
          <rPr>
            <sz val="9"/>
            <color indexed="81"/>
            <rFont val="Tahoma"/>
            <family val="2"/>
          </rPr>
          <t xml:space="preserve">
changed per district email 6-16-16</t>
        </r>
      </text>
    </comment>
    <comment ref="N177" authorId="0" shapeId="0">
      <text>
        <r>
          <rPr>
            <b/>
            <sz val="9"/>
            <color indexed="81"/>
            <rFont val="Tahoma"/>
            <family val="2"/>
          </rPr>
          <t>jcicar:</t>
        </r>
        <r>
          <rPr>
            <sz val="9"/>
            <color indexed="81"/>
            <rFont val="Tahoma"/>
            <family val="2"/>
          </rPr>
          <t xml:space="preserve">
changed per district email 6-16-16</t>
        </r>
      </text>
    </comment>
    <comment ref="N178" authorId="0" shapeId="0">
      <text>
        <r>
          <rPr>
            <b/>
            <sz val="9"/>
            <color indexed="81"/>
            <rFont val="Tahoma"/>
            <family val="2"/>
          </rPr>
          <t>jcicar:</t>
        </r>
        <r>
          <rPr>
            <sz val="9"/>
            <color indexed="81"/>
            <rFont val="Tahoma"/>
            <family val="2"/>
          </rPr>
          <t xml:space="preserve">
changed per district email 6-16-16</t>
        </r>
      </text>
    </comment>
    <comment ref="N179" authorId="0" shapeId="0">
      <text>
        <r>
          <rPr>
            <b/>
            <sz val="9"/>
            <color indexed="81"/>
            <rFont val="Tahoma"/>
            <family val="2"/>
          </rPr>
          <t>jcicar:</t>
        </r>
        <r>
          <rPr>
            <sz val="9"/>
            <color indexed="81"/>
            <rFont val="Tahoma"/>
            <family val="2"/>
          </rPr>
          <t xml:space="preserve">
changed per district email 6-16-16</t>
        </r>
      </text>
    </comment>
    <comment ref="N180" authorId="0" shapeId="0">
      <text>
        <r>
          <rPr>
            <b/>
            <sz val="9"/>
            <color indexed="81"/>
            <rFont val="Tahoma"/>
            <family val="2"/>
          </rPr>
          <t>jcicar:</t>
        </r>
        <r>
          <rPr>
            <sz val="9"/>
            <color indexed="81"/>
            <rFont val="Tahoma"/>
            <family val="2"/>
          </rPr>
          <t xml:space="preserve">
changed per district email 6-16-16</t>
        </r>
      </text>
    </comment>
    <comment ref="N181" authorId="0" shapeId="0">
      <text>
        <r>
          <rPr>
            <b/>
            <sz val="9"/>
            <color indexed="81"/>
            <rFont val="Tahoma"/>
            <family val="2"/>
          </rPr>
          <t>jcicar:</t>
        </r>
        <r>
          <rPr>
            <sz val="9"/>
            <color indexed="81"/>
            <rFont val="Tahoma"/>
            <family val="2"/>
          </rPr>
          <t xml:space="preserve">
changed per district email 6-16-16</t>
        </r>
      </text>
    </comment>
    <comment ref="N184" authorId="0" shapeId="0">
      <text>
        <r>
          <rPr>
            <b/>
            <sz val="9"/>
            <color indexed="81"/>
            <rFont val="Tahoma"/>
            <family val="2"/>
          </rPr>
          <t>jcicar:</t>
        </r>
        <r>
          <rPr>
            <sz val="9"/>
            <color indexed="81"/>
            <rFont val="Tahoma"/>
            <family val="2"/>
          </rPr>
          <t xml:space="preserve">
Counts per district email dated 6-30-17</t>
        </r>
      </text>
    </comment>
    <comment ref="L187" authorId="1" shapeId="0">
      <text>
        <r>
          <rPr>
            <b/>
            <sz val="9"/>
            <color indexed="81"/>
            <rFont val="Tahoma"/>
            <family val="2"/>
          </rPr>
          <t>Matthew Willmarth:</t>
        </r>
        <r>
          <rPr>
            <sz val="9"/>
            <color indexed="81"/>
            <rFont val="Tahoma"/>
            <family val="2"/>
          </rPr>
          <t xml:space="preserve">
this was updated by the school district and the SFD.  Per AiM: "CHANGED BUILT DATE TO 1997, PER DISTRICT AND HAVE ATTACHED IN RELATED DOCUMENTS DEDICATION PLAQUE WITH THE PROPER DATE ON IT."</t>
        </r>
      </text>
    </comment>
    <comment ref="N231" authorId="1" shapeId="0">
      <text>
        <r>
          <rPr>
            <b/>
            <sz val="9"/>
            <color indexed="81"/>
            <rFont val="Tahoma"/>
            <family val="2"/>
          </rPr>
          <t>Matthew Willmarth:</t>
        </r>
        <r>
          <rPr>
            <sz val="9"/>
            <color indexed="81"/>
            <rFont val="Tahoma"/>
            <family val="2"/>
          </rPr>
          <t xml:space="preserve">
Per Jed 11/7/2017
</t>
        </r>
      </text>
    </comment>
    <comment ref="N233" authorId="1" shapeId="0">
      <text>
        <r>
          <rPr>
            <b/>
            <sz val="9"/>
            <color indexed="81"/>
            <rFont val="Tahoma"/>
            <family val="2"/>
          </rPr>
          <t>Matthew Willmarth:</t>
        </r>
        <r>
          <rPr>
            <sz val="9"/>
            <color indexed="81"/>
            <rFont val="Tahoma"/>
            <family val="2"/>
          </rPr>
          <t xml:space="preserve">
Per Jed 11/7/2017
</t>
        </r>
      </text>
    </comment>
    <comment ref="N239" authorId="0" shapeId="0">
      <text>
        <r>
          <rPr>
            <b/>
            <sz val="9"/>
            <color indexed="81"/>
            <rFont val="Tahoma"/>
            <family val="2"/>
          </rPr>
          <t>jcicar:</t>
        </r>
        <r>
          <rPr>
            <sz val="9"/>
            <color indexed="81"/>
            <rFont val="Tahoma"/>
            <family val="2"/>
          </rPr>
          <t xml:space="preserve">
per district 3-31-15jc</t>
        </r>
      </text>
    </comment>
    <comment ref="N240" authorId="0" shapeId="0">
      <text>
        <r>
          <rPr>
            <b/>
            <sz val="9"/>
            <color indexed="81"/>
            <rFont val="Tahoma"/>
            <family val="2"/>
          </rPr>
          <t>jcicar:</t>
        </r>
        <r>
          <rPr>
            <sz val="9"/>
            <color indexed="81"/>
            <rFont val="Tahoma"/>
            <family val="2"/>
          </rPr>
          <t xml:space="preserve">
per district 3-31-15jc</t>
        </r>
      </text>
    </comment>
    <comment ref="N241" authorId="0" shapeId="0">
      <text>
        <r>
          <rPr>
            <b/>
            <sz val="9"/>
            <color indexed="81"/>
            <rFont val="Tahoma"/>
            <family val="2"/>
          </rPr>
          <t>jcicar:</t>
        </r>
        <r>
          <rPr>
            <sz val="9"/>
            <color indexed="81"/>
            <rFont val="Tahoma"/>
            <family val="2"/>
          </rPr>
          <t xml:space="preserve">
per district 3-31-15jc</t>
        </r>
      </text>
    </comment>
    <comment ref="N242" authorId="0" shapeId="0">
      <text>
        <r>
          <rPr>
            <b/>
            <sz val="9"/>
            <color indexed="81"/>
            <rFont val="Tahoma"/>
            <family val="2"/>
          </rPr>
          <t>jcicar:</t>
        </r>
        <r>
          <rPr>
            <sz val="9"/>
            <color indexed="81"/>
            <rFont val="Tahoma"/>
            <family val="2"/>
          </rPr>
          <t xml:space="preserve">
per district 3-31-15jc</t>
        </r>
      </text>
    </comment>
    <comment ref="N243" authorId="0" shapeId="0">
      <text>
        <r>
          <rPr>
            <b/>
            <sz val="9"/>
            <color indexed="81"/>
            <rFont val="Tahoma"/>
            <family val="2"/>
          </rPr>
          <t>jcicar:</t>
        </r>
        <r>
          <rPr>
            <sz val="9"/>
            <color indexed="81"/>
            <rFont val="Tahoma"/>
            <family val="2"/>
          </rPr>
          <t xml:space="preserve">
per district 3-31-15jc</t>
        </r>
      </text>
    </comment>
    <comment ref="N244" authorId="0" shapeId="0">
      <text>
        <r>
          <rPr>
            <b/>
            <sz val="9"/>
            <color indexed="81"/>
            <rFont val="Tahoma"/>
            <family val="2"/>
          </rPr>
          <t>jcicar:</t>
        </r>
        <r>
          <rPr>
            <sz val="9"/>
            <color indexed="81"/>
            <rFont val="Tahoma"/>
            <family val="2"/>
          </rPr>
          <t xml:space="preserve">
per district 3-31-15jc</t>
        </r>
      </text>
    </comment>
    <comment ref="N252" authorId="2" shapeId="0">
      <text>
        <r>
          <rPr>
            <b/>
            <sz val="9"/>
            <color indexed="81"/>
            <rFont val="Tahoma"/>
            <family val="2"/>
          </rPr>
          <t>Jed Cicarelli:</t>
        </r>
        <r>
          <rPr>
            <sz val="9"/>
            <color indexed="81"/>
            <rFont val="Tahoma"/>
            <family val="2"/>
          </rPr>
          <t xml:space="preserve">
Per district email 7-5-17</t>
        </r>
      </text>
    </comment>
    <comment ref="N262" authorId="2" shapeId="0">
      <text>
        <r>
          <rPr>
            <b/>
            <sz val="9"/>
            <color indexed="81"/>
            <rFont val="Tahoma"/>
            <family val="2"/>
          </rPr>
          <t>Jed Cicarelli:</t>
        </r>
        <r>
          <rPr>
            <sz val="9"/>
            <color indexed="81"/>
            <rFont val="Tahoma"/>
            <family val="2"/>
          </rPr>
          <t xml:space="preserve">
Per AiM 7-10-17</t>
        </r>
      </text>
    </comment>
    <comment ref="I271" authorId="0" shapeId="0">
      <text>
        <r>
          <rPr>
            <b/>
            <sz val="9"/>
            <color indexed="81"/>
            <rFont val="Tahoma"/>
            <family val="2"/>
          </rPr>
          <t>jcicar:</t>
        </r>
        <r>
          <rPr>
            <sz val="9"/>
            <color indexed="81"/>
            <rFont val="Tahoma"/>
            <family val="2"/>
          </rPr>
          <t xml:space="preserve">
per HB127 of the 2011 session, if no allowable calculation is available the allowable GSF shall = actual educational GSF</t>
        </r>
      </text>
    </comment>
    <comment ref="I307" authorId="0" shapeId="0">
      <text>
        <r>
          <rPr>
            <b/>
            <sz val="9"/>
            <color indexed="81"/>
            <rFont val="Tahoma"/>
            <family val="2"/>
          </rPr>
          <t>jcicar:</t>
        </r>
        <r>
          <rPr>
            <sz val="9"/>
            <color indexed="81"/>
            <rFont val="Tahoma"/>
            <family val="2"/>
          </rPr>
          <t xml:space="preserve">
per HB127 of the 2011 session, if no allowable calculation is available the allowable GSF shall = actual educational GSF</t>
        </r>
      </text>
    </comment>
    <comment ref="N334" authorId="0" shapeId="0">
      <text>
        <r>
          <rPr>
            <b/>
            <sz val="9"/>
            <color indexed="81"/>
            <rFont val="Tahoma"/>
            <family val="2"/>
          </rPr>
          <t>jcicar:</t>
        </r>
        <r>
          <rPr>
            <sz val="9"/>
            <color indexed="81"/>
            <rFont val="Tahoma"/>
            <family val="2"/>
          </rPr>
          <t xml:space="preserve">
per district email 5-26-16</t>
        </r>
      </text>
    </comment>
    <comment ref="N336" authorId="0" shapeId="0">
      <text>
        <r>
          <rPr>
            <b/>
            <sz val="9"/>
            <color indexed="81"/>
            <rFont val="Tahoma"/>
            <family val="2"/>
          </rPr>
          <t>jcicar:</t>
        </r>
        <r>
          <rPr>
            <sz val="9"/>
            <color indexed="81"/>
            <rFont val="Tahoma"/>
            <family val="2"/>
          </rPr>
          <t xml:space="preserve">
per district email 5-26-16</t>
        </r>
      </text>
    </comment>
    <comment ref="N338" authorId="0" shapeId="0">
      <text>
        <r>
          <rPr>
            <b/>
            <sz val="9"/>
            <color indexed="81"/>
            <rFont val="Tahoma"/>
            <family val="2"/>
          </rPr>
          <t>jcicar:</t>
        </r>
        <r>
          <rPr>
            <sz val="9"/>
            <color indexed="81"/>
            <rFont val="Tahoma"/>
            <family val="2"/>
          </rPr>
          <t xml:space="preserve">
per district email 5-26-16</t>
        </r>
      </text>
    </comment>
    <comment ref="N339" authorId="0" shapeId="0">
      <text>
        <r>
          <rPr>
            <b/>
            <sz val="9"/>
            <color indexed="81"/>
            <rFont val="Tahoma"/>
            <family val="2"/>
          </rPr>
          <t>jcicar:</t>
        </r>
        <r>
          <rPr>
            <sz val="9"/>
            <color indexed="81"/>
            <rFont val="Tahoma"/>
            <family val="2"/>
          </rPr>
          <t xml:space="preserve">
per district email 5-26-16</t>
        </r>
      </text>
    </comment>
    <comment ref="N340" authorId="0" shapeId="0">
      <text>
        <r>
          <rPr>
            <b/>
            <sz val="9"/>
            <color indexed="81"/>
            <rFont val="Tahoma"/>
            <family val="2"/>
          </rPr>
          <t>jcicar:</t>
        </r>
        <r>
          <rPr>
            <sz val="9"/>
            <color indexed="81"/>
            <rFont val="Tahoma"/>
            <family val="2"/>
          </rPr>
          <t xml:space="preserve">
per district email 5-26-16</t>
        </r>
      </text>
    </comment>
    <comment ref="N342" authorId="0" shapeId="0">
      <text>
        <r>
          <rPr>
            <b/>
            <sz val="9"/>
            <color indexed="81"/>
            <rFont val="Tahoma"/>
            <family val="2"/>
          </rPr>
          <t>jcicar:</t>
        </r>
        <r>
          <rPr>
            <sz val="9"/>
            <color indexed="81"/>
            <rFont val="Tahoma"/>
            <family val="2"/>
          </rPr>
          <t xml:space="preserve">
Room counts per district (AiM shows 0); updated to reflect new school GSF</t>
        </r>
      </text>
    </comment>
    <comment ref="N353" authorId="0" shapeId="0">
      <text>
        <r>
          <rPr>
            <b/>
            <sz val="9"/>
            <color indexed="81"/>
            <rFont val="Tahoma"/>
            <family val="2"/>
          </rPr>
          <t>jcicar:</t>
        </r>
        <r>
          <rPr>
            <sz val="9"/>
            <color indexed="81"/>
            <rFont val="Tahoma"/>
            <family val="2"/>
          </rPr>
          <t xml:space="preserve">
Changed to 36 per district email 5-17-16</t>
        </r>
      </text>
    </comment>
  </commentList>
</comments>
</file>

<file path=xl/comments6.xml><?xml version="1.0" encoding="utf-8"?>
<comments xmlns="http://schemas.openxmlformats.org/spreadsheetml/2006/main">
  <authors>
    <author>mwillm</author>
    <author>Jed Cicarelli</author>
    <author>amanle</author>
    <author>jcicar</author>
    <author>jrevel</author>
    <author>wde</author>
  </authors>
  <commentList>
    <comment ref="E5" authorId="0" shapeId="0">
      <text>
        <r>
          <rPr>
            <b/>
            <sz val="8"/>
            <color indexed="81"/>
            <rFont val="Tahoma"/>
            <family val="2"/>
          </rPr>
          <t>mwillm:</t>
        </r>
        <r>
          <rPr>
            <sz val="8"/>
            <color indexed="81"/>
            <rFont val="Tahoma"/>
            <family val="2"/>
          </rPr>
          <t xml:space="preserve">
per 0101-s WDE100 12-18-08</t>
        </r>
      </text>
    </comment>
    <comment ref="E6" authorId="0" shapeId="0">
      <text>
        <r>
          <rPr>
            <b/>
            <sz val="8"/>
            <color indexed="81"/>
            <rFont val="Tahoma"/>
            <family val="2"/>
          </rPr>
          <t>mwillm:</t>
        </r>
        <r>
          <rPr>
            <sz val="8"/>
            <color indexed="81"/>
            <rFont val="Tahoma"/>
            <family val="2"/>
          </rPr>
          <t xml:space="preserve">
per 0101-s WDE100 12-18-08</t>
        </r>
      </text>
    </comment>
    <comment ref="E7" authorId="0" shapeId="0">
      <text>
        <r>
          <rPr>
            <b/>
            <sz val="8"/>
            <color indexed="81"/>
            <rFont val="Tahoma"/>
            <family val="2"/>
          </rPr>
          <t>mwillm:</t>
        </r>
        <r>
          <rPr>
            <sz val="8"/>
            <color indexed="81"/>
            <rFont val="Tahoma"/>
            <family val="2"/>
          </rPr>
          <t xml:space="preserve">
per 0101-s WDE100 12-18-08</t>
        </r>
      </text>
    </comment>
    <comment ref="E8" authorId="0" shapeId="0">
      <text>
        <r>
          <rPr>
            <b/>
            <sz val="8"/>
            <color indexed="81"/>
            <rFont val="Tahoma"/>
            <family val="2"/>
          </rPr>
          <t>mwillm:</t>
        </r>
        <r>
          <rPr>
            <sz val="8"/>
            <color indexed="81"/>
            <rFont val="Tahoma"/>
            <family val="2"/>
          </rPr>
          <t xml:space="preserve">
per 0101-s WDE100 12-18-08</t>
        </r>
      </text>
    </comment>
    <comment ref="E9" authorId="0" shapeId="0">
      <text>
        <r>
          <rPr>
            <b/>
            <sz val="8"/>
            <color indexed="81"/>
            <rFont val="Tahoma"/>
            <family val="2"/>
          </rPr>
          <t>mwillm:</t>
        </r>
        <r>
          <rPr>
            <sz val="8"/>
            <color indexed="81"/>
            <rFont val="Tahoma"/>
            <family val="2"/>
          </rPr>
          <t xml:space="preserve">
per 0101-s WDE100 12-18-08</t>
        </r>
      </text>
    </comment>
    <comment ref="E10" authorId="1" shapeId="0">
      <text>
        <r>
          <rPr>
            <b/>
            <sz val="9"/>
            <color indexed="81"/>
            <rFont val="Tahoma"/>
            <family val="2"/>
          </rPr>
          <t>Jed Cicarelli:</t>
        </r>
        <r>
          <rPr>
            <sz val="9"/>
            <color indexed="81"/>
            <rFont val="Tahoma"/>
            <family val="2"/>
          </rPr>
          <t xml:space="preserve">
Per SFD/AiM 7-3-17</t>
        </r>
      </text>
    </comment>
    <comment ref="E11" authorId="0" shapeId="0">
      <text>
        <r>
          <rPr>
            <b/>
            <sz val="8"/>
            <color indexed="81"/>
            <rFont val="Tahoma"/>
            <family val="2"/>
          </rPr>
          <t>mwillm:</t>
        </r>
        <r>
          <rPr>
            <sz val="8"/>
            <color indexed="81"/>
            <rFont val="Tahoma"/>
            <family val="2"/>
          </rPr>
          <t xml:space="preserve">
per 0101-s WDE100 12-18-08</t>
        </r>
      </text>
    </comment>
    <comment ref="E12" authorId="1" shapeId="0">
      <text>
        <r>
          <rPr>
            <b/>
            <sz val="9"/>
            <color indexed="81"/>
            <rFont val="Tahoma"/>
            <family val="2"/>
          </rPr>
          <t>Jed Cicarelli:</t>
        </r>
        <r>
          <rPr>
            <sz val="9"/>
            <color indexed="81"/>
            <rFont val="Tahoma"/>
            <family val="2"/>
          </rPr>
          <t xml:space="preserve">
Per SFD/AiM 7-3-17</t>
        </r>
      </text>
    </comment>
    <comment ref="E13" authorId="0" shapeId="0">
      <text>
        <r>
          <rPr>
            <b/>
            <sz val="8"/>
            <color indexed="81"/>
            <rFont val="Tahoma"/>
            <family val="2"/>
          </rPr>
          <t>mwillm:</t>
        </r>
        <r>
          <rPr>
            <sz val="8"/>
            <color indexed="81"/>
            <rFont val="Tahoma"/>
            <family val="2"/>
          </rPr>
          <t xml:space="preserve">
per 0101-s WDE100 12-18-08</t>
        </r>
      </text>
    </comment>
    <comment ref="E14" authorId="0" shapeId="0">
      <text>
        <r>
          <rPr>
            <b/>
            <sz val="8"/>
            <color indexed="81"/>
            <rFont val="Tahoma"/>
            <family val="2"/>
          </rPr>
          <t>mwillm:</t>
        </r>
        <r>
          <rPr>
            <sz val="8"/>
            <color indexed="81"/>
            <rFont val="Tahoma"/>
            <family val="2"/>
          </rPr>
          <t xml:space="preserve">
per 0101-s WDE100 12-18-08</t>
        </r>
      </text>
    </comment>
    <comment ref="E15" authorId="1" shapeId="0">
      <text>
        <r>
          <rPr>
            <b/>
            <sz val="9"/>
            <color indexed="81"/>
            <rFont val="Tahoma"/>
            <family val="2"/>
          </rPr>
          <t>Jed Cicarelli:</t>
        </r>
        <r>
          <rPr>
            <sz val="9"/>
            <color indexed="81"/>
            <rFont val="Tahoma"/>
            <family val="2"/>
          </rPr>
          <t xml:space="preserve">
Per SFD/AiM 7-3-17</t>
        </r>
      </text>
    </comment>
    <comment ref="E16" authorId="0" shapeId="0">
      <text>
        <r>
          <rPr>
            <b/>
            <sz val="8"/>
            <color indexed="81"/>
            <rFont val="Tahoma"/>
            <family val="2"/>
          </rPr>
          <t>mwillm:</t>
        </r>
        <r>
          <rPr>
            <sz val="8"/>
            <color indexed="81"/>
            <rFont val="Tahoma"/>
            <family val="2"/>
          </rPr>
          <t xml:space="preserve">
per 0101-s WDE100 12-18-08</t>
        </r>
      </text>
    </comment>
    <comment ref="E17" authorId="0" shapeId="0">
      <text>
        <r>
          <rPr>
            <b/>
            <sz val="8"/>
            <color indexed="81"/>
            <rFont val="Tahoma"/>
            <family val="2"/>
          </rPr>
          <t>mwillm:</t>
        </r>
        <r>
          <rPr>
            <sz val="8"/>
            <color indexed="81"/>
            <rFont val="Tahoma"/>
            <family val="2"/>
          </rPr>
          <t xml:space="preserve">
per 0101-s WDE100 12-18-08</t>
        </r>
      </text>
    </comment>
    <comment ref="E18" authorId="1" shapeId="0">
      <text>
        <r>
          <rPr>
            <b/>
            <sz val="9"/>
            <color indexed="81"/>
            <rFont val="Tahoma"/>
            <family val="2"/>
          </rPr>
          <t>Jed Cicarelli:</t>
        </r>
        <r>
          <rPr>
            <sz val="9"/>
            <color indexed="81"/>
            <rFont val="Tahoma"/>
            <family val="2"/>
          </rPr>
          <t xml:space="preserve">
Per SFD/AiM 7-3-17</t>
        </r>
      </text>
    </comment>
    <comment ref="E19" authorId="1" shapeId="0">
      <text>
        <r>
          <rPr>
            <b/>
            <sz val="9"/>
            <color indexed="81"/>
            <rFont val="Tahoma"/>
            <family val="2"/>
          </rPr>
          <t>Jed Cicarelli:</t>
        </r>
        <r>
          <rPr>
            <sz val="9"/>
            <color indexed="81"/>
            <rFont val="Tahoma"/>
            <family val="2"/>
          </rPr>
          <t xml:space="preserve">
Per SFD/AiM 7-3-17</t>
        </r>
      </text>
    </comment>
    <comment ref="E20" authorId="0" shapeId="0">
      <text>
        <r>
          <rPr>
            <b/>
            <sz val="8"/>
            <color indexed="81"/>
            <rFont val="Tahoma"/>
            <family val="2"/>
          </rPr>
          <t>mwillm:</t>
        </r>
        <r>
          <rPr>
            <sz val="8"/>
            <color indexed="81"/>
            <rFont val="Tahoma"/>
            <family val="2"/>
          </rPr>
          <t xml:space="preserve">
per 0101-s WDE100 12-18-08</t>
        </r>
      </text>
    </comment>
    <comment ref="E21" authorId="0" shapeId="0">
      <text>
        <r>
          <rPr>
            <b/>
            <sz val="8"/>
            <color indexed="81"/>
            <rFont val="Tahoma"/>
            <family val="2"/>
          </rPr>
          <t>mwillm:</t>
        </r>
        <r>
          <rPr>
            <sz val="8"/>
            <color indexed="81"/>
            <rFont val="Tahoma"/>
            <family val="2"/>
          </rPr>
          <t xml:space="preserve">
per 0101-s WDE100 12-18-08</t>
        </r>
      </text>
    </comment>
    <comment ref="E22" authorId="0" shapeId="0">
      <text>
        <r>
          <rPr>
            <b/>
            <sz val="8"/>
            <color indexed="81"/>
            <rFont val="Tahoma"/>
            <family val="2"/>
          </rPr>
          <t>mwillm:</t>
        </r>
        <r>
          <rPr>
            <sz val="8"/>
            <color indexed="81"/>
            <rFont val="Tahoma"/>
            <family val="2"/>
          </rPr>
          <t xml:space="preserve">
per 0101-s WDE100 12-18-08</t>
        </r>
      </text>
    </comment>
    <comment ref="E23" authorId="0" shapeId="0">
      <text>
        <r>
          <rPr>
            <b/>
            <sz val="8"/>
            <color indexed="81"/>
            <rFont val="Tahoma"/>
            <family val="2"/>
          </rPr>
          <t>mwillm:</t>
        </r>
        <r>
          <rPr>
            <sz val="8"/>
            <color indexed="81"/>
            <rFont val="Tahoma"/>
            <family val="2"/>
          </rPr>
          <t xml:space="preserve">
per 0101-s WDE100 12-18-08</t>
        </r>
      </text>
    </comment>
    <comment ref="E24" authorId="0" shapeId="0">
      <text>
        <r>
          <rPr>
            <b/>
            <sz val="8"/>
            <color indexed="81"/>
            <rFont val="Tahoma"/>
            <family val="2"/>
          </rPr>
          <t>mwillm:</t>
        </r>
        <r>
          <rPr>
            <sz val="8"/>
            <color indexed="81"/>
            <rFont val="Tahoma"/>
            <family val="2"/>
          </rPr>
          <t xml:space="preserve">
per 0101-s WDE100 12-18-08</t>
        </r>
      </text>
    </comment>
    <comment ref="E25" authorId="1" shapeId="0">
      <text>
        <r>
          <rPr>
            <b/>
            <sz val="9"/>
            <color indexed="81"/>
            <rFont val="Tahoma"/>
            <family val="2"/>
          </rPr>
          <t>Jed Cicarelli:</t>
        </r>
        <r>
          <rPr>
            <sz val="9"/>
            <color indexed="81"/>
            <rFont val="Tahoma"/>
            <family val="2"/>
          </rPr>
          <t xml:space="preserve">
Per SFD/AiM 7-3-17</t>
        </r>
      </text>
    </comment>
    <comment ref="E26" authorId="0" shapeId="0">
      <text>
        <r>
          <rPr>
            <b/>
            <sz val="8"/>
            <color indexed="81"/>
            <rFont val="Tahoma"/>
            <family val="2"/>
          </rPr>
          <t>mwillm:</t>
        </r>
        <r>
          <rPr>
            <sz val="8"/>
            <color indexed="81"/>
            <rFont val="Tahoma"/>
            <family val="2"/>
          </rPr>
          <t xml:space="preserve">
per 0101-s WDE100 12-18-08</t>
        </r>
      </text>
    </comment>
    <comment ref="E27" authorId="0" shapeId="0">
      <text>
        <r>
          <rPr>
            <b/>
            <sz val="8"/>
            <color indexed="81"/>
            <rFont val="Tahoma"/>
            <family val="2"/>
          </rPr>
          <t>mwillm:</t>
        </r>
        <r>
          <rPr>
            <sz val="8"/>
            <color indexed="81"/>
            <rFont val="Tahoma"/>
            <family val="2"/>
          </rPr>
          <t xml:space="preserve">
per 0101-s WDE100 12-18-08</t>
        </r>
      </text>
    </comment>
    <comment ref="E30" authorId="1" shapeId="0">
      <text>
        <r>
          <rPr>
            <b/>
            <sz val="9"/>
            <color indexed="81"/>
            <rFont val="Tahoma"/>
            <family val="2"/>
          </rPr>
          <t>Jed Cicarelli:</t>
        </r>
        <r>
          <rPr>
            <sz val="9"/>
            <color indexed="81"/>
            <rFont val="Tahoma"/>
            <family val="2"/>
          </rPr>
          <t xml:space="preserve">
Per SFD/AiM 7-3-17</t>
        </r>
      </text>
    </comment>
    <comment ref="C31" authorId="1" shapeId="0">
      <text>
        <r>
          <rPr>
            <b/>
            <sz val="9"/>
            <color indexed="81"/>
            <rFont val="Tahoma"/>
            <family val="2"/>
          </rPr>
          <t>Jed Cicarelli:</t>
        </r>
        <r>
          <rPr>
            <sz val="9"/>
            <color indexed="81"/>
            <rFont val="Tahoma"/>
            <family val="2"/>
          </rPr>
          <t xml:space="preserve">
School moved to new site location for 2016-17.</t>
        </r>
      </text>
    </comment>
    <comment ref="G35" authorId="2" shapeId="0">
      <text>
        <r>
          <rPr>
            <b/>
            <sz val="8"/>
            <color indexed="81"/>
            <rFont val="Tahoma"/>
            <family val="2"/>
          </rPr>
          <t>amanle:</t>
        </r>
        <r>
          <rPr>
            <sz val="8"/>
            <color indexed="81"/>
            <rFont val="Tahoma"/>
            <family val="2"/>
          </rPr>
          <t xml:space="preserve">
changed from M to 0 per conversation with richard parker 3-11-11 ac</t>
        </r>
      </text>
    </comment>
    <comment ref="H35" authorId="2" shapeId="0">
      <text>
        <r>
          <rPr>
            <b/>
            <sz val="8"/>
            <color indexed="81"/>
            <rFont val="Tahoma"/>
            <family val="2"/>
          </rPr>
          <t>amanle:</t>
        </r>
        <r>
          <rPr>
            <sz val="8"/>
            <color indexed="81"/>
            <rFont val="Tahoma"/>
            <family val="2"/>
          </rPr>
          <t xml:space="preserve">
moved ADM to new HS 3-11-11 ac</t>
        </r>
      </text>
    </comment>
    <comment ref="D36" authorId="3" shapeId="0">
      <text>
        <r>
          <rPr>
            <b/>
            <sz val="9"/>
            <color indexed="81"/>
            <rFont val="Tahoma"/>
            <family val="2"/>
          </rPr>
          <t>jcicar:</t>
        </r>
        <r>
          <rPr>
            <sz val="9"/>
            <color indexed="81"/>
            <rFont val="Tahoma"/>
            <family val="2"/>
          </rPr>
          <t xml:space="preserve">
Per district this is an active property.  District disposed of building but retained a portion of the property per email 6-10-16jc</t>
        </r>
      </text>
    </comment>
    <comment ref="E38" authorId="0" shapeId="0">
      <text>
        <r>
          <rPr>
            <b/>
            <sz val="8"/>
            <color indexed="81"/>
            <rFont val="Tahoma"/>
            <family val="2"/>
          </rPr>
          <t>mwillm:</t>
        </r>
        <r>
          <rPr>
            <sz val="8"/>
            <color indexed="81"/>
            <rFont val="Tahoma"/>
            <family val="2"/>
          </rPr>
          <t xml:space="preserve">
Per Big Horn #1's WDE100</t>
        </r>
      </text>
    </comment>
    <comment ref="G38" authorId="2" shapeId="0">
      <text>
        <r>
          <rPr>
            <b/>
            <sz val="8"/>
            <color indexed="81"/>
            <rFont val="Tahoma"/>
            <family val="2"/>
          </rPr>
          <t>amanle:</t>
        </r>
        <r>
          <rPr>
            <sz val="8"/>
            <color indexed="81"/>
            <rFont val="Tahoma"/>
            <family val="2"/>
          </rPr>
          <t xml:space="preserve">
changed from 0 to H per conversation with richard parker 3-11-11 ac</t>
        </r>
      </text>
    </comment>
    <comment ref="H38" authorId="2" shapeId="0">
      <text>
        <r>
          <rPr>
            <b/>
            <sz val="8"/>
            <color indexed="81"/>
            <rFont val="Tahoma"/>
            <family val="2"/>
          </rPr>
          <t>amanle:</t>
        </r>
        <r>
          <rPr>
            <sz val="8"/>
            <color indexed="81"/>
            <rFont val="Tahoma"/>
            <family val="2"/>
          </rPr>
          <t xml:space="preserve">
changed from N/A to pull in ADM from the middle and high school</t>
        </r>
      </text>
    </comment>
    <comment ref="C39" authorId="2" shapeId="0">
      <text>
        <r>
          <rPr>
            <b/>
            <sz val="8"/>
            <color indexed="81"/>
            <rFont val="Tahoma"/>
            <family val="2"/>
          </rPr>
          <t>amanle:</t>
        </r>
        <r>
          <rPr>
            <sz val="8"/>
            <color indexed="81"/>
            <rFont val="Tahoma"/>
            <family val="2"/>
          </rPr>
          <t xml:space="preserve">
Added per 4/12/10 email from SFC.</t>
        </r>
      </text>
    </comment>
    <comment ref="G40" authorId="3" shapeId="0">
      <text>
        <r>
          <rPr>
            <b/>
            <sz val="9"/>
            <color indexed="81"/>
            <rFont val="Tahoma"/>
            <family val="2"/>
          </rPr>
          <t>jcicar:</t>
        </r>
        <r>
          <rPr>
            <sz val="9"/>
            <color indexed="81"/>
            <rFont val="Tahoma"/>
            <family val="2"/>
          </rPr>
          <t xml:space="preserve">
Changed to "O" per email from district 5-11-15</t>
        </r>
      </text>
    </comment>
    <comment ref="E48" authorId="0" shapeId="0">
      <text>
        <r>
          <rPr>
            <b/>
            <sz val="8"/>
            <color indexed="81"/>
            <rFont val="Tahoma"/>
            <family val="2"/>
          </rPr>
          <t>mwillm:</t>
        </r>
        <r>
          <rPr>
            <sz val="8"/>
            <color indexed="81"/>
            <rFont val="Tahoma"/>
            <family val="2"/>
          </rPr>
          <t xml:space="preserve">
Changed 11-25-08 per Sandi Menke's e-mail 11-25-08.</t>
        </r>
      </text>
    </comment>
    <comment ref="E62" authorId="0" shapeId="0">
      <text>
        <r>
          <rPr>
            <b/>
            <sz val="8"/>
            <color indexed="81"/>
            <rFont val="Tahoma"/>
            <family val="2"/>
          </rPr>
          <t>mwillm:</t>
        </r>
        <r>
          <rPr>
            <sz val="8"/>
            <color indexed="81"/>
            <rFont val="Tahoma"/>
            <family val="2"/>
          </rPr>
          <t xml:space="preserve">
Per Campbell #1's WDE100</t>
        </r>
      </text>
    </comment>
    <comment ref="E63" authorId="0" shapeId="0">
      <text>
        <r>
          <rPr>
            <b/>
            <sz val="8"/>
            <color indexed="81"/>
            <rFont val="Tahoma"/>
            <family val="2"/>
          </rPr>
          <t>mwillm:</t>
        </r>
        <r>
          <rPr>
            <sz val="8"/>
            <color indexed="81"/>
            <rFont val="Tahoma"/>
            <family val="2"/>
          </rPr>
          <t xml:space="preserve">
Per Campbell #1's WDE100</t>
        </r>
      </text>
    </comment>
    <comment ref="E64" authorId="0" shapeId="0">
      <text>
        <r>
          <rPr>
            <b/>
            <sz val="8"/>
            <color indexed="81"/>
            <rFont val="Tahoma"/>
            <family val="2"/>
          </rPr>
          <t>mwillm:</t>
        </r>
        <r>
          <rPr>
            <sz val="8"/>
            <color indexed="81"/>
            <rFont val="Tahoma"/>
            <family val="2"/>
          </rPr>
          <t xml:space="preserve">
Per Campbell #1's WDE100</t>
        </r>
      </text>
    </comment>
    <comment ref="E65" authorId="0" shapeId="0">
      <text>
        <r>
          <rPr>
            <b/>
            <sz val="8"/>
            <color indexed="81"/>
            <rFont val="Tahoma"/>
            <family val="2"/>
          </rPr>
          <t>mwillm:</t>
        </r>
        <r>
          <rPr>
            <sz val="8"/>
            <color indexed="81"/>
            <rFont val="Tahoma"/>
            <family val="2"/>
          </rPr>
          <t xml:space="preserve">
Per Campbell #1's WDE100</t>
        </r>
      </text>
    </comment>
    <comment ref="E66" authorId="0" shapeId="0">
      <text>
        <r>
          <rPr>
            <b/>
            <sz val="8"/>
            <color indexed="81"/>
            <rFont val="Tahoma"/>
            <family val="2"/>
          </rPr>
          <t>mwillm:</t>
        </r>
        <r>
          <rPr>
            <sz val="8"/>
            <color indexed="81"/>
            <rFont val="Tahoma"/>
            <family val="2"/>
          </rPr>
          <t xml:space="preserve">
Per Campbell #1's WDE100</t>
        </r>
      </text>
    </comment>
    <comment ref="E67" authorId="0" shapeId="0">
      <text>
        <r>
          <rPr>
            <b/>
            <sz val="8"/>
            <color indexed="81"/>
            <rFont val="Tahoma"/>
            <family val="2"/>
          </rPr>
          <t>mwillm:</t>
        </r>
        <r>
          <rPr>
            <sz val="8"/>
            <color indexed="81"/>
            <rFont val="Tahoma"/>
            <family val="2"/>
          </rPr>
          <t xml:space="preserve">
Per Campbell #1's WDE100</t>
        </r>
      </text>
    </comment>
    <comment ref="E68" authorId="0" shapeId="0">
      <text>
        <r>
          <rPr>
            <b/>
            <sz val="8"/>
            <color indexed="81"/>
            <rFont val="Tahoma"/>
            <family val="2"/>
          </rPr>
          <t>mwillm:</t>
        </r>
        <r>
          <rPr>
            <sz val="8"/>
            <color indexed="81"/>
            <rFont val="Tahoma"/>
            <family val="2"/>
          </rPr>
          <t xml:space="preserve">
Per Campbell #1's WDE100</t>
        </r>
      </text>
    </comment>
    <comment ref="E69" authorId="0" shapeId="0">
      <text>
        <r>
          <rPr>
            <b/>
            <sz val="8"/>
            <color indexed="81"/>
            <rFont val="Tahoma"/>
            <family val="2"/>
          </rPr>
          <t>mwillm:</t>
        </r>
        <r>
          <rPr>
            <sz val="8"/>
            <color indexed="81"/>
            <rFont val="Tahoma"/>
            <family val="2"/>
          </rPr>
          <t xml:space="preserve">
Per Campbell #1's WDE100</t>
        </r>
      </text>
    </comment>
    <comment ref="E70" authorId="0" shapeId="0">
      <text>
        <r>
          <rPr>
            <b/>
            <sz val="8"/>
            <color indexed="81"/>
            <rFont val="Tahoma"/>
            <family val="2"/>
          </rPr>
          <t>mwillm:</t>
        </r>
        <r>
          <rPr>
            <sz val="8"/>
            <color indexed="81"/>
            <rFont val="Tahoma"/>
            <family val="2"/>
          </rPr>
          <t xml:space="preserve">
Per Campbell #1's WDE100</t>
        </r>
      </text>
    </comment>
    <comment ref="E71" authorId="0" shapeId="0">
      <text>
        <r>
          <rPr>
            <b/>
            <sz val="8"/>
            <color indexed="81"/>
            <rFont val="Tahoma"/>
            <family val="2"/>
          </rPr>
          <t>mwillm:</t>
        </r>
        <r>
          <rPr>
            <sz val="8"/>
            <color indexed="81"/>
            <rFont val="Tahoma"/>
            <family val="2"/>
          </rPr>
          <t xml:space="preserve">
Per Campbell #1's WDE100</t>
        </r>
      </text>
    </comment>
    <comment ref="E72" authorId="0" shapeId="0">
      <text>
        <r>
          <rPr>
            <b/>
            <sz val="8"/>
            <color indexed="81"/>
            <rFont val="Tahoma"/>
            <family val="2"/>
          </rPr>
          <t>mwillm:</t>
        </r>
        <r>
          <rPr>
            <sz val="8"/>
            <color indexed="81"/>
            <rFont val="Tahoma"/>
            <family val="2"/>
          </rPr>
          <t xml:space="preserve">
Per Campbell #1's WDE100</t>
        </r>
      </text>
    </comment>
    <comment ref="E73" authorId="0" shapeId="0">
      <text>
        <r>
          <rPr>
            <b/>
            <sz val="8"/>
            <color indexed="81"/>
            <rFont val="Tahoma"/>
            <family val="2"/>
          </rPr>
          <t>mwillm:</t>
        </r>
        <r>
          <rPr>
            <sz val="8"/>
            <color indexed="81"/>
            <rFont val="Tahoma"/>
            <family val="2"/>
          </rPr>
          <t xml:space="preserve">
Per Campbell #1's WDE100</t>
        </r>
      </text>
    </comment>
    <comment ref="E74" authorId="0" shapeId="0">
      <text>
        <r>
          <rPr>
            <b/>
            <sz val="8"/>
            <color indexed="81"/>
            <rFont val="Tahoma"/>
            <family val="2"/>
          </rPr>
          <t>mwillm:</t>
        </r>
        <r>
          <rPr>
            <sz val="8"/>
            <color indexed="81"/>
            <rFont val="Tahoma"/>
            <family val="2"/>
          </rPr>
          <t xml:space="preserve">
Per Campbell #1's WDE100</t>
        </r>
      </text>
    </comment>
    <comment ref="E75" authorId="0" shapeId="0">
      <text>
        <r>
          <rPr>
            <b/>
            <sz val="8"/>
            <color indexed="81"/>
            <rFont val="Tahoma"/>
            <family val="2"/>
          </rPr>
          <t>mwillm:</t>
        </r>
        <r>
          <rPr>
            <sz val="8"/>
            <color indexed="81"/>
            <rFont val="Tahoma"/>
            <family val="2"/>
          </rPr>
          <t xml:space="preserve">
Per Campbell #1's WDE100</t>
        </r>
      </text>
    </comment>
    <comment ref="E76" authorId="0" shapeId="0">
      <text>
        <r>
          <rPr>
            <b/>
            <sz val="8"/>
            <color indexed="81"/>
            <rFont val="Tahoma"/>
            <family val="2"/>
          </rPr>
          <t>mwillm:</t>
        </r>
        <r>
          <rPr>
            <sz val="8"/>
            <color indexed="81"/>
            <rFont val="Tahoma"/>
            <family val="2"/>
          </rPr>
          <t xml:space="preserve">
Per Campbell #1's WDE100</t>
        </r>
      </text>
    </comment>
    <comment ref="E77" authorId="0" shapeId="0">
      <text>
        <r>
          <rPr>
            <b/>
            <sz val="8"/>
            <color indexed="81"/>
            <rFont val="Tahoma"/>
            <family val="2"/>
          </rPr>
          <t>mwillm:</t>
        </r>
        <r>
          <rPr>
            <sz val="8"/>
            <color indexed="81"/>
            <rFont val="Tahoma"/>
            <family val="2"/>
          </rPr>
          <t xml:space="preserve">
Per Campbell #1's WDE100</t>
        </r>
      </text>
    </comment>
    <comment ref="E78" authorId="0" shapeId="0">
      <text>
        <r>
          <rPr>
            <b/>
            <sz val="8"/>
            <color indexed="81"/>
            <rFont val="Tahoma"/>
            <family val="2"/>
          </rPr>
          <t>mwillm:</t>
        </r>
        <r>
          <rPr>
            <sz val="8"/>
            <color indexed="81"/>
            <rFont val="Tahoma"/>
            <family val="2"/>
          </rPr>
          <t xml:space="preserve">
Per Campbell #1's WDE100</t>
        </r>
      </text>
    </comment>
    <comment ref="E79" authorId="0" shapeId="0">
      <text>
        <r>
          <rPr>
            <b/>
            <sz val="8"/>
            <color indexed="81"/>
            <rFont val="Tahoma"/>
            <family val="2"/>
          </rPr>
          <t>mwillm:</t>
        </r>
        <r>
          <rPr>
            <sz val="8"/>
            <color indexed="81"/>
            <rFont val="Tahoma"/>
            <family val="2"/>
          </rPr>
          <t xml:space="preserve">
Per Campbell #1's WDE100</t>
        </r>
      </text>
    </comment>
    <comment ref="E80" authorId="0" shapeId="0">
      <text>
        <r>
          <rPr>
            <b/>
            <sz val="8"/>
            <color indexed="81"/>
            <rFont val="Tahoma"/>
            <family val="2"/>
          </rPr>
          <t>mwillm:</t>
        </r>
        <r>
          <rPr>
            <sz val="8"/>
            <color indexed="81"/>
            <rFont val="Tahoma"/>
            <family val="2"/>
          </rPr>
          <t xml:space="preserve">
Per Campbell #1's WDE100</t>
        </r>
      </text>
    </comment>
    <comment ref="E81" authorId="0" shapeId="0">
      <text>
        <r>
          <rPr>
            <b/>
            <sz val="8"/>
            <color indexed="81"/>
            <rFont val="Tahoma"/>
            <family val="2"/>
          </rPr>
          <t>mwillm:</t>
        </r>
        <r>
          <rPr>
            <sz val="8"/>
            <color indexed="81"/>
            <rFont val="Tahoma"/>
            <family val="2"/>
          </rPr>
          <t xml:space="preserve">
Per Campbell #1's WDE100</t>
        </r>
      </text>
    </comment>
    <comment ref="E82" authorId="0" shapeId="0">
      <text>
        <r>
          <rPr>
            <b/>
            <sz val="8"/>
            <color indexed="81"/>
            <rFont val="Tahoma"/>
            <family val="2"/>
          </rPr>
          <t>mwillm:</t>
        </r>
        <r>
          <rPr>
            <sz val="8"/>
            <color indexed="81"/>
            <rFont val="Tahoma"/>
            <family val="2"/>
          </rPr>
          <t xml:space="preserve">
Per Campbell #1's WDE100</t>
        </r>
      </text>
    </comment>
    <comment ref="E83" authorId="0" shapeId="0">
      <text>
        <r>
          <rPr>
            <b/>
            <sz val="8"/>
            <color indexed="81"/>
            <rFont val="Tahoma"/>
            <family val="2"/>
          </rPr>
          <t>mwillm:</t>
        </r>
        <r>
          <rPr>
            <sz val="8"/>
            <color indexed="81"/>
            <rFont val="Tahoma"/>
            <family val="2"/>
          </rPr>
          <t xml:space="preserve">
Per Campbell #1's WDE100</t>
        </r>
      </text>
    </comment>
    <comment ref="E84" authorId="0" shapeId="0">
      <text>
        <r>
          <rPr>
            <b/>
            <sz val="8"/>
            <color indexed="81"/>
            <rFont val="Tahoma"/>
            <family val="2"/>
          </rPr>
          <t>mwillm:</t>
        </r>
        <r>
          <rPr>
            <sz val="8"/>
            <color indexed="81"/>
            <rFont val="Tahoma"/>
            <family val="2"/>
          </rPr>
          <t xml:space="preserve">
Per Campbell #1's WDE100</t>
        </r>
      </text>
    </comment>
    <comment ref="E85" authorId="0" shapeId="0">
      <text>
        <r>
          <rPr>
            <b/>
            <sz val="8"/>
            <color indexed="81"/>
            <rFont val="Tahoma"/>
            <family val="2"/>
          </rPr>
          <t>mwillm:</t>
        </r>
        <r>
          <rPr>
            <sz val="8"/>
            <color indexed="81"/>
            <rFont val="Tahoma"/>
            <family val="2"/>
          </rPr>
          <t xml:space="preserve">
Per Campbell #1's WDE100</t>
        </r>
      </text>
    </comment>
    <comment ref="G85" authorId="0" shapeId="0">
      <text>
        <r>
          <rPr>
            <b/>
            <sz val="8"/>
            <color indexed="81"/>
            <rFont val="Tahoma"/>
            <family val="2"/>
          </rPr>
          <t>mwillm:</t>
        </r>
        <r>
          <rPr>
            <sz val="8"/>
            <color indexed="81"/>
            <rFont val="Tahoma"/>
            <family val="2"/>
          </rPr>
          <t xml:space="preserve">
Corrected 6-3-08.  Level should be H as it is the second campus of the high school.</t>
        </r>
      </text>
    </comment>
    <comment ref="E86" authorId="0" shapeId="0">
      <text>
        <r>
          <rPr>
            <b/>
            <sz val="8"/>
            <color indexed="81"/>
            <rFont val="Tahoma"/>
            <family val="2"/>
          </rPr>
          <t>mwillm:</t>
        </r>
        <r>
          <rPr>
            <sz val="8"/>
            <color indexed="81"/>
            <rFont val="Tahoma"/>
            <family val="2"/>
          </rPr>
          <t xml:space="preserve">
Per Campbell #1's WDE100</t>
        </r>
      </text>
    </comment>
    <comment ref="G86" authorId="0" shapeId="0">
      <text>
        <r>
          <rPr>
            <b/>
            <sz val="8"/>
            <color indexed="81"/>
            <rFont val="Tahoma"/>
            <family val="2"/>
          </rPr>
          <t>mwillm:</t>
        </r>
        <r>
          <rPr>
            <sz val="8"/>
            <color indexed="81"/>
            <rFont val="Tahoma"/>
            <family val="2"/>
          </rPr>
          <t xml:space="preserve">
Changed 12-9-08 from 0 to M to reference opened school for school year 2007-08.  Removed site 0301-011.</t>
        </r>
      </text>
    </comment>
    <comment ref="E87" authorId="0" shapeId="0">
      <text>
        <r>
          <rPr>
            <b/>
            <sz val="8"/>
            <color indexed="81"/>
            <rFont val="Tahoma"/>
            <family val="2"/>
          </rPr>
          <t>mwillm:</t>
        </r>
        <r>
          <rPr>
            <sz val="8"/>
            <color indexed="81"/>
            <rFont val="Tahoma"/>
            <family val="2"/>
          </rPr>
          <t xml:space="preserve">
Per Campbell #1's WDE100</t>
        </r>
      </text>
    </comment>
    <comment ref="E88" authorId="0" shapeId="0">
      <text>
        <r>
          <rPr>
            <b/>
            <sz val="8"/>
            <color indexed="81"/>
            <rFont val="Tahoma"/>
            <family val="2"/>
          </rPr>
          <t>mwillm:</t>
        </r>
        <r>
          <rPr>
            <sz val="8"/>
            <color indexed="81"/>
            <rFont val="Tahoma"/>
            <family val="2"/>
          </rPr>
          <t xml:space="preserve">
Per Campbell #1's WDE100</t>
        </r>
      </text>
    </comment>
    <comment ref="G88" authorId="3" shapeId="0">
      <text>
        <r>
          <rPr>
            <b/>
            <sz val="9"/>
            <color indexed="81"/>
            <rFont val="Tahoma"/>
            <family val="2"/>
          </rPr>
          <t>jcicar:</t>
        </r>
        <r>
          <rPr>
            <sz val="9"/>
            <color indexed="81"/>
            <rFont val="Tahoma"/>
            <family val="2"/>
          </rPr>
          <t xml:space="preserve">
Changed from 'E' to 'O' per email from Don Dihle 4-4-12</t>
        </r>
      </text>
    </comment>
    <comment ref="C89" authorId="4" shapeId="0">
      <text>
        <r>
          <rPr>
            <b/>
            <sz val="9"/>
            <color indexed="81"/>
            <rFont val="Tahoma"/>
            <family val="2"/>
          </rPr>
          <t>jrevel:</t>
        </r>
        <r>
          <rPr>
            <sz val="9"/>
            <color indexed="81"/>
            <rFont val="Tahoma"/>
            <family val="2"/>
          </rPr>
          <t xml:space="preserve">
This site was split, the 19.11 acres was transferred to site 0301-041.</t>
        </r>
      </text>
    </comment>
    <comment ref="E89" authorId="0" shapeId="0">
      <text>
        <r>
          <rPr>
            <b/>
            <sz val="8"/>
            <color indexed="81"/>
            <rFont val="Tahoma"/>
            <family val="2"/>
          </rPr>
          <t>mwillm:</t>
        </r>
        <r>
          <rPr>
            <sz val="8"/>
            <color indexed="81"/>
            <rFont val="Tahoma"/>
            <family val="2"/>
          </rPr>
          <t xml:space="preserve">
Per Campbell #1's WDE100</t>
        </r>
      </text>
    </comment>
    <comment ref="G89" authorId="3" shapeId="0">
      <text>
        <r>
          <rPr>
            <b/>
            <sz val="9"/>
            <color indexed="81"/>
            <rFont val="Tahoma"/>
            <family val="2"/>
          </rPr>
          <t>jcicar:</t>
        </r>
        <r>
          <rPr>
            <sz val="9"/>
            <color indexed="81"/>
            <rFont val="Tahoma"/>
            <family val="2"/>
          </rPr>
          <t xml:space="preserve">
Changed from 'O' to 'E' per email from Don Dihle 4-4-12</t>
        </r>
      </text>
    </comment>
    <comment ref="E90" authorId="0" shapeId="0">
      <text>
        <r>
          <rPr>
            <b/>
            <sz val="8"/>
            <color indexed="81"/>
            <rFont val="Tahoma"/>
            <family val="2"/>
          </rPr>
          <t>mwillm:</t>
        </r>
        <r>
          <rPr>
            <sz val="8"/>
            <color indexed="81"/>
            <rFont val="Tahoma"/>
            <family val="2"/>
          </rPr>
          <t xml:space="preserve">
Per Campbell #1's WDE100</t>
        </r>
      </text>
    </comment>
    <comment ref="E91" authorId="0" shapeId="0">
      <text>
        <r>
          <rPr>
            <b/>
            <sz val="8"/>
            <color indexed="81"/>
            <rFont val="Tahoma"/>
            <family val="2"/>
          </rPr>
          <t>mwillm:</t>
        </r>
        <r>
          <rPr>
            <sz val="8"/>
            <color indexed="81"/>
            <rFont val="Tahoma"/>
            <family val="2"/>
          </rPr>
          <t xml:space="preserve">
Per Campbell #1's WDE100</t>
        </r>
      </text>
    </comment>
    <comment ref="D92" authorId="0" shapeId="0">
      <text>
        <r>
          <rPr>
            <b/>
            <sz val="8"/>
            <color indexed="81"/>
            <rFont val="Tahoma"/>
            <family val="2"/>
          </rPr>
          <t>mwillm:</t>
        </r>
        <r>
          <rPr>
            <sz val="8"/>
            <color indexed="81"/>
            <rFont val="Tahoma"/>
            <family val="2"/>
          </rPr>
          <t xml:space="preserve">
This is a vacant future site per Don Dihle 6-22-09
</t>
        </r>
      </text>
    </comment>
    <comment ref="E92" authorId="0" shapeId="0">
      <text>
        <r>
          <rPr>
            <b/>
            <sz val="8"/>
            <color indexed="81"/>
            <rFont val="Tahoma"/>
            <family val="2"/>
          </rPr>
          <t>mwillm:</t>
        </r>
        <r>
          <rPr>
            <sz val="8"/>
            <color indexed="81"/>
            <rFont val="Tahoma"/>
            <family val="2"/>
          </rPr>
          <t xml:space="preserve">
Per Don Dihle 6-22-09
</t>
        </r>
      </text>
    </comment>
    <comment ref="G95" authorId="3" shapeId="0">
      <text>
        <r>
          <rPr>
            <b/>
            <sz val="9"/>
            <color indexed="81"/>
            <rFont val="Tahoma"/>
            <family val="2"/>
          </rPr>
          <t xml:space="preserve">jcicar: </t>
        </r>
        <r>
          <rPr>
            <sz val="9"/>
            <color indexed="81"/>
            <rFont val="Tahoma"/>
            <family val="2"/>
          </rPr>
          <t>3-15-13
changed from "N/A" to "E" due to school opening</t>
        </r>
      </text>
    </comment>
    <comment ref="H95" authorId="3" shapeId="0">
      <text>
        <r>
          <rPr>
            <b/>
            <sz val="9"/>
            <color indexed="81"/>
            <rFont val="Tahoma"/>
            <family val="2"/>
          </rPr>
          <t>jcicar:</t>
        </r>
        <r>
          <rPr>
            <sz val="9"/>
            <color indexed="81"/>
            <rFont val="Tahoma"/>
            <family val="2"/>
          </rPr>
          <t xml:space="preserve">
linked to buffalo Ridge ADM</t>
        </r>
      </text>
    </comment>
    <comment ref="G96" authorId="3" shapeId="0">
      <text>
        <r>
          <rPr>
            <b/>
            <sz val="9"/>
            <color indexed="81"/>
            <rFont val="Tahoma"/>
            <family val="2"/>
          </rPr>
          <t>jcicar:</t>
        </r>
        <r>
          <rPr>
            <sz val="9"/>
            <color indexed="81"/>
            <rFont val="Tahoma"/>
            <family val="2"/>
          </rPr>
          <t xml:space="preserve">
ADM for Lakeview ES moved to new site location 6-10-15</t>
        </r>
      </text>
    </comment>
    <comment ref="H96" authorId="3" shapeId="0">
      <text>
        <r>
          <rPr>
            <b/>
            <sz val="9"/>
            <color indexed="81"/>
            <rFont val="Tahoma"/>
            <family val="2"/>
          </rPr>
          <t>jcicar:</t>
        </r>
        <r>
          <rPr>
            <sz val="9"/>
            <color indexed="81"/>
            <rFont val="Tahoma"/>
            <family val="2"/>
          </rPr>
          <t xml:space="preserve">
ADM for Lakeview ES moved to new site location 6-10-15</t>
        </r>
      </text>
    </comment>
    <comment ref="G98" authorId="3" shapeId="0">
      <text>
        <r>
          <rPr>
            <b/>
            <sz val="9"/>
            <color indexed="81"/>
            <rFont val="Tahoma"/>
            <family val="2"/>
          </rPr>
          <t>jcicar:</t>
        </r>
        <r>
          <rPr>
            <sz val="9"/>
            <color indexed="81"/>
            <rFont val="Tahoma"/>
            <family val="2"/>
          </rPr>
          <t xml:space="preserve">
ADM for Westwood HS moved to new site location 6-10-15</t>
        </r>
      </text>
    </comment>
    <comment ref="H98" authorId="3" shapeId="0">
      <text>
        <r>
          <rPr>
            <b/>
            <sz val="9"/>
            <color indexed="81"/>
            <rFont val="Tahoma"/>
            <family val="2"/>
          </rPr>
          <t>jcicar:</t>
        </r>
        <r>
          <rPr>
            <sz val="9"/>
            <color indexed="81"/>
            <rFont val="Tahoma"/>
            <family val="2"/>
          </rPr>
          <t xml:space="preserve">
ADM for Westwood HS moved to new site location 6-10-15</t>
        </r>
      </text>
    </comment>
    <comment ref="G108" authorId="0" shapeId="0">
      <text>
        <r>
          <rPr>
            <b/>
            <sz val="8"/>
            <color indexed="81"/>
            <rFont val="Tahoma"/>
            <family val="2"/>
          </rPr>
          <t>mwillm:</t>
        </r>
        <r>
          <rPr>
            <sz val="8"/>
            <color indexed="81"/>
            <rFont val="Tahoma"/>
            <family val="2"/>
          </rPr>
          <t xml:space="preserve">
Changed from 0 to H 7/24/07 - Cooperative High is located in building.</t>
        </r>
      </text>
    </comment>
    <comment ref="C112" authorId="3" shapeId="0">
      <text>
        <r>
          <rPr>
            <b/>
            <sz val="9"/>
            <color indexed="81"/>
            <rFont val="Tahoma"/>
            <family val="2"/>
          </rPr>
          <t>jcicar:</t>
        </r>
        <r>
          <rPr>
            <sz val="9"/>
            <color indexed="81"/>
            <rFont val="Tahoma"/>
            <family val="2"/>
          </rPr>
          <t xml:space="preserve">
Added per SFD email 2-27-13</t>
        </r>
      </text>
    </comment>
    <comment ref="G117" authorId="3" shapeId="0">
      <text>
        <r>
          <rPr>
            <b/>
            <sz val="9"/>
            <color indexed="81"/>
            <rFont val="Tahoma"/>
            <family val="2"/>
          </rPr>
          <t>jcicar:</t>
        </r>
        <r>
          <rPr>
            <sz val="9"/>
            <color indexed="81"/>
            <rFont val="Tahoma"/>
            <family val="2"/>
          </rPr>
          <t xml:space="preserve">
Changed to "O" per district 6-10-15</t>
        </r>
      </text>
    </comment>
    <comment ref="G119" authorId="3" shapeId="0">
      <text>
        <r>
          <rPr>
            <b/>
            <sz val="9"/>
            <color indexed="81"/>
            <rFont val="Tahoma"/>
            <family val="2"/>
          </rPr>
          <t>jcicar:</t>
        </r>
        <r>
          <rPr>
            <sz val="9"/>
            <color indexed="81"/>
            <rFont val="Tahoma"/>
            <family val="2"/>
          </rPr>
          <t xml:space="preserve">
Changed to "E" for Hanna ES's new site location 6-10-15</t>
        </r>
      </text>
    </comment>
    <comment ref="H119" authorId="3" shapeId="0">
      <text>
        <r>
          <rPr>
            <b/>
            <sz val="9"/>
            <color indexed="81"/>
            <rFont val="Tahoma"/>
            <family val="2"/>
          </rPr>
          <t>jcicar:</t>
        </r>
        <r>
          <rPr>
            <sz val="9"/>
            <color indexed="81"/>
            <rFont val="Tahoma"/>
            <family val="2"/>
          </rPr>
          <t xml:space="preserve">
ADM moved to new site location 6-10-15</t>
        </r>
      </text>
    </comment>
    <comment ref="G123" authorId="0" shapeId="0">
      <text>
        <r>
          <rPr>
            <b/>
            <sz val="8"/>
            <color indexed="81"/>
            <rFont val="Tahoma"/>
            <family val="2"/>
          </rPr>
          <t xml:space="preserve">jcicar:
</t>
        </r>
        <r>
          <rPr>
            <sz val="8"/>
            <color indexed="81"/>
            <rFont val="Tahoma"/>
            <family val="2"/>
          </rPr>
          <t>Moved ADM to 0402-017 per district. Changed "O".</t>
        </r>
        <r>
          <rPr>
            <b/>
            <sz val="8"/>
            <color indexed="81"/>
            <rFont val="Tahoma"/>
            <family val="2"/>
          </rPr>
          <t xml:space="preserve">
mwillm:</t>
        </r>
        <r>
          <rPr>
            <sz val="8"/>
            <color indexed="81"/>
            <rFont val="Tahoma"/>
            <family val="2"/>
          </rPr>
          <t xml:space="preserve">
Changed 6-3-08.  Grades served are only K-6</t>
        </r>
      </text>
    </comment>
    <comment ref="H123" authorId="3" shapeId="0">
      <text>
        <r>
          <rPr>
            <b/>
            <sz val="9"/>
            <color indexed="81"/>
            <rFont val="Tahoma"/>
            <family val="2"/>
          </rPr>
          <t>jcicar:</t>
        </r>
        <r>
          <rPr>
            <sz val="9"/>
            <color indexed="81"/>
            <rFont val="Tahoma"/>
            <family val="2"/>
          </rPr>
          <t xml:space="preserve">
Moved Medicine Bow ADM per districts 6-10-15</t>
        </r>
      </text>
    </comment>
    <comment ref="D124" authorId="0" shapeId="0">
      <text>
        <r>
          <rPr>
            <b/>
            <sz val="8"/>
            <color indexed="81"/>
            <rFont val="Tahoma"/>
            <family val="2"/>
          </rPr>
          <t>mwillm:</t>
        </r>
        <r>
          <rPr>
            <sz val="8"/>
            <color indexed="81"/>
            <rFont val="Tahoma"/>
            <family val="2"/>
          </rPr>
          <t xml:space="preserve">
Saratoga Middle and High School are co-located.</t>
        </r>
      </text>
    </comment>
    <comment ref="G127" authorId="3" shapeId="0">
      <text>
        <r>
          <rPr>
            <b/>
            <sz val="9"/>
            <color indexed="81"/>
            <rFont val="Tahoma"/>
            <family val="2"/>
          </rPr>
          <t>jcicar:</t>
        </r>
        <r>
          <rPr>
            <sz val="9"/>
            <color indexed="81"/>
            <rFont val="Tahoma"/>
            <family val="2"/>
          </rPr>
          <t xml:space="preserve">
Moved Medicine Bow ADM per districts 6-10-15</t>
        </r>
      </text>
    </comment>
    <comment ref="H127" authorId="3" shapeId="0">
      <text>
        <r>
          <rPr>
            <b/>
            <sz val="9"/>
            <color indexed="81"/>
            <rFont val="Tahoma"/>
            <family val="2"/>
          </rPr>
          <t>jcicar:</t>
        </r>
        <r>
          <rPr>
            <sz val="9"/>
            <color indexed="81"/>
            <rFont val="Tahoma"/>
            <family val="2"/>
          </rPr>
          <t xml:space="preserve">
Moved Medicine Bow ADM per districts 6-10-15</t>
        </r>
      </text>
    </comment>
    <comment ref="H128" authorId="3" shapeId="0">
      <text>
        <r>
          <rPr>
            <b/>
            <sz val="9"/>
            <color indexed="81"/>
            <rFont val="Tahoma"/>
            <family val="2"/>
          </rPr>
          <t>jcicar:</t>
        </r>
        <r>
          <rPr>
            <sz val="9"/>
            <color indexed="81"/>
            <rFont val="Tahoma"/>
            <family val="2"/>
          </rPr>
          <t xml:space="preserve">
Moved Medicine Bow ADM per districts 6-10-15</t>
        </r>
      </text>
    </comment>
    <comment ref="D137" authorId="3" shapeId="0">
      <text>
        <r>
          <rPr>
            <b/>
            <sz val="9"/>
            <color indexed="81"/>
            <rFont val="Tahoma"/>
            <family val="2"/>
          </rPr>
          <t>jcicar:</t>
        </r>
        <r>
          <rPr>
            <sz val="9"/>
            <color indexed="81"/>
            <rFont val="Tahoma"/>
            <family val="2"/>
          </rPr>
          <t xml:space="preserve">
not in AiM database, confirmed with Tracy that the district still owns the property 5-16-13
AiM shows as inactive.  confirmed 7-21-16 district still owns property.</t>
        </r>
      </text>
    </comment>
    <comment ref="D138" authorId="3" shapeId="0">
      <text>
        <r>
          <rPr>
            <b/>
            <sz val="9"/>
            <color indexed="81"/>
            <rFont val="Tahoma"/>
            <family val="2"/>
          </rPr>
          <t>jcicar:</t>
        </r>
        <r>
          <rPr>
            <sz val="9"/>
            <color indexed="81"/>
            <rFont val="Tahoma"/>
            <family val="2"/>
          </rPr>
          <t xml:space="preserve">
Douglas Intermediate and Upper ES are positioned on the same site per AiM data 7-2-14jc</t>
        </r>
      </text>
    </comment>
    <comment ref="H138" authorId="3" shapeId="0">
      <text>
        <r>
          <rPr>
            <b/>
            <sz val="9"/>
            <color indexed="81"/>
            <rFont val="Tahoma"/>
            <family val="2"/>
          </rPr>
          <t>jcicar:</t>
        </r>
        <r>
          <rPr>
            <sz val="9"/>
            <color indexed="81"/>
            <rFont val="Tahoma"/>
            <family val="2"/>
          </rPr>
          <t xml:space="preserve">
Douglas Intermediate and Upper ES are positioned on the same site per AiM data 7-2-14jc</t>
        </r>
      </text>
    </comment>
    <comment ref="G144" authorId="3" shapeId="0">
      <text>
        <r>
          <rPr>
            <b/>
            <sz val="9"/>
            <color indexed="81"/>
            <rFont val="Tahoma"/>
            <family val="2"/>
          </rPr>
          <t>jcicar:</t>
        </r>
        <r>
          <rPr>
            <sz val="9"/>
            <color indexed="81"/>
            <rFont val="Tahoma"/>
            <family val="2"/>
          </rPr>
          <t xml:space="preserve">
site contains active Gym used by district, changed to "O" - verified via phone with Tracy 3-25-13</t>
        </r>
      </text>
    </comment>
    <comment ref="G145" authorId="0" shapeId="0">
      <text>
        <r>
          <rPr>
            <b/>
            <sz val="8"/>
            <color indexed="81"/>
            <rFont val="Tahoma"/>
            <family val="2"/>
          </rPr>
          <t>mwillm:</t>
        </r>
        <r>
          <rPr>
            <sz val="8"/>
            <color indexed="81"/>
            <rFont val="Tahoma"/>
            <family val="2"/>
          </rPr>
          <t xml:space="preserve">
Changed Level to "0".  Oregon Trail ES is not an open school in the 2007-08 school year. 6-3-08
Changed from "0" to "E" per 12-09-08 e-mail from Lynne Short.  Grant ES took possession on this land on 1/1/08</t>
        </r>
      </text>
    </comment>
    <comment ref="H145" authorId="0" shapeId="0">
      <text>
        <r>
          <rPr>
            <b/>
            <sz val="8"/>
            <color indexed="81"/>
            <rFont val="Tahoma"/>
            <family val="2"/>
          </rPr>
          <t>mwillm:</t>
        </r>
        <r>
          <rPr>
            <sz val="8"/>
            <color indexed="81"/>
            <rFont val="Tahoma"/>
            <family val="2"/>
          </rPr>
          <t xml:space="preserve">
Changed to Grant ES ADM 12-09-08.</t>
        </r>
      </text>
    </comment>
    <comment ref="D148" authorId="3" shapeId="0">
      <text>
        <r>
          <rPr>
            <b/>
            <sz val="9"/>
            <color indexed="81"/>
            <rFont val="Tahoma"/>
            <family val="2"/>
          </rPr>
          <t>jcicar:</t>
        </r>
        <r>
          <rPr>
            <sz val="9"/>
            <color indexed="81"/>
            <rFont val="Tahoma"/>
            <family val="2"/>
          </rPr>
          <t xml:space="preserve">
DISTRICT DOES NOT OWN THIS SITE. OWNER LETS DISTRICT USE THIS PROPERTY PER SUMMER OF 2010 FACILITY PLAN MEETING</t>
        </r>
      </text>
    </comment>
    <comment ref="G154" authorId="0" shapeId="0">
      <text>
        <r>
          <rPr>
            <b/>
            <sz val="8"/>
            <color indexed="81"/>
            <rFont val="Tahoma"/>
            <family val="2"/>
          </rPr>
          <t>mwillm:</t>
        </r>
        <r>
          <rPr>
            <sz val="8"/>
            <color indexed="81"/>
            <rFont val="Tahoma"/>
            <family val="2"/>
          </rPr>
          <t xml:space="preserve">
Changed from M to MH 7/24/07</t>
        </r>
      </text>
    </comment>
    <comment ref="D155" authorId="1" shapeId="0">
      <text>
        <r>
          <rPr>
            <b/>
            <sz val="9"/>
            <color indexed="81"/>
            <rFont val="Tahoma"/>
            <family val="2"/>
          </rPr>
          <t>Jed Cicarelli:</t>
        </r>
        <r>
          <rPr>
            <sz val="9"/>
            <color indexed="81"/>
            <rFont val="Tahoma"/>
            <family val="2"/>
          </rPr>
          <t xml:space="preserve">
description changed per district 7-3-17</t>
        </r>
      </text>
    </comment>
    <comment ref="G155" authorId="0" shapeId="0">
      <text>
        <r>
          <rPr>
            <b/>
            <sz val="8"/>
            <color indexed="81"/>
            <rFont val="Tahoma"/>
            <family val="2"/>
          </rPr>
          <t>mwillm:</t>
        </r>
        <r>
          <rPr>
            <sz val="8"/>
            <color indexed="81"/>
            <rFont val="Tahoma"/>
            <family val="2"/>
          </rPr>
          <t xml:space="preserve">
Changed from M to MH 7/24/07</t>
        </r>
      </text>
    </comment>
    <comment ref="G160" authorId="3" shapeId="0">
      <text>
        <r>
          <rPr>
            <b/>
            <sz val="9"/>
            <color indexed="81"/>
            <rFont val="Tahoma"/>
            <family val="2"/>
          </rPr>
          <t xml:space="preserve">jcicar: </t>
        </r>
        <r>
          <rPr>
            <sz val="9"/>
            <color indexed="81"/>
            <rFont val="Tahoma"/>
            <family val="2"/>
          </rPr>
          <t xml:space="preserve">
changed from 'E' to 'M' 4-24-12 per conversation with district.
Changed to 'H' per district (alt school on same site location). 6-27-16</t>
        </r>
      </text>
    </comment>
    <comment ref="H160" authorId="3" shapeId="0">
      <text>
        <r>
          <rPr>
            <b/>
            <sz val="9"/>
            <color indexed="81"/>
            <rFont val="Tahoma"/>
            <family val="2"/>
          </rPr>
          <t>jcicar:</t>
        </r>
        <r>
          <rPr>
            <sz val="9"/>
            <color indexed="81"/>
            <rFont val="Tahoma"/>
            <family val="2"/>
          </rPr>
          <t xml:space="preserve">
updated 4-24-12; added Lander MS to ADM</t>
        </r>
      </text>
    </comment>
    <comment ref="H161" authorId="3" shapeId="0">
      <text>
        <r>
          <rPr>
            <b/>
            <sz val="9"/>
            <color indexed="81"/>
            <rFont val="Tahoma"/>
            <family val="2"/>
          </rPr>
          <t>jcicar:</t>
        </r>
        <r>
          <rPr>
            <sz val="9"/>
            <color indexed="81"/>
            <rFont val="Tahoma"/>
            <family val="2"/>
          </rPr>
          <t xml:space="preserve">
changed to zero 4-24-12</t>
        </r>
      </text>
    </comment>
    <comment ref="G163" authorId="0" shapeId="0">
      <text>
        <r>
          <rPr>
            <b/>
            <sz val="8"/>
            <color indexed="81"/>
            <rFont val="Tahoma"/>
            <family val="2"/>
          </rPr>
          <t>mwillm:</t>
        </r>
        <r>
          <rPr>
            <sz val="8"/>
            <color indexed="81"/>
            <rFont val="Tahoma"/>
            <family val="2"/>
          </rPr>
          <t xml:space="preserve">
Changed 12-26-07.  The site level should only be E because it serves K-6 even though the site name has ES/MS/HS</t>
        </r>
      </text>
    </comment>
    <comment ref="G164" authorId="3" shapeId="0">
      <text>
        <r>
          <rPr>
            <b/>
            <sz val="9"/>
            <color indexed="81"/>
            <rFont val="Tahoma"/>
            <family val="2"/>
          </rPr>
          <t xml:space="preserve">jcicar: </t>
        </r>
        <r>
          <rPr>
            <sz val="9"/>
            <color indexed="81"/>
            <rFont val="Tahoma"/>
            <family val="2"/>
          </rPr>
          <t xml:space="preserve">
changed from 'M' to 'E' 4-24-12 per conversation with district</t>
        </r>
      </text>
    </comment>
    <comment ref="H164" authorId="3" shapeId="0">
      <text>
        <r>
          <rPr>
            <b/>
            <sz val="9"/>
            <color indexed="81"/>
            <rFont val="Tahoma"/>
            <family val="2"/>
          </rPr>
          <t>jcicar:</t>
        </r>
        <r>
          <rPr>
            <sz val="9"/>
            <color indexed="81"/>
            <rFont val="Tahoma"/>
            <family val="2"/>
          </rPr>
          <t xml:space="preserve">
changed ADM for new Gannet Peak 4-24-12</t>
        </r>
      </text>
    </comment>
    <comment ref="G167" authorId="0" shapeId="0">
      <text>
        <r>
          <rPr>
            <b/>
            <sz val="8"/>
            <color indexed="81"/>
            <rFont val="Tahoma"/>
            <family val="2"/>
          </rPr>
          <t xml:space="preserve">jcicar:
</t>
        </r>
        <r>
          <rPr>
            <sz val="8"/>
            <color indexed="81"/>
            <rFont val="Tahoma"/>
            <family val="2"/>
          </rPr>
          <t>Changed to H for combined K-12 6-10-15</t>
        </r>
        <r>
          <rPr>
            <b/>
            <sz val="8"/>
            <color indexed="81"/>
            <rFont val="Tahoma"/>
            <family val="2"/>
          </rPr>
          <t xml:space="preserve">
mwillm:</t>
        </r>
        <r>
          <rPr>
            <sz val="8"/>
            <color indexed="81"/>
            <rFont val="Tahoma"/>
            <family val="2"/>
          </rPr>
          <t xml:space="preserve">
Changed 12-26-07.  The site level should be a EM not MH.</t>
        </r>
      </text>
    </comment>
    <comment ref="H167" authorId="3" shapeId="0">
      <text>
        <r>
          <rPr>
            <b/>
            <sz val="9"/>
            <color indexed="81"/>
            <rFont val="Tahoma"/>
            <family val="2"/>
          </rPr>
          <t>jcicar:</t>
        </r>
        <r>
          <rPr>
            <sz val="9"/>
            <color indexed="81"/>
            <rFont val="Tahoma"/>
            <family val="2"/>
          </rPr>
          <t xml:space="preserve">
Included HS ADM after consolidation to co-located K-12.</t>
        </r>
      </text>
    </comment>
    <comment ref="G168" authorId="3" shapeId="0">
      <text>
        <r>
          <rPr>
            <b/>
            <sz val="9"/>
            <color indexed="81"/>
            <rFont val="Tahoma"/>
            <family val="2"/>
          </rPr>
          <t>jcicar:</t>
        </r>
        <r>
          <rPr>
            <sz val="9"/>
            <color indexed="81"/>
            <rFont val="Tahoma"/>
            <family val="2"/>
          </rPr>
          <t xml:space="preserve">
Changed to "O" per district - bus barn 6-10-15</t>
        </r>
      </text>
    </comment>
    <comment ref="C171" authorId="4" shapeId="0">
      <text>
        <r>
          <rPr>
            <b/>
            <sz val="9"/>
            <color indexed="81"/>
            <rFont val="Tahoma"/>
            <family val="2"/>
          </rPr>
          <t>jrevel:</t>
        </r>
        <r>
          <rPr>
            <sz val="9"/>
            <color indexed="81"/>
            <rFont val="Tahoma"/>
            <family val="2"/>
          </rPr>
          <t xml:space="preserve">
This site acreage of 1.82 was split in two.  0.95 acres on 0702-007 and 0.87 acres on 0702-008.</t>
        </r>
      </text>
    </comment>
    <comment ref="D171" authorId="0" shapeId="0">
      <text>
        <r>
          <rPr>
            <b/>
            <sz val="8"/>
            <color indexed="81"/>
            <rFont val="Tahoma"/>
            <family val="2"/>
          </rPr>
          <t>mwillm:</t>
        </r>
        <r>
          <rPr>
            <sz val="8"/>
            <color indexed="81"/>
            <rFont val="Tahoma"/>
            <family val="2"/>
          </rPr>
          <t xml:space="preserve">
6-22-09
Future Site of Dubois High School (no construction date as of 6/22/09):
Acquired in 4 sections:
3 sections (west side of block) on January 15, 2009
1 sections (east side of block) on March 03, 2009
Thanks for asking.
Lu
 </t>
        </r>
      </text>
    </comment>
    <comment ref="C172" authorId="4" shapeId="0">
      <text>
        <r>
          <rPr>
            <b/>
            <sz val="9"/>
            <color indexed="81"/>
            <rFont val="Tahoma"/>
            <family val="2"/>
          </rPr>
          <t>jrevel:</t>
        </r>
        <r>
          <rPr>
            <sz val="9"/>
            <color indexed="81"/>
            <rFont val="Tahoma"/>
            <family val="2"/>
          </rPr>
          <t xml:space="preserve">
This site acreage was split in two.  0.95 acres on 0702-007 and 0.87 acres on 0702-008.</t>
        </r>
      </text>
    </comment>
    <comment ref="D177" authorId="0" shapeId="0">
      <text>
        <r>
          <rPr>
            <b/>
            <sz val="8"/>
            <color indexed="81"/>
            <rFont val="Tahoma"/>
            <family val="2"/>
          </rPr>
          <t>mwillm:</t>
        </r>
        <r>
          <rPr>
            <sz val="8"/>
            <color indexed="81"/>
            <rFont val="Tahoma"/>
            <family val="2"/>
          </rPr>
          <t xml:space="preserve">
Newly found land from the original formation of Fremont 6</t>
        </r>
      </text>
    </comment>
    <comment ref="I180" authorId="0" shapeId="0">
      <text>
        <r>
          <rPr>
            <b/>
            <sz val="8"/>
            <color indexed="81"/>
            <rFont val="Tahoma"/>
            <family val="2"/>
          </rPr>
          <t>mwillm:</t>
        </r>
        <r>
          <rPr>
            <sz val="8"/>
            <color indexed="81"/>
            <rFont val="Tahoma"/>
            <family val="2"/>
          </rPr>
          <t xml:space="preserve">
Split HS acreage per Department of Audit's November 20, 2007, letter.</t>
        </r>
      </text>
    </comment>
    <comment ref="I181" authorId="0" shapeId="0">
      <text>
        <r>
          <rPr>
            <b/>
            <sz val="8"/>
            <color indexed="81"/>
            <rFont val="Tahoma"/>
            <family val="2"/>
          </rPr>
          <t>mwillm:</t>
        </r>
        <r>
          <rPr>
            <sz val="8"/>
            <color indexed="81"/>
            <rFont val="Tahoma"/>
            <family val="2"/>
          </rPr>
          <t xml:space="preserve">
Split HS acreage per Department of Audit's November 20, 2007, letter.</t>
        </r>
      </text>
    </comment>
    <comment ref="G182" authorId="5" shapeId="0">
      <text>
        <r>
          <rPr>
            <b/>
            <sz val="8"/>
            <color indexed="81"/>
            <rFont val="Tahoma"/>
            <family val="2"/>
          </rPr>
          <t>WDE:</t>
        </r>
        <r>
          <rPr>
            <sz val="8"/>
            <color indexed="81"/>
            <rFont val="Tahoma"/>
            <family val="2"/>
          </rPr>
          <t xml:space="preserve">
Changed from an EM to an EMH.  0721001 houses the Fort Washakie Charter/Virtual  High School- mwillm 7-12-06</t>
        </r>
      </text>
    </comment>
    <comment ref="E189" authorId="0" shapeId="0">
      <text>
        <r>
          <rPr>
            <b/>
            <sz val="8"/>
            <color indexed="81"/>
            <rFont val="Tahoma"/>
            <family val="2"/>
          </rPr>
          <t>mwillm:</t>
        </r>
        <r>
          <rPr>
            <sz val="8"/>
            <color indexed="81"/>
            <rFont val="Tahoma"/>
            <family val="2"/>
          </rPr>
          <t xml:space="preserve">
Per Fremont #25's WDE100.</t>
        </r>
      </text>
    </comment>
    <comment ref="G189" authorId="0" shapeId="0">
      <text>
        <r>
          <rPr>
            <b/>
            <sz val="8"/>
            <color indexed="81"/>
            <rFont val="Tahoma"/>
            <family val="2"/>
          </rPr>
          <t>mwillm:</t>
        </r>
        <r>
          <rPr>
            <sz val="8"/>
            <color indexed="81"/>
            <rFont val="Tahoma"/>
            <family val="2"/>
          </rPr>
          <t xml:space="preserve">
Had 0721-001 comment and level designation in this cell.  Changed from EMH back to 0 7/24/07
</t>
        </r>
        <r>
          <rPr>
            <b/>
            <sz val="8"/>
            <color indexed="81"/>
            <rFont val="Tahoma"/>
            <family val="2"/>
          </rPr>
          <t>jcicar:</t>
        </r>
        <r>
          <rPr>
            <sz val="8"/>
            <color indexed="81"/>
            <rFont val="Tahoma"/>
            <family val="2"/>
          </rPr>
          <t xml:space="preserve"> Changed to "H" to account for Frontier Academy. 3-2-16</t>
        </r>
      </text>
    </comment>
    <comment ref="E190" authorId="0" shapeId="0">
      <text>
        <r>
          <rPr>
            <b/>
            <sz val="8"/>
            <color indexed="81"/>
            <rFont val="Tahoma"/>
            <family val="2"/>
          </rPr>
          <t>mwillm:</t>
        </r>
        <r>
          <rPr>
            <sz val="8"/>
            <color indexed="81"/>
            <rFont val="Tahoma"/>
            <family val="2"/>
          </rPr>
          <t xml:space="preserve">
Per Fremont #25's WDE100.</t>
        </r>
      </text>
    </comment>
    <comment ref="E191" authorId="0" shapeId="0">
      <text>
        <r>
          <rPr>
            <b/>
            <sz val="8"/>
            <color indexed="81"/>
            <rFont val="Tahoma"/>
            <family val="2"/>
          </rPr>
          <t>mwillm:</t>
        </r>
        <r>
          <rPr>
            <sz val="8"/>
            <color indexed="81"/>
            <rFont val="Tahoma"/>
            <family val="2"/>
          </rPr>
          <t xml:space="preserve">
Per Fremont #25's WDE100.</t>
        </r>
      </text>
    </comment>
    <comment ref="E193" authorId="0" shapeId="0">
      <text>
        <r>
          <rPr>
            <b/>
            <sz val="8"/>
            <color indexed="81"/>
            <rFont val="Tahoma"/>
            <family val="2"/>
          </rPr>
          <t>mwillm:</t>
        </r>
        <r>
          <rPr>
            <sz val="8"/>
            <color indexed="81"/>
            <rFont val="Tahoma"/>
            <family val="2"/>
          </rPr>
          <t xml:space="preserve">
Per Fremont #25's WDE100.</t>
        </r>
      </text>
    </comment>
    <comment ref="C194" authorId="4" shapeId="0">
      <text>
        <r>
          <rPr>
            <b/>
            <sz val="9"/>
            <color indexed="81"/>
            <rFont val="Tahoma"/>
            <family val="2"/>
          </rPr>
          <t>jrevel:</t>
        </r>
        <r>
          <rPr>
            <sz val="9"/>
            <color indexed="81"/>
            <rFont val="Tahoma"/>
            <family val="2"/>
          </rPr>
          <t xml:space="preserve">
This site acreage was split in two.  13.54 acres on 0725-006 and 4.44 acres on 0725-004.</t>
        </r>
      </text>
    </comment>
    <comment ref="E194" authorId="0" shapeId="0">
      <text>
        <r>
          <rPr>
            <b/>
            <sz val="8"/>
            <color indexed="81"/>
            <rFont val="Tahoma"/>
            <family val="2"/>
          </rPr>
          <t>mwillm:</t>
        </r>
        <r>
          <rPr>
            <sz val="8"/>
            <color indexed="81"/>
            <rFont val="Tahoma"/>
            <family val="2"/>
          </rPr>
          <t xml:space="preserve">
Per Fremont #25's WDE100.</t>
        </r>
      </text>
    </comment>
    <comment ref="E195" authorId="0" shapeId="0">
      <text>
        <r>
          <rPr>
            <b/>
            <sz val="8"/>
            <color indexed="81"/>
            <rFont val="Tahoma"/>
            <family val="2"/>
          </rPr>
          <t>mwillm:</t>
        </r>
        <r>
          <rPr>
            <sz val="8"/>
            <color indexed="81"/>
            <rFont val="Tahoma"/>
            <family val="2"/>
          </rPr>
          <t xml:space="preserve">
Per Fremont #25's WDE100.</t>
        </r>
      </text>
    </comment>
    <comment ref="H196" authorId="0" shapeId="0">
      <text>
        <r>
          <rPr>
            <b/>
            <sz val="8"/>
            <color indexed="81"/>
            <rFont val="Tahoma"/>
            <family val="2"/>
          </rPr>
          <t>mwillm:</t>
        </r>
        <r>
          <rPr>
            <sz val="8"/>
            <color indexed="81"/>
            <rFont val="Tahoma"/>
            <family val="2"/>
          </rPr>
          <t xml:space="preserve">
Replaced Lincoln ES during SY2008-09
</t>
        </r>
      </text>
    </comment>
    <comment ref="H197" authorId="0" shapeId="0">
      <text>
        <r>
          <rPr>
            <b/>
            <sz val="8"/>
            <color indexed="81"/>
            <rFont val="Tahoma"/>
            <family val="2"/>
          </rPr>
          <t>mwillm:</t>
        </r>
        <r>
          <rPr>
            <sz val="8"/>
            <color indexed="81"/>
            <rFont val="Tahoma"/>
            <family val="2"/>
          </rPr>
          <t xml:space="preserve">
Replaced Lincoln ES during SY2008-09
</t>
        </r>
      </text>
    </comment>
    <comment ref="H198" authorId="0" shapeId="0">
      <text>
        <r>
          <rPr>
            <b/>
            <sz val="8"/>
            <color indexed="81"/>
            <rFont val="Tahoma"/>
            <family val="2"/>
          </rPr>
          <t>mwillm:</t>
        </r>
        <r>
          <rPr>
            <sz val="8"/>
            <color indexed="81"/>
            <rFont val="Tahoma"/>
            <family val="2"/>
          </rPr>
          <t xml:space="preserve">
Replaced Lincoln ES during SY2008-09
</t>
        </r>
      </text>
    </comment>
    <comment ref="E201" authorId="3" shapeId="0">
      <text>
        <r>
          <rPr>
            <b/>
            <sz val="9"/>
            <color indexed="81"/>
            <rFont val="Tahoma"/>
            <family val="2"/>
          </rPr>
          <t>jcicar:</t>
        </r>
        <r>
          <rPr>
            <sz val="9"/>
            <color indexed="81"/>
            <rFont val="Tahoma"/>
            <family val="2"/>
          </rPr>
          <t xml:space="preserve">
Updated to reflect Warranty Deed per SFD data.</t>
        </r>
      </text>
    </comment>
    <comment ref="G205" authorId="3" shapeId="0">
      <text>
        <r>
          <rPr>
            <b/>
            <sz val="9"/>
            <color indexed="81"/>
            <rFont val="Tahoma"/>
            <family val="2"/>
          </rPr>
          <t>jcicar:</t>
        </r>
        <r>
          <rPr>
            <sz val="9"/>
            <color indexed="81"/>
            <rFont val="Tahoma"/>
            <family val="2"/>
          </rPr>
          <t xml:space="preserve">
changed to '0' for admin building per district phone call 6-28-16</t>
        </r>
      </text>
    </comment>
    <comment ref="E209" authorId="0" shapeId="0">
      <text>
        <r>
          <rPr>
            <b/>
            <sz val="8"/>
            <color indexed="81"/>
            <rFont val="Tahoma"/>
            <family val="2"/>
          </rPr>
          <t>mwillm:</t>
        </r>
        <r>
          <rPr>
            <sz val="8"/>
            <color indexed="81"/>
            <rFont val="Tahoma"/>
            <family val="2"/>
          </rPr>
          <t xml:space="preserve">
Per Goshen #1's WDE100 submitted on 8-12-08</t>
        </r>
      </text>
    </comment>
    <comment ref="E210" authorId="0" shapeId="0">
      <text>
        <r>
          <rPr>
            <b/>
            <sz val="8"/>
            <color indexed="81"/>
            <rFont val="Tahoma"/>
            <family val="2"/>
          </rPr>
          <t>mwillm:</t>
        </r>
        <r>
          <rPr>
            <sz val="8"/>
            <color indexed="81"/>
            <rFont val="Tahoma"/>
            <family val="2"/>
          </rPr>
          <t xml:space="preserve">
Per Goshen #1's WDE100 submitted on 8-12-08</t>
        </r>
      </text>
    </comment>
    <comment ref="D216" authorId="0" shapeId="0">
      <text>
        <r>
          <rPr>
            <b/>
            <sz val="8"/>
            <color indexed="81"/>
            <rFont val="Tahoma"/>
            <family val="2"/>
          </rPr>
          <t>mwillm:</t>
        </r>
        <r>
          <rPr>
            <sz val="8"/>
            <color indexed="81"/>
            <rFont val="Tahoma"/>
            <family val="2"/>
          </rPr>
          <t xml:space="preserve">
Changed Site Description to reflect actual buildings on site 12-26-07</t>
        </r>
      </text>
    </comment>
    <comment ref="G216" authorId="0" shapeId="0">
      <text>
        <r>
          <rPr>
            <b/>
            <sz val="8"/>
            <color indexed="81"/>
            <rFont val="Tahoma"/>
            <family val="2"/>
          </rPr>
          <t>mwillm:</t>
        </r>
        <r>
          <rPr>
            <sz val="8"/>
            <color indexed="81"/>
            <rFont val="Tahoma"/>
            <family val="2"/>
          </rPr>
          <t xml:space="preserve">
Changed 12-26-07 to reflect actual level.</t>
        </r>
      </text>
    </comment>
    <comment ref="D219" authorId="0" shapeId="0">
      <text>
        <r>
          <rPr>
            <b/>
            <sz val="8"/>
            <color indexed="81"/>
            <rFont val="Tahoma"/>
            <family val="2"/>
          </rPr>
          <t>mwillm:</t>
        </r>
        <r>
          <rPr>
            <sz val="8"/>
            <color indexed="81"/>
            <rFont val="Tahoma"/>
            <family val="2"/>
          </rPr>
          <t xml:space="preserve">
Changed 12-26-07 to reflect actual site description.</t>
        </r>
      </text>
    </comment>
    <comment ref="G219" authorId="0" shapeId="0">
      <text>
        <r>
          <rPr>
            <b/>
            <sz val="8"/>
            <color indexed="81"/>
            <rFont val="Tahoma"/>
            <family val="2"/>
          </rPr>
          <t>mwillm:</t>
        </r>
        <r>
          <rPr>
            <sz val="8"/>
            <color indexed="81"/>
            <rFont val="Tahoma"/>
            <family val="2"/>
          </rPr>
          <t xml:space="preserve">
Changed 12-26-07 to reflect actual level.</t>
        </r>
      </text>
    </comment>
    <comment ref="H219" authorId="2" shapeId="0">
      <text>
        <r>
          <rPr>
            <b/>
            <sz val="8"/>
            <color indexed="81"/>
            <rFont val="Tahoma"/>
            <family val="2"/>
          </rPr>
          <t>amanle:</t>
        </r>
        <r>
          <rPr>
            <sz val="8"/>
            <color indexed="81"/>
            <rFont val="Tahoma"/>
            <family val="2"/>
          </rPr>
          <t xml:space="preserve">
Updated formula to delete ADM from school 1001002 from school 1001050, and moved to site 1001-007</t>
        </r>
      </text>
    </comment>
    <comment ref="C240" authorId="4" shapeId="0">
      <text>
        <r>
          <rPr>
            <b/>
            <sz val="9"/>
            <color indexed="81"/>
            <rFont val="Tahoma"/>
            <family val="2"/>
          </rPr>
          <t>jrevel:</t>
        </r>
        <r>
          <rPr>
            <sz val="9"/>
            <color indexed="81"/>
            <rFont val="Tahoma"/>
            <family val="2"/>
          </rPr>
          <t xml:space="preserve">
per e-mail from Judy Smith @ Laramie 1.  The AiM acreages are correct.  See File #1 Below.</t>
        </r>
      </text>
    </comment>
    <comment ref="E262" authorId="0" shapeId="0">
      <text>
        <r>
          <rPr>
            <b/>
            <sz val="8"/>
            <color indexed="81"/>
            <rFont val="Tahoma"/>
            <family val="2"/>
          </rPr>
          <t>mwillm:</t>
        </r>
        <r>
          <rPr>
            <sz val="8"/>
            <color indexed="81"/>
            <rFont val="Tahoma"/>
            <family val="2"/>
          </rPr>
          <t xml:space="preserve">
Per Laramie #1's WDE100</t>
        </r>
      </text>
    </comment>
    <comment ref="E263" authorId="0" shapeId="0">
      <text>
        <r>
          <rPr>
            <b/>
            <sz val="8"/>
            <color indexed="81"/>
            <rFont val="Tahoma"/>
            <family val="2"/>
          </rPr>
          <t>mwillm:</t>
        </r>
        <r>
          <rPr>
            <sz val="8"/>
            <color indexed="81"/>
            <rFont val="Tahoma"/>
            <family val="2"/>
          </rPr>
          <t xml:space="preserve">
Per Laramie #1's WDE100</t>
        </r>
      </text>
    </comment>
    <comment ref="E264" authorId="0" shapeId="0">
      <text>
        <r>
          <rPr>
            <b/>
            <sz val="8"/>
            <color indexed="81"/>
            <rFont val="Tahoma"/>
            <family val="2"/>
          </rPr>
          <t>mwillm:</t>
        </r>
        <r>
          <rPr>
            <sz val="8"/>
            <color indexed="81"/>
            <rFont val="Tahoma"/>
            <family val="2"/>
          </rPr>
          <t xml:space="preserve">
Per Laramie #1's WDE100</t>
        </r>
      </text>
    </comment>
    <comment ref="E266" authorId="0" shapeId="0">
      <text>
        <r>
          <rPr>
            <b/>
            <sz val="8"/>
            <color indexed="81"/>
            <rFont val="Tahoma"/>
            <family val="2"/>
          </rPr>
          <t>mwillm:</t>
        </r>
        <r>
          <rPr>
            <sz val="8"/>
            <color indexed="81"/>
            <rFont val="Tahoma"/>
            <family val="2"/>
          </rPr>
          <t xml:space="preserve">
Per Laramie #1's WDE100</t>
        </r>
      </text>
    </comment>
    <comment ref="E267" authorId="0" shapeId="0">
      <text>
        <r>
          <rPr>
            <b/>
            <sz val="8"/>
            <color indexed="81"/>
            <rFont val="Tahoma"/>
            <family val="2"/>
          </rPr>
          <t>mwillm:</t>
        </r>
        <r>
          <rPr>
            <sz val="8"/>
            <color indexed="81"/>
            <rFont val="Tahoma"/>
            <family val="2"/>
          </rPr>
          <t xml:space="preserve">
Per Laramie #1's WDE100</t>
        </r>
      </text>
    </comment>
    <comment ref="E268" authorId="0" shapeId="0">
      <text>
        <r>
          <rPr>
            <b/>
            <sz val="8"/>
            <color indexed="81"/>
            <rFont val="Tahoma"/>
            <family val="2"/>
          </rPr>
          <t>mwillm:</t>
        </r>
        <r>
          <rPr>
            <sz val="8"/>
            <color indexed="81"/>
            <rFont val="Tahoma"/>
            <family val="2"/>
          </rPr>
          <t xml:space="preserve">
Per Laramie #1's WDE100</t>
        </r>
      </text>
    </comment>
    <comment ref="E269" authorId="0" shapeId="0">
      <text>
        <r>
          <rPr>
            <b/>
            <sz val="8"/>
            <color indexed="81"/>
            <rFont val="Tahoma"/>
            <family val="2"/>
          </rPr>
          <t>mwillm:</t>
        </r>
        <r>
          <rPr>
            <sz val="8"/>
            <color indexed="81"/>
            <rFont val="Tahoma"/>
            <family val="2"/>
          </rPr>
          <t xml:space="preserve">
Per Mike Wiggam 6-18-09</t>
        </r>
      </text>
    </comment>
    <comment ref="C271" authorId="4" shapeId="0">
      <text>
        <r>
          <rPr>
            <b/>
            <sz val="9"/>
            <color indexed="81"/>
            <rFont val="Tahoma"/>
            <family val="2"/>
          </rPr>
          <t>jrevel:</t>
        </r>
        <r>
          <rPr>
            <sz val="9"/>
            <color indexed="81"/>
            <rFont val="Tahoma"/>
            <family val="2"/>
          </rPr>
          <t xml:space="preserve">
per e-mail from Judy Smith @ Laramie 1.  The AiM acreages are correct.  See File #1 Below.</t>
        </r>
      </text>
    </comment>
    <comment ref="G278" authorId="0" shapeId="0">
      <text>
        <r>
          <rPr>
            <b/>
            <sz val="8"/>
            <color indexed="81"/>
            <rFont val="Tahoma"/>
            <family val="2"/>
          </rPr>
          <t>mwillm:</t>
        </r>
        <r>
          <rPr>
            <sz val="8"/>
            <color indexed="81"/>
            <rFont val="Tahoma"/>
            <family val="2"/>
          </rPr>
          <t xml:space="preserve">
Changed 12-26-07.  The site level should only be E because it serves K-6 even though the site name has K-12</t>
        </r>
      </text>
    </comment>
    <comment ref="D294" authorId="3" shapeId="0">
      <text>
        <r>
          <rPr>
            <b/>
            <sz val="9"/>
            <color indexed="81"/>
            <rFont val="Tahoma"/>
            <family val="2"/>
          </rPr>
          <t>jcicar:</t>
        </r>
        <r>
          <rPr>
            <sz val="9"/>
            <color indexed="81"/>
            <rFont val="Tahoma"/>
            <family val="2"/>
          </rPr>
          <t xml:space="preserve">
per district this site no longer contains the central office - only Swift Creek</t>
        </r>
      </text>
    </comment>
    <comment ref="D296" authorId="3" shapeId="0">
      <text>
        <r>
          <rPr>
            <b/>
            <sz val="9"/>
            <color indexed="81"/>
            <rFont val="Tahoma"/>
            <family val="2"/>
          </rPr>
          <t>jcicar:</t>
        </r>
        <r>
          <rPr>
            <sz val="9"/>
            <color indexed="81"/>
            <rFont val="Tahoma"/>
            <family val="2"/>
          </rPr>
          <t xml:space="preserve">
per district this is the central office not Afton or Swift Creek</t>
        </r>
      </text>
    </comment>
    <comment ref="G323" authorId="0" shapeId="0">
      <text>
        <r>
          <rPr>
            <b/>
            <sz val="8"/>
            <color indexed="81"/>
            <rFont val="Tahoma"/>
            <family val="2"/>
          </rPr>
          <t>mwillm:</t>
        </r>
        <r>
          <rPr>
            <sz val="8"/>
            <color indexed="81"/>
            <rFont val="Tahoma"/>
            <family val="2"/>
          </rPr>
          <t xml:space="preserve">
Changed 11-25-08 from "E" to "M" per DOA audit on Groundskeeper element audit.</t>
        </r>
      </text>
    </comment>
    <comment ref="G332" authorId="0" shapeId="0">
      <text>
        <r>
          <rPr>
            <b/>
            <sz val="8"/>
            <color indexed="81"/>
            <rFont val="Tahoma"/>
            <family val="2"/>
          </rPr>
          <t>mwillm:</t>
        </r>
        <r>
          <rPr>
            <sz val="8"/>
            <color indexed="81"/>
            <rFont val="Tahoma"/>
            <family val="2"/>
          </rPr>
          <t xml:space="preserve">
Changed 11-25-08 from "E" to "M" per DOA audit on Groundskeeper element audit.</t>
        </r>
      </text>
    </comment>
    <comment ref="G407" authorId="3" shapeId="0">
      <text>
        <r>
          <rPr>
            <b/>
            <sz val="9"/>
            <color indexed="81"/>
            <rFont val="Tahoma"/>
            <family val="2"/>
          </rPr>
          <t>jcicar:</t>
        </r>
        <r>
          <rPr>
            <sz val="9"/>
            <color indexed="81"/>
            <rFont val="Tahoma"/>
            <family val="2"/>
          </rPr>
          <t xml:space="preserve">
Changed to H for alternative schools 6-10-15</t>
        </r>
      </text>
    </comment>
    <comment ref="H407" authorId="3" shapeId="0">
      <text>
        <r>
          <rPr>
            <b/>
            <sz val="9"/>
            <color indexed="81"/>
            <rFont val="Tahoma"/>
            <family val="2"/>
          </rPr>
          <t>jcicar:</t>
        </r>
        <r>
          <rPr>
            <sz val="9"/>
            <color indexed="81"/>
            <rFont val="Tahoma"/>
            <family val="2"/>
          </rPr>
          <t xml:space="preserve">
ADM moved from Jr High per district 6-10-15</t>
        </r>
      </text>
    </comment>
    <comment ref="G409" authorId="3" shapeId="0">
      <text>
        <r>
          <rPr>
            <b/>
            <sz val="9"/>
            <color indexed="81"/>
            <rFont val="Tahoma"/>
            <family val="2"/>
          </rPr>
          <t>jcicar:</t>
        </r>
        <r>
          <rPr>
            <sz val="9"/>
            <color indexed="81"/>
            <rFont val="Tahoma"/>
            <family val="2"/>
          </rPr>
          <t xml:space="preserve">
1-28-13 - Category changed from "E" to "O" per district email </t>
        </r>
      </text>
    </comment>
    <comment ref="H409" authorId="3" shapeId="0">
      <text>
        <r>
          <rPr>
            <b/>
            <sz val="9"/>
            <color indexed="81"/>
            <rFont val="Tahoma"/>
            <family val="2"/>
          </rPr>
          <t>jcicar:</t>
        </r>
        <r>
          <rPr>
            <sz val="9"/>
            <color indexed="81"/>
            <rFont val="Tahoma"/>
            <family val="2"/>
          </rPr>
          <t xml:space="preserve">
1-28-13 - Removed assigned ADM from 1702007 per district email (moved to site 1702-018)</t>
        </r>
      </text>
    </comment>
    <comment ref="G417" authorId="3" shapeId="0">
      <text>
        <r>
          <rPr>
            <b/>
            <sz val="9"/>
            <color indexed="81"/>
            <rFont val="Tahoma"/>
            <family val="2"/>
          </rPr>
          <t>jcicar:</t>
        </r>
        <r>
          <rPr>
            <sz val="9"/>
            <color indexed="81"/>
            <rFont val="Tahoma"/>
            <family val="2"/>
          </rPr>
          <t xml:space="preserve">
1-28-13 - Category changed from "O" to "E" per district email </t>
        </r>
      </text>
    </comment>
    <comment ref="H417" authorId="3" shapeId="0">
      <text>
        <r>
          <rPr>
            <b/>
            <sz val="9"/>
            <color indexed="81"/>
            <rFont val="Tahoma"/>
            <family val="2"/>
          </rPr>
          <t>jcicar:</t>
        </r>
        <r>
          <rPr>
            <sz val="9"/>
            <color indexed="81"/>
            <rFont val="Tahoma"/>
            <family val="2"/>
          </rPr>
          <t xml:space="preserve">
1-28-13 - Assigned ADM from 1702007 per district email</t>
        </r>
      </text>
    </comment>
    <comment ref="C418" authorId="3" shapeId="0">
      <text>
        <r>
          <rPr>
            <b/>
            <sz val="9"/>
            <color indexed="81"/>
            <rFont val="Tahoma"/>
            <family val="2"/>
          </rPr>
          <t>jcicar:</t>
        </r>
        <r>
          <rPr>
            <sz val="9"/>
            <color indexed="81"/>
            <rFont val="Tahoma"/>
            <family val="2"/>
          </rPr>
          <t xml:space="preserve">
added 3-28-13: new warehouse/ tech office building verified by Roxie</t>
        </r>
      </text>
    </comment>
    <comment ref="E418" authorId="3" shapeId="0">
      <text>
        <r>
          <rPr>
            <b/>
            <sz val="9"/>
            <color indexed="81"/>
            <rFont val="Tahoma"/>
            <family val="2"/>
          </rPr>
          <t>jcicar:</t>
        </r>
        <r>
          <rPr>
            <sz val="9"/>
            <color indexed="81"/>
            <rFont val="Tahoma"/>
            <family val="2"/>
          </rPr>
          <t xml:space="preserve">
per district email 4-2-13</t>
        </r>
      </text>
    </comment>
    <comment ref="E419" authorId="3" shapeId="0">
      <text>
        <r>
          <rPr>
            <b/>
            <sz val="9"/>
            <color indexed="81"/>
            <rFont val="Tahoma"/>
            <family val="2"/>
          </rPr>
          <t>jcicar:</t>
        </r>
        <r>
          <rPr>
            <sz val="9"/>
            <color indexed="81"/>
            <rFont val="Tahoma"/>
            <family val="2"/>
          </rPr>
          <t xml:space="preserve">
Acquisition date per district email 5-18-16</t>
        </r>
      </text>
    </comment>
    <comment ref="C420" authorId="4" shapeId="0">
      <text>
        <r>
          <rPr>
            <b/>
            <sz val="9"/>
            <color indexed="81"/>
            <rFont val="Tahoma"/>
            <family val="2"/>
          </rPr>
          <t>jrevel:</t>
        </r>
        <r>
          <rPr>
            <sz val="9"/>
            <color indexed="81"/>
            <rFont val="Tahoma"/>
            <family val="2"/>
          </rPr>
          <t xml:space="preserve">
per e-mail from Janet Riesland @ Sheridan #3.  The AiM acreages are correct.  See File #2 Below.</t>
        </r>
      </text>
    </comment>
    <comment ref="H429" authorId="3" shapeId="0">
      <text>
        <r>
          <rPr>
            <b/>
            <sz val="9"/>
            <color indexed="81"/>
            <rFont val="Tahoma"/>
            <family val="2"/>
          </rPr>
          <t>jcicar:</t>
        </r>
        <r>
          <rPr>
            <sz val="9"/>
            <color indexed="81"/>
            <rFont val="Tahoma"/>
            <family val="2"/>
          </rPr>
          <t xml:space="preserve">
Now Alternative school ADM per district</t>
        </r>
      </text>
    </comment>
    <comment ref="H439" authorId="3" shapeId="0">
      <text>
        <r>
          <rPr>
            <b/>
            <sz val="9"/>
            <color indexed="81"/>
            <rFont val="Tahoma"/>
            <family val="2"/>
          </rPr>
          <t>jcicar:</t>
        </r>
        <r>
          <rPr>
            <sz val="9"/>
            <color indexed="81"/>
            <rFont val="Tahoma"/>
            <family val="2"/>
          </rPr>
          <t xml:space="preserve">
Moved ES ADM per district 6-10-15</t>
        </r>
      </text>
    </comment>
    <comment ref="G484" authorId="3" shapeId="0">
      <text>
        <r>
          <rPr>
            <b/>
            <sz val="9"/>
            <color indexed="81"/>
            <rFont val="Tahoma"/>
            <family val="2"/>
          </rPr>
          <t>jcicar:</t>
        </r>
        <r>
          <rPr>
            <sz val="9"/>
            <color indexed="81"/>
            <rFont val="Tahoma"/>
            <family val="2"/>
          </rPr>
          <t xml:space="preserve">
changed to "O" and moved ADM to site 1902-014</t>
        </r>
      </text>
    </comment>
    <comment ref="C534" authorId="4" shapeId="0">
      <text>
        <r>
          <rPr>
            <b/>
            <sz val="9"/>
            <color indexed="81"/>
            <rFont val="Tahoma"/>
            <family val="2"/>
          </rPr>
          <t>jrevel:</t>
        </r>
        <r>
          <rPr>
            <sz val="9"/>
            <color indexed="81"/>
            <rFont val="Tahoma"/>
            <family val="2"/>
          </rPr>
          <t xml:space="preserve">
This site acreage was split in two.  6.44 acres on 2106-001 and 2.14 acres on 2106-005.</t>
        </r>
      </text>
    </comment>
    <comment ref="C539" authorId="4" shapeId="0">
      <text>
        <r>
          <rPr>
            <b/>
            <sz val="9"/>
            <color indexed="81"/>
            <rFont val="Tahoma"/>
            <family val="2"/>
          </rPr>
          <t>jrevel:</t>
        </r>
        <r>
          <rPr>
            <sz val="9"/>
            <color indexed="81"/>
            <rFont val="Tahoma"/>
            <family val="2"/>
          </rPr>
          <t xml:space="preserve">
per Jack Stott @ Washakie #1, he is checking on this.  The district purchased some adjacent property about 18 months ago.  See File #3 below.</t>
        </r>
      </text>
    </comment>
    <comment ref="C549" authorId="4" shapeId="0">
      <text>
        <r>
          <rPr>
            <b/>
            <sz val="9"/>
            <color indexed="81"/>
            <rFont val="Tahoma"/>
            <family val="2"/>
          </rPr>
          <t>jrevel:</t>
        </r>
        <r>
          <rPr>
            <sz val="9"/>
            <color indexed="81"/>
            <rFont val="Tahoma"/>
            <family val="2"/>
          </rPr>
          <t xml:space="preserve">
This tract was moved to site #2301-005. 
</t>
        </r>
        <r>
          <rPr>
            <b/>
            <sz val="9"/>
            <color indexed="81"/>
            <rFont val="Tahoma"/>
            <family val="2"/>
          </rPr>
          <t>jcicar:</t>
        </r>
        <r>
          <rPr>
            <sz val="9"/>
            <color indexed="81"/>
            <rFont val="Tahoma"/>
            <family val="2"/>
          </rPr>
          <t xml:space="preserve">
Was previously 2301-004.</t>
        </r>
      </text>
    </comment>
  </commentList>
</comments>
</file>

<file path=xl/sharedStrings.xml><?xml version="1.0" encoding="utf-8"?>
<sst xmlns="http://schemas.openxmlformats.org/spreadsheetml/2006/main" count="7653" uniqueCount="2438">
  <si>
    <t>Wyoming School Foundation Program Guarantee</t>
  </si>
  <si>
    <t>District ID</t>
  </si>
  <si>
    <t>District Name</t>
  </si>
  <si>
    <t>District Model ADM</t>
  </si>
  <si>
    <t>School Level Instructional Resources</t>
  </si>
  <si>
    <t>Central Office Resources</t>
  </si>
  <si>
    <t>Routine Maintenance &amp; Operations Resources</t>
  </si>
  <si>
    <t>Utilities</t>
  </si>
  <si>
    <t>Model Generated Resources before Reimbursements</t>
  </si>
  <si>
    <t>Model Generated per ADM Resources before Reimbursements</t>
  </si>
  <si>
    <t>Transportatioin, Special Education and Other Reimbursements</t>
  </si>
  <si>
    <t>First Year Charter School Adjustment</t>
  </si>
  <si>
    <t>Foundation Program Block Grant Guarantee</t>
  </si>
  <si>
    <t>Foundation Program Block Grant Guarantee Per ADM</t>
  </si>
  <si>
    <t>0101000</t>
  </si>
  <si>
    <t>Albany #1</t>
  </si>
  <si>
    <t>0201000</t>
  </si>
  <si>
    <t>Big Horn #1</t>
  </si>
  <si>
    <t>0202000</t>
  </si>
  <si>
    <t>Big Horn #2</t>
  </si>
  <si>
    <t>0203000</t>
  </si>
  <si>
    <t>Big Horn #3</t>
  </si>
  <si>
    <t>0204000</t>
  </si>
  <si>
    <t>Big Horn #4</t>
  </si>
  <si>
    <t>0301000</t>
  </si>
  <si>
    <t>Campbell #1</t>
  </si>
  <si>
    <t>0401000</t>
  </si>
  <si>
    <t>Carbon #1</t>
  </si>
  <si>
    <t>0402000</t>
  </si>
  <si>
    <t>Carbon #2</t>
  </si>
  <si>
    <t>0501000</t>
  </si>
  <si>
    <t>Converse #1</t>
  </si>
  <si>
    <t>0502000</t>
  </si>
  <si>
    <t>Converse #2</t>
  </si>
  <si>
    <t>0601000</t>
  </si>
  <si>
    <t>Crook #1</t>
  </si>
  <si>
    <t>0701000</t>
  </si>
  <si>
    <t>Fremont # 1</t>
  </si>
  <si>
    <t>0702000</t>
  </si>
  <si>
    <t>Fremont # 2</t>
  </si>
  <si>
    <t>0706000</t>
  </si>
  <si>
    <t>Fremont # 6</t>
  </si>
  <si>
    <t>0714000</t>
  </si>
  <si>
    <t>Fremont #14</t>
  </si>
  <si>
    <t>0721000</t>
  </si>
  <si>
    <t>Fremont #21</t>
  </si>
  <si>
    <t>0724000</t>
  </si>
  <si>
    <t>Fremont #24</t>
  </si>
  <si>
    <t>0725000</t>
  </si>
  <si>
    <t>Fremont #25</t>
  </si>
  <si>
    <t>0738000</t>
  </si>
  <si>
    <t>Fremont #38</t>
  </si>
  <si>
    <t>0801000</t>
  </si>
  <si>
    <t>Goshen #1</t>
  </si>
  <si>
    <t>0901000</t>
  </si>
  <si>
    <t>Hot Springs #1</t>
  </si>
  <si>
    <t>1001000</t>
  </si>
  <si>
    <t>Johnson #1</t>
  </si>
  <si>
    <t>1101000</t>
  </si>
  <si>
    <t>Laramie #1</t>
  </si>
  <si>
    <t>1102000</t>
  </si>
  <si>
    <t>Laramie #2</t>
  </si>
  <si>
    <t>1201000</t>
  </si>
  <si>
    <t>Lincoln #1</t>
  </si>
  <si>
    <t>1202000</t>
  </si>
  <si>
    <t>Lincoln #2</t>
  </si>
  <si>
    <t>1301000</t>
  </si>
  <si>
    <t>Natrona #1</t>
  </si>
  <si>
    <t>1401000</t>
  </si>
  <si>
    <t>Niobrara #1</t>
  </si>
  <si>
    <t>1501000</t>
  </si>
  <si>
    <t>Park # 1</t>
  </si>
  <si>
    <t>1506000</t>
  </si>
  <si>
    <t>Park # 6</t>
  </si>
  <si>
    <t>1516000</t>
  </si>
  <si>
    <t>Park #16</t>
  </si>
  <si>
    <t>1601000</t>
  </si>
  <si>
    <t>Platte #1</t>
  </si>
  <si>
    <t>1602000</t>
  </si>
  <si>
    <t>Platte #2</t>
  </si>
  <si>
    <t>1701000</t>
  </si>
  <si>
    <t>Sheridan #1</t>
  </si>
  <si>
    <t>1702000</t>
  </si>
  <si>
    <t>Sheridan #2</t>
  </si>
  <si>
    <t>1703000</t>
  </si>
  <si>
    <t>Sheridan #3</t>
  </si>
  <si>
    <t>1801000</t>
  </si>
  <si>
    <t>Sublette #1</t>
  </si>
  <si>
    <t>1809000</t>
  </si>
  <si>
    <t>Sublette #9</t>
  </si>
  <si>
    <t>1901000</t>
  </si>
  <si>
    <t>Sweetwater #1</t>
  </si>
  <si>
    <t>1902000</t>
  </si>
  <si>
    <t>Sweetwater #2</t>
  </si>
  <si>
    <t>2001000</t>
  </si>
  <si>
    <t>Teton #1</t>
  </si>
  <si>
    <t>2101000</t>
  </si>
  <si>
    <t>Uinta #1</t>
  </si>
  <si>
    <t>2104000</t>
  </si>
  <si>
    <t>Uinta #4</t>
  </si>
  <si>
    <t>2106000</t>
  </si>
  <si>
    <t>Uinta #6</t>
  </si>
  <si>
    <t>2201000</t>
  </si>
  <si>
    <t>Washakie #1</t>
  </si>
  <si>
    <t>2202000</t>
  </si>
  <si>
    <t>Washakie #2</t>
  </si>
  <si>
    <t>2301000</t>
  </si>
  <si>
    <t>Weston #1</t>
  </si>
  <si>
    <t>2307000</t>
  </si>
  <si>
    <t>Weston #7</t>
  </si>
  <si>
    <t>Wyoming Funding Model Data Inputs</t>
  </si>
  <si>
    <t>Beta Version</t>
  </si>
  <si>
    <t>School Level Personnel Base Resources (student-to-FTE ratio unless otherwise noted)</t>
  </si>
  <si>
    <t>Elementary</t>
  </si>
  <si>
    <t>Secondary</t>
  </si>
  <si>
    <t>Base School Size</t>
  </si>
  <si>
    <t>Personnel</t>
  </si>
  <si>
    <t>Core Teachers</t>
  </si>
  <si>
    <t>Elective Teachers</t>
  </si>
  <si>
    <t>Instructional Facilitators</t>
  </si>
  <si>
    <t>Tutors/Interventionists</t>
  </si>
  <si>
    <t>Librarian/ Media Specialists (up to 1.0 FTE)</t>
  </si>
  <si>
    <t>Instructional Aides</t>
  </si>
  <si>
    <t>Certified Student Support Staff</t>
  </si>
  <si>
    <t>Nurses (up to 1.0 FTE)</t>
  </si>
  <si>
    <t>Principals (total FTE)</t>
  </si>
  <si>
    <t>Assistant Principals (total FTE)</t>
  </si>
  <si>
    <t>Secretaries (total FTE)</t>
  </si>
  <si>
    <t>Clerks</t>
  </si>
  <si>
    <t>IT Technicians</t>
  </si>
  <si>
    <t>Other Costs</t>
  </si>
  <si>
    <t>Substitute Cost per ADM</t>
  </si>
  <si>
    <t>Base FTE Generated</t>
  </si>
  <si>
    <t>School-level</t>
  </si>
  <si>
    <t>Librarian/ Media Specialists</t>
  </si>
  <si>
    <t>Nurses</t>
  </si>
  <si>
    <t>Principals</t>
  </si>
  <si>
    <t>Assistant Principals</t>
  </si>
  <si>
    <t>Secretaries</t>
  </si>
  <si>
    <t>Base Personnel Costs</t>
  </si>
  <si>
    <t>Secretarial</t>
  </si>
  <si>
    <t>Clerical</t>
  </si>
  <si>
    <t>Central Office Personnel</t>
  </si>
  <si>
    <t>Parameters</t>
  </si>
  <si>
    <t>District Size Staffing Level 500 ADM or Less - Minimum</t>
  </si>
  <si>
    <t>District Size Staffing Level 1,000 ADM - Additional FTEs</t>
  </si>
  <si>
    <t>District Size Staffing Level 3,500 ADM - Additional FTEs</t>
  </si>
  <si>
    <t>Professional Staff (minimum @ 500 ADM or less)</t>
  </si>
  <si>
    <t>Professional Staff (@ 1,000 ADM)</t>
  </si>
  <si>
    <t>Professional Staff (@ 3,500 ADM)</t>
  </si>
  <si>
    <t>Clerical Staff 500 ADM or Less - (minimum)</t>
  </si>
  <si>
    <t>Clerical Staff (@ 1,000 ADM)</t>
  </si>
  <si>
    <t>Clerical Staff (@ 3,500 ADM)</t>
  </si>
  <si>
    <t>Nonpersonnel Costs</t>
  </si>
  <si>
    <t>Instructional Nonpersonnel Costs</t>
  </si>
  <si>
    <r>
      <t xml:space="preserve">Supplies and Materials per district ADM </t>
    </r>
    <r>
      <rPr>
        <i/>
        <sz val="10"/>
        <color theme="1"/>
        <rFont val="Calibri"/>
        <family val="2"/>
      </rPr>
      <t>(adjusted by ECA and for size, see "Supplies, Materials Adjustment" tab</t>
    </r>
  </si>
  <si>
    <t>Assessment per district ADM</t>
  </si>
  <si>
    <t>Technology Hardware per district ADM</t>
  </si>
  <si>
    <t>Professional Development  per district ADM (adjusted by ECA)</t>
  </si>
  <si>
    <t>Student Activities</t>
  </si>
  <si>
    <t>Elementary School</t>
  </si>
  <si>
    <t>Middle School</t>
  </si>
  <si>
    <r>
      <t xml:space="preserve">See </t>
    </r>
    <r>
      <rPr>
        <i/>
        <sz val="10"/>
        <color theme="1"/>
        <rFont val="Calibri"/>
        <family val="2"/>
      </rPr>
      <t>Student Activities MS&amp;HS Tables</t>
    </r>
    <r>
      <rPr>
        <sz val="10"/>
        <color theme="1"/>
        <rFont val="Calibri"/>
        <family val="2"/>
      </rPr>
      <t xml:space="preserve"> worksheet</t>
    </r>
  </si>
  <si>
    <t>High School</t>
  </si>
  <si>
    <t>District Misc. Costs</t>
  </si>
  <si>
    <t xml:space="preserve">     </t>
  </si>
  <si>
    <t>District Misc. Costs per ADM</t>
  </si>
  <si>
    <t>Personnel Base Cost Used for Modeling</t>
  </si>
  <si>
    <t>Salaries and fringe benefits</t>
  </si>
  <si>
    <t>Health care</t>
  </si>
  <si>
    <t>Total</t>
  </si>
  <si>
    <t>Special Needs Weights</t>
  </si>
  <si>
    <r>
      <t xml:space="preserve">At-risk weight, </t>
    </r>
    <r>
      <rPr>
        <i/>
        <sz val="10"/>
        <color theme="1"/>
        <rFont val="Calibri"/>
        <family val="2"/>
      </rPr>
      <t>applied to RCA adjusted-base cost</t>
    </r>
  </si>
  <si>
    <r>
      <t xml:space="preserve">ELL weight, </t>
    </r>
    <r>
      <rPr>
        <i/>
        <sz val="10"/>
        <color theme="1"/>
        <rFont val="Calibri"/>
        <family val="2"/>
      </rPr>
      <t>applied to RCA adjusted-base cost</t>
    </r>
  </si>
  <si>
    <t xml:space="preserve">   </t>
  </si>
  <si>
    <t>CTE Resources</t>
  </si>
  <si>
    <r>
      <t xml:space="preserve">1 additional CTE teacher per 400 HS ADM, </t>
    </r>
    <r>
      <rPr>
        <i/>
        <sz val="10"/>
        <color theme="1"/>
        <rFont val="Calibri"/>
        <family val="2"/>
      </rPr>
      <t>adjusted by RCA (Salary and fringe benefits)</t>
    </r>
  </si>
  <si>
    <r>
      <t xml:space="preserve">1 additional CTE teacher per 400 HS ADM, </t>
    </r>
    <r>
      <rPr>
        <i/>
        <sz val="10"/>
        <color theme="1"/>
        <rFont val="Calibri"/>
        <family val="2"/>
      </rPr>
      <t>adjusted by RCA (Health care)</t>
    </r>
  </si>
  <si>
    <t>CTE supplies and materials, per HS ADM</t>
  </si>
  <si>
    <t>CTE supplies and materials, per MS ADM</t>
  </si>
  <si>
    <t>Gifted and Talented Resources</t>
  </si>
  <si>
    <t>GT supplies and materials per ADM</t>
  </si>
  <si>
    <t xml:space="preserve">Salaries </t>
  </si>
  <si>
    <t>Average</t>
  </si>
  <si>
    <t>Incl. fringe benefits</t>
  </si>
  <si>
    <t>Superintendent</t>
  </si>
  <si>
    <t>Assistant Superintendent</t>
  </si>
  <si>
    <t>Business Manager</t>
  </si>
  <si>
    <t>District Other Administrator</t>
  </si>
  <si>
    <t>District Classified</t>
  </si>
  <si>
    <t>District Maintenance Workers and Groundskeepers</t>
  </si>
  <si>
    <t>Custodian</t>
  </si>
  <si>
    <t>Salary Fringe Benefits</t>
  </si>
  <si>
    <t>Category</t>
  </si>
  <si>
    <t>Legislative</t>
  </si>
  <si>
    <t xml:space="preserve">Social Security </t>
  </si>
  <si>
    <t>Medicare</t>
  </si>
  <si>
    <t>Worker's Compensation</t>
  </si>
  <si>
    <t>Unemployment Insurance</t>
  </si>
  <si>
    <t>WY Retirement System - Employee Share</t>
  </si>
  <si>
    <t>WY Retirement System - Employer Share</t>
  </si>
  <si>
    <t>Health Care Amount (per FTE)</t>
  </si>
  <si>
    <t>Operations and Maintenance (O&amp;M) Parameters</t>
  </si>
  <si>
    <t>Custodial Staffing Zureich Standards:</t>
  </si>
  <si>
    <t>Small School Cut-off (ADM)</t>
  </si>
  <si>
    <t>Teachers</t>
  </si>
  <si>
    <t>ADM</t>
  </si>
  <si>
    <t>Classrooms</t>
  </si>
  <si>
    <t>GSF</t>
  </si>
  <si>
    <t>Secondary Schools Additional FTE</t>
  </si>
  <si>
    <t>Central Office Factor</t>
  </si>
  <si>
    <t>Maintenance Worker Staffing Zureich Standards:</t>
  </si>
  <si>
    <t>Initial Building Factor</t>
  </si>
  <si>
    <t>GSF Standard</t>
  </si>
  <si>
    <t>GSF Factor</t>
  </si>
  <si>
    <t>ADM Standard</t>
  </si>
  <si>
    <t>ADM Factor</t>
  </si>
  <si>
    <t>District General Fund Expenditures Factor</t>
  </si>
  <si>
    <t>District General Fund Expenditures Standard</t>
  </si>
  <si>
    <t>Elementary School Adjustment Factor</t>
  </si>
  <si>
    <t>Middle School Adjustment Factor</t>
  </si>
  <si>
    <t>High School Adjustment Factor</t>
  </si>
  <si>
    <t>Age of Building Calculation: Model School Year</t>
  </si>
  <si>
    <t>Building Age: Recent Construction Threshold (Years)</t>
  </si>
  <si>
    <t>Building Age: Recent Construction Factor</t>
  </si>
  <si>
    <t>Building Age: Older Construction Threshold (Years)</t>
  </si>
  <si>
    <t>Building Age: Older Construction Factor</t>
  </si>
  <si>
    <t>Small School District Size (ADM)</t>
  </si>
  <si>
    <t>Small School District Factor</t>
  </si>
  <si>
    <t>Provide Total Educational GSF if Built in 2002 or Later</t>
  </si>
  <si>
    <t>Allowable GSF per W.S. 21-13-309(m)(v)(G)(II)</t>
  </si>
  <si>
    <t>O&amp;M Supplies Rate/GSF</t>
  </si>
  <si>
    <t>Groundskeeping Staffing Zureich Standards:</t>
  </si>
  <si>
    <t>Annual site hours</t>
  </si>
  <si>
    <t>Annual work hours  (251 days x 8 hours)</t>
  </si>
  <si>
    <t>District Site</t>
  </si>
  <si>
    <t>Elementary School Factor</t>
  </si>
  <si>
    <t>Middle School Factor</t>
  </si>
  <si>
    <t>High School Factor</t>
  </si>
  <si>
    <t>Groundskeeping SFD Site Acreage Standards:</t>
  </si>
  <si>
    <t>Site acquisition exception date for FTE computations</t>
  </si>
  <si>
    <t>Elementary School Site Acreage Standard</t>
  </si>
  <si>
    <t>Middle School Site Acreage Standard</t>
  </si>
  <si>
    <t>High School Site Acreage Standard</t>
  </si>
  <si>
    <t>Additional Acre per ADM Amount</t>
  </si>
  <si>
    <t>External Cost Adjustments</t>
  </si>
  <si>
    <t>School Year</t>
  </si>
  <si>
    <t xml:space="preserve">Professional Staff </t>
  </si>
  <si>
    <t>Non-Professional Staff</t>
  </si>
  <si>
    <t>Energy</t>
  </si>
  <si>
    <t>Supplies</t>
  </si>
  <si>
    <t>2019-20</t>
  </si>
  <si>
    <t>2020-21</t>
  </si>
  <si>
    <t>2021-22</t>
  </si>
  <si>
    <t>2022-23</t>
  </si>
  <si>
    <t>2023-24</t>
  </si>
  <si>
    <t>Elementary Size Adjustment Calculations</t>
  </si>
  <si>
    <t>Elementary Resources (student-to-FTE ratio unless othewise noted)</t>
  </si>
  <si>
    <t>Instructional Facilitators (FTE per # of core teachers)</t>
  </si>
  <si>
    <t>Elementary Base FTE Generated</t>
  </si>
  <si>
    <t>School Size</t>
  </si>
  <si>
    <t>Assistant Principals (per 500 ADM above 500)</t>
  </si>
  <si>
    <t>Personnel Costs</t>
  </si>
  <si>
    <t>With Health Care</t>
  </si>
  <si>
    <t>Base Costs</t>
  </si>
  <si>
    <t>Personnel, per student</t>
  </si>
  <si>
    <t>Personnel, total</t>
  </si>
  <si>
    <t>Note: if any changes are made, formula will need to be manually recalculated below, then the formula figures will need to be updated in cells G90-G100 and in columns P, Q, and R on the School Level Inst. Resources tab</t>
  </si>
  <si>
    <t>Minimum Funding</t>
  </si>
  <si>
    <t>(based upon 2 student total amount)</t>
  </si>
  <si>
    <t>Including fringe benefits</t>
  </si>
  <si>
    <t>Size Adjustment Factor</t>
  </si>
  <si>
    <t>Per Student</t>
  </si>
  <si>
    <t>Health Care Amount</t>
  </si>
  <si>
    <t>Note, factor floor set at the relationship between the cost at the largest school and the base school.</t>
  </si>
  <si>
    <t>Secondary Size Adjustment Calculations</t>
  </si>
  <si>
    <t>Secondary Resources, including all Middle and High School data points (student-to-FTE ratio unless othewise noted)</t>
  </si>
  <si>
    <t>Secondary Base FTE Generated</t>
  </si>
  <si>
    <t>Note: if any changes are made, formula will need to be manually recalculated below, then the formula figures will need to be updated in cells G90-G105 and in columns P, Q, and R on the School Level Inst. Resources tab</t>
  </si>
  <si>
    <t>Supplies and Materials</t>
  </si>
  <si>
    <t>District Size</t>
  </si>
  <si>
    <t>Supplies and Materials per district ADM*</t>
  </si>
  <si>
    <t>.</t>
  </si>
  <si>
    <t>Note, factor floor set at 1.0 to generate current funded amount.</t>
  </si>
  <si>
    <t>Note: if any changes are made, formula will need to be manually recalculated, then the formula figures will need to be updated in cells F13-F20 and in column U on the School Level Inst. Resources tab</t>
  </si>
  <si>
    <t>*Based upon figures reported in the 2015-16 CREWR Report, less $250 allocated seperately for technolgoy hardware. Minimum set at current funded amount.</t>
  </si>
  <si>
    <t>Central Office and Operations and Maintenance Personnel Compensation</t>
  </si>
  <si>
    <t>Central Office Classified</t>
  </si>
  <si>
    <t>Maintenance Worker and Groundskeeper</t>
  </si>
  <si>
    <t>RCA</t>
  </si>
  <si>
    <t>Salary</t>
  </si>
  <si>
    <t>RCA
Salary Adj.</t>
  </si>
  <si>
    <t>Total
Salary</t>
  </si>
  <si>
    <t>Fringe Benefits Adj.</t>
  </si>
  <si>
    <t>Health
Insurance</t>
  </si>
  <si>
    <t>Total
Compensation</t>
  </si>
  <si>
    <t>Central Office Personnel and Non-Personnel Resources</t>
  </si>
  <si>
    <t>Administrative FTEs</t>
  </si>
  <si>
    <t>Classified FTEs</t>
  </si>
  <si>
    <t>Total FTEs</t>
  </si>
  <si>
    <t>Administrative FTE Compensation</t>
  </si>
  <si>
    <t>Classified FTE Compensation</t>
  </si>
  <si>
    <t>Central Office Non-Personnel Misc. Costs</t>
  </si>
  <si>
    <t>Total Central Office Resources</t>
  </si>
  <si>
    <t>School Level Instructional Resources Worksheet</t>
  </si>
  <si>
    <t>Base Personnel, per ADM</t>
  </si>
  <si>
    <t>Base Personnel, total</t>
  </si>
  <si>
    <t>Non-Personnel Costs</t>
  </si>
  <si>
    <t>Total Base Cost</t>
  </si>
  <si>
    <t>Special Needs Adjustments</t>
  </si>
  <si>
    <t>Total School Level Costs</t>
  </si>
  <si>
    <t>Total Per Student</t>
  </si>
  <si>
    <t>School ID</t>
  </si>
  <si>
    <t>School Name</t>
  </si>
  <si>
    <t>Grades
Served</t>
  </si>
  <si>
    <t>Grade 5 Middle School T/F</t>
  </si>
  <si>
    <t>Grade 6 Elementary School T/F</t>
  </si>
  <si>
    <t>Highest School Level</t>
  </si>
  <si>
    <t>Elementary School ADM</t>
  </si>
  <si>
    <t>Middle School ADM</t>
  </si>
  <si>
    <t>High School ADM</t>
  </si>
  <si>
    <t>Total ADM</t>
  </si>
  <si>
    <t>At-risk Count</t>
  </si>
  <si>
    <t>ELL Count</t>
  </si>
  <si>
    <t>Elementary Grades Size Adjustment</t>
  </si>
  <si>
    <t>Secondary Grades Size Adjustment</t>
  </si>
  <si>
    <t>K-12 School Size Adjustment</t>
  </si>
  <si>
    <t>Applied School Level Size Adjustment</t>
  </si>
  <si>
    <t>Supplies and Materials Adjustment</t>
  </si>
  <si>
    <r>
      <t xml:space="preserve">Salaries and fringe benefits per ADM, </t>
    </r>
    <r>
      <rPr>
        <b/>
        <i/>
        <sz val="10"/>
        <color theme="1"/>
        <rFont val="Calibri"/>
        <family val="2"/>
      </rPr>
      <t>adjusted by size and RCA</t>
    </r>
  </si>
  <si>
    <r>
      <t xml:space="preserve">Health care per ADM, </t>
    </r>
    <r>
      <rPr>
        <b/>
        <i/>
        <sz val="10"/>
        <color theme="1"/>
        <rFont val="Calibri"/>
        <family val="2"/>
      </rPr>
      <t>adjusted by size</t>
    </r>
  </si>
  <si>
    <t>Total Personnel Per ADM</t>
  </si>
  <si>
    <r>
      <t xml:space="preserve">Salaries and fringe benefits, </t>
    </r>
    <r>
      <rPr>
        <b/>
        <i/>
        <sz val="10"/>
        <color theme="1"/>
        <rFont val="Calibri"/>
        <family val="2"/>
      </rPr>
      <t>adjusted by size and RCA</t>
    </r>
  </si>
  <si>
    <r>
      <t xml:space="preserve">Health care, </t>
    </r>
    <r>
      <rPr>
        <b/>
        <i/>
        <sz val="10"/>
        <color theme="1"/>
        <rFont val="Calibri"/>
        <family val="2"/>
      </rPr>
      <t>adjusted by size</t>
    </r>
  </si>
  <si>
    <t>Total Personnel</t>
  </si>
  <si>
    <t>Assessment</t>
  </si>
  <si>
    <t>Technology Hardware</t>
  </si>
  <si>
    <t>Professional Development</t>
  </si>
  <si>
    <t>Elementary School  Extra Duty/Student Activities Cost</t>
  </si>
  <si>
    <t>Middle School  Extra Duty/Student Activities Cost</t>
  </si>
  <si>
    <t>High School  Extra Duty/Student Activities Cost</t>
  </si>
  <si>
    <t>Total Extra Duty/Student Activities Cost</t>
  </si>
  <si>
    <t>At-Risk</t>
  </si>
  <si>
    <t xml:space="preserve">ELL </t>
  </si>
  <si>
    <t>CTE Salaries and fringe benefits, adjusted RCA</t>
  </si>
  <si>
    <t>CTE Personnel Health care</t>
  </si>
  <si>
    <t>Total CTE Personnel Costs</t>
  </si>
  <si>
    <t>CTE Supplies and Materials</t>
  </si>
  <si>
    <t>Gifted and Talented</t>
  </si>
  <si>
    <t>0101001</t>
  </si>
  <si>
    <t>Snowy Range Academy</t>
  </si>
  <si>
    <t>K-9</t>
  </si>
  <si>
    <t>0101002</t>
  </si>
  <si>
    <t>Beitel Elementary</t>
  </si>
  <si>
    <t>K-5</t>
  </si>
  <si>
    <t>0101005</t>
  </si>
  <si>
    <t>Centennial Elementary</t>
  </si>
  <si>
    <t>K-6</t>
  </si>
  <si>
    <t>0101009</t>
  </si>
  <si>
    <t>Harmony Elementary</t>
  </si>
  <si>
    <t>0101015</t>
  </si>
  <si>
    <t>Rock River Elementary</t>
  </si>
  <si>
    <t>P-6</t>
  </si>
  <si>
    <t>0101017</t>
  </si>
  <si>
    <t>Slade Elementary</t>
  </si>
  <si>
    <t>P-5</t>
  </si>
  <si>
    <t>0101019</t>
  </si>
  <si>
    <t>Valley View Elementary</t>
  </si>
  <si>
    <t>0101020</t>
  </si>
  <si>
    <t>Velma Linford Elementary</t>
  </si>
  <si>
    <t>0101027</t>
  </si>
  <si>
    <t>Spring Creek Elementary</t>
  </si>
  <si>
    <t>0101028</t>
  </si>
  <si>
    <t>Indian Paintbrush  Elementary</t>
  </si>
  <si>
    <t>0101030</t>
  </si>
  <si>
    <t>UW Laboratory School</t>
  </si>
  <si>
    <t>K-8</t>
  </si>
  <si>
    <t>0101031</t>
  </si>
  <si>
    <t>Laramie Montessori</t>
  </si>
  <si>
    <t>0101032</t>
  </si>
  <si>
    <t>Notch Peak Elementary</t>
  </si>
  <si>
    <t>0101050</t>
  </si>
  <si>
    <t>Laramie Middle School</t>
  </si>
  <si>
    <t>6-8</t>
  </si>
  <si>
    <t>0101051</t>
  </si>
  <si>
    <t>Rock River Junior High School</t>
  </si>
  <si>
    <t>7-8</t>
  </si>
  <si>
    <t>0101055</t>
  </si>
  <si>
    <t>Laramie High School</t>
  </si>
  <si>
    <t>9-12</t>
  </si>
  <si>
    <t>0101056</t>
  </si>
  <si>
    <t>Rock River High School</t>
  </si>
  <si>
    <t>0101057</t>
  </si>
  <si>
    <t>Whiting High School</t>
  </si>
  <si>
    <t>0201001</t>
  </si>
  <si>
    <t>Burlington Elementary</t>
  </si>
  <si>
    <t>0201004</t>
  </si>
  <si>
    <t>Rocky Mountain Elementary</t>
  </si>
  <si>
    <t>0201050</t>
  </si>
  <si>
    <t>Burlington Middle School</t>
  </si>
  <si>
    <t>0201051</t>
  </si>
  <si>
    <t>Rocky Mountain Middle School</t>
  </si>
  <si>
    <t>0201055</t>
  </si>
  <si>
    <t>Burlington High School</t>
  </si>
  <si>
    <t>0201056</t>
  </si>
  <si>
    <t>Rocky Mountain High School</t>
  </si>
  <si>
    <t>0202001</t>
  </si>
  <si>
    <t>Lovell Elementary</t>
  </si>
  <si>
    <t>0202050</t>
  </si>
  <si>
    <t>Lovell Middle School</t>
  </si>
  <si>
    <t>0202055</t>
  </si>
  <si>
    <t>Lovell High School</t>
  </si>
  <si>
    <t>0203002</t>
  </si>
  <si>
    <t>Greybull Elementary</t>
  </si>
  <si>
    <t>0203050</t>
  </si>
  <si>
    <t>Greybull Middle School</t>
  </si>
  <si>
    <t>0203055</t>
  </si>
  <si>
    <t>Greybull High School</t>
  </si>
  <si>
    <t>0204001</t>
  </si>
  <si>
    <t>Laura Irwin Elementary</t>
  </si>
  <si>
    <t>0204055</t>
  </si>
  <si>
    <t>Riverside Middle/High School</t>
  </si>
  <si>
    <t>6-12</t>
  </si>
  <si>
    <t>0301002</t>
  </si>
  <si>
    <t>4-J Elementary School</t>
  </si>
  <si>
    <t>0301006</t>
  </si>
  <si>
    <t>Cottonwood Elementary</t>
  </si>
  <si>
    <t>0301009</t>
  </si>
  <si>
    <t>Hillcrest Elementary</t>
  </si>
  <si>
    <t>0301010</t>
  </si>
  <si>
    <t>Little Powder Elementary</t>
  </si>
  <si>
    <t>0301011</t>
  </si>
  <si>
    <t>Meadowlark Elementary</t>
  </si>
  <si>
    <t>0301012</t>
  </si>
  <si>
    <t>Lakeview Elementary</t>
  </si>
  <si>
    <t>0301013</t>
  </si>
  <si>
    <t>Rawhide Elementary</t>
  </si>
  <si>
    <t>0301014</t>
  </si>
  <si>
    <t>Recluse School</t>
  </si>
  <si>
    <t>0301015</t>
  </si>
  <si>
    <t>Rozet Elementary</t>
  </si>
  <si>
    <t>0301017</t>
  </si>
  <si>
    <t>Prairie Wind Elementary</t>
  </si>
  <si>
    <t>0301019</t>
  </si>
  <si>
    <t>Wagonwheel Elementary</t>
  </si>
  <si>
    <t>0301021</t>
  </si>
  <si>
    <t>Paintbrush Elementary</t>
  </si>
  <si>
    <t>0301022</t>
  </si>
  <si>
    <t>Conestoga Elementary</t>
  </si>
  <si>
    <t>0301023</t>
  </si>
  <si>
    <t>Sunflower Elementary</t>
  </si>
  <si>
    <t>0301024</t>
  </si>
  <si>
    <t>Pronghorn Elementary</t>
  </si>
  <si>
    <t>0301025</t>
  </si>
  <si>
    <t>Buffalo Ridge Elementary</t>
  </si>
  <si>
    <t>0301026</t>
  </si>
  <si>
    <t>Stocktrail Elementary</t>
  </si>
  <si>
    <t>0301050</t>
  </si>
  <si>
    <t>Twin Spruce Junior High School</t>
  </si>
  <si>
    <t>0301051</t>
  </si>
  <si>
    <t>Sage Valley Junior High School</t>
  </si>
  <si>
    <t>0301055</t>
  </si>
  <si>
    <t>Campbell County High School</t>
  </si>
  <si>
    <t>0301056</t>
  </si>
  <si>
    <t>Wright Jr. &amp; Sr. High School</t>
  </si>
  <si>
    <t>7-12</t>
  </si>
  <si>
    <t>0301057</t>
  </si>
  <si>
    <t>Westwood High School</t>
  </si>
  <si>
    <t>0301059</t>
  </si>
  <si>
    <t>Thunder Basin High School</t>
  </si>
  <si>
    <t>0401008</t>
  </si>
  <si>
    <t>Rawlins Elementary</t>
  </si>
  <si>
    <t>0401049</t>
  </si>
  <si>
    <t>Little Snake River Valley School</t>
  </si>
  <si>
    <t>K-12</t>
  </si>
  <si>
    <t>0401050</t>
  </si>
  <si>
    <t>Rawlins Middle School</t>
  </si>
  <si>
    <t>0401056</t>
  </si>
  <si>
    <t>Rawlins High School</t>
  </si>
  <si>
    <t>0401057</t>
  </si>
  <si>
    <t>Cooperative High</t>
  </si>
  <si>
    <t>0402001</t>
  </si>
  <si>
    <t>Elk Mountain Elementary</t>
  </si>
  <si>
    <t>0402003</t>
  </si>
  <si>
    <t>Hanna Elementary</t>
  </si>
  <si>
    <t>0402005</t>
  </si>
  <si>
    <t>Medicine Bow Elementary</t>
  </si>
  <si>
    <t>0402006</t>
  </si>
  <si>
    <t>Saratoga Elementary</t>
  </si>
  <si>
    <t>0402048</t>
  </si>
  <si>
    <t>HEM Junior/Senior High School</t>
  </si>
  <si>
    <t>0402049</t>
  </si>
  <si>
    <t>Encampment K-12 School</t>
  </si>
  <si>
    <t>0402059</t>
  </si>
  <si>
    <t>Saratoga Middle/High School</t>
  </si>
  <si>
    <t>0501001</t>
  </si>
  <si>
    <t>Dry Creek Elementary</t>
  </si>
  <si>
    <t>0501002</t>
  </si>
  <si>
    <t>Douglas Primary School</t>
  </si>
  <si>
    <t>K-1</t>
  </si>
  <si>
    <t>0501003</t>
  </si>
  <si>
    <t>Moss Agate Elementary</t>
  </si>
  <si>
    <t>0501006</t>
  </si>
  <si>
    <t>Shawnee Elementary</t>
  </si>
  <si>
    <t>0501009</t>
  </si>
  <si>
    <t>Walker Creek Elementary</t>
  </si>
  <si>
    <t>0501010</t>
  </si>
  <si>
    <t>Douglas Upper Elementary School</t>
  </si>
  <si>
    <t>4-5</t>
  </si>
  <si>
    <t>0501011</t>
  </si>
  <si>
    <t>White Elementary</t>
  </si>
  <si>
    <t>0501013</t>
  </si>
  <si>
    <t>Douglas Intermediate School</t>
  </si>
  <si>
    <t>2-3</t>
  </si>
  <si>
    <t>0501050</t>
  </si>
  <si>
    <t>Douglas Middle School</t>
  </si>
  <si>
    <t>0501055</t>
  </si>
  <si>
    <t>Douglas High School</t>
  </si>
  <si>
    <t>0502001</t>
  </si>
  <si>
    <t>Boxelder Elementary</t>
  </si>
  <si>
    <t>0502004</t>
  </si>
  <si>
    <t>Grant Elementary</t>
  </si>
  <si>
    <t>K-4</t>
  </si>
  <si>
    <t>0502007</t>
  </si>
  <si>
    <t>Glenrock Intermediate School</t>
  </si>
  <si>
    <t>5-6</t>
  </si>
  <si>
    <t>0502050</t>
  </si>
  <si>
    <t>Glenrock Middle School</t>
  </si>
  <si>
    <t>0502055</t>
  </si>
  <si>
    <t>Glenrock High School</t>
  </si>
  <si>
    <t>0601007</t>
  </si>
  <si>
    <t>Sundance Elementary</t>
  </si>
  <si>
    <t>0601008</t>
  </si>
  <si>
    <t>Moorcroft K-8</t>
  </si>
  <si>
    <t>0601048</t>
  </si>
  <si>
    <t>Sundance Secondary</t>
  </si>
  <si>
    <t>0601049</t>
  </si>
  <si>
    <t>Hulett School</t>
  </si>
  <si>
    <t>0601056</t>
  </si>
  <si>
    <t>Moorcroft High School</t>
  </si>
  <si>
    <t>Fremont #1</t>
  </si>
  <si>
    <t>0701006</t>
  </si>
  <si>
    <t>Jeffrey City Elementary</t>
  </si>
  <si>
    <t>0701008</t>
  </si>
  <si>
    <t>Gannett Peak</t>
  </si>
  <si>
    <t>K-3</t>
  </si>
  <si>
    <t>0701009</t>
  </si>
  <si>
    <t>Baldwin Creek</t>
  </si>
  <si>
    <t>0701050</t>
  </si>
  <si>
    <t>Lander Middle School</t>
  </si>
  <si>
    <t>0701055</t>
  </si>
  <si>
    <t>Lander Valley High School</t>
  </si>
  <si>
    <t>0701056</t>
  </si>
  <si>
    <t>Pathfinder High School</t>
  </si>
  <si>
    <t>Fremont #2</t>
  </si>
  <si>
    <t>0702001</t>
  </si>
  <si>
    <t>Dubois Elementary</t>
  </si>
  <si>
    <t>0702050</t>
  </si>
  <si>
    <t>Dubois Middle School</t>
  </si>
  <si>
    <t>0702055</t>
  </si>
  <si>
    <t>Dubois High School</t>
  </si>
  <si>
    <t>Fremont #6</t>
  </si>
  <si>
    <t>0706001</t>
  </si>
  <si>
    <t>Crowheart Elementary</t>
  </si>
  <si>
    <t>P-3</t>
  </si>
  <si>
    <t>0706002</t>
  </si>
  <si>
    <t>Wind River Elementary</t>
  </si>
  <si>
    <t>0706050</t>
  </si>
  <si>
    <t>Wind River Middle School</t>
  </si>
  <si>
    <t>0706056</t>
  </si>
  <si>
    <t>Wind River High School</t>
  </si>
  <si>
    <t>0706057</t>
  </si>
  <si>
    <t>Wind River Learning Academy</t>
  </si>
  <si>
    <t>0714001</t>
  </si>
  <si>
    <t>Wyoming Indian Elementary</t>
  </si>
  <si>
    <t>0714050</t>
  </si>
  <si>
    <t>Wyoming Indian Middle School</t>
  </si>
  <si>
    <t>0714055</t>
  </si>
  <si>
    <t>Wyoming Indian High School</t>
  </si>
  <si>
    <t>0721001</t>
  </si>
  <si>
    <t>Ft. Washakie Elementary</t>
  </si>
  <si>
    <t>0721050</t>
  </si>
  <si>
    <t>Ft. Washakie Middle School</t>
  </si>
  <si>
    <t>0721056</t>
  </si>
  <si>
    <t>Ft. Washakie High School</t>
  </si>
  <si>
    <t>0724001</t>
  </si>
  <si>
    <t>Shoshoni Elementary</t>
  </si>
  <si>
    <t>0724050</t>
  </si>
  <si>
    <t>Shoshoni Junior High School</t>
  </si>
  <si>
    <t>0724055</t>
  </si>
  <si>
    <t>Shoshoni High School</t>
  </si>
  <si>
    <t>0725002</t>
  </si>
  <si>
    <t>Ashgrove Elementary</t>
  </si>
  <si>
    <t>1-3</t>
  </si>
  <si>
    <t>0725007</t>
  </si>
  <si>
    <t>Rendezvous Elementary</t>
  </si>
  <si>
    <t>0725008</t>
  </si>
  <si>
    <t>Jackson Elementary</t>
  </si>
  <si>
    <t>0725009</t>
  </si>
  <si>
    <t>Aspen Early Learning Center</t>
  </si>
  <si>
    <t>K</t>
  </si>
  <si>
    <t>0725010</t>
  </si>
  <si>
    <t>Willow Creek Elementary</t>
  </si>
  <si>
    <t>0725050</t>
  </si>
  <si>
    <t>Riverton Middle School</t>
  </si>
  <si>
    <t>0725056</t>
  </si>
  <si>
    <t>Riverton High School</t>
  </si>
  <si>
    <t>0725057</t>
  </si>
  <si>
    <t>Frontier Academy</t>
  </si>
  <si>
    <t>0738001</t>
  </si>
  <si>
    <t>Arapahoe Elementary</t>
  </si>
  <si>
    <t>P-8</t>
  </si>
  <si>
    <t>0738055</t>
  </si>
  <si>
    <t>Arapaho Charter High School</t>
  </si>
  <si>
    <t>0801002</t>
  </si>
  <si>
    <t>Southeast Elementary</t>
  </si>
  <si>
    <t>0801004</t>
  </si>
  <si>
    <t>La Grange Elementary</t>
  </si>
  <si>
    <t>0801005</t>
  </si>
  <si>
    <t>Lingle-Ft. Laramie Elementary</t>
  </si>
  <si>
    <t>0801006</t>
  </si>
  <si>
    <t>Trail Elementary</t>
  </si>
  <si>
    <t>3-5</t>
  </si>
  <si>
    <t>0801007</t>
  </si>
  <si>
    <t>Lincoln Elementary</t>
  </si>
  <si>
    <t>K-2</t>
  </si>
  <si>
    <t>0801050</t>
  </si>
  <si>
    <t>Lingle-Ft. Laramie Middle School</t>
  </si>
  <si>
    <t>0801051</t>
  </si>
  <si>
    <t>Southeast Junior High School</t>
  </si>
  <si>
    <t>0801052</t>
  </si>
  <si>
    <t>Torrington Middle School</t>
  </si>
  <si>
    <t>0801055</t>
  </si>
  <si>
    <t>Southeast High School</t>
  </si>
  <si>
    <t>0801058</t>
  </si>
  <si>
    <t>Lingle-Ft. Laramie High School</t>
  </si>
  <si>
    <t>0801059</t>
  </si>
  <si>
    <t>Torrington High School</t>
  </si>
  <si>
    <t>0901004</t>
  </si>
  <si>
    <t>Ralph Witters Elementary</t>
  </si>
  <si>
    <t>P-4</t>
  </si>
  <si>
    <t>0901050</t>
  </si>
  <si>
    <t>Thermopolis Middle School</t>
  </si>
  <si>
    <t>5-8</t>
  </si>
  <si>
    <t>0901055</t>
  </si>
  <si>
    <t>Hot Springs County High School</t>
  </si>
  <si>
    <t>1001002</t>
  </si>
  <si>
    <t>Cloud Peak Elementary</t>
  </si>
  <si>
    <t>1001006</t>
  </si>
  <si>
    <t>1001049</t>
  </si>
  <si>
    <t>Kaycee School</t>
  </si>
  <si>
    <t>1001050</t>
  </si>
  <si>
    <t>Clear Creek Middle School</t>
  </si>
  <si>
    <t>1001055</t>
  </si>
  <si>
    <t>Buffalo High School</t>
  </si>
  <si>
    <t>1101001</t>
  </si>
  <si>
    <t>Alta Vista Elementary</t>
  </si>
  <si>
    <t>1101002</t>
  </si>
  <si>
    <t>Arp Elementary</t>
  </si>
  <si>
    <t>1101003</t>
  </si>
  <si>
    <t>Baggs Elementary</t>
  </si>
  <si>
    <t>1101004</t>
  </si>
  <si>
    <t>Bain Elementary</t>
  </si>
  <si>
    <t>1101005</t>
  </si>
  <si>
    <t>1101007</t>
  </si>
  <si>
    <t>Cole Elementary</t>
  </si>
  <si>
    <t>1101009</t>
  </si>
  <si>
    <t>Davis Elementary</t>
  </si>
  <si>
    <t>1101010</t>
  </si>
  <si>
    <t>Deming Elementary</t>
  </si>
  <si>
    <t>1101011</t>
  </si>
  <si>
    <t>Dildine Elementary</t>
  </si>
  <si>
    <t>1101013</t>
  </si>
  <si>
    <t>Fairview Elementary</t>
  </si>
  <si>
    <t>3-6</t>
  </si>
  <si>
    <t>1101014</t>
  </si>
  <si>
    <t>Gilchrist Elementary</t>
  </si>
  <si>
    <t>1101015</t>
  </si>
  <si>
    <t>Goins Elementary</t>
  </si>
  <si>
    <t>1101016</t>
  </si>
  <si>
    <t>Hebard Elementary</t>
  </si>
  <si>
    <t>1101017</t>
  </si>
  <si>
    <t>Henderson Elementary</t>
  </si>
  <si>
    <t>1101018</t>
  </si>
  <si>
    <t>Hobbs Elementary</t>
  </si>
  <si>
    <t>1101019</t>
  </si>
  <si>
    <t>Clawson Elementary</t>
  </si>
  <si>
    <t>1101020</t>
  </si>
  <si>
    <t>Jessup Elementary</t>
  </si>
  <si>
    <t>1101021</t>
  </si>
  <si>
    <t>Lebhart Elementary</t>
  </si>
  <si>
    <t>1101022</t>
  </si>
  <si>
    <t>Miller Elementary</t>
  </si>
  <si>
    <t>4-6</t>
  </si>
  <si>
    <t>1101023</t>
  </si>
  <si>
    <t>Pioneer Park Elementary</t>
  </si>
  <si>
    <t>1101024</t>
  </si>
  <si>
    <t>Rossman Elementary</t>
  </si>
  <si>
    <t>1101025</t>
  </si>
  <si>
    <t>Willadsen Elementary</t>
  </si>
  <si>
    <t>1101026</t>
  </si>
  <si>
    <t>Anderson Elementary</t>
  </si>
  <si>
    <t>1101027</t>
  </si>
  <si>
    <t>Afflerbach Elementary</t>
  </si>
  <si>
    <t>1101028</t>
  </si>
  <si>
    <t>Freedom Elementary</t>
  </si>
  <si>
    <t>1101029</t>
  </si>
  <si>
    <t>Sunrise Elementary</t>
  </si>
  <si>
    <t>1101030</t>
  </si>
  <si>
    <t>Saddle Ridge Elementary</t>
  </si>
  <si>
    <t>1101031</t>
  </si>
  <si>
    <t>1101032</t>
  </si>
  <si>
    <t>1101040</t>
  </si>
  <si>
    <t>PODER Academy</t>
  </si>
  <si>
    <t>1101045</t>
  </si>
  <si>
    <t>PODER Secondary School</t>
  </si>
  <si>
    <t>6-9</t>
  </si>
  <si>
    <t>1101050</t>
  </si>
  <si>
    <t>Carey Junior High School</t>
  </si>
  <si>
    <t>1101051</t>
  </si>
  <si>
    <t>Johnson Junior High School</t>
  </si>
  <si>
    <t>1101052</t>
  </si>
  <si>
    <t>McCormick Junior High School</t>
  </si>
  <si>
    <t>1101055</t>
  </si>
  <si>
    <t>Central High School</t>
  </si>
  <si>
    <t>1101056</t>
  </si>
  <si>
    <t>East High School</t>
  </si>
  <si>
    <t>1101057</t>
  </si>
  <si>
    <t>Triumph High School</t>
  </si>
  <si>
    <t>1101058</t>
  </si>
  <si>
    <t>South High School</t>
  </si>
  <si>
    <t>1102001</t>
  </si>
  <si>
    <t>Albin Elementary</t>
  </si>
  <si>
    <t>1102002</t>
  </si>
  <si>
    <t>Carpenter Elementary</t>
  </si>
  <si>
    <t>1102004</t>
  </si>
  <si>
    <t>Pine Bluffs Elementary</t>
  </si>
  <si>
    <t>1102005</t>
  </si>
  <si>
    <t>Burns Elementary</t>
  </si>
  <si>
    <t>1102056</t>
  </si>
  <si>
    <t>Burns Jr &amp; Sr High School</t>
  </si>
  <si>
    <t>1102057</t>
  </si>
  <si>
    <t>Pine Bluffs Jr &amp; Sr High School</t>
  </si>
  <si>
    <t>1201004</t>
  </si>
  <si>
    <t>Kemmerer Elementary</t>
  </si>
  <si>
    <t>1201051</t>
  </si>
  <si>
    <t>Canyon Elementary School</t>
  </si>
  <si>
    <t>1201056</t>
  </si>
  <si>
    <t>New Frontier High School</t>
  </si>
  <si>
    <t>1201057</t>
  </si>
  <si>
    <t>Kemmerer Junior Senior High School</t>
  </si>
  <si>
    <t>1202001</t>
  </si>
  <si>
    <t>Afton Elementary</t>
  </si>
  <si>
    <t>1202002</t>
  </si>
  <si>
    <t>Cokeville Elementary</t>
  </si>
  <si>
    <t>1202003</t>
  </si>
  <si>
    <t>Thayne Elementary</t>
  </si>
  <si>
    <t>1202004</t>
  </si>
  <si>
    <t>Etna Elementary</t>
  </si>
  <si>
    <t>1202005</t>
  </si>
  <si>
    <t>Osmond Elementary</t>
  </si>
  <si>
    <t>1202051</t>
  </si>
  <si>
    <t>Star Valley Middle School</t>
  </si>
  <si>
    <t>1202055</t>
  </si>
  <si>
    <t>Cokeville High School</t>
  </si>
  <si>
    <t>1202056</t>
  </si>
  <si>
    <t>Star Valley High School</t>
  </si>
  <si>
    <t>1202057</t>
  </si>
  <si>
    <t>Swift Creek High School</t>
  </si>
  <si>
    <t>1301001</t>
  </si>
  <si>
    <t>Alcova Elementary</t>
  </si>
  <si>
    <t>1301002</t>
  </si>
  <si>
    <t>Crest Hill Elementary</t>
  </si>
  <si>
    <t>1301003</t>
  </si>
  <si>
    <t>Evansville Elementary</t>
  </si>
  <si>
    <t>1301005</t>
  </si>
  <si>
    <t>1301006</t>
  </si>
  <si>
    <t>Ft. Caspar Academy</t>
  </si>
  <si>
    <t>1301009</t>
  </si>
  <si>
    <t>Sagewood Elementary</t>
  </si>
  <si>
    <t>1301011</t>
  </si>
  <si>
    <t>Manor Heights Elementary</t>
  </si>
  <si>
    <t>1301014</t>
  </si>
  <si>
    <t>Journey Elementary</t>
  </si>
  <si>
    <t>1301015</t>
  </si>
  <si>
    <t>Mountain View Elementary</t>
  </si>
  <si>
    <t>1301016</t>
  </si>
  <si>
    <t>Lincoln Elementary School</t>
  </si>
  <si>
    <t>1301017</t>
  </si>
  <si>
    <t>Paradise Valley Elementary</t>
  </si>
  <si>
    <t>1301018</t>
  </si>
  <si>
    <t>Park Elementary</t>
  </si>
  <si>
    <t>1301019</t>
  </si>
  <si>
    <t>Pineview Elementary</t>
  </si>
  <si>
    <t>1301020</t>
  </si>
  <si>
    <t>Poison Spider Elementary</t>
  </si>
  <si>
    <t>1301021</t>
  </si>
  <si>
    <t>Powder River Elementary</t>
  </si>
  <si>
    <t>1301022</t>
  </si>
  <si>
    <t>Red Creek Elementary</t>
  </si>
  <si>
    <t>1301023</t>
  </si>
  <si>
    <t>Southridge Elementary</t>
  </si>
  <si>
    <t>1301024</t>
  </si>
  <si>
    <t>University Park Elementary</t>
  </si>
  <si>
    <t>1301025</t>
  </si>
  <si>
    <t>Verda James Elementary</t>
  </si>
  <si>
    <t>1301027</t>
  </si>
  <si>
    <t>Willard Elementary</t>
  </si>
  <si>
    <t>1301029</t>
  </si>
  <si>
    <t>Woods Learning Center</t>
  </si>
  <si>
    <t>1301031</t>
  </si>
  <si>
    <t>Oregon Trail Elementary</t>
  </si>
  <si>
    <t>1301033</t>
  </si>
  <si>
    <t>Bar Nunn Elementary</t>
  </si>
  <si>
    <t>1301038</t>
  </si>
  <si>
    <t>Casper Classical Academy</t>
  </si>
  <si>
    <t>1301039</t>
  </si>
  <si>
    <t>Summit Elementary</t>
  </si>
  <si>
    <t>1301048</t>
  </si>
  <si>
    <t>Frontier Middle School</t>
  </si>
  <si>
    <t>1301049</t>
  </si>
  <si>
    <t>Midwest School</t>
  </si>
  <si>
    <t>P-12</t>
  </si>
  <si>
    <t>1301050</t>
  </si>
  <si>
    <t>C Y Junior High School</t>
  </si>
  <si>
    <t>1301051</t>
  </si>
  <si>
    <t>Dean Morgan Junior High School</t>
  </si>
  <si>
    <t>1301054</t>
  </si>
  <si>
    <t>Centennial Junior High School</t>
  </si>
  <si>
    <t>1301055</t>
  </si>
  <si>
    <t>Kelly Walsh High School</t>
  </si>
  <si>
    <t>1301057</t>
  </si>
  <si>
    <t>Natrona County High School</t>
  </si>
  <si>
    <t>1301058</t>
  </si>
  <si>
    <t>Roosevelt High School</t>
  </si>
  <si>
    <t>1401003</t>
  </si>
  <si>
    <t>Lance Creek Elementary</t>
  </si>
  <si>
    <t>1401004</t>
  </si>
  <si>
    <t>Lusk Elementary</t>
  </si>
  <si>
    <t>1401050</t>
  </si>
  <si>
    <t>Lusk Middle School</t>
  </si>
  <si>
    <t>1401055</t>
  </si>
  <si>
    <t>Niobrara County High School</t>
  </si>
  <si>
    <t>Park #1</t>
  </si>
  <si>
    <t>1501001</t>
  </si>
  <si>
    <t>Clark Elementary</t>
  </si>
  <si>
    <t>1501002</t>
  </si>
  <si>
    <t>Parkside Elementary</t>
  </si>
  <si>
    <t>1501003</t>
  </si>
  <si>
    <t>Southside Elementary</t>
  </si>
  <si>
    <t>1501004</t>
  </si>
  <si>
    <t>Westside Elementary</t>
  </si>
  <si>
    <t>1501050</t>
  </si>
  <si>
    <t>Powell Middle School</t>
  </si>
  <si>
    <t>1501055</t>
  </si>
  <si>
    <t>Powell High School</t>
  </si>
  <si>
    <t>1501056</t>
  </si>
  <si>
    <t>Shoshone Learning Center</t>
  </si>
  <si>
    <t>Park #6</t>
  </si>
  <si>
    <t>1506001</t>
  </si>
  <si>
    <t>Eastside Elementary</t>
  </si>
  <si>
    <t>1506002</t>
  </si>
  <si>
    <t>Sunset Elementary</t>
  </si>
  <si>
    <t>1506003</t>
  </si>
  <si>
    <t>Valley Elementary</t>
  </si>
  <si>
    <t>1506004</t>
  </si>
  <si>
    <t>Wapiti Elementary</t>
  </si>
  <si>
    <t>1506005</t>
  </si>
  <si>
    <t>Glenn Livingston Elementary</t>
  </si>
  <si>
    <t>1506050</t>
  </si>
  <si>
    <t>Cody Middle School</t>
  </si>
  <si>
    <t>1506055</t>
  </si>
  <si>
    <t>Cody High School</t>
  </si>
  <si>
    <t>1506056</t>
  </si>
  <si>
    <t>Heart Mountain Academy</t>
  </si>
  <si>
    <t>1516049</t>
  </si>
  <si>
    <t>Meeteetse School</t>
  </si>
  <si>
    <t>1601001</t>
  </si>
  <si>
    <t>Chugwater Elementary</t>
  </si>
  <si>
    <t>1601002</t>
  </si>
  <si>
    <t>Glendo Elementary</t>
  </si>
  <si>
    <t>1601003</t>
  </si>
  <si>
    <t>Libbey Elementary</t>
  </si>
  <si>
    <t>1601005</t>
  </si>
  <si>
    <t>West Elementary</t>
  </si>
  <si>
    <t>1601050</t>
  </si>
  <si>
    <t>Wheatland Middle School</t>
  </si>
  <si>
    <t>1601051</t>
  </si>
  <si>
    <t>Chugwater Junior High School</t>
  </si>
  <si>
    <t>1601052</t>
  </si>
  <si>
    <t>Glendo Junior High School</t>
  </si>
  <si>
    <t>1601055</t>
  </si>
  <si>
    <t>Chugwater High School</t>
  </si>
  <si>
    <t>1601056</t>
  </si>
  <si>
    <t>Glendo High School</t>
  </si>
  <si>
    <t>1601057</t>
  </si>
  <si>
    <t>Wheatland High School</t>
  </si>
  <si>
    <t>1601058</t>
  </si>
  <si>
    <t>Peak High School</t>
  </si>
  <si>
    <t>1602001</t>
  </si>
  <si>
    <t>Guernsey-Sunrise Elementary</t>
  </si>
  <si>
    <t>1602050</t>
  </si>
  <si>
    <t>Guernsey-Sunrise Junior High</t>
  </si>
  <si>
    <t>1602055</t>
  </si>
  <si>
    <t>Guernsey-Sunrise High School</t>
  </si>
  <si>
    <t>1701001</t>
  </si>
  <si>
    <t>Big Horn Elementary</t>
  </si>
  <si>
    <t>1701002</t>
  </si>
  <si>
    <t>Slack Elementary</t>
  </si>
  <si>
    <t>1701003</t>
  </si>
  <si>
    <t>Tongue River Elementary</t>
  </si>
  <si>
    <t>1701048</t>
  </si>
  <si>
    <t>The Bridge School</t>
  </si>
  <si>
    <t>1701050</t>
  </si>
  <si>
    <t>Big Horn Middle School</t>
  </si>
  <si>
    <t>1701051</t>
  </si>
  <si>
    <t>Tongue River Middle School</t>
  </si>
  <si>
    <t>1701055</t>
  </si>
  <si>
    <t>Big Horn High School</t>
  </si>
  <si>
    <t>1701056</t>
  </si>
  <si>
    <t>Tongue River High School</t>
  </si>
  <si>
    <t>1702002</t>
  </si>
  <si>
    <t>Coffeen Elementary</t>
  </si>
  <si>
    <t>1702003</t>
  </si>
  <si>
    <t>Highland Park Elementary</t>
  </si>
  <si>
    <t>1702005</t>
  </si>
  <si>
    <t>Story Elementary</t>
  </si>
  <si>
    <t>1702007</t>
  </si>
  <si>
    <t>Woodland Park Elementary</t>
  </si>
  <si>
    <t>1702009</t>
  </si>
  <si>
    <t>1702010</t>
  </si>
  <si>
    <t>Sagebrush Elementary</t>
  </si>
  <si>
    <t>1702050</t>
  </si>
  <si>
    <t>Sheridan Junior High School</t>
  </si>
  <si>
    <t>1702052</t>
  </si>
  <si>
    <t>The Wright Place</t>
  </si>
  <si>
    <t>1702056</t>
  </si>
  <si>
    <t>John C. Schiffer Collaborative School</t>
  </si>
  <si>
    <t>1702057</t>
  </si>
  <si>
    <t>Sheridan High School</t>
  </si>
  <si>
    <t>1703001</t>
  </si>
  <si>
    <t>Arvada Elementary</t>
  </si>
  <si>
    <t>1703049</t>
  </si>
  <si>
    <t>Clearmont K-12</t>
  </si>
  <si>
    <t>1801001</t>
  </si>
  <si>
    <t>Bondurant Elementary</t>
  </si>
  <si>
    <t>1801002</t>
  </si>
  <si>
    <t>Pinedale Elementary</t>
  </si>
  <si>
    <t>1801050</t>
  </si>
  <si>
    <t>Pinedale Middle School</t>
  </si>
  <si>
    <t>1801055</t>
  </si>
  <si>
    <t>Pinedale High School</t>
  </si>
  <si>
    <t>1801056</t>
  </si>
  <si>
    <t>Skyline Academy</t>
  </si>
  <si>
    <t>1809001</t>
  </si>
  <si>
    <t>Big Piney Elementary</t>
  </si>
  <si>
    <t>1809002</t>
  </si>
  <si>
    <t>La Barge Elementary</t>
  </si>
  <si>
    <t>1809050</t>
  </si>
  <si>
    <t>Big Piney Middle School</t>
  </si>
  <si>
    <t>1809055</t>
  </si>
  <si>
    <t>Big Piney High School</t>
  </si>
  <si>
    <t>1901001</t>
  </si>
  <si>
    <t>Desert Elementary</t>
  </si>
  <si>
    <t>1901002</t>
  </si>
  <si>
    <t>Desert View Elementary</t>
  </si>
  <si>
    <t>1901003</t>
  </si>
  <si>
    <t>Farson-Eden Elementary</t>
  </si>
  <si>
    <t>1901004</t>
  </si>
  <si>
    <t>1901006</t>
  </si>
  <si>
    <t>Overland Elementary</t>
  </si>
  <si>
    <t>1901010</t>
  </si>
  <si>
    <t>Walnut Elementary</t>
  </si>
  <si>
    <t>1901013</t>
  </si>
  <si>
    <t>Northpark Elementary</t>
  </si>
  <si>
    <t>1901014</t>
  </si>
  <si>
    <t>Westridge Elementary</t>
  </si>
  <si>
    <t>1901015</t>
  </si>
  <si>
    <t>Pilot Butte Elementary</t>
  </si>
  <si>
    <t>1901016</t>
  </si>
  <si>
    <t>Sage Elementary</t>
  </si>
  <si>
    <t>1901018</t>
  </si>
  <si>
    <t>Stagecoach Elementary</t>
  </si>
  <si>
    <t>1901050</t>
  </si>
  <si>
    <t>Rock Springs Junior High</t>
  </si>
  <si>
    <t>1901053</t>
  </si>
  <si>
    <t>Desert Middle School</t>
  </si>
  <si>
    <t>1901054</t>
  </si>
  <si>
    <t>Farson-Eden Middle School</t>
  </si>
  <si>
    <t>1901055</t>
  </si>
  <si>
    <t>Farson-Eden High School</t>
  </si>
  <si>
    <t>1901056</t>
  </si>
  <si>
    <t>Rock Springs High School</t>
  </si>
  <si>
    <t>1901057</t>
  </si>
  <si>
    <t>Black Butte High School</t>
  </si>
  <si>
    <t>1902001</t>
  </si>
  <si>
    <t>Granger Elementary</t>
  </si>
  <si>
    <t>1902002</t>
  </si>
  <si>
    <t>Harrison Elementary</t>
  </si>
  <si>
    <t>1902004</t>
  </si>
  <si>
    <t>McKinnon Elementary</t>
  </si>
  <si>
    <t>1902006</t>
  </si>
  <si>
    <t>Thoman Ranch Elementary</t>
  </si>
  <si>
    <t>1902007</t>
  </si>
  <si>
    <t>Washington Elementary</t>
  </si>
  <si>
    <t>1902010</t>
  </si>
  <si>
    <t>1902011</t>
  </si>
  <si>
    <t>Truman Elementary</t>
  </si>
  <si>
    <t>1902012</t>
  </si>
  <si>
    <t>Monroe Intermediate School</t>
  </si>
  <si>
    <t>1902050</t>
  </si>
  <si>
    <t>Lincoln Middle School</t>
  </si>
  <si>
    <t>1902055</t>
  </si>
  <si>
    <t>Green River High School</t>
  </si>
  <si>
    <t>1902056</t>
  </si>
  <si>
    <t>Expedition Academy</t>
  </si>
  <si>
    <t>2001001</t>
  </si>
  <si>
    <t>Alta Elementary</t>
  </si>
  <si>
    <t>2001003</t>
  </si>
  <si>
    <t>Kelly Elementary</t>
  </si>
  <si>
    <t>2001004</t>
  </si>
  <si>
    <t>Moran Elementary</t>
  </si>
  <si>
    <t>2001005</t>
  </si>
  <si>
    <t>Wilson Elementary</t>
  </si>
  <si>
    <t>2001009</t>
  </si>
  <si>
    <t>Colter Elementary</t>
  </si>
  <si>
    <t>2001010</t>
  </si>
  <si>
    <t>2001050</t>
  </si>
  <si>
    <t>Jackson Hole Middle School</t>
  </si>
  <si>
    <t>2001055</t>
  </si>
  <si>
    <t>Jackson Hole High School</t>
  </si>
  <si>
    <t>2001056</t>
  </si>
  <si>
    <t>Summit High School</t>
  </si>
  <si>
    <t>2101002</t>
  </si>
  <si>
    <t>2101004</t>
  </si>
  <si>
    <t>Uinta Meadows Elementary</t>
  </si>
  <si>
    <t>2101005</t>
  </si>
  <si>
    <t>North Evanston Elementary</t>
  </si>
  <si>
    <t>2101006</t>
  </si>
  <si>
    <t>Aspen Elementary</t>
  </si>
  <si>
    <t>2101050</t>
  </si>
  <si>
    <t>Davis Middle School</t>
  </si>
  <si>
    <t>2101051</t>
  </si>
  <si>
    <t>Evanston Middle School</t>
  </si>
  <si>
    <t>2101055</t>
  </si>
  <si>
    <t>Evanston High School</t>
  </si>
  <si>
    <t>2101056</t>
  </si>
  <si>
    <t>Horizon Alternative School</t>
  </si>
  <si>
    <t>2104020</t>
  </si>
  <si>
    <t>Mountain View K-8</t>
  </si>
  <si>
    <t>2104055</t>
  </si>
  <si>
    <t>Mountain View High School</t>
  </si>
  <si>
    <t>2106002</t>
  </si>
  <si>
    <t>Urie Elementary</t>
  </si>
  <si>
    <t>2106050</t>
  </si>
  <si>
    <t>Lyman Intermediate School</t>
  </si>
  <si>
    <t>2106055</t>
  </si>
  <si>
    <t>Lyman High School</t>
  </si>
  <si>
    <t>2201004</t>
  </si>
  <si>
    <t>East Side Elementary</t>
  </si>
  <si>
    <t>2201005</t>
  </si>
  <si>
    <t>South Side Elementary</t>
  </si>
  <si>
    <t>2201006</t>
  </si>
  <si>
    <t>West Side Elementary</t>
  </si>
  <si>
    <t>2201050</t>
  </si>
  <si>
    <t>Worland Middle School</t>
  </si>
  <si>
    <t>2201055</t>
  </si>
  <si>
    <t>Worland High School</t>
  </si>
  <si>
    <t>2202049</t>
  </si>
  <si>
    <t>Ten Sleep K-12</t>
  </si>
  <si>
    <t>2301001</t>
  </si>
  <si>
    <t>Newcastle Elementary 3-5</t>
  </si>
  <si>
    <t>2301003</t>
  </si>
  <si>
    <t>Newcastle Elementary K-2</t>
  </si>
  <si>
    <t>2301050</t>
  </si>
  <si>
    <t>Newcastle Middle School</t>
  </si>
  <si>
    <t>2301055</t>
  </si>
  <si>
    <t>Newcastle High School</t>
  </si>
  <si>
    <t>2307001</t>
  </si>
  <si>
    <t>Upton Elementary</t>
  </si>
  <si>
    <t>2307050</t>
  </si>
  <si>
    <t>Upton Middle School</t>
  </si>
  <si>
    <t>2307055</t>
  </si>
  <si>
    <t>Upton High School</t>
  </si>
  <si>
    <t>Student Activity Funding Tables for Middle and High Schools</t>
  </si>
  <si>
    <t>Legislative Model Student Activity Funding Tables</t>
  </si>
  <si>
    <t>Legislative Model Student Activity Funding Tables with ECAs</t>
  </si>
  <si>
    <t>High School Activity Funding Table</t>
  </si>
  <si>
    <t>Middle School Activity Funding Table</t>
  </si>
  <si>
    <t>School ADM</t>
  </si>
  <si>
    <t>Activity Funding Per ADM</t>
  </si>
  <si>
    <t>Funding Total This School Size</t>
  </si>
  <si>
    <t>School District Utilities Funding</t>
  </si>
  <si>
    <t>FY 2014 Actual Expenditures</t>
  </si>
  <si>
    <t>FY 2015 Actual Expenditures</t>
  </si>
  <si>
    <t>FY 2016 Actual Expenditures</t>
  </si>
  <si>
    <t>Average of FY 2014, 2015 and 2016 Actual Expenditures</t>
  </si>
  <si>
    <t>FY 2014 School Level Expenditures</t>
  </si>
  <si>
    <t>FY 2015 School Level Expenditures</t>
  </si>
  <si>
    <t>FY 2016 School Level Expenditures</t>
  </si>
  <si>
    <t>SY 2013-14 Educational GSF</t>
  </si>
  <si>
    <t>SY 2014-15 Educational GSF</t>
  </si>
  <si>
    <t>SY 2015-16 Educational GSF</t>
  </si>
  <si>
    <t>Average School Level Expenditures per Educational GSF</t>
  </si>
  <si>
    <t>FY 2020 New Additional Educational GSF</t>
  </si>
  <si>
    <t>FY 2021 New Additional Educational GSF</t>
  </si>
  <si>
    <t>FY 2022 New Additional Educational GSF</t>
  </si>
  <si>
    <t>FY 2023 New Additional Educational GSF</t>
  </si>
  <si>
    <t>FY 2024 New Additional Educational GSF</t>
  </si>
  <si>
    <t>Total Funding for Additional Educational GSF</t>
  </si>
  <si>
    <t>Total Utilities Funding</t>
  </si>
  <si>
    <t>Total Routine Operations &amp; Maintenance (O &amp; M) Personnel and Non-Personnel Resources</t>
  </si>
  <si>
    <t>Maintenance Worker Factor GF Operating Expenditures</t>
  </si>
  <si>
    <t>Total Custodian FTEs</t>
  </si>
  <si>
    <t>Maintenance Worker FTEs</t>
  </si>
  <si>
    <t>Groundskeeper FTEs</t>
  </si>
  <si>
    <t>Custodian Compensation</t>
  </si>
  <si>
    <t>Maintenance Worker Compensation</t>
  </si>
  <si>
    <t>Groundskeeper Compensation</t>
  </si>
  <si>
    <t>Total O &amp; M Supplies Cost</t>
  </si>
  <si>
    <t>Total O &amp; M Costs</t>
  </si>
  <si>
    <t>School Level Routine Operations and Maintenance (O &amp; M) Personnel and Non-Personnel Resources</t>
  </si>
  <si>
    <t>School
Level</t>
  </si>
  <si>
    <t>Include in O &amp; M Calculations (T/F)</t>
  </si>
  <si>
    <t>Actual
Educational
GSF</t>
  </si>
  <si>
    <t>Allowable
Educational
GSF</t>
  </si>
  <si>
    <t>Adjusted Allowable
Educational
GSF</t>
  </si>
  <si>
    <t>Model GSF</t>
  </si>
  <si>
    <t>Year
Built</t>
  </si>
  <si>
    <t>Building Age</t>
  </si>
  <si>
    <t>O &amp; M
Model School ADM</t>
  </si>
  <si>
    <t>School ADM as % of District ADM</t>
  </si>
  <si>
    <t>Estimated Base Teacher Count (Core, Specialist and CTE)</t>
  </si>
  <si>
    <t>O &amp; M
Model Teachers</t>
  </si>
  <si>
    <t>General Funding Operating Expenditures</t>
  </si>
  <si>
    <t>Custodian FTE: Teacher Factor</t>
  </si>
  <si>
    <t>Custodian FTE: ADM Factor</t>
  </si>
  <si>
    <t>Custodian FTE: Classroom Factor</t>
  </si>
  <si>
    <t>Custodian FTE: Model GSF Factor</t>
  </si>
  <si>
    <t>Preliminary Custodian FTE</t>
  </si>
  <si>
    <t>Secondary Schools Additional Custodian FTE</t>
  </si>
  <si>
    <t>Total School Level Custodian FTE</t>
  </si>
  <si>
    <t>Total District Level Custodian FTE</t>
  </si>
  <si>
    <t>Total Custodian FTE</t>
  </si>
  <si>
    <t>Maintenance Worker FTE: Initial Building Factor</t>
  </si>
  <si>
    <t>Maintenance Worker FTE: Model GSF Factor</t>
  </si>
  <si>
    <t>Maintenance Worker FTE: ADM Factor</t>
  </si>
  <si>
    <t>Preliminary Maintenance Worker FTE</t>
  </si>
  <si>
    <t>Maintenance Worker FTE: Elementary School Adjustment</t>
  </si>
  <si>
    <t>Maintenance Worker FTE: Middle School Adjustment</t>
  </si>
  <si>
    <t>Maintenance Worker FTE: High School Adjustment</t>
  </si>
  <si>
    <t>Maintenance Worker FTE: Recent Construction Adjustment</t>
  </si>
  <si>
    <t>Maintenance Worker FTE: Older Construction Adjustment</t>
  </si>
  <si>
    <t>Maintenance Worker FTE: Small District Adjustment</t>
  </si>
  <si>
    <t>Total Maintenance Worker FTE</t>
  </si>
  <si>
    <t>School O &amp; M Supplies and Materials</t>
  </si>
  <si>
    <t>District O &amp; M Supplies and Materials</t>
  </si>
  <si>
    <t>Total O &amp; M Supplies and Materials</t>
  </si>
  <si>
    <t>T</t>
  </si>
  <si>
    <t>F</t>
  </si>
  <si>
    <t>SFD  Allowable GSF Calculation</t>
  </si>
  <si>
    <t>SFD Current Calc "1" or Prior Year "2"</t>
  </si>
  <si>
    <t>Allowable GSF Calculated Using SFD Current Methodology</t>
  </si>
  <si>
    <t>Allowable GSF Calculated Using Prior Year ADM</t>
  </si>
  <si>
    <t>MM School Level</t>
  </si>
  <si>
    <t>SY 2016-17 ADM</t>
  </si>
  <si>
    <t>Elementary Allowable GSF</t>
  </si>
  <si>
    <t>Middle Allowable GSF</t>
  </si>
  <si>
    <t>High
Allowable GSF</t>
  </si>
  <si>
    <t>K-8
Allowable GSF</t>
  </si>
  <si>
    <t>6-12
Allowable GSF</t>
  </si>
  <si>
    <t>K-12
Allowable GSF</t>
  </si>
  <si>
    <t>Final
Allowable GSF</t>
  </si>
  <si>
    <t>SY 2017-18 ADM</t>
  </si>
  <si>
    <t>Groundskeeper Worksheet (Staffing Model at Site Level)</t>
  </si>
  <si>
    <t>#1 District Level Groundskeepers funded based on acreage; #2 District Level Groundskeepers funded based on 10% of School Level Site FTEs)</t>
  </si>
  <si>
    <t>SFC Site #</t>
  </si>
  <si>
    <t>Site (School) Name</t>
  </si>
  <si>
    <t>Site Acquisition Date</t>
  </si>
  <si>
    <t>Government Exchange After July 1, 1997 (T/F)</t>
  </si>
  <si>
    <t>Highest Level</t>
  </si>
  <si>
    <t>Site ADM</t>
  </si>
  <si>
    <t>Actual Site Acreage</t>
  </si>
  <si>
    <t>Allowable Site Acreage</t>
  </si>
  <si>
    <t>Model Acreage</t>
  </si>
  <si>
    <t>Annual Site Hours</t>
  </si>
  <si>
    <t>Preliminary Annual Site FTE</t>
  </si>
  <si>
    <t>Site Level Factor Adjustment</t>
  </si>
  <si>
    <t>Total Site FTE</t>
  </si>
  <si>
    <t>0101-001</t>
  </si>
  <si>
    <t>Administration Building</t>
  </si>
  <si>
    <t>N/A</t>
  </si>
  <si>
    <t>0101-002</t>
  </si>
  <si>
    <t>Cafeteria</t>
  </si>
  <si>
    <t>0101-004</t>
  </si>
  <si>
    <t>M&amp;O Building</t>
  </si>
  <si>
    <t>0101-005</t>
  </si>
  <si>
    <t>Beitel ES</t>
  </si>
  <si>
    <t>E</t>
  </si>
  <si>
    <t>0101-006</t>
  </si>
  <si>
    <t>Centennial ES</t>
  </si>
  <si>
    <t>0101-007</t>
  </si>
  <si>
    <t>Harmony ES</t>
  </si>
  <si>
    <t>0101-008</t>
  </si>
  <si>
    <t>River Bridge ES (K-8)</t>
  </si>
  <si>
    <t>M</t>
  </si>
  <si>
    <t>0101-009</t>
  </si>
  <si>
    <t>Slade ES</t>
  </si>
  <si>
    <t>0101-010</t>
  </si>
  <si>
    <t>Thayer ES</t>
  </si>
  <si>
    <t>0101-011</t>
  </si>
  <si>
    <t>Valley View ES (K-8)</t>
  </si>
  <si>
    <t>0101-012</t>
  </si>
  <si>
    <t>Velma Linford ES</t>
  </si>
  <si>
    <t>0101-013</t>
  </si>
  <si>
    <t>Siblyee ES</t>
  </si>
  <si>
    <t>0101-014</t>
  </si>
  <si>
    <t>Cozy Hollow Rural ES</t>
  </si>
  <si>
    <t>0101-015</t>
  </si>
  <si>
    <t>Spring Creek ES</t>
  </si>
  <si>
    <t>0101-016</t>
  </si>
  <si>
    <t>Indian Paintbrush ES</t>
  </si>
  <si>
    <t>0101-018</t>
  </si>
  <si>
    <t>Cottonwood Rural ES (Closed)</t>
  </si>
  <si>
    <t>0101-019</t>
  </si>
  <si>
    <t>Laramie Jr. HS (7-9)</t>
  </si>
  <si>
    <t>0101-020</t>
  </si>
  <si>
    <t xml:space="preserve">Rock River ES/MS/HS </t>
  </si>
  <si>
    <t>H</t>
  </si>
  <si>
    <t>0101-021</t>
  </si>
  <si>
    <t>(Old) Laramie Sr. HS (10-12)</t>
  </si>
  <si>
    <t>0101-022</t>
  </si>
  <si>
    <t>Whiting Alternative HS (9-12)</t>
  </si>
  <si>
    <t>0101-023</t>
  </si>
  <si>
    <t>0101-024</t>
  </si>
  <si>
    <t>University Lab School</t>
  </si>
  <si>
    <t>0101-026</t>
  </si>
  <si>
    <t>North 15th Street Site</t>
  </si>
  <si>
    <t>0101-029</t>
  </si>
  <si>
    <t>Site for New Laramie HS</t>
  </si>
  <si>
    <t>0101-030</t>
  </si>
  <si>
    <t>Notch Peak School (K-8)</t>
  </si>
  <si>
    <t>0101-031</t>
  </si>
  <si>
    <t>Future Site of Laramie JR HS</t>
  </si>
  <si>
    <t>0101-032</t>
  </si>
  <si>
    <t>Laramie Montessori Charter School</t>
  </si>
  <si>
    <t>0201-001</t>
  </si>
  <si>
    <t>Big Horn Administration</t>
  </si>
  <si>
    <t>0201-002</t>
  </si>
  <si>
    <t>Burlington K-12 (Burlington ES, MS and HS)</t>
  </si>
  <si>
    <t>0201-004</t>
  </si>
  <si>
    <t>0201-005</t>
  </si>
  <si>
    <t>Big Horn Technology</t>
  </si>
  <si>
    <t>0201-008</t>
  </si>
  <si>
    <t>Deaver-Frannie Elementary (School Disposed)</t>
  </si>
  <si>
    <t>0201-011</t>
  </si>
  <si>
    <t>Rocky Mountain HS (9-12) Automotive Shop</t>
  </si>
  <si>
    <t>0201-012</t>
  </si>
  <si>
    <t>Rocky Mountain HS (Rocky Mountain MS/HS)</t>
  </si>
  <si>
    <t>0201-013</t>
  </si>
  <si>
    <t>Big Horn Administration Building</t>
  </si>
  <si>
    <t>0201-014</t>
  </si>
  <si>
    <t>Bus Barn / Maintenance Facility</t>
  </si>
  <si>
    <t>0201-015</t>
  </si>
  <si>
    <t>Burlington ES/MS/HS - Teacherage</t>
  </si>
  <si>
    <t>0202-001</t>
  </si>
  <si>
    <t>Lovell Bus Barn</t>
  </si>
  <si>
    <t>0202-002</t>
  </si>
  <si>
    <t>0202-003</t>
  </si>
  <si>
    <t>Lovell MS (6-8)</t>
  </si>
  <si>
    <t>0202-004</t>
  </si>
  <si>
    <t>Lovell HS (9-12)</t>
  </si>
  <si>
    <t>0203-001</t>
  </si>
  <si>
    <t>Big Horn #3 Administration</t>
  </si>
  <si>
    <t>0203-004</t>
  </si>
  <si>
    <t>Greybull MS/HS</t>
  </si>
  <si>
    <t>0203-005</t>
  </si>
  <si>
    <t>New Greybull Elementary</t>
  </si>
  <si>
    <t>0203-006</t>
  </si>
  <si>
    <t>Greybull MS/HS Pool</t>
  </si>
  <si>
    <t>0203-007</t>
  </si>
  <si>
    <t>Buffalo Ranch site</t>
  </si>
  <si>
    <t>0204-001</t>
  </si>
  <si>
    <t>Main Bus Barn</t>
  </si>
  <si>
    <t>0204-002</t>
  </si>
  <si>
    <t>Laura Irwin Elementary (K-5)</t>
  </si>
  <si>
    <t>0204-004</t>
  </si>
  <si>
    <t>Manderson ES &amp; Cloud Peak MS</t>
  </si>
  <si>
    <t>0204-005</t>
  </si>
  <si>
    <t>Riverside HS (9-12)</t>
  </si>
  <si>
    <t>0204-006</t>
  </si>
  <si>
    <t>Ninth Street Parking</t>
  </si>
  <si>
    <t>0204-008</t>
  </si>
  <si>
    <t>4th Street Bus Barn</t>
  </si>
  <si>
    <t>0204-009</t>
  </si>
  <si>
    <t>Basin Teacherage - South 6th</t>
  </si>
  <si>
    <t>0204-010</t>
  </si>
  <si>
    <t>Basin Teacherage - South 8th</t>
  </si>
  <si>
    <t>0204-011</t>
  </si>
  <si>
    <t>Basin Teacherage - South 5th</t>
  </si>
  <si>
    <t>0204-012</t>
  </si>
  <si>
    <t>Holdredge Teacherage</t>
  </si>
  <si>
    <t>0204-013</t>
  </si>
  <si>
    <t>FUTURE ES K-5/HS 6-12 - TRACT</t>
  </si>
  <si>
    <t>0301-001</t>
  </si>
  <si>
    <t>ESC District Office</t>
  </si>
  <si>
    <t>0301-002</t>
  </si>
  <si>
    <t>Aquatic Center</t>
  </si>
  <si>
    <t>0301-003</t>
  </si>
  <si>
    <t>Silver Hills Warehouse</t>
  </si>
  <si>
    <t>0301-004</t>
  </si>
  <si>
    <t>4 J ES</t>
  </si>
  <si>
    <t>0301-005</t>
  </si>
  <si>
    <t>Cottonwood ES</t>
  </si>
  <si>
    <t>0301-006</t>
  </si>
  <si>
    <t>Ready 4 Learning Center (Was Hillcrest ES)</t>
  </si>
  <si>
    <t>0301-007</t>
  </si>
  <si>
    <t>Meadowlark ES</t>
  </si>
  <si>
    <t>0301-008</t>
  </si>
  <si>
    <t>Lakeway Mall Learning Center</t>
  </si>
  <si>
    <t>0301-010</t>
  </si>
  <si>
    <t>Rawhide ES</t>
  </si>
  <si>
    <t>0301-012</t>
  </si>
  <si>
    <t>Rozet ES</t>
  </si>
  <si>
    <t>0301-013</t>
  </si>
  <si>
    <t>Stocktrail ES</t>
  </si>
  <si>
    <t>0301-014</t>
  </si>
  <si>
    <t>Wagonwheel ES</t>
  </si>
  <si>
    <t>0301-015</t>
  </si>
  <si>
    <t>Paintbrush ES</t>
  </si>
  <si>
    <t>0301-016</t>
  </si>
  <si>
    <t>Conestoga ES</t>
  </si>
  <si>
    <t>0301-017</t>
  </si>
  <si>
    <t>Sunflower ES</t>
  </si>
  <si>
    <t>0301-018</t>
  </si>
  <si>
    <t>Pronghorn ES</t>
  </si>
  <si>
    <t>0301-019</t>
  </si>
  <si>
    <t>Twin Spruce JR HS (7-9)</t>
  </si>
  <si>
    <t>0301-020</t>
  </si>
  <si>
    <t>Sage Valley Jr HS (7-9)</t>
  </si>
  <si>
    <t>0301-021</t>
  </si>
  <si>
    <t>Wright Jr/Sr HS (7-12)</t>
  </si>
  <si>
    <t>0301-022</t>
  </si>
  <si>
    <t>Little Powder ES/MS (K-8)</t>
  </si>
  <si>
    <t>0301-023</t>
  </si>
  <si>
    <t>Campbell County HS</t>
  </si>
  <si>
    <t>0301-025</t>
  </si>
  <si>
    <t>N.E.Vo Tech</t>
  </si>
  <si>
    <t>0301-026</t>
  </si>
  <si>
    <t>Campbell County Maintenance</t>
  </si>
  <si>
    <t>0301-027</t>
  </si>
  <si>
    <t xml:space="preserve">Thunder Basin HS </t>
  </si>
  <si>
    <t>0301-028</t>
  </si>
  <si>
    <t>New Recluse Elementary School Site</t>
  </si>
  <si>
    <t>0301-031</t>
  </si>
  <si>
    <t>Antelope Valley Site</t>
  </si>
  <si>
    <t>0301-032</t>
  </si>
  <si>
    <t>Fox Park</t>
  </si>
  <si>
    <t>0301-033</t>
  </si>
  <si>
    <t>Prairie Wind ES</t>
  </si>
  <si>
    <t>0301-034</t>
  </si>
  <si>
    <t>Hillcrest ES</t>
  </si>
  <si>
    <t>0301-035</t>
  </si>
  <si>
    <t>Twin Spruce JR HS Teacherage</t>
  </si>
  <si>
    <t>0301-036</t>
  </si>
  <si>
    <t xml:space="preserve">Potential Secondary School Site </t>
  </si>
  <si>
    <t>0301-037</t>
  </si>
  <si>
    <t>Peabody/Pronghorn</t>
  </si>
  <si>
    <t>0301-038</t>
  </si>
  <si>
    <t>Rawhide Tree Belt</t>
  </si>
  <si>
    <t>0301-039</t>
  </si>
  <si>
    <t>Buffalo Ridge ES</t>
  </si>
  <si>
    <t>0301-040</t>
  </si>
  <si>
    <t>Lakeview ES</t>
  </si>
  <si>
    <t>0301-041</t>
  </si>
  <si>
    <t>Westover Site (was 0301-033)</t>
  </si>
  <si>
    <t>0301-042</t>
  </si>
  <si>
    <t>Westwood HS</t>
  </si>
  <si>
    <t>0301-043</t>
  </si>
  <si>
    <t xml:space="preserve">FUTURE ES SITE ( Q, MOON MEADOW ESTATES NO. 3) </t>
  </si>
  <si>
    <t>0401-001</t>
  </si>
  <si>
    <t>Rawlins Stadium/Bus Barn</t>
  </si>
  <si>
    <t>0401-002</t>
  </si>
  <si>
    <t>Rawlins District Maintenance Shop</t>
  </si>
  <si>
    <t>0401-004</t>
  </si>
  <si>
    <t xml:space="preserve">Little Snake River Valley K-12 </t>
  </si>
  <si>
    <t>0401-005</t>
  </si>
  <si>
    <t>Baggs Bus Garage</t>
  </si>
  <si>
    <t>0401-006</t>
  </si>
  <si>
    <t>Baggs</t>
  </si>
  <si>
    <t>0401-008</t>
  </si>
  <si>
    <t>0401-010</t>
  </si>
  <si>
    <t>Sinclair Elementary</t>
  </si>
  <si>
    <t>0401-011</t>
  </si>
  <si>
    <t>Rawlins K-1 ES Campus</t>
  </si>
  <si>
    <t>0401-012</t>
  </si>
  <si>
    <t>Carbon #1 Admin/Cooperative School</t>
  </si>
  <si>
    <t>0401-013</t>
  </si>
  <si>
    <t>Rawlins HS</t>
  </si>
  <si>
    <t>0401-014</t>
  </si>
  <si>
    <t>Rawlins MS</t>
  </si>
  <si>
    <t>0401-015</t>
  </si>
  <si>
    <t>Rawlins Elementary (2-5) Campus</t>
  </si>
  <si>
    <t>0401-017</t>
  </si>
  <si>
    <t>Rodeo Street Maintenance/Custodial Storage</t>
  </si>
  <si>
    <t>0401-018</t>
  </si>
  <si>
    <t>Carbon County Higher Ed/Technical Ed Center</t>
  </si>
  <si>
    <t>0402-001</t>
  </si>
  <si>
    <t>Carbon #2 Administration</t>
  </si>
  <si>
    <t>0402-002</t>
  </si>
  <si>
    <t>Saratoga Bus Garage</t>
  </si>
  <si>
    <t>0402-003</t>
  </si>
  <si>
    <t>Elk Mountain ES</t>
  </si>
  <si>
    <t>0402-004</t>
  </si>
  <si>
    <t>Hanna Elementary School (Hana ES moved to 0402-007)</t>
  </si>
  <si>
    <t>0402-006</t>
  </si>
  <si>
    <t>Hanna Bus Barn</t>
  </si>
  <si>
    <t>0402-007</t>
  </si>
  <si>
    <t>Hanna Round Storage (New Hana ES Site)</t>
  </si>
  <si>
    <t>0402-008</t>
  </si>
  <si>
    <t>Saratoga ES</t>
  </si>
  <si>
    <t>0402-010</t>
  </si>
  <si>
    <t>Encampment K-12</t>
  </si>
  <si>
    <t>0402-011</t>
  </si>
  <si>
    <t>Hanna-Elk Mountain Sr. (9-12) (HEM)</t>
  </si>
  <si>
    <t>0402-012</t>
  </si>
  <si>
    <t>Medicine Bow K-12</t>
  </si>
  <si>
    <t>0402-013</t>
  </si>
  <si>
    <t>Saratoga HS (9-12) (Saratoga MS/HS)</t>
  </si>
  <si>
    <t>0402-015</t>
  </si>
  <si>
    <t>Saratoga Track and Field</t>
  </si>
  <si>
    <t>0402-016</t>
  </si>
  <si>
    <t>Medicine Bow K-12 Football Field</t>
  </si>
  <si>
    <t>0402-017</t>
  </si>
  <si>
    <t>Medicine Bow (Medicine Bow ES)</t>
  </si>
  <si>
    <t>0402-018</t>
  </si>
  <si>
    <t>SARATOGA LEASED BUS MAINTENANCE</t>
  </si>
  <si>
    <t>0501-001</t>
  </si>
  <si>
    <t>Douglas Central Administration</t>
  </si>
  <si>
    <t>0501-002</t>
  </si>
  <si>
    <t>Douglas Physical Plant</t>
  </si>
  <si>
    <t>0501-003</t>
  </si>
  <si>
    <t>Walker Creek ES</t>
  </si>
  <si>
    <t>0501-004</t>
  </si>
  <si>
    <t>Dry Creek ES (K-8)</t>
  </si>
  <si>
    <t>0501-005</t>
  </si>
  <si>
    <t>Douglas Primary (K-1)</t>
  </si>
  <si>
    <t>0501-006</t>
  </si>
  <si>
    <t>Moss Agate ES (K-8)</t>
  </si>
  <si>
    <t>0501-007</t>
  </si>
  <si>
    <t>Nachtman ES (closed)</t>
  </si>
  <si>
    <t>0501-008</t>
  </si>
  <si>
    <t>Shawnee ES (K-8)</t>
  </si>
  <si>
    <t>0501-009</t>
  </si>
  <si>
    <t>Wagonhound ES</t>
  </si>
  <si>
    <t>0501-010</t>
  </si>
  <si>
    <t>Douglas Intermediate (2-3) and Douglas Upper ES (4-5)</t>
  </si>
  <si>
    <t>0501-011</t>
  </si>
  <si>
    <t>White ES</t>
  </si>
  <si>
    <t>0501-012</t>
  </si>
  <si>
    <t>Douglas MS (6-8)</t>
  </si>
  <si>
    <t>0501-013</t>
  </si>
  <si>
    <t>DOUGLAS MS ANNEX   -  TRACT</t>
  </si>
  <si>
    <t>0501-014</t>
  </si>
  <si>
    <t>Douglas HS (9-12)</t>
  </si>
  <si>
    <t>0501-015</t>
  </si>
  <si>
    <t>INTERMEDIATE IRRIGATION TRACT</t>
  </si>
  <si>
    <t>0501-016</t>
  </si>
  <si>
    <t>Bearcat Den Tract</t>
  </si>
  <si>
    <t>0502-001</t>
  </si>
  <si>
    <t>Grant ES/Central Administration</t>
  </si>
  <si>
    <t>0502-002</t>
  </si>
  <si>
    <t>District Transportation</t>
  </si>
  <si>
    <t>0502-003</t>
  </si>
  <si>
    <t>Glenrock Activity Complex/Stadium</t>
  </si>
  <si>
    <t>0502-004</t>
  </si>
  <si>
    <t>Boxelder ES (K-8)</t>
  </si>
  <si>
    <t>0502-006</t>
  </si>
  <si>
    <t>Glenrock Intermediate/MS (5-8)</t>
  </si>
  <si>
    <t>0502-007</t>
  </si>
  <si>
    <t>Glenrock HS (9-12)</t>
  </si>
  <si>
    <t>0601-001</t>
  </si>
  <si>
    <t>Sundance Central Office</t>
  </si>
  <si>
    <t>0601-003</t>
  </si>
  <si>
    <t>Hulett ES/MS/HS (K-12)</t>
  </si>
  <si>
    <t>0601-005</t>
  </si>
  <si>
    <t>0601-006</t>
  </si>
  <si>
    <t xml:space="preserve">Moorcroft ES/MS/HS </t>
  </si>
  <si>
    <t>0601-007</t>
  </si>
  <si>
    <t>Sundance ES/JHS/HS</t>
  </si>
  <si>
    <t>0601-008</t>
  </si>
  <si>
    <t>Bear Lodge HS (8-12)</t>
  </si>
  <si>
    <t>0701-001</t>
  </si>
  <si>
    <t>Lander Administration/Lander Valley HS</t>
  </si>
  <si>
    <t>0701-002</t>
  </si>
  <si>
    <t>Lander - Transportation/Warehouse</t>
  </si>
  <si>
    <t>0701-003</t>
  </si>
  <si>
    <t>Hudson ES (closed)</t>
  </si>
  <si>
    <t>0701-004</t>
  </si>
  <si>
    <t>Lander Middle School and Pathfinder HS</t>
  </si>
  <si>
    <t>0701-005</t>
  </si>
  <si>
    <t>South ES (closed)</t>
  </si>
  <si>
    <t>0701-006</t>
  </si>
  <si>
    <t xml:space="preserve">Baldwin Creek ES </t>
  </si>
  <si>
    <t>0701-007</t>
  </si>
  <si>
    <t>Jeffery City - ES/MS/HS</t>
  </si>
  <si>
    <t>0701-008</t>
  </si>
  <si>
    <t xml:space="preserve">Gannet Peak ES </t>
  </si>
  <si>
    <t>0701-012</t>
  </si>
  <si>
    <t>Undeveloped Cemetery Site</t>
  </si>
  <si>
    <t>0701-013</t>
  </si>
  <si>
    <t>JEFFERY CITY - HS GYMNASIUM - TRACT</t>
  </si>
  <si>
    <t>0702-002</t>
  </si>
  <si>
    <t>Dubois ES/MS/HS (K-12)</t>
  </si>
  <si>
    <t>0702-003</t>
  </si>
  <si>
    <t>Dubois Bus Barn/'72 Addition</t>
  </si>
  <si>
    <t>0702-005</t>
  </si>
  <si>
    <t>Teacherage</t>
  </si>
  <si>
    <t>0702-006</t>
  </si>
  <si>
    <t>Stephens Street Playfield</t>
  </si>
  <si>
    <t>0702-007</t>
  </si>
  <si>
    <t>New School</t>
  </si>
  <si>
    <t>0702-008</t>
  </si>
  <si>
    <t>10 N. Riverton Street and West Ramshorn Street</t>
  </si>
  <si>
    <t>0706-001</t>
  </si>
  <si>
    <t>Wind River ES</t>
  </si>
  <si>
    <t>0706-002</t>
  </si>
  <si>
    <t>Crowheart ES</t>
  </si>
  <si>
    <t>0706-003</t>
  </si>
  <si>
    <t>Wind River MS/HS/Wind River Learning Center</t>
  </si>
  <si>
    <t>0706-004</t>
  </si>
  <si>
    <t>Wind River Residences</t>
  </si>
  <si>
    <t>0706-005</t>
  </si>
  <si>
    <t>Acreage on Shotgun Butte Rd.</t>
  </si>
  <si>
    <t>0714-001</t>
  </si>
  <si>
    <t>Wyoming Indian ES</t>
  </si>
  <si>
    <t>0714-002</t>
  </si>
  <si>
    <t>Wyoming Indian MS (6-8)</t>
  </si>
  <si>
    <t>0714-003</t>
  </si>
  <si>
    <t>Wyoming Indian HS (9-12)</t>
  </si>
  <si>
    <t>Wyoming Indian HS Vacant Land</t>
  </si>
  <si>
    <t>0721-001</t>
  </si>
  <si>
    <t>Fort Washakie ES/MS/HS</t>
  </si>
  <si>
    <t>0724-001</t>
  </si>
  <si>
    <t>Shoshoni Bus Shop</t>
  </si>
  <si>
    <t>0724-002</t>
  </si>
  <si>
    <t>Shoshoni K-12 (ES/MS/HS)</t>
  </si>
  <si>
    <t>0724-003</t>
  </si>
  <si>
    <t>Shoshoni ES/MS/HS</t>
  </si>
  <si>
    <t>0724-005</t>
  </si>
  <si>
    <t>LYSITE WY 2 LOTS - TRACT</t>
  </si>
  <si>
    <t>0724-006</t>
  </si>
  <si>
    <t>WESTSIDE ADDITION - TRACT</t>
  </si>
  <si>
    <t>0724-007</t>
  </si>
  <si>
    <t>8Th Street Easement (Bebout)</t>
  </si>
  <si>
    <t>0725-001</t>
  </si>
  <si>
    <t>Admin/Warehouse/Intermediate (Frontier Academy)</t>
  </si>
  <si>
    <t>0725-002</t>
  </si>
  <si>
    <t>Bus Barn</t>
  </si>
  <si>
    <t>0725-003</t>
  </si>
  <si>
    <t>Ashgrove ES (K-2)</t>
  </si>
  <si>
    <t>0725-004</t>
  </si>
  <si>
    <t>Jackson ES (K-2)</t>
  </si>
  <si>
    <t>0725-005</t>
  </si>
  <si>
    <t>Lincoln ES (demolished)</t>
  </si>
  <si>
    <t>0725-006</t>
  </si>
  <si>
    <t>Rendezvous ES (4-5)</t>
  </si>
  <si>
    <t>0725-007</t>
  </si>
  <si>
    <t>Riverton MS (6-8) / Riverton HS (9-12)</t>
  </si>
  <si>
    <t>0725-009</t>
  </si>
  <si>
    <t>Aspen Park ES (K-2)</t>
  </si>
  <si>
    <t>0725-010</t>
  </si>
  <si>
    <t>Willow Creek</t>
  </si>
  <si>
    <t>0725-011</t>
  </si>
  <si>
    <t>FUTURE ES SITE (Ag Program)</t>
  </si>
  <si>
    <t>0738-001</t>
  </si>
  <si>
    <t>Arapahoe ES/MS/Charter HS</t>
  </si>
  <si>
    <t>0738-002</t>
  </si>
  <si>
    <t xml:space="preserve">Fremont CSD #38 Cleveland Site </t>
  </si>
  <si>
    <t>0738-003</t>
  </si>
  <si>
    <t>Fremont CSD #38 Admin Building</t>
  </si>
  <si>
    <t>0801-002</t>
  </si>
  <si>
    <t>Torrington Bus Garage</t>
  </si>
  <si>
    <t>0801-003</t>
  </si>
  <si>
    <t>Trail ES</t>
  </si>
  <si>
    <t>0801-004</t>
  </si>
  <si>
    <t>LaGrange Elementary (K-6)</t>
  </si>
  <si>
    <t>0801-010</t>
  </si>
  <si>
    <t>Goshen Administration</t>
  </si>
  <si>
    <t>0801-011</t>
  </si>
  <si>
    <t>Southeast ES/JHS/HS (K-12)</t>
  </si>
  <si>
    <t>0801-012</t>
  </si>
  <si>
    <t>Lingle-Fort Laramie ES/MS/HS</t>
  </si>
  <si>
    <t>0801-013</t>
  </si>
  <si>
    <t>Torrington HS (9-12)</t>
  </si>
  <si>
    <t>0801-018</t>
  </si>
  <si>
    <t xml:space="preserve">Lincoln Elementary School </t>
  </si>
  <si>
    <t>0801-019</t>
  </si>
  <si>
    <t>Torrington MS New</t>
  </si>
  <si>
    <t>0901-001</t>
  </si>
  <si>
    <t>Hot Springs #1 Building Complex</t>
  </si>
  <si>
    <t>0901-002</t>
  </si>
  <si>
    <t>LUCERNE ES   -  TRACT</t>
  </si>
  <si>
    <t>0901-004</t>
  </si>
  <si>
    <t>Thermopolis MS (6-8)</t>
  </si>
  <si>
    <t>0901-005</t>
  </si>
  <si>
    <t>Hot Springs County HS (9-12)/Ralph Whitter ES</t>
  </si>
  <si>
    <t>1001-001</t>
  </si>
  <si>
    <t>Johnson County School District</t>
  </si>
  <si>
    <t>1001-002</t>
  </si>
  <si>
    <t>Buffalo HS/Bus Barn</t>
  </si>
  <si>
    <t>1001-003</t>
  </si>
  <si>
    <t>Learning Center Alternative HS</t>
  </si>
  <si>
    <t>1001-006</t>
  </si>
  <si>
    <t>1001-008</t>
  </si>
  <si>
    <t>1001-009</t>
  </si>
  <si>
    <t>Kaycee K-12</t>
  </si>
  <si>
    <t>1001-010</t>
  </si>
  <si>
    <t>Clear Creek Track Facility</t>
  </si>
  <si>
    <t>1001-011</t>
  </si>
  <si>
    <t>Special Services Building</t>
  </si>
  <si>
    <t>1001-012</t>
  </si>
  <si>
    <t>4 Plex Residential</t>
  </si>
  <si>
    <t>1001-013</t>
  </si>
  <si>
    <t>4 Brick Residential Houses</t>
  </si>
  <si>
    <t>1001-014</t>
  </si>
  <si>
    <t>Cloud Peak Elementary School Site</t>
  </si>
  <si>
    <t>1001-015</t>
  </si>
  <si>
    <t>487 S. Desmet Ave Teacherage</t>
  </si>
  <si>
    <t>1101-001</t>
  </si>
  <si>
    <t>Administration Complex</t>
  </si>
  <si>
    <t>1101-002</t>
  </si>
  <si>
    <t>James A Storey Transportation Complex</t>
  </si>
  <si>
    <t>1101-003</t>
  </si>
  <si>
    <t>Alta Vista ES</t>
  </si>
  <si>
    <t>1101-004</t>
  </si>
  <si>
    <t>Arp ES</t>
  </si>
  <si>
    <t>1101-005</t>
  </si>
  <si>
    <t>Baggs ES</t>
  </si>
  <si>
    <t>1101-006</t>
  </si>
  <si>
    <t>Bain ES</t>
  </si>
  <si>
    <t>1101-007</t>
  </si>
  <si>
    <t>1101-009</t>
  </si>
  <si>
    <t>Cole ES</t>
  </si>
  <si>
    <t>1101-011</t>
  </si>
  <si>
    <t>Davis ES</t>
  </si>
  <si>
    <t>1101-012</t>
  </si>
  <si>
    <t>Deming ES</t>
  </si>
  <si>
    <t>1101-013</t>
  </si>
  <si>
    <t>Dildine ES</t>
  </si>
  <si>
    <t>1101-014</t>
  </si>
  <si>
    <t>Fairview ES</t>
  </si>
  <si>
    <t>1101-015</t>
  </si>
  <si>
    <t>Gilchrist ES</t>
  </si>
  <si>
    <t>1101-016</t>
  </si>
  <si>
    <t>Goins ES</t>
  </si>
  <si>
    <t>1101-017</t>
  </si>
  <si>
    <t>Hebard ES</t>
  </si>
  <si>
    <t>1101-018</t>
  </si>
  <si>
    <t>Henderson ES</t>
  </si>
  <si>
    <t>1101-019</t>
  </si>
  <si>
    <t>Hobbs ES</t>
  </si>
  <si>
    <t>1101-020</t>
  </si>
  <si>
    <t>Clawson ES</t>
  </si>
  <si>
    <t>1101-021</t>
  </si>
  <si>
    <t>Jessup ES</t>
  </si>
  <si>
    <t>1101-022</t>
  </si>
  <si>
    <t>Lebhart ES</t>
  </si>
  <si>
    <t>1101-023</t>
  </si>
  <si>
    <t xml:space="preserve">Miller ES </t>
  </si>
  <si>
    <t>1101-024</t>
  </si>
  <si>
    <t>Pioneer Park ES</t>
  </si>
  <si>
    <t>1101-025</t>
  </si>
  <si>
    <t>Rossman ES</t>
  </si>
  <si>
    <t>1101-026</t>
  </si>
  <si>
    <t>Willadsen ES</t>
  </si>
  <si>
    <t>1101-027</t>
  </si>
  <si>
    <t>Anderson ES</t>
  </si>
  <si>
    <t>1101-028</t>
  </si>
  <si>
    <t>Afflerbach ES</t>
  </si>
  <si>
    <t>1101-029</t>
  </si>
  <si>
    <t>Carey Jr. High School (7-9)</t>
  </si>
  <si>
    <t>1101-030</t>
  </si>
  <si>
    <t>Johnson Jr High School (7-9)</t>
  </si>
  <si>
    <t>1101-031</t>
  </si>
  <si>
    <t>McCormick Jr High School (7-9)</t>
  </si>
  <si>
    <t>1101-032</t>
  </si>
  <si>
    <t>Central HS (10-12)</t>
  </si>
  <si>
    <t>1101-033</t>
  </si>
  <si>
    <t>East HS (10-12)</t>
  </si>
  <si>
    <t>1101-034</t>
  </si>
  <si>
    <t>PODER Academy (Old Triumph HS)</t>
  </si>
  <si>
    <t>1101-035</t>
  </si>
  <si>
    <t>Facilities Management</t>
  </si>
  <si>
    <t>1101-036</t>
  </si>
  <si>
    <t>Ag Farm</t>
  </si>
  <si>
    <t>1101-037</t>
  </si>
  <si>
    <t>Outdoor Educational Facility</t>
  </si>
  <si>
    <t>1101-038</t>
  </si>
  <si>
    <t>Freedom Elementary School</t>
  </si>
  <si>
    <t>1101-039</t>
  </si>
  <si>
    <t>1101-040</t>
  </si>
  <si>
    <t>Triumph High School (7-12)</t>
  </si>
  <si>
    <t>1101-041</t>
  </si>
  <si>
    <t>CLAS Program</t>
  </si>
  <si>
    <t>1101-042</t>
  </si>
  <si>
    <t>Educational Annex (ADT Program)</t>
  </si>
  <si>
    <t>1101-043</t>
  </si>
  <si>
    <t>1101-044</t>
  </si>
  <si>
    <t xml:space="preserve">Meadowlark ES Property </t>
  </si>
  <si>
    <t>1101-046</t>
  </si>
  <si>
    <t>Saddle Ridge ES</t>
  </si>
  <si>
    <t>1101-047</t>
  </si>
  <si>
    <t>Campstool Property</t>
  </si>
  <si>
    <t>1101-049</t>
  </si>
  <si>
    <t>1101-052</t>
  </si>
  <si>
    <t>Future ES In East Triad Murray Property Section 20</t>
  </si>
  <si>
    <t>1101-053</t>
  </si>
  <si>
    <t xml:space="preserve">New School Site Carlson &amp; Powderhouse </t>
  </si>
  <si>
    <t>1101-055</t>
  </si>
  <si>
    <t>Future ES Site (Saddle Ridge II ES Site) - Tract</t>
  </si>
  <si>
    <t>1102-001</t>
  </si>
  <si>
    <t>Pine Bluffs District Office</t>
  </si>
  <si>
    <t>1102-002</t>
  </si>
  <si>
    <t>Carpenter ES</t>
  </si>
  <si>
    <t>1102-003</t>
  </si>
  <si>
    <t>Pine Bluffs K-12 (Pine Bluffs ES, HS)</t>
  </si>
  <si>
    <t>1102-005</t>
  </si>
  <si>
    <t>Albin K-12</t>
  </si>
  <si>
    <t>1102-006</t>
  </si>
  <si>
    <t>Burns Jr/Sr HS (7-12)</t>
  </si>
  <si>
    <t>1102-012</t>
  </si>
  <si>
    <t>Burns Transportation Facility</t>
  </si>
  <si>
    <t>1102-015</t>
  </si>
  <si>
    <t>Burns Elementary School</t>
  </si>
  <si>
    <t>1102-016</t>
  </si>
  <si>
    <t>New Pine Bluffs Elementary School</t>
  </si>
  <si>
    <t>1102-017</t>
  </si>
  <si>
    <t>Future Transportation Facility</t>
  </si>
  <si>
    <t>1201-001</t>
  </si>
  <si>
    <t>Lincoln #1 Administration Building</t>
  </si>
  <si>
    <t>1201-002</t>
  </si>
  <si>
    <t xml:space="preserve">LINCOLN #1 BUILDING COMPLEX   </t>
  </si>
  <si>
    <t>1201-003</t>
  </si>
  <si>
    <t>Kemmerer ES</t>
  </si>
  <si>
    <t>1201-004</t>
  </si>
  <si>
    <t>Burgoon ES (closed)</t>
  </si>
  <si>
    <t>1201-005</t>
  </si>
  <si>
    <t>Canyon ES (3-6)</t>
  </si>
  <si>
    <t>1201-006</t>
  </si>
  <si>
    <t>Kemmerer Junior Senior High School (7-12)</t>
  </si>
  <si>
    <t>1201-007</t>
  </si>
  <si>
    <t>1201-008</t>
  </si>
  <si>
    <t>1201-009</t>
  </si>
  <si>
    <t>Undeveloped Site</t>
  </si>
  <si>
    <t>1201-010</t>
  </si>
  <si>
    <t>Track and Field</t>
  </si>
  <si>
    <t>1202-001</t>
  </si>
  <si>
    <t>Swift Creek HS</t>
  </si>
  <si>
    <t>1202-002</t>
  </si>
  <si>
    <t>Lincoln #2 Bus Garage (New)</t>
  </si>
  <si>
    <t>1202-003</t>
  </si>
  <si>
    <t>District Central Office</t>
  </si>
  <si>
    <t>1202-004</t>
  </si>
  <si>
    <t>Cokeville ES</t>
  </si>
  <si>
    <t>1202-007</t>
  </si>
  <si>
    <t>Osmond ES (4-6)</t>
  </si>
  <si>
    <t>1202-008</t>
  </si>
  <si>
    <t>Star Valley MS (7-8)</t>
  </si>
  <si>
    <t>1202-009</t>
  </si>
  <si>
    <t>Star Valley HS (9-12)</t>
  </si>
  <si>
    <t>1202-010</t>
  </si>
  <si>
    <t>Cokeville Jr/Sr HS (7-12)</t>
  </si>
  <si>
    <t>1202-011</t>
  </si>
  <si>
    <t>Osmond ES Storage Shed (Old)</t>
  </si>
  <si>
    <t>1202-012</t>
  </si>
  <si>
    <t>Afton Elementary (K-3)</t>
  </si>
  <si>
    <t>1202-013</t>
  </si>
  <si>
    <t>1202-014</t>
  </si>
  <si>
    <t>1202-016</t>
  </si>
  <si>
    <t>Bus Turn Around - Thayne</t>
  </si>
  <si>
    <t>1301-001</t>
  </si>
  <si>
    <t>Central Services Facility</t>
  </si>
  <si>
    <t>1301-002</t>
  </si>
  <si>
    <t>Alcova ES</t>
  </si>
  <si>
    <t>1301-003</t>
  </si>
  <si>
    <t>Crest Hill ES</t>
  </si>
  <si>
    <t>1301-004</t>
  </si>
  <si>
    <t>Evansville ES</t>
  </si>
  <si>
    <t>1301-005</t>
  </si>
  <si>
    <t>Fairdale Gym</t>
  </si>
  <si>
    <t>1301-008</t>
  </si>
  <si>
    <t>Grant ES</t>
  </si>
  <si>
    <t>1301-009</t>
  </si>
  <si>
    <t>Sagewood ES</t>
  </si>
  <si>
    <t>1301-010</t>
  </si>
  <si>
    <t>Special Education Services Center</t>
  </si>
  <si>
    <t>1301-011</t>
  </si>
  <si>
    <t>Manor Heights ES</t>
  </si>
  <si>
    <t>1301-012</t>
  </si>
  <si>
    <t>1301-013</t>
  </si>
  <si>
    <t>Mills ES</t>
  </si>
  <si>
    <t>1301-014</t>
  </si>
  <si>
    <t>Mountain View ES</t>
  </si>
  <si>
    <t>1301-015</t>
  </si>
  <si>
    <t xml:space="preserve">Old North Casper (Lincoln) Elementary </t>
  </si>
  <si>
    <t>1301-016</t>
  </si>
  <si>
    <t>Paradise Valley ES</t>
  </si>
  <si>
    <t>1301-017</t>
  </si>
  <si>
    <t>Park ES</t>
  </si>
  <si>
    <t>1301-018</t>
  </si>
  <si>
    <t>Pineview ES</t>
  </si>
  <si>
    <t>1301-019</t>
  </si>
  <si>
    <t>Poison Spider ES</t>
  </si>
  <si>
    <t>1301-020</t>
  </si>
  <si>
    <t>Powder River ES</t>
  </si>
  <si>
    <t>1301-021</t>
  </si>
  <si>
    <t>Red Creek ES</t>
  </si>
  <si>
    <t>1301-022</t>
  </si>
  <si>
    <t>Southridge ES</t>
  </si>
  <si>
    <t>1301-023</t>
  </si>
  <si>
    <t>University Park ES</t>
  </si>
  <si>
    <t>1301-024</t>
  </si>
  <si>
    <t>Verda James ES</t>
  </si>
  <si>
    <t>1301-025</t>
  </si>
  <si>
    <t>Westwood ES</t>
  </si>
  <si>
    <t>1301-026</t>
  </si>
  <si>
    <t>Willard ES</t>
  </si>
  <si>
    <t>1301-027</t>
  </si>
  <si>
    <t>Willow Creek ES/Residence</t>
  </si>
  <si>
    <t>1301-028</t>
  </si>
  <si>
    <t>1301-029</t>
  </si>
  <si>
    <t>Oregon Trail ES</t>
  </si>
  <si>
    <t>1301-030</t>
  </si>
  <si>
    <t>Bar Nunn ES</t>
  </si>
  <si>
    <t>1301-032</t>
  </si>
  <si>
    <t>Old CY Jr. High Site (Demolished)</t>
  </si>
  <si>
    <t>1301-033</t>
  </si>
  <si>
    <t>Dean Morgan Jr. High</t>
  </si>
  <si>
    <t>1301-034</t>
  </si>
  <si>
    <t>Frontier Middle School /Casper Classical</t>
  </si>
  <si>
    <t>1301-035</t>
  </si>
  <si>
    <t>Centennial Jr. High</t>
  </si>
  <si>
    <t>1301-036</t>
  </si>
  <si>
    <t>Kelly Walsh HS</t>
  </si>
  <si>
    <t>1301-037</t>
  </si>
  <si>
    <t>Midwest ES/MS/HS</t>
  </si>
  <si>
    <t>1301-038</t>
  </si>
  <si>
    <t>Natrona County HS</t>
  </si>
  <si>
    <t>1301-040</t>
  </si>
  <si>
    <t>Administration</t>
  </si>
  <si>
    <t>1301-041</t>
  </si>
  <si>
    <t>Planetarium</t>
  </si>
  <si>
    <t>1301-042</t>
  </si>
  <si>
    <t>Metal Storage Warehouse</t>
  </si>
  <si>
    <t>1301-045</t>
  </si>
  <si>
    <t>Star Lane Center</t>
  </si>
  <si>
    <t>1301-047</t>
  </si>
  <si>
    <t>Adult Based Learning Environment</t>
  </si>
  <si>
    <t>1301-048</t>
  </si>
  <si>
    <t>Fort Caspar Academy</t>
  </si>
  <si>
    <t>1301-049</t>
  </si>
  <si>
    <t>CY JHS /Future Pathways Innovation Center/Roosevelt HS</t>
  </si>
  <si>
    <t>1301-050</t>
  </si>
  <si>
    <t>Summit ES</t>
  </si>
  <si>
    <t>1301-052</t>
  </si>
  <si>
    <t xml:space="preserve">Lincoln Elementary </t>
  </si>
  <si>
    <t>1401-001</t>
  </si>
  <si>
    <t>Niobrara County #1 Administration Building</t>
  </si>
  <si>
    <t>1401-002</t>
  </si>
  <si>
    <t>Lance Creek ES (K-8)</t>
  </si>
  <si>
    <t>1401-003</t>
  </si>
  <si>
    <t>Lusk ES/MS (K-8)</t>
  </si>
  <si>
    <t>1401-004</t>
  </si>
  <si>
    <t>Niobrara County HS (9-12)</t>
  </si>
  <si>
    <t>1401-005</t>
  </si>
  <si>
    <t>Niobrara County Support Facilities</t>
  </si>
  <si>
    <t>1501-001</t>
  </si>
  <si>
    <t>Park #1 Administration</t>
  </si>
  <si>
    <t>1501-002</t>
  </si>
  <si>
    <t>Clark ES</t>
  </si>
  <si>
    <t>1501-003</t>
  </si>
  <si>
    <t>Parkside ES</t>
  </si>
  <si>
    <t>1501-005</t>
  </si>
  <si>
    <t>Westside ES</t>
  </si>
  <si>
    <t>1501-006</t>
  </si>
  <si>
    <t>Powell MS</t>
  </si>
  <si>
    <t>1501-008</t>
  </si>
  <si>
    <t>Park #1 Bus Barn/Warehouse</t>
  </si>
  <si>
    <t>1501-009</t>
  </si>
  <si>
    <t>Powell HS/Shoshone Learning Center</t>
  </si>
  <si>
    <t>1501-011</t>
  </si>
  <si>
    <t>Southside Elementary School</t>
  </si>
  <si>
    <t>1501-012</t>
  </si>
  <si>
    <t>Future ES Site (K-5)</t>
  </si>
  <si>
    <t>1506-001</t>
  </si>
  <si>
    <t>Admin/Cody HS/Heart Mountain Academy (9-12)</t>
  </si>
  <si>
    <t>1506-002</t>
  </si>
  <si>
    <t>Eastside ES</t>
  </si>
  <si>
    <t>1506-003</t>
  </si>
  <si>
    <t>Old Sunset ES</t>
  </si>
  <si>
    <t>1506-004</t>
  </si>
  <si>
    <t>Valley ES (K-5)</t>
  </si>
  <si>
    <t>1506-005</t>
  </si>
  <si>
    <t>Wapiti ES (K-5)</t>
  </si>
  <si>
    <t>1506-006</t>
  </si>
  <si>
    <t>Glenn Livingston ES</t>
  </si>
  <si>
    <t>1506-007</t>
  </si>
  <si>
    <t>Cody MS (6-8)</t>
  </si>
  <si>
    <t>1506-008</t>
  </si>
  <si>
    <t>Park #6 Bus Barn</t>
  </si>
  <si>
    <t>1506-009</t>
  </si>
  <si>
    <t>East Sheridan property</t>
  </si>
  <si>
    <t>1506-010</t>
  </si>
  <si>
    <t>Sunset ES</t>
  </si>
  <si>
    <t>1516-001</t>
  </si>
  <si>
    <t>Meeteetse ES/MS/HS (K-12)</t>
  </si>
  <si>
    <t>1516-002</t>
  </si>
  <si>
    <t>Meeteetse Teacherage 1</t>
  </si>
  <si>
    <t>1516-003</t>
  </si>
  <si>
    <t>Meeteetse Teacherage 2</t>
  </si>
  <si>
    <t>1516-005</t>
  </si>
  <si>
    <t>Meeteetse Teacherage 3</t>
  </si>
  <si>
    <t>1516-006</t>
  </si>
  <si>
    <t>Longhorn #1</t>
  </si>
  <si>
    <t>1516-007</t>
  </si>
  <si>
    <t>Longhorn #3</t>
  </si>
  <si>
    <t>1516-008</t>
  </si>
  <si>
    <t>Longhorn #4</t>
  </si>
  <si>
    <t>1516-010</t>
  </si>
  <si>
    <t>Wilson Thomas Parking</t>
  </si>
  <si>
    <t>1516-011</t>
  </si>
  <si>
    <t xml:space="preserve">Meeteetse FFA Feed Station </t>
  </si>
  <si>
    <t>1601-001</t>
  </si>
  <si>
    <t>Wheatland Central Administration</t>
  </si>
  <si>
    <t>1601-003</t>
  </si>
  <si>
    <t>Libbey ES</t>
  </si>
  <si>
    <t>1601-004</t>
  </si>
  <si>
    <t>West ES (3-6)</t>
  </si>
  <si>
    <t>1601-005</t>
  </si>
  <si>
    <t>Wheatland Jr. High (7-8)</t>
  </si>
  <si>
    <t>1601-006</t>
  </si>
  <si>
    <t>Chugwater ES/MS/HS</t>
  </si>
  <si>
    <t>1601-007</t>
  </si>
  <si>
    <t>Wheatland HS (9-12)</t>
  </si>
  <si>
    <t>1601-008</t>
  </si>
  <si>
    <t>Glendo K-12 (ES/MS/HS)</t>
  </si>
  <si>
    <t>1601-009</t>
  </si>
  <si>
    <t>Wheatland HS Stadium</t>
  </si>
  <si>
    <t>1601-010</t>
  </si>
  <si>
    <t>Platte County Maintenance Bldg.</t>
  </si>
  <si>
    <t>1601-011</t>
  </si>
  <si>
    <t>Wheatland Bus Garage</t>
  </si>
  <si>
    <t>1601-012</t>
  </si>
  <si>
    <t>Wheatland MS</t>
  </si>
  <si>
    <t>1601-013</t>
  </si>
  <si>
    <t>Future Transportation Building</t>
  </si>
  <si>
    <t>1602-001</t>
  </si>
  <si>
    <t>Platte County #2 (Guernsey-Sunrise ES/MS/HS)</t>
  </si>
  <si>
    <t>1701-001</t>
  </si>
  <si>
    <t>Big Horn ES</t>
  </si>
  <si>
    <t>1701-002</t>
  </si>
  <si>
    <t>Slack ES</t>
  </si>
  <si>
    <t>1701-003</t>
  </si>
  <si>
    <t>Tongue River ES</t>
  </si>
  <si>
    <t>1701-004</t>
  </si>
  <si>
    <t xml:space="preserve">Tongue River MS (6-8) </t>
  </si>
  <si>
    <t>1701-005</t>
  </si>
  <si>
    <t>Big Horn Jr/Sr High</t>
  </si>
  <si>
    <t>1701-006</t>
  </si>
  <si>
    <t>Tongue River HS (9-12)/The Bridge School</t>
  </si>
  <si>
    <t>1701-008</t>
  </si>
  <si>
    <t xml:space="preserve">Tongue River ES </t>
  </si>
  <si>
    <t>1701-009</t>
  </si>
  <si>
    <t>SHE01 NEW BUS GARAGE</t>
  </si>
  <si>
    <t>1702-001</t>
  </si>
  <si>
    <t>Sheridan Bus Barn</t>
  </si>
  <si>
    <t>1702-003</t>
  </si>
  <si>
    <t>Henry A. Coffeen ES (K-5)</t>
  </si>
  <si>
    <t>1702-004</t>
  </si>
  <si>
    <t>The Wright Place and Ft. Mackenzie Alternative School</t>
  </si>
  <si>
    <t>1702-005</t>
  </si>
  <si>
    <t>Story ES</t>
  </si>
  <si>
    <t>1702-006</t>
  </si>
  <si>
    <t>Fleming Blvd Property Modular (Old Woodland Park ES)</t>
  </si>
  <si>
    <t>1702-007</t>
  </si>
  <si>
    <t>1702-008</t>
  </si>
  <si>
    <t>Sagebrush ES (K-5)</t>
  </si>
  <si>
    <t>1702-010</t>
  </si>
  <si>
    <t>Sheridan Jr HS (6-8)</t>
  </si>
  <si>
    <t>1702-011</t>
  </si>
  <si>
    <t>Sheridan HS (9-12)</t>
  </si>
  <si>
    <t>1702-014</t>
  </si>
  <si>
    <t>Sheridan District #2 Administration</t>
  </si>
  <si>
    <t>1702-016</t>
  </si>
  <si>
    <t>Highland Park ES (K-5)</t>
  </si>
  <si>
    <t>1702-017</t>
  </si>
  <si>
    <t>Maintenance Facility</t>
  </si>
  <si>
    <t>1702-018</t>
  </si>
  <si>
    <t>New Woodland Park ES site</t>
  </si>
  <si>
    <t>1702-019</t>
  </si>
  <si>
    <t>THORE BUILDING - TRACT</t>
  </si>
  <si>
    <t>1702-020</t>
  </si>
  <si>
    <t>FUTURE ES - TRACT</t>
  </si>
  <si>
    <t>1703-001</t>
  </si>
  <si>
    <t>Arvada ES</t>
  </si>
  <si>
    <t>1703-003</t>
  </si>
  <si>
    <t>Clearmont ES/Arvada Clearmont JR/SR High</t>
  </si>
  <si>
    <t>1703-004</t>
  </si>
  <si>
    <t>Clearmont Teacherage</t>
  </si>
  <si>
    <t>1703-005</t>
  </si>
  <si>
    <t>Sheridan St Trailer - Clearmont Teacherage</t>
  </si>
  <si>
    <t>1703-006</t>
  </si>
  <si>
    <t>Water St House - Clearmont Teacherage</t>
  </si>
  <si>
    <t>1703-007</t>
  </si>
  <si>
    <t>Water St Modular - Clearmont Teacherage</t>
  </si>
  <si>
    <t>1703-008</t>
  </si>
  <si>
    <t>Meade House - Clearmont Teacherage</t>
  </si>
  <si>
    <t>1801-001</t>
  </si>
  <si>
    <t>Sublette #1 Bus Garage</t>
  </si>
  <si>
    <t>1801-002</t>
  </si>
  <si>
    <t>Bondurant ES</t>
  </si>
  <si>
    <t>1801-003</t>
  </si>
  <si>
    <t>Skyline Alternative School</t>
  </si>
  <si>
    <t>1801-004</t>
  </si>
  <si>
    <t>Pinedale MS (5-8)</t>
  </si>
  <si>
    <t>1801-005</t>
  </si>
  <si>
    <t>Pinedale HS (9-12)</t>
  </si>
  <si>
    <t>1801-006</t>
  </si>
  <si>
    <t>South Jackson Property</t>
  </si>
  <si>
    <t>1801-007</t>
  </si>
  <si>
    <t>Meadowlark Property</t>
  </si>
  <si>
    <t>1801-008</t>
  </si>
  <si>
    <t>Bloom Property</t>
  </si>
  <si>
    <t>1801-009</t>
  </si>
  <si>
    <t>Old Elementary Playground</t>
  </si>
  <si>
    <t>1801-010</t>
  </si>
  <si>
    <t>Redstone Property</t>
  </si>
  <si>
    <t>1801-011</t>
  </si>
  <si>
    <t>Pinedale Teacherage</t>
  </si>
  <si>
    <t>1801-012</t>
  </si>
  <si>
    <t>Duck Creek Property</t>
  </si>
  <si>
    <t>1801-013</t>
  </si>
  <si>
    <t>Pinedale ES</t>
  </si>
  <si>
    <t>1801-015</t>
  </si>
  <si>
    <t>000 N. FREMONT AVE PARKING LOT - TRACT</t>
  </si>
  <si>
    <t>1801-016</t>
  </si>
  <si>
    <t>367 N. FREMONT AVE PARKING LOT - TRACT</t>
  </si>
  <si>
    <t>1801-017</t>
  </si>
  <si>
    <t>353 N. FREMONT AVE PARKING LOT - TRACT</t>
  </si>
  <si>
    <t>1809-001</t>
  </si>
  <si>
    <t>Sublette #9 Annex</t>
  </si>
  <si>
    <t>1809-002</t>
  </si>
  <si>
    <t>Big Piney ES</t>
  </si>
  <si>
    <t>1809-003</t>
  </si>
  <si>
    <t>LaBarge ES</t>
  </si>
  <si>
    <t>1809-004</t>
  </si>
  <si>
    <t>Big Piney MS (6-8)</t>
  </si>
  <si>
    <t>1809-005</t>
  </si>
  <si>
    <t>Big Piney HS (9-12)</t>
  </si>
  <si>
    <t>1809-006</t>
  </si>
  <si>
    <t>Big Piney/Marbleton Teacherage</t>
  </si>
  <si>
    <t>1809-007</t>
  </si>
  <si>
    <t>Sublette #9 Bus Barn</t>
  </si>
  <si>
    <t>1809-008</t>
  </si>
  <si>
    <t>Marbleton Teacherage</t>
  </si>
  <si>
    <t>1809-009</t>
  </si>
  <si>
    <t>Big Piney Marbleton Teacherage 9</t>
  </si>
  <si>
    <t>1809-010</t>
  </si>
  <si>
    <t>Big Piney Marbleton Teacherage 10</t>
  </si>
  <si>
    <t>1809-011</t>
  </si>
  <si>
    <t>Marbleton Teacherage #2</t>
  </si>
  <si>
    <t>1809-012</t>
  </si>
  <si>
    <t>Big Piney HS BP Teacherage</t>
  </si>
  <si>
    <t>1901-001</t>
  </si>
  <si>
    <t>Central Administration</t>
  </si>
  <si>
    <t>1901-002</t>
  </si>
  <si>
    <t>Desert ES/MS (K-8)</t>
  </si>
  <si>
    <t>1901-003</t>
  </si>
  <si>
    <t>Desert View ES</t>
  </si>
  <si>
    <t>1901-004</t>
  </si>
  <si>
    <t xml:space="preserve">Lincoln ES </t>
  </si>
  <si>
    <t>1901-005</t>
  </si>
  <si>
    <t>Old Independence HS/ Lowell ES</t>
  </si>
  <si>
    <t>1901-006</t>
  </si>
  <si>
    <t>Overland ES</t>
  </si>
  <si>
    <t>1901-010</t>
  </si>
  <si>
    <t>Walnut ES</t>
  </si>
  <si>
    <t>1901-011</t>
  </si>
  <si>
    <t>Washington Head Start Center</t>
  </si>
  <si>
    <t>1901-013</t>
  </si>
  <si>
    <t>Northpark ES</t>
  </si>
  <si>
    <t>1901-014</t>
  </si>
  <si>
    <t>Westridge ES</t>
  </si>
  <si>
    <t>1901-015</t>
  </si>
  <si>
    <t>Eastside ES (5-6)</t>
  </si>
  <si>
    <t>1901-016</t>
  </si>
  <si>
    <t>Rock Springs JHS (7-8)</t>
  </si>
  <si>
    <t>1901-017</t>
  </si>
  <si>
    <t>Farson-Eden (K-12) ES/MS/HS</t>
  </si>
  <si>
    <t>1901-018</t>
  </si>
  <si>
    <t>Rock Springs HS (9-12)</t>
  </si>
  <si>
    <t>1901-020</t>
  </si>
  <si>
    <t>Sage ES (K-4)</t>
  </si>
  <si>
    <t>1901-021</t>
  </si>
  <si>
    <t>Farson-Eden School, Teacherage 1</t>
  </si>
  <si>
    <t>1901-022</t>
  </si>
  <si>
    <t>Farson-Eden School, Teacherage 2</t>
  </si>
  <si>
    <t>1901-023</t>
  </si>
  <si>
    <t>Pilot Butte ES (5-6)</t>
  </si>
  <si>
    <t>1901-024</t>
  </si>
  <si>
    <t>Black Butte  HS (9-12)</t>
  </si>
  <si>
    <t>1901-025</t>
  </si>
  <si>
    <t>Stagecoach ES (K-4)</t>
  </si>
  <si>
    <t>1901-026</t>
  </si>
  <si>
    <t>Bitter Creek Property</t>
  </si>
  <si>
    <t>1901-027</t>
  </si>
  <si>
    <t>Future ES Site</t>
  </si>
  <si>
    <t>1901-028</t>
  </si>
  <si>
    <t>Future Satellite HS</t>
  </si>
  <si>
    <t>1902-001</t>
  </si>
  <si>
    <t>1902-002</t>
  </si>
  <si>
    <t>Granger ES</t>
  </si>
  <si>
    <t>1902-003</t>
  </si>
  <si>
    <t>Harrison ES</t>
  </si>
  <si>
    <t>1902-004</t>
  </si>
  <si>
    <t>McKinnon ES/MS (K-8)</t>
  </si>
  <si>
    <t>1902-005</t>
  </si>
  <si>
    <t>Thoman Ranch ES/MS (K-8)</t>
  </si>
  <si>
    <t>1902-006</t>
  </si>
  <si>
    <t>Washington ES</t>
  </si>
  <si>
    <t>1902-007</t>
  </si>
  <si>
    <t>Old Expedition Academy (9-12)</t>
  </si>
  <si>
    <t>1902-008</t>
  </si>
  <si>
    <t>Jackson ES</t>
  </si>
  <si>
    <t>1902-009</t>
  </si>
  <si>
    <t>Truman ES</t>
  </si>
  <si>
    <t>1902-010</t>
  </si>
  <si>
    <t>Lincoln Middle School (7-8)</t>
  </si>
  <si>
    <t>1902-011</t>
  </si>
  <si>
    <t>Monroe Intermediate School (5-6)</t>
  </si>
  <si>
    <t>1902-012</t>
  </si>
  <si>
    <t>Green River HS (9-12)</t>
  </si>
  <si>
    <t>1902-013</t>
  </si>
  <si>
    <t xml:space="preserve">Old Roosevelt School </t>
  </si>
  <si>
    <t>1902-014</t>
  </si>
  <si>
    <t>Expedition Academy 9-12</t>
  </si>
  <si>
    <t>1902-015</t>
  </si>
  <si>
    <t>Shoshone Ave (Old) Child Development Center</t>
  </si>
  <si>
    <t>2001-001</t>
  </si>
  <si>
    <t>Teton #1 Maintenance Shop</t>
  </si>
  <si>
    <t>2001-002</t>
  </si>
  <si>
    <t>Teton #1 Bus Barn</t>
  </si>
  <si>
    <t>2001-003</t>
  </si>
  <si>
    <t>Alta ES</t>
  </si>
  <si>
    <t>2001-004</t>
  </si>
  <si>
    <t>Davy Jackson ES</t>
  </si>
  <si>
    <t>2001-005</t>
  </si>
  <si>
    <t>Kelly ES</t>
  </si>
  <si>
    <t>2001-006</t>
  </si>
  <si>
    <t>Moran ES</t>
  </si>
  <si>
    <t>2001-007</t>
  </si>
  <si>
    <t>Old District Office (demolished)</t>
  </si>
  <si>
    <t>2001-008</t>
  </si>
  <si>
    <t>Colter ES &amp; Teton #1 District Offices</t>
  </si>
  <si>
    <t>2001-009</t>
  </si>
  <si>
    <t>Jackson Hole MS (6-8)</t>
  </si>
  <si>
    <t>2001-010</t>
  </si>
  <si>
    <t>Jackson Hole HS (9-12)</t>
  </si>
  <si>
    <t>2001-011</t>
  </si>
  <si>
    <t>Summit HS (9-12)</t>
  </si>
  <si>
    <t>2001-012</t>
  </si>
  <si>
    <t>Jackson Hole HS Residence</t>
  </si>
  <si>
    <t>2001-013</t>
  </si>
  <si>
    <t xml:space="preserve">Wilson ES </t>
  </si>
  <si>
    <t>2001-014</t>
  </si>
  <si>
    <t>1540 Martin Lane</t>
  </si>
  <si>
    <t>2001-015</t>
  </si>
  <si>
    <t>Schwabacker</t>
  </si>
  <si>
    <t>2001-016</t>
  </si>
  <si>
    <t>South Park Loop</t>
  </si>
  <si>
    <t>2001-017</t>
  </si>
  <si>
    <t>Future Site of New Elementary School</t>
  </si>
  <si>
    <t>2101-001</t>
  </si>
  <si>
    <t>Central Admin Complex</t>
  </si>
  <si>
    <t>6/23/1885</t>
  </si>
  <si>
    <t>2101-002</t>
  </si>
  <si>
    <t>2101-003</t>
  </si>
  <si>
    <t>Uinta Meadows ES</t>
  </si>
  <si>
    <t>2101-004</t>
  </si>
  <si>
    <t>North Evanston ES</t>
  </si>
  <si>
    <t>2101-005</t>
  </si>
  <si>
    <t>Aspen ES</t>
  </si>
  <si>
    <t>2101-006</t>
  </si>
  <si>
    <t>Davis MS (6-8)</t>
  </si>
  <si>
    <t>2101-007</t>
  </si>
  <si>
    <t>Evanston MS (6-8)</t>
  </si>
  <si>
    <t>2101-008</t>
  </si>
  <si>
    <t>Evanston HS (9-12)</t>
  </si>
  <si>
    <t>2101-009</t>
  </si>
  <si>
    <t>Evanston Shop/Bus Barn</t>
  </si>
  <si>
    <t>2101-011</t>
  </si>
  <si>
    <t>2104-001</t>
  </si>
  <si>
    <t>Mountain View Admin</t>
  </si>
  <si>
    <t>2104-002</t>
  </si>
  <si>
    <t>Old Mountain View ES</t>
  </si>
  <si>
    <t>2104-003</t>
  </si>
  <si>
    <t>Fort Bridger ES</t>
  </si>
  <si>
    <t>2104-004</t>
  </si>
  <si>
    <t>Original Fort Bridger School (3-6)</t>
  </si>
  <si>
    <t>2104-005</t>
  </si>
  <si>
    <t>Mountain View MS (closed)</t>
  </si>
  <si>
    <t>2104-006</t>
  </si>
  <si>
    <t>Mountain View HS (9-12)</t>
  </si>
  <si>
    <t>2104-007</t>
  </si>
  <si>
    <t>Mountain View Bus Garage/Office</t>
  </si>
  <si>
    <t>2104-008</t>
  </si>
  <si>
    <t>Mountain View Adult Education</t>
  </si>
  <si>
    <t>2104-009</t>
  </si>
  <si>
    <t>Superintendent's Residence</t>
  </si>
  <si>
    <t>2104-010</t>
  </si>
  <si>
    <t>Woodbury Residence</t>
  </si>
  <si>
    <t>2104-011</t>
  </si>
  <si>
    <t>SW1/4, SEC3, T14N, R115W</t>
  </si>
  <si>
    <t>2104-012</t>
  </si>
  <si>
    <t>SE1/4, SEC18, T14N, R115W</t>
  </si>
  <si>
    <t>2104-013</t>
  </si>
  <si>
    <t>NW1/4, SEC20, T15N, R115W</t>
  </si>
  <si>
    <t>2104-014</t>
  </si>
  <si>
    <t>2106-001</t>
  </si>
  <si>
    <t>Lyman ES</t>
  </si>
  <si>
    <t>2106-002</t>
  </si>
  <si>
    <t>Urie ES</t>
  </si>
  <si>
    <t>2106-003</t>
  </si>
  <si>
    <t>2106-004</t>
  </si>
  <si>
    <t>Lyman HS (9-12)</t>
  </si>
  <si>
    <t>2106-005</t>
  </si>
  <si>
    <t>Lyman Bus Barn</t>
  </si>
  <si>
    <t>2201-001</t>
  </si>
  <si>
    <t>2201-002</t>
  </si>
  <si>
    <t>Southside ES</t>
  </si>
  <si>
    <t>2201-003</t>
  </si>
  <si>
    <t>2201-005</t>
  </si>
  <si>
    <t>Worland MS/HS</t>
  </si>
  <si>
    <t>2201-006</t>
  </si>
  <si>
    <t>Potential Elementary School</t>
  </si>
  <si>
    <t>2202-001</t>
  </si>
  <si>
    <t>Ten Sleep ES/MS/HS (K-12)</t>
  </si>
  <si>
    <t>2202-002</t>
  </si>
  <si>
    <t>Bus Maintenance Shed</t>
  </si>
  <si>
    <t>2202-003</t>
  </si>
  <si>
    <t xml:space="preserve">Anderson Ranch   </t>
  </si>
  <si>
    <t>2202-004</t>
  </si>
  <si>
    <t>Masonic Temple Lodge Building</t>
  </si>
  <si>
    <t>2301-001</t>
  </si>
  <si>
    <t>Maintenance/Bus Barn</t>
  </si>
  <si>
    <t>2301-005</t>
  </si>
  <si>
    <t>Newcastle MS/HS</t>
  </si>
  <si>
    <t>2301-006</t>
  </si>
  <si>
    <t>Weston District #1 Administration</t>
  </si>
  <si>
    <t>2301-007</t>
  </si>
  <si>
    <t>Newcastle ES (K-2; 3-5)</t>
  </si>
  <si>
    <t>2307-001</t>
  </si>
  <si>
    <t>Upton Administration</t>
  </si>
  <si>
    <t>2307-002</t>
  </si>
  <si>
    <t>Upton ES/MS</t>
  </si>
  <si>
    <t>2307-003</t>
  </si>
  <si>
    <t>2307-004</t>
  </si>
  <si>
    <t>Upton Pool</t>
  </si>
  <si>
    <t>2307-005</t>
  </si>
  <si>
    <t>Upton Maintenance/Bus Garage</t>
  </si>
  <si>
    <t>2307-006</t>
  </si>
  <si>
    <t>Upton Football/Track Field</t>
  </si>
  <si>
    <t>District Level Average Daily Membership Worksheet</t>
  </si>
  <si>
    <t>District Level Greater of Decision for ADM Calculations</t>
  </si>
  <si>
    <t>Model ADM</t>
  </si>
  <si>
    <t>School Level Average Daily Membership Worksheet</t>
  </si>
  <si>
    <t>(1=Greater of #2 and #3 at School Level, 2=prior year ADM, 3=3-Year Rolling Average ADM, 4 Greater of #2 or #3 at District Level)</t>
  </si>
  <si>
    <t>Model ADM Grade K</t>
  </si>
  <si>
    <t>Model ADM Grade 1</t>
  </si>
  <si>
    <t>Model ADM Grade 2</t>
  </si>
  <si>
    <t>Model ADM Grade 3</t>
  </si>
  <si>
    <t>Model ADM Grade 4</t>
  </si>
  <si>
    <t>Model ADM Grade 5</t>
  </si>
  <si>
    <t>Model ADM Grade 6</t>
  </si>
  <si>
    <t>Model ADM Grade 7</t>
  </si>
  <si>
    <t>Model ADM Grade 8</t>
  </si>
  <si>
    <t>Model ADM Grade 9</t>
  </si>
  <si>
    <t>Model ADM Grade 10</t>
  </si>
  <si>
    <t>Model ADM Grade 11</t>
  </si>
  <si>
    <t>Model ADM Grade 12</t>
  </si>
  <si>
    <t>Model ADM Total</t>
  </si>
  <si>
    <t>3yr Avg. ADM Grade K</t>
  </si>
  <si>
    <t>3yr Avg. ADM Grade 1</t>
  </si>
  <si>
    <t>3yr Avg. ADM Grade 2</t>
  </si>
  <si>
    <t>3yr Avg. ADM Grade 3</t>
  </si>
  <si>
    <t>3yr Avg. ADM Grade 4</t>
  </si>
  <si>
    <t>3yr Avg. ADM Grade 5</t>
  </si>
  <si>
    <t>3yr Avg. ADM Grade 6</t>
  </si>
  <si>
    <t>3yr Avg. ADM Grade 7</t>
  </si>
  <si>
    <t>3yr Avg. ADM Grade 8</t>
  </si>
  <si>
    <t>3yr Avg. ADM Grade 9</t>
  </si>
  <si>
    <t>3yr Avg. ADM Grade 10</t>
  </si>
  <si>
    <t>3yr Avg. ADM Grade 11</t>
  </si>
  <si>
    <t>3yr Avg. ADM Grade 12</t>
  </si>
  <si>
    <t>3yr Avg. ADM Total</t>
  </si>
  <si>
    <t>Est. 2017-18 ADM Grade K</t>
  </si>
  <si>
    <t>Est. 2017-18 ADM Grade 1</t>
  </si>
  <si>
    <t>Est. 2017-18 ADM Grade 2</t>
  </si>
  <si>
    <t>Est. 2017-18 ADM Grade 3</t>
  </si>
  <si>
    <t>Est. 2017-18 ADM Grade 4</t>
  </si>
  <si>
    <t>Est. 2017-18 ADM Grade 5</t>
  </si>
  <si>
    <t>Est. 2017-18 ADM Grade 6</t>
  </si>
  <si>
    <t>Est. 2017-18 ADM Grade 7</t>
  </si>
  <si>
    <t>Est. 2017-18 ADM Grade 8</t>
  </si>
  <si>
    <t>Est. 2017-18 ADM Grade 9</t>
  </si>
  <si>
    <t>Est. 2017-18 ADM Grade 10</t>
  </si>
  <si>
    <t>Est. 2017-18 ADM Grade 11</t>
  </si>
  <si>
    <t>Est. 2017-18 ADM Grade 12</t>
  </si>
  <si>
    <t>Est. 2017-18 ADM Total</t>
  </si>
  <si>
    <t>Est. 2016-17 ADM Grade K</t>
  </si>
  <si>
    <t>Est. 2016-17 ADM Grade 1</t>
  </si>
  <si>
    <t>Est. 2016-17 ADM Grade 2</t>
  </si>
  <si>
    <t>Est. 2016-17 ADM Grade 3</t>
  </si>
  <si>
    <t>Est. 2016-17 ADM Grade 4</t>
  </si>
  <si>
    <t>Est. 2016-17 ADM Grade 5</t>
  </si>
  <si>
    <t>Est. 2016-17 ADM Grade 6</t>
  </si>
  <si>
    <t>Est. 2016-17 ADM Grade 7</t>
  </si>
  <si>
    <t>Est. 2016-17 ADM Grade 8</t>
  </si>
  <si>
    <t>Est. 2016-17 ADM Grade 9</t>
  </si>
  <si>
    <t>Est. 2016-17 ADM Grade 10</t>
  </si>
  <si>
    <t>Est. 2016-17 ADM Grade 11</t>
  </si>
  <si>
    <t>Est. 2016-17 ADM Grade 12</t>
  </si>
  <si>
    <t>Est. 2016-17 ADM Total</t>
  </si>
  <si>
    <t>2015-16 ADM Grade K</t>
  </si>
  <si>
    <t>2015-16 ADM Grade 1</t>
  </si>
  <si>
    <t>2015-16 ADM Grade 2</t>
  </si>
  <si>
    <t>2015-16 ADM Grade 3</t>
  </si>
  <si>
    <t>2015-16 ADM Grade 4</t>
  </si>
  <si>
    <t>2015-16 ADM Grade 5</t>
  </si>
  <si>
    <t>2015-16 ADM Grade 6</t>
  </si>
  <si>
    <t>2015-16 ADM Grade 7</t>
  </si>
  <si>
    <t>2015-16 ADM Grade 8</t>
  </si>
  <si>
    <t>2015-16 ADM Grade 9</t>
  </si>
  <si>
    <t>2015-16 ADM Grade 10</t>
  </si>
  <si>
    <t>2015-16 ADM Grade 11</t>
  </si>
  <si>
    <t>2015-16 ADM Grade 12</t>
  </si>
  <si>
    <t>2015-16 ADM Total</t>
  </si>
  <si>
    <t>prior year</t>
  </si>
  <si>
    <t>three-year</t>
  </si>
  <si>
    <t>School Level Student At-Risk and ELL Proxy Worksheet</t>
  </si>
  <si>
    <t>2016-17 At-Risk Proxy Grade K</t>
  </si>
  <si>
    <t>2016-17 At-Risk Proxy Grade 1</t>
  </si>
  <si>
    <t>2016-17 At-Risk Proxy Grade 2</t>
  </si>
  <si>
    <t>2016-17 At-Risk Proxy Grade 3</t>
  </si>
  <si>
    <t>2016-17 At-Risk Proxy Grade 4</t>
  </si>
  <si>
    <t>2016-17 At-Risk Proxy Grade 5</t>
  </si>
  <si>
    <t>2016-17 At-Risk Proxy Grade 6</t>
  </si>
  <si>
    <t>2016-17 At-Risk Proxy Grade 7</t>
  </si>
  <si>
    <t>2016-17 At-Risk Proxy Grade 8</t>
  </si>
  <si>
    <t>2016-17 At-Risk Proxy Grade 9</t>
  </si>
  <si>
    <t>2016-17 At-Risk Proxy Grade 10</t>
  </si>
  <si>
    <t>2016-17 At-Risk Proxy Grade 11</t>
  </si>
  <si>
    <t>2016-17 At-Risk Proxy Grade 12</t>
  </si>
  <si>
    <t>2016-17 At-Risk Proxy Total</t>
  </si>
  <si>
    <t>2016-17 October 1 ELL Count Grade K</t>
  </si>
  <si>
    <t>2016-17 October 1 ELL Count Grade 1</t>
  </si>
  <si>
    <t>2016-17 October 1 ELL Count Grade 2</t>
  </si>
  <si>
    <t>2016-17 October 1 ELL Count Grade 3</t>
  </si>
  <si>
    <t>2016-17 October 1 ELL Count Grade 4</t>
  </si>
  <si>
    <t>2016-17 October 1 ELL Count Grade 5</t>
  </si>
  <si>
    <t>2016-17 October 1 ELL Count Grade 6</t>
  </si>
  <si>
    <t>2016-17 October 1 ELL Count Grade 7</t>
  </si>
  <si>
    <t>2016-17 October 1 ELL Count Grade 8</t>
  </si>
  <si>
    <t>2016-17 October 1 ELL Count Grade 9</t>
  </si>
  <si>
    <t>2016-17 October 1 ELL Count Grade 10</t>
  </si>
  <si>
    <t>2016-17 October 1 ELL Count Grade 11</t>
  </si>
  <si>
    <t>2016-17 October 1 ELL Count Grade 12</t>
  </si>
  <si>
    <t>2016-17 October 1 ELL Count Total</t>
  </si>
  <si>
    <t>Health Insurance Composite Amount Calculation</t>
  </si>
  <si>
    <t>Insurance Option</t>
  </si>
  <si>
    <t>% = FTE Insurance Option / FTE Total Insured</t>
  </si>
  <si>
    <t>% = FTE Insured / FTE</t>
  </si>
  <si>
    <t>Health Insurance Composite Funding per Model Generated FTE</t>
  </si>
  <si>
    <t>Employee Only
FTEs</t>
  </si>
  <si>
    <t>Employee
+ Spouse
FTEs</t>
  </si>
  <si>
    <t>Employee
+ Child(ren)
FTEs</t>
  </si>
  <si>
    <t>Family
FTEs</t>
  </si>
  <si>
    <t>Split
Contracts
FTEs</t>
  </si>
  <si>
    <t>Total
FTE</t>
  </si>
  <si>
    <t>Total
Insured</t>
  </si>
  <si>
    <t>NA</t>
  </si>
  <si>
    <t>School Year 2016-17</t>
  </si>
  <si>
    <t>Count of FTE School District Staff Insurance Participants</t>
  </si>
  <si>
    <t>Weighted Participation</t>
  </si>
  <si>
    <t>Annual State Employer Contribution - 2015 Plan Yr.</t>
  </si>
  <si>
    <t xml:space="preserve">Composite Premium: </t>
  </si>
  <si>
    <t>State Health Insurance Monthly Premium Benefits - January 1, 2017</t>
  </si>
  <si>
    <t>Employee Only</t>
  </si>
  <si>
    <t xml:space="preserve">Employee + Spouse </t>
  </si>
  <si>
    <t xml:space="preserve">Employee + Child(ren) </t>
  </si>
  <si>
    <t>Family</t>
  </si>
  <si>
    <t>Split Contracts</t>
  </si>
  <si>
    <t>State of Wyoming Employee Group Insurance</t>
  </si>
  <si>
    <t>Regional Cost Adjustment Worksheet</t>
  </si>
  <si>
    <t>2018 Unadjusted CWI</t>
  </si>
  <si>
    <t>Wyoming School District Allowable Reimbursable Expenditures</t>
  </si>
  <si>
    <t>Gross Eligible Bus Purchases In FY2013</t>
  </si>
  <si>
    <t>Gross Eligible Bus Purchases In FY2014</t>
  </si>
  <si>
    <t>Gross Eligible Bus Purchases In FY2015</t>
  </si>
  <si>
    <t>Gross Eligible Bus Purchases In FY2016</t>
  </si>
  <si>
    <t>Gross Eligible Bus Purchases In FY2017</t>
  </si>
  <si>
    <t>Total Eligible Bus Purchases</t>
  </si>
  <si>
    <t>20% Reimbursement On Purchases</t>
  </si>
  <si>
    <t>Eligible Lease Payments</t>
  </si>
  <si>
    <t>Total Reimbursement for Buses</t>
  </si>
  <si>
    <t>Isolation and Mileage</t>
  </si>
  <si>
    <t>Isolation and Maintenance</t>
  </si>
  <si>
    <t>Total Transportation Isolation and Maintenance</t>
  </si>
  <si>
    <t>Special Education Reimbursement</t>
  </si>
  <si>
    <t>Teacher Extra Compensation Reimbursement: Salary</t>
  </si>
  <si>
    <t>Teacher Extra Compensation Reimbursement: Fringe Benefits</t>
  </si>
  <si>
    <t>Teacher Extra Compensation Reimbursement: Value of Other Subsidies</t>
  </si>
  <si>
    <t>Total Allowable Teacher Extra Compensation Reimbursement</t>
  </si>
  <si>
    <t>Tuition: Non-Unified School District Paid to Unified School District</t>
  </si>
  <si>
    <t>Total Allowable  Reimbursable Tuition</t>
  </si>
  <si>
    <t>Total Reimbursements of Allowable Expenditures</t>
  </si>
  <si>
    <r>
      <t xml:space="preserve">Average Transportation Operations Funding Levels FY 2014, FY 2015, FY 2016 </t>
    </r>
    <r>
      <rPr>
        <b/>
        <sz val="10"/>
        <color rgb="FFFF0000"/>
        <rFont val="Calibri"/>
        <family val="2"/>
      </rPr>
      <t>per WDE Adj. Amount</t>
    </r>
  </si>
  <si>
    <t>Est. FY 2019 Total Funding</t>
  </si>
  <si>
    <t>Charter School Initiated by School District? (Yes/No)</t>
  </si>
  <si>
    <t>Enrollment from March 1 &amp; Adjusted by October 1</t>
  </si>
  <si>
    <t>Number of Students Included in School District's ADM for FY 14, 15 and 16</t>
  </si>
  <si>
    <t>Students Not Previously Counted in District ADM</t>
  </si>
  <si>
    <t>No</t>
  </si>
  <si>
    <t>Revised January 19, 2018</t>
  </si>
  <si>
    <t>Total School District Local Revenues</t>
  </si>
  <si>
    <t>School District Entitlement Amount</t>
  </si>
  <si>
    <t>School District Recapture Amount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</si>
</sst>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">
    <numFmt numFmtId="5" formatCode="&quot;$&quot;#,##0_);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00"/>
    <numFmt numFmtId="165" formatCode="&quot;$&quot;#,##0"/>
    <numFmt numFmtId="166" formatCode="0.0"/>
    <numFmt numFmtId="167" formatCode="#,##0.0"/>
    <numFmt numFmtId="168" formatCode="&quot;$&quot;#,##0.00"/>
    <numFmt numFmtId="169" formatCode="0.000"/>
    <numFmt numFmtId="170" formatCode="0.00000"/>
    <numFmt numFmtId="171" formatCode="#,##0.000_);\(#,##0.000\)"/>
    <numFmt numFmtId="172" formatCode="#,##0.0_);\(#,##0.0\)"/>
    <numFmt numFmtId="173" formatCode="0.0000"/>
    <numFmt numFmtId="174" formatCode="0.00_);\(0.00\)"/>
    <numFmt numFmtId="175" formatCode="0.0%"/>
  </numFmts>
  <fonts count="37" x14ac:knownFonts="1">
    <font>
      <sz val="10"/>
      <color theme="1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b/>
      <sz val="12"/>
      <color theme="1"/>
      <name val="Calibri"/>
      <family val="2"/>
    </font>
    <font>
      <b/>
      <sz val="10"/>
      <color rgb="FF492F24"/>
      <name val="Calibri"/>
      <family val="2"/>
    </font>
    <font>
      <b/>
      <sz val="10"/>
      <color rgb="FFFFC425"/>
      <name val="Calibri"/>
      <family val="2"/>
    </font>
    <font>
      <b/>
      <u/>
      <sz val="10"/>
      <color theme="1"/>
      <name val="Calibri"/>
      <family val="2"/>
    </font>
    <font>
      <sz val="10"/>
      <color theme="1"/>
      <name val="Arial"/>
      <family val="2"/>
    </font>
    <font>
      <i/>
      <sz val="10"/>
      <color theme="1"/>
      <name val="Calibri"/>
      <family val="2"/>
    </font>
    <font>
      <b/>
      <i/>
      <sz val="8"/>
      <color theme="1"/>
      <name val="Calibri"/>
      <family val="2"/>
    </font>
    <font>
      <b/>
      <sz val="10"/>
      <name val="Calibri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</font>
    <font>
      <u/>
      <sz val="10"/>
      <color theme="1"/>
      <name val="Calibri"/>
      <family val="2"/>
    </font>
    <font>
      <sz val="10"/>
      <name val="Calibri"/>
      <family val="2"/>
    </font>
    <font>
      <sz val="9"/>
      <color indexed="81"/>
      <name val="Tahoma"/>
      <family val="2"/>
    </font>
    <font>
      <sz val="11"/>
      <color theme="1"/>
      <name val="Calibri"/>
      <family val="2"/>
    </font>
    <font>
      <b/>
      <sz val="10"/>
      <color theme="1"/>
      <name val="Calibri"/>
      <family val="2"/>
      <scheme val="minor"/>
    </font>
    <font>
      <b/>
      <i/>
      <sz val="10"/>
      <color theme="1"/>
      <name val="Calibri"/>
      <family val="2"/>
    </font>
    <font>
      <sz val="10"/>
      <color indexed="8"/>
      <name val="Arial"/>
      <family val="2"/>
    </font>
    <font>
      <sz val="10"/>
      <color indexed="8"/>
      <name val="Calibri"/>
      <family val="2"/>
    </font>
    <font>
      <b/>
      <sz val="9"/>
      <color indexed="81"/>
      <name val="Tahoma"/>
      <family val="2"/>
    </font>
    <font>
      <b/>
      <sz val="12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indexed="8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0"/>
      <color indexed="8"/>
      <name val="Calibri"/>
      <family val="2"/>
    </font>
    <font>
      <b/>
      <i/>
      <sz val="10"/>
      <color indexed="8"/>
      <name val="Calibri"/>
      <family val="2"/>
    </font>
    <font>
      <b/>
      <sz val="10"/>
      <color indexed="10"/>
      <name val="Calibri"/>
      <family val="2"/>
    </font>
    <font>
      <sz val="10"/>
      <color indexed="10"/>
      <name val="Calibri"/>
      <family val="2"/>
    </font>
    <font>
      <u/>
      <sz val="10"/>
      <color indexed="12"/>
      <name val="Arial"/>
      <family val="2"/>
    </font>
    <font>
      <b/>
      <sz val="10"/>
      <color rgb="FFFF0000"/>
      <name val="Calibri"/>
      <family val="2"/>
    </font>
    <font>
      <sz val="10"/>
      <color indexed="8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C425"/>
        <bgColor indexed="64"/>
      </patternFill>
    </fill>
    <fill>
      <patternFill patternType="solid">
        <fgColor rgb="FF492F24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3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</borders>
  <cellStyleXfs count="15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1" fillId="0" borderId="0"/>
    <xf numFmtId="0" fontId="11" fillId="0" borderId="0"/>
    <xf numFmtId="0" fontId="21" fillId="0" borderId="0"/>
    <xf numFmtId="0" fontId="21" fillId="0" borderId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21" fillId="0" borderId="0"/>
    <xf numFmtId="0" fontId="21" fillId="0" borderId="0"/>
    <xf numFmtId="0" fontId="21" fillId="0" borderId="0"/>
    <xf numFmtId="44" fontId="21" fillId="0" borderId="0"/>
    <xf numFmtId="0" fontId="34" fillId="0" borderId="0" applyNumberFormat="0" applyFill="0" applyBorder="0" applyAlignment="0" applyProtection="0">
      <alignment vertical="top"/>
      <protection locked="0"/>
    </xf>
  </cellStyleXfs>
  <cellXfs count="503">
    <xf numFmtId="0" fontId="0" fillId="0" borderId="0" xfId="0"/>
    <xf numFmtId="0" fontId="2" fillId="2" borderId="1" xfId="0" applyFont="1" applyFill="1" applyBorder="1" applyAlignment="1">
      <alignment horizontal="center" wrapText="1"/>
    </xf>
    <xf numFmtId="0" fontId="0" fillId="0" borderId="2" xfId="0" applyBorder="1"/>
    <xf numFmtId="164" fontId="0" fillId="0" borderId="2" xfId="0" applyNumberFormat="1" applyBorder="1"/>
    <xf numFmtId="165" fontId="0" fillId="0" borderId="2" xfId="0" applyNumberFormat="1" applyBorder="1"/>
    <xf numFmtId="37" fontId="0" fillId="0" borderId="0" xfId="0" applyNumberFormat="1"/>
    <xf numFmtId="0" fontId="0" fillId="0" borderId="3" xfId="0" applyBorder="1"/>
    <xf numFmtId="165" fontId="0" fillId="0" borderId="0" xfId="0" applyNumberFormat="1"/>
    <xf numFmtId="164" fontId="2" fillId="0" borderId="4" xfId="0" applyNumberFormat="1" applyFont="1" applyBorder="1"/>
    <xf numFmtId="165" fontId="2" fillId="0" borderId="4" xfId="0" applyNumberFormat="1" applyFont="1" applyBorder="1"/>
    <xf numFmtId="5" fontId="0" fillId="0" borderId="0" xfId="0" applyNumberFormat="1"/>
    <xf numFmtId="165" fontId="0" fillId="0" borderId="0" xfId="2" applyNumberFormat="1" applyFont="1"/>
    <xf numFmtId="9" fontId="0" fillId="0" borderId="0" xfId="2" applyFont="1"/>
    <xf numFmtId="0" fontId="4" fillId="3" borderId="0" xfId="0" applyFont="1" applyFill="1" applyAlignment="1">
      <alignment horizontal="center"/>
    </xf>
    <xf numFmtId="0" fontId="5" fillId="4" borderId="0" xfId="0" applyFont="1" applyFill="1" applyAlignment="1">
      <alignment horizontal="center"/>
    </xf>
    <xf numFmtId="0" fontId="2" fillId="2" borderId="3" xfId="0" applyFont="1" applyFill="1" applyBorder="1"/>
    <xf numFmtId="0" fontId="2" fillId="2" borderId="3" xfId="0" applyFont="1" applyFill="1" applyBorder="1" applyAlignment="1">
      <alignment horizontal="center"/>
    </xf>
    <xf numFmtId="3" fontId="0" fillId="0" borderId="3" xfId="0" applyNumberFormat="1" applyBorder="1"/>
    <xf numFmtId="0" fontId="6" fillId="0" borderId="3" xfId="0" applyFont="1" applyBorder="1"/>
    <xf numFmtId="0" fontId="0" fillId="0" borderId="3" xfId="0" applyFill="1" applyBorder="1" applyAlignment="1">
      <alignment wrapText="1"/>
    </xf>
    <xf numFmtId="0" fontId="0" fillId="0" borderId="3" xfId="0" applyFill="1" applyBorder="1"/>
    <xf numFmtId="9" fontId="0" fillId="0" borderId="3" xfId="2" applyFont="1" applyBorder="1"/>
    <xf numFmtId="0" fontId="0" fillId="0" borderId="3" xfId="0" applyBorder="1" applyAlignment="1">
      <alignment horizontal="right"/>
    </xf>
    <xf numFmtId="0" fontId="0" fillId="0" borderId="3" xfId="0" applyFill="1" applyBorder="1" applyAlignment="1">
      <alignment horizontal="right"/>
    </xf>
    <xf numFmtId="1" fontId="0" fillId="0" borderId="3" xfId="0" applyNumberFormat="1" applyBorder="1"/>
    <xf numFmtId="166" fontId="0" fillId="0" borderId="3" xfId="0" applyNumberFormat="1" applyBorder="1"/>
    <xf numFmtId="0" fontId="0" fillId="0" borderId="3" xfId="0" applyBorder="1" applyAlignment="1">
      <alignment wrapText="1"/>
    </xf>
    <xf numFmtId="0" fontId="0" fillId="0" borderId="0" xfId="0" applyBorder="1" applyAlignment="1">
      <alignment wrapText="1"/>
    </xf>
    <xf numFmtId="0" fontId="0" fillId="0" borderId="0" xfId="0" applyBorder="1"/>
    <xf numFmtId="0" fontId="2" fillId="2" borderId="3" xfId="0" applyFont="1" applyFill="1" applyBorder="1" applyAlignment="1">
      <alignment wrapText="1"/>
    </xf>
    <xf numFmtId="0" fontId="6" fillId="0" borderId="3" xfId="0" applyFont="1" applyBorder="1" applyAlignment="1">
      <alignment wrapText="1"/>
    </xf>
    <xf numFmtId="3" fontId="7" fillId="0" borderId="0" xfId="1" applyNumberFormat="1" applyFont="1"/>
    <xf numFmtId="167" fontId="0" fillId="0" borderId="3" xfId="0" applyNumberFormat="1" applyFill="1" applyBorder="1"/>
    <xf numFmtId="165" fontId="0" fillId="0" borderId="3" xfId="0" applyNumberFormat="1" applyBorder="1"/>
    <xf numFmtId="165" fontId="0" fillId="0" borderId="0" xfId="0" applyNumberFormat="1" applyBorder="1"/>
    <xf numFmtId="168" fontId="0" fillId="0" borderId="0" xfId="0" applyNumberFormat="1" applyBorder="1"/>
    <xf numFmtId="168" fontId="0" fillId="0" borderId="0" xfId="0" applyNumberFormat="1"/>
    <xf numFmtId="3" fontId="0" fillId="0" borderId="0" xfId="0" applyNumberFormat="1" applyBorder="1"/>
    <xf numFmtId="165" fontId="0" fillId="0" borderId="3" xfId="0" applyNumberFormat="1" applyFont="1" applyFill="1" applyBorder="1"/>
    <xf numFmtId="0" fontId="9" fillId="0" borderId="0" xfId="0" applyFont="1" applyFill="1" applyBorder="1" applyAlignment="1">
      <alignment horizontal="center" wrapText="1"/>
    </xf>
    <xf numFmtId="0" fontId="0" fillId="0" borderId="0" xfId="0" applyFill="1"/>
    <xf numFmtId="0" fontId="2" fillId="0" borderId="0" xfId="0" applyFont="1" applyFill="1"/>
    <xf numFmtId="165" fontId="8" fillId="0" borderId="3" xfId="0" applyNumberFormat="1" applyFont="1" applyBorder="1"/>
    <xf numFmtId="165" fontId="8" fillId="0" borderId="3" xfId="0" applyNumberFormat="1" applyFont="1" applyFill="1" applyBorder="1"/>
    <xf numFmtId="4" fontId="0" fillId="0" borderId="3" xfId="0" applyNumberFormat="1" applyBorder="1"/>
    <xf numFmtId="44" fontId="0" fillId="0" borderId="0" xfId="1" applyFont="1"/>
    <xf numFmtId="0" fontId="2" fillId="2" borderId="3" xfId="0" applyFont="1" applyFill="1" applyBorder="1" applyAlignment="1">
      <alignment horizontal="center" wrapText="1"/>
    </xf>
    <xf numFmtId="0" fontId="2" fillId="0" borderId="0" xfId="0" applyFont="1" applyFill="1" applyBorder="1" applyAlignment="1">
      <alignment horizontal="left" wrapText="1"/>
    </xf>
    <xf numFmtId="165" fontId="12" fillId="0" borderId="3" xfId="3" applyNumberFormat="1" applyFont="1" applyBorder="1" applyProtection="1">
      <protection locked="0"/>
    </xf>
    <xf numFmtId="165" fontId="0" fillId="0" borderId="0" xfId="0" applyNumberFormat="1" applyFill="1" applyBorder="1" applyAlignment="1">
      <alignment horizontal="left"/>
    </xf>
    <xf numFmtId="165" fontId="13" fillId="0" borderId="3" xfId="0" applyNumberFormat="1" applyFont="1" applyBorder="1"/>
    <xf numFmtId="165" fontId="11" fillId="0" borderId="0" xfId="3" applyNumberFormat="1" applyFont="1" applyBorder="1" applyProtection="1">
      <protection locked="0"/>
    </xf>
    <xf numFmtId="165" fontId="13" fillId="0" borderId="3" xfId="0" applyNumberFormat="1" applyFont="1" applyFill="1" applyBorder="1"/>
    <xf numFmtId="0" fontId="2" fillId="2" borderId="3" xfId="0" applyFont="1" applyFill="1" applyBorder="1" applyAlignment="1">
      <alignment horizontal="center"/>
    </xf>
    <xf numFmtId="0" fontId="2" fillId="0" borderId="3" xfId="0" applyFont="1" applyBorder="1" applyAlignment="1">
      <alignment horizontal="center"/>
    </xf>
    <xf numFmtId="10" fontId="0" fillId="0" borderId="3" xfId="0" applyNumberFormat="1" applyBorder="1"/>
    <xf numFmtId="10" fontId="0" fillId="0" borderId="0" xfId="0" applyNumberFormat="1"/>
    <xf numFmtId="168" fontId="0" fillId="0" borderId="3" xfId="0" applyNumberFormat="1" applyBorder="1"/>
    <xf numFmtId="0" fontId="10" fillId="0" borderId="3" xfId="4" applyFont="1" applyFill="1" applyBorder="1" applyAlignment="1">
      <alignment horizontal="center"/>
    </xf>
    <xf numFmtId="0" fontId="10" fillId="0" borderId="3" xfId="4" applyFont="1" applyFill="1" applyBorder="1" applyAlignment="1">
      <alignment horizontal="center" wrapText="1"/>
    </xf>
    <xf numFmtId="170" fontId="16" fillId="0" borderId="3" xfId="4" applyNumberFormat="1" applyFont="1" applyFill="1" applyBorder="1" applyAlignment="1">
      <alignment horizontal="right"/>
    </xf>
    <xf numFmtId="0" fontId="4" fillId="0" borderId="0" xfId="0" applyFont="1" applyFill="1" applyAlignment="1">
      <alignment horizontal="center"/>
    </xf>
    <xf numFmtId="0" fontId="5" fillId="0" borderId="0" xfId="0" applyFont="1" applyFill="1" applyAlignment="1">
      <alignment horizontal="center"/>
    </xf>
    <xf numFmtId="0" fontId="14" fillId="2" borderId="5" xfId="0" applyFont="1" applyFill="1" applyBorder="1" applyAlignment="1"/>
    <xf numFmtId="0" fontId="14" fillId="2" borderId="6" xfId="0" applyFont="1" applyFill="1" applyBorder="1" applyAlignment="1"/>
    <xf numFmtId="0" fontId="0" fillId="2" borderId="6" xfId="0" applyFill="1" applyBorder="1"/>
    <xf numFmtId="0" fontId="0" fillId="2" borderId="7" xfId="0" applyFill="1" applyBorder="1"/>
    <xf numFmtId="0" fontId="2" fillId="0" borderId="2" xfId="0" applyFont="1" applyBorder="1"/>
    <xf numFmtId="3" fontId="2" fillId="0" borderId="2" xfId="0" applyNumberFormat="1" applyFont="1" applyBorder="1" applyAlignment="1">
      <alignment horizontal="center"/>
    </xf>
    <xf numFmtId="3" fontId="2" fillId="0" borderId="9" xfId="0" applyNumberFormat="1" applyFont="1" applyFill="1" applyBorder="1" applyAlignment="1">
      <alignment horizontal="center"/>
    </xf>
    <xf numFmtId="3" fontId="2" fillId="5" borderId="9" xfId="0" applyNumberFormat="1" applyFont="1" applyFill="1" applyBorder="1" applyAlignment="1">
      <alignment horizontal="center"/>
    </xf>
    <xf numFmtId="0" fontId="0" fillId="5" borderId="3" xfId="0" applyFill="1" applyBorder="1"/>
    <xf numFmtId="0" fontId="0" fillId="0" borderId="8" xfId="0" applyFill="1" applyBorder="1"/>
    <xf numFmtId="0" fontId="0" fillId="0" borderId="0" xfId="0" applyFill="1" applyBorder="1"/>
    <xf numFmtId="9" fontId="0" fillId="0" borderId="3" xfId="2" applyFont="1" applyFill="1" applyBorder="1"/>
    <xf numFmtId="9" fontId="0" fillId="5" borderId="3" xfId="2" applyFont="1" applyFill="1" applyBorder="1"/>
    <xf numFmtId="0" fontId="0" fillId="5" borderId="3" xfId="0" applyFill="1" applyBorder="1" applyAlignment="1">
      <alignment horizontal="right"/>
    </xf>
    <xf numFmtId="1" fontId="0" fillId="5" borderId="3" xfId="0" applyNumberFormat="1" applyFill="1" applyBorder="1"/>
    <xf numFmtId="166" fontId="0" fillId="5" borderId="3" xfId="0" applyNumberFormat="1" applyFill="1" applyBorder="1"/>
    <xf numFmtId="165" fontId="0" fillId="5" borderId="3" xfId="0" applyNumberFormat="1" applyFill="1" applyBorder="1"/>
    <xf numFmtId="0" fontId="14" fillId="2" borderId="5" xfId="0" applyFont="1" applyFill="1" applyBorder="1" applyAlignment="1">
      <alignment wrapText="1"/>
    </xf>
    <xf numFmtId="0" fontId="2" fillId="2" borderId="6" xfId="0" applyFont="1" applyFill="1" applyBorder="1" applyAlignment="1">
      <alignment wrapText="1"/>
    </xf>
    <xf numFmtId="0" fontId="2" fillId="2" borderId="7" xfId="0" applyFont="1" applyFill="1" applyBorder="1" applyAlignment="1">
      <alignment wrapText="1"/>
    </xf>
    <xf numFmtId="0" fontId="2" fillId="0" borderId="3" xfId="0" applyFont="1" applyFill="1" applyBorder="1" applyAlignment="1">
      <alignment wrapText="1"/>
    </xf>
    <xf numFmtId="0" fontId="2" fillId="0" borderId="3" xfId="0" applyFont="1" applyFill="1" applyBorder="1" applyAlignment="1">
      <alignment horizontal="center"/>
    </xf>
    <xf numFmtId="3" fontId="2" fillId="0" borderId="3" xfId="0" applyNumberFormat="1" applyFont="1" applyBorder="1" applyAlignment="1">
      <alignment horizontal="center"/>
    </xf>
    <xf numFmtId="3" fontId="2" fillId="0" borderId="3" xfId="0" applyNumberFormat="1" applyFont="1" applyFill="1" applyBorder="1" applyAlignment="1">
      <alignment horizontal="center"/>
    </xf>
    <xf numFmtId="3" fontId="2" fillId="5" borderId="3" xfId="0" applyNumberFormat="1" applyFont="1" applyFill="1" applyBorder="1" applyAlignment="1">
      <alignment horizontal="center"/>
    </xf>
    <xf numFmtId="167" fontId="0" fillId="0" borderId="3" xfId="0" applyNumberFormat="1" applyBorder="1"/>
    <xf numFmtId="167" fontId="0" fillId="5" borderId="3" xfId="0" applyNumberFormat="1" applyFill="1" applyBorder="1"/>
    <xf numFmtId="0" fontId="6" fillId="0" borderId="2" xfId="0" applyFont="1" applyBorder="1" applyAlignment="1">
      <alignment wrapText="1"/>
    </xf>
    <xf numFmtId="0" fontId="0" fillId="0" borderId="2" xfId="0" applyBorder="1" applyAlignment="1">
      <alignment wrapText="1"/>
    </xf>
    <xf numFmtId="165" fontId="0" fillId="0" borderId="3" xfId="0" applyNumberFormat="1" applyFont="1" applyBorder="1"/>
    <xf numFmtId="165" fontId="0" fillId="5" borderId="3" xfId="0" applyNumberFormat="1" applyFont="1" applyFill="1" applyBorder="1"/>
    <xf numFmtId="9" fontId="0" fillId="0" borderId="0" xfId="0" applyNumberFormat="1"/>
    <xf numFmtId="165" fontId="2" fillId="0" borderId="0" xfId="0" applyNumberFormat="1" applyFont="1" applyFill="1" applyBorder="1"/>
    <xf numFmtId="0" fontId="0" fillId="2" borderId="3" xfId="0" applyFill="1" applyBorder="1"/>
    <xf numFmtId="165" fontId="0" fillId="0" borderId="0" xfId="0" applyNumberFormat="1" applyFont="1" applyBorder="1"/>
    <xf numFmtId="165" fontId="2" fillId="2" borderId="3" xfId="0" applyNumberFormat="1" applyFont="1" applyFill="1" applyBorder="1"/>
    <xf numFmtId="0" fontId="2" fillId="0" borderId="0" xfId="0" applyFont="1" applyFill="1" applyBorder="1" applyAlignment="1">
      <alignment wrapText="1"/>
    </xf>
    <xf numFmtId="165" fontId="0" fillId="0" borderId="3" xfId="0" applyNumberFormat="1" applyBorder="1" applyAlignment="1">
      <alignment wrapText="1"/>
    </xf>
    <xf numFmtId="165" fontId="0" fillId="0" borderId="0" xfId="0" applyNumberFormat="1" applyFill="1" applyBorder="1"/>
    <xf numFmtId="2" fontId="0" fillId="0" borderId="3" xfId="0" applyNumberFormat="1" applyFont="1" applyBorder="1"/>
    <xf numFmtId="0" fontId="14" fillId="2" borderId="3" xfId="0" applyFont="1" applyFill="1" applyBorder="1" applyAlignment="1">
      <alignment horizontal="center"/>
    </xf>
    <xf numFmtId="0" fontId="3" fillId="0" borderId="0" xfId="0" applyFont="1" applyAlignment="1">
      <alignment horizontal="left"/>
    </xf>
    <xf numFmtId="3" fontId="2" fillId="0" borderId="9" xfId="0" applyNumberFormat="1" applyFont="1" applyBorder="1" applyAlignment="1">
      <alignment horizontal="center"/>
    </xf>
    <xf numFmtId="3" fontId="0" fillId="5" borderId="3" xfId="0" applyNumberFormat="1" applyFill="1" applyBorder="1"/>
    <xf numFmtId="0" fontId="0" fillId="5" borderId="3" xfId="2" applyNumberFormat="1" applyFont="1" applyFill="1" applyBorder="1"/>
    <xf numFmtId="9" fontId="0" fillId="5" borderId="3" xfId="0" applyNumberFormat="1" applyFill="1" applyBorder="1" applyAlignment="1">
      <alignment horizontal="right"/>
    </xf>
    <xf numFmtId="3" fontId="0" fillId="0" borderId="0" xfId="0" applyNumberFormat="1" applyFont="1" applyFill="1" applyBorder="1" applyAlignment="1">
      <alignment horizontal="right"/>
    </xf>
    <xf numFmtId="3" fontId="0" fillId="0" borderId="0" xfId="0" applyNumberFormat="1" applyFill="1" applyBorder="1"/>
    <xf numFmtId="1" fontId="0" fillId="0" borderId="0" xfId="0" applyNumberFormat="1"/>
    <xf numFmtId="0" fontId="14" fillId="2" borderId="3" xfId="0" applyFont="1" applyFill="1" applyBorder="1" applyAlignment="1"/>
    <xf numFmtId="0" fontId="18" fillId="0" borderId="3" xfId="0" applyFont="1" applyFill="1" applyBorder="1" applyAlignment="1">
      <alignment horizontal="left"/>
    </xf>
    <xf numFmtId="3" fontId="18" fillId="0" borderId="3" xfId="0" applyNumberFormat="1" applyFont="1" applyFill="1" applyBorder="1" applyAlignment="1">
      <alignment horizontal="center"/>
    </xf>
    <xf numFmtId="0" fontId="18" fillId="0" borderId="3" xfId="0" applyFont="1" applyBorder="1" applyAlignment="1">
      <alignment wrapText="1"/>
    </xf>
    <xf numFmtId="165" fontId="18" fillId="0" borderId="3" xfId="0" applyNumberFormat="1" applyFont="1" applyBorder="1" applyAlignment="1">
      <alignment horizontal="center"/>
    </xf>
    <xf numFmtId="0" fontId="0" fillId="0" borderId="0" xfId="0" applyFill="1" applyAlignment="1">
      <alignment horizontal="center" wrapText="1"/>
    </xf>
    <xf numFmtId="0" fontId="14" fillId="2" borderId="3" xfId="0" applyFont="1" applyFill="1" applyBorder="1" applyAlignment="1">
      <alignment horizontal="center" wrapText="1"/>
    </xf>
    <xf numFmtId="3" fontId="18" fillId="0" borderId="3" xfId="0" applyNumberFormat="1" applyFont="1" applyBorder="1"/>
    <xf numFmtId="2" fontId="18" fillId="0" borderId="3" xfId="0" applyNumberFormat="1" applyFont="1" applyBorder="1"/>
    <xf numFmtId="165" fontId="18" fillId="0" borderId="3" xfId="0" applyNumberFormat="1" applyFont="1" applyBorder="1"/>
    <xf numFmtId="4" fontId="0" fillId="0" borderId="2" xfId="0" applyNumberFormat="1" applyBorder="1"/>
    <xf numFmtId="5" fontId="0" fillId="0" borderId="2" xfId="0" applyNumberFormat="1" applyBorder="1"/>
    <xf numFmtId="4" fontId="2" fillId="0" borderId="4" xfId="0" applyNumberFormat="1" applyFont="1" applyBorder="1"/>
    <xf numFmtId="0" fontId="18" fillId="0" borderId="0" xfId="0" applyFont="1"/>
    <xf numFmtId="171" fontId="0" fillId="0" borderId="0" xfId="0" applyNumberFormat="1"/>
    <xf numFmtId="0" fontId="19" fillId="0" borderId="0" xfId="0" applyFont="1"/>
    <xf numFmtId="0" fontId="2" fillId="0" borderId="0" xfId="0" applyFont="1" applyAlignment="1">
      <alignment horizontal="center"/>
    </xf>
    <xf numFmtId="0" fontId="2" fillId="2" borderId="1" xfId="0" applyFont="1" applyFill="1" applyBorder="1"/>
    <xf numFmtId="0" fontId="10" fillId="2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0" fillId="0" borderId="2" xfId="0" applyFill="1" applyBorder="1"/>
    <xf numFmtId="0" fontId="0" fillId="0" borderId="2" xfId="0" applyFill="1" applyBorder="1" applyAlignment="1">
      <alignment horizontal="center"/>
    </xf>
    <xf numFmtId="171" fontId="22" fillId="0" borderId="2" xfId="5" applyNumberFormat="1" applyFont="1" applyFill="1" applyBorder="1" applyAlignment="1">
      <alignment horizontal="right"/>
    </xf>
    <xf numFmtId="1" fontId="0" fillId="0" borderId="2" xfId="0" applyNumberFormat="1" applyBorder="1"/>
    <xf numFmtId="2" fontId="0" fillId="0" borderId="2" xfId="0" applyNumberFormat="1" applyBorder="1"/>
    <xf numFmtId="5" fontId="0" fillId="0" borderId="2" xfId="0" applyNumberFormat="1" applyFill="1" applyBorder="1"/>
    <xf numFmtId="0" fontId="0" fillId="0" borderId="3" xfId="0" applyFill="1" applyBorder="1" applyAlignment="1">
      <alignment horizontal="center"/>
    </xf>
    <xf numFmtId="171" fontId="22" fillId="0" borderId="3" xfId="5" applyNumberFormat="1" applyFont="1" applyFill="1" applyBorder="1" applyAlignment="1">
      <alignment horizontal="right"/>
    </xf>
    <xf numFmtId="5" fontId="0" fillId="0" borderId="3" xfId="0" applyNumberFormat="1" applyBorder="1"/>
    <xf numFmtId="5" fontId="0" fillId="0" borderId="3" xfId="0" applyNumberFormat="1" applyFill="1" applyBorder="1"/>
    <xf numFmtId="0" fontId="0" fillId="0" borderId="0" xfId="0" applyAlignment="1">
      <alignment horizontal="center"/>
    </xf>
    <xf numFmtId="0" fontId="0" fillId="0" borderId="4" xfId="0" applyBorder="1" applyAlignment="1">
      <alignment horizontal="center"/>
    </xf>
    <xf numFmtId="37" fontId="2" fillId="0" borderId="4" xfId="0" applyNumberFormat="1" applyFont="1" applyBorder="1" applyAlignment="1">
      <alignment horizontal="center"/>
    </xf>
    <xf numFmtId="0" fontId="2" fillId="0" borderId="4" xfId="0" applyFont="1" applyBorder="1"/>
    <xf numFmtId="171" fontId="2" fillId="0" borderId="4" xfId="0" applyNumberFormat="1" applyFont="1" applyBorder="1" applyAlignment="1">
      <alignment horizontal="right"/>
    </xf>
    <xf numFmtId="172" fontId="2" fillId="0" borderId="4" xfId="0" applyNumberFormat="1" applyFont="1" applyBorder="1" applyAlignment="1">
      <alignment horizontal="right"/>
    </xf>
    <xf numFmtId="0" fontId="0" fillId="0" borderId="4" xfId="0" applyBorder="1"/>
    <xf numFmtId="5" fontId="2" fillId="0" borderId="4" xfId="0" applyNumberFormat="1" applyFont="1" applyBorder="1"/>
    <xf numFmtId="39" fontId="0" fillId="0" borderId="0" xfId="0" applyNumberFormat="1"/>
    <xf numFmtId="165" fontId="0" fillId="0" borderId="0" xfId="0" applyNumberFormat="1" applyFill="1"/>
    <xf numFmtId="0" fontId="14" fillId="0" borderId="0" xfId="0" applyFont="1" applyAlignment="1">
      <alignment horizontal="left"/>
    </xf>
    <xf numFmtId="0" fontId="16" fillId="0" borderId="0" xfId="0" applyFont="1" applyFill="1"/>
    <xf numFmtId="1" fontId="10" fillId="2" borderId="16" xfId="0" applyNumberFormat="1" applyFont="1" applyFill="1" applyBorder="1" applyAlignment="1">
      <alignment horizontal="center" wrapText="1"/>
    </xf>
    <xf numFmtId="4" fontId="10" fillId="2" borderId="2" xfId="0" applyNumberFormat="1" applyFont="1" applyFill="1" applyBorder="1" applyAlignment="1">
      <alignment horizontal="center" wrapText="1"/>
    </xf>
    <xf numFmtId="4" fontId="10" fillId="2" borderId="17" xfId="0" applyNumberFormat="1" applyFont="1" applyFill="1" applyBorder="1" applyAlignment="1">
      <alignment horizontal="center" wrapText="1"/>
    </xf>
    <xf numFmtId="0" fontId="10" fillId="0" borderId="0" xfId="0" applyFont="1" applyFill="1"/>
    <xf numFmtId="164" fontId="16" fillId="0" borderId="18" xfId="0" applyNumberFormat="1" applyFont="1" applyFill="1" applyBorder="1" applyAlignment="1">
      <alignment horizontal="right" wrapText="1"/>
    </xf>
    <xf numFmtId="165" fontId="16" fillId="0" borderId="3" xfId="0" applyNumberFormat="1" applyFont="1" applyFill="1" applyBorder="1" applyAlignment="1">
      <alignment horizontal="right" wrapText="1"/>
    </xf>
    <xf numFmtId="165" fontId="16" fillId="0" borderId="19" xfId="0" applyNumberFormat="1" applyFont="1" applyFill="1" applyBorder="1" applyAlignment="1">
      <alignment horizontal="right" wrapText="1"/>
    </xf>
    <xf numFmtId="164" fontId="22" fillId="0" borderId="18" xfId="6" applyNumberFormat="1" applyFont="1" applyFill="1" applyBorder="1" applyAlignment="1">
      <alignment horizontal="right" vertical="center"/>
    </xf>
    <xf numFmtId="165" fontId="16" fillId="0" borderId="3" xfId="6" applyNumberFormat="1" applyFont="1" applyFill="1" applyBorder="1" applyAlignment="1">
      <alignment horizontal="right" vertical="center" wrapText="1"/>
    </xf>
    <xf numFmtId="165" fontId="22" fillId="0" borderId="19" xfId="6" applyNumberFormat="1" applyFont="1" applyFill="1" applyBorder="1" applyAlignment="1">
      <alignment horizontal="right"/>
    </xf>
    <xf numFmtId="165" fontId="22" fillId="0" borderId="3" xfId="6" applyNumberFormat="1" applyFont="1" applyFill="1" applyBorder="1" applyAlignment="1">
      <alignment horizontal="right" vertical="center" wrapText="1"/>
    </xf>
    <xf numFmtId="164" fontId="16" fillId="0" borderId="18" xfId="0" applyNumberFormat="1" applyFont="1" applyFill="1" applyBorder="1" applyAlignment="1">
      <alignment horizontal="right"/>
    </xf>
    <xf numFmtId="164" fontId="22" fillId="0" borderId="18" xfId="6" applyNumberFormat="1" applyFont="1" applyFill="1" applyBorder="1" applyAlignment="1"/>
    <xf numFmtId="168" fontId="16" fillId="0" borderId="3" xfId="0" applyNumberFormat="1" applyFont="1" applyFill="1" applyBorder="1" applyAlignment="1">
      <alignment horizontal="right" wrapText="1"/>
    </xf>
    <xf numFmtId="164" fontId="16" fillId="0" borderId="18" xfId="0" applyNumberFormat="1" applyFont="1" applyBorder="1" applyAlignment="1">
      <alignment horizontal="right"/>
    </xf>
    <xf numFmtId="165" fontId="16" fillId="0" borderId="19" xfId="0" applyNumberFormat="1" applyFont="1" applyBorder="1" applyAlignment="1">
      <alignment horizontal="right" wrapText="1"/>
    </xf>
    <xf numFmtId="164" fontId="22" fillId="0" borderId="18" xfId="6" applyNumberFormat="1" applyFont="1" applyBorder="1" applyAlignment="1"/>
    <xf numFmtId="165" fontId="22" fillId="0" borderId="19" xfId="6" applyNumberFormat="1" applyFont="1" applyBorder="1" applyAlignment="1">
      <alignment horizontal="right"/>
    </xf>
    <xf numFmtId="164" fontId="22" fillId="0" borderId="20" xfId="6" applyNumberFormat="1" applyFont="1" applyBorder="1" applyAlignment="1"/>
    <xf numFmtId="165" fontId="16" fillId="0" borderId="1" xfId="6" applyNumberFormat="1" applyFont="1" applyFill="1" applyBorder="1" applyAlignment="1">
      <alignment horizontal="right" vertical="center" wrapText="1"/>
    </xf>
    <xf numFmtId="165" fontId="22" fillId="0" borderId="21" xfId="6" applyNumberFormat="1" applyFont="1" applyBorder="1" applyAlignment="1">
      <alignment horizontal="right"/>
    </xf>
    <xf numFmtId="165" fontId="22" fillId="0" borderId="1" xfId="6" applyNumberFormat="1" applyFont="1" applyFill="1" applyBorder="1" applyAlignment="1">
      <alignment horizontal="right" vertical="center" wrapText="1"/>
    </xf>
    <xf numFmtId="164" fontId="16" fillId="0" borderId="20" xfId="0" applyNumberFormat="1" applyFont="1" applyBorder="1" applyAlignment="1">
      <alignment horizontal="right"/>
    </xf>
    <xf numFmtId="165" fontId="16" fillId="0" borderId="1" xfId="0" applyNumberFormat="1" applyFont="1" applyFill="1" applyBorder="1" applyAlignment="1">
      <alignment horizontal="right" wrapText="1"/>
    </xf>
    <xf numFmtId="165" fontId="16" fillId="0" borderId="21" xfId="0" applyNumberFormat="1" applyFont="1" applyBorder="1" applyAlignment="1">
      <alignment horizontal="right" wrapText="1"/>
    </xf>
    <xf numFmtId="0" fontId="3" fillId="0" borderId="0" xfId="0" applyFont="1" applyAlignment="1"/>
    <xf numFmtId="170" fontId="0" fillId="0" borderId="0" xfId="2" applyNumberFormat="1" applyFont="1"/>
    <xf numFmtId="173" fontId="0" fillId="0" borderId="0" xfId="2" applyNumberFormat="1" applyFont="1"/>
    <xf numFmtId="0" fontId="2" fillId="0" borderId="11" xfId="0" applyFont="1" applyBorder="1" applyAlignment="1"/>
    <xf numFmtId="3" fontId="0" fillId="0" borderId="2" xfId="0" applyNumberFormat="1" applyBorder="1"/>
    <xf numFmtId="168" fontId="0" fillId="0" borderId="2" xfId="0" applyNumberFormat="1" applyBorder="1"/>
    <xf numFmtId="165" fontId="0" fillId="0" borderId="2" xfId="0" applyNumberFormat="1" applyFill="1" applyBorder="1"/>
    <xf numFmtId="3" fontId="2" fillId="0" borderId="4" xfId="0" applyNumberFormat="1" applyFont="1" applyBorder="1"/>
    <xf numFmtId="168" fontId="2" fillId="0" borderId="4" xfId="0" applyNumberFormat="1" applyFont="1" applyBorder="1"/>
    <xf numFmtId="0" fontId="0" fillId="0" borderId="0" xfId="0" applyAlignment="1">
      <alignment horizontal="left"/>
    </xf>
    <xf numFmtId="0" fontId="13" fillId="0" borderId="0" xfId="0" applyFont="1"/>
    <xf numFmtId="0" fontId="19" fillId="2" borderId="1" xfId="0" applyFont="1" applyFill="1" applyBorder="1" applyAlignment="1">
      <alignment horizontal="center" wrapText="1"/>
    </xf>
    <xf numFmtId="0" fontId="13" fillId="0" borderId="2" xfId="0" applyFont="1" applyBorder="1"/>
    <xf numFmtId="0" fontId="13" fillId="0" borderId="2" xfId="0" applyFont="1" applyBorder="1" applyAlignment="1">
      <alignment horizontal="center"/>
    </xf>
    <xf numFmtId="37" fontId="12" fillId="7" borderId="2" xfId="7" applyNumberFormat="1" applyFont="1" applyFill="1" applyBorder="1"/>
    <xf numFmtId="37" fontId="13" fillId="0" borderId="2" xfId="0" applyNumberFormat="1" applyFont="1" applyBorder="1" applyAlignment="1">
      <alignment horizontal="right"/>
    </xf>
    <xf numFmtId="1" fontId="12" fillId="7" borderId="2" xfId="0" applyNumberFormat="1" applyFont="1" applyFill="1" applyBorder="1"/>
    <xf numFmtId="1" fontId="12" fillId="0" borderId="2" xfId="0" applyNumberFormat="1" applyFont="1" applyFill="1" applyBorder="1"/>
    <xf numFmtId="0" fontId="12" fillId="7" borderId="2" xfId="0" applyFont="1" applyFill="1" applyBorder="1"/>
    <xf numFmtId="164" fontId="13" fillId="0" borderId="2" xfId="0" applyNumberFormat="1" applyFont="1" applyBorder="1" applyAlignment="1">
      <alignment horizontal="right"/>
    </xf>
    <xf numFmtId="10" fontId="13" fillId="0" borderId="2" xfId="2" applyNumberFormat="1" applyFont="1" applyBorder="1" applyAlignment="1">
      <alignment horizontal="right"/>
    </xf>
    <xf numFmtId="2" fontId="13" fillId="0" borderId="2" xfId="0" applyNumberFormat="1" applyFont="1" applyBorder="1" applyAlignment="1">
      <alignment horizontal="right"/>
    </xf>
    <xf numFmtId="165" fontId="13" fillId="0" borderId="2" xfId="0" applyNumberFormat="1" applyFont="1" applyBorder="1" applyAlignment="1">
      <alignment horizontal="right"/>
    </xf>
    <xf numFmtId="2" fontId="13" fillId="0" borderId="2" xfId="0" applyNumberFormat="1" applyFont="1" applyBorder="1"/>
    <xf numFmtId="174" fontId="13" fillId="0" borderId="2" xfId="0" applyNumberFormat="1" applyFont="1" applyBorder="1"/>
    <xf numFmtId="165" fontId="13" fillId="0" borderId="2" xfId="0" applyNumberFormat="1" applyFont="1" applyBorder="1"/>
    <xf numFmtId="0" fontId="13" fillId="0" borderId="3" xfId="0" applyFont="1" applyBorder="1"/>
    <xf numFmtId="0" fontId="13" fillId="0" borderId="3" xfId="0" applyFont="1" applyBorder="1" applyAlignment="1">
      <alignment horizontal="center"/>
    </xf>
    <xf numFmtId="37" fontId="12" fillId="7" borderId="3" xfId="7" applyNumberFormat="1" applyFont="1" applyFill="1" applyBorder="1"/>
    <xf numFmtId="1" fontId="12" fillId="7" borderId="3" xfId="0" applyNumberFormat="1" applyFont="1" applyFill="1" applyBorder="1"/>
    <xf numFmtId="0" fontId="12" fillId="7" borderId="3" xfId="0" applyFont="1" applyFill="1" applyBorder="1"/>
    <xf numFmtId="0" fontId="25" fillId="0" borderId="3" xfId="0" applyFont="1" applyFill="1" applyBorder="1"/>
    <xf numFmtId="0" fontId="25" fillId="0" borderId="3" xfId="0" applyFont="1" applyFill="1" applyBorder="1" applyAlignment="1">
      <alignment horizontal="center"/>
    </xf>
    <xf numFmtId="0" fontId="25" fillId="0" borderId="3" xfId="5" applyFont="1" applyFill="1" applyBorder="1" applyAlignment="1">
      <alignment horizontal="center"/>
    </xf>
    <xf numFmtId="37" fontId="25" fillId="7" borderId="3" xfId="7" applyNumberFormat="1" applyFont="1" applyFill="1" applyBorder="1"/>
    <xf numFmtId="37" fontId="25" fillId="0" borderId="2" xfId="0" applyNumberFormat="1" applyFont="1" applyBorder="1" applyAlignment="1">
      <alignment horizontal="right"/>
    </xf>
    <xf numFmtId="1" fontId="25" fillId="7" borderId="3" xfId="8" applyNumberFormat="1" applyFont="1" applyFill="1" applyBorder="1"/>
    <xf numFmtId="0" fontId="25" fillId="7" borderId="3" xfId="0" applyFont="1" applyFill="1" applyBorder="1"/>
    <xf numFmtId="164" fontId="25" fillId="0" borderId="3" xfId="0" applyNumberFormat="1" applyFont="1" applyBorder="1"/>
    <xf numFmtId="164" fontId="25" fillId="0" borderId="2" xfId="0" applyNumberFormat="1" applyFont="1" applyBorder="1" applyAlignment="1">
      <alignment horizontal="right"/>
    </xf>
    <xf numFmtId="10" fontId="25" fillId="0" borderId="2" xfId="2" applyNumberFormat="1" applyFont="1" applyBorder="1" applyAlignment="1">
      <alignment horizontal="right"/>
    </xf>
    <xf numFmtId="2" fontId="25" fillId="0" borderId="3" xfId="0" applyNumberFormat="1" applyFont="1" applyBorder="1"/>
    <xf numFmtId="165" fontId="25" fillId="0" borderId="2" xfId="0" applyNumberFormat="1" applyFont="1" applyBorder="1" applyAlignment="1">
      <alignment horizontal="right"/>
    </xf>
    <xf numFmtId="2" fontId="25" fillId="0" borderId="2" xfId="0" applyNumberFormat="1" applyFont="1" applyBorder="1"/>
    <xf numFmtId="174" fontId="25" fillId="0" borderId="2" xfId="0" applyNumberFormat="1" applyFont="1" applyBorder="1"/>
    <xf numFmtId="165" fontId="25" fillId="0" borderId="2" xfId="0" applyNumberFormat="1" applyFont="1" applyBorder="1"/>
    <xf numFmtId="165" fontId="25" fillId="0" borderId="3" xfId="0" applyNumberFormat="1" applyFont="1" applyBorder="1"/>
    <xf numFmtId="0" fontId="25" fillId="0" borderId="0" xfId="0" applyFont="1"/>
    <xf numFmtId="0" fontId="12" fillId="0" borderId="3" xfId="0" applyFont="1" applyFill="1" applyBorder="1"/>
    <xf numFmtId="0" fontId="12" fillId="0" borderId="3" xfId="0" applyFont="1" applyFill="1" applyBorder="1" applyAlignment="1">
      <alignment horizontal="center"/>
    </xf>
    <xf numFmtId="0" fontId="26" fillId="0" borderId="3" xfId="5" applyFont="1" applyFill="1" applyBorder="1" applyAlignment="1">
      <alignment horizontal="center"/>
    </xf>
    <xf numFmtId="0" fontId="13" fillId="0" borderId="3" xfId="0" applyFont="1" applyFill="1" applyBorder="1"/>
    <xf numFmtId="0" fontId="13" fillId="0" borderId="3" xfId="0" applyFont="1" applyFill="1" applyBorder="1" applyAlignment="1">
      <alignment horizontal="center"/>
    </xf>
    <xf numFmtId="0" fontId="13" fillId="0" borderId="3" xfId="5" applyFont="1" applyFill="1" applyBorder="1" applyAlignment="1">
      <alignment horizontal="center"/>
    </xf>
    <xf numFmtId="1" fontId="25" fillId="7" borderId="3" xfId="0" applyNumberFormat="1" applyFont="1" applyFill="1" applyBorder="1"/>
    <xf numFmtId="2" fontId="25" fillId="0" borderId="2" xfId="0" applyNumberFormat="1" applyFont="1" applyBorder="1" applyAlignment="1">
      <alignment horizontal="right"/>
    </xf>
    <xf numFmtId="37" fontId="13" fillId="0" borderId="2" xfId="0" applyNumberFormat="1" applyFont="1" applyFill="1" applyBorder="1" applyAlignment="1">
      <alignment horizontal="right"/>
    </xf>
    <xf numFmtId="164" fontId="13" fillId="0" borderId="2" xfId="0" applyNumberFormat="1" applyFont="1" applyFill="1" applyBorder="1" applyAlignment="1">
      <alignment horizontal="right"/>
    </xf>
    <xf numFmtId="10" fontId="13" fillId="0" borderId="2" xfId="2" applyNumberFormat="1" applyFont="1" applyFill="1" applyBorder="1" applyAlignment="1">
      <alignment horizontal="right"/>
    </xf>
    <xf numFmtId="2" fontId="13" fillId="0" borderId="2" xfId="0" applyNumberFormat="1" applyFont="1" applyFill="1" applyBorder="1" applyAlignment="1">
      <alignment horizontal="right"/>
    </xf>
    <xf numFmtId="165" fontId="13" fillId="0" borderId="2" xfId="0" applyNumberFormat="1" applyFont="1" applyFill="1" applyBorder="1" applyAlignment="1">
      <alignment horizontal="right"/>
    </xf>
    <xf numFmtId="2" fontId="13" fillId="0" borderId="2" xfId="0" applyNumberFormat="1" applyFont="1" applyFill="1" applyBorder="1"/>
    <xf numFmtId="174" fontId="13" fillId="0" borderId="2" xfId="0" applyNumberFormat="1" applyFont="1" applyFill="1" applyBorder="1"/>
    <xf numFmtId="165" fontId="13" fillId="0" borderId="2" xfId="0" applyNumberFormat="1" applyFont="1" applyFill="1" applyBorder="1"/>
    <xf numFmtId="0" fontId="13" fillId="0" borderId="0" xfId="0" applyFont="1" applyFill="1"/>
    <xf numFmtId="37" fontId="12" fillId="7" borderId="3" xfId="9" applyNumberFormat="1" applyFont="1" applyFill="1" applyBorder="1"/>
    <xf numFmtId="0" fontId="12" fillId="0" borderId="3" xfId="5" applyFont="1" applyFill="1" applyBorder="1" applyAlignment="1">
      <alignment horizontal="center"/>
    </xf>
    <xf numFmtId="37" fontId="12" fillId="0" borderId="2" xfId="0" applyNumberFormat="1" applyFont="1" applyBorder="1" applyAlignment="1">
      <alignment horizontal="right"/>
    </xf>
    <xf numFmtId="164" fontId="12" fillId="0" borderId="2" xfId="0" applyNumberFormat="1" applyFont="1" applyBorder="1" applyAlignment="1">
      <alignment horizontal="right"/>
    </xf>
    <xf numFmtId="10" fontId="12" fillId="0" borderId="2" xfId="2" applyNumberFormat="1" applyFont="1" applyBorder="1" applyAlignment="1">
      <alignment horizontal="right"/>
    </xf>
    <xf numFmtId="2" fontId="12" fillId="0" borderId="2" xfId="0" applyNumberFormat="1" applyFont="1" applyBorder="1" applyAlignment="1">
      <alignment horizontal="right"/>
    </xf>
    <xf numFmtId="165" fontId="12" fillId="0" borderId="2" xfId="0" applyNumberFormat="1" applyFont="1" applyBorder="1" applyAlignment="1">
      <alignment horizontal="right"/>
    </xf>
    <xf numFmtId="2" fontId="12" fillId="0" borderId="2" xfId="0" applyNumberFormat="1" applyFont="1" applyBorder="1"/>
    <xf numFmtId="174" fontId="12" fillId="0" borderId="2" xfId="0" applyNumberFormat="1" applyFont="1" applyBorder="1"/>
    <xf numFmtId="165" fontId="12" fillId="0" borderId="2" xfId="0" applyNumberFormat="1" applyFont="1" applyBorder="1"/>
    <xf numFmtId="165" fontId="12" fillId="0" borderId="3" xfId="0" applyNumberFormat="1" applyFont="1" applyBorder="1"/>
    <xf numFmtId="0" fontId="12" fillId="0" borderId="0" xfId="0" applyFont="1"/>
    <xf numFmtId="2" fontId="12" fillId="0" borderId="3" xfId="0" applyNumberFormat="1" applyFont="1" applyBorder="1"/>
    <xf numFmtId="37" fontId="25" fillId="7" borderId="3" xfId="9" applyNumberFormat="1" applyFont="1" applyFill="1" applyBorder="1"/>
    <xf numFmtId="37" fontId="25" fillId="0" borderId="2" xfId="0" applyNumberFormat="1" applyFont="1" applyFill="1" applyBorder="1" applyAlignment="1">
      <alignment horizontal="right"/>
    </xf>
    <xf numFmtId="1" fontId="25" fillId="0" borderId="2" xfId="0" applyNumberFormat="1" applyFont="1" applyFill="1" applyBorder="1"/>
    <xf numFmtId="164" fontId="25" fillId="0" borderId="2" xfId="0" applyNumberFormat="1" applyFont="1" applyFill="1" applyBorder="1" applyAlignment="1">
      <alignment horizontal="right"/>
    </xf>
    <xf numFmtId="10" fontId="25" fillId="0" borderId="2" xfId="2" applyNumberFormat="1" applyFont="1" applyFill="1" applyBorder="1" applyAlignment="1">
      <alignment horizontal="right"/>
    </xf>
    <xf numFmtId="2" fontId="25" fillId="0" borderId="2" xfId="0" applyNumberFormat="1" applyFont="1" applyFill="1" applyBorder="1" applyAlignment="1">
      <alignment horizontal="right"/>
    </xf>
    <xf numFmtId="165" fontId="25" fillId="0" borderId="2" xfId="0" applyNumberFormat="1" applyFont="1" applyFill="1" applyBorder="1" applyAlignment="1">
      <alignment horizontal="right"/>
    </xf>
    <xf numFmtId="2" fontId="25" fillId="0" borderId="2" xfId="0" applyNumberFormat="1" applyFont="1" applyFill="1" applyBorder="1"/>
    <xf numFmtId="174" fontId="25" fillId="0" borderId="2" xfId="0" applyNumberFormat="1" applyFont="1" applyFill="1" applyBorder="1"/>
    <xf numFmtId="165" fontId="25" fillId="0" borderId="2" xfId="0" applyNumberFormat="1" applyFont="1" applyFill="1" applyBorder="1"/>
    <xf numFmtId="165" fontId="25" fillId="0" borderId="3" xfId="0" applyNumberFormat="1" applyFont="1" applyFill="1" applyBorder="1"/>
    <xf numFmtId="37" fontId="26" fillId="7" borderId="3" xfId="0" applyNumberFormat="1" applyFont="1" applyFill="1" applyBorder="1" applyAlignment="1">
      <alignment horizontal="right" wrapText="1"/>
    </xf>
    <xf numFmtId="37" fontId="12" fillId="7" borderId="3" xfId="0" applyNumberFormat="1" applyFont="1" applyFill="1" applyBorder="1"/>
    <xf numFmtId="37" fontId="13" fillId="7" borderId="3" xfId="7" applyNumberFormat="1" applyFont="1" applyFill="1" applyBorder="1"/>
    <xf numFmtId="1" fontId="13" fillId="7" borderId="3" xfId="0" applyNumberFormat="1" applyFont="1" applyFill="1" applyBorder="1"/>
    <xf numFmtId="0" fontId="13" fillId="7" borderId="3" xfId="0" applyFont="1" applyFill="1" applyBorder="1"/>
    <xf numFmtId="37" fontId="12" fillId="0" borderId="2" xfId="0" applyNumberFormat="1" applyFont="1" applyFill="1" applyBorder="1" applyAlignment="1">
      <alignment horizontal="right"/>
    </xf>
    <xf numFmtId="164" fontId="12" fillId="0" borderId="2" xfId="0" applyNumberFormat="1" applyFont="1" applyFill="1" applyBorder="1" applyAlignment="1">
      <alignment horizontal="right"/>
    </xf>
    <xf numFmtId="10" fontId="12" fillId="0" borderId="2" xfId="2" applyNumberFormat="1" applyFont="1" applyFill="1" applyBorder="1" applyAlignment="1">
      <alignment horizontal="right"/>
    </xf>
    <xf numFmtId="165" fontId="12" fillId="0" borderId="2" xfId="0" applyNumberFormat="1" applyFont="1" applyFill="1" applyBorder="1" applyAlignment="1">
      <alignment horizontal="right"/>
    </xf>
    <xf numFmtId="2" fontId="12" fillId="0" borderId="2" xfId="0" applyNumberFormat="1" applyFont="1" applyFill="1" applyBorder="1"/>
    <xf numFmtId="174" fontId="12" fillId="0" borderId="2" xfId="0" applyNumberFormat="1" applyFont="1" applyFill="1" applyBorder="1"/>
    <xf numFmtId="165" fontId="12" fillId="0" borderId="2" xfId="0" applyNumberFormat="1" applyFont="1" applyFill="1" applyBorder="1"/>
    <xf numFmtId="165" fontId="12" fillId="0" borderId="3" xfId="0" applyNumberFormat="1" applyFont="1" applyFill="1" applyBorder="1"/>
    <xf numFmtId="0" fontId="25" fillId="0" borderId="0" xfId="0" applyFont="1" applyFill="1"/>
    <xf numFmtId="0" fontId="13" fillId="0" borderId="0" xfId="0" applyFont="1" applyAlignment="1">
      <alignment horizontal="center"/>
    </xf>
    <xf numFmtId="0" fontId="19" fillId="0" borderId="4" xfId="0" applyFont="1" applyBorder="1" applyAlignment="1">
      <alignment horizontal="center"/>
    </xf>
    <xf numFmtId="3" fontId="19" fillId="0" borderId="4" xfId="0" applyNumberFormat="1" applyFont="1" applyBorder="1"/>
    <xf numFmtId="164" fontId="19" fillId="0" borderId="4" xfId="0" applyNumberFormat="1" applyFont="1" applyBorder="1"/>
    <xf numFmtId="4" fontId="19" fillId="0" borderId="4" xfId="0" applyNumberFormat="1" applyFont="1" applyBorder="1"/>
    <xf numFmtId="0" fontId="13" fillId="0" borderId="4" xfId="0" applyFont="1" applyBorder="1"/>
    <xf numFmtId="39" fontId="19" fillId="0" borderId="4" xfId="0" applyNumberFormat="1" applyFont="1" applyBorder="1"/>
    <xf numFmtId="165" fontId="19" fillId="0" borderId="4" xfId="0" applyNumberFormat="1" applyFont="1" applyBorder="1"/>
    <xf numFmtId="4" fontId="13" fillId="0" borderId="0" xfId="0" applyNumberFormat="1" applyFont="1"/>
    <xf numFmtId="0" fontId="24" fillId="0" borderId="0" xfId="0" applyFont="1" applyAlignment="1">
      <alignment horizontal="left"/>
    </xf>
    <xf numFmtId="0" fontId="27" fillId="0" borderId="0" xfId="0" applyFont="1" applyFill="1"/>
    <xf numFmtId="37" fontId="25" fillId="0" borderId="3" xfId="0" applyNumberFormat="1" applyFont="1" applyBorder="1"/>
    <xf numFmtId="37" fontId="19" fillId="0" borderId="4" xfId="0" applyNumberFormat="1" applyFont="1" applyBorder="1"/>
    <xf numFmtId="164" fontId="13" fillId="0" borderId="0" xfId="0" applyNumberFormat="1" applyFont="1"/>
    <xf numFmtId="3" fontId="13" fillId="0" borderId="0" xfId="0" applyNumberFormat="1" applyFont="1"/>
    <xf numFmtId="0" fontId="19" fillId="2" borderId="22" xfId="0" applyFont="1" applyFill="1" applyBorder="1" applyAlignment="1">
      <alignment horizontal="center" wrapText="1"/>
    </xf>
    <xf numFmtId="14" fontId="0" fillId="0" borderId="3" xfId="0" applyNumberFormat="1" applyFill="1" applyBorder="1"/>
    <xf numFmtId="164" fontId="22" fillId="0" borderId="3" xfId="10" applyNumberFormat="1" applyFont="1" applyFill="1" applyBorder="1" applyAlignment="1">
      <alignment horizontal="right"/>
    </xf>
    <xf numFmtId="4" fontId="0" fillId="0" borderId="3" xfId="0" applyNumberFormat="1" applyFill="1" applyBorder="1"/>
    <xf numFmtId="164" fontId="22" fillId="0" borderId="3" xfId="11" applyNumberFormat="1" applyFont="1" applyFill="1" applyBorder="1" applyAlignment="1">
      <alignment horizontal="right" wrapText="1"/>
    </xf>
    <xf numFmtId="171" fontId="2" fillId="0" borderId="4" xfId="0" applyNumberFormat="1" applyFont="1" applyBorder="1"/>
    <xf numFmtId="39" fontId="2" fillId="0" borderId="4" xfId="0" applyNumberFormat="1" applyFont="1" applyBorder="1"/>
    <xf numFmtId="164" fontId="0" fillId="0" borderId="0" xfId="0" applyNumberFormat="1"/>
    <xf numFmtId="0" fontId="14" fillId="0" borderId="0" xfId="0" applyFont="1" applyAlignment="1">
      <alignment horizontal="center"/>
    </xf>
    <xf numFmtId="4" fontId="0" fillId="0" borderId="0" xfId="0" applyNumberFormat="1"/>
    <xf numFmtId="0" fontId="2" fillId="0" borderId="11" xfId="0" applyFont="1" applyFill="1" applyBorder="1" applyAlignment="1"/>
    <xf numFmtId="0" fontId="2" fillId="5" borderId="1" xfId="0" applyFont="1" applyFill="1" applyBorder="1" applyAlignment="1">
      <alignment horizontal="center" wrapText="1"/>
    </xf>
    <xf numFmtId="0" fontId="2" fillId="8" borderId="1" xfId="0" applyFont="1" applyFill="1" applyBorder="1" applyAlignment="1">
      <alignment horizontal="center" wrapText="1"/>
    </xf>
    <xf numFmtId="0" fontId="2" fillId="9" borderId="1" xfId="0" applyFont="1" applyFill="1" applyBorder="1" applyAlignment="1">
      <alignment horizontal="center" wrapText="1"/>
    </xf>
    <xf numFmtId="0" fontId="0" fillId="0" borderId="23" xfId="0" applyFill="1" applyBorder="1"/>
    <xf numFmtId="0" fontId="0" fillId="0" borderId="23" xfId="0" applyFill="1" applyBorder="1" applyAlignment="1">
      <alignment horizontal="center"/>
    </xf>
    <xf numFmtId="164" fontId="0" fillId="0" borderId="23" xfId="0" applyNumberFormat="1" applyFill="1" applyBorder="1" applyAlignment="1">
      <alignment horizontal="right"/>
    </xf>
    <xf numFmtId="164" fontId="0" fillId="5" borderId="23" xfId="0" applyNumberFormat="1" applyFill="1" applyBorder="1" applyAlignment="1">
      <alignment horizontal="right"/>
    </xf>
    <xf numFmtId="164" fontId="0" fillId="7" borderId="23" xfId="0" applyNumberFormat="1" applyFill="1" applyBorder="1" applyAlignment="1">
      <alignment horizontal="right"/>
    </xf>
    <xf numFmtId="164" fontId="0" fillId="10" borderId="3" xfId="0" applyNumberFormat="1" applyFill="1" applyBorder="1" applyAlignment="1">
      <alignment horizontal="right"/>
    </xf>
    <xf numFmtId="164" fontId="0" fillId="0" borderId="3" xfId="0" applyNumberFormat="1" applyFill="1" applyBorder="1" applyAlignment="1">
      <alignment horizontal="right"/>
    </xf>
    <xf numFmtId="164" fontId="0" fillId="5" borderId="3" xfId="0" applyNumberFormat="1" applyFill="1" applyBorder="1" applyAlignment="1">
      <alignment horizontal="right"/>
    </xf>
    <xf numFmtId="164" fontId="0" fillId="7" borderId="3" xfId="0" applyNumberFormat="1" applyFill="1" applyBorder="1" applyAlignment="1">
      <alignment horizontal="right"/>
    </xf>
    <xf numFmtId="0" fontId="0" fillId="6" borderId="0" xfId="0" applyFill="1"/>
    <xf numFmtId="0" fontId="0" fillId="0" borderId="0" xfId="0" applyAlignment="1">
      <alignment horizontal="right"/>
    </xf>
    <xf numFmtId="164" fontId="2" fillId="0" borderId="4" xfId="0" applyNumberFormat="1" applyFont="1" applyBorder="1" applyAlignment="1">
      <alignment horizontal="right"/>
    </xf>
    <xf numFmtId="175" fontId="0" fillId="0" borderId="0" xfId="2" applyNumberFormat="1" applyFont="1" applyFill="1"/>
    <xf numFmtId="0" fontId="2" fillId="0" borderId="9" xfId="0" applyFont="1" applyFill="1" applyBorder="1" applyAlignment="1">
      <alignment horizontal="center" wrapText="1"/>
    </xf>
    <xf numFmtId="164" fontId="0" fillId="7" borderId="23" xfId="0" applyNumberFormat="1" applyFill="1" applyBorder="1"/>
    <xf numFmtId="164" fontId="0" fillId="0" borderId="23" xfId="0" applyNumberFormat="1" applyFill="1" applyBorder="1"/>
    <xf numFmtId="164" fontId="0" fillId="0" borderId="9" xfId="0" applyNumberFormat="1" applyFill="1" applyBorder="1"/>
    <xf numFmtId="164" fontId="0" fillId="7" borderId="3" xfId="0" applyNumberFormat="1" applyFill="1" applyBorder="1"/>
    <xf numFmtId="164" fontId="0" fillId="0" borderId="3" xfId="0" applyNumberFormat="1" applyFill="1" applyBorder="1"/>
    <xf numFmtId="164" fontId="0" fillId="6" borderId="3" xfId="0" applyNumberFormat="1" applyFill="1" applyBorder="1"/>
    <xf numFmtId="164" fontId="2" fillId="0" borderId="0" xfId="0" applyNumberFormat="1" applyFont="1" applyFill="1" applyBorder="1"/>
    <xf numFmtId="0" fontId="30" fillId="0" borderId="18" xfId="12" applyFont="1" applyBorder="1" applyAlignment="1">
      <alignment horizontal="center" wrapText="1"/>
    </xf>
    <xf numFmtId="0" fontId="2" fillId="11" borderId="3" xfId="0" applyFont="1" applyFill="1" applyBorder="1" applyAlignment="1">
      <alignment horizontal="center" wrapText="1"/>
    </xf>
    <xf numFmtId="0" fontId="30" fillId="0" borderId="19" xfId="12" applyFont="1" applyBorder="1" applyAlignment="1">
      <alignment horizontal="center"/>
    </xf>
    <xf numFmtId="10" fontId="0" fillId="0" borderId="2" xfId="2" applyNumberFormat="1" applyFont="1" applyBorder="1"/>
    <xf numFmtId="10" fontId="0" fillId="0" borderId="2" xfId="0" applyNumberFormat="1" applyBorder="1"/>
    <xf numFmtId="0" fontId="30" fillId="0" borderId="18" xfId="12" applyFont="1" applyBorder="1" applyAlignment="1">
      <alignment wrapText="1"/>
    </xf>
    <xf numFmtId="4" fontId="16" fillId="0" borderId="2" xfId="12" applyNumberFormat="1" applyFont="1" applyFill="1" applyBorder="1"/>
    <xf numFmtId="4" fontId="16" fillId="0" borderId="19" xfId="12" applyNumberFormat="1" applyFont="1" applyFill="1" applyBorder="1"/>
    <xf numFmtId="0" fontId="30" fillId="0" borderId="18" xfId="12" applyFont="1" applyBorder="1"/>
    <xf numFmtId="10" fontId="16" fillId="0" borderId="3" xfId="12" applyNumberFormat="1" applyFont="1" applyFill="1" applyBorder="1"/>
    <xf numFmtId="10" fontId="16" fillId="0" borderId="19" xfId="12" applyNumberFormat="1" applyFont="1" applyFill="1" applyBorder="1"/>
    <xf numFmtId="168" fontId="16" fillId="0" borderId="3" xfId="12" applyNumberFormat="1" applyFont="1" applyFill="1" applyBorder="1"/>
    <xf numFmtId="168" fontId="16" fillId="0" borderId="19" xfId="12" applyNumberFormat="1" applyFont="1" applyFill="1" applyBorder="1"/>
    <xf numFmtId="0" fontId="16" fillId="0" borderId="26" xfId="12" applyFont="1" applyFill="1" applyBorder="1"/>
    <xf numFmtId="0" fontId="16" fillId="0" borderId="0" xfId="12" applyFont="1" applyFill="1" applyBorder="1"/>
    <xf numFmtId="44" fontId="16" fillId="0" borderId="27" xfId="12" applyNumberFormat="1" applyFont="1" applyFill="1" applyBorder="1"/>
    <xf numFmtId="0" fontId="16" fillId="0" borderId="0" xfId="12" applyFont="1" applyBorder="1"/>
    <xf numFmtId="0" fontId="30" fillId="0" borderId="0" xfId="12" applyFont="1" applyFill="1" applyBorder="1" applyAlignment="1"/>
    <xf numFmtId="10" fontId="16" fillId="0" borderId="18" xfId="12" applyNumberFormat="1" applyFont="1" applyBorder="1" applyProtection="1">
      <protection locked="0" hidden="1"/>
    </xf>
    <xf numFmtId="8" fontId="22" fillId="0" borderId="3" xfId="13" applyNumberFormat="1" applyFont="1" applyFill="1" applyBorder="1" applyAlignment="1"/>
    <xf numFmtId="2" fontId="16" fillId="0" borderId="0" xfId="12" applyNumberFormat="1" applyFont="1" applyBorder="1"/>
    <xf numFmtId="0" fontId="33" fillId="0" borderId="0" xfId="12" applyFont="1" applyFill="1" applyBorder="1" applyAlignment="1">
      <alignment horizontal="center"/>
    </xf>
    <xf numFmtId="44" fontId="32" fillId="0" borderId="27" xfId="12" applyNumberFormat="1" applyFont="1" applyFill="1" applyBorder="1"/>
    <xf numFmtId="0" fontId="16" fillId="0" borderId="18" xfId="12" applyFont="1" applyBorder="1" applyAlignment="1" applyProtection="1">
      <alignment horizontal="left"/>
      <protection locked="0" hidden="1"/>
    </xf>
    <xf numFmtId="0" fontId="16" fillId="0" borderId="27" xfId="12" applyFont="1" applyBorder="1"/>
    <xf numFmtId="0" fontId="16" fillId="0" borderId="29" xfId="12" applyFont="1" applyBorder="1"/>
    <xf numFmtId="0" fontId="16" fillId="0" borderId="30" xfId="12" applyFont="1" applyBorder="1"/>
    <xf numFmtId="10" fontId="2" fillId="0" borderId="4" xfId="2" applyNumberFormat="1" applyFont="1" applyBorder="1"/>
    <xf numFmtId="0" fontId="3" fillId="0" borderId="0" xfId="0" applyFont="1"/>
    <xf numFmtId="0" fontId="8" fillId="0" borderId="0" xfId="0" applyFont="1" applyAlignment="1">
      <alignment horizontal="left" wrapText="1"/>
    </xf>
    <xf numFmtId="0" fontId="8" fillId="0" borderId="0" xfId="0" applyFont="1" applyBorder="1" applyAlignment="1">
      <alignment horizontal="left" wrapText="1"/>
    </xf>
    <xf numFmtId="0" fontId="2" fillId="2" borderId="3" xfId="0" applyFont="1" applyFill="1" applyBorder="1" applyAlignment="1">
      <alignment horizontal="left"/>
    </xf>
    <xf numFmtId="2" fontId="16" fillId="0" borderId="3" xfId="0" applyNumberFormat="1" applyFont="1" applyBorder="1" applyAlignment="1">
      <alignment horizontal="center"/>
    </xf>
    <xf numFmtId="5" fontId="2" fillId="0" borderId="11" xfId="0" applyNumberFormat="1" applyFont="1" applyFill="1" applyBorder="1" applyAlignment="1">
      <alignment horizontal="center"/>
    </xf>
    <xf numFmtId="5" fontId="2" fillId="2" borderId="1" xfId="0" applyNumberFormat="1" applyFont="1" applyFill="1" applyBorder="1" applyAlignment="1">
      <alignment horizontal="center" wrapText="1"/>
    </xf>
    <xf numFmtId="165" fontId="0" fillId="7" borderId="2" xfId="0" applyNumberFormat="1" applyFill="1" applyBorder="1"/>
    <xf numFmtId="165" fontId="0" fillId="7" borderId="3" xfId="0" applyNumberFormat="1" applyFill="1" applyBorder="1"/>
    <xf numFmtId="49" fontId="0" fillId="0" borderId="2" xfId="0" applyNumberFormat="1" applyBorder="1" applyAlignment="1">
      <alignment horizontal="center"/>
    </xf>
    <xf numFmtId="171" fontId="0" fillId="0" borderId="2" xfId="0" applyNumberFormat="1" applyBorder="1"/>
    <xf numFmtId="165" fontId="0" fillId="0" borderId="2" xfId="0" applyNumberFormat="1" applyBorder="1" applyAlignment="1">
      <alignment horizontal="center"/>
    </xf>
    <xf numFmtId="0" fontId="0" fillId="0" borderId="18" xfId="0" applyBorder="1" applyAlignment="1">
      <alignment wrapText="1"/>
    </xf>
    <xf numFmtId="165" fontId="0" fillId="0" borderId="19" xfId="0" applyNumberFormat="1" applyFont="1" applyFill="1" applyBorder="1"/>
    <xf numFmtId="0" fontId="0" fillId="0" borderId="18" xfId="0" applyFill="1" applyBorder="1" applyAlignment="1">
      <alignment wrapText="1"/>
    </xf>
    <xf numFmtId="165" fontId="0" fillId="0" borderId="19" xfId="0" applyNumberFormat="1" applyFill="1" applyBorder="1"/>
    <xf numFmtId="165" fontId="0" fillId="0" borderId="19" xfId="0" applyNumberFormat="1" applyBorder="1"/>
    <xf numFmtId="0" fontId="0" fillId="0" borderId="20" xfId="0" applyBorder="1" applyAlignment="1">
      <alignment wrapText="1"/>
    </xf>
    <xf numFmtId="165" fontId="0" fillId="0" borderId="21" xfId="0" applyNumberFormat="1" applyFill="1" applyBorder="1"/>
    <xf numFmtId="0" fontId="2" fillId="2" borderId="18" xfId="0" applyFont="1" applyFill="1" applyBorder="1"/>
    <xf numFmtId="0" fontId="2" fillId="2" borderId="19" xfId="0" applyFont="1" applyFill="1" applyBorder="1" applyAlignment="1">
      <alignment horizontal="center"/>
    </xf>
    <xf numFmtId="0" fontId="2" fillId="0" borderId="18" xfId="0" applyFont="1" applyBorder="1"/>
    <xf numFmtId="3" fontId="0" fillId="0" borderId="19" xfId="0" applyNumberFormat="1" applyBorder="1"/>
    <xf numFmtId="0" fontId="6" fillId="0" borderId="18" xfId="0" applyFont="1" applyBorder="1"/>
    <xf numFmtId="0" fontId="0" fillId="0" borderId="19" xfId="0" applyBorder="1"/>
    <xf numFmtId="9" fontId="0" fillId="0" borderId="19" xfId="0" applyNumberFormat="1" applyBorder="1"/>
    <xf numFmtId="0" fontId="0" fillId="0" borderId="19" xfId="0" applyFill="1" applyBorder="1" applyAlignment="1">
      <alignment horizontal="right"/>
    </xf>
    <xf numFmtId="0" fontId="0" fillId="0" borderId="19" xfId="0" applyFill="1" applyBorder="1"/>
    <xf numFmtId="1" fontId="0" fillId="0" borderId="19" xfId="0" applyNumberFormat="1" applyFill="1" applyBorder="1"/>
    <xf numFmtId="166" fontId="0" fillId="0" borderId="19" xfId="0" applyNumberFormat="1" applyFill="1" applyBorder="1"/>
    <xf numFmtId="0" fontId="0" fillId="0" borderId="20" xfId="0" applyFill="1" applyBorder="1" applyAlignment="1">
      <alignment wrapText="1"/>
    </xf>
    <xf numFmtId="165" fontId="0" fillId="0" borderId="1" xfId="0" applyNumberFormat="1" applyFill="1" applyBorder="1"/>
    <xf numFmtId="0" fontId="2" fillId="2" borderId="18" xfId="0" applyFont="1" applyFill="1" applyBorder="1" applyAlignment="1">
      <alignment wrapText="1"/>
    </xf>
    <xf numFmtId="0" fontId="6" fillId="0" borderId="18" xfId="0" applyFont="1" applyBorder="1" applyAlignment="1">
      <alignment wrapText="1"/>
    </xf>
    <xf numFmtId="167" fontId="0" fillId="0" borderId="19" xfId="0" applyNumberFormat="1" applyFill="1" applyBorder="1"/>
    <xf numFmtId="167" fontId="0" fillId="0" borderId="1" xfId="0" applyNumberFormat="1" applyFill="1" applyBorder="1"/>
    <xf numFmtId="167" fontId="0" fillId="0" borderId="21" xfId="0" applyNumberFormat="1" applyFill="1" applyBorder="1"/>
    <xf numFmtId="0" fontId="0" fillId="2" borderId="18" xfId="0" applyFill="1" applyBorder="1" applyAlignment="1">
      <alignment horizontal="center"/>
    </xf>
    <xf numFmtId="165" fontId="0" fillId="0" borderId="1" xfId="0" applyNumberFormat="1" applyBorder="1"/>
    <xf numFmtId="165" fontId="0" fillId="0" borderId="21" xfId="0" applyNumberFormat="1" applyBorder="1"/>
    <xf numFmtId="0" fontId="2" fillId="2" borderId="24" xfId="0" applyFont="1" applyFill="1" applyBorder="1" applyAlignment="1">
      <alignment horizontal="center"/>
    </xf>
    <xf numFmtId="0" fontId="2" fillId="2" borderId="25" xfId="0" applyFont="1" applyFill="1" applyBorder="1" applyAlignment="1">
      <alignment horizontal="center"/>
    </xf>
    <xf numFmtId="0" fontId="0" fillId="0" borderId="18" xfId="0" applyFont="1" applyBorder="1" applyAlignment="1">
      <alignment horizontal="left"/>
    </xf>
    <xf numFmtId="3" fontId="0" fillId="0" borderId="19" xfId="0" applyNumberFormat="1" applyBorder="1" applyAlignment="1">
      <alignment horizontal="right"/>
    </xf>
    <xf numFmtId="0" fontId="0" fillId="0" borderId="18" xfId="0" applyBorder="1"/>
    <xf numFmtId="166" fontId="0" fillId="0" borderId="19" xfId="0" applyNumberFormat="1" applyBorder="1" applyAlignment="1">
      <alignment horizontal="right"/>
    </xf>
    <xf numFmtId="0" fontId="0" fillId="0" borderId="18" xfId="0" applyFill="1" applyBorder="1"/>
    <xf numFmtId="0" fontId="0" fillId="0" borderId="20" xfId="0" applyFill="1" applyBorder="1"/>
    <xf numFmtId="166" fontId="0" fillId="0" borderId="21" xfId="0" applyNumberFormat="1" applyBorder="1" applyAlignment="1">
      <alignment horizontal="right"/>
    </xf>
    <xf numFmtId="0" fontId="0" fillId="0" borderId="18" xfId="0" applyBorder="1" applyAlignment="1">
      <alignment horizontal="left" wrapText="1" indent="2"/>
    </xf>
    <xf numFmtId="165" fontId="8" fillId="0" borderId="19" xfId="0" applyNumberFormat="1" applyFont="1" applyFill="1" applyBorder="1"/>
    <xf numFmtId="0" fontId="0" fillId="0" borderId="18" xfId="0" applyFill="1" applyBorder="1" applyAlignment="1">
      <alignment horizontal="left" wrapText="1" indent="2"/>
    </xf>
    <xf numFmtId="0" fontId="2" fillId="0" borderId="20" xfId="0" applyFont="1" applyBorder="1" applyAlignment="1">
      <alignment wrapText="1"/>
    </xf>
    <xf numFmtId="165" fontId="2" fillId="0" borderId="1" xfId="0" applyNumberFormat="1" applyFont="1" applyBorder="1"/>
    <xf numFmtId="165" fontId="2" fillId="0" borderId="21" xfId="0" applyNumberFormat="1" applyFont="1" applyBorder="1"/>
    <xf numFmtId="4" fontId="0" fillId="0" borderId="19" xfId="0" applyNumberFormat="1" applyBorder="1"/>
    <xf numFmtId="4" fontId="0" fillId="0" borderId="21" xfId="0" applyNumberFormat="1" applyBorder="1"/>
    <xf numFmtId="0" fontId="2" fillId="2" borderId="24" xfId="0" applyFont="1" applyFill="1" applyBorder="1" applyAlignment="1">
      <alignment wrapText="1"/>
    </xf>
    <xf numFmtId="0" fontId="2" fillId="2" borderId="23" xfId="0" applyFont="1" applyFill="1" applyBorder="1" applyAlignment="1">
      <alignment horizontal="center"/>
    </xf>
    <xf numFmtId="0" fontId="2" fillId="2" borderId="25" xfId="0" applyFont="1" applyFill="1" applyBorder="1" applyAlignment="1">
      <alignment horizontal="center" wrapText="1"/>
    </xf>
    <xf numFmtId="165" fontId="13" fillId="0" borderId="1" xfId="0" applyNumberFormat="1" applyFont="1" applyBorder="1"/>
    <xf numFmtId="0" fontId="2" fillId="0" borderId="18" xfId="0" applyFont="1" applyBorder="1" applyAlignment="1">
      <alignment horizontal="center"/>
    </xf>
    <xf numFmtId="0" fontId="2" fillId="0" borderId="19" xfId="0" applyFont="1" applyBorder="1" applyAlignment="1">
      <alignment horizontal="center"/>
    </xf>
    <xf numFmtId="10" fontId="0" fillId="0" borderId="19" xfId="0" applyNumberFormat="1" applyBorder="1"/>
    <xf numFmtId="0" fontId="0" fillId="0" borderId="20" xfId="0" applyBorder="1"/>
    <xf numFmtId="10" fontId="0" fillId="0" borderId="21" xfId="0" applyNumberFormat="1" applyBorder="1"/>
    <xf numFmtId="0" fontId="2" fillId="2" borderId="32" xfId="0" applyFont="1" applyFill="1" applyBorder="1" applyAlignment="1">
      <alignment horizontal="center"/>
    </xf>
    <xf numFmtId="165" fontId="0" fillId="0" borderId="33" xfId="0" applyNumberFormat="1" applyBorder="1"/>
    <xf numFmtId="0" fontId="15" fillId="0" borderId="18" xfId="0" applyFont="1" applyBorder="1"/>
    <xf numFmtId="0" fontId="0" fillId="0" borderId="18" xfId="0" applyBorder="1" applyAlignment="1">
      <alignment horizontal="left" indent="2"/>
    </xf>
    <xf numFmtId="164" fontId="0" fillId="0" borderId="19" xfId="0" applyNumberFormat="1" applyBorder="1"/>
    <xf numFmtId="2" fontId="0" fillId="0" borderId="19" xfId="0" applyNumberFormat="1" applyBorder="1"/>
    <xf numFmtId="1" fontId="0" fillId="0" borderId="19" xfId="0" applyNumberFormat="1" applyBorder="1"/>
    <xf numFmtId="2" fontId="0" fillId="0" borderId="19" xfId="0" applyNumberFormat="1" applyFill="1" applyBorder="1"/>
    <xf numFmtId="0" fontId="0" fillId="0" borderId="18" xfId="0" applyBorder="1" applyAlignment="1">
      <alignment horizontal="left" indent="3"/>
    </xf>
    <xf numFmtId="0" fontId="0" fillId="0" borderId="18" xfId="0" applyFill="1" applyBorder="1" applyAlignment="1">
      <alignment horizontal="left" indent="2"/>
    </xf>
    <xf numFmtId="168" fontId="0" fillId="0" borderId="19" xfId="0" applyNumberFormat="1" applyBorder="1"/>
    <xf numFmtId="14" fontId="0" fillId="0" borderId="19" xfId="0" applyNumberFormat="1" applyBorder="1"/>
    <xf numFmtId="169" fontId="0" fillId="0" borderId="21" xfId="0" applyNumberFormat="1" applyBorder="1"/>
    <xf numFmtId="0" fontId="10" fillId="0" borderId="18" xfId="4" applyFont="1" applyFill="1" applyBorder="1" applyAlignment="1">
      <alignment horizontal="center"/>
    </xf>
    <xf numFmtId="0" fontId="10" fillId="0" borderId="19" xfId="4" applyFont="1" applyFill="1" applyBorder="1" applyAlignment="1">
      <alignment horizontal="center"/>
    </xf>
    <xf numFmtId="165" fontId="16" fillId="0" borderId="18" xfId="4" applyNumberFormat="1" applyFont="1" applyFill="1" applyBorder="1" applyAlignment="1">
      <alignment horizontal="center"/>
    </xf>
    <xf numFmtId="170" fontId="16" fillId="0" borderId="19" xfId="4" applyNumberFormat="1" applyFont="1" applyFill="1" applyBorder="1" applyAlignment="1">
      <alignment horizontal="right"/>
    </xf>
    <xf numFmtId="165" fontId="16" fillId="0" borderId="20" xfId="4" applyNumberFormat="1" applyFont="1" applyFill="1" applyBorder="1" applyAlignment="1">
      <alignment horizontal="center"/>
    </xf>
    <xf numFmtId="170" fontId="16" fillId="0" borderId="1" xfId="4" applyNumberFormat="1" applyFont="1" applyFill="1" applyBorder="1" applyAlignment="1">
      <alignment horizontal="right"/>
    </xf>
    <xf numFmtId="170" fontId="16" fillId="0" borderId="21" xfId="4" applyNumberFormat="1" applyFont="1" applyFill="1" applyBorder="1" applyAlignment="1">
      <alignment horizontal="right"/>
    </xf>
    <xf numFmtId="0" fontId="2" fillId="2" borderId="1" xfId="0" applyFont="1" applyFill="1" applyBorder="1" applyAlignment="1">
      <alignment horizontal="center" wrapText="1"/>
    </xf>
    <xf numFmtId="5" fontId="0" fillId="0" borderId="0" xfId="1" applyNumberFormat="1" applyFont="1"/>
    <xf numFmtId="0" fontId="3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0" fontId="2" fillId="2" borderId="13" xfId="0" applyFont="1" applyFill="1" applyBorder="1" applyAlignment="1">
      <alignment horizontal="center"/>
    </xf>
    <xf numFmtId="0" fontId="2" fillId="2" borderId="14" xfId="0" applyFont="1" applyFill="1" applyBorder="1" applyAlignment="1">
      <alignment horizontal="center"/>
    </xf>
    <xf numFmtId="0" fontId="2" fillId="2" borderId="15" xfId="0" applyFont="1" applyFill="1" applyBorder="1" applyAlignment="1">
      <alignment horizontal="center"/>
    </xf>
    <xf numFmtId="0" fontId="2" fillId="2" borderId="13" xfId="0" applyFont="1" applyFill="1" applyBorder="1" applyAlignment="1">
      <alignment horizontal="center" wrapText="1"/>
    </xf>
    <xf numFmtId="0" fontId="2" fillId="2" borderId="14" xfId="0" applyFont="1" applyFill="1" applyBorder="1" applyAlignment="1">
      <alignment horizontal="center" wrapText="1"/>
    </xf>
    <xf numFmtId="0" fontId="2" fillId="2" borderId="15" xfId="0" applyFont="1" applyFill="1" applyBorder="1" applyAlignment="1">
      <alignment horizontal="center" wrapText="1"/>
    </xf>
    <xf numFmtId="0" fontId="20" fillId="0" borderId="0" xfId="0" applyFont="1" applyAlignment="1">
      <alignment horizontal="center"/>
    </xf>
    <xf numFmtId="0" fontId="9" fillId="0" borderId="0" xfId="0" applyFont="1" applyFill="1" applyBorder="1" applyAlignment="1">
      <alignment horizontal="center" wrapText="1"/>
    </xf>
    <xf numFmtId="0" fontId="10" fillId="2" borderId="26" xfId="0" applyFont="1" applyFill="1" applyBorder="1" applyAlignment="1">
      <alignment horizontal="center" wrapText="1"/>
    </xf>
    <xf numFmtId="0" fontId="10" fillId="2" borderId="31" xfId="0" applyFont="1" applyFill="1" applyBorder="1" applyAlignment="1">
      <alignment horizontal="center" wrapText="1"/>
    </xf>
    <xf numFmtId="165" fontId="0" fillId="0" borderId="19" xfId="0" applyNumberFormat="1" applyFont="1" applyFill="1" applyBorder="1" applyAlignment="1">
      <alignment horizontal="center" wrapText="1"/>
    </xf>
    <xf numFmtId="0" fontId="2" fillId="2" borderId="26" xfId="0" applyFont="1" applyFill="1" applyBorder="1" applyAlignment="1">
      <alignment horizontal="center" wrapText="1"/>
    </xf>
    <xf numFmtId="0" fontId="2" fillId="2" borderId="31" xfId="0" applyFont="1" applyFill="1" applyBorder="1" applyAlignment="1">
      <alignment horizontal="center" wrapText="1"/>
    </xf>
    <xf numFmtId="168" fontId="2" fillId="0" borderId="0" xfId="0" applyNumberFormat="1" applyFont="1" applyFill="1" applyBorder="1" applyAlignment="1">
      <alignment horizontal="center" wrapText="1"/>
    </xf>
    <xf numFmtId="0" fontId="2" fillId="2" borderId="24" xfId="0" applyFont="1" applyFill="1" applyBorder="1" applyAlignment="1">
      <alignment horizontal="center"/>
    </xf>
    <xf numFmtId="0" fontId="2" fillId="2" borderId="25" xfId="0" applyFont="1" applyFill="1" applyBorder="1" applyAlignment="1">
      <alignment horizontal="center"/>
    </xf>
    <xf numFmtId="0" fontId="2" fillId="2" borderId="5" xfId="0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center" wrapText="1"/>
    </xf>
    <xf numFmtId="0" fontId="2" fillId="2" borderId="7" xfId="0" applyFont="1" applyFill="1" applyBorder="1" applyAlignment="1">
      <alignment horizontal="center" wrapText="1"/>
    </xf>
    <xf numFmtId="0" fontId="0" fillId="6" borderId="0" xfId="0" applyFill="1" applyAlignment="1">
      <alignment horizontal="center" wrapText="1"/>
    </xf>
    <xf numFmtId="0" fontId="14" fillId="2" borderId="3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 wrapText="1"/>
    </xf>
    <xf numFmtId="0" fontId="2" fillId="0" borderId="0" xfId="0" applyFont="1" applyFill="1" applyBorder="1" applyAlignment="1">
      <alignment horizontal="center" wrapText="1"/>
    </xf>
    <xf numFmtId="0" fontId="2" fillId="2" borderId="5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/>
    </xf>
    <xf numFmtId="0" fontId="2" fillId="0" borderId="10" xfId="0" applyFont="1" applyFill="1" applyBorder="1" applyAlignment="1">
      <alignment horizontal="center"/>
    </xf>
    <xf numFmtId="0" fontId="2" fillId="0" borderId="1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 wrapText="1"/>
    </xf>
    <xf numFmtId="0" fontId="3" fillId="0" borderId="0" xfId="0" applyFont="1"/>
    <xf numFmtId="0" fontId="2" fillId="2" borderId="3" xfId="0" applyFont="1" applyFill="1" applyBorder="1" applyAlignment="1">
      <alignment horizontal="center"/>
    </xf>
    <xf numFmtId="0" fontId="14" fillId="0" borderId="12" xfId="0" applyFont="1" applyBorder="1" applyAlignment="1">
      <alignment horizontal="center"/>
    </xf>
    <xf numFmtId="0" fontId="10" fillId="2" borderId="13" xfId="0" applyFont="1" applyFill="1" applyBorder="1" applyAlignment="1">
      <alignment horizontal="center"/>
    </xf>
    <xf numFmtId="0" fontId="10" fillId="2" borderId="14" xfId="0" applyFont="1" applyFill="1" applyBorder="1" applyAlignment="1">
      <alignment horizontal="center"/>
    </xf>
    <xf numFmtId="0" fontId="10" fillId="2" borderId="15" xfId="0" applyFont="1" applyFill="1" applyBorder="1" applyAlignment="1">
      <alignment horizontal="center"/>
    </xf>
    <xf numFmtId="0" fontId="24" fillId="0" borderId="0" xfId="0" applyFont="1" applyAlignment="1">
      <alignment horizontal="left"/>
    </xf>
    <xf numFmtId="0" fontId="27" fillId="0" borderId="0" xfId="0" applyFont="1" applyFill="1" applyAlignment="1">
      <alignment horizontal="left"/>
    </xf>
    <xf numFmtId="0" fontId="19" fillId="0" borderId="3" xfId="0" applyFont="1" applyBorder="1" applyAlignment="1">
      <alignment horizontal="center"/>
    </xf>
    <xf numFmtId="0" fontId="0" fillId="0" borderId="0" xfId="0" applyAlignment="1">
      <alignment horizontal="left"/>
    </xf>
    <xf numFmtId="0" fontId="14" fillId="0" borderId="0" xfId="0" applyFont="1" applyAlignment="1">
      <alignment horizontal="left"/>
    </xf>
    <xf numFmtId="0" fontId="32" fillId="0" borderId="0" xfId="12" applyFont="1" applyFill="1" applyBorder="1" applyAlignment="1">
      <alignment horizontal="center"/>
    </xf>
    <xf numFmtId="0" fontId="33" fillId="0" borderId="0" xfId="12" applyFont="1" applyFill="1" applyBorder="1" applyAlignment="1">
      <alignment horizontal="center"/>
    </xf>
    <xf numFmtId="0" fontId="34" fillId="0" borderId="28" xfId="14" applyBorder="1" applyAlignment="1" applyProtection="1">
      <alignment horizontal="left"/>
    </xf>
    <xf numFmtId="0" fontId="34" fillId="0" borderId="29" xfId="14" applyBorder="1" applyAlignment="1" applyProtection="1">
      <alignment horizontal="left"/>
    </xf>
    <xf numFmtId="0" fontId="30" fillId="2" borderId="3" xfId="12" applyFont="1" applyFill="1" applyBorder="1" applyAlignment="1">
      <alignment horizontal="center" vertical="center"/>
    </xf>
    <xf numFmtId="0" fontId="30" fillId="2" borderId="3" xfId="12" applyFont="1" applyFill="1" applyBorder="1" applyAlignment="1">
      <alignment horizontal="center" vertical="center" wrapText="1"/>
    </xf>
    <xf numFmtId="0" fontId="31" fillId="2" borderId="24" xfId="12" applyFont="1" applyFill="1" applyBorder="1" applyAlignment="1">
      <alignment horizontal="center"/>
    </xf>
    <xf numFmtId="0" fontId="31" fillId="2" borderId="23" xfId="12" applyFont="1" applyFill="1" applyBorder="1" applyAlignment="1">
      <alignment horizontal="center"/>
    </xf>
    <xf numFmtId="0" fontId="31" fillId="2" borderId="25" xfId="12" applyFont="1" applyFill="1" applyBorder="1" applyAlignment="1">
      <alignment horizontal="center"/>
    </xf>
    <xf numFmtId="0" fontId="30" fillId="2" borderId="18" xfId="12" applyFont="1" applyFill="1" applyBorder="1" applyAlignment="1">
      <alignment horizontal="center"/>
    </xf>
    <xf numFmtId="0" fontId="30" fillId="2" borderId="3" xfId="12" applyFont="1" applyFill="1" applyBorder="1" applyAlignment="1">
      <alignment horizontal="center"/>
    </xf>
    <xf numFmtId="0" fontId="8" fillId="0" borderId="0" xfId="0" applyFont="1" applyAlignment="1">
      <alignment horizontal="left" wrapText="1"/>
    </xf>
    <xf numFmtId="0" fontId="8" fillId="0" borderId="11" xfId="0" applyFont="1" applyBorder="1" applyAlignment="1">
      <alignment horizontal="left" wrapText="1"/>
    </xf>
  </cellXfs>
  <cellStyles count="15">
    <cellStyle name="Comma 2 2" xfId="7"/>
    <cellStyle name="Currency" xfId="1" builtinId="4"/>
    <cellStyle name="Currency 2 2" xfId="8"/>
    <cellStyle name="Currency_health insurance options wde602 12-23-10" xfId="13"/>
    <cellStyle name="Hyperlink" xfId="14" builtinId="8"/>
    <cellStyle name="Normal" xfId="0" builtinId="0"/>
    <cellStyle name="Normal 10 2" xfId="3"/>
    <cellStyle name="Normal 22" xfId="4"/>
    <cellStyle name="Normal 22 2" xfId="9"/>
    <cellStyle name="Normal_Activities" xfId="6"/>
    <cellStyle name="Normal_At-Risk" xfId="5"/>
    <cellStyle name="Normal_health insurance options wde602 12-23-10" xfId="12"/>
    <cellStyle name="Normal_Recalibration Reques_Site and Bldg Data Update Aug05" xfId="10"/>
    <cellStyle name="Normal_Site Inventory 032607" xfId="11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Elementary Size Adjustment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Elementary Base Costs</c:v>
          </c:tx>
          <c:spPr>
            <a:ln w="28575">
              <a:noFill/>
            </a:ln>
          </c:spPr>
          <c:trendline>
            <c:trendlineType val="power"/>
            <c:dispRSqr val="1"/>
            <c:dispEq val="1"/>
            <c:trendlineLbl>
              <c:layout>
                <c:manualLayout>
                  <c:x val="0.44414798584959486"/>
                  <c:y val="-0.50640201830726839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 sz="2400"/>
                  </a:pPr>
                  <a:endParaRPr lang="en-US"/>
                </a:p>
              </c:txPr>
            </c:trendlineLbl>
          </c:trendline>
          <c:xVal>
            <c:numRef>
              <c:f>'Elementary Size Adjustment'!$B$58:$H$58</c:f>
              <c:numCache>
                <c:formatCode>#,##0</c:formatCode>
                <c:ptCount val="7"/>
                <c:pt idx="0" formatCode="General">
                  <c:v>2</c:v>
                </c:pt>
                <c:pt idx="1">
                  <c:v>8</c:v>
                </c:pt>
                <c:pt idx="2">
                  <c:v>48</c:v>
                </c:pt>
                <c:pt idx="3">
                  <c:v>150</c:v>
                </c:pt>
                <c:pt idx="4">
                  <c:v>210</c:v>
                </c:pt>
                <c:pt idx="5">
                  <c:v>300</c:v>
                </c:pt>
                <c:pt idx="6">
                  <c:v>600</c:v>
                </c:pt>
              </c:numCache>
            </c:numRef>
          </c:xVal>
          <c:yVal>
            <c:numRef>
              <c:f>'Elementary Size Adjustment'!$B$59:$H$59</c:f>
              <c:numCache>
                <c:formatCode>"$"#,##0</c:formatCode>
                <c:ptCount val="7"/>
                <c:pt idx="0">
                  <c:v>71541.942827702631</c:v>
                </c:pt>
                <c:pt idx="1">
                  <c:v>28434.569706925664</c:v>
                </c:pt>
                <c:pt idx="2">
                  <c:v>16351.852824129515</c:v>
                </c:pt>
                <c:pt idx="3">
                  <c:v>8982.6154992682186</c:v>
                </c:pt>
                <c:pt idx="4">
                  <c:v>8307.8939884598167</c:v>
                </c:pt>
                <c:pt idx="5">
                  <c:v>8060.2124386868472</c:v>
                </c:pt>
                <c:pt idx="6">
                  <c:v>7824.1337356215172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5FC-4744-ADEC-8CFFBEACF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345920"/>
        <c:axId val="150380544"/>
      </c:scatterChart>
      <c:valAx>
        <c:axId val="15034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0380544"/>
        <c:crosses val="autoZero"/>
        <c:crossBetween val="midCat"/>
      </c:valAx>
      <c:valAx>
        <c:axId val="150380544"/>
        <c:scaling>
          <c:orientation val="minMax"/>
        </c:scaling>
        <c:delete val="0"/>
        <c:axPos val="l"/>
        <c:majorGridlines/>
        <c:numFmt formatCode="&quot;$&quot;#,##0" sourceLinked="1"/>
        <c:majorTickMark val="out"/>
        <c:minorTickMark val="none"/>
        <c:tickLblPos val="nextTo"/>
        <c:crossAx val="15034592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Secondary Size Adjustment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Secondary Base Costs</c:v>
          </c:tx>
          <c:spPr>
            <a:ln w="28575">
              <a:noFill/>
            </a:ln>
          </c:spPr>
          <c:trendline>
            <c:trendlineType val="power"/>
            <c:dispRSqr val="1"/>
            <c:dispEq val="1"/>
            <c:trendlineLbl>
              <c:layout>
                <c:manualLayout>
                  <c:x val="0.37313384350162981"/>
                  <c:y val="-0.51095151899116054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 sz="2400"/>
                  </a:pPr>
                  <a:endParaRPr lang="en-US"/>
                </a:p>
              </c:txPr>
            </c:trendlineLbl>
          </c:trendline>
          <c:xVal>
            <c:numRef>
              <c:f>'Secondary Size Adjustment'!$B$58:$L$58</c:f>
              <c:numCache>
                <c:formatCode>#,##0</c:formatCode>
                <c:ptCount val="11"/>
                <c:pt idx="0">
                  <c:v>2</c:v>
                </c:pt>
                <c:pt idx="1">
                  <c:v>8</c:v>
                </c:pt>
                <c:pt idx="2">
                  <c:v>24</c:v>
                </c:pt>
                <c:pt idx="3">
                  <c:v>32</c:v>
                </c:pt>
                <c:pt idx="4">
                  <c:v>150</c:v>
                </c:pt>
                <c:pt idx="5">
                  <c:v>200</c:v>
                </c:pt>
                <c:pt idx="6">
                  <c:v>300</c:v>
                </c:pt>
                <c:pt idx="7">
                  <c:v>400</c:v>
                </c:pt>
                <c:pt idx="8">
                  <c:v>525</c:v>
                </c:pt>
                <c:pt idx="9">
                  <c:v>1000</c:v>
                </c:pt>
                <c:pt idx="10">
                  <c:v>1800</c:v>
                </c:pt>
              </c:numCache>
            </c:numRef>
          </c:xVal>
          <c:yVal>
            <c:numRef>
              <c:f>'Secondary Size Adjustment'!$B$59:$L$59</c:f>
              <c:numCache>
                <c:formatCode>"$"#,##0</c:formatCode>
                <c:ptCount val="11"/>
                <c:pt idx="0">
                  <c:v>71932.278687702623</c:v>
                </c:pt>
                <c:pt idx="1">
                  <c:v>28824.905566925663</c:v>
                </c:pt>
                <c:pt idx="2">
                  <c:v>17219.405670744349</c:v>
                </c:pt>
                <c:pt idx="3">
                  <c:v>17208.824006176535</c:v>
                </c:pt>
                <c:pt idx="4">
                  <c:v>8267.0383143158379</c:v>
                </c:pt>
                <c:pt idx="5">
                  <c:v>7725.6199361694526</c:v>
                </c:pt>
                <c:pt idx="6">
                  <c:v>7206.1543032472327</c:v>
                </c:pt>
                <c:pt idx="7">
                  <c:v>7003.8037731355789</c:v>
                </c:pt>
                <c:pt idx="8">
                  <c:v>7051.9789455220844</c:v>
                </c:pt>
                <c:pt idx="9">
                  <c:v>6815.8972568575073</c:v>
                </c:pt>
                <c:pt idx="10">
                  <c:v>6639.5559818108095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623-40B3-890C-467F3282FE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385728"/>
        <c:axId val="150386304"/>
      </c:scatterChart>
      <c:valAx>
        <c:axId val="150385728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nextTo"/>
        <c:crossAx val="150386304"/>
        <c:crosses val="autoZero"/>
        <c:crossBetween val="midCat"/>
      </c:valAx>
      <c:valAx>
        <c:axId val="150386304"/>
        <c:scaling>
          <c:orientation val="minMax"/>
        </c:scaling>
        <c:delete val="0"/>
        <c:axPos val="l"/>
        <c:majorGridlines/>
        <c:numFmt formatCode="&quot;$&quot;#,##0" sourceLinked="1"/>
        <c:majorTickMark val="out"/>
        <c:minorTickMark val="none"/>
        <c:tickLblPos val="nextTo"/>
        <c:crossAx val="15038572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'Supplies, Materials Adjustment'!$A$4</c:f>
              <c:strCache>
                <c:ptCount val="1"/>
                <c:pt idx="0">
                  <c:v>Supplies and Materials per district ADM*</c:v>
                </c:pt>
              </c:strCache>
            </c:strRef>
          </c:tx>
          <c:spPr>
            <a:ln w="28575">
              <a:noFill/>
            </a:ln>
          </c:spPr>
          <c:trendline>
            <c:trendlineType val="power"/>
            <c:dispRSqr val="1"/>
            <c:dispEq val="1"/>
            <c:trendlineLbl>
              <c:layout>
                <c:manualLayout>
                  <c:x val="0.45904188520675315"/>
                  <c:y val="-0.43586610412953397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 sz="2400"/>
                  </a:pPr>
                  <a:endParaRPr lang="en-US"/>
                </a:p>
              </c:txPr>
            </c:trendlineLbl>
          </c:trendline>
          <c:xVal>
            <c:numRef>
              <c:f>'Supplies, Materials Adjustment'!$B$3:$F$3</c:f>
              <c:numCache>
                <c:formatCode>#,##0</c:formatCode>
                <c:ptCount val="5"/>
                <c:pt idx="0">
                  <c:v>100</c:v>
                </c:pt>
                <c:pt idx="1">
                  <c:v>500</c:v>
                </c:pt>
                <c:pt idx="2">
                  <c:v>1000</c:v>
                </c:pt>
                <c:pt idx="3">
                  <c:v>3500</c:v>
                </c:pt>
                <c:pt idx="4">
                  <c:v>10000</c:v>
                </c:pt>
              </c:numCache>
            </c:numRef>
          </c:xVal>
          <c:yVal>
            <c:numRef>
              <c:f>'Supplies, Materials Adjustment'!$B$4:$F$4</c:f>
              <c:numCache>
                <c:formatCode>"$"#,##0</c:formatCode>
                <c:ptCount val="5"/>
                <c:pt idx="0">
                  <c:v>819</c:v>
                </c:pt>
                <c:pt idx="1">
                  <c:v>453</c:v>
                </c:pt>
                <c:pt idx="2">
                  <c:v>351</c:v>
                </c:pt>
                <c:pt idx="3">
                  <c:v>221</c:v>
                </c:pt>
                <c:pt idx="4">
                  <c:v>190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B4E-4B47-8912-00DB98747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388032"/>
        <c:axId val="556132608"/>
      </c:scatterChart>
      <c:valAx>
        <c:axId val="150388032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nextTo"/>
        <c:crossAx val="556132608"/>
        <c:crosses val="autoZero"/>
        <c:crossBetween val="midCat"/>
      </c:valAx>
      <c:valAx>
        <c:axId val="556132608"/>
        <c:scaling>
          <c:orientation val="minMax"/>
        </c:scaling>
        <c:delete val="0"/>
        <c:axPos val="l"/>
        <c:majorGridlines/>
        <c:numFmt formatCode="&quot;$&quot;#,##0" sourceLinked="1"/>
        <c:majorTickMark val="out"/>
        <c:minorTickMark val="none"/>
        <c:tickLblPos val="nextTo"/>
        <c:crossAx val="15038803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276225</xdr:colOff>
      <xdr:row>66</xdr:row>
      <xdr:rowOff>47624</xdr:rowOff>
    </xdr:from>
    <xdr:to>
      <xdr:col>10</xdr:col>
      <xdr:colOff>838200</xdr:colOff>
      <xdr:row>86</xdr:row>
      <xdr:rowOff>57149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A8205B4-9A15-447A-B0A0-59BFACB51E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619125</xdr:colOff>
      <xdr:row>66</xdr:row>
      <xdr:rowOff>47625</xdr:rowOff>
    </xdr:from>
    <xdr:to>
      <xdr:col>11</xdr:col>
      <xdr:colOff>238125</xdr:colOff>
      <xdr:row>86</xdr:row>
      <xdr:rowOff>95250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16CB0C7-C2FF-49C5-9B5B-6A5D868B1B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</xdr:row>
      <xdr:rowOff>133350</xdr:rowOff>
    </xdr:from>
    <xdr:to>
      <xdr:col>3</xdr:col>
      <xdr:colOff>504825</xdr:colOff>
      <xdr:row>23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D758B93-1C1E-4011-A14C-3B1D5BD51B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hyperlink" Target="http://ai-hrd.wyo.gov/egi/active-employees" TargetMode="External"/><Relationship Id="rId1" Type="http://schemas.openxmlformats.org/officeDocument/2006/relationships/hyperlink" Target="https://drive.google.com/file/d/0B6bA9LFa-kaJdHo2c3AxTy10X3M/view" TargetMode="Externa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61"/>
  <sheetViews>
    <sheetView showGridLines="0" tabSelected="1" zoomScale="85" zoomScaleNormal="85" zoomScalePageLayoutView="85" workbookViewId="0">
      <pane xSplit="2" ySplit="4" topLeftCell="C5" activePane="bottomRight" state="frozen"/>
      <selection sqref="A1:M1"/>
      <selection pane="topRight" sqref="A1:M1"/>
      <selection pane="bottomLeft" sqref="A1:M1"/>
      <selection pane="bottomRight" sqref="A1:M1"/>
    </sheetView>
  </sheetViews>
  <sheetFormatPr defaultColWidth="8.85546875" defaultRowHeight="12.75" x14ac:dyDescent="0.2"/>
  <cols>
    <col min="1" max="16" width="15.7109375" customWidth="1"/>
  </cols>
  <sheetData>
    <row r="1" spans="1:16" ht="15.75" x14ac:dyDescent="0.25">
      <c r="A1" s="448" t="s">
        <v>0</v>
      </c>
      <c r="B1" s="448"/>
      <c r="C1" s="448"/>
      <c r="D1" s="448"/>
      <c r="E1" s="448"/>
      <c r="F1" s="448"/>
      <c r="G1" s="448"/>
      <c r="H1" s="448"/>
      <c r="I1" s="448"/>
      <c r="J1" s="448"/>
      <c r="K1" s="448"/>
      <c r="L1" s="448"/>
      <c r="M1" s="448"/>
    </row>
    <row r="4" spans="1:16" ht="51.75" thickBot="1" x14ac:dyDescent="0.25">
      <c r="A4" s="1" t="s">
        <v>1</v>
      </c>
      <c r="B4" s="1" t="s">
        <v>2</v>
      </c>
      <c r="C4" s="1" t="s">
        <v>3</v>
      </c>
      <c r="D4" s="1" t="s">
        <v>4</v>
      </c>
      <c r="E4" s="1" t="s">
        <v>5</v>
      </c>
      <c r="F4" s="1" t="s">
        <v>6</v>
      </c>
      <c r="G4" s="1" t="s">
        <v>7</v>
      </c>
      <c r="H4" s="1" t="s">
        <v>8</v>
      </c>
      <c r="I4" s="1" t="s">
        <v>9</v>
      </c>
      <c r="J4" s="1" t="s">
        <v>10</v>
      </c>
      <c r="K4" s="1" t="s">
        <v>11</v>
      </c>
      <c r="L4" s="1" t="s">
        <v>12</v>
      </c>
      <c r="M4" s="1" t="s">
        <v>13</v>
      </c>
      <c r="N4" s="446" t="s">
        <v>2435</v>
      </c>
      <c r="O4" s="446" t="s">
        <v>2436</v>
      </c>
      <c r="P4" s="446" t="s">
        <v>2437</v>
      </c>
    </row>
    <row r="5" spans="1:16" x14ac:dyDescent="0.2">
      <c r="A5" s="2" t="s">
        <v>14</v>
      </c>
      <c r="B5" s="2" t="s">
        <v>15</v>
      </c>
      <c r="C5" s="3">
        <f>SUMIFS('School Level ADM'!$S$5:$S$359,'School Level ADM'!$A$5:$A$359,$A5)</f>
        <v>3965.61</v>
      </c>
      <c r="D5" s="4">
        <f>SUM(SUMIFS('School Level Inst. Resources'!$AQ$5:$AQ$359,'School Level Inst. Resources'!$A$5:$A$359,$A5))</f>
        <v>37792115.869598292</v>
      </c>
      <c r="E5" s="4">
        <f>'Central Office Resources'!$J5</f>
        <v>3108270.8611915549</v>
      </c>
      <c r="F5" s="4">
        <f>'Total O &amp; M Resources'!$K5</f>
        <v>3959518.8152569924</v>
      </c>
      <c r="G5" s="4">
        <f>Utilities!$T5</f>
        <v>1376951.45</v>
      </c>
      <c r="H5" s="4">
        <f>SUM(D5:G5)</f>
        <v>46236856.996046841</v>
      </c>
      <c r="I5" s="4">
        <f>H5/C5</f>
        <v>11659.456425631073</v>
      </c>
      <c r="J5" s="4">
        <f>'Tranportation &amp; Other Reim.'!X5</f>
        <v>15201496.576266669</v>
      </c>
      <c r="K5" s="4">
        <f>'Charter School Adjustment'!H5</f>
        <v>0</v>
      </c>
      <c r="L5" s="4">
        <f t="shared" ref="L5:L52" si="0">SUM(H5,J5,K5)</f>
        <v>61438353.57231351</v>
      </c>
      <c r="M5" s="4">
        <f t="shared" ref="M5:M52" si="1">L5/C5</f>
        <v>15492.787634768298</v>
      </c>
      <c r="N5" s="4">
        <v>16729158.609293947</v>
      </c>
      <c r="O5" s="4">
        <f>IF(N5&lt;L5,L5-N5,0)</f>
        <v>44709194.963019565</v>
      </c>
      <c r="P5" s="4">
        <f>IF(N5&gt;L5,N5-L5,0)</f>
        <v>0</v>
      </c>
    </row>
    <row r="6" spans="1:16" x14ac:dyDescent="0.2">
      <c r="A6" s="6" t="s">
        <v>16</v>
      </c>
      <c r="B6" s="6" t="s">
        <v>17</v>
      </c>
      <c r="C6" s="3">
        <f>SUMIFS('School Level ADM'!$S$5:$S$359,'School Level ADM'!$A$5:$A$359,$A6)</f>
        <v>1028.3399999999999</v>
      </c>
      <c r="D6" s="4">
        <f>SUM(SUMIFS('School Level Inst. Resources'!$AQ$5:$AQ$359,'School Level Inst. Resources'!$A$5:$A$359,$A6))</f>
        <v>11871810.452798206</v>
      </c>
      <c r="E6" s="4">
        <f>'Central Office Resources'!$J6</f>
        <v>1064385.3877448384</v>
      </c>
      <c r="F6" s="4">
        <f>'Total O &amp; M Resources'!$K6</f>
        <v>1245258.7912129543</v>
      </c>
      <c r="G6" s="4">
        <f>Utilities!$T6</f>
        <v>408572.09</v>
      </c>
      <c r="H6" s="4">
        <f t="shared" ref="H6:H52" si="2">SUM(D6:G6)</f>
        <v>14590026.721755998</v>
      </c>
      <c r="I6" s="4">
        <f t="shared" ref="I6:I54" si="3">H6/C6</f>
        <v>14187.940488317094</v>
      </c>
      <c r="J6" s="4">
        <f>'Tranportation &amp; Other Reim.'!X6</f>
        <v>3701389.764</v>
      </c>
      <c r="K6" s="4">
        <f>'Charter School Adjustment'!H6</f>
        <v>0</v>
      </c>
      <c r="L6" s="4">
        <f t="shared" si="0"/>
        <v>18291416.485755999</v>
      </c>
      <c r="M6" s="4">
        <f t="shared" si="1"/>
        <v>17787.323731213412</v>
      </c>
      <c r="N6" s="4">
        <v>2423250.7576186964</v>
      </c>
      <c r="O6" s="4">
        <f t="shared" ref="O6:O52" si="4">IF(N6&lt;L6,L6-N6,0)</f>
        <v>15868165.728137303</v>
      </c>
      <c r="P6" s="4">
        <f t="shared" ref="P6:P52" si="5">IF(N6&gt;L6,N6-L6,0)</f>
        <v>0</v>
      </c>
    </row>
    <row r="7" spans="1:16" x14ac:dyDescent="0.2">
      <c r="A7" s="6" t="s">
        <v>18</v>
      </c>
      <c r="B7" s="6" t="s">
        <v>19</v>
      </c>
      <c r="C7" s="3">
        <f>SUMIFS('School Level ADM'!$S$5:$S$359,'School Level ADM'!$A$5:$A$359,$A7)</f>
        <v>707.23</v>
      </c>
      <c r="D7" s="4">
        <f>SUM(SUMIFS('School Level Inst. Resources'!$AQ$5:$AQ$359,'School Level Inst. Resources'!$A$5:$A$359,$A7))</f>
        <v>7569423.3684257809</v>
      </c>
      <c r="E7" s="4">
        <f>'Central Office Resources'!$J7</f>
        <v>840269.43238182785</v>
      </c>
      <c r="F7" s="4">
        <f>'Total O &amp; M Resources'!$K7</f>
        <v>1051375.3269541862</v>
      </c>
      <c r="G7" s="4">
        <f>Utilities!$T7</f>
        <v>265970.87</v>
      </c>
      <c r="H7" s="4">
        <f t="shared" si="2"/>
        <v>9727038.9977617934</v>
      </c>
      <c r="I7" s="4">
        <f t="shared" si="3"/>
        <v>13753.713781601167</v>
      </c>
      <c r="J7" s="4">
        <f>'Tranportation &amp; Other Reim.'!X7</f>
        <v>2394519.9996000002</v>
      </c>
      <c r="K7" s="4">
        <f>'Charter School Adjustment'!H7</f>
        <v>0</v>
      </c>
      <c r="L7" s="4">
        <f t="shared" si="0"/>
        <v>12121558.997361794</v>
      </c>
      <c r="M7" s="4">
        <f t="shared" si="1"/>
        <v>17139.486443394362</v>
      </c>
      <c r="N7" s="4">
        <v>1883649.5729929372</v>
      </c>
      <c r="O7" s="4">
        <f t="shared" si="4"/>
        <v>10237909.424368856</v>
      </c>
      <c r="P7" s="4">
        <f t="shared" si="5"/>
        <v>0</v>
      </c>
    </row>
    <row r="8" spans="1:16" x14ac:dyDescent="0.2">
      <c r="A8" s="6" t="s">
        <v>20</v>
      </c>
      <c r="B8" s="6" t="s">
        <v>21</v>
      </c>
      <c r="C8" s="3">
        <f>SUMIFS('School Level ADM'!$S$5:$S$359,'School Level ADM'!$A$5:$A$359,$A8)</f>
        <v>495.58300000000003</v>
      </c>
      <c r="D8" s="4">
        <f>SUM(SUMIFS('School Level Inst. Resources'!$AQ$5:$AQ$359,'School Level Inst. Resources'!$A$5:$A$359,$A8))</f>
        <v>6091027.4125075415</v>
      </c>
      <c r="E8" s="4">
        <f>'Central Office Resources'!$J8</f>
        <v>693165.89379347826</v>
      </c>
      <c r="F8" s="4">
        <f>'Total O &amp; M Resources'!$K8</f>
        <v>719354.52107558097</v>
      </c>
      <c r="G8" s="4">
        <f>Utilities!$T8</f>
        <v>249041.34</v>
      </c>
      <c r="H8" s="4">
        <f t="shared" si="2"/>
        <v>7752589.1673766011</v>
      </c>
      <c r="I8" s="4">
        <f t="shared" si="3"/>
        <v>15643.371881958423</v>
      </c>
      <c r="J8" s="4">
        <f>'Tranportation &amp; Other Reim.'!X8</f>
        <v>2709099.4821333336</v>
      </c>
      <c r="K8" s="4">
        <f>'Charter School Adjustment'!H8</f>
        <v>0</v>
      </c>
      <c r="L8" s="4">
        <f t="shared" si="0"/>
        <v>10461688.649509935</v>
      </c>
      <c r="M8" s="4">
        <f t="shared" si="1"/>
        <v>21109.861818322934</v>
      </c>
      <c r="N8" s="4">
        <v>2711702.4436594243</v>
      </c>
      <c r="O8" s="4">
        <f t="shared" si="4"/>
        <v>7749986.2058505099</v>
      </c>
      <c r="P8" s="4">
        <f t="shared" si="5"/>
        <v>0</v>
      </c>
    </row>
    <row r="9" spans="1:16" x14ac:dyDescent="0.2">
      <c r="A9" s="6" t="s">
        <v>22</v>
      </c>
      <c r="B9" s="6" t="s">
        <v>23</v>
      </c>
      <c r="C9" s="3">
        <f>SUMIFS('School Level ADM'!$S$5:$S$359,'School Level ADM'!$A$5:$A$359,$A9)</f>
        <v>279.23933333333332</v>
      </c>
      <c r="D9" s="4">
        <f>SUM(SUMIFS('School Level Inst. Resources'!$AQ$5:$AQ$359,'School Level Inst. Resources'!$A$5:$A$359,$A9))</f>
        <v>3648778.6052078325</v>
      </c>
      <c r="E9" s="4">
        <f>'Central Office Resources'!$J9</f>
        <v>614014.39990681154</v>
      </c>
      <c r="F9" s="4">
        <f>'Total O &amp; M Resources'!$K9</f>
        <v>440009.20115687797</v>
      </c>
      <c r="G9" s="4">
        <f>Utilities!$T9</f>
        <v>181563.86</v>
      </c>
      <c r="H9" s="4">
        <f t="shared" si="2"/>
        <v>4884366.0662715221</v>
      </c>
      <c r="I9" s="4">
        <f t="shared" si="3"/>
        <v>17491.683596167884</v>
      </c>
      <c r="J9" s="4">
        <f>'Tranportation &amp; Other Reim.'!X9</f>
        <v>2013618.7104000002</v>
      </c>
      <c r="K9" s="4">
        <f>'Charter School Adjustment'!H9</f>
        <v>0</v>
      </c>
      <c r="L9" s="4">
        <f t="shared" si="0"/>
        <v>6897984.7766715223</v>
      </c>
      <c r="M9" s="4">
        <f t="shared" si="1"/>
        <v>24702.769106088883</v>
      </c>
      <c r="N9" s="4">
        <v>1340724.1539736241</v>
      </c>
      <c r="O9" s="4">
        <f t="shared" si="4"/>
        <v>5557260.6226978982</v>
      </c>
      <c r="P9" s="4">
        <f t="shared" si="5"/>
        <v>0</v>
      </c>
    </row>
    <row r="10" spans="1:16" x14ac:dyDescent="0.2">
      <c r="A10" s="6" t="s">
        <v>24</v>
      </c>
      <c r="B10" s="6" t="s">
        <v>25</v>
      </c>
      <c r="C10" s="3">
        <f>SUMIFS('School Level ADM'!$S$5:$S$359,'School Level ADM'!$A$5:$A$359,$A10)</f>
        <v>8676.6579999999994</v>
      </c>
      <c r="D10" s="4">
        <f>SUM(SUMIFS('School Level Inst. Resources'!$AQ$5:$AQ$359,'School Level Inst. Resources'!$A$5:$A$359,$A10))</f>
        <v>94984590.318974972</v>
      </c>
      <c r="E10" s="4">
        <f>'Central Office Resources'!$J10</f>
        <v>7461569.4495094884</v>
      </c>
      <c r="F10" s="4">
        <f>'Total O &amp; M Resources'!$K10</f>
        <v>9583548.0598491225</v>
      </c>
      <c r="G10" s="4">
        <f>Utilities!$T10</f>
        <v>3159234.95</v>
      </c>
      <c r="H10" s="4">
        <f t="shared" si="2"/>
        <v>115188942.77833359</v>
      </c>
      <c r="I10" s="4">
        <f t="shared" si="3"/>
        <v>13275.726988240587</v>
      </c>
      <c r="J10" s="4">
        <f>'Tranportation &amp; Other Reim.'!X10</f>
        <v>34545126.841866672</v>
      </c>
      <c r="K10" s="4">
        <f>'Charter School Adjustment'!H10</f>
        <v>0</v>
      </c>
      <c r="L10" s="4">
        <f t="shared" si="0"/>
        <v>149734069.62020028</v>
      </c>
      <c r="M10" s="4">
        <f t="shared" si="1"/>
        <v>17257.113236478872</v>
      </c>
      <c r="N10" s="4">
        <v>146725868.50799999</v>
      </c>
      <c r="O10" s="4">
        <f t="shared" si="4"/>
        <v>3008201.11220029</v>
      </c>
      <c r="P10" s="4">
        <f t="shared" si="5"/>
        <v>0</v>
      </c>
    </row>
    <row r="11" spans="1:16" x14ac:dyDescent="0.2">
      <c r="A11" s="6" t="s">
        <v>26</v>
      </c>
      <c r="B11" s="6" t="s">
        <v>27</v>
      </c>
      <c r="C11" s="3">
        <f>SUMIFS('School Level ADM'!$S$5:$S$359,'School Level ADM'!$A$5:$A$359,$A11)</f>
        <v>1793.1540000000002</v>
      </c>
      <c r="D11" s="4">
        <f>SUM(SUMIFS('School Level Inst. Resources'!$AQ$5:$AQ$359,'School Level Inst. Resources'!$A$5:$A$359,$A11))</f>
        <v>19726713.396667503</v>
      </c>
      <c r="E11" s="4">
        <f>'Central Office Resources'!$J11</f>
        <v>1633152.4165432896</v>
      </c>
      <c r="F11" s="4">
        <f>'Total O &amp; M Resources'!$K11</f>
        <v>1962375.3868013297</v>
      </c>
      <c r="G11" s="4">
        <f>Utilities!$T11</f>
        <v>1047980.08</v>
      </c>
      <c r="H11" s="4">
        <f t="shared" si="2"/>
        <v>24370221.28001212</v>
      </c>
      <c r="I11" s="4">
        <f t="shared" si="3"/>
        <v>13590.701791375484</v>
      </c>
      <c r="J11" s="4">
        <f>'Tranportation &amp; Other Reim.'!X11</f>
        <v>6020567.1667999998</v>
      </c>
      <c r="K11" s="4">
        <f>'Charter School Adjustment'!H11</f>
        <v>0</v>
      </c>
      <c r="L11" s="4">
        <f t="shared" si="0"/>
        <v>30390788.446812119</v>
      </c>
      <c r="M11" s="4">
        <f t="shared" si="1"/>
        <v>16948.231131744466</v>
      </c>
      <c r="N11" s="4">
        <v>18537566.643790573</v>
      </c>
      <c r="O11" s="4">
        <f t="shared" si="4"/>
        <v>11853221.803021546</v>
      </c>
      <c r="P11" s="4">
        <f t="shared" si="5"/>
        <v>0</v>
      </c>
    </row>
    <row r="12" spans="1:16" x14ac:dyDescent="0.2">
      <c r="A12" s="6" t="s">
        <v>28</v>
      </c>
      <c r="B12" s="6" t="s">
        <v>29</v>
      </c>
      <c r="C12" s="3">
        <f>SUMIFS('School Level ADM'!$S$5:$S$359,'School Level ADM'!$A$5:$A$359,$A12)</f>
        <v>619.12233333333336</v>
      </c>
      <c r="D12" s="4">
        <f>SUM(SUMIFS('School Level Inst. Resources'!$AQ$5:$AQ$359,'School Level Inst. Resources'!$A$5:$A$359,$A12))</f>
        <v>9902813.66928773</v>
      </c>
      <c r="E12" s="4">
        <f>'Central Office Resources'!$J12</f>
        <v>812177.60429657786</v>
      </c>
      <c r="F12" s="4">
        <f>'Total O &amp; M Resources'!$K12</f>
        <v>1763748.1119734657</v>
      </c>
      <c r="G12" s="4">
        <f>Utilities!$T12</f>
        <v>539304.22</v>
      </c>
      <c r="H12" s="4">
        <f t="shared" si="2"/>
        <v>13018043.605557775</v>
      </c>
      <c r="I12" s="4">
        <f t="shared" si="3"/>
        <v>21026.609612786986</v>
      </c>
      <c r="J12" s="4">
        <f>'Tranportation &amp; Other Reim.'!X12</f>
        <v>3502367.2296000007</v>
      </c>
      <c r="K12" s="4">
        <f>'Charter School Adjustment'!H12</f>
        <v>0</v>
      </c>
      <c r="L12" s="4">
        <f t="shared" si="0"/>
        <v>16520410.835157776</v>
      </c>
      <c r="M12" s="4">
        <f t="shared" si="1"/>
        <v>26683.596998047949</v>
      </c>
      <c r="N12" s="4">
        <v>5061848.767786487</v>
      </c>
      <c r="O12" s="4">
        <f t="shared" si="4"/>
        <v>11458562.06737129</v>
      </c>
      <c r="P12" s="4">
        <f t="shared" si="5"/>
        <v>0</v>
      </c>
    </row>
    <row r="13" spans="1:16" x14ac:dyDescent="0.2">
      <c r="A13" s="6" t="s">
        <v>30</v>
      </c>
      <c r="B13" s="6" t="s">
        <v>31</v>
      </c>
      <c r="C13" s="3">
        <f>SUMIFS('School Level ADM'!$S$5:$S$359,'School Level ADM'!$A$5:$A$359,$A13)</f>
        <v>1689.6276666666668</v>
      </c>
      <c r="D13" s="4">
        <f>SUM(SUMIFS('School Level Inst. Resources'!$AQ$5:$AQ$359,'School Level Inst. Resources'!$A$5:$A$359,$A13))</f>
        <v>19208386.990154177</v>
      </c>
      <c r="E13" s="4">
        <f>'Central Office Resources'!$J13</f>
        <v>1638953.7859965852</v>
      </c>
      <c r="F13" s="4">
        <f>'Total O &amp; M Resources'!$K13</f>
        <v>2547649.1500014584</v>
      </c>
      <c r="G13" s="4">
        <f>Utilities!$T13</f>
        <v>931471.65</v>
      </c>
      <c r="H13" s="4">
        <f t="shared" si="2"/>
        <v>24326461.57615222</v>
      </c>
      <c r="I13" s="4">
        <f t="shared" si="3"/>
        <v>14397.527961970449</v>
      </c>
      <c r="J13" s="4">
        <f>'Tranportation &amp; Other Reim.'!X13</f>
        <v>9858556.8364000004</v>
      </c>
      <c r="K13" s="4">
        <f>'Charter School Adjustment'!H13</f>
        <v>0</v>
      </c>
      <c r="L13" s="4">
        <f t="shared" si="0"/>
        <v>34185018.412552223</v>
      </c>
      <c r="M13" s="4">
        <f t="shared" si="1"/>
        <v>20232.279032216105</v>
      </c>
      <c r="N13" s="4">
        <v>30163407.090000004</v>
      </c>
      <c r="O13" s="4">
        <f t="shared" si="4"/>
        <v>4021611.322552219</v>
      </c>
      <c r="P13" s="4">
        <f t="shared" si="5"/>
        <v>0</v>
      </c>
    </row>
    <row r="14" spans="1:16" x14ac:dyDescent="0.2">
      <c r="A14" s="6" t="s">
        <v>32</v>
      </c>
      <c r="B14" s="6" t="s">
        <v>33</v>
      </c>
      <c r="C14" s="3">
        <f>SUMIFS('School Level ADM'!$S$5:$S$359,'School Level ADM'!$A$5:$A$359,$A14)</f>
        <v>607.05766666666671</v>
      </c>
      <c r="D14" s="4">
        <f>SUM(SUMIFS('School Level Inst. Resources'!$AQ$5:$AQ$359,'School Level Inst. Resources'!$A$5:$A$359,$A14))</f>
        <v>8303808.6457867026</v>
      </c>
      <c r="E14" s="4">
        <f>'Central Office Resources'!$J14</f>
        <v>851299.61655849498</v>
      </c>
      <c r="F14" s="4">
        <f>'Total O &amp; M Resources'!$K14</f>
        <v>997543.19336970849</v>
      </c>
      <c r="G14" s="4">
        <f>Utilities!$T14</f>
        <v>403018.54</v>
      </c>
      <c r="H14" s="4">
        <f t="shared" si="2"/>
        <v>10555669.995714907</v>
      </c>
      <c r="I14" s="4">
        <f t="shared" si="3"/>
        <v>17388.249214733976</v>
      </c>
      <c r="J14" s="4">
        <f>'Tranportation &amp; Other Reim.'!X14</f>
        <v>2218157.4393333336</v>
      </c>
      <c r="K14" s="4">
        <f>'Charter School Adjustment'!H14</f>
        <v>0</v>
      </c>
      <c r="L14" s="4">
        <f t="shared" si="0"/>
        <v>12773827.435048241</v>
      </c>
      <c r="M14" s="4">
        <f t="shared" si="1"/>
        <v>21042.197696289546</v>
      </c>
      <c r="N14" s="4">
        <v>10472991.405864874</v>
      </c>
      <c r="O14" s="4">
        <f t="shared" si="4"/>
        <v>2300836.0291833673</v>
      </c>
      <c r="P14" s="4">
        <f t="shared" si="5"/>
        <v>0</v>
      </c>
    </row>
    <row r="15" spans="1:16" x14ac:dyDescent="0.2">
      <c r="A15" s="6" t="s">
        <v>34</v>
      </c>
      <c r="B15" s="6" t="s">
        <v>35</v>
      </c>
      <c r="C15" s="3">
        <f>SUMIFS('School Level ADM'!$S$5:$S$359,'School Level ADM'!$A$5:$A$359,$A15)</f>
        <v>1134.6060000000002</v>
      </c>
      <c r="D15" s="4">
        <f>SUM(SUMIFS('School Level Inst. Resources'!$AQ$5:$AQ$359,'School Level Inst. Resources'!$A$5:$A$359,$A15))</f>
        <v>13447621.585393302</v>
      </c>
      <c r="E15" s="4">
        <f>'Central Office Resources'!$J15</f>
        <v>1160757.270880026</v>
      </c>
      <c r="F15" s="4">
        <f>'Total O &amp; M Resources'!$K15</f>
        <v>1955298.7331719825</v>
      </c>
      <c r="G15" s="4">
        <f>Utilities!$T15</f>
        <v>419391.67</v>
      </c>
      <c r="H15" s="4">
        <f t="shared" si="2"/>
        <v>16983069.259445313</v>
      </c>
      <c r="I15" s="4">
        <f t="shared" si="3"/>
        <v>14968.252644041464</v>
      </c>
      <c r="J15" s="4">
        <f>'Tranportation &amp; Other Reim.'!X15</f>
        <v>4954903.0501333335</v>
      </c>
      <c r="K15" s="4">
        <f>'Charter School Adjustment'!H15</f>
        <v>0</v>
      </c>
      <c r="L15" s="4">
        <f t="shared" si="0"/>
        <v>21937972.309578646</v>
      </c>
      <c r="M15" s="4">
        <f t="shared" si="1"/>
        <v>19335.32196161367</v>
      </c>
      <c r="N15" s="4">
        <v>7198877.4247156857</v>
      </c>
      <c r="O15" s="4">
        <f t="shared" si="4"/>
        <v>14739094.884862959</v>
      </c>
      <c r="P15" s="4">
        <f t="shared" si="5"/>
        <v>0</v>
      </c>
    </row>
    <row r="16" spans="1:16" x14ac:dyDescent="0.2">
      <c r="A16" s="6" t="s">
        <v>36</v>
      </c>
      <c r="B16" s="6" t="s">
        <v>37</v>
      </c>
      <c r="C16" s="3">
        <f>SUMIFS('School Level ADM'!$S$5:$S$359,'School Level ADM'!$A$5:$A$359,$A16)</f>
        <v>1760.1949999999997</v>
      </c>
      <c r="D16" s="4">
        <f>SUM(SUMIFS('School Level Inst. Resources'!$AQ$5:$AQ$359,'School Level Inst. Resources'!$A$5:$A$359,$A16))</f>
        <v>16860284.547107033</v>
      </c>
      <c r="E16" s="4">
        <f>'Central Office Resources'!$J16</f>
        <v>1570988.6589693855</v>
      </c>
      <c r="F16" s="4">
        <f>'Total O &amp; M Resources'!$K16</f>
        <v>2462694.4622493703</v>
      </c>
      <c r="G16" s="4">
        <f>Utilities!$T16</f>
        <v>862312.8</v>
      </c>
      <c r="H16" s="4">
        <f t="shared" si="2"/>
        <v>21756280.46832579</v>
      </c>
      <c r="I16" s="4">
        <f t="shared" si="3"/>
        <v>12360.15354453671</v>
      </c>
      <c r="J16" s="4">
        <f>'Tranportation &amp; Other Reim.'!X16</f>
        <v>7420986.6141333347</v>
      </c>
      <c r="K16" s="4">
        <f>'Charter School Adjustment'!H16</f>
        <v>0</v>
      </c>
      <c r="L16" s="4">
        <f t="shared" si="0"/>
        <v>29177267.082459126</v>
      </c>
      <c r="M16" s="4">
        <f t="shared" si="1"/>
        <v>16576.156097738676</v>
      </c>
      <c r="N16" s="4">
        <v>7149112.5503234761</v>
      </c>
      <c r="O16" s="4">
        <f t="shared" si="4"/>
        <v>22028154.532135651</v>
      </c>
      <c r="P16" s="4">
        <f t="shared" si="5"/>
        <v>0</v>
      </c>
    </row>
    <row r="17" spans="1:16" x14ac:dyDescent="0.2">
      <c r="A17" s="6" t="s">
        <v>38</v>
      </c>
      <c r="B17" s="6" t="s">
        <v>39</v>
      </c>
      <c r="C17" s="3">
        <f>SUMIFS('School Level ADM'!$S$5:$S$359,'School Level ADM'!$A$5:$A$359,$A17)</f>
        <v>148.73500000000001</v>
      </c>
      <c r="D17" s="4">
        <f>SUM(SUMIFS('School Level Inst. Resources'!$AQ$5:$AQ$359,'School Level Inst. Resources'!$A$5:$A$359,$A17))</f>
        <v>2673203.6478973627</v>
      </c>
      <c r="E17" s="4">
        <f>'Central Office Resources'!$J17</f>
        <v>575208.70010942337</v>
      </c>
      <c r="F17" s="4">
        <f>'Total O &amp; M Resources'!$K17</f>
        <v>421310.05358478625</v>
      </c>
      <c r="G17" s="4">
        <f>Utilities!$T17</f>
        <v>231186.48</v>
      </c>
      <c r="H17" s="4">
        <f t="shared" si="2"/>
        <v>3900908.881591572</v>
      </c>
      <c r="I17" s="4">
        <f t="shared" si="3"/>
        <v>26227.242287232806</v>
      </c>
      <c r="J17" s="4">
        <f>'Tranportation &amp; Other Reim.'!X17</f>
        <v>754701.58360000001</v>
      </c>
      <c r="K17" s="4">
        <f>'Charter School Adjustment'!H17</f>
        <v>0</v>
      </c>
      <c r="L17" s="4">
        <f t="shared" si="0"/>
        <v>4655610.465191572</v>
      </c>
      <c r="M17" s="4">
        <f t="shared" si="1"/>
        <v>31301.378056217916</v>
      </c>
      <c r="N17" s="4">
        <v>1974579.0324396254</v>
      </c>
      <c r="O17" s="4">
        <f t="shared" si="4"/>
        <v>2681031.4327519466</v>
      </c>
      <c r="P17" s="4">
        <f t="shared" si="5"/>
        <v>0</v>
      </c>
    </row>
    <row r="18" spans="1:16" x14ac:dyDescent="0.2">
      <c r="A18" s="6" t="s">
        <v>40</v>
      </c>
      <c r="B18" s="6" t="s">
        <v>41</v>
      </c>
      <c r="C18" s="3">
        <f>SUMIFS('School Level ADM'!$S$5:$S$359,'School Level ADM'!$A$5:$A$359,$A18)</f>
        <v>406.80500000000001</v>
      </c>
      <c r="D18" s="4">
        <f>SUM(SUMIFS('School Level Inst. Resources'!$AQ$5:$AQ$359,'School Level Inst. Resources'!$A$5:$A$359,$A18))</f>
        <v>5763085.2053384827</v>
      </c>
      <c r="E18" s="4">
        <f>'Central Office Resources'!$J18</f>
        <v>669626.19030942337</v>
      </c>
      <c r="F18" s="4">
        <f>'Total O &amp; M Resources'!$K18</f>
        <v>831940.47899390524</v>
      </c>
      <c r="G18" s="4">
        <f>Utilities!$T18</f>
        <v>219418.59</v>
      </c>
      <c r="H18" s="4">
        <f t="shared" si="2"/>
        <v>7484070.4646418113</v>
      </c>
      <c r="I18" s="4">
        <f t="shared" si="3"/>
        <v>18397.193900374408</v>
      </c>
      <c r="J18" s="4">
        <f>'Tranportation &amp; Other Reim.'!X18</f>
        <v>2130633.3026399999</v>
      </c>
      <c r="K18" s="4">
        <f>'Charter School Adjustment'!H18</f>
        <v>0</v>
      </c>
      <c r="L18" s="4">
        <f t="shared" si="0"/>
        <v>9614703.7672818117</v>
      </c>
      <c r="M18" s="4">
        <f t="shared" si="1"/>
        <v>23634.674517967604</v>
      </c>
      <c r="N18" s="4">
        <v>1871353.1266086774</v>
      </c>
      <c r="O18" s="4">
        <f t="shared" si="4"/>
        <v>7743350.6406731345</v>
      </c>
      <c r="P18" s="4">
        <f t="shared" si="5"/>
        <v>0</v>
      </c>
    </row>
    <row r="19" spans="1:16" x14ac:dyDescent="0.2">
      <c r="A19" s="6" t="s">
        <v>42</v>
      </c>
      <c r="B19" s="6" t="s">
        <v>43</v>
      </c>
      <c r="C19" s="3">
        <f>SUMIFS('School Level ADM'!$S$5:$S$359,'School Level ADM'!$A$5:$A$359,$A19)</f>
        <v>617.3413333333333</v>
      </c>
      <c r="D19" s="4">
        <f>SUM(SUMIFS('School Level Inst. Resources'!$AQ$5:$AQ$359,'School Level Inst. Resources'!$A$5:$A$359,$A19))</f>
        <v>7340120.2266554991</v>
      </c>
      <c r="E19" s="4">
        <f>'Central Office Resources'!$J19</f>
        <v>786821.31366175087</v>
      </c>
      <c r="F19" s="4">
        <f>'Total O &amp; M Resources'!$K19</f>
        <v>1354009.9515112478</v>
      </c>
      <c r="G19" s="4">
        <f>Utilities!$T19</f>
        <v>355436.19</v>
      </c>
      <c r="H19" s="4">
        <f t="shared" si="2"/>
        <v>9836387.681828497</v>
      </c>
      <c r="I19" s="4">
        <f t="shared" si="3"/>
        <v>15933.466869481979</v>
      </c>
      <c r="J19" s="4">
        <f>'Tranportation &amp; Other Reim.'!X19</f>
        <v>3421677.0480000004</v>
      </c>
      <c r="K19" s="4">
        <f>'Charter School Adjustment'!H19</f>
        <v>0</v>
      </c>
      <c r="L19" s="4">
        <f t="shared" si="0"/>
        <v>13258064.729828497</v>
      </c>
      <c r="M19" s="4">
        <f t="shared" si="1"/>
        <v>21476.068446999336</v>
      </c>
      <c r="N19" s="4">
        <v>635188.06989007723</v>
      </c>
      <c r="O19" s="4">
        <f t="shared" si="4"/>
        <v>12622876.659938421</v>
      </c>
      <c r="P19" s="4">
        <f t="shared" si="5"/>
        <v>0</v>
      </c>
    </row>
    <row r="20" spans="1:16" x14ac:dyDescent="0.2">
      <c r="A20" s="6" t="s">
        <v>44</v>
      </c>
      <c r="B20" s="6" t="s">
        <v>45</v>
      </c>
      <c r="C20" s="3">
        <f>SUMIFS('School Level ADM'!$S$5:$S$359,'School Level ADM'!$A$5:$A$359,$A20)</f>
        <v>497.42500000000001</v>
      </c>
      <c r="D20" s="4">
        <f>SUM(SUMIFS('School Level Inst. Resources'!$AQ$5:$AQ$359,'School Level Inst. Resources'!$A$5:$A$359,$A20))</f>
        <v>6188570.8918078654</v>
      </c>
      <c r="E20" s="4">
        <f>'Central Office Resources'!$J20</f>
        <v>702780.42350942339</v>
      </c>
      <c r="F20" s="4">
        <f>'Total O &amp; M Resources'!$K20</f>
        <v>956806.83940611884</v>
      </c>
      <c r="G20" s="4">
        <f>Utilities!$T20</f>
        <v>213270.61</v>
      </c>
      <c r="H20" s="4">
        <f t="shared" si="2"/>
        <v>8061428.764723408</v>
      </c>
      <c r="I20" s="4">
        <f t="shared" si="3"/>
        <v>16206.320077847731</v>
      </c>
      <c r="J20" s="4">
        <f>'Tranportation &amp; Other Reim.'!X20</f>
        <v>2518561.4937333334</v>
      </c>
      <c r="K20" s="4">
        <f>'Charter School Adjustment'!H20</f>
        <v>0</v>
      </c>
      <c r="L20" s="4">
        <f t="shared" si="0"/>
        <v>10579990.258456741</v>
      </c>
      <c r="M20" s="4">
        <f t="shared" si="1"/>
        <v>21269.518537380991</v>
      </c>
      <c r="N20" s="4">
        <v>664960.64141412696</v>
      </c>
      <c r="O20" s="4">
        <f t="shared" si="4"/>
        <v>9915029.6170426141</v>
      </c>
      <c r="P20" s="4">
        <f t="shared" si="5"/>
        <v>0</v>
      </c>
    </row>
    <row r="21" spans="1:16" x14ac:dyDescent="0.2">
      <c r="A21" s="6" t="s">
        <v>46</v>
      </c>
      <c r="B21" s="6" t="s">
        <v>47</v>
      </c>
      <c r="C21" s="3">
        <f>SUMIFS('School Level ADM'!$S$5:$S$359,'School Level ADM'!$A$5:$A$359,$A21)</f>
        <v>388.52100000000002</v>
      </c>
      <c r="D21" s="4">
        <f>SUM(SUMIFS('School Level Inst. Resources'!$AQ$5:$AQ$359,'School Level Inst. Resources'!$A$5:$A$359,$A21))</f>
        <v>4872678.6124619404</v>
      </c>
      <c r="E21" s="4">
        <f>'Central Office Resources'!$J21</f>
        <v>662936.80606942344</v>
      </c>
      <c r="F21" s="4">
        <f>'Total O &amp; M Resources'!$K21</f>
        <v>750283.08522078267</v>
      </c>
      <c r="G21" s="4">
        <f>Utilities!$T21</f>
        <v>157862.64000000001</v>
      </c>
      <c r="H21" s="4">
        <f t="shared" si="2"/>
        <v>6443761.1437521465</v>
      </c>
      <c r="I21" s="4">
        <f t="shared" si="3"/>
        <v>16585.361264261512</v>
      </c>
      <c r="J21" s="4">
        <f>'Tranportation &amp; Other Reim.'!X21</f>
        <v>2122184.9874666668</v>
      </c>
      <c r="K21" s="4">
        <f>'Charter School Adjustment'!H21</f>
        <v>0</v>
      </c>
      <c r="L21" s="4">
        <f t="shared" si="0"/>
        <v>8565946.1312188134</v>
      </c>
      <c r="M21" s="4">
        <f t="shared" si="1"/>
        <v>22047.575629679766</v>
      </c>
      <c r="N21" s="4">
        <v>4566719.9410583759</v>
      </c>
      <c r="O21" s="4">
        <f t="shared" si="4"/>
        <v>3999226.1901604375</v>
      </c>
      <c r="P21" s="4">
        <f t="shared" si="5"/>
        <v>0</v>
      </c>
    </row>
    <row r="22" spans="1:16" x14ac:dyDescent="0.2">
      <c r="A22" s="6" t="s">
        <v>48</v>
      </c>
      <c r="B22" s="6" t="s">
        <v>49</v>
      </c>
      <c r="C22" s="3">
        <f>SUMIFS('School Level ADM'!$S$5:$S$359,'School Level ADM'!$A$5:$A$359,$A22)</f>
        <v>2449.0836666666669</v>
      </c>
      <c r="D22" s="4">
        <f>SUM(SUMIFS('School Level Inst. Resources'!$AQ$5:$AQ$359,'School Level Inst. Resources'!$A$5:$A$359,$A22))</f>
        <v>24182568.548404798</v>
      </c>
      <c r="E22" s="4">
        <f>'Central Office Resources'!$J22</f>
        <v>2036551.393124613</v>
      </c>
      <c r="F22" s="4">
        <f>'Total O &amp; M Resources'!$K22</f>
        <v>2754112.4810909652</v>
      </c>
      <c r="G22" s="4">
        <f>Utilities!$T22</f>
        <v>992734.75</v>
      </c>
      <c r="H22" s="4">
        <f t="shared" si="2"/>
        <v>29965967.172620378</v>
      </c>
      <c r="I22" s="4">
        <f t="shared" si="3"/>
        <v>12235.583283851487</v>
      </c>
      <c r="J22" s="4">
        <f>'Tranportation &amp; Other Reim.'!X22</f>
        <v>10343636.917066667</v>
      </c>
      <c r="K22" s="4">
        <f>'Charter School Adjustment'!H22</f>
        <v>0</v>
      </c>
      <c r="L22" s="4">
        <f t="shared" si="0"/>
        <v>40309604.089687049</v>
      </c>
      <c r="M22" s="4">
        <f t="shared" si="1"/>
        <v>16459.055539148063</v>
      </c>
      <c r="N22" s="4">
        <v>7578719.5804169653</v>
      </c>
      <c r="O22" s="4">
        <f t="shared" si="4"/>
        <v>32730884.509270083</v>
      </c>
      <c r="P22" s="4">
        <f t="shared" si="5"/>
        <v>0</v>
      </c>
    </row>
    <row r="23" spans="1:16" x14ac:dyDescent="0.2">
      <c r="A23" s="6" t="s">
        <v>50</v>
      </c>
      <c r="B23" s="6" t="s">
        <v>51</v>
      </c>
      <c r="C23" s="3">
        <f>SUMIFS('School Level ADM'!$S$5:$S$359,'School Level ADM'!$A$5:$A$359,$A23)</f>
        <v>437.34</v>
      </c>
      <c r="D23" s="4">
        <f>SUM(SUMIFS('School Level Inst. Resources'!$AQ$5:$AQ$359,'School Level Inst. Resources'!$A$5:$A$359,$A23))</f>
        <v>5166533.3270244105</v>
      </c>
      <c r="E23" s="4">
        <f>'Central Office Resources'!$J23</f>
        <v>680797.72540942335</v>
      </c>
      <c r="F23" s="4">
        <f>'Total O &amp; M Resources'!$K23</f>
        <v>663292.07703529624</v>
      </c>
      <c r="G23" s="4">
        <f>Utilities!$T23</f>
        <v>264149.59999999998</v>
      </c>
      <c r="H23" s="4">
        <f t="shared" si="2"/>
        <v>6774772.7294691298</v>
      </c>
      <c r="I23" s="4">
        <f t="shared" si="3"/>
        <v>15490.860039029429</v>
      </c>
      <c r="J23" s="4">
        <f>'Tranportation &amp; Other Reim.'!X23</f>
        <v>3777547.1494666664</v>
      </c>
      <c r="K23" s="4">
        <f>'Charter School Adjustment'!H23</f>
        <v>0</v>
      </c>
      <c r="L23" s="4">
        <f t="shared" si="0"/>
        <v>10552319.878935795</v>
      </c>
      <c r="M23" s="4">
        <f t="shared" si="1"/>
        <v>24128.412399816611</v>
      </c>
      <c r="N23" s="4">
        <v>472608.91366500146</v>
      </c>
      <c r="O23" s="4">
        <f t="shared" si="4"/>
        <v>10079710.965270793</v>
      </c>
      <c r="P23" s="4">
        <f t="shared" si="5"/>
        <v>0</v>
      </c>
    </row>
    <row r="24" spans="1:16" x14ac:dyDescent="0.2">
      <c r="A24" s="6" t="s">
        <v>52</v>
      </c>
      <c r="B24" s="6" t="s">
        <v>53</v>
      </c>
      <c r="C24" s="3">
        <f>SUMIFS('School Level ADM'!$S$5:$S$359,'School Level ADM'!$A$5:$A$359,$A24)</f>
        <v>1703.5450000000001</v>
      </c>
      <c r="D24" s="4">
        <f>SUM(SUMIFS('School Level Inst. Resources'!$AQ$5:$AQ$359,'School Level Inst. Resources'!$A$5:$A$359,$A24))</f>
        <v>19587732.649650287</v>
      </c>
      <c r="E24" s="4">
        <f>'Central Office Resources'!$J24</f>
        <v>1509464.5838779295</v>
      </c>
      <c r="F24" s="4">
        <f>'Total O &amp; M Resources'!$K24</f>
        <v>2273578.7458690968</v>
      </c>
      <c r="G24" s="4">
        <f>Utilities!$T24</f>
        <v>896739.21</v>
      </c>
      <c r="H24" s="4">
        <f t="shared" si="2"/>
        <v>24267515.189397313</v>
      </c>
      <c r="I24" s="4">
        <f t="shared" si="3"/>
        <v>14245.303287789469</v>
      </c>
      <c r="J24" s="4">
        <f>'Tranportation &amp; Other Reim.'!X24</f>
        <v>7500939.7238666676</v>
      </c>
      <c r="K24" s="4">
        <f>'Charter School Adjustment'!H24</f>
        <v>0</v>
      </c>
      <c r="L24" s="4">
        <f t="shared" si="0"/>
        <v>31768454.91326398</v>
      </c>
      <c r="M24" s="4">
        <f t="shared" si="1"/>
        <v>18648.438939543117</v>
      </c>
      <c r="N24" s="4">
        <v>7636044.9489147933</v>
      </c>
      <c r="O24" s="4">
        <f t="shared" si="4"/>
        <v>24132409.964349188</v>
      </c>
      <c r="P24" s="4">
        <f t="shared" si="5"/>
        <v>0</v>
      </c>
    </row>
    <row r="25" spans="1:16" x14ac:dyDescent="0.2">
      <c r="A25" s="6" t="s">
        <v>54</v>
      </c>
      <c r="B25" s="6" t="s">
        <v>55</v>
      </c>
      <c r="C25" s="3">
        <f>SUMIFS('School Level ADM'!$S$5:$S$359,'School Level ADM'!$A$5:$A$359,$A25)</f>
        <v>662.90499999999997</v>
      </c>
      <c r="D25" s="4">
        <f>SUM(SUMIFS('School Level Inst. Resources'!$AQ$5:$AQ$359,'School Level Inst. Resources'!$A$5:$A$359,$A25))</f>
        <v>7426208.755392367</v>
      </c>
      <c r="E25" s="4">
        <f>'Central Office Resources'!$J25</f>
        <v>814119.11269235495</v>
      </c>
      <c r="F25" s="4">
        <f>'Total O &amp; M Resources'!$K25</f>
        <v>1175705.2592442604</v>
      </c>
      <c r="G25" s="4">
        <f>Utilities!$T25</f>
        <v>438245.75</v>
      </c>
      <c r="H25" s="4">
        <f t="shared" si="2"/>
        <v>9854278.8773289826</v>
      </c>
      <c r="I25" s="4">
        <f t="shared" si="3"/>
        <v>14865.295747247317</v>
      </c>
      <c r="J25" s="4">
        <f>'Tranportation &amp; Other Reim.'!X25</f>
        <v>3221631.337733333</v>
      </c>
      <c r="K25" s="4">
        <f>'Charter School Adjustment'!H25</f>
        <v>0</v>
      </c>
      <c r="L25" s="4">
        <f t="shared" si="0"/>
        <v>13075910.215062317</v>
      </c>
      <c r="M25" s="4">
        <f t="shared" si="1"/>
        <v>19725.164563643837</v>
      </c>
      <c r="N25" s="4">
        <v>5070511.4589184746</v>
      </c>
      <c r="O25" s="4">
        <f t="shared" si="4"/>
        <v>8005398.7561438419</v>
      </c>
      <c r="P25" s="4">
        <f t="shared" si="5"/>
        <v>0</v>
      </c>
    </row>
    <row r="26" spans="1:16" x14ac:dyDescent="0.2">
      <c r="A26" s="6" t="s">
        <v>56</v>
      </c>
      <c r="B26" s="6" t="s">
        <v>57</v>
      </c>
      <c r="C26" s="3">
        <f>SUMIFS('School Level ADM'!$S$5:$S$359,'School Level ADM'!$A$5:$A$359,$A26)</f>
        <v>1269.665</v>
      </c>
      <c r="D26" s="4">
        <f>SUM(SUMIFS('School Level Inst. Resources'!$AQ$5:$AQ$359,'School Level Inst. Resources'!$A$5:$A$359,$A26))</f>
        <v>13845884.407977587</v>
      </c>
      <c r="E26" s="4">
        <f>'Central Office Resources'!$J26</f>
        <v>1239480.1017300976</v>
      </c>
      <c r="F26" s="4">
        <f>'Total O &amp; M Resources'!$K26</f>
        <v>2786110.2348100883</v>
      </c>
      <c r="G26" s="4">
        <f>Utilities!$T26</f>
        <v>545852.27</v>
      </c>
      <c r="H26" s="4">
        <f t="shared" si="2"/>
        <v>18417327.014517773</v>
      </c>
      <c r="I26" s="4">
        <f t="shared" si="3"/>
        <v>14505.658590665864</v>
      </c>
      <c r="J26" s="4">
        <f>'Tranportation &amp; Other Reim.'!X26</f>
        <v>4102423.9302666662</v>
      </c>
      <c r="K26" s="4">
        <f>'Charter School Adjustment'!H26</f>
        <v>0</v>
      </c>
      <c r="L26" s="4">
        <f t="shared" si="0"/>
        <v>22519750.94478444</v>
      </c>
      <c r="M26" s="4">
        <f t="shared" si="1"/>
        <v>17736.765953841714</v>
      </c>
      <c r="N26" s="4">
        <v>15358667.683805093</v>
      </c>
      <c r="O26" s="4">
        <f t="shared" si="4"/>
        <v>7161083.2609793469</v>
      </c>
      <c r="P26" s="4">
        <f t="shared" si="5"/>
        <v>0</v>
      </c>
    </row>
    <row r="27" spans="1:16" x14ac:dyDescent="0.2">
      <c r="A27" s="6" t="s">
        <v>58</v>
      </c>
      <c r="B27" s="6" t="s">
        <v>59</v>
      </c>
      <c r="C27" s="3">
        <f>SUMIFS('School Level ADM'!$S$5:$S$359,'School Level ADM'!$A$5:$A$359,$A27)</f>
        <v>13859.934999999998</v>
      </c>
      <c r="D27" s="4">
        <f>SUM(SUMIFS('School Level Inst. Resources'!$AQ$5:$AQ$359,'School Level Inst. Resources'!$A$5:$A$359,$A27))</f>
        <v>134989031.00908387</v>
      </c>
      <c r="E27" s="4">
        <f>'Central Office Resources'!$J27</f>
        <v>11078856.511776276</v>
      </c>
      <c r="F27" s="4">
        <f>'Total O &amp; M Resources'!$K27</f>
        <v>12462153.614718556</v>
      </c>
      <c r="G27" s="4">
        <f>Utilities!$T27</f>
        <v>5272097.32</v>
      </c>
      <c r="H27" s="4">
        <f t="shared" si="2"/>
        <v>163802138.45557868</v>
      </c>
      <c r="I27" s="4">
        <f t="shared" si="3"/>
        <v>11818.39153326323</v>
      </c>
      <c r="J27" s="4">
        <f>'Tranportation &amp; Other Reim.'!X27</f>
        <v>41915442.202400006</v>
      </c>
      <c r="K27" s="4">
        <f>'Charter School Adjustment'!H27</f>
        <v>0</v>
      </c>
      <c r="L27" s="4">
        <f t="shared" si="0"/>
        <v>205717580.65797868</v>
      </c>
      <c r="M27" s="4">
        <f t="shared" si="1"/>
        <v>14842.607895201436</v>
      </c>
      <c r="N27" s="4">
        <v>51811294.827610731</v>
      </c>
      <c r="O27" s="4">
        <f t="shared" si="4"/>
        <v>153906285.83036795</v>
      </c>
      <c r="P27" s="4">
        <f t="shared" si="5"/>
        <v>0</v>
      </c>
    </row>
    <row r="28" spans="1:16" x14ac:dyDescent="0.2">
      <c r="A28" s="6" t="s">
        <v>60</v>
      </c>
      <c r="B28" s="6" t="s">
        <v>61</v>
      </c>
      <c r="C28" s="3">
        <f>SUMIFS('School Level ADM'!$S$5:$S$359,'School Level ADM'!$A$5:$A$359,$A28)</f>
        <v>1035.2350000000001</v>
      </c>
      <c r="D28" s="4">
        <f>SUM(SUMIFS('School Level Inst. Resources'!$AQ$5:$AQ$359,'School Level Inst. Resources'!$A$5:$A$359,$A28))</f>
        <v>12657642.177071342</v>
      </c>
      <c r="E28" s="4">
        <f>'Central Office Resources'!$J28</f>
        <v>1117164.6678284614</v>
      </c>
      <c r="F28" s="4">
        <f>'Total O &amp; M Resources'!$K28</f>
        <v>1441946.9451538753</v>
      </c>
      <c r="G28" s="4">
        <f>Utilities!$T28</f>
        <v>419409.49</v>
      </c>
      <c r="H28" s="4">
        <f t="shared" si="2"/>
        <v>15636163.280053679</v>
      </c>
      <c r="I28" s="4">
        <f t="shared" si="3"/>
        <v>15103.974730427079</v>
      </c>
      <c r="J28" s="4">
        <f>'Tranportation &amp; Other Reim.'!X28</f>
        <v>5002594.4941333327</v>
      </c>
      <c r="K28" s="4">
        <f>'Charter School Adjustment'!H28</f>
        <v>0</v>
      </c>
      <c r="L28" s="4">
        <f t="shared" si="0"/>
        <v>20638757.774187014</v>
      </c>
      <c r="M28" s="4">
        <f t="shared" si="1"/>
        <v>19936.302167321439</v>
      </c>
      <c r="N28" s="4">
        <v>5879422.1991012199</v>
      </c>
      <c r="O28" s="4">
        <f t="shared" si="4"/>
        <v>14759335.575085793</v>
      </c>
      <c r="P28" s="4">
        <f t="shared" si="5"/>
        <v>0</v>
      </c>
    </row>
    <row r="29" spans="1:16" x14ac:dyDescent="0.2">
      <c r="A29" s="6" t="s">
        <v>62</v>
      </c>
      <c r="B29" s="6" t="s">
        <v>63</v>
      </c>
      <c r="C29" s="3">
        <f>SUMIFS('School Level ADM'!$S$5:$S$359,'School Level ADM'!$A$5:$A$359,$A29)</f>
        <v>603.80499999999995</v>
      </c>
      <c r="D29" s="4">
        <f>SUM(SUMIFS('School Level Inst. Resources'!$AQ$5:$AQ$359,'School Level Inst. Resources'!$A$5:$A$359,$A29))</f>
        <v>7262199.6944884546</v>
      </c>
      <c r="E29" s="4">
        <f>'Central Office Resources'!$J29</f>
        <v>810659.69443069887</v>
      </c>
      <c r="F29" s="4">
        <f>'Total O &amp; M Resources'!$K29</f>
        <v>1092369.3035499186</v>
      </c>
      <c r="G29" s="4">
        <f>Utilities!$T29</f>
        <v>474307.92</v>
      </c>
      <c r="H29" s="4">
        <f t="shared" si="2"/>
        <v>9639536.6124690715</v>
      </c>
      <c r="I29" s="4">
        <f t="shared" si="3"/>
        <v>15964.651853610143</v>
      </c>
      <c r="J29" s="4">
        <f>'Tranportation &amp; Other Reim.'!X29</f>
        <v>2529804.5941333333</v>
      </c>
      <c r="K29" s="4">
        <f>'Charter School Adjustment'!H29</f>
        <v>0</v>
      </c>
      <c r="L29" s="4">
        <f t="shared" si="0"/>
        <v>12169341.206602406</v>
      </c>
      <c r="M29" s="4">
        <f t="shared" si="1"/>
        <v>20154.422713628417</v>
      </c>
      <c r="N29" s="4">
        <v>12097658.210000001</v>
      </c>
      <c r="O29" s="4">
        <f t="shared" si="4"/>
        <v>71682.996602404863</v>
      </c>
      <c r="P29" s="4">
        <f t="shared" si="5"/>
        <v>0</v>
      </c>
    </row>
    <row r="30" spans="1:16" x14ac:dyDescent="0.2">
      <c r="A30" s="6" t="s">
        <v>64</v>
      </c>
      <c r="B30" s="6" t="s">
        <v>65</v>
      </c>
      <c r="C30" s="3">
        <f>SUMIFS('School Level ADM'!$S$5:$S$359,'School Level ADM'!$A$5:$A$359,$A30)</f>
        <v>2839.7550000000006</v>
      </c>
      <c r="D30" s="4">
        <f>SUM(SUMIFS('School Level Inst. Resources'!$AQ$5:$AQ$359,'School Level Inst. Resources'!$A$5:$A$359,$A30))</f>
        <v>28519121.471613914</v>
      </c>
      <c r="E30" s="4">
        <f>'Central Office Resources'!$J30</f>
        <v>2375350.3971981243</v>
      </c>
      <c r="F30" s="4">
        <f>'Total O &amp; M Resources'!$K30</f>
        <v>3306676.0320606017</v>
      </c>
      <c r="G30" s="4">
        <f>Utilities!$T30</f>
        <v>951097.71</v>
      </c>
      <c r="H30" s="4">
        <f t="shared" si="2"/>
        <v>35152245.610872641</v>
      </c>
      <c r="I30" s="4">
        <f t="shared" si="3"/>
        <v>12378.619145268742</v>
      </c>
      <c r="J30" s="4">
        <f>'Tranportation &amp; Other Reim.'!X30</f>
        <v>11190856.56504</v>
      </c>
      <c r="K30" s="4">
        <f>'Charter School Adjustment'!H30</f>
        <v>0</v>
      </c>
      <c r="L30" s="4">
        <f t="shared" si="0"/>
        <v>46343102.175912641</v>
      </c>
      <c r="M30" s="4">
        <f t="shared" si="1"/>
        <v>16319.401559610822</v>
      </c>
      <c r="N30" s="4">
        <v>11673736.67316607</v>
      </c>
      <c r="O30" s="4">
        <f t="shared" si="4"/>
        <v>34669365.502746567</v>
      </c>
      <c r="P30" s="4">
        <f t="shared" si="5"/>
        <v>0</v>
      </c>
    </row>
    <row r="31" spans="1:16" x14ac:dyDescent="0.2">
      <c r="A31" s="6" t="s">
        <v>66</v>
      </c>
      <c r="B31" s="6" t="s">
        <v>67</v>
      </c>
      <c r="C31" s="3">
        <f>SUMIFS('School Level ADM'!$S$5:$S$359,'School Level ADM'!$A$5:$A$359,$A31)</f>
        <v>12798.258666666667</v>
      </c>
      <c r="D31" s="4">
        <f>SUM(SUMIFS('School Level Inst. Resources'!$AQ$5:$AQ$359,'School Level Inst. Resources'!$A$5:$A$359,$A31))</f>
        <v>127178321.7174293</v>
      </c>
      <c r="E31" s="4">
        <f>'Central Office Resources'!$J31</f>
        <v>10366015.739849916</v>
      </c>
      <c r="F31" s="4">
        <f>'Total O &amp; M Resources'!$K31</f>
        <v>11639939.307236014</v>
      </c>
      <c r="G31" s="4">
        <f>Utilities!$T31</f>
        <v>3877385.29</v>
      </c>
      <c r="H31" s="4">
        <f t="shared" si="2"/>
        <v>153061662.05451521</v>
      </c>
      <c r="I31" s="4">
        <f t="shared" si="3"/>
        <v>11959.569347755685</v>
      </c>
      <c r="J31" s="4">
        <f>'Tranportation &amp; Other Reim.'!X31</f>
        <v>42879682.688533336</v>
      </c>
      <c r="K31" s="4">
        <f>'Charter School Adjustment'!H31</f>
        <v>0</v>
      </c>
      <c r="L31" s="4">
        <f t="shared" si="0"/>
        <v>195941344.74304855</v>
      </c>
      <c r="M31" s="4">
        <f t="shared" si="1"/>
        <v>15310.000356015767</v>
      </c>
      <c r="N31" s="4">
        <v>49295955.268538743</v>
      </c>
      <c r="O31" s="4">
        <f t="shared" si="4"/>
        <v>146645389.47450981</v>
      </c>
      <c r="P31" s="4">
        <f t="shared" si="5"/>
        <v>0</v>
      </c>
    </row>
    <row r="32" spans="1:16" x14ac:dyDescent="0.2">
      <c r="A32" s="6" t="s">
        <v>68</v>
      </c>
      <c r="B32" s="6" t="s">
        <v>69</v>
      </c>
      <c r="C32" s="3">
        <f>SUMIFS('School Level ADM'!$S$5:$S$359,'School Level ADM'!$A$5:$A$359,$A32)</f>
        <v>818.34400000000005</v>
      </c>
      <c r="D32" s="4">
        <f>SUM(SUMIFS('School Level Inst. Resources'!$AQ$5:$AQ$359,'School Level Inst. Resources'!$A$5:$A$359,$A32))</f>
        <v>7948250.7988286568</v>
      </c>
      <c r="E32" s="4">
        <f>'Central Office Resources'!$J32</f>
        <v>891171.20099011948</v>
      </c>
      <c r="F32" s="4">
        <f>'Total O &amp; M Resources'!$K32</f>
        <v>821795.01945650915</v>
      </c>
      <c r="G32" s="4">
        <f>Utilities!$T32</f>
        <v>255573.87</v>
      </c>
      <c r="H32" s="4">
        <f t="shared" si="2"/>
        <v>9916790.8892752845</v>
      </c>
      <c r="I32" s="4">
        <f t="shared" si="3"/>
        <v>12118.120117304317</v>
      </c>
      <c r="J32" s="4">
        <f>'Tranportation &amp; Other Reim.'!X32</f>
        <v>2528199.1438666671</v>
      </c>
      <c r="K32" s="4">
        <f>'Charter School Adjustment'!H32</f>
        <v>0</v>
      </c>
      <c r="L32" s="4">
        <f t="shared" si="0"/>
        <v>12444990.033141952</v>
      </c>
      <c r="M32" s="4">
        <f t="shared" si="1"/>
        <v>15207.528903666369</v>
      </c>
      <c r="N32" s="4">
        <v>3839377.4879932203</v>
      </c>
      <c r="O32" s="4">
        <f t="shared" si="4"/>
        <v>8605612.5451487321</v>
      </c>
      <c r="P32" s="4">
        <f t="shared" si="5"/>
        <v>0</v>
      </c>
    </row>
    <row r="33" spans="1:16" x14ac:dyDescent="0.2">
      <c r="A33" s="6" t="s">
        <v>70</v>
      </c>
      <c r="B33" s="6" t="s">
        <v>71</v>
      </c>
      <c r="C33" s="3">
        <f>SUMIFS('School Level ADM'!$S$5:$S$359,'School Level ADM'!$A$5:$A$359,$A33)</f>
        <v>1809.4450000000002</v>
      </c>
      <c r="D33" s="4">
        <f>SUM(SUMIFS('School Level Inst. Resources'!$AQ$5:$AQ$359,'School Level Inst. Resources'!$A$5:$A$359,$A33))</f>
        <v>18140367.634121906</v>
      </c>
      <c r="E33" s="4">
        <f>'Central Office Resources'!$J33</f>
        <v>1644372.6371326665</v>
      </c>
      <c r="F33" s="4">
        <f>'Total O &amp; M Resources'!$K33</f>
        <v>1958644.5828682284</v>
      </c>
      <c r="G33" s="4">
        <f>Utilities!$T33</f>
        <v>659814.57999999996</v>
      </c>
      <c r="H33" s="4">
        <f t="shared" si="2"/>
        <v>22403199.434122801</v>
      </c>
      <c r="I33" s="4">
        <f t="shared" si="3"/>
        <v>12381.254712977072</v>
      </c>
      <c r="J33" s="4">
        <f>'Tranportation &amp; Other Reim.'!X33</f>
        <v>5636418.6531999996</v>
      </c>
      <c r="K33" s="4">
        <f>'Charter School Adjustment'!H33</f>
        <v>0</v>
      </c>
      <c r="L33" s="4">
        <f t="shared" si="0"/>
        <v>28039618.087322801</v>
      </c>
      <c r="M33" s="4">
        <f t="shared" si="1"/>
        <v>15496.253319290057</v>
      </c>
      <c r="N33" s="4">
        <v>8675243.7049266789</v>
      </c>
      <c r="O33" s="4">
        <f t="shared" si="4"/>
        <v>19364374.382396124</v>
      </c>
      <c r="P33" s="4">
        <f t="shared" si="5"/>
        <v>0</v>
      </c>
    </row>
    <row r="34" spans="1:16" x14ac:dyDescent="0.2">
      <c r="A34" s="6" t="s">
        <v>72</v>
      </c>
      <c r="B34" s="6" t="s">
        <v>73</v>
      </c>
      <c r="C34" s="3">
        <f>SUMIFS('School Level ADM'!$S$5:$S$359,'School Level ADM'!$A$5:$A$359,$A34)</f>
        <v>2038.2146666666667</v>
      </c>
      <c r="D34" s="4">
        <f>SUM(SUMIFS('School Level Inst. Resources'!$AQ$5:$AQ$359,'School Level Inst. Resources'!$A$5:$A$359,$A34))</f>
        <v>19232724.281377748</v>
      </c>
      <c r="E34" s="4">
        <f>'Central Office Resources'!$J34</f>
        <v>1801934.8570183893</v>
      </c>
      <c r="F34" s="4">
        <f>'Total O &amp; M Resources'!$K34</f>
        <v>2042467.9678883762</v>
      </c>
      <c r="G34" s="4">
        <f>Utilities!$T34</f>
        <v>756160.23</v>
      </c>
      <c r="H34" s="4">
        <f t="shared" si="2"/>
        <v>23833287.336284515</v>
      </c>
      <c r="I34" s="4">
        <f t="shared" si="3"/>
        <v>11693.217464312484</v>
      </c>
      <c r="J34" s="4">
        <f>'Tranportation &amp; Other Reim.'!X34</f>
        <v>7685751.5527999997</v>
      </c>
      <c r="K34" s="4">
        <f>'Charter School Adjustment'!H34</f>
        <v>0</v>
      </c>
      <c r="L34" s="4">
        <f t="shared" si="0"/>
        <v>31519038.889084514</v>
      </c>
      <c r="M34" s="4">
        <f t="shared" si="1"/>
        <v>15464.042823630212</v>
      </c>
      <c r="N34" s="4">
        <v>13392780.133517642</v>
      </c>
      <c r="O34" s="4">
        <f t="shared" si="4"/>
        <v>18126258.755566873</v>
      </c>
      <c r="P34" s="4">
        <f t="shared" si="5"/>
        <v>0</v>
      </c>
    </row>
    <row r="35" spans="1:16" x14ac:dyDescent="0.2">
      <c r="A35" s="6" t="s">
        <v>74</v>
      </c>
      <c r="B35" s="6" t="s">
        <v>75</v>
      </c>
      <c r="C35" s="3">
        <f>SUMIFS('School Level ADM'!$S$5:$S$359,'School Level ADM'!$A$5:$A$359,$A35)</f>
        <v>119.18499999999999</v>
      </c>
      <c r="D35" s="4">
        <f>SUM(SUMIFS('School Level Inst. Resources'!$AQ$5:$AQ$359,'School Level Inst. Resources'!$A$5:$A$359,$A35))</f>
        <v>2418609.2938467045</v>
      </c>
      <c r="E35" s="4">
        <f>'Central Office Resources'!$J35</f>
        <v>586749.07609928644</v>
      </c>
      <c r="F35" s="4">
        <f>'Total O &amp; M Resources'!$K35</f>
        <v>340001.3321353728</v>
      </c>
      <c r="G35" s="4">
        <f>Utilities!$T35</f>
        <v>104710.65</v>
      </c>
      <c r="H35" s="4">
        <f t="shared" si="2"/>
        <v>3450070.3520813636</v>
      </c>
      <c r="I35" s="4">
        <f t="shared" si="3"/>
        <v>28947.185904949147</v>
      </c>
      <c r="J35" s="4">
        <f>'Tranportation &amp; Other Reim.'!X35</f>
        <v>638697.56160000002</v>
      </c>
      <c r="K35" s="4">
        <f>'Charter School Adjustment'!H35</f>
        <v>0</v>
      </c>
      <c r="L35" s="4">
        <f t="shared" si="0"/>
        <v>4088767.9136813637</v>
      </c>
      <c r="M35" s="4">
        <f t="shared" si="1"/>
        <v>34306.0612802061</v>
      </c>
      <c r="N35" s="4">
        <v>2771017.7737967274</v>
      </c>
      <c r="O35" s="4">
        <f t="shared" si="4"/>
        <v>1317750.1398846363</v>
      </c>
      <c r="P35" s="4">
        <f t="shared" si="5"/>
        <v>0</v>
      </c>
    </row>
    <row r="36" spans="1:16" x14ac:dyDescent="0.2">
      <c r="A36" s="6" t="s">
        <v>76</v>
      </c>
      <c r="B36" s="6" t="s">
        <v>77</v>
      </c>
      <c r="C36" s="3">
        <f>SUMIFS('School Level ADM'!$S$5:$S$359,'School Level ADM'!$A$5:$A$359,$A36)</f>
        <v>1007.6549999999999</v>
      </c>
      <c r="D36" s="4">
        <f>SUM(SUMIFS('School Level Inst. Resources'!$AQ$5:$AQ$359,'School Level Inst. Resources'!$A$5:$A$359,$A36))</f>
        <v>13399685.1399331</v>
      </c>
      <c r="E36" s="4">
        <f>'Central Office Resources'!$J36</f>
        <v>1104046.148836609</v>
      </c>
      <c r="F36" s="4">
        <f>'Total O &amp; M Resources'!$K36</f>
        <v>1508301.8352616474</v>
      </c>
      <c r="G36" s="4">
        <f>Utilities!$T36</f>
        <v>627288.75</v>
      </c>
      <c r="H36" s="4">
        <f t="shared" si="2"/>
        <v>16639321.874031356</v>
      </c>
      <c r="I36" s="4">
        <f t="shared" si="3"/>
        <v>16512.915505834197</v>
      </c>
      <c r="J36" s="4">
        <f>'Tranportation &amp; Other Reim.'!X36</f>
        <v>4750125.7484000009</v>
      </c>
      <c r="K36" s="4">
        <f>'Charter School Adjustment'!H36</f>
        <v>0</v>
      </c>
      <c r="L36" s="4">
        <f t="shared" si="0"/>
        <v>21389447.622431356</v>
      </c>
      <c r="M36" s="4">
        <f t="shared" si="1"/>
        <v>21226.955279764759</v>
      </c>
      <c r="N36" s="4">
        <v>6742393.169464672</v>
      </c>
      <c r="O36" s="4">
        <f t="shared" si="4"/>
        <v>14647054.452966684</v>
      </c>
      <c r="P36" s="4">
        <f t="shared" si="5"/>
        <v>0</v>
      </c>
    </row>
    <row r="37" spans="1:16" x14ac:dyDescent="0.2">
      <c r="A37" s="6" t="s">
        <v>78</v>
      </c>
      <c r="B37" s="6" t="s">
        <v>79</v>
      </c>
      <c r="C37" s="3">
        <f>SUMIFS('School Level ADM'!$S$5:$S$359,'School Level ADM'!$A$5:$A$359,$A37)</f>
        <v>240.86133333333333</v>
      </c>
      <c r="D37" s="4">
        <f>SUM(SUMIFS('School Level Inst. Resources'!$AQ$5:$AQ$359,'School Level Inst. Resources'!$A$5:$A$359,$A37))</f>
        <v>3758438.9221301163</v>
      </c>
      <c r="E37" s="4">
        <f>'Central Office Resources'!$J37</f>
        <v>640206.19500856486</v>
      </c>
      <c r="F37" s="4">
        <f>'Total O &amp; M Resources'!$K37</f>
        <v>538392.41896670696</v>
      </c>
      <c r="G37" s="4">
        <f>Utilities!$T37</f>
        <v>141096.79999999999</v>
      </c>
      <c r="H37" s="4">
        <f t="shared" si="2"/>
        <v>5078134.3361053877</v>
      </c>
      <c r="I37" s="4">
        <f t="shared" si="3"/>
        <v>21083.227705451773</v>
      </c>
      <c r="J37" s="4">
        <f>'Tranportation &amp; Other Reim.'!X37</f>
        <v>895785.0941333333</v>
      </c>
      <c r="K37" s="4">
        <f>'Charter School Adjustment'!H37</f>
        <v>0</v>
      </c>
      <c r="L37" s="4">
        <f t="shared" si="0"/>
        <v>5973919.430238721</v>
      </c>
      <c r="M37" s="4">
        <f t="shared" si="1"/>
        <v>24802.318195138785</v>
      </c>
      <c r="N37" s="4">
        <v>1549495.6778149449</v>
      </c>
      <c r="O37" s="4">
        <f t="shared" si="4"/>
        <v>4424423.7524237763</v>
      </c>
      <c r="P37" s="4">
        <f t="shared" si="5"/>
        <v>0</v>
      </c>
    </row>
    <row r="38" spans="1:16" x14ac:dyDescent="0.2">
      <c r="A38" s="6" t="s">
        <v>80</v>
      </c>
      <c r="B38" s="6" t="s">
        <v>81</v>
      </c>
      <c r="C38" s="3">
        <f>SUMIFS('School Level ADM'!$S$5:$S$359,'School Level ADM'!$A$5:$A$359,$A38)</f>
        <v>936.21333333333337</v>
      </c>
      <c r="D38" s="4">
        <f>SUM(SUMIFS('School Level Inst. Resources'!$AQ$5:$AQ$359,'School Level Inst. Resources'!$A$5:$A$359,$A38))</f>
        <v>11569699.685228948</v>
      </c>
      <c r="E38" s="4">
        <f>'Central Office Resources'!$J38</f>
        <v>1035193.7964471348</v>
      </c>
      <c r="F38" s="4">
        <f>'Total O &amp; M Resources'!$K38</f>
        <v>1864085.4090241911</v>
      </c>
      <c r="G38" s="4">
        <f>Utilities!$T38</f>
        <v>399581.14</v>
      </c>
      <c r="H38" s="4">
        <f t="shared" si="2"/>
        <v>14868560.030700274</v>
      </c>
      <c r="I38" s="4">
        <f t="shared" si="3"/>
        <v>15881.593971495393</v>
      </c>
      <c r="J38" s="4">
        <f>'Tranportation &amp; Other Reim.'!X38</f>
        <v>2162970.7903999998</v>
      </c>
      <c r="K38" s="4">
        <f>'Charter School Adjustment'!H38</f>
        <v>0</v>
      </c>
      <c r="L38" s="4">
        <f t="shared" si="0"/>
        <v>17031530.821100272</v>
      </c>
      <c r="M38" s="4">
        <f t="shared" si="1"/>
        <v>18191.93362741427</v>
      </c>
      <c r="N38" s="4">
        <v>3439012.3328831387</v>
      </c>
      <c r="O38" s="4">
        <f t="shared" si="4"/>
        <v>13592518.488217134</v>
      </c>
      <c r="P38" s="4">
        <f t="shared" si="5"/>
        <v>0</v>
      </c>
    </row>
    <row r="39" spans="1:16" x14ac:dyDescent="0.2">
      <c r="A39" s="6" t="s">
        <v>82</v>
      </c>
      <c r="B39" s="6" t="s">
        <v>83</v>
      </c>
      <c r="C39" s="3">
        <f>SUMIFS('School Level ADM'!$S$5:$S$359,'School Level ADM'!$A$5:$A$359,$A39)</f>
        <v>3495.7650000000003</v>
      </c>
      <c r="D39" s="4">
        <f>SUM(SUMIFS('School Level Inst. Resources'!$AQ$5:$AQ$359,'School Level Inst. Resources'!$A$5:$A$359,$A39))</f>
        <v>32422784.067992646</v>
      </c>
      <c r="E39" s="4">
        <f>'Central Office Resources'!$J39</f>
        <v>2793426.7042014231</v>
      </c>
      <c r="F39" s="4">
        <f>'Total O &amp; M Resources'!$K39</f>
        <v>3489105.1538180849</v>
      </c>
      <c r="G39" s="4">
        <f>Utilities!$T39</f>
        <v>976851.25</v>
      </c>
      <c r="H39" s="4">
        <f t="shared" si="2"/>
        <v>39682167.176012158</v>
      </c>
      <c r="I39" s="4">
        <f t="shared" si="3"/>
        <v>11351.497362097325</v>
      </c>
      <c r="J39" s="4">
        <f>'Tranportation &amp; Other Reim.'!X39</f>
        <v>8936732.5682133324</v>
      </c>
      <c r="K39" s="4">
        <f>'Charter School Adjustment'!H39</f>
        <v>0</v>
      </c>
      <c r="L39" s="4">
        <f t="shared" si="0"/>
        <v>48618899.744225487</v>
      </c>
      <c r="M39" s="4">
        <f t="shared" si="1"/>
        <v>13907.942823452229</v>
      </c>
      <c r="N39" s="4">
        <v>12232626.88799414</v>
      </c>
      <c r="O39" s="4">
        <f t="shared" si="4"/>
        <v>36386272.856231347</v>
      </c>
      <c r="P39" s="4">
        <f t="shared" si="5"/>
        <v>0</v>
      </c>
    </row>
    <row r="40" spans="1:16" x14ac:dyDescent="0.2">
      <c r="A40" s="6" t="s">
        <v>84</v>
      </c>
      <c r="B40" s="6" t="s">
        <v>85</v>
      </c>
      <c r="C40" s="3">
        <f>SUMIFS('School Level ADM'!$S$5:$S$359,'School Level ADM'!$A$5:$A$359,$A40)</f>
        <v>95.544999999999987</v>
      </c>
      <c r="D40" s="4">
        <f>SUM(SUMIFS('School Level Inst. Resources'!$AQ$5:$AQ$359,'School Level Inst. Resources'!$A$5:$A$359,$A40))</f>
        <v>2270898.4890612331</v>
      </c>
      <c r="E40" s="4">
        <f>'Central Office Resources'!$J40</f>
        <v>573629.83790131367</v>
      </c>
      <c r="F40" s="4">
        <f>'Total O &amp; M Resources'!$K40</f>
        <v>291140.32158164895</v>
      </c>
      <c r="G40" s="4">
        <f>Utilities!$T40</f>
        <v>79445.97</v>
      </c>
      <c r="H40" s="4">
        <f t="shared" si="2"/>
        <v>3215114.6185441962</v>
      </c>
      <c r="I40" s="4">
        <f t="shared" si="3"/>
        <v>33650.265514094892</v>
      </c>
      <c r="J40" s="4">
        <f>'Tranportation &amp; Other Reim.'!X40</f>
        <v>556442.74919999996</v>
      </c>
      <c r="K40" s="4">
        <f>'Charter School Adjustment'!H40</f>
        <v>0</v>
      </c>
      <c r="L40" s="4">
        <f t="shared" si="0"/>
        <v>3771557.3677441962</v>
      </c>
      <c r="M40" s="4">
        <f t="shared" si="1"/>
        <v>39474.146922855165</v>
      </c>
      <c r="N40" s="4">
        <v>717564.46381321945</v>
      </c>
      <c r="O40" s="4">
        <f t="shared" si="4"/>
        <v>3053992.903930977</v>
      </c>
      <c r="P40" s="4">
        <f t="shared" si="5"/>
        <v>0</v>
      </c>
    </row>
    <row r="41" spans="1:16" x14ac:dyDescent="0.2">
      <c r="A41" s="6" t="s">
        <v>86</v>
      </c>
      <c r="B41" s="6" t="s">
        <v>87</v>
      </c>
      <c r="C41" s="3">
        <f>SUMIFS('School Level ADM'!$S$5:$S$359,'School Level ADM'!$A$5:$A$359,$A41)</f>
        <v>1048.04</v>
      </c>
      <c r="D41" s="4">
        <f>SUM(SUMIFS('School Level Inst. Resources'!$AQ$5:$AQ$359,'School Level Inst. Resources'!$A$5:$A$359,$A41))</f>
        <v>12781573.248794496</v>
      </c>
      <c r="E41" s="4">
        <f>'Central Office Resources'!$J41</f>
        <v>1241014.2210191092</v>
      </c>
      <c r="F41" s="4">
        <f>'Total O &amp; M Resources'!$K41</f>
        <v>1524605.7989486568</v>
      </c>
      <c r="G41" s="4">
        <f>Utilities!$T41</f>
        <v>511191.7</v>
      </c>
      <c r="H41" s="4">
        <f t="shared" si="2"/>
        <v>16058384.968762262</v>
      </c>
      <c r="I41" s="4">
        <f t="shared" si="3"/>
        <v>15322.301599902927</v>
      </c>
      <c r="J41" s="4">
        <f>'Tranportation &amp; Other Reim.'!X41</f>
        <v>4126879.6548000001</v>
      </c>
      <c r="K41" s="4">
        <f>'Charter School Adjustment'!H41</f>
        <v>0</v>
      </c>
      <c r="L41" s="4">
        <f t="shared" si="0"/>
        <v>20185264.623562261</v>
      </c>
      <c r="M41" s="4">
        <f t="shared" si="1"/>
        <v>19260.013571583397</v>
      </c>
      <c r="N41" s="4">
        <v>60728129.809057035</v>
      </c>
      <c r="O41" s="4">
        <f t="shared" si="4"/>
        <v>0</v>
      </c>
      <c r="P41" s="4">
        <f t="shared" si="5"/>
        <v>40542865.185494773</v>
      </c>
    </row>
    <row r="42" spans="1:16" x14ac:dyDescent="0.2">
      <c r="A42" s="6" t="s">
        <v>88</v>
      </c>
      <c r="B42" s="6" t="s">
        <v>89</v>
      </c>
      <c r="C42" s="3">
        <f>SUMIFS('School Level ADM'!$S$5:$S$359,'School Level ADM'!$A$5:$A$359,$A42)</f>
        <v>567.07299999999998</v>
      </c>
      <c r="D42" s="4">
        <f>SUM(SUMIFS('School Level Inst. Resources'!$AQ$5:$AQ$359,'School Level Inst. Resources'!$A$5:$A$359,$A42))</f>
        <v>8373389.990055358</v>
      </c>
      <c r="E42" s="4">
        <f>'Central Office Resources'!$J42</f>
        <v>867903.16094127949</v>
      </c>
      <c r="F42" s="4">
        <f>'Total O &amp; M Resources'!$K42</f>
        <v>1274960.7380232112</v>
      </c>
      <c r="G42" s="4">
        <f>Utilities!$T42</f>
        <v>495571.86</v>
      </c>
      <c r="H42" s="4">
        <f t="shared" si="2"/>
        <v>11011825.749019846</v>
      </c>
      <c r="I42" s="4">
        <f t="shared" si="3"/>
        <v>19418.709317882964</v>
      </c>
      <c r="J42" s="4">
        <f>'Tranportation &amp; Other Reim.'!X42</f>
        <v>2167973.092133333</v>
      </c>
      <c r="K42" s="4">
        <f>'Charter School Adjustment'!H42</f>
        <v>0</v>
      </c>
      <c r="L42" s="4">
        <f t="shared" si="0"/>
        <v>13179798.841153178</v>
      </c>
      <c r="M42" s="4">
        <f t="shared" si="1"/>
        <v>23241.802803436556</v>
      </c>
      <c r="N42" s="4">
        <v>13619692.348371293</v>
      </c>
      <c r="O42" s="4">
        <f t="shared" si="4"/>
        <v>0</v>
      </c>
      <c r="P42" s="4">
        <f t="shared" si="5"/>
        <v>439893.50721811503</v>
      </c>
    </row>
    <row r="43" spans="1:16" x14ac:dyDescent="0.2">
      <c r="A43" s="6" t="s">
        <v>90</v>
      </c>
      <c r="B43" s="6" t="s">
        <v>91</v>
      </c>
      <c r="C43" s="3">
        <f>SUMIFS('School Level ADM'!$S$5:$S$359,'School Level ADM'!$A$5:$A$359,$A43)</f>
        <v>5559.7213333333339</v>
      </c>
      <c r="D43" s="4">
        <f>SUM(SUMIFS('School Level Inst. Resources'!$AQ$5:$AQ$359,'School Level Inst. Resources'!$A$5:$A$359,$A43))</f>
        <v>62524521.287993453</v>
      </c>
      <c r="E43" s="4">
        <f>'Central Office Resources'!$J43</f>
        <v>4794292.7254869649</v>
      </c>
      <c r="F43" s="4">
        <f>'Total O &amp; M Resources'!$K43</f>
        <v>5753115.4716658928</v>
      </c>
      <c r="G43" s="4">
        <f>Utilities!$T43</f>
        <v>1888320.33</v>
      </c>
      <c r="H43" s="4">
        <f t="shared" si="2"/>
        <v>74960249.815146312</v>
      </c>
      <c r="I43" s="4">
        <f t="shared" si="3"/>
        <v>13482.735072659452</v>
      </c>
      <c r="J43" s="4">
        <f>'Tranportation &amp; Other Reim.'!X43</f>
        <v>19447240.455466665</v>
      </c>
      <c r="K43" s="4">
        <f>'Charter School Adjustment'!H43</f>
        <v>0</v>
      </c>
      <c r="L43" s="4">
        <f t="shared" si="0"/>
        <v>94407490.270612985</v>
      </c>
      <c r="M43" s="4">
        <f t="shared" si="1"/>
        <v>16980.615503980829</v>
      </c>
      <c r="N43" s="4">
        <v>46725096.803073727</v>
      </c>
      <c r="O43" s="4">
        <f t="shared" si="4"/>
        <v>47682393.467539258</v>
      </c>
      <c r="P43" s="4">
        <f t="shared" si="5"/>
        <v>0</v>
      </c>
    </row>
    <row r="44" spans="1:16" x14ac:dyDescent="0.2">
      <c r="A44" s="6" t="s">
        <v>92</v>
      </c>
      <c r="B44" s="6" t="s">
        <v>93</v>
      </c>
      <c r="C44" s="3">
        <f>SUMIFS('School Level ADM'!$S$5:$S$359,'School Level ADM'!$A$5:$A$359,$A44)</f>
        <v>2622.5863333333332</v>
      </c>
      <c r="D44" s="4">
        <f>SUM(SUMIFS('School Level Inst. Resources'!$AQ$5:$AQ$359,'School Level Inst. Resources'!$A$5:$A$359,$A44))</f>
        <v>29439577.171714935</v>
      </c>
      <c r="E44" s="4">
        <f>'Central Office Resources'!$J44</f>
        <v>2386595.082392856</v>
      </c>
      <c r="F44" s="4">
        <f>'Total O &amp; M Resources'!$K44</f>
        <v>3282876.3643748411</v>
      </c>
      <c r="G44" s="4">
        <f>Utilities!$T44</f>
        <v>1376335.36</v>
      </c>
      <c r="H44" s="4">
        <f t="shared" si="2"/>
        <v>36485383.978482634</v>
      </c>
      <c r="I44" s="4">
        <f t="shared" si="3"/>
        <v>13911.985857147874</v>
      </c>
      <c r="J44" s="4">
        <f>'Tranportation &amp; Other Reim.'!X44</f>
        <v>9952011.844266668</v>
      </c>
      <c r="K44" s="4">
        <f>'Charter School Adjustment'!H44</f>
        <v>0</v>
      </c>
      <c r="L44" s="4">
        <f t="shared" si="0"/>
        <v>46437395.822749302</v>
      </c>
      <c r="M44" s="4">
        <f t="shared" si="1"/>
        <v>17706.717690291214</v>
      </c>
      <c r="N44" s="4">
        <v>29548503.506178498</v>
      </c>
      <c r="O44" s="4">
        <f t="shared" si="4"/>
        <v>16888892.316570804</v>
      </c>
      <c r="P44" s="4">
        <f t="shared" si="5"/>
        <v>0</v>
      </c>
    </row>
    <row r="45" spans="1:16" x14ac:dyDescent="0.2">
      <c r="A45" s="6" t="s">
        <v>94</v>
      </c>
      <c r="B45" s="6" t="s">
        <v>95</v>
      </c>
      <c r="C45" s="3">
        <f>SUMIFS('School Level ADM'!$S$5:$S$359,'School Level ADM'!$A$5:$A$359,$A45)</f>
        <v>2819.07</v>
      </c>
      <c r="D45" s="4">
        <f>SUM(SUMIFS('School Level Inst. Resources'!$AQ$5:$AQ$359,'School Level Inst. Resources'!$A$5:$A$359,$A45))</f>
        <v>31043036.130763073</v>
      </c>
      <c r="E45" s="4">
        <f>'Central Office Resources'!$J45</f>
        <v>2477915.1478479719</v>
      </c>
      <c r="F45" s="4">
        <f>'Total O &amp; M Resources'!$K45</f>
        <v>2912123.313680917</v>
      </c>
      <c r="G45" s="4">
        <f>Utilities!$T45</f>
        <v>737608.8</v>
      </c>
      <c r="H45" s="4">
        <f t="shared" si="2"/>
        <v>37170683.392291963</v>
      </c>
      <c r="I45" s="4">
        <f t="shared" si="3"/>
        <v>13185.441791900152</v>
      </c>
      <c r="J45" s="4">
        <f>'Tranportation &amp; Other Reim.'!X45</f>
        <v>9958589.4209333342</v>
      </c>
      <c r="K45" s="4">
        <f>'Charter School Adjustment'!H45</f>
        <v>0</v>
      </c>
      <c r="L45" s="4">
        <f t="shared" si="0"/>
        <v>47129272.813225299</v>
      </c>
      <c r="M45" s="4">
        <f t="shared" si="1"/>
        <v>16718.021479858711</v>
      </c>
      <c r="N45" s="4">
        <v>50336944.992419884</v>
      </c>
      <c r="O45" s="4">
        <f t="shared" si="4"/>
        <v>0</v>
      </c>
      <c r="P45" s="4">
        <f t="shared" si="5"/>
        <v>3207672.1791945845</v>
      </c>
    </row>
    <row r="46" spans="1:16" x14ac:dyDescent="0.2">
      <c r="A46" s="6" t="s">
        <v>96</v>
      </c>
      <c r="B46" s="6" t="s">
        <v>97</v>
      </c>
      <c r="C46" s="3">
        <f>SUMIFS('School Level ADM'!$S$5:$S$359,'School Level ADM'!$A$5:$A$359,$A46)</f>
        <v>2715.8859999999995</v>
      </c>
      <c r="D46" s="4">
        <f>SUM(SUMIFS('School Level Inst. Resources'!$AQ$5:$AQ$359,'School Level Inst. Resources'!$A$5:$A$359,$A46))</f>
        <v>27460357.247888587</v>
      </c>
      <c r="E46" s="4">
        <f>'Central Office Resources'!$J46</f>
        <v>2258310.1401794301</v>
      </c>
      <c r="F46" s="4">
        <f>'Total O &amp; M Resources'!$K46</f>
        <v>3005326.158010433</v>
      </c>
      <c r="G46" s="4">
        <f>Utilities!$T46</f>
        <v>1009397.19</v>
      </c>
      <c r="H46" s="4">
        <f t="shared" si="2"/>
        <v>33733390.736078449</v>
      </c>
      <c r="I46" s="4">
        <f t="shared" si="3"/>
        <v>12420.76830031837</v>
      </c>
      <c r="J46" s="4">
        <f>'Tranportation &amp; Other Reim.'!X46</f>
        <v>8303653.0837333333</v>
      </c>
      <c r="K46" s="4">
        <f>'Charter School Adjustment'!H46</f>
        <v>0</v>
      </c>
      <c r="L46" s="4">
        <f t="shared" si="0"/>
        <v>42037043.819811784</v>
      </c>
      <c r="M46" s="4">
        <f t="shared" si="1"/>
        <v>15478.206309032041</v>
      </c>
      <c r="N46" s="4">
        <v>9897033.1240321361</v>
      </c>
      <c r="O46" s="4">
        <f t="shared" si="4"/>
        <v>32140010.695779648</v>
      </c>
      <c r="P46" s="4">
        <f t="shared" si="5"/>
        <v>0</v>
      </c>
    </row>
    <row r="47" spans="1:16" x14ac:dyDescent="0.2">
      <c r="A47" s="6" t="s">
        <v>98</v>
      </c>
      <c r="B47" s="6" t="s">
        <v>99</v>
      </c>
      <c r="C47" s="3">
        <f>SUMIFS('School Level ADM'!$S$5:$S$359,'School Level ADM'!$A$5:$A$359,$A47)</f>
        <v>835.97699999999998</v>
      </c>
      <c r="D47" s="4">
        <f>SUM(SUMIFS('School Level Inst. Resources'!$AQ$5:$AQ$359,'School Level Inst. Resources'!$A$5:$A$359,$A47))</f>
        <v>8099827.5224524997</v>
      </c>
      <c r="E47" s="4">
        <f>'Central Office Resources'!$J47</f>
        <v>963240.57629694184</v>
      </c>
      <c r="F47" s="4">
        <f>'Total O &amp; M Resources'!$K47</f>
        <v>1162635.6557562198</v>
      </c>
      <c r="G47" s="4">
        <f>Utilities!$T47</f>
        <v>344345.13</v>
      </c>
      <c r="H47" s="4">
        <f t="shared" si="2"/>
        <v>10570048.884505663</v>
      </c>
      <c r="I47" s="4">
        <f t="shared" si="3"/>
        <v>12643.947003931524</v>
      </c>
      <c r="J47" s="4">
        <f>'Tranportation &amp; Other Reim.'!X47</f>
        <v>2899114.2905333336</v>
      </c>
      <c r="K47" s="4">
        <f>'Charter School Adjustment'!H47</f>
        <v>0</v>
      </c>
      <c r="L47" s="4">
        <f t="shared" si="0"/>
        <v>13469163.175038997</v>
      </c>
      <c r="M47" s="4">
        <f t="shared" si="1"/>
        <v>16111.882474086007</v>
      </c>
      <c r="N47" s="4">
        <v>2581950.3954732711</v>
      </c>
      <c r="O47" s="4">
        <f t="shared" si="4"/>
        <v>10887212.779565725</v>
      </c>
      <c r="P47" s="4">
        <f t="shared" si="5"/>
        <v>0</v>
      </c>
    </row>
    <row r="48" spans="1:16" x14ac:dyDescent="0.2">
      <c r="A48" s="6" t="s">
        <v>100</v>
      </c>
      <c r="B48" s="6" t="s">
        <v>101</v>
      </c>
      <c r="C48" s="3">
        <f>SUMIFS('School Level ADM'!$S$5:$S$359,'School Level ADM'!$A$5:$A$359,$A48)</f>
        <v>727.91500000000008</v>
      </c>
      <c r="D48" s="4">
        <f>SUM(SUMIFS('School Level Inst. Resources'!$AQ$5:$AQ$359,'School Level Inst. Resources'!$A$5:$A$359,$A48))</f>
        <v>7819324.0952675939</v>
      </c>
      <c r="E48" s="4">
        <f>'Central Office Resources'!$J48</f>
        <v>885599.08058127458</v>
      </c>
      <c r="F48" s="4">
        <f>'Total O &amp; M Resources'!$K48</f>
        <v>1203485.1646928664</v>
      </c>
      <c r="G48" s="4">
        <f>Utilities!$T48</f>
        <v>446254.78</v>
      </c>
      <c r="H48" s="4">
        <f t="shared" si="2"/>
        <v>10354663.120541733</v>
      </c>
      <c r="I48" s="4">
        <f t="shared" si="3"/>
        <v>14225.099249969751</v>
      </c>
      <c r="J48" s="4">
        <f>'Tranportation &amp; Other Reim.'!X48</f>
        <v>2691831.1353333336</v>
      </c>
      <c r="K48" s="4">
        <f>'Charter School Adjustment'!H48</f>
        <v>0</v>
      </c>
      <c r="L48" s="4">
        <f t="shared" si="0"/>
        <v>13046494.255875066</v>
      </c>
      <c r="M48" s="4">
        <f t="shared" si="1"/>
        <v>17923.101263025306</v>
      </c>
      <c r="N48" s="4">
        <v>2841234.5073672542</v>
      </c>
      <c r="O48" s="4">
        <f t="shared" si="4"/>
        <v>10205259.748507813</v>
      </c>
      <c r="P48" s="4">
        <f t="shared" si="5"/>
        <v>0</v>
      </c>
    </row>
    <row r="49" spans="1:16" x14ac:dyDescent="0.2">
      <c r="A49" s="6" t="s">
        <v>102</v>
      </c>
      <c r="B49" s="6" t="s">
        <v>103</v>
      </c>
      <c r="C49" s="3">
        <f>SUMIFS('School Level ADM'!$S$5:$S$359,'School Level ADM'!$A$5:$A$359,$A49)</f>
        <v>1308.692</v>
      </c>
      <c r="D49" s="4">
        <f>SUM(SUMIFS('School Level Inst. Resources'!$AQ$5:$AQ$359,'School Level Inst. Resources'!$A$5:$A$359,$A49))</f>
        <v>13723919.527573336</v>
      </c>
      <c r="E49" s="4">
        <f>'Central Office Resources'!$J49</f>
        <v>1272581.2382428036</v>
      </c>
      <c r="F49" s="4">
        <f>'Total O &amp; M Resources'!$K49</f>
        <v>1649627.0115951407</v>
      </c>
      <c r="G49" s="4">
        <f>Utilities!$T49</f>
        <v>505458.43</v>
      </c>
      <c r="H49" s="4">
        <f t="shared" si="2"/>
        <v>17151586.207411282</v>
      </c>
      <c r="I49" s="4">
        <f t="shared" si="3"/>
        <v>13105.899789569496</v>
      </c>
      <c r="J49" s="4">
        <f>'Tranportation &amp; Other Reim.'!X49</f>
        <v>5633517.7496000007</v>
      </c>
      <c r="K49" s="4">
        <f>'Charter School Adjustment'!H49</f>
        <v>0</v>
      </c>
      <c r="L49" s="4">
        <f t="shared" si="0"/>
        <v>22785103.957011282</v>
      </c>
      <c r="M49" s="4">
        <f t="shared" si="1"/>
        <v>17410.593139570872</v>
      </c>
      <c r="N49" s="4">
        <v>4269592.1791238859</v>
      </c>
      <c r="O49" s="4">
        <f t="shared" si="4"/>
        <v>18515511.777887397</v>
      </c>
      <c r="P49" s="4">
        <f t="shared" si="5"/>
        <v>0</v>
      </c>
    </row>
    <row r="50" spans="1:16" x14ac:dyDescent="0.2">
      <c r="A50" s="6" t="s">
        <v>104</v>
      </c>
      <c r="B50" s="6" t="s">
        <v>105</v>
      </c>
      <c r="C50" s="3">
        <f>SUMIFS('School Level ADM'!$S$5:$S$359,'School Level ADM'!$A$5:$A$359,$A50)</f>
        <v>107.16066666666666</v>
      </c>
      <c r="D50" s="4">
        <f>SUM(SUMIFS('School Level Inst. Resources'!$AQ$5:$AQ$359,'School Level Inst. Resources'!$A$5:$A$359,$A50))</f>
        <v>2151467.9848657707</v>
      </c>
      <c r="E50" s="4">
        <f>'Central Office Resources'!$J50</f>
        <v>564468.62231406267</v>
      </c>
      <c r="F50" s="4">
        <f>'Total O &amp; M Resources'!$K50</f>
        <v>305084.57773591374</v>
      </c>
      <c r="G50" s="4">
        <f>Utilities!$T50</f>
        <v>99790.57</v>
      </c>
      <c r="H50" s="4">
        <f t="shared" si="2"/>
        <v>3120811.7549157473</v>
      </c>
      <c r="I50" s="4">
        <f t="shared" si="3"/>
        <v>29122.735533396095</v>
      </c>
      <c r="J50" s="4">
        <f>'Tranportation &amp; Other Reim.'!X50</f>
        <v>396986.15</v>
      </c>
      <c r="K50" s="4">
        <f>'Charter School Adjustment'!H50</f>
        <v>0</v>
      </c>
      <c r="L50" s="4">
        <f t="shared" si="0"/>
        <v>3517797.9049157472</v>
      </c>
      <c r="M50" s="4">
        <f t="shared" si="1"/>
        <v>32827.323815166143</v>
      </c>
      <c r="N50" s="4">
        <v>832421.43579915434</v>
      </c>
      <c r="O50" s="4">
        <f t="shared" si="4"/>
        <v>2685376.4691165928</v>
      </c>
      <c r="P50" s="4">
        <f t="shared" si="5"/>
        <v>0</v>
      </c>
    </row>
    <row r="51" spans="1:16" x14ac:dyDescent="0.2">
      <c r="A51" s="6" t="s">
        <v>106</v>
      </c>
      <c r="B51" s="6" t="s">
        <v>107</v>
      </c>
      <c r="C51" s="3">
        <f>SUMIFS('School Level ADM'!$S$5:$S$359,'School Level ADM'!$A$5:$A$359,$A51)</f>
        <v>765.25600000000009</v>
      </c>
      <c r="D51" s="4">
        <f>SUM(SUMIFS('School Level Inst. Resources'!$AQ$5:$AQ$359,'School Level Inst. Resources'!$A$5:$A$359,$A51))</f>
        <v>8505275.281262327</v>
      </c>
      <c r="E51" s="4">
        <f>'Central Office Resources'!$J51</f>
        <v>875715.84907279909</v>
      </c>
      <c r="F51" s="4">
        <f>'Total O &amp; M Resources'!$K51</f>
        <v>1091542.6407948164</v>
      </c>
      <c r="G51" s="4">
        <f>Utilities!$T51</f>
        <v>401421.34</v>
      </c>
      <c r="H51" s="4">
        <f t="shared" si="2"/>
        <v>10873955.111129943</v>
      </c>
      <c r="I51" s="4">
        <f t="shared" si="3"/>
        <v>14209.565310340517</v>
      </c>
      <c r="J51" s="4">
        <f>'Tranportation &amp; Other Reim.'!X51</f>
        <v>3055940.6117333332</v>
      </c>
      <c r="K51" s="4">
        <f>'Charter School Adjustment'!H51</f>
        <v>0</v>
      </c>
      <c r="L51" s="4">
        <f t="shared" si="0"/>
        <v>13929895.722863276</v>
      </c>
      <c r="M51" s="4">
        <f t="shared" si="1"/>
        <v>18202.922581284267</v>
      </c>
      <c r="N51" s="4">
        <v>4334767.8163271025</v>
      </c>
      <c r="O51" s="4">
        <f t="shared" si="4"/>
        <v>9595127.9065361731</v>
      </c>
      <c r="P51" s="4">
        <f t="shared" si="5"/>
        <v>0</v>
      </c>
    </row>
    <row r="52" spans="1:16" x14ac:dyDescent="0.2">
      <c r="A52" s="6" t="s">
        <v>108</v>
      </c>
      <c r="B52" s="6" t="s">
        <v>109</v>
      </c>
      <c r="C52" s="3">
        <f>SUMIFS('School Level ADM'!$S$5:$S$359,'School Level ADM'!$A$5:$A$359,$A52)</f>
        <v>255.91166666666663</v>
      </c>
      <c r="D52" s="4">
        <f>SUM(SUMIFS('School Level Inst. Resources'!$AQ$5:$AQ$359,'School Level Inst. Resources'!$A$5:$A$359,$A52))</f>
        <v>3706019.309939615</v>
      </c>
      <c r="E52" s="4">
        <f>'Central Office Resources'!$J52</f>
        <v>601009.4319821723</v>
      </c>
      <c r="F52" s="4">
        <f>'Total O &amp; M Resources'!$K52</f>
        <v>643900.60339937161</v>
      </c>
      <c r="G52" s="4">
        <f>Utilities!$T52</f>
        <v>198150.07</v>
      </c>
      <c r="H52" s="4">
        <f t="shared" si="2"/>
        <v>5149079.4153211592</v>
      </c>
      <c r="I52" s="4">
        <f t="shared" si="3"/>
        <v>20120.534098306682</v>
      </c>
      <c r="J52" s="4">
        <f>'Tranportation &amp; Other Reim.'!X52</f>
        <v>1271118.4201333332</v>
      </c>
      <c r="K52" s="4">
        <f>'Charter School Adjustment'!H52</f>
        <v>0</v>
      </c>
      <c r="L52" s="4">
        <f t="shared" si="0"/>
        <v>6420197.8354544919</v>
      </c>
      <c r="M52" s="4">
        <f t="shared" si="1"/>
        <v>25087.554307623697</v>
      </c>
      <c r="N52" s="4">
        <v>1506811.9018635917</v>
      </c>
      <c r="O52" s="4">
        <f t="shared" si="4"/>
        <v>4913385.9335909002</v>
      </c>
      <c r="P52" s="4">
        <f t="shared" si="5"/>
        <v>0</v>
      </c>
    </row>
    <row r="53" spans="1:16" x14ac:dyDescent="0.2"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</row>
    <row r="54" spans="1:16" ht="13.5" thickBot="1" x14ac:dyDescent="0.25">
      <c r="C54" s="8">
        <f>SUM(C5:C52)</f>
        <v>92369.294999999969</v>
      </c>
      <c r="D54" s="9">
        <f>SUM(D5:D52)</f>
        <v>983850024.31529856</v>
      </c>
      <c r="E54" s="9">
        <f t="shared" ref="E54:L54" si="6">SUM(E5:E52)</f>
        <v>87134213.869342864</v>
      </c>
      <c r="F54" s="9">
        <f t="shared" si="6"/>
        <v>109261825.70223759</v>
      </c>
      <c r="G54" s="9">
        <f t="shared" si="6"/>
        <v>37168376.140000001</v>
      </c>
      <c r="H54" s="9">
        <f t="shared" si="6"/>
        <v>1217414440.0268795</v>
      </c>
      <c r="I54" s="9">
        <f t="shared" si="3"/>
        <v>13179.860688845572</v>
      </c>
      <c r="J54" s="9">
        <f t="shared" si="6"/>
        <v>341649087.49922657</v>
      </c>
      <c r="K54" s="9">
        <f t="shared" si="6"/>
        <v>0</v>
      </c>
      <c r="L54" s="9">
        <f t="shared" si="6"/>
        <v>1559063527.5261056</v>
      </c>
      <c r="M54" s="9">
        <f>L54/C54</f>
        <v>16878.590743018078</v>
      </c>
      <c r="N54" s="9">
        <f t="shared" ref="N54:P54" si="7">SUM(N5:N52)</f>
        <v>707567268.95485878</v>
      </c>
      <c r="O54" s="9">
        <f t="shared" si="7"/>
        <v>895686689.44315434</v>
      </c>
      <c r="P54" s="9">
        <f t="shared" si="7"/>
        <v>44190430.871907473</v>
      </c>
    </row>
    <row r="55" spans="1:16" s="10" customFormat="1" ht="13.5" thickTop="1" x14ac:dyDescent="0.2"/>
    <row r="56" spans="1:16" x14ac:dyDescent="0.2">
      <c r="D56" s="7"/>
      <c r="E56" s="7"/>
      <c r="F56" s="7"/>
      <c r="G56" s="7"/>
      <c r="H56" s="7"/>
      <c r="I56" s="7"/>
      <c r="J56" s="7"/>
      <c r="K56" s="7"/>
      <c r="L56" s="7"/>
      <c r="M56" s="7"/>
      <c r="N56" s="447"/>
      <c r="O56" s="447"/>
      <c r="P56" s="447"/>
    </row>
    <row r="57" spans="1:16" x14ac:dyDescent="0.2">
      <c r="L57" s="10"/>
      <c r="N57" s="447"/>
      <c r="O57" s="447"/>
      <c r="P57" s="447"/>
    </row>
    <row r="58" spans="1:16" x14ac:dyDescent="0.2">
      <c r="O58" s="10"/>
      <c r="P58" s="10"/>
    </row>
    <row r="59" spans="1:16" x14ac:dyDescent="0.2">
      <c r="L59" s="7"/>
    </row>
    <row r="60" spans="1:16" x14ac:dyDescent="0.2">
      <c r="L60" s="11"/>
    </row>
    <row r="61" spans="1:16" x14ac:dyDescent="0.2">
      <c r="L61" s="12"/>
    </row>
  </sheetData>
  <sheetProtection algorithmName="SHA-512" hashValue="dihVdaHAfgYiFQK/Ezy+NAg6fyJsYszrxaGQEVh2b66/JdAJ+oBhwOLevnJm6nNlZzQz0xa6pJwN5qQ/FNJkaA==" saltValue="u1bcwQF1MF99JZbByE26ZQ==" spinCount="100000" sheet="1" objects="1" scenarios="1"/>
  <mergeCells count="1">
    <mergeCell ref="A1:M1"/>
  </mergeCells>
  <pageMargins left="0.5" right="0.5" top="0.5" bottom="0.5" header="0.25" footer="0.25"/>
  <pageSetup scale="74" fitToWidth="2" orientation="landscape" r:id="rId1"/>
  <headerFooter>
    <oddHeader>&amp;L&amp;"Calibri,Bold"&amp;12Wyoming School Foundation Program Guarantee</oddHeader>
  </headerFooter>
  <colBreaks count="1" manualBreakCount="1">
    <brk id="11" min="3" max="53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5"/>
  <sheetViews>
    <sheetView showGridLines="0" zoomScale="85" zoomScaleNormal="85" zoomScalePageLayoutView="90" workbookViewId="0">
      <pane ySplit="4" topLeftCell="A5" activePane="bottomLeft" state="frozen"/>
      <selection sqref="A1:M1"/>
      <selection pane="bottomLeft" activeCell="A2" sqref="A2"/>
    </sheetView>
  </sheetViews>
  <sheetFormatPr defaultColWidth="8.85546875" defaultRowHeight="12.75" x14ac:dyDescent="0.2"/>
  <cols>
    <col min="1" max="20" width="13.7109375" customWidth="1"/>
  </cols>
  <sheetData>
    <row r="1" spans="1:20" ht="15.75" x14ac:dyDescent="0.25">
      <c r="A1" s="448" t="s">
        <v>1092</v>
      </c>
      <c r="B1" s="448"/>
      <c r="C1" s="448"/>
      <c r="D1" s="104"/>
      <c r="E1" s="104"/>
      <c r="F1" s="104"/>
      <c r="G1" s="179"/>
      <c r="H1" s="179"/>
      <c r="I1" s="179"/>
      <c r="J1" s="179"/>
      <c r="K1" s="179"/>
      <c r="L1" s="179"/>
      <c r="S1" s="128"/>
      <c r="T1" s="128"/>
    </row>
    <row r="2" spans="1:20" ht="15.75" x14ac:dyDescent="0.25">
      <c r="M2" s="179"/>
      <c r="N2" s="128"/>
      <c r="O2" s="128"/>
      <c r="P2" s="128"/>
      <c r="Q2" s="128"/>
      <c r="R2" s="128"/>
      <c r="S2" s="180"/>
      <c r="T2" s="181"/>
    </row>
    <row r="3" spans="1:20" x14ac:dyDescent="0.2">
      <c r="J3" s="182"/>
      <c r="K3" s="182"/>
      <c r="L3" s="182"/>
      <c r="M3" s="182"/>
      <c r="N3" s="181"/>
      <c r="O3" s="181"/>
      <c r="P3" s="181"/>
      <c r="Q3" s="181"/>
      <c r="R3" s="181"/>
    </row>
    <row r="4" spans="1:20" ht="64.5" thickBot="1" x14ac:dyDescent="0.25">
      <c r="A4" s="1" t="s">
        <v>1</v>
      </c>
      <c r="B4" s="1" t="s">
        <v>2</v>
      </c>
      <c r="C4" s="1" t="s">
        <v>1093</v>
      </c>
      <c r="D4" s="1" t="s">
        <v>1094</v>
      </c>
      <c r="E4" s="1" t="s">
        <v>1095</v>
      </c>
      <c r="F4" s="1" t="s">
        <v>1096</v>
      </c>
      <c r="G4" s="1" t="s">
        <v>1097</v>
      </c>
      <c r="H4" s="1" t="s">
        <v>1098</v>
      </c>
      <c r="I4" s="1" t="s">
        <v>1099</v>
      </c>
      <c r="J4" s="1" t="s">
        <v>1100</v>
      </c>
      <c r="K4" s="1" t="s">
        <v>1101</v>
      </c>
      <c r="L4" s="1" t="s">
        <v>1102</v>
      </c>
      <c r="M4" s="1" t="s">
        <v>1103</v>
      </c>
      <c r="N4" s="1" t="s">
        <v>1104</v>
      </c>
      <c r="O4" s="1" t="s">
        <v>1105</v>
      </c>
      <c r="P4" s="1" t="s">
        <v>1106</v>
      </c>
      <c r="Q4" s="1" t="s">
        <v>1107</v>
      </c>
      <c r="R4" s="1" t="s">
        <v>1108</v>
      </c>
      <c r="S4" s="1" t="s">
        <v>1109</v>
      </c>
      <c r="T4" s="1" t="s">
        <v>1110</v>
      </c>
    </row>
    <row r="5" spans="1:20" x14ac:dyDescent="0.2">
      <c r="A5" s="2" t="s">
        <v>14</v>
      </c>
      <c r="B5" s="2" t="s">
        <v>15</v>
      </c>
      <c r="C5" s="4">
        <v>1415408.7300000002</v>
      </c>
      <c r="D5" s="4">
        <v>1396574.1099999999</v>
      </c>
      <c r="E5" s="4">
        <v>1318871.5199999996</v>
      </c>
      <c r="F5" s="4">
        <f>ROUND(AVERAGE(C5:E5),2)</f>
        <v>1376951.45</v>
      </c>
      <c r="G5" s="4">
        <v>1197582.3800000001</v>
      </c>
      <c r="H5" s="4">
        <v>1278559.0000000002</v>
      </c>
      <c r="I5" s="4">
        <v>1268729.5199999998</v>
      </c>
      <c r="J5" s="183">
        <v>754812</v>
      </c>
      <c r="K5" s="183">
        <v>814038</v>
      </c>
      <c r="L5" s="183">
        <v>814038</v>
      </c>
      <c r="M5" s="184">
        <f>SUM(G5:I5)/SUM(J5:L5)</f>
        <v>1.5715681559519374</v>
      </c>
      <c r="N5" s="17">
        <v>0</v>
      </c>
      <c r="O5" s="17">
        <v>0</v>
      </c>
      <c r="P5" s="17">
        <v>0</v>
      </c>
      <c r="Q5" s="17">
        <v>0</v>
      </c>
      <c r="R5" s="17">
        <v>0</v>
      </c>
      <c r="S5" s="185">
        <f>SUM(N5:R5)*(M5*'Model Data Inputs'!$D$183*'Model Data Inputs'!$D$184*'Model Data Inputs'!$D$185*'Model Data Inputs'!$D$186*'Model Data Inputs'!$D$187)</f>
        <v>0</v>
      </c>
      <c r="T5" s="185">
        <f>SUM(S5,(F5*'Model Data Inputs'!$D$183*'Model Data Inputs'!$D$184*'Model Data Inputs'!$D$185*'Model Data Inputs'!$D$186*'Model Data Inputs'!$D$187))</f>
        <v>1376951.45</v>
      </c>
    </row>
    <row r="6" spans="1:20" x14ac:dyDescent="0.2">
      <c r="A6" s="6" t="s">
        <v>16</v>
      </c>
      <c r="B6" s="6" t="s">
        <v>17</v>
      </c>
      <c r="C6" s="4">
        <v>442300.57000000007</v>
      </c>
      <c r="D6" s="4">
        <v>412784.23</v>
      </c>
      <c r="E6" s="4">
        <v>370631.48</v>
      </c>
      <c r="F6" s="4">
        <f t="shared" ref="F6:F52" si="0">ROUND(AVERAGE(C6:E6),2)</f>
        <v>408572.09</v>
      </c>
      <c r="G6" s="4">
        <v>397665.99000000005</v>
      </c>
      <c r="H6" s="4">
        <v>381348.80000000005</v>
      </c>
      <c r="I6" s="4">
        <v>355978.62000000005</v>
      </c>
      <c r="J6" s="183">
        <v>248078</v>
      </c>
      <c r="K6" s="183">
        <v>208309</v>
      </c>
      <c r="L6" s="183">
        <v>208309</v>
      </c>
      <c r="M6" s="184">
        <f t="shared" ref="M6:M52" si="1">SUM(G6:I6)/SUM(J6:L6)</f>
        <v>1.7075375961341728</v>
      </c>
      <c r="N6" s="17">
        <v>0</v>
      </c>
      <c r="O6" s="17">
        <v>0</v>
      </c>
      <c r="P6" s="17">
        <v>0</v>
      </c>
      <c r="Q6" s="17">
        <v>0</v>
      </c>
      <c r="R6" s="17">
        <v>0</v>
      </c>
      <c r="S6" s="185">
        <f>SUM(N6:R6)*(M6*'Model Data Inputs'!$D$183*'Model Data Inputs'!$D$184*'Model Data Inputs'!$D$185*'Model Data Inputs'!$D$186*'Model Data Inputs'!$D$187)</f>
        <v>0</v>
      </c>
      <c r="T6" s="185">
        <f>SUM(S6,(F6*'Model Data Inputs'!$D$183*'Model Data Inputs'!$D$184*'Model Data Inputs'!$D$185*'Model Data Inputs'!$D$186*'Model Data Inputs'!$D$187))</f>
        <v>408572.09</v>
      </c>
    </row>
    <row r="7" spans="1:20" x14ac:dyDescent="0.2">
      <c r="A7" s="6" t="s">
        <v>18</v>
      </c>
      <c r="B7" s="6" t="s">
        <v>19</v>
      </c>
      <c r="C7" s="4">
        <v>295811.95</v>
      </c>
      <c r="D7" s="4">
        <v>259846.22</v>
      </c>
      <c r="E7" s="4">
        <v>242254.43</v>
      </c>
      <c r="F7" s="4">
        <f t="shared" si="0"/>
        <v>265970.87</v>
      </c>
      <c r="G7" s="4">
        <v>231695.57</v>
      </c>
      <c r="H7" s="4">
        <v>292753.59000000003</v>
      </c>
      <c r="I7" s="4">
        <v>255008.57</v>
      </c>
      <c r="J7" s="183">
        <v>231942</v>
      </c>
      <c r="K7" s="183">
        <v>231942</v>
      </c>
      <c r="L7" s="183">
        <v>231942</v>
      </c>
      <c r="M7" s="184">
        <f t="shared" si="1"/>
        <v>1.1201905792540088</v>
      </c>
      <c r="N7" s="17">
        <v>0</v>
      </c>
      <c r="O7" s="17">
        <v>0</v>
      </c>
      <c r="P7" s="17">
        <v>0</v>
      </c>
      <c r="Q7" s="17">
        <v>0</v>
      </c>
      <c r="R7" s="17">
        <v>0</v>
      </c>
      <c r="S7" s="185">
        <f>SUM(N7:R7)*(M7*'Model Data Inputs'!$D$183*'Model Data Inputs'!$D$184*'Model Data Inputs'!$D$185*'Model Data Inputs'!$D$186*'Model Data Inputs'!$D$187)</f>
        <v>0</v>
      </c>
      <c r="T7" s="185">
        <f>SUM(S7,(F7*'Model Data Inputs'!$D$183*'Model Data Inputs'!$D$184*'Model Data Inputs'!$D$185*'Model Data Inputs'!$D$186*'Model Data Inputs'!$D$187))</f>
        <v>265970.87</v>
      </c>
    </row>
    <row r="8" spans="1:20" x14ac:dyDescent="0.2">
      <c r="A8" s="6" t="s">
        <v>20</v>
      </c>
      <c r="B8" s="6" t="s">
        <v>21</v>
      </c>
      <c r="C8" s="4">
        <v>233208.38999999998</v>
      </c>
      <c r="D8" s="4">
        <v>257758.93</v>
      </c>
      <c r="E8" s="4">
        <v>256156.68999999997</v>
      </c>
      <c r="F8" s="4">
        <f t="shared" si="0"/>
        <v>249041.34</v>
      </c>
      <c r="G8" s="4">
        <v>246641.18</v>
      </c>
      <c r="H8" s="4">
        <v>218442.81999999998</v>
      </c>
      <c r="I8" s="4">
        <v>243686.45</v>
      </c>
      <c r="J8" s="183">
        <v>177739</v>
      </c>
      <c r="K8" s="183">
        <v>170447</v>
      </c>
      <c r="L8" s="183">
        <v>170447</v>
      </c>
      <c r="M8" s="184">
        <f t="shared" si="1"/>
        <v>1.3666127107222255</v>
      </c>
      <c r="N8" s="17">
        <v>0</v>
      </c>
      <c r="O8" s="17">
        <v>0</v>
      </c>
      <c r="P8" s="17">
        <v>0</v>
      </c>
      <c r="Q8" s="17">
        <v>0</v>
      </c>
      <c r="R8" s="17">
        <v>0</v>
      </c>
      <c r="S8" s="185">
        <f>SUM(N8:R8)*(M8*'Model Data Inputs'!$D$183*'Model Data Inputs'!$D$184*'Model Data Inputs'!$D$185*'Model Data Inputs'!$D$186*'Model Data Inputs'!$D$187)</f>
        <v>0</v>
      </c>
      <c r="T8" s="185">
        <f>SUM(S8,(F8*'Model Data Inputs'!$D$183*'Model Data Inputs'!$D$184*'Model Data Inputs'!$D$185*'Model Data Inputs'!$D$186*'Model Data Inputs'!$D$187))</f>
        <v>249041.34</v>
      </c>
    </row>
    <row r="9" spans="1:20" x14ac:dyDescent="0.2">
      <c r="A9" s="6" t="s">
        <v>22</v>
      </c>
      <c r="B9" s="6" t="s">
        <v>23</v>
      </c>
      <c r="C9" s="4">
        <v>188237.16</v>
      </c>
      <c r="D9" s="4">
        <v>174153</v>
      </c>
      <c r="E9" s="4">
        <v>182301.42999999996</v>
      </c>
      <c r="F9" s="4">
        <f t="shared" si="0"/>
        <v>181563.86</v>
      </c>
      <c r="G9" s="4">
        <v>151351.65000000002</v>
      </c>
      <c r="H9" s="4">
        <v>165349.63</v>
      </c>
      <c r="I9" s="4">
        <v>159062.02000000002</v>
      </c>
      <c r="J9" s="183">
        <v>134970</v>
      </c>
      <c r="K9" s="183">
        <v>134970</v>
      </c>
      <c r="L9" s="183">
        <v>134970</v>
      </c>
      <c r="M9" s="184">
        <f t="shared" si="1"/>
        <v>1.1749853053765036</v>
      </c>
      <c r="N9" s="17">
        <v>0</v>
      </c>
      <c r="O9" s="17">
        <v>0</v>
      </c>
      <c r="P9" s="17">
        <v>0</v>
      </c>
      <c r="Q9" s="17">
        <v>0</v>
      </c>
      <c r="R9" s="17">
        <v>0</v>
      </c>
      <c r="S9" s="185">
        <f>SUM(N9:R9)*(M9*'Model Data Inputs'!$D$183*'Model Data Inputs'!$D$184*'Model Data Inputs'!$D$185*'Model Data Inputs'!$D$186*'Model Data Inputs'!$D$187)</f>
        <v>0</v>
      </c>
      <c r="T9" s="185">
        <f>SUM(S9,(F9*'Model Data Inputs'!$D$183*'Model Data Inputs'!$D$184*'Model Data Inputs'!$D$185*'Model Data Inputs'!$D$186*'Model Data Inputs'!$D$187))</f>
        <v>181563.86</v>
      </c>
    </row>
    <row r="10" spans="1:20" x14ac:dyDescent="0.2">
      <c r="A10" s="6" t="s">
        <v>24</v>
      </c>
      <c r="B10" s="6" t="s">
        <v>25</v>
      </c>
      <c r="C10" s="4">
        <v>3184379.0700000003</v>
      </c>
      <c r="D10" s="4">
        <v>3155180.4499999988</v>
      </c>
      <c r="E10" s="4">
        <v>3138145.32</v>
      </c>
      <c r="F10" s="4">
        <f t="shared" si="0"/>
        <v>3159234.95</v>
      </c>
      <c r="G10" s="4">
        <v>2391118.2500000005</v>
      </c>
      <c r="H10" s="4">
        <v>2640077.83</v>
      </c>
      <c r="I10" s="4">
        <v>2639714.5999999992</v>
      </c>
      <c r="J10" s="183">
        <v>1886193</v>
      </c>
      <c r="K10" s="183">
        <v>2012378</v>
      </c>
      <c r="L10" s="183">
        <v>2012378</v>
      </c>
      <c r="M10" s="184">
        <f t="shared" si="1"/>
        <v>1.2977460438247732</v>
      </c>
      <c r="N10" s="17">
        <v>0</v>
      </c>
      <c r="O10" s="17">
        <v>0</v>
      </c>
      <c r="P10" s="17">
        <v>0</v>
      </c>
      <c r="Q10" s="17">
        <v>0</v>
      </c>
      <c r="R10" s="17">
        <v>0</v>
      </c>
      <c r="S10" s="185">
        <f>SUM(N10:R10)*(M10*'Model Data Inputs'!$D$183*'Model Data Inputs'!$D$184*'Model Data Inputs'!$D$185*'Model Data Inputs'!$D$186*'Model Data Inputs'!$D$187)</f>
        <v>0</v>
      </c>
      <c r="T10" s="185">
        <f>SUM(S10,(F10*'Model Data Inputs'!$D$183*'Model Data Inputs'!$D$184*'Model Data Inputs'!$D$185*'Model Data Inputs'!$D$186*'Model Data Inputs'!$D$187))</f>
        <v>3159234.95</v>
      </c>
    </row>
    <row r="11" spans="1:20" x14ac:dyDescent="0.2">
      <c r="A11" s="6" t="s">
        <v>26</v>
      </c>
      <c r="B11" s="6" t="s">
        <v>27</v>
      </c>
      <c r="C11" s="4">
        <v>1101285.1300000001</v>
      </c>
      <c r="D11" s="4">
        <v>1050958.3</v>
      </c>
      <c r="E11" s="4">
        <v>991696.79999999993</v>
      </c>
      <c r="F11" s="4">
        <f t="shared" si="0"/>
        <v>1047980.08</v>
      </c>
      <c r="G11" s="4">
        <v>877098.09000000008</v>
      </c>
      <c r="H11" s="4">
        <v>966917.10000000021</v>
      </c>
      <c r="I11" s="4">
        <v>918266.22</v>
      </c>
      <c r="J11" s="183">
        <v>536590</v>
      </c>
      <c r="K11" s="183">
        <v>530986</v>
      </c>
      <c r="L11" s="183">
        <v>530986</v>
      </c>
      <c r="M11" s="184">
        <f t="shared" si="1"/>
        <v>1.7279789022884318</v>
      </c>
      <c r="N11" s="17">
        <v>0</v>
      </c>
      <c r="O11" s="17">
        <v>0</v>
      </c>
      <c r="P11" s="17">
        <v>0</v>
      </c>
      <c r="Q11" s="17">
        <v>0</v>
      </c>
      <c r="R11" s="17">
        <v>0</v>
      </c>
      <c r="S11" s="185">
        <f>SUM(N11:R11)*(M11*'Model Data Inputs'!$D$183*'Model Data Inputs'!$D$184*'Model Data Inputs'!$D$185*'Model Data Inputs'!$D$186*'Model Data Inputs'!$D$187)</f>
        <v>0</v>
      </c>
      <c r="T11" s="185">
        <f>SUM(S11,(F11*'Model Data Inputs'!$D$183*'Model Data Inputs'!$D$184*'Model Data Inputs'!$D$185*'Model Data Inputs'!$D$186*'Model Data Inputs'!$D$187))</f>
        <v>1047980.08</v>
      </c>
    </row>
    <row r="12" spans="1:20" x14ac:dyDescent="0.2">
      <c r="A12" s="6" t="s">
        <v>28</v>
      </c>
      <c r="B12" s="6" t="s">
        <v>29</v>
      </c>
      <c r="C12" s="4">
        <v>555563.87999999989</v>
      </c>
      <c r="D12" s="4">
        <v>557459.59</v>
      </c>
      <c r="E12" s="4">
        <v>504889.2</v>
      </c>
      <c r="F12" s="4">
        <f t="shared" si="0"/>
        <v>539304.22</v>
      </c>
      <c r="G12" s="4">
        <v>575654.62999999989</v>
      </c>
      <c r="H12" s="4">
        <v>534581.72</v>
      </c>
      <c r="I12" s="4">
        <v>532775.74</v>
      </c>
      <c r="J12" s="183">
        <v>365035</v>
      </c>
      <c r="K12" s="183">
        <v>307601</v>
      </c>
      <c r="L12" s="183">
        <v>307601</v>
      </c>
      <c r="M12" s="184">
        <f t="shared" si="1"/>
        <v>1.6761375973361543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85">
        <f>SUM(N12:R12)*(M12*'Model Data Inputs'!$D$183*'Model Data Inputs'!$D$184*'Model Data Inputs'!$D$185*'Model Data Inputs'!$D$186*'Model Data Inputs'!$D$187)</f>
        <v>0</v>
      </c>
      <c r="T12" s="185">
        <f>SUM(S12,(F12*'Model Data Inputs'!$D$183*'Model Data Inputs'!$D$184*'Model Data Inputs'!$D$185*'Model Data Inputs'!$D$186*'Model Data Inputs'!$D$187))</f>
        <v>539304.22</v>
      </c>
    </row>
    <row r="13" spans="1:20" x14ac:dyDescent="0.2">
      <c r="A13" s="6" t="s">
        <v>30</v>
      </c>
      <c r="B13" s="6" t="s">
        <v>31</v>
      </c>
      <c r="C13" s="4">
        <v>904173.75</v>
      </c>
      <c r="D13" s="4">
        <v>929032.68</v>
      </c>
      <c r="E13" s="4">
        <v>961208.53</v>
      </c>
      <c r="F13" s="4">
        <f t="shared" si="0"/>
        <v>931471.65</v>
      </c>
      <c r="G13" s="4">
        <v>694461.95999999985</v>
      </c>
      <c r="H13" s="4">
        <v>825996.6</v>
      </c>
      <c r="I13" s="4">
        <v>849970.14</v>
      </c>
      <c r="J13" s="183">
        <v>406859</v>
      </c>
      <c r="K13" s="183">
        <v>484404</v>
      </c>
      <c r="L13" s="183">
        <v>484404</v>
      </c>
      <c r="M13" s="184">
        <f t="shared" si="1"/>
        <v>1.7231122793524885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85">
        <f>SUM(N13:R13)*(M13*'Model Data Inputs'!$D$183*'Model Data Inputs'!$D$184*'Model Data Inputs'!$D$185*'Model Data Inputs'!$D$186*'Model Data Inputs'!$D$187)</f>
        <v>0</v>
      </c>
      <c r="T13" s="185">
        <f>SUM(S13,(F13*'Model Data Inputs'!$D$183*'Model Data Inputs'!$D$184*'Model Data Inputs'!$D$185*'Model Data Inputs'!$D$186*'Model Data Inputs'!$D$187))</f>
        <v>931471.65</v>
      </c>
    </row>
    <row r="14" spans="1:20" x14ac:dyDescent="0.2">
      <c r="A14" s="6" t="s">
        <v>32</v>
      </c>
      <c r="B14" s="6" t="s">
        <v>33</v>
      </c>
      <c r="C14" s="4">
        <v>416307.15</v>
      </c>
      <c r="D14" s="4">
        <v>398663.24</v>
      </c>
      <c r="E14" s="4">
        <v>394085.24000000011</v>
      </c>
      <c r="F14" s="4">
        <f t="shared" si="0"/>
        <v>403018.54</v>
      </c>
      <c r="G14" s="4">
        <v>355750.11000000004</v>
      </c>
      <c r="H14" s="4">
        <v>380239.6</v>
      </c>
      <c r="I14" s="4">
        <v>364224.85000000003</v>
      </c>
      <c r="J14" s="183">
        <v>279250</v>
      </c>
      <c r="K14" s="183">
        <v>279250</v>
      </c>
      <c r="L14" s="183">
        <v>279250</v>
      </c>
      <c r="M14" s="184">
        <f t="shared" si="1"/>
        <v>1.3132969979110714</v>
      </c>
      <c r="N14" s="17">
        <v>0</v>
      </c>
      <c r="O14" s="17">
        <v>0</v>
      </c>
      <c r="P14" s="17">
        <v>0</v>
      </c>
      <c r="Q14" s="17">
        <v>0</v>
      </c>
      <c r="R14" s="17">
        <v>0</v>
      </c>
      <c r="S14" s="185">
        <f>SUM(N14:R14)*(M14*'Model Data Inputs'!$D$183*'Model Data Inputs'!$D$184*'Model Data Inputs'!$D$185*'Model Data Inputs'!$D$186*'Model Data Inputs'!$D$187)</f>
        <v>0</v>
      </c>
      <c r="T14" s="185">
        <f>SUM(S14,(F14*'Model Data Inputs'!$D$183*'Model Data Inputs'!$D$184*'Model Data Inputs'!$D$185*'Model Data Inputs'!$D$186*'Model Data Inputs'!$D$187))</f>
        <v>403018.54</v>
      </c>
    </row>
    <row r="15" spans="1:20" x14ac:dyDescent="0.2">
      <c r="A15" s="6" t="s">
        <v>34</v>
      </c>
      <c r="B15" s="6" t="s">
        <v>35</v>
      </c>
      <c r="C15" s="4">
        <v>401141.98</v>
      </c>
      <c r="D15" s="4">
        <v>411012.68000000005</v>
      </c>
      <c r="E15" s="4">
        <v>446020.33999999997</v>
      </c>
      <c r="F15" s="4">
        <f t="shared" si="0"/>
        <v>419391.67</v>
      </c>
      <c r="G15" s="4">
        <v>315956.34000000003</v>
      </c>
      <c r="H15" s="4">
        <v>353635.48</v>
      </c>
      <c r="I15" s="4">
        <v>368617.39</v>
      </c>
      <c r="J15" s="183">
        <v>341793</v>
      </c>
      <c r="K15" s="183">
        <v>465715</v>
      </c>
      <c r="L15" s="183">
        <v>465715</v>
      </c>
      <c r="M15" s="184">
        <f t="shared" si="1"/>
        <v>0.81541820246728192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85">
        <f>SUM(N15:R15)*(M15*'Model Data Inputs'!$D$183*'Model Data Inputs'!$D$184*'Model Data Inputs'!$D$185*'Model Data Inputs'!$D$186*'Model Data Inputs'!$D$187)</f>
        <v>0</v>
      </c>
      <c r="T15" s="185">
        <f>SUM(S15,(F15*'Model Data Inputs'!$D$183*'Model Data Inputs'!$D$184*'Model Data Inputs'!$D$185*'Model Data Inputs'!$D$186*'Model Data Inputs'!$D$187))</f>
        <v>419391.67</v>
      </c>
    </row>
    <row r="16" spans="1:20" x14ac:dyDescent="0.2">
      <c r="A16" s="6" t="s">
        <v>36</v>
      </c>
      <c r="B16" s="6" t="s">
        <v>37</v>
      </c>
      <c r="C16" s="4">
        <v>871158.99000000022</v>
      </c>
      <c r="D16" s="4">
        <v>876481.34</v>
      </c>
      <c r="E16" s="4">
        <v>839298.06000000029</v>
      </c>
      <c r="F16" s="4">
        <f t="shared" si="0"/>
        <v>862312.8</v>
      </c>
      <c r="G16" s="4">
        <v>763889.25000000012</v>
      </c>
      <c r="H16" s="4">
        <v>682606.80000000016</v>
      </c>
      <c r="I16" s="4">
        <v>673575.45000000007</v>
      </c>
      <c r="J16" s="183">
        <v>557529</v>
      </c>
      <c r="K16" s="183">
        <v>607751</v>
      </c>
      <c r="L16" s="183">
        <v>607751</v>
      </c>
      <c r="M16" s="184">
        <f t="shared" si="1"/>
        <v>1.1957329003271802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85">
        <f>SUM(N16:R16)*(M16*'Model Data Inputs'!$D$183*'Model Data Inputs'!$D$184*'Model Data Inputs'!$D$185*'Model Data Inputs'!$D$186*'Model Data Inputs'!$D$187)</f>
        <v>0</v>
      </c>
      <c r="T16" s="185">
        <f>SUM(S16,(F16*'Model Data Inputs'!$D$183*'Model Data Inputs'!$D$184*'Model Data Inputs'!$D$185*'Model Data Inputs'!$D$186*'Model Data Inputs'!$D$187))</f>
        <v>862312.8</v>
      </c>
    </row>
    <row r="17" spans="1:20" x14ac:dyDescent="0.2">
      <c r="A17" s="6" t="s">
        <v>38</v>
      </c>
      <c r="B17" s="6" t="s">
        <v>39</v>
      </c>
      <c r="C17" s="4">
        <v>232585.85</v>
      </c>
      <c r="D17" s="4">
        <v>255184.59</v>
      </c>
      <c r="E17" s="4">
        <v>205789.01000000007</v>
      </c>
      <c r="F17" s="4">
        <f t="shared" si="0"/>
        <v>231186.48</v>
      </c>
      <c r="G17" s="4">
        <v>236573.09999999998</v>
      </c>
      <c r="H17" s="4">
        <v>212017.78</v>
      </c>
      <c r="I17" s="4">
        <v>170070.02</v>
      </c>
      <c r="J17" s="183">
        <v>113016</v>
      </c>
      <c r="K17" s="183">
        <v>72151</v>
      </c>
      <c r="L17" s="183">
        <v>72151</v>
      </c>
      <c r="M17" s="184">
        <f t="shared" si="1"/>
        <v>2.4042659277625353</v>
      </c>
      <c r="N17" s="17">
        <v>0</v>
      </c>
      <c r="O17" s="17">
        <v>0</v>
      </c>
      <c r="P17" s="17">
        <v>0</v>
      </c>
      <c r="Q17" s="17">
        <v>0</v>
      </c>
      <c r="R17" s="17">
        <v>0</v>
      </c>
      <c r="S17" s="185">
        <f>SUM(N17:R17)*(M17*'Model Data Inputs'!$D$183*'Model Data Inputs'!$D$184*'Model Data Inputs'!$D$185*'Model Data Inputs'!$D$186*'Model Data Inputs'!$D$187)</f>
        <v>0</v>
      </c>
      <c r="T17" s="185">
        <f>SUM(S17,(F17*'Model Data Inputs'!$D$183*'Model Data Inputs'!$D$184*'Model Data Inputs'!$D$185*'Model Data Inputs'!$D$186*'Model Data Inputs'!$D$187))</f>
        <v>231186.48</v>
      </c>
    </row>
    <row r="18" spans="1:20" x14ac:dyDescent="0.2">
      <c r="A18" s="6" t="s">
        <v>40</v>
      </c>
      <c r="B18" s="6" t="s">
        <v>41</v>
      </c>
      <c r="C18" s="4">
        <v>235500.81</v>
      </c>
      <c r="D18" s="4">
        <v>208413</v>
      </c>
      <c r="E18" s="4">
        <v>214341.96999999997</v>
      </c>
      <c r="F18" s="4">
        <f t="shared" si="0"/>
        <v>219418.59</v>
      </c>
      <c r="G18" s="4">
        <v>193019.84999999998</v>
      </c>
      <c r="H18" s="4">
        <v>223808.07</v>
      </c>
      <c r="I18" s="4">
        <v>198646.29</v>
      </c>
      <c r="J18" s="183">
        <v>151989</v>
      </c>
      <c r="K18" s="183">
        <v>151989</v>
      </c>
      <c r="L18" s="183">
        <v>151989</v>
      </c>
      <c r="M18" s="184">
        <f t="shared" si="1"/>
        <v>1.3498218292113244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85">
        <f>SUM(N18:R18)*(M18*'Model Data Inputs'!$D$183*'Model Data Inputs'!$D$184*'Model Data Inputs'!$D$185*'Model Data Inputs'!$D$186*'Model Data Inputs'!$D$187)</f>
        <v>0</v>
      </c>
      <c r="T18" s="185">
        <f>SUM(S18,(F18*'Model Data Inputs'!$D$183*'Model Data Inputs'!$D$184*'Model Data Inputs'!$D$185*'Model Data Inputs'!$D$186*'Model Data Inputs'!$D$187))</f>
        <v>219418.59</v>
      </c>
    </row>
    <row r="19" spans="1:20" x14ac:dyDescent="0.2">
      <c r="A19" s="6" t="s">
        <v>42</v>
      </c>
      <c r="B19" s="6" t="s">
        <v>43</v>
      </c>
      <c r="C19" s="4">
        <v>406604.87</v>
      </c>
      <c r="D19" s="4">
        <v>340906.33</v>
      </c>
      <c r="E19" s="4">
        <v>318797.37999999995</v>
      </c>
      <c r="F19" s="4">
        <f t="shared" si="0"/>
        <v>355436.19</v>
      </c>
      <c r="G19" s="4">
        <v>399333.20999999996</v>
      </c>
      <c r="H19" s="4">
        <v>4500</v>
      </c>
      <c r="I19" s="4">
        <v>238092.6</v>
      </c>
      <c r="J19" s="183">
        <v>258499</v>
      </c>
      <c r="K19" s="183">
        <v>258499</v>
      </c>
      <c r="L19" s="183">
        <v>258499</v>
      </c>
      <c r="M19" s="184">
        <f t="shared" si="1"/>
        <v>0.82776053292275786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85">
        <f>SUM(N19:R19)*(M19*'Model Data Inputs'!$D$183*'Model Data Inputs'!$D$184*'Model Data Inputs'!$D$185*'Model Data Inputs'!$D$186*'Model Data Inputs'!$D$187)</f>
        <v>0</v>
      </c>
      <c r="T19" s="185">
        <f>SUM(S19,(F19*'Model Data Inputs'!$D$183*'Model Data Inputs'!$D$184*'Model Data Inputs'!$D$185*'Model Data Inputs'!$D$186*'Model Data Inputs'!$D$187))</f>
        <v>355436.19</v>
      </c>
    </row>
    <row r="20" spans="1:20" x14ac:dyDescent="0.2">
      <c r="A20" s="6" t="s">
        <v>44</v>
      </c>
      <c r="B20" s="6" t="s">
        <v>45</v>
      </c>
      <c r="C20" s="4">
        <v>259486.66999999998</v>
      </c>
      <c r="D20" s="4">
        <v>197246.83</v>
      </c>
      <c r="E20" s="4">
        <v>183078.33</v>
      </c>
      <c r="F20" s="4">
        <f t="shared" si="0"/>
        <v>213270.61</v>
      </c>
      <c r="G20" s="4">
        <v>130190.79</v>
      </c>
      <c r="H20" s="4">
        <v>126290.47</v>
      </c>
      <c r="I20" s="4">
        <v>31355.759999999998</v>
      </c>
      <c r="J20" s="183">
        <v>105926</v>
      </c>
      <c r="K20" s="183">
        <v>133535</v>
      </c>
      <c r="L20" s="183">
        <v>133535</v>
      </c>
      <c r="M20" s="184">
        <f t="shared" si="1"/>
        <v>0.7716892942551663</v>
      </c>
      <c r="N20" s="17">
        <v>0</v>
      </c>
      <c r="O20" s="17">
        <v>0</v>
      </c>
      <c r="P20" s="17">
        <v>0</v>
      </c>
      <c r="Q20" s="17">
        <v>0</v>
      </c>
      <c r="R20" s="17">
        <v>0</v>
      </c>
      <c r="S20" s="185">
        <f>SUM(N20:R20)*(M20*'Model Data Inputs'!$D$183*'Model Data Inputs'!$D$184*'Model Data Inputs'!$D$185*'Model Data Inputs'!$D$186*'Model Data Inputs'!$D$187)</f>
        <v>0</v>
      </c>
      <c r="T20" s="185">
        <f>SUM(S20,(F20*'Model Data Inputs'!$D$183*'Model Data Inputs'!$D$184*'Model Data Inputs'!$D$185*'Model Data Inputs'!$D$186*'Model Data Inputs'!$D$187))</f>
        <v>213270.61</v>
      </c>
    </row>
    <row r="21" spans="1:20" x14ac:dyDescent="0.2">
      <c r="A21" s="6" t="s">
        <v>46</v>
      </c>
      <c r="B21" s="6" t="s">
        <v>47</v>
      </c>
      <c r="C21" s="4">
        <v>148799.75000000003</v>
      </c>
      <c r="D21" s="4">
        <v>162995.87</v>
      </c>
      <c r="E21" s="4">
        <v>161792.29999999999</v>
      </c>
      <c r="F21" s="4">
        <f t="shared" si="0"/>
        <v>157862.64000000001</v>
      </c>
      <c r="G21" s="4">
        <v>166497.96</v>
      </c>
      <c r="H21" s="4">
        <v>118764.74000000002</v>
      </c>
      <c r="I21" s="4">
        <v>162995.87</v>
      </c>
      <c r="J21" s="183">
        <v>111080</v>
      </c>
      <c r="K21" s="183">
        <v>250199</v>
      </c>
      <c r="L21" s="183">
        <v>250199</v>
      </c>
      <c r="M21" s="184">
        <f t="shared" si="1"/>
        <v>0.73307391271640188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85">
        <f>SUM(N21:R21)*(M21*'Model Data Inputs'!$D$183*'Model Data Inputs'!$D$184*'Model Data Inputs'!$D$185*'Model Data Inputs'!$D$186*'Model Data Inputs'!$D$187)</f>
        <v>0</v>
      </c>
      <c r="T21" s="185">
        <f>SUM(S21,(F21*'Model Data Inputs'!$D$183*'Model Data Inputs'!$D$184*'Model Data Inputs'!$D$185*'Model Data Inputs'!$D$186*'Model Data Inputs'!$D$187))</f>
        <v>157862.64000000001</v>
      </c>
    </row>
    <row r="22" spans="1:20" x14ac:dyDescent="0.2">
      <c r="A22" s="6" t="s">
        <v>48</v>
      </c>
      <c r="B22" s="6" t="s">
        <v>49</v>
      </c>
      <c r="C22" s="4">
        <v>1062028.9500000002</v>
      </c>
      <c r="D22" s="4">
        <v>995917.04000000015</v>
      </c>
      <c r="E22" s="4">
        <v>920258.26</v>
      </c>
      <c r="F22" s="4">
        <f t="shared" si="0"/>
        <v>992734.75</v>
      </c>
      <c r="G22" s="4">
        <v>707005.86000000022</v>
      </c>
      <c r="H22" s="4">
        <v>784263.35000000009</v>
      </c>
      <c r="I22" s="4">
        <v>758512.00000000012</v>
      </c>
      <c r="J22" s="183">
        <v>554705</v>
      </c>
      <c r="K22" s="183">
        <v>560113</v>
      </c>
      <c r="L22" s="183">
        <v>560113</v>
      </c>
      <c r="M22" s="184">
        <f t="shared" si="1"/>
        <v>1.3432082933565623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85">
        <f>SUM(N22:R22)*(M22*'Model Data Inputs'!$D$183*'Model Data Inputs'!$D$184*'Model Data Inputs'!$D$185*'Model Data Inputs'!$D$186*'Model Data Inputs'!$D$187)</f>
        <v>0</v>
      </c>
      <c r="T22" s="185">
        <f>SUM(S22,(F22*'Model Data Inputs'!$D$183*'Model Data Inputs'!$D$184*'Model Data Inputs'!$D$185*'Model Data Inputs'!$D$186*'Model Data Inputs'!$D$187))</f>
        <v>992734.75</v>
      </c>
    </row>
    <row r="23" spans="1:20" x14ac:dyDescent="0.2">
      <c r="A23" s="6" t="s">
        <v>50</v>
      </c>
      <c r="B23" s="6" t="s">
        <v>51</v>
      </c>
      <c r="C23" s="4">
        <v>315587.99</v>
      </c>
      <c r="D23" s="4">
        <v>243548.86000000002</v>
      </c>
      <c r="E23" s="4">
        <v>233311.96000000002</v>
      </c>
      <c r="F23" s="4">
        <f t="shared" si="0"/>
        <v>264149.59999999998</v>
      </c>
      <c r="G23" s="4">
        <v>208640.49999999997</v>
      </c>
      <c r="H23" s="4">
        <v>3745.25</v>
      </c>
      <c r="I23" s="4">
        <v>1770</v>
      </c>
      <c r="J23" s="183">
        <v>80195</v>
      </c>
      <c r="K23" s="183">
        <v>128936</v>
      </c>
      <c r="L23" s="183">
        <v>128936</v>
      </c>
      <c r="M23" s="184">
        <f t="shared" si="1"/>
        <v>0.63347132373168624</v>
      </c>
      <c r="N23" s="17">
        <v>0</v>
      </c>
      <c r="O23" s="17">
        <v>0</v>
      </c>
      <c r="P23" s="17">
        <v>0</v>
      </c>
      <c r="Q23" s="17">
        <v>0</v>
      </c>
      <c r="R23" s="17">
        <v>0</v>
      </c>
      <c r="S23" s="185">
        <f>SUM(N23:R23)*(M23*'Model Data Inputs'!$D$183*'Model Data Inputs'!$D$184*'Model Data Inputs'!$D$185*'Model Data Inputs'!$D$186*'Model Data Inputs'!$D$187)</f>
        <v>0</v>
      </c>
      <c r="T23" s="185">
        <f>SUM(S23,(F23*'Model Data Inputs'!$D$183*'Model Data Inputs'!$D$184*'Model Data Inputs'!$D$185*'Model Data Inputs'!$D$186*'Model Data Inputs'!$D$187))</f>
        <v>264149.59999999998</v>
      </c>
    </row>
    <row r="24" spans="1:20" x14ac:dyDescent="0.2">
      <c r="A24" s="6" t="s">
        <v>52</v>
      </c>
      <c r="B24" s="6" t="s">
        <v>53</v>
      </c>
      <c r="C24" s="4">
        <v>912451.1</v>
      </c>
      <c r="D24" s="4">
        <v>940995.33</v>
      </c>
      <c r="E24" s="4">
        <v>836771.18999999983</v>
      </c>
      <c r="F24" s="4">
        <f t="shared" si="0"/>
        <v>896739.21</v>
      </c>
      <c r="G24" s="4">
        <v>823226.13</v>
      </c>
      <c r="H24" s="4">
        <v>779690.52</v>
      </c>
      <c r="I24" s="4">
        <v>810649.34</v>
      </c>
      <c r="J24" s="183">
        <v>494029</v>
      </c>
      <c r="K24" s="183">
        <v>471160</v>
      </c>
      <c r="L24" s="183">
        <v>471160</v>
      </c>
      <c r="M24" s="184">
        <f t="shared" si="1"/>
        <v>1.6803478750637901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85">
        <f>SUM(N24:R24)*(M24*'Model Data Inputs'!$D$183*'Model Data Inputs'!$D$184*'Model Data Inputs'!$D$185*'Model Data Inputs'!$D$186*'Model Data Inputs'!$D$187)</f>
        <v>0</v>
      </c>
      <c r="T24" s="185">
        <f>SUM(S24,(F24*'Model Data Inputs'!$D$183*'Model Data Inputs'!$D$184*'Model Data Inputs'!$D$185*'Model Data Inputs'!$D$186*'Model Data Inputs'!$D$187))</f>
        <v>896739.21</v>
      </c>
    </row>
    <row r="25" spans="1:20" x14ac:dyDescent="0.2">
      <c r="A25" s="6" t="s">
        <v>54</v>
      </c>
      <c r="B25" s="6" t="s">
        <v>55</v>
      </c>
      <c r="C25" s="4">
        <v>436676.51</v>
      </c>
      <c r="D25" s="4">
        <v>426734.11</v>
      </c>
      <c r="E25" s="4">
        <v>451326.63</v>
      </c>
      <c r="F25" s="4">
        <f t="shared" si="0"/>
        <v>438245.75</v>
      </c>
      <c r="G25" s="4">
        <v>342823.84</v>
      </c>
      <c r="H25" s="4">
        <v>358726.18000000005</v>
      </c>
      <c r="I25" s="4">
        <v>345798.12</v>
      </c>
      <c r="J25" s="183">
        <v>307759</v>
      </c>
      <c r="K25" s="183">
        <v>307759</v>
      </c>
      <c r="L25" s="183">
        <v>307759</v>
      </c>
      <c r="M25" s="184">
        <f t="shared" si="1"/>
        <v>1.1343812745254134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85">
        <f>SUM(N25:R25)*(M25*'Model Data Inputs'!$D$183*'Model Data Inputs'!$D$184*'Model Data Inputs'!$D$185*'Model Data Inputs'!$D$186*'Model Data Inputs'!$D$187)</f>
        <v>0</v>
      </c>
      <c r="T25" s="185">
        <f>SUM(S25,(F25*'Model Data Inputs'!$D$183*'Model Data Inputs'!$D$184*'Model Data Inputs'!$D$185*'Model Data Inputs'!$D$186*'Model Data Inputs'!$D$187))</f>
        <v>438245.75</v>
      </c>
    </row>
    <row r="26" spans="1:20" x14ac:dyDescent="0.2">
      <c r="A26" s="6" t="s">
        <v>56</v>
      </c>
      <c r="B26" s="6" t="s">
        <v>57</v>
      </c>
      <c r="C26" s="4">
        <v>574616.53000000026</v>
      </c>
      <c r="D26" s="4">
        <v>574453.70000000019</v>
      </c>
      <c r="E26" s="4">
        <v>488486.58000000007</v>
      </c>
      <c r="F26" s="4">
        <f t="shared" si="0"/>
        <v>545852.27</v>
      </c>
      <c r="G26" s="4">
        <v>396590.89000000007</v>
      </c>
      <c r="H26" s="4">
        <v>528789.55000000005</v>
      </c>
      <c r="I26" s="4">
        <v>521159.01999999996</v>
      </c>
      <c r="J26" s="183">
        <v>388042</v>
      </c>
      <c r="K26" s="183">
        <v>383217</v>
      </c>
      <c r="L26" s="183">
        <v>383217</v>
      </c>
      <c r="M26" s="184">
        <f t="shared" si="1"/>
        <v>1.252983570035237</v>
      </c>
      <c r="N26" s="17">
        <v>0</v>
      </c>
      <c r="O26" s="17">
        <v>0</v>
      </c>
      <c r="P26" s="17">
        <v>0</v>
      </c>
      <c r="Q26" s="17">
        <v>0</v>
      </c>
      <c r="R26" s="17">
        <v>0</v>
      </c>
      <c r="S26" s="185">
        <f>SUM(N26:R26)*(M26*'Model Data Inputs'!$D$183*'Model Data Inputs'!$D$184*'Model Data Inputs'!$D$185*'Model Data Inputs'!$D$186*'Model Data Inputs'!$D$187)</f>
        <v>0</v>
      </c>
      <c r="T26" s="185">
        <f>SUM(S26,(F26*'Model Data Inputs'!$D$183*'Model Data Inputs'!$D$184*'Model Data Inputs'!$D$185*'Model Data Inputs'!$D$186*'Model Data Inputs'!$D$187))</f>
        <v>545852.27</v>
      </c>
    </row>
    <row r="27" spans="1:20" x14ac:dyDescent="0.2">
      <c r="A27" s="6" t="s">
        <v>58</v>
      </c>
      <c r="B27" s="6" t="s">
        <v>59</v>
      </c>
      <c r="C27" s="4">
        <v>5112810.2800000021</v>
      </c>
      <c r="D27" s="4">
        <v>5422398.2899999972</v>
      </c>
      <c r="E27" s="4">
        <v>5281083.4000000013</v>
      </c>
      <c r="F27" s="4">
        <f t="shared" si="0"/>
        <v>5272097.32</v>
      </c>
      <c r="G27" s="4">
        <v>3250789.9299999988</v>
      </c>
      <c r="H27" s="4">
        <v>4203205.0600000005</v>
      </c>
      <c r="I27" s="4">
        <v>4355068.9099999992</v>
      </c>
      <c r="J27" s="183">
        <v>2317889</v>
      </c>
      <c r="K27" s="183">
        <v>2388151</v>
      </c>
      <c r="L27" s="183">
        <v>2388151</v>
      </c>
      <c r="M27" s="184">
        <f t="shared" si="1"/>
        <v>1.6646103692443577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85">
        <f>SUM(N27:R27)*(M27*'Model Data Inputs'!$D$183*'Model Data Inputs'!$D$184*'Model Data Inputs'!$D$185*'Model Data Inputs'!$D$186*'Model Data Inputs'!$D$187)</f>
        <v>0</v>
      </c>
      <c r="T27" s="185">
        <f>SUM(S27,(F27*'Model Data Inputs'!$D$183*'Model Data Inputs'!$D$184*'Model Data Inputs'!$D$185*'Model Data Inputs'!$D$186*'Model Data Inputs'!$D$187))</f>
        <v>5272097.32</v>
      </c>
    </row>
    <row r="28" spans="1:20" x14ac:dyDescent="0.2">
      <c r="A28" s="6" t="s">
        <v>60</v>
      </c>
      <c r="B28" s="6" t="s">
        <v>61</v>
      </c>
      <c r="C28" s="4">
        <v>433243.22000000003</v>
      </c>
      <c r="D28" s="4">
        <v>429488.73</v>
      </c>
      <c r="E28" s="4">
        <v>395496.52</v>
      </c>
      <c r="F28" s="4">
        <f t="shared" si="0"/>
        <v>419409.49</v>
      </c>
      <c r="G28" s="4">
        <v>482277.58000000007</v>
      </c>
      <c r="H28" s="4">
        <v>420410.1</v>
      </c>
      <c r="I28" s="4">
        <v>415903.61999999994</v>
      </c>
      <c r="J28" s="183">
        <v>289649</v>
      </c>
      <c r="K28" s="183">
        <v>311856</v>
      </c>
      <c r="L28" s="183">
        <v>311856</v>
      </c>
      <c r="M28" s="184">
        <f t="shared" si="1"/>
        <v>1.4436693705993577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85">
        <f>SUM(N28:R28)*(M28*'Model Data Inputs'!$D$183*'Model Data Inputs'!$D$184*'Model Data Inputs'!$D$185*'Model Data Inputs'!$D$186*'Model Data Inputs'!$D$187)</f>
        <v>0</v>
      </c>
      <c r="T28" s="185">
        <f>SUM(S28,(F28*'Model Data Inputs'!$D$183*'Model Data Inputs'!$D$184*'Model Data Inputs'!$D$185*'Model Data Inputs'!$D$186*'Model Data Inputs'!$D$187))</f>
        <v>419409.49</v>
      </c>
    </row>
    <row r="29" spans="1:20" x14ac:dyDescent="0.2">
      <c r="A29" s="6" t="s">
        <v>62</v>
      </c>
      <c r="B29" s="6" t="s">
        <v>63</v>
      </c>
      <c r="C29" s="4">
        <v>443511.37000000005</v>
      </c>
      <c r="D29" s="4">
        <v>502249.91000000003</v>
      </c>
      <c r="E29" s="4">
        <v>477162.49</v>
      </c>
      <c r="F29" s="4">
        <f t="shared" si="0"/>
        <v>474307.92</v>
      </c>
      <c r="G29" s="4">
        <v>146743.87999999998</v>
      </c>
      <c r="H29" s="4">
        <v>36058.080000000002</v>
      </c>
      <c r="I29" s="4">
        <v>36582.74</v>
      </c>
      <c r="J29" s="183">
        <v>310486</v>
      </c>
      <c r="K29" s="183">
        <v>339004</v>
      </c>
      <c r="L29" s="183">
        <v>339004</v>
      </c>
      <c r="M29" s="184">
        <f t="shared" si="1"/>
        <v>0.22193832233680727</v>
      </c>
      <c r="N29" s="17">
        <v>0</v>
      </c>
      <c r="O29" s="17">
        <v>0</v>
      </c>
      <c r="P29" s="17">
        <v>0</v>
      </c>
      <c r="Q29" s="17">
        <v>0</v>
      </c>
      <c r="R29" s="17">
        <v>0</v>
      </c>
      <c r="S29" s="185">
        <f>SUM(N29:R29)*(M29*'Model Data Inputs'!$D$183*'Model Data Inputs'!$D$184*'Model Data Inputs'!$D$185*'Model Data Inputs'!$D$186*'Model Data Inputs'!$D$187)</f>
        <v>0</v>
      </c>
      <c r="T29" s="185">
        <f>SUM(S29,(F29*'Model Data Inputs'!$D$183*'Model Data Inputs'!$D$184*'Model Data Inputs'!$D$185*'Model Data Inputs'!$D$186*'Model Data Inputs'!$D$187))</f>
        <v>474307.92</v>
      </c>
    </row>
    <row r="30" spans="1:20" x14ac:dyDescent="0.2">
      <c r="A30" s="6" t="s">
        <v>64</v>
      </c>
      <c r="B30" s="6" t="s">
        <v>65</v>
      </c>
      <c r="C30" s="4">
        <v>1095890.55</v>
      </c>
      <c r="D30" s="4">
        <v>902548.28</v>
      </c>
      <c r="E30" s="4">
        <v>854854.30999999994</v>
      </c>
      <c r="F30" s="4">
        <f t="shared" si="0"/>
        <v>951097.71</v>
      </c>
      <c r="G30" s="4">
        <v>981993.90000000026</v>
      </c>
      <c r="H30" s="4">
        <v>1052457.3400000001</v>
      </c>
      <c r="I30" s="4">
        <v>861948.86</v>
      </c>
      <c r="J30" s="183">
        <v>674971</v>
      </c>
      <c r="K30" s="183">
        <v>674971</v>
      </c>
      <c r="L30" s="183">
        <v>674971</v>
      </c>
      <c r="M30" s="184">
        <f t="shared" si="1"/>
        <v>1.4303824905069995</v>
      </c>
      <c r="N30" s="17">
        <v>0</v>
      </c>
      <c r="O30" s="17">
        <v>0</v>
      </c>
      <c r="P30" s="17">
        <v>0</v>
      </c>
      <c r="Q30" s="17">
        <v>0</v>
      </c>
      <c r="R30" s="17">
        <v>0</v>
      </c>
      <c r="S30" s="185">
        <f>SUM(N30:R30)*(M30*'Model Data Inputs'!$D$183*'Model Data Inputs'!$D$184*'Model Data Inputs'!$D$185*'Model Data Inputs'!$D$186*'Model Data Inputs'!$D$187)</f>
        <v>0</v>
      </c>
      <c r="T30" s="185">
        <f>SUM(S30,(F30*'Model Data Inputs'!$D$183*'Model Data Inputs'!$D$184*'Model Data Inputs'!$D$185*'Model Data Inputs'!$D$186*'Model Data Inputs'!$D$187))</f>
        <v>951097.71</v>
      </c>
    </row>
    <row r="31" spans="1:20" x14ac:dyDescent="0.2">
      <c r="A31" s="6" t="s">
        <v>66</v>
      </c>
      <c r="B31" s="6" t="s">
        <v>67</v>
      </c>
      <c r="C31" s="4">
        <v>4034541.9800000018</v>
      </c>
      <c r="D31" s="4">
        <v>3889780.4399999995</v>
      </c>
      <c r="E31" s="4">
        <v>3707833.4400000004</v>
      </c>
      <c r="F31" s="4">
        <f t="shared" si="0"/>
        <v>3877385.29</v>
      </c>
      <c r="G31" s="4">
        <v>3069220.6500000008</v>
      </c>
      <c r="H31" s="4">
        <v>3588291.080000001</v>
      </c>
      <c r="I31" s="4">
        <v>3510163.3899999992</v>
      </c>
      <c r="J31" s="183">
        <v>2355476</v>
      </c>
      <c r="K31" s="183">
        <v>2726707</v>
      </c>
      <c r="L31" s="183">
        <v>2726707</v>
      </c>
      <c r="M31" s="184">
        <f t="shared" si="1"/>
        <v>1.3020640731269106</v>
      </c>
      <c r="N31" s="17">
        <v>0</v>
      </c>
      <c r="O31" s="17">
        <v>0</v>
      </c>
      <c r="P31" s="17">
        <v>0</v>
      </c>
      <c r="Q31" s="17">
        <v>0</v>
      </c>
      <c r="R31" s="17">
        <v>0</v>
      </c>
      <c r="S31" s="185">
        <f>SUM(N31:R31)*(M31*'Model Data Inputs'!$D$183*'Model Data Inputs'!$D$184*'Model Data Inputs'!$D$185*'Model Data Inputs'!$D$186*'Model Data Inputs'!$D$187)</f>
        <v>0</v>
      </c>
      <c r="T31" s="185">
        <f>SUM(S31,(F31*'Model Data Inputs'!$D$183*'Model Data Inputs'!$D$184*'Model Data Inputs'!$D$185*'Model Data Inputs'!$D$186*'Model Data Inputs'!$D$187))</f>
        <v>3877385.29</v>
      </c>
    </row>
    <row r="32" spans="1:20" x14ac:dyDescent="0.2">
      <c r="A32" s="6" t="s">
        <v>68</v>
      </c>
      <c r="B32" s="6" t="s">
        <v>69</v>
      </c>
      <c r="C32" s="4">
        <v>277133.38</v>
      </c>
      <c r="D32" s="4">
        <v>245604.56000000003</v>
      </c>
      <c r="E32" s="4">
        <v>243983.68</v>
      </c>
      <c r="F32" s="4">
        <f t="shared" si="0"/>
        <v>255573.87</v>
      </c>
      <c r="G32" s="4">
        <v>196942.94000000006</v>
      </c>
      <c r="H32" s="4">
        <v>244866.39999999997</v>
      </c>
      <c r="I32" s="4">
        <v>221952.30000000002</v>
      </c>
      <c r="J32" s="183">
        <v>165204</v>
      </c>
      <c r="K32" s="183">
        <v>165204</v>
      </c>
      <c r="L32" s="183">
        <v>165204</v>
      </c>
      <c r="M32" s="184">
        <f t="shared" si="1"/>
        <v>1.3392767729594925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185">
        <f>SUM(N32:R32)*(M32*'Model Data Inputs'!$D$183*'Model Data Inputs'!$D$184*'Model Data Inputs'!$D$185*'Model Data Inputs'!$D$186*'Model Data Inputs'!$D$187)</f>
        <v>0</v>
      </c>
      <c r="T32" s="185">
        <f>SUM(S32,(F32*'Model Data Inputs'!$D$183*'Model Data Inputs'!$D$184*'Model Data Inputs'!$D$185*'Model Data Inputs'!$D$186*'Model Data Inputs'!$D$187))</f>
        <v>255573.87</v>
      </c>
    </row>
    <row r="33" spans="1:20" x14ac:dyDescent="0.2">
      <c r="A33" s="6" t="s">
        <v>70</v>
      </c>
      <c r="B33" s="6" t="s">
        <v>71</v>
      </c>
      <c r="C33" s="4">
        <v>661071.35000000021</v>
      </c>
      <c r="D33" s="4">
        <v>693001.3</v>
      </c>
      <c r="E33" s="4">
        <v>625371.10000000009</v>
      </c>
      <c r="F33" s="4">
        <f t="shared" si="0"/>
        <v>659814.57999999996</v>
      </c>
      <c r="G33" s="4">
        <v>484710.38999999996</v>
      </c>
      <c r="H33" s="4">
        <v>568099.86</v>
      </c>
      <c r="I33" s="4">
        <v>606829.03</v>
      </c>
      <c r="J33" s="183">
        <v>443468</v>
      </c>
      <c r="K33" s="183">
        <v>409130</v>
      </c>
      <c r="L33" s="183">
        <v>409130</v>
      </c>
      <c r="M33" s="184">
        <f t="shared" si="1"/>
        <v>1.3153700956149028</v>
      </c>
      <c r="N33" s="17">
        <v>0</v>
      </c>
      <c r="O33" s="17">
        <v>0</v>
      </c>
      <c r="P33" s="17">
        <v>0</v>
      </c>
      <c r="Q33" s="17">
        <v>0</v>
      </c>
      <c r="R33" s="17">
        <v>0</v>
      </c>
      <c r="S33" s="185">
        <f>SUM(N33:R33)*(M33*'Model Data Inputs'!$D$183*'Model Data Inputs'!$D$184*'Model Data Inputs'!$D$185*'Model Data Inputs'!$D$186*'Model Data Inputs'!$D$187)</f>
        <v>0</v>
      </c>
      <c r="T33" s="185">
        <f>SUM(S33,(F33*'Model Data Inputs'!$D$183*'Model Data Inputs'!$D$184*'Model Data Inputs'!$D$185*'Model Data Inputs'!$D$186*'Model Data Inputs'!$D$187))</f>
        <v>659814.57999999996</v>
      </c>
    </row>
    <row r="34" spans="1:20" x14ac:dyDescent="0.2">
      <c r="A34" s="6" t="s">
        <v>72</v>
      </c>
      <c r="B34" s="6" t="s">
        <v>73</v>
      </c>
      <c r="C34" s="4">
        <v>791744.62999999989</v>
      </c>
      <c r="D34" s="4">
        <v>698378.42</v>
      </c>
      <c r="E34" s="4">
        <v>778357.64000000013</v>
      </c>
      <c r="F34" s="4">
        <f t="shared" si="0"/>
        <v>756160.23</v>
      </c>
      <c r="G34" s="4">
        <v>516184.95999999996</v>
      </c>
      <c r="H34" s="4">
        <v>716376.84999999986</v>
      </c>
      <c r="I34" s="4">
        <v>628552.3400000002</v>
      </c>
      <c r="J34" s="183">
        <v>570101</v>
      </c>
      <c r="K34" s="183">
        <v>575121</v>
      </c>
      <c r="L34" s="183">
        <v>575121</v>
      </c>
      <c r="M34" s="184">
        <f t="shared" si="1"/>
        <v>1.0818273739597277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185">
        <f>SUM(N34:R34)*(M34*'Model Data Inputs'!$D$183*'Model Data Inputs'!$D$184*'Model Data Inputs'!$D$185*'Model Data Inputs'!$D$186*'Model Data Inputs'!$D$187)</f>
        <v>0</v>
      </c>
      <c r="T34" s="185">
        <f>SUM(S34,(F34*'Model Data Inputs'!$D$183*'Model Data Inputs'!$D$184*'Model Data Inputs'!$D$185*'Model Data Inputs'!$D$186*'Model Data Inputs'!$D$187))</f>
        <v>756160.23</v>
      </c>
    </row>
    <row r="35" spans="1:20" x14ac:dyDescent="0.2">
      <c r="A35" s="6" t="s">
        <v>74</v>
      </c>
      <c r="B35" s="6" t="s">
        <v>75</v>
      </c>
      <c r="C35" s="4">
        <v>106745.95</v>
      </c>
      <c r="D35" s="4">
        <v>108752.28</v>
      </c>
      <c r="E35" s="4">
        <v>98633.73</v>
      </c>
      <c r="F35" s="4">
        <f t="shared" si="0"/>
        <v>104710.65</v>
      </c>
      <c r="G35" s="4">
        <v>101920.7</v>
      </c>
      <c r="H35" s="4">
        <v>5344.15</v>
      </c>
      <c r="I35" s="4">
        <v>5705.96</v>
      </c>
      <c r="J35" s="183">
        <v>63315</v>
      </c>
      <c r="K35" s="183">
        <v>63315</v>
      </c>
      <c r="L35" s="183">
        <v>63315</v>
      </c>
      <c r="M35" s="184">
        <f t="shared" si="1"/>
        <v>0.59475537655637156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85">
        <f>SUM(N35:R35)*(M35*'Model Data Inputs'!$D$183*'Model Data Inputs'!$D$184*'Model Data Inputs'!$D$185*'Model Data Inputs'!$D$186*'Model Data Inputs'!$D$187)</f>
        <v>0</v>
      </c>
      <c r="T35" s="185">
        <f>SUM(S35,(F35*'Model Data Inputs'!$D$183*'Model Data Inputs'!$D$184*'Model Data Inputs'!$D$185*'Model Data Inputs'!$D$186*'Model Data Inputs'!$D$187))</f>
        <v>104710.65</v>
      </c>
    </row>
    <row r="36" spans="1:20" x14ac:dyDescent="0.2">
      <c r="A36" s="6" t="s">
        <v>76</v>
      </c>
      <c r="B36" s="6" t="s">
        <v>77</v>
      </c>
      <c r="C36" s="4">
        <v>657178.37</v>
      </c>
      <c r="D36" s="4">
        <v>655157.7300000001</v>
      </c>
      <c r="E36" s="4">
        <v>569530.14</v>
      </c>
      <c r="F36" s="4">
        <f t="shared" si="0"/>
        <v>627288.75</v>
      </c>
      <c r="G36" s="4">
        <v>551718.41999999993</v>
      </c>
      <c r="H36" s="4">
        <v>627785.71</v>
      </c>
      <c r="I36" s="4">
        <v>592746.65</v>
      </c>
      <c r="J36" s="183">
        <v>398595</v>
      </c>
      <c r="K36" s="183">
        <v>382918</v>
      </c>
      <c r="L36" s="183">
        <v>382918</v>
      </c>
      <c r="M36" s="184">
        <f t="shared" si="1"/>
        <v>1.5219886622736769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85">
        <f>SUM(N36:R36)*(M36*'Model Data Inputs'!$D$183*'Model Data Inputs'!$D$184*'Model Data Inputs'!$D$185*'Model Data Inputs'!$D$186*'Model Data Inputs'!$D$187)</f>
        <v>0</v>
      </c>
      <c r="T36" s="185">
        <f>SUM(S36,(F36*'Model Data Inputs'!$D$183*'Model Data Inputs'!$D$184*'Model Data Inputs'!$D$185*'Model Data Inputs'!$D$186*'Model Data Inputs'!$D$187))</f>
        <v>627288.75</v>
      </c>
    </row>
    <row r="37" spans="1:20" x14ac:dyDescent="0.2">
      <c r="A37" s="6" t="s">
        <v>78</v>
      </c>
      <c r="B37" s="6" t="s">
        <v>79</v>
      </c>
      <c r="C37" s="4">
        <v>148253.74</v>
      </c>
      <c r="D37" s="4">
        <v>142679.16</v>
      </c>
      <c r="E37" s="4">
        <v>132357.49000000002</v>
      </c>
      <c r="F37" s="4">
        <f t="shared" si="0"/>
        <v>141096.79999999999</v>
      </c>
      <c r="G37" s="4">
        <v>135721.80000000002</v>
      </c>
      <c r="H37" s="4">
        <v>143393.88</v>
      </c>
      <c r="I37" s="4">
        <v>135188.34</v>
      </c>
      <c r="J37" s="183">
        <v>92678</v>
      </c>
      <c r="K37" s="183">
        <v>92678</v>
      </c>
      <c r="L37" s="183">
        <v>92678</v>
      </c>
      <c r="M37" s="184">
        <f t="shared" si="1"/>
        <v>1.4901199853255358</v>
      </c>
      <c r="N37" s="17">
        <v>0</v>
      </c>
      <c r="O37" s="17">
        <v>0</v>
      </c>
      <c r="P37" s="17">
        <v>0</v>
      </c>
      <c r="Q37" s="17">
        <v>0</v>
      </c>
      <c r="R37" s="17">
        <v>0</v>
      </c>
      <c r="S37" s="185">
        <f>SUM(N37:R37)*(M37*'Model Data Inputs'!$D$183*'Model Data Inputs'!$D$184*'Model Data Inputs'!$D$185*'Model Data Inputs'!$D$186*'Model Data Inputs'!$D$187)</f>
        <v>0</v>
      </c>
      <c r="T37" s="185">
        <f>SUM(S37,(F37*'Model Data Inputs'!$D$183*'Model Data Inputs'!$D$184*'Model Data Inputs'!$D$185*'Model Data Inputs'!$D$186*'Model Data Inputs'!$D$187))</f>
        <v>141096.79999999999</v>
      </c>
    </row>
    <row r="38" spans="1:20" x14ac:dyDescent="0.2">
      <c r="A38" s="6" t="s">
        <v>80</v>
      </c>
      <c r="B38" s="6" t="s">
        <v>81</v>
      </c>
      <c r="C38" s="4">
        <v>412818.09</v>
      </c>
      <c r="D38" s="4">
        <v>417942.41999999993</v>
      </c>
      <c r="E38" s="4">
        <v>367982.9</v>
      </c>
      <c r="F38" s="4">
        <f t="shared" si="0"/>
        <v>399581.14</v>
      </c>
      <c r="G38" s="4">
        <v>260117.22999999998</v>
      </c>
      <c r="H38" s="4">
        <v>368203.87</v>
      </c>
      <c r="I38" s="4">
        <v>358416.14</v>
      </c>
      <c r="J38" s="183">
        <v>310558</v>
      </c>
      <c r="K38" s="183">
        <v>365516</v>
      </c>
      <c r="L38" s="183">
        <v>365516</v>
      </c>
      <c r="M38" s="184">
        <f t="shared" si="1"/>
        <v>0.94733747443811867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85">
        <f>SUM(N38:R38)*(M38*'Model Data Inputs'!$D$183*'Model Data Inputs'!$D$184*'Model Data Inputs'!$D$185*'Model Data Inputs'!$D$186*'Model Data Inputs'!$D$187)</f>
        <v>0</v>
      </c>
      <c r="T38" s="185">
        <f>SUM(S38,(F38*'Model Data Inputs'!$D$183*'Model Data Inputs'!$D$184*'Model Data Inputs'!$D$185*'Model Data Inputs'!$D$186*'Model Data Inputs'!$D$187))</f>
        <v>399581.14</v>
      </c>
    </row>
    <row r="39" spans="1:20" x14ac:dyDescent="0.2">
      <c r="A39" s="6" t="s">
        <v>82</v>
      </c>
      <c r="B39" s="6" t="s">
        <v>83</v>
      </c>
      <c r="C39" s="4">
        <v>1023024.54</v>
      </c>
      <c r="D39" s="4">
        <v>1018284.9200000002</v>
      </c>
      <c r="E39" s="4">
        <v>889244.29000000027</v>
      </c>
      <c r="F39" s="4">
        <f t="shared" si="0"/>
        <v>976851.25</v>
      </c>
      <c r="G39" s="4">
        <v>764375.86</v>
      </c>
      <c r="H39" s="4">
        <v>912572.22000000009</v>
      </c>
      <c r="I39" s="4">
        <v>918858.06000000029</v>
      </c>
      <c r="J39" s="183">
        <v>716111</v>
      </c>
      <c r="K39" s="183">
        <v>818281</v>
      </c>
      <c r="L39" s="183">
        <v>818281</v>
      </c>
      <c r="M39" s="184">
        <f t="shared" si="1"/>
        <v>1.1033433630598051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85">
        <f>SUM(N39:R39)*(M39*'Model Data Inputs'!$D$183*'Model Data Inputs'!$D$184*'Model Data Inputs'!$D$185*'Model Data Inputs'!$D$186*'Model Data Inputs'!$D$187)</f>
        <v>0</v>
      </c>
      <c r="T39" s="185">
        <f>SUM(S39,(F39*'Model Data Inputs'!$D$183*'Model Data Inputs'!$D$184*'Model Data Inputs'!$D$185*'Model Data Inputs'!$D$186*'Model Data Inputs'!$D$187))</f>
        <v>976851.25</v>
      </c>
    </row>
    <row r="40" spans="1:20" x14ac:dyDescent="0.2">
      <c r="A40" s="6" t="s">
        <v>84</v>
      </c>
      <c r="B40" s="6" t="s">
        <v>85</v>
      </c>
      <c r="C40" s="4">
        <v>93851.859999999986</v>
      </c>
      <c r="D40" s="4">
        <v>78036.37999999999</v>
      </c>
      <c r="E40" s="4">
        <v>66449.66</v>
      </c>
      <c r="F40" s="4">
        <f t="shared" si="0"/>
        <v>79445.97</v>
      </c>
      <c r="G40" s="4">
        <v>64159.789999999994</v>
      </c>
      <c r="H40" s="4">
        <v>83474.62999999999</v>
      </c>
      <c r="I40" s="4">
        <v>66507.060000000012</v>
      </c>
      <c r="J40" s="183">
        <v>51389</v>
      </c>
      <c r="K40" s="183">
        <v>51389</v>
      </c>
      <c r="L40" s="183">
        <v>51389</v>
      </c>
      <c r="M40" s="184">
        <f t="shared" si="1"/>
        <v>1.3890228129236477</v>
      </c>
      <c r="N40" s="17">
        <v>0</v>
      </c>
      <c r="O40" s="17">
        <v>0</v>
      </c>
      <c r="P40" s="17">
        <v>0</v>
      </c>
      <c r="Q40" s="17">
        <v>0</v>
      </c>
      <c r="R40" s="17">
        <v>0</v>
      </c>
      <c r="S40" s="185">
        <f>SUM(N40:R40)*(M40*'Model Data Inputs'!$D$183*'Model Data Inputs'!$D$184*'Model Data Inputs'!$D$185*'Model Data Inputs'!$D$186*'Model Data Inputs'!$D$187)</f>
        <v>0</v>
      </c>
      <c r="T40" s="185">
        <f>SUM(S40,(F40*'Model Data Inputs'!$D$183*'Model Data Inputs'!$D$184*'Model Data Inputs'!$D$185*'Model Data Inputs'!$D$186*'Model Data Inputs'!$D$187))</f>
        <v>79445.97</v>
      </c>
    </row>
    <row r="41" spans="1:20" x14ac:dyDescent="0.2">
      <c r="A41" s="6" t="s">
        <v>86</v>
      </c>
      <c r="B41" s="6" t="s">
        <v>87</v>
      </c>
      <c r="C41" s="4">
        <v>561456.62</v>
      </c>
      <c r="D41" s="4">
        <v>534017.09</v>
      </c>
      <c r="E41" s="4">
        <v>438101.39000000007</v>
      </c>
      <c r="F41" s="4">
        <f t="shared" si="0"/>
        <v>511191.7</v>
      </c>
      <c r="G41" s="4">
        <v>344962.38999999996</v>
      </c>
      <c r="H41" s="4">
        <v>456931.88</v>
      </c>
      <c r="I41" s="4">
        <v>428224.91999999993</v>
      </c>
      <c r="J41" s="183">
        <v>263427</v>
      </c>
      <c r="K41" s="183">
        <v>346859</v>
      </c>
      <c r="L41" s="183">
        <v>346859</v>
      </c>
      <c r="M41" s="184">
        <f t="shared" si="1"/>
        <v>1.2851962764262468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85">
        <f>SUM(N41:R41)*(M41*'Model Data Inputs'!$D$183*'Model Data Inputs'!$D$184*'Model Data Inputs'!$D$185*'Model Data Inputs'!$D$186*'Model Data Inputs'!$D$187)</f>
        <v>0</v>
      </c>
      <c r="T41" s="185">
        <f>SUM(S41,(F41*'Model Data Inputs'!$D$183*'Model Data Inputs'!$D$184*'Model Data Inputs'!$D$185*'Model Data Inputs'!$D$186*'Model Data Inputs'!$D$187))</f>
        <v>511191.7</v>
      </c>
    </row>
    <row r="42" spans="1:20" x14ac:dyDescent="0.2">
      <c r="A42" s="6" t="s">
        <v>88</v>
      </c>
      <c r="B42" s="6" t="s">
        <v>89</v>
      </c>
      <c r="C42" s="4">
        <v>488183.85999999987</v>
      </c>
      <c r="D42" s="4">
        <v>506506.04000000004</v>
      </c>
      <c r="E42" s="4">
        <v>492025.68</v>
      </c>
      <c r="F42" s="4">
        <f t="shared" si="0"/>
        <v>495571.86</v>
      </c>
      <c r="G42" s="4">
        <v>337897.63</v>
      </c>
      <c r="H42" s="4">
        <v>390107.88</v>
      </c>
      <c r="I42" s="4">
        <v>388710.19</v>
      </c>
      <c r="J42" s="183">
        <v>256896</v>
      </c>
      <c r="K42" s="183">
        <v>267322</v>
      </c>
      <c r="L42" s="183">
        <v>267322</v>
      </c>
      <c r="M42" s="184">
        <f t="shared" si="1"/>
        <v>1.410813982868838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85">
        <f>SUM(N42:R42)*(M42*'Model Data Inputs'!$D$183*'Model Data Inputs'!$D$184*'Model Data Inputs'!$D$185*'Model Data Inputs'!$D$186*'Model Data Inputs'!$D$187)</f>
        <v>0</v>
      </c>
      <c r="T42" s="185">
        <f>SUM(S42,(F42*'Model Data Inputs'!$D$183*'Model Data Inputs'!$D$184*'Model Data Inputs'!$D$185*'Model Data Inputs'!$D$186*'Model Data Inputs'!$D$187))</f>
        <v>495571.86</v>
      </c>
    </row>
    <row r="43" spans="1:20" x14ac:dyDescent="0.2">
      <c r="A43" s="6" t="s">
        <v>90</v>
      </c>
      <c r="B43" s="6" t="s">
        <v>91</v>
      </c>
      <c r="C43" s="4">
        <v>1825024.4200000002</v>
      </c>
      <c r="D43" s="4">
        <v>1900834.6199999999</v>
      </c>
      <c r="E43" s="4">
        <v>1939101.9600000004</v>
      </c>
      <c r="F43" s="4">
        <f t="shared" si="0"/>
        <v>1888320.33</v>
      </c>
      <c r="G43" s="4">
        <v>1453083.5899999999</v>
      </c>
      <c r="H43" s="4">
        <v>1668996.2500000002</v>
      </c>
      <c r="I43" s="4">
        <v>1742741.3399999999</v>
      </c>
      <c r="J43" s="183">
        <v>1124842</v>
      </c>
      <c r="K43" s="183">
        <v>1159635</v>
      </c>
      <c r="L43" s="183">
        <v>1159635</v>
      </c>
      <c r="M43" s="184">
        <f t="shared" si="1"/>
        <v>1.4125037687508419</v>
      </c>
      <c r="N43" s="17">
        <v>0</v>
      </c>
      <c r="O43" s="17">
        <v>0</v>
      </c>
      <c r="P43" s="17">
        <v>0</v>
      </c>
      <c r="Q43" s="17">
        <v>0</v>
      </c>
      <c r="R43" s="17">
        <v>0</v>
      </c>
      <c r="S43" s="185">
        <f>SUM(N43:R43)*(M43*'Model Data Inputs'!$D$183*'Model Data Inputs'!$D$184*'Model Data Inputs'!$D$185*'Model Data Inputs'!$D$186*'Model Data Inputs'!$D$187)</f>
        <v>0</v>
      </c>
      <c r="T43" s="185">
        <f>SUM(S43,(F43*'Model Data Inputs'!$D$183*'Model Data Inputs'!$D$184*'Model Data Inputs'!$D$185*'Model Data Inputs'!$D$186*'Model Data Inputs'!$D$187))</f>
        <v>1888320.33</v>
      </c>
    </row>
    <row r="44" spans="1:20" x14ac:dyDescent="0.2">
      <c r="A44" s="6" t="s">
        <v>92</v>
      </c>
      <c r="B44" s="6" t="s">
        <v>93</v>
      </c>
      <c r="C44" s="4">
        <v>1264819.1500000004</v>
      </c>
      <c r="D44" s="4">
        <v>1359497.4500000002</v>
      </c>
      <c r="E44" s="4">
        <v>1504689.4899999998</v>
      </c>
      <c r="F44" s="4">
        <f t="shared" si="0"/>
        <v>1376335.36</v>
      </c>
      <c r="G44" s="4">
        <v>1073697.1600000004</v>
      </c>
      <c r="H44" s="4">
        <v>1214084.2600000002</v>
      </c>
      <c r="I44" s="4">
        <v>1240232.8899999999</v>
      </c>
      <c r="J44" s="183">
        <v>753291</v>
      </c>
      <c r="K44" s="183">
        <v>756591</v>
      </c>
      <c r="L44" s="183">
        <v>756591</v>
      </c>
      <c r="M44" s="184">
        <f t="shared" si="1"/>
        <v>1.5566099000517546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85">
        <f>SUM(N44:R44)*(M44*'Model Data Inputs'!$D$183*'Model Data Inputs'!$D$184*'Model Data Inputs'!$D$185*'Model Data Inputs'!$D$186*'Model Data Inputs'!$D$187)</f>
        <v>0</v>
      </c>
      <c r="T44" s="185">
        <f>SUM(S44,(F44*'Model Data Inputs'!$D$183*'Model Data Inputs'!$D$184*'Model Data Inputs'!$D$185*'Model Data Inputs'!$D$186*'Model Data Inputs'!$D$187))</f>
        <v>1376335.36</v>
      </c>
    </row>
    <row r="45" spans="1:20" x14ac:dyDescent="0.2">
      <c r="A45" s="6" t="s">
        <v>94</v>
      </c>
      <c r="B45" s="6" t="s">
        <v>95</v>
      </c>
      <c r="C45" s="4">
        <v>769272.77</v>
      </c>
      <c r="D45" s="4">
        <v>737980.87000000011</v>
      </c>
      <c r="E45" s="4">
        <v>705572.76000000013</v>
      </c>
      <c r="F45" s="4">
        <f t="shared" si="0"/>
        <v>737608.8</v>
      </c>
      <c r="G45" s="4">
        <v>442769.60999999981</v>
      </c>
      <c r="H45" s="4">
        <v>693091.98</v>
      </c>
      <c r="I45" s="4">
        <v>675088.54</v>
      </c>
      <c r="J45" s="183">
        <v>505215</v>
      </c>
      <c r="K45" s="183">
        <v>516015</v>
      </c>
      <c r="L45" s="183">
        <v>516015</v>
      </c>
      <c r="M45" s="184">
        <f t="shared" si="1"/>
        <v>1.1780491268470543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85">
        <f>SUM(N45:R45)*(M45*'Model Data Inputs'!$D$183*'Model Data Inputs'!$D$184*'Model Data Inputs'!$D$185*'Model Data Inputs'!$D$186*'Model Data Inputs'!$D$187)</f>
        <v>0</v>
      </c>
      <c r="T45" s="185">
        <f>SUM(S45,(F45*'Model Data Inputs'!$D$183*'Model Data Inputs'!$D$184*'Model Data Inputs'!$D$185*'Model Data Inputs'!$D$186*'Model Data Inputs'!$D$187))</f>
        <v>737608.8</v>
      </c>
    </row>
    <row r="46" spans="1:20" x14ac:dyDescent="0.2">
      <c r="A46" s="6" t="s">
        <v>96</v>
      </c>
      <c r="B46" s="6" t="s">
        <v>97</v>
      </c>
      <c r="C46" s="4">
        <v>1005175.5599999998</v>
      </c>
      <c r="D46" s="4">
        <v>964440.40000000014</v>
      </c>
      <c r="E46" s="4">
        <v>1058575.6199999999</v>
      </c>
      <c r="F46" s="4">
        <f t="shared" si="0"/>
        <v>1009397.19</v>
      </c>
      <c r="G46" s="4">
        <v>914169.72999999986</v>
      </c>
      <c r="H46" s="4">
        <v>913935.19</v>
      </c>
      <c r="I46" s="4">
        <v>863246.72000000009</v>
      </c>
      <c r="J46" s="183">
        <v>738902</v>
      </c>
      <c r="K46" s="183">
        <v>768603</v>
      </c>
      <c r="L46" s="183">
        <v>768603</v>
      </c>
      <c r="M46" s="184">
        <f t="shared" si="1"/>
        <v>1.1824358246620987</v>
      </c>
      <c r="N46" s="17">
        <v>0</v>
      </c>
      <c r="O46" s="17">
        <v>0</v>
      </c>
      <c r="P46" s="17">
        <v>0</v>
      </c>
      <c r="Q46" s="17">
        <v>0</v>
      </c>
      <c r="R46" s="17">
        <v>0</v>
      </c>
      <c r="S46" s="185">
        <f>SUM(N46:R46)*(M46*'Model Data Inputs'!$D$183*'Model Data Inputs'!$D$184*'Model Data Inputs'!$D$185*'Model Data Inputs'!$D$186*'Model Data Inputs'!$D$187)</f>
        <v>0</v>
      </c>
      <c r="T46" s="185">
        <f>SUM(S46,(F46*'Model Data Inputs'!$D$183*'Model Data Inputs'!$D$184*'Model Data Inputs'!$D$185*'Model Data Inputs'!$D$186*'Model Data Inputs'!$D$187))</f>
        <v>1009397.19</v>
      </c>
    </row>
    <row r="47" spans="1:20" x14ac:dyDescent="0.2">
      <c r="A47" s="6" t="s">
        <v>98</v>
      </c>
      <c r="B47" s="6" t="s">
        <v>99</v>
      </c>
      <c r="C47" s="4">
        <v>315749.17999999993</v>
      </c>
      <c r="D47" s="4">
        <v>359147.99</v>
      </c>
      <c r="E47" s="4">
        <v>358138.23</v>
      </c>
      <c r="F47" s="4">
        <f t="shared" si="0"/>
        <v>344345.13</v>
      </c>
      <c r="G47" s="4">
        <v>261089.90000000002</v>
      </c>
      <c r="H47" s="4">
        <v>276736.18</v>
      </c>
      <c r="I47" s="4">
        <v>314504.61000000004</v>
      </c>
      <c r="J47" s="183">
        <v>295856</v>
      </c>
      <c r="K47" s="183">
        <v>430218</v>
      </c>
      <c r="L47" s="183">
        <v>430218</v>
      </c>
      <c r="M47" s="184">
        <f t="shared" si="1"/>
        <v>0.7371240914924605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  <c r="S47" s="185">
        <f>SUM(N47:R47)*(M47*'Model Data Inputs'!$D$183*'Model Data Inputs'!$D$184*'Model Data Inputs'!$D$185*'Model Data Inputs'!$D$186*'Model Data Inputs'!$D$187)</f>
        <v>0</v>
      </c>
      <c r="T47" s="185">
        <f>SUM(S47,(F47*'Model Data Inputs'!$D$183*'Model Data Inputs'!$D$184*'Model Data Inputs'!$D$185*'Model Data Inputs'!$D$186*'Model Data Inputs'!$D$187))</f>
        <v>344345.13</v>
      </c>
    </row>
    <row r="48" spans="1:20" x14ac:dyDescent="0.2">
      <c r="A48" s="6" t="s">
        <v>100</v>
      </c>
      <c r="B48" s="6" t="s">
        <v>101</v>
      </c>
      <c r="C48" s="4">
        <v>459941.45</v>
      </c>
      <c r="D48" s="4">
        <v>469246.61</v>
      </c>
      <c r="E48" s="4">
        <v>409576.29</v>
      </c>
      <c r="F48" s="4">
        <f t="shared" si="0"/>
        <v>446254.78</v>
      </c>
      <c r="G48" s="4">
        <v>456740.66</v>
      </c>
      <c r="H48" s="4">
        <v>414194.06</v>
      </c>
      <c r="I48" s="4">
        <v>429875.82999999996</v>
      </c>
      <c r="J48" s="183">
        <v>288581</v>
      </c>
      <c r="K48" s="183">
        <v>288581</v>
      </c>
      <c r="L48" s="183">
        <v>288581</v>
      </c>
      <c r="M48" s="184">
        <f t="shared" si="1"/>
        <v>1.5025366072841477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85">
        <f>SUM(N48:R48)*(M48*'Model Data Inputs'!$D$183*'Model Data Inputs'!$D$184*'Model Data Inputs'!$D$185*'Model Data Inputs'!$D$186*'Model Data Inputs'!$D$187)</f>
        <v>0</v>
      </c>
      <c r="T48" s="185">
        <f>SUM(S48,(F48*'Model Data Inputs'!$D$183*'Model Data Inputs'!$D$184*'Model Data Inputs'!$D$185*'Model Data Inputs'!$D$186*'Model Data Inputs'!$D$187))</f>
        <v>446254.78</v>
      </c>
    </row>
    <row r="49" spans="1:20" x14ac:dyDescent="0.2">
      <c r="A49" s="6" t="s">
        <v>102</v>
      </c>
      <c r="B49" s="6" t="s">
        <v>103</v>
      </c>
      <c r="C49" s="4">
        <v>493262.3600000001</v>
      </c>
      <c r="D49" s="4">
        <v>535456.34</v>
      </c>
      <c r="E49" s="4">
        <v>487656.58</v>
      </c>
      <c r="F49" s="4">
        <f t="shared" si="0"/>
        <v>505458.43</v>
      </c>
      <c r="G49" s="4">
        <v>441490.97000000003</v>
      </c>
      <c r="H49" s="4">
        <v>462267.56000000006</v>
      </c>
      <c r="I49" s="4">
        <v>498471.43</v>
      </c>
      <c r="J49" s="183">
        <v>388662</v>
      </c>
      <c r="K49" s="183">
        <v>403217</v>
      </c>
      <c r="L49" s="183">
        <v>403217</v>
      </c>
      <c r="M49" s="184">
        <f t="shared" si="1"/>
        <v>1.1733199341308145</v>
      </c>
      <c r="N49" s="17">
        <v>0</v>
      </c>
      <c r="O49" s="17">
        <v>0</v>
      </c>
      <c r="P49" s="17">
        <v>0</v>
      </c>
      <c r="Q49" s="17">
        <v>0</v>
      </c>
      <c r="R49" s="17">
        <v>0</v>
      </c>
      <c r="S49" s="185">
        <f>SUM(N49:R49)*(M49*'Model Data Inputs'!$D$183*'Model Data Inputs'!$D$184*'Model Data Inputs'!$D$185*'Model Data Inputs'!$D$186*'Model Data Inputs'!$D$187)</f>
        <v>0</v>
      </c>
      <c r="T49" s="185">
        <f>SUM(S49,(F49*'Model Data Inputs'!$D$183*'Model Data Inputs'!$D$184*'Model Data Inputs'!$D$185*'Model Data Inputs'!$D$186*'Model Data Inputs'!$D$187))</f>
        <v>505458.43</v>
      </c>
    </row>
    <row r="50" spans="1:20" x14ac:dyDescent="0.2">
      <c r="A50" s="6" t="s">
        <v>104</v>
      </c>
      <c r="B50" s="6" t="s">
        <v>105</v>
      </c>
      <c r="C50" s="4">
        <v>105872.02</v>
      </c>
      <c r="D50" s="4">
        <v>102503.26</v>
      </c>
      <c r="E50" s="4">
        <v>90996.43</v>
      </c>
      <c r="F50" s="4">
        <f t="shared" si="0"/>
        <v>99790.57</v>
      </c>
      <c r="G50" s="4">
        <v>336.82</v>
      </c>
      <c r="H50" s="4">
        <v>760.5</v>
      </c>
      <c r="I50" s="4">
        <v>585.4</v>
      </c>
      <c r="J50" s="183">
        <v>52955</v>
      </c>
      <c r="K50" s="183">
        <v>52955</v>
      </c>
      <c r="L50" s="183">
        <v>52955</v>
      </c>
      <c r="M50" s="184">
        <f t="shared" si="1"/>
        <v>1.059213797878702E-2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85">
        <f>SUM(N50:R50)*(M50*'Model Data Inputs'!$D$183*'Model Data Inputs'!$D$184*'Model Data Inputs'!$D$185*'Model Data Inputs'!$D$186*'Model Data Inputs'!$D$187)</f>
        <v>0</v>
      </c>
      <c r="T50" s="185">
        <f>SUM(S50,(F50*'Model Data Inputs'!$D$183*'Model Data Inputs'!$D$184*'Model Data Inputs'!$D$185*'Model Data Inputs'!$D$186*'Model Data Inputs'!$D$187))</f>
        <v>99790.57</v>
      </c>
    </row>
    <row r="51" spans="1:20" x14ac:dyDescent="0.2">
      <c r="A51" s="6" t="s">
        <v>106</v>
      </c>
      <c r="B51" s="6" t="s">
        <v>107</v>
      </c>
      <c r="C51" s="4">
        <v>412078.89</v>
      </c>
      <c r="D51" s="4">
        <v>389621.07</v>
      </c>
      <c r="E51" s="4">
        <v>402564.06</v>
      </c>
      <c r="F51" s="4">
        <f t="shared" si="0"/>
        <v>401421.34</v>
      </c>
      <c r="G51" s="4">
        <v>301203.50999999995</v>
      </c>
      <c r="H51" s="4">
        <v>376298.25</v>
      </c>
      <c r="I51" s="4">
        <v>370234.87000000005</v>
      </c>
      <c r="J51" s="183">
        <v>265829</v>
      </c>
      <c r="K51" s="183">
        <v>269189</v>
      </c>
      <c r="L51" s="183">
        <v>269189</v>
      </c>
      <c r="M51" s="184">
        <f t="shared" si="1"/>
        <v>1.3028195850073427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  <c r="S51" s="185">
        <f>SUM(N51:R51)*(M51*'Model Data Inputs'!$D$183*'Model Data Inputs'!$D$184*'Model Data Inputs'!$D$185*'Model Data Inputs'!$D$186*'Model Data Inputs'!$D$187)</f>
        <v>0</v>
      </c>
      <c r="T51" s="185">
        <f>SUM(S51,(F51*'Model Data Inputs'!$D$183*'Model Data Inputs'!$D$184*'Model Data Inputs'!$D$185*'Model Data Inputs'!$D$186*'Model Data Inputs'!$D$187))</f>
        <v>401421.34</v>
      </c>
    </row>
    <row r="52" spans="1:20" x14ac:dyDescent="0.2">
      <c r="A52" s="6" t="s">
        <v>108</v>
      </c>
      <c r="B52" s="6" t="s">
        <v>109</v>
      </c>
      <c r="C52" s="4">
        <v>195572.61000000002</v>
      </c>
      <c r="D52" s="4">
        <v>202944.30999999997</v>
      </c>
      <c r="E52" s="4">
        <v>195933.30000000002</v>
      </c>
      <c r="F52" s="4">
        <f t="shared" si="0"/>
        <v>198150.07</v>
      </c>
      <c r="G52" s="4">
        <v>169850.77999999997</v>
      </c>
      <c r="H52" s="4">
        <v>192583.15</v>
      </c>
      <c r="I52" s="4">
        <v>192143.04</v>
      </c>
      <c r="J52" s="183">
        <v>124734</v>
      </c>
      <c r="K52" s="183">
        <v>124734</v>
      </c>
      <c r="L52" s="183">
        <v>124734</v>
      </c>
      <c r="M52" s="184">
        <f t="shared" si="1"/>
        <v>1.4820256706270944</v>
      </c>
      <c r="N52" s="17">
        <v>0</v>
      </c>
      <c r="O52" s="17">
        <v>0</v>
      </c>
      <c r="P52" s="17">
        <v>0</v>
      </c>
      <c r="Q52" s="17">
        <v>0</v>
      </c>
      <c r="R52" s="17">
        <v>0</v>
      </c>
      <c r="S52" s="185">
        <f>SUM(N52:R52)*(M52*'Model Data Inputs'!$D$183*'Model Data Inputs'!$D$184*'Model Data Inputs'!$D$185*'Model Data Inputs'!$D$186*'Model Data Inputs'!$D$187)</f>
        <v>0</v>
      </c>
      <c r="T52" s="185">
        <f>SUM(S52,(F52*'Model Data Inputs'!$D$183*'Model Data Inputs'!$D$184*'Model Data Inputs'!$D$185*'Model Data Inputs'!$D$186*'Model Data Inputs'!$D$187))</f>
        <v>198150.07</v>
      </c>
    </row>
    <row r="54" spans="1:20" ht="13.5" thickBot="1" x14ac:dyDescent="0.25">
      <c r="C54" s="9">
        <f>SUM(C5:C52)</f>
        <v>37781543.980000012</v>
      </c>
      <c r="D54" s="9">
        <f t="shared" ref="D54:R54" si="2">SUM(D5:D52)</f>
        <v>37492799.299999997</v>
      </c>
      <c r="E54" s="9">
        <f t="shared" si="2"/>
        <v>36230785.229999997</v>
      </c>
      <c r="F54" s="9">
        <f t="shared" si="2"/>
        <v>37168376.140000001</v>
      </c>
      <c r="G54" s="9">
        <f t="shared" si="2"/>
        <v>29006938.310000002</v>
      </c>
      <c r="H54" s="9">
        <f t="shared" si="2"/>
        <v>31891631.249999996</v>
      </c>
      <c r="I54" s="9">
        <f t="shared" si="2"/>
        <v>31727141.769999985</v>
      </c>
      <c r="J54" s="186">
        <f t="shared" si="2"/>
        <v>22305110</v>
      </c>
      <c r="K54" s="186">
        <f t="shared" si="2"/>
        <v>23713509</v>
      </c>
      <c r="L54" s="186">
        <f t="shared" si="2"/>
        <v>23713509</v>
      </c>
      <c r="M54" s="187">
        <f>SUM(G54:I54)/SUM(J54:L54)</f>
        <v>1.3283075389582257</v>
      </c>
      <c r="N54" s="186">
        <f t="shared" si="2"/>
        <v>0</v>
      </c>
      <c r="O54" s="186">
        <f t="shared" si="2"/>
        <v>0</v>
      </c>
      <c r="P54" s="186">
        <f t="shared" si="2"/>
        <v>0</v>
      </c>
      <c r="Q54" s="186">
        <f t="shared" si="2"/>
        <v>0</v>
      </c>
      <c r="R54" s="186">
        <f t="shared" si="2"/>
        <v>0</v>
      </c>
      <c r="S54" s="9">
        <f t="shared" ref="S54:T54" si="3">SUM(S5:S52)</f>
        <v>0</v>
      </c>
      <c r="T54" s="9">
        <f t="shared" si="3"/>
        <v>37168376.140000001</v>
      </c>
    </row>
    <row r="55" spans="1:20" ht="13.5" thickTop="1" x14ac:dyDescent="0.2"/>
  </sheetData>
  <sheetProtection algorithmName="SHA-512" hashValue="LbvTKoIOQrE/ClV0Q6MbzYuX3G0W7VNLempI8dmnTf9KvVwKKjSDm53YJQFNjHjNjJm9kJ/pYbU2mTFXos1M0g==" saltValue="FItgaPm8wyTWED6QdFxNIw==" spinCount="100000" sheet="1" objects="1" scenarios="1"/>
  <mergeCells count="1">
    <mergeCell ref="A1:C1"/>
  </mergeCells>
  <pageMargins left="0.5" right="0.5" top="0.5" bottom="0.5" header="0.25" footer="0.25"/>
  <pageSetup scale="74" fitToWidth="2" orientation="landscape" r:id="rId1"/>
  <headerFooter>
    <oddHeader>&amp;L&amp;"Calibri,Bold"&amp;12School District Utilities Funding</oddHeader>
  </headerFooter>
  <colBreaks count="1" manualBreakCount="1">
    <brk id="12" min="3" max="53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58"/>
  <sheetViews>
    <sheetView showGridLines="0" zoomScale="85" zoomScaleNormal="85" workbookViewId="0">
      <pane ySplit="4" topLeftCell="A23" activePane="bottomLeft" state="frozen"/>
      <selection sqref="A1:M1"/>
      <selection pane="bottomLeft" activeCell="K5" sqref="K5:K52"/>
    </sheetView>
  </sheetViews>
  <sheetFormatPr defaultColWidth="8.85546875" defaultRowHeight="12.75" x14ac:dyDescent="0.2"/>
  <cols>
    <col min="1" max="11" width="13.7109375" customWidth="1"/>
    <col min="12" max="12" width="9.85546875" customWidth="1"/>
  </cols>
  <sheetData>
    <row r="1" spans="1:12" ht="15.75" x14ac:dyDescent="0.25">
      <c r="A1" s="448" t="s">
        <v>1111</v>
      </c>
      <c r="B1" s="448"/>
      <c r="C1" s="448"/>
      <c r="D1" s="448"/>
      <c r="E1" s="448"/>
      <c r="F1" s="448"/>
      <c r="G1" s="448"/>
      <c r="H1" s="448"/>
      <c r="I1" s="448"/>
      <c r="J1" s="448"/>
      <c r="K1" s="448"/>
    </row>
    <row r="2" spans="1:12" x14ac:dyDescent="0.2">
      <c r="A2" s="142"/>
      <c r="B2" s="188"/>
      <c r="C2" s="188"/>
      <c r="D2" s="188"/>
      <c r="E2" s="188"/>
      <c r="F2" s="188"/>
      <c r="G2" s="188"/>
      <c r="H2" s="188"/>
      <c r="I2" s="188"/>
      <c r="J2" s="188"/>
      <c r="K2" s="188"/>
    </row>
    <row r="4" spans="1:12" ht="51.75" thickBot="1" x14ac:dyDescent="0.25">
      <c r="A4" s="1" t="s">
        <v>1</v>
      </c>
      <c r="B4" s="1" t="s">
        <v>2</v>
      </c>
      <c r="C4" s="1" t="s">
        <v>1112</v>
      </c>
      <c r="D4" s="1" t="s">
        <v>1113</v>
      </c>
      <c r="E4" s="1" t="s">
        <v>1114</v>
      </c>
      <c r="F4" s="1" t="s">
        <v>1115</v>
      </c>
      <c r="G4" s="1" t="s">
        <v>1116</v>
      </c>
      <c r="H4" s="1" t="s">
        <v>1117</v>
      </c>
      <c r="I4" s="1" t="s">
        <v>1118</v>
      </c>
      <c r="J4" s="1" t="s">
        <v>1119</v>
      </c>
      <c r="K4" s="1" t="s">
        <v>1120</v>
      </c>
    </row>
    <row r="5" spans="1:12" x14ac:dyDescent="0.2">
      <c r="A5" s="2" t="s">
        <v>14</v>
      </c>
      <c r="B5" s="2" t="s">
        <v>15</v>
      </c>
      <c r="C5" s="4">
        <v>33292037.800000001</v>
      </c>
      <c r="D5" s="122">
        <f>SUMIFS('School Level O &amp; M Resources'!$AC$5:$AC$359,'School Level O &amp; M Resources'!$A$5:$A$359,$A5)</f>
        <v>33.19111913531215</v>
      </c>
      <c r="E5" s="122">
        <f>SUMIFS('School Level O &amp; M Resources'!$AO$5:$AO$359,'School Level O &amp; M Resources'!$A$5:$A$359,$A5)</f>
        <v>14.63563283459173</v>
      </c>
      <c r="F5" s="122">
        <f>IF('Site Level Groundskeepers'!$A$2=1,SUMIFS('Site Level Groundskeepers'!$O$5:$O$557,'Site Level Groundskeepers'!$A$5:$A$557,$A5),SUMIFS('Site Level Groundskeepers'!$O$5:$O$557,'Site Level Groundskeepers'!$A$5:$A$557,$A5)*1.1)</f>
        <v>10.772014235557771</v>
      </c>
      <c r="G5" s="4">
        <f>$D5*'Central Office and O&amp;M Comp.'!$AM5</f>
        <v>1908118.4196743243</v>
      </c>
      <c r="H5" s="4">
        <f>$E5*'Central Office and O&amp;M Comp.'!$AG5</f>
        <v>841385.32603932905</v>
      </c>
      <c r="I5" s="4">
        <f>$F5*'Central Office and O&amp;M Comp.'!$AG5</f>
        <v>619270.43484333891</v>
      </c>
      <c r="J5" s="4">
        <f>SUMIFS('School Level O &amp; M Resources'!$AR$5:$AR$359,'School Level O &amp; M Resources'!$A$5:$A$359,$A5)</f>
        <v>590744.63470000005</v>
      </c>
      <c r="K5" s="4">
        <f>SUM(G5:J5)</f>
        <v>3959518.8152569924</v>
      </c>
      <c r="L5" s="7"/>
    </row>
    <row r="6" spans="1:12" x14ac:dyDescent="0.2">
      <c r="A6" s="6" t="s">
        <v>16</v>
      </c>
      <c r="B6" s="6" t="s">
        <v>17</v>
      </c>
      <c r="C6" s="4">
        <v>7958234.4800000023</v>
      </c>
      <c r="D6" s="122">
        <f>SUMIFS('School Level O &amp; M Resources'!$AC$5:$AC$359,'School Level O &amp; M Resources'!$A$5:$A$359,$A6)</f>
        <v>8.6312841134801186</v>
      </c>
      <c r="E6" s="122">
        <f>SUMIFS('School Level O &amp; M Resources'!$AO$5:$AO$359,'School Level O &amp; M Resources'!$A$5:$A$359,$A6)</f>
        <v>4.3610372381729885</v>
      </c>
      <c r="F6" s="122">
        <f>IF('Site Level Groundskeepers'!$A$2=1,SUMIFS('Site Level Groundskeepers'!$O$5:$O$557,'Site Level Groundskeepers'!$A$5:$A$557,$A6),SUMIFS('Site Level Groundskeepers'!$O$5:$O$557,'Site Level Groundskeepers'!$A$5:$A$557,$A6)*1.1)</f>
        <v>6.4170260520418321</v>
      </c>
      <c r="G6" s="4">
        <f>$D6*'Central Office and O&amp;M Comp.'!$AM6</f>
        <v>488723.48029356584</v>
      </c>
      <c r="H6" s="4">
        <f>$E6*'Central Office and O&amp;M Comp.'!$AG6</f>
        <v>246932.12142108369</v>
      </c>
      <c r="I6" s="4">
        <f>$F6*'Central Office and O&amp;M Comp.'!$AG6</f>
        <v>363347.01349830482</v>
      </c>
      <c r="J6" s="4">
        <f>SUMIFS('School Level O &amp; M Resources'!$AR$5:$AR$359,'School Level O &amp; M Resources'!$A$5:$A$359,$A6)</f>
        <v>146256.17600000001</v>
      </c>
      <c r="K6" s="4">
        <f t="shared" ref="K6:K52" si="0">SUM(G6:J6)</f>
        <v>1245258.7912129543</v>
      </c>
      <c r="L6" s="7"/>
    </row>
    <row r="7" spans="1:12" x14ac:dyDescent="0.2">
      <c r="A7" s="6" t="s">
        <v>18</v>
      </c>
      <c r="B7" s="6" t="s">
        <v>19</v>
      </c>
      <c r="C7" s="4">
        <v>6269762.6000000015</v>
      </c>
      <c r="D7" s="122">
        <f>SUMIFS('School Level O &amp; M Resources'!$AC$5:$AC$359,'School Level O &amp; M Resources'!$A$5:$A$359,$A7)</f>
        <v>7.5978941439056111</v>
      </c>
      <c r="E7" s="122">
        <f>SUMIFS('School Level O &amp; M Resources'!$AO$5:$AO$359,'School Level O &amp; M Resources'!$A$5:$A$359,$A7)</f>
        <v>3.4907504529387472</v>
      </c>
      <c r="F7" s="122">
        <f>IF('Site Level Groundskeepers'!$A$2=1,SUMIFS('Site Level Groundskeepers'!$O$5:$O$557,'Site Level Groundskeepers'!$A$5:$A$557,$A7),SUMIFS('Site Level Groundskeepers'!$O$5:$O$557,'Site Level Groundskeepers'!$A$5:$A$557,$A7)*1.1)</f>
        <v>5.0801018426294826</v>
      </c>
      <c r="G7" s="4">
        <f>$D7*'Central Office and O&amp;M Comp.'!$AM7</f>
        <v>430210.52488729509</v>
      </c>
      <c r="H7" s="4">
        <f>$E7*'Central Office and O&amp;M Comp.'!$AG7</f>
        <v>197654.44953111443</v>
      </c>
      <c r="I7" s="4">
        <f>$F7*'Central Office and O&amp;M Comp.'!$AG7</f>
        <v>287647.23998577666</v>
      </c>
      <c r="J7" s="4">
        <f>SUMIFS('School Level O &amp; M Resources'!$AR$5:$AR$359,'School Level O &amp; M Resources'!$A$5:$A$359,$A7)</f>
        <v>135863.11254999999</v>
      </c>
      <c r="K7" s="4">
        <f t="shared" si="0"/>
        <v>1051375.3269541862</v>
      </c>
      <c r="L7" s="7"/>
    </row>
    <row r="8" spans="1:12" x14ac:dyDescent="0.2">
      <c r="A8" s="6" t="s">
        <v>20</v>
      </c>
      <c r="B8" s="6" t="s">
        <v>21</v>
      </c>
      <c r="C8" s="4">
        <v>5184454.41</v>
      </c>
      <c r="D8" s="122">
        <f>SUMIFS('School Level O &amp; M Resources'!$AC$5:$AC$359,'School Level O &amp; M Resources'!$A$5:$A$359,$A8)</f>
        <v>6.0360504529450019</v>
      </c>
      <c r="E8" s="122">
        <f>SUMIFS('School Level O &amp; M Resources'!$AO$5:$AO$359,'School Level O &amp; M Resources'!$A$5:$A$359,$A8)</f>
        <v>2.9205661300618795</v>
      </c>
      <c r="F8" s="122">
        <f>IF('Site Level Groundskeepers'!$A$2=1,SUMIFS('Site Level Groundskeepers'!$O$5:$O$557,'Site Level Groundskeepers'!$A$5:$A$557,$A8),SUMIFS('Site Level Groundskeepers'!$O$5:$O$557,'Site Level Groundskeepers'!$A$5:$A$557,$A8)*1.1)</f>
        <v>1.8289253097609566</v>
      </c>
      <c r="G8" s="4">
        <f>$D8*'Central Office and O&amp;M Comp.'!$AM8</f>
        <v>341775.28462811973</v>
      </c>
      <c r="H8" s="4">
        <f>$E8*'Central Office and O&amp;M Comp.'!$AG8</f>
        <v>165369.28048540949</v>
      </c>
      <c r="I8" s="4">
        <f>$F8*'Central Office and O&amp;M Comp.'!$AG8</f>
        <v>103558.02576205181</v>
      </c>
      <c r="J8" s="4">
        <f>SUMIFS('School Level O &amp; M Resources'!$AR$5:$AR$359,'School Level O &amp; M Resources'!$A$5:$A$359,$A8)</f>
        <v>108651.9302</v>
      </c>
      <c r="K8" s="4">
        <f t="shared" si="0"/>
        <v>719354.52107558097</v>
      </c>
      <c r="L8" s="7"/>
    </row>
    <row r="9" spans="1:12" x14ac:dyDescent="0.2">
      <c r="A9" s="6" t="s">
        <v>22</v>
      </c>
      <c r="B9" s="6" t="s">
        <v>23</v>
      </c>
      <c r="C9" s="4">
        <v>4416078.45</v>
      </c>
      <c r="D9" s="122">
        <f>SUMIFS('School Level O &amp; M Resources'!$AC$5:$AC$359,'School Level O &amp; M Resources'!$A$5:$A$359,$A9)</f>
        <v>3.5440347435432926</v>
      </c>
      <c r="E9" s="122">
        <f>SUMIFS('School Level O &amp; M Resources'!$AO$5:$AO$359,'School Level O &amp; M Resources'!$A$5:$A$359,$A9)</f>
        <v>2.3496720791717185</v>
      </c>
      <c r="F9" s="122">
        <f>IF('Site Level Groundskeepers'!$A$2=1,SUMIFS('Site Level Groundskeepers'!$O$5:$O$557,'Site Level Groundskeepers'!$A$5:$A$557,$A9),SUMIFS('Site Level Groundskeepers'!$O$5:$O$557,'Site Level Groundskeepers'!$A$5:$A$557,$A9)*1.1)</f>
        <v>0.7542587151394422</v>
      </c>
      <c r="G9" s="4">
        <f>$D9*'Central Office and O&amp;M Comp.'!$AM9</f>
        <v>200671.53060582458</v>
      </c>
      <c r="H9" s="4">
        <f>$E9*'Central Office and O&amp;M Comp.'!$AG9</f>
        <v>133043.92498075383</v>
      </c>
      <c r="I9" s="4">
        <f>$F9*'Central Office and O&amp;M Comp.'!$AG9</f>
        <v>42707.891370299585</v>
      </c>
      <c r="J9" s="4">
        <f>SUMIFS('School Level O &amp; M Resources'!$AR$5:$AR$359,'School Level O &amp; M Resources'!$A$5:$A$359,$A9)</f>
        <v>63585.854200000002</v>
      </c>
      <c r="K9" s="4">
        <f t="shared" si="0"/>
        <v>440009.20115687797</v>
      </c>
      <c r="L9" s="7"/>
    </row>
    <row r="10" spans="1:12" x14ac:dyDescent="0.2">
      <c r="A10" s="6" t="s">
        <v>24</v>
      </c>
      <c r="B10" s="6" t="s">
        <v>25</v>
      </c>
      <c r="C10" s="4">
        <v>60606522.549999997</v>
      </c>
      <c r="D10" s="122">
        <f>SUMIFS('School Level O &amp; M Resources'!$AC$5:$AC$359,'School Level O &amp; M Resources'!$A$5:$A$359,$A10)</f>
        <v>69.271367741499432</v>
      </c>
      <c r="E10" s="122">
        <f>SUMIFS('School Level O &amp; M Resources'!$AO$5:$AO$359,'School Level O &amp; M Resources'!$A$5:$A$359,$A10)</f>
        <v>25.606023474289394</v>
      </c>
      <c r="F10" s="122">
        <f>IF('Site Level Groundskeepers'!$A$2=1,SUMIFS('Site Level Groundskeepers'!$O$5:$O$557,'Site Level Groundskeepers'!$A$5:$A$557,$A10),SUMIFS('Site Level Groundskeepers'!$O$5:$O$557,'Site Level Groundskeepers'!$A$5:$A$557,$A10)*1.1)</f>
        <v>28.744454218625503</v>
      </c>
      <c r="G10" s="4">
        <f>$D10*'Central Office and O&amp;M Comp.'!$AM10</f>
        <v>4672591.0933667021</v>
      </c>
      <c r="H10" s="4">
        <f>$E10*'Central Office and O&amp;M Comp.'!$AG10</f>
        <v>1727214.0153055605</v>
      </c>
      <c r="I10" s="4">
        <f>$F10*'Central Office and O&amp;M Comp.'!$AG10</f>
        <v>1938911.921976859</v>
      </c>
      <c r="J10" s="4">
        <f>SUMIFS('School Level O &amp; M Resources'!$AR$5:$AR$359,'School Level O &amp; M Resources'!$A$5:$A$359,$A10)</f>
        <v>1244831.0292</v>
      </c>
      <c r="K10" s="4">
        <f t="shared" si="0"/>
        <v>9583548.0598491225</v>
      </c>
      <c r="L10" s="7"/>
    </row>
    <row r="11" spans="1:12" x14ac:dyDescent="0.2">
      <c r="A11" s="6" t="s">
        <v>26</v>
      </c>
      <c r="B11" s="6" t="s">
        <v>27</v>
      </c>
      <c r="C11" s="4">
        <v>15408440.630000003</v>
      </c>
      <c r="D11" s="122">
        <f>SUMIFS('School Level O &amp; M Resources'!$AC$5:$AC$359,'School Level O &amp; M Resources'!$A$5:$A$359,$A11)</f>
        <v>15.387251035813822</v>
      </c>
      <c r="E11" s="122">
        <f>SUMIFS('School Level O &amp; M Resources'!$AO$5:$AO$359,'School Level O &amp; M Resources'!$A$5:$A$359,$A11)</f>
        <v>6.4599290435457384</v>
      </c>
      <c r="F11" s="122">
        <f>IF('Site Level Groundskeepers'!$A$2=1,SUMIFS('Site Level Groundskeepers'!$O$5:$O$557,'Site Level Groundskeepers'!$A$5:$A$557,$A11),SUMIFS('Site Level Groundskeepers'!$O$5:$O$557,'Site Level Groundskeepers'!$A$5:$A$557,$A11)*1.1)</f>
        <v>6.698309191235059</v>
      </c>
      <c r="G11" s="4">
        <f>$D11*'Central Office and O&amp;M Comp.'!$AM11</f>
        <v>917927.10971871449</v>
      </c>
      <c r="H11" s="4">
        <f>$E11*'Central Office and O&amp;M Comp.'!$AG11</f>
        <v>385367.33963255957</v>
      </c>
      <c r="I11" s="4">
        <f>$F11*'Central Office and O&amp;M Comp.'!$AG11</f>
        <v>399587.91740005586</v>
      </c>
      <c r="J11" s="4">
        <f>SUMIFS('School Level O &amp; M Resources'!$AR$5:$AR$359,'School Level O &amp; M Resources'!$A$5:$A$359,$A11)</f>
        <v>259493.02005000002</v>
      </c>
      <c r="K11" s="4">
        <f t="shared" si="0"/>
        <v>1962375.3868013297</v>
      </c>
      <c r="L11" s="7"/>
    </row>
    <row r="12" spans="1:12" x14ac:dyDescent="0.2">
      <c r="A12" s="6" t="s">
        <v>28</v>
      </c>
      <c r="B12" s="6" t="s">
        <v>29</v>
      </c>
      <c r="C12" s="4">
        <v>10080412.460000001</v>
      </c>
      <c r="D12" s="122">
        <f>SUMIFS('School Level O &amp; M Resources'!$AC$5:$AC$359,'School Level O &amp; M Resources'!$A$5:$A$359,$A12)</f>
        <v>9.5335305732534366</v>
      </c>
      <c r="E12" s="122">
        <f>SUMIFS('School Level O &amp; M Resources'!$AO$5:$AO$359,'School Level O &amp; M Resources'!$A$5:$A$359,$A12)</f>
        <v>6.5433211800615645</v>
      </c>
      <c r="F12" s="122">
        <f>IF('Site Level Groundskeepers'!$A$2=1,SUMIFS('Site Level Groundskeepers'!$O$5:$O$557,'Site Level Groundskeepers'!$A$5:$A$557,$A12),SUMIFS('Site Level Groundskeepers'!$O$5:$O$557,'Site Level Groundskeepers'!$A$5:$A$557,$A12)*1.1)</f>
        <v>10.365516932270918</v>
      </c>
      <c r="G12" s="4">
        <f>$D12*'Central Office and O&amp;M Comp.'!$AM12</f>
        <v>568723.16856034752</v>
      </c>
      <c r="H12" s="4">
        <f>$E12*'Central Office and O&amp;M Comp.'!$AG12</f>
        <v>390342.10105466645</v>
      </c>
      <c r="I12" s="4">
        <f>$F12*'Central Office and O&amp;M Comp.'!$AG12</f>
        <v>618355.34990845155</v>
      </c>
      <c r="J12" s="4">
        <f>SUMIFS('School Level O &amp; M Resources'!$AR$5:$AR$359,'School Level O &amp; M Resources'!$A$5:$A$359,$A12)</f>
        <v>186327.49244999999</v>
      </c>
      <c r="K12" s="4">
        <f t="shared" si="0"/>
        <v>1763748.1119734657</v>
      </c>
      <c r="L12" s="7"/>
    </row>
    <row r="13" spans="1:12" x14ac:dyDescent="0.2">
      <c r="A13" s="6" t="s">
        <v>30</v>
      </c>
      <c r="B13" s="6" t="s">
        <v>31</v>
      </c>
      <c r="C13" s="4">
        <v>13759424.189999999</v>
      </c>
      <c r="D13" s="122">
        <f>SUMIFS('School Level O &amp; M Resources'!$AC$5:$AC$359,'School Level O &amp; M Resources'!$A$5:$A$359,$A13)</f>
        <v>14.784111272389445</v>
      </c>
      <c r="E13" s="122">
        <f>SUMIFS('School Level O &amp; M Resources'!$AO$5:$AO$359,'School Level O &amp; M Resources'!$A$5:$A$359,$A13)</f>
        <v>6.9351048483016093</v>
      </c>
      <c r="F13" s="122">
        <f>IF('Site Level Groundskeepers'!$A$2=1,SUMIFS('Site Level Groundskeepers'!$O$5:$O$557,'Site Level Groundskeepers'!$A$5:$A$557,$A13),SUMIFS('Site Level Groundskeepers'!$O$5:$O$557,'Site Level Groundskeepers'!$A$5:$A$557,$A13)*1.1)</f>
        <v>14.044852589641435</v>
      </c>
      <c r="G13" s="4">
        <f>$D13*'Central Office and O&amp;M Comp.'!$AM13</f>
        <v>945997.99130206241</v>
      </c>
      <c r="H13" s="4">
        <f>$E13*'Central Office and O&amp;M Comp.'!$AG13</f>
        <v>443759.86727149255</v>
      </c>
      <c r="I13" s="4">
        <f>$F13*'Central Office and O&amp;M Comp.'!$AG13</f>
        <v>898694.69277790317</v>
      </c>
      <c r="J13" s="4">
        <f>SUMIFS('School Level O &amp; M Resources'!$AR$5:$AR$359,'School Level O &amp; M Resources'!$A$5:$A$359,$A13)</f>
        <v>259196.59865</v>
      </c>
      <c r="K13" s="4">
        <f t="shared" si="0"/>
        <v>2547649.1500014584</v>
      </c>
      <c r="L13" s="7"/>
    </row>
    <row r="14" spans="1:12" x14ac:dyDescent="0.2">
      <c r="A14" s="6" t="s">
        <v>32</v>
      </c>
      <c r="B14" s="6" t="s">
        <v>33</v>
      </c>
      <c r="C14" s="4">
        <v>7221861.3599999994</v>
      </c>
      <c r="D14" s="122">
        <f>SUMIFS('School Level O &amp; M Resources'!$AC$5:$AC$359,'School Level O &amp; M Resources'!$A$5:$A$359,$A14)</f>
        <v>7.1837763654775166</v>
      </c>
      <c r="E14" s="122">
        <f>SUMIFS('School Level O &amp; M Resources'!$AO$5:$AO$359,'School Level O &amp; M Resources'!$A$5:$A$359,$A14)</f>
        <v>3.627089179171139</v>
      </c>
      <c r="F14" s="122">
        <f>IF('Site Level Groundskeepers'!$A$2=1,SUMIFS('Site Level Groundskeepers'!$O$5:$O$557,'Site Level Groundskeepers'!$A$5:$A$557,$A14),SUMIFS('Site Level Groundskeepers'!$O$5:$O$557,'Site Level Groundskeepers'!$A$5:$A$557,$A14)*1.1)</f>
        <v>2.8103893700199207</v>
      </c>
      <c r="G14" s="4">
        <f>$D14*'Central Office and O&amp;M Comp.'!$AM14</f>
        <v>459671.73044731835</v>
      </c>
      <c r="H14" s="4">
        <f>$E14*'Central Office and O&amp;M Comp.'!$AG14</f>
        <v>232088.28820014567</v>
      </c>
      <c r="I14" s="4">
        <f>$F14*'Central Office and O&amp;M Comp.'!$AG14</f>
        <v>179829.72732224441</v>
      </c>
      <c r="J14" s="4">
        <f>SUMIFS('School Level O &amp; M Resources'!$AR$5:$AR$359,'School Level O &amp; M Resources'!$A$5:$A$359,$A14)</f>
        <v>125953.4474</v>
      </c>
      <c r="K14" s="4">
        <f t="shared" si="0"/>
        <v>997543.19336970849</v>
      </c>
      <c r="L14" s="7"/>
    </row>
    <row r="15" spans="1:12" x14ac:dyDescent="0.2">
      <c r="A15" s="6" t="s">
        <v>34</v>
      </c>
      <c r="B15" s="6" t="s">
        <v>35</v>
      </c>
      <c r="C15" s="4">
        <v>12161309.610000001</v>
      </c>
      <c r="D15" s="122">
        <f>SUMIFS('School Level O &amp; M Resources'!$AC$5:$AC$359,'School Level O &amp; M Resources'!$A$5:$A$359,$A15)</f>
        <v>13.903427779217761</v>
      </c>
      <c r="E15" s="122">
        <f>SUMIFS('School Level O &amp; M Resources'!$AO$5:$AO$359,'School Level O &amp; M Resources'!$A$5:$A$359,$A15)</f>
        <v>6.3256348459662295</v>
      </c>
      <c r="F15" s="122">
        <f>IF('Site Level Groundskeepers'!$A$2=1,SUMIFS('Site Level Groundskeepers'!$O$5:$O$557,'Site Level Groundskeepers'!$A$5:$A$557,$A15),SUMIFS('Site Level Groundskeepers'!$O$5:$O$557,'Site Level Groundskeepers'!$A$5:$A$557,$A15)*1.1)</f>
        <v>8.9550709661354571</v>
      </c>
      <c r="G15" s="4">
        <f>$D15*'Central Office and O&amp;M Comp.'!$AM15</f>
        <v>811338.85920883575</v>
      </c>
      <c r="H15" s="4">
        <f>$E15*'Central Office and O&amp;M Comp.'!$AG15</f>
        <v>369134.39197845437</v>
      </c>
      <c r="I15" s="4">
        <f>$F15*'Central Office and O&amp;M Comp.'!$AG15</f>
        <v>522575.95588469243</v>
      </c>
      <c r="J15" s="4">
        <f>SUMIFS('School Level O &amp; M Resources'!$AR$5:$AR$359,'School Level O &amp; M Resources'!$A$5:$A$359,$A15)</f>
        <v>252249.52609999999</v>
      </c>
      <c r="K15" s="4">
        <f t="shared" si="0"/>
        <v>1955298.7331719825</v>
      </c>
      <c r="L15" s="7"/>
    </row>
    <row r="16" spans="1:12" x14ac:dyDescent="0.2">
      <c r="A16" s="6" t="s">
        <v>36</v>
      </c>
      <c r="B16" s="6" t="s">
        <v>37</v>
      </c>
      <c r="C16" s="4">
        <v>16308972.9</v>
      </c>
      <c r="D16" s="122">
        <f>SUMIFS('School Level O &amp; M Resources'!$AC$5:$AC$359,'School Level O &amp; M Resources'!$A$5:$A$359,$A16)</f>
        <v>15.505532094946117</v>
      </c>
      <c r="E16" s="122">
        <f>SUMIFS('School Level O &amp; M Resources'!$AO$5:$AO$359,'School Level O &amp; M Resources'!$A$5:$A$359,$A16)</f>
        <v>7.0448000149034691</v>
      </c>
      <c r="F16" s="122">
        <f>IF('Site Level Groundskeepers'!$A$2=1,SUMIFS('Site Level Groundskeepers'!$O$5:$O$557,'Site Level Groundskeepers'!$A$5:$A$557,$A16),SUMIFS('Site Level Groundskeepers'!$O$5:$O$557,'Site Level Groundskeepers'!$A$5:$A$557,$A16)*1.1)</f>
        <v>14.783063247011954</v>
      </c>
      <c r="G16" s="4">
        <f>$D16*'Central Office and O&amp;M Comp.'!$AM16</f>
        <v>891394.81186523277</v>
      </c>
      <c r="H16" s="4">
        <f>$E16*'Central Office and O&amp;M Comp.'!$AG16</f>
        <v>404997.2710036746</v>
      </c>
      <c r="I16" s="4">
        <f>$F16*'Central Office and O&amp;M Comp.'!$AG16</f>
        <v>849860.92713046307</v>
      </c>
      <c r="J16" s="4">
        <f>SUMIFS('School Level O &amp; M Resources'!$AR$5:$AR$359,'School Level O &amp; M Resources'!$A$5:$A$359,$A16)</f>
        <v>316441.45225000003</v>
      </c>
      <c r="K16" s="4">
        <f t="shared" si="0"/>
        <v>2462694.4622493703</v>
      </c>
      <c r="L16" s="7"/>
    </row>
    <row r="17" spans="1:12" x14ac:dyDescent="0.2">
      <c r="A17" s="6" t="s">
        <v>38</v>
      </c>
      <c r="B17" s="6" t="s">
        <v>39</v>
      </c>
      <c r="C17" s="4">
        <v>3086129.3</v>
      </c>
      <c r="D17" s="122">
        <f>SUMIFS('School Level O &amp; M Resources'!$AC$5:$AC$359,'School Level O &amp; M Resources'!$A$5:$A$359,$A17)</f>
        <v>2.6231874691099963</v>
      </c>
      <c r="E17" s="122">
        <f>SUMIFS('School Level O &amp; M Resources'!$AO$5:$AO$359,'School Level O &amp; M Resources'!$A$5:$A$359,$A17)</f>
        <v>1.8274814425999999</v>
      </c>
      <c r="F17" s="122">
        <f>IF('Site Level Groundskeepers'!$A$2=1,SUMIFS('Site Level Groundskeepers'!$O$5:$O$557,'Site Level Groundskeepers'!$A$5:$A$557,$A17),SUMIFS('Site Level Groundskeepers'!$O$5:$O$557,'Site Level Groundskeepers'!$A$5:$A$557,$A17)*1.1)</f>
        <v>2.0518588147410362</v>
      </c>
      <c r="G17" s="4">
        <f>$D17*'Central Office and O&amp;M Comp.'!$AM17</f>
        <v>150803.96378507299</v>
      </c>
      <c r="H17" s="4">
        <f>$E17*'Central Office and O&amp;M Comp.'!$AG17</f>
        <v>105059.75975146257</v>
      </c>
      <c r="I17" s="4">
        <f>$F17*'Central Office and O&amp;M Comp.'!$AG17</f>
        <v>117958.95109825068</v>
      </c>
      <c r="J17" s="4">
        <f>SUMIFS('School Level O &amp; M Resources'!$AR$5:$AR$359,'School Level O &amp; M Resources'!$A$5:$A$359,$A17)</f>
        <v>47487.378949999998</v>
      </c>
      <c r="K17" s="4">
        <f t="shared" si="0"/>
        <v>421310.05358478625</v>
      </c>
      <c r="L17" s="7"/>
    </row>
    <row r="18" spans="1:12" x14ac:dyDescent="0.2">
      <c r="A18" s="6" t="s">
        <v>40</v>
      </c>
      <c r="B18" s="6" t="s">
        <v>41</v>
      </c>
      <c r="C18" s="4">
        <v>4624752.55</v>
      </c>
      <c r="D18" s="122">
        <f>SUMIFS('School Level O &amp; M Resources'!$AC$5:$AC$359,'School Level O &amp; M Resources'!$A$5:$A$359,$A18)</f>
        <v>4.7574441624860651</v>
      </c>
      <c r="E18" s="122">
        <f>SUMIFS('School Level O &amp; M Resources'!$AO$5:$AO$359,'School Level O &amp; M Resources'!$A$5:$A$359,$A18)</f>
        <v>2.8094345275580146</v>
      </c>
      <c r="F18" s="122">
        <f>IF('Site Level Groundskeepers'!$A$2=1,SUMIFS('Site Level Groundskeepers'!$O$5:$O$557,'Site Level Groundskeepers'!$A$5:$A$557,$A18),SUMIFS('Site Level Groundskeepers'!$O$5:$O$557,'Site Level Groundskeepers'!$A$5:$A$557,$A18)*1.1)</f>
        <v>5.2576494023904381</v>
      </c>
      <c r="G18" s="4">
        <f>$D18*'Central Office and O&amp;M Comp.'!$AM18</f>
        <v>273499.87205926667</v>
      </c>
      <c r="H18" s="4">
        <f>$E18*'Central Office and O&amp;M Comp.'!$AG18</f>
        <v>161511.08822357174</v>
      </c>
      <c r="I18" s="4">
        <f>$F18*'Central Office and O&amp;M Comp.'!$AG18</f>
        <v>302256.08326106687</v>
      </c>
      <c r="J18" s="4">
        <f>SUMIFS('School Level O &amp; M Resources'!$AR$5:$AR$359,'School Level O &amp; M Resources'!$A$5:$A$359,$A18)</f>
        <v>94673.43544999999</v>
      </c>
      <c r="K18" s="4">
        <f t="shared" si="0"/>
        <v>831940.47899390524</v>
      </c>
      <c r="L18" s="7"/>
    </row>
    <row r="19" spans="1:12" x14ac:dyDescent="0.2">
      <c r="A19" s="6" t="s">
        <v>42</v>
      </c>
      <c r="B19" s="6" t="s">
        <v>43</v>
      </c>
      <c r="C19" s="4">
        <v>10029943.779999997</v>
      </c>
      <c r="D19" s="122">
        <f>SUMIFS('School Level O &amp; M Resources'!$AC$5:$AC$359,'School Level O &amp; M Resources'!$A$5:$A$359,$A19)</f>
        <v>7.5453456958844294</v>
      </c>
      <c r="E19" s="122">
        <f>SUMIFS('School Level O &amp; M Resources'!$AO$5:$AO$359,'School Level O &amp; M Resources'!$A$5:$A$359,$A19)</f>
        <v>3.4578991541374302</v>
      </c>
      <c r="F19" s="122">
        <f>IF('Site Level Groundskeepers'!$A$2=1,SUMIFS('Site Level Groundskeepers'!$O$5:$O$557,'Site Level Groundskeepers'!$A$5:$A$557,$A19),SUMIFS('Site Level Groundskeepers'!$O$5:$O$557,'Site Level Groundskeepers'!$A$5:$A$557,$A19)*1.1)</f>
        <v>10.181346364541833</v>
      </c>
      <c r="G19" s="4">
        <f>$D19*'Central Office and O&amp;M Comp.'!$AM19</f>
        <v>433773.05376274593</v>
      </c>
      <c r="H19" s="4">
        <f>$E19*'Central Office and O&amp;M Comp.'!$AG19</f>
        <v>198790.557271875</v>
      </c>
      <c r="I19" s="4">
        <f>$F19*'Central Office and O&amp;M Comp.'!$AG19</f>
        <v>585313.63332662708</v>
      </c>
      <c r="J19" s="4">
        <f>SUMIFS('School Level O &amp; M Resources'!$AR$5:$AR$359,'School Level O &amp; M Resources'!$A$5:$A$359,$A19)</f>
        <v>136132.70715</v>
      </c>
      <c r="K19" s="4">
        <f t="shared" si="0"/>
        <v>1354009.9515112478</v>
      </c>
      <c r="L19" s="7"/>
    </row>
    <row r="20" spans="1:12" x14ac:dyDescent="0.2">
      <c r="A20" s="6" t="s">
        <v>44</v>
      </c>
      <c r="B20" s="6" t="s">
        <v>45</v>
      </c>
      <c r="C20" s="4">
        <v>5997468.1899999985</v>
      </c>
      <c r="D20" s="122">
        <f>SUMIFS('School Level O &amp; M Resources'!$AC$5:$AC$359,'School Level O &amp; M Resources'!$A$5:$A$359,$A20)</f>
        <v>6.829315550678186</v>
      </c>
      <c r="E20" s="122">
        <f>SUMIFS('School Level O &amp; M Resources'!$AO$5:$AO$359,'School Level O &amp; M Resources'!$A$5:$A$359,$A20)</f>
        <v>2.7632095634877825</v>
      </c>
      <c r="F20" s="122">
        <f>IF('Site Level Groundskeepers'!$A$2=1,SUMIFS('Site Level Groundskeepers'!$O$5:$O$557,'Site Level Groundskeepers'!$A$5:$A$557,$A20),SUMIFS('Site Level Groundskeepers'!$O$5:$O$557,'Site Level Groundskeepers'!$A$5:$A$557,$A20)*1.1)</f>
        <v>4.7367243525896416</v>
      </c>
      <c r="G20" s="4">
        <f>$D20*'Central Office and O&amp;M Comp.'!$AM20</f>
        <v>392609.32247847796</v>
      </c>
      <c r="H20" s="4">
        <f>$E20*'Central Office and O&amp;M Comp.'!$AG20</f>
        <v>158853.6693811515</v>
      </c>
      <c r="I20" s="4">
        <f>$F20*'Central Office and O&amp;M Comp.'!$AG20</f>
        <v>272308.7145464893</v>
      </c>
      <c r="J20" s="4">
        <f>SUMIFS('School Level O &amp; M Resources'!$AR$5:$AR$359,'School Level O &amp; M Resources'!$A$5:$A$359,$A20)</f>
        <v>133035.13300000003</v>
      </c>
      <c r="K20" s="4">
        <f t="shared" si="0"/>
        <v>956806.83940611884</v>
      </c>
      <c r="L20" s="7"/>
    </row>
    <row r="21" spans="1:12" x14ac:dyDescent="0.2">
      <c r="A21" s="6" t="s">
        <v>46</v>
      </c>
      <c r="B21" s="6" t="s">
        <v>47</v>
      </c>
      <c r="C21" s="4">
        <v>3610727.43</v>
      </c>
      <c r="D21" s="122">
        <f>SUMIFS('School Level O &amp; M Resources'!$AC$5:$AC$359,'School Level O &amp; M Resources'!$A$5:$A$359,$A21)</f>
        <v>5.1838626002879975</v>
      </c>
      <c r="E21" s="122">
        <f>SUMIFS('School Level O &amp; M Resources'!$AO$5:$AO$359,'School Level O &amp; M Resources'!$A$5:$A$359,$A21)</f>
        <v>2.9194907973660005</v>
      </c>
      <c r="F21" s="122">
        <f>IF('Site Level Groundskeepers'!$A$2=1,SUMIFS('Site Level Groundskeepers'!$O$5:$O$557,'Site Level Groundskeepers'!$A$5:$A$557,$A21),SUMIFS('Site Level Groundskeepers'!$O$5:$O$557,'Site Level Groundskeepers'!$A$5:$A$557,$A21)*1.1)</f>
        <v>3.0421526182768925</v>
      </c>
      <c r="G21" s="4">
        <f>$D21*'Central Office and O&amp;M Comp.'!$AM21</f>
        <v>298014.16675181786</v>
      </c>
      <c r="H21" s="4">
        <f>$E21*'Central Office and O&amp;M Comp.'!$AG21</f>
        <v>167838.09379289721</v>
      </c>
      <c r="I21" s="4">
        <f>$F21*'Central Office and O&amp;M Comp.'!$AG21</f>
        <v>174889.77767606752</v>
      </c>
      <c r="J21" s="4">
        <f>SUMIFS('School Level O &amp; M Resources'!$AR$5:$AR$359,'School Level O &amp; M Resources'!$A$5:$A$359,$A21)</f>
        <v>109541.04700000001</v>
      </c>
      <c r="K21" s="4">
        <f t="shared" si="0"/>
        <v>750283.08522078267</v>
      </c>
      <c r="L21" s="7"/>
    </row>
    <row r="22" spans="1:12" x14ac:dyDescent="0.2">
      <c r="A22" s="6" t="s">
        <v>48</v>
      </c>
      <c r="B22" s="6" t="s">
        <v>49</v>
      </c>
      <c r="C22" s="4">
        <v>20188521.479999993</v>
      </c>
      <c r="D22" s="122">
        <f>SUMIFS('School Level O &amp; M Resources'!$AC$5:$AC$359,'School Level O &amp; M Resources'!$A$5:$A$359,$A22)</f>
        <v>20.655160553790413</v>
      </c>
      <c r="E22" s="122">
        <f>SUMIFS('School Level O &amp; M Resources'!$AO$5:$AO$359,'School Level O &amp; M Resources'!$A$5:$A$359,$A22)</f>
        <v>8.4400214143251251</v>
      </c>
      <c r="F22" s="122">
        <f>IF('Site Level Groundskeepers'!$A$2=1,SUMIFS('Site Level Groundskeepers'!$O$5:$O$557,'Site Level Groundskeepers'!$A$5:$A$557,$A22),SUMIFS('Site Level Groundskeepers'!$O$5:$O$557,'Site Level Groundskeepers'!$A$5:$A$557,$A22)*1.1)</f>
        <v>12.094725215139443</v>
      </c>
      <c r="G22" s="4">
        <f>$D22*'Central Office and O&amp;M Comp.'!$AM22</f>
        <v>1187440.898071042</v>
      </c>
      <c r="H22" s="4">
        <f>$E22*'Central Office and O&amp;M Comp.'!$AG22</f>
        <v>485206.90903687594</v>
      </c>
      <c r="I22" s="4">
        <f>$F22*'Central Office and O&amp;M Comp.'!$AG22</f>
        <v>695311.5340830473</v>
      </c>
      <c r="J22" s="4">
        <f>SUMIFS('School Level O &amp; M Resources'!$AR$5:$AR$359,'School Level O &amp; M Resources'!$A$5:$A$359,$A22)</f>
        <v>386153.13990000001</v>
      </c>
      <c r="K22" s="4">
        <f t="shared" si="0"/>
        <v>2754112.4810909652</v>
      </c>
      <c r="L22" s="7"/>
    </row>
    <row r="23" spans="1:12" x14ac:dyDescent="0.2">
      <c r="A23" s="6" t="s">
        <v>50</v>
      </c>
      <c r="B23" s="6" t="s">
        <v>51</v>
      </c>
      <c r="C23" s="4">
        <v>6746860.9199999999</v>
      </c>
      <c r="D23" s="122">
        <f>SUMIFS('School Level O &amp; M Resources'!$AC$5:$AC$359,'School Level O &amp; M Resources'!$A$5:$A$359,$A23)</f>
        <v>4.1287221595131927</v>
      </c>
      <c r="E23" s="122">
        <f>SUMIFS('School Level O &amp; M Resources'!$AO$5:$AO$359,'School Level O &amp; M Resources'!$A$5:$A$359,$A23)</f>
        <v>2.1278883641507029</v>
      </c>
      <c r="F23" s="122">
        <f>IF('Site Level Groundskeepers'!$A$2=1,SUMIFS('Site Level Groundskeepers'!$O$5:$O$557,'Site Level Groundskeepers'!$A$5:$A$557,$A23),SUMIFS('Site Level Groundskeepers'!$O$5:$O$557,'Site Level Groundskeepers'!$A$5:$A$557,$A23)*1.1)</f>
        <v>3.9215849103585656</v>
      </c>
      <c r="G23" s="4">
        <f>$D23*'Central Office and O&amp;M Comp.'!$AM23</f>
        <v>237355.38323271385</v>
      </c>
      <c r="H23" s="4">
        <f>$E23*'Central Office and O&amp;M Comp.'!$AG23</f>
        <v>122329.80051362277</v>
      </c>
      <c r="I23" s="4">
        <f>$F23*'Central Office and O&amp;M Comp.'!$AG23</f>
        <v>225447.30628895952</v>
      </c>
      <c r="J23" s="4">
        <f>SUMIFS('School Level O &amp; M Resources'!$AR$5:$AR$359,'School Level O &amp; M Resources'!$A$5:$A$359,$A23)</f>
        <v>78159.587000000014</v>
      </c>
      <c r="K23" s="4">
        <f t="shared" si="0"/>
        <v>663292.07703529624</v>
      </c>
      <c r="L23" s="7"/>
    </row>
    <row r="24" spans="1:12" x14ac:dyDescent="0.2">
      <c r="A24" s="6" t="s">
        <v>52</v>
      </c>
      <c r="B24" s="6" t="s">
        <v>53</v>
      </c>
      <c r="C24" s="4">
        <v>16306459.910000002</v>
      </c>
      <c r="D24" s="122">
        <f>SUMIFS('School Level O &amp; M Resources'!$AC$5:$AC$359,'School Level O &amp; M Resources'!$A$5:$A$359,$A24)</f>
        <v>17.664356573392791</v>
      </c>
      <c r="E24" s="122">
        <f>SUMIFS('School Level O &amp; M Resources'!$AO$5:$AO$359,'School Level O &amp; M Resources'!$A$5:$A$359,$A24)</f>
        <v>8.3150938315382668</v>
      </c>
      <c r="F24" s="122">
        <f>IF('Site Level Groundskeepers'!$A$2=1,SUMIFS('Site Level Groundskeepers'!$O$5:$O$557,'Site Level Groundskeepers'!$A$5:$A$557,$A24),SUMIFS('Site Level Groundskeepers'!$O$5:$O$557,'Site Level Groundskeepers'!$A$5:$A$557,$A24)*1.1)</f>
        <v>8.8286517542330696</v>
      </c>
      <c r="G24" s="4">
        <f>$D24*'Central Office and O&amp;M Comp.'!$AM24</f>
        <v>992544.18717459659</v>
      </c>
      <c r="H24" s="4">
        <f>$E24*'Central Office and O&amp;M Comp.'!$AG24</f>
        <v>467217.58667032386</v>
      </c>
      <c r="I24" s="4">
        <f>$F24*'Central Office and O&amp;M Comp.'!$AG24</f>
        <v>496073.94092417619</v>
      </c>
      <c r="J24" s="4">
        <f>SUMIFS('School Level O &amp; M Resources'!$AR$5:$AR$359,'School Level O &amp; M Resources'!$A$5:$A$359,$A24)</f>
        <v>317743.03110000002</v>
      </c>
      <c r="K24" s="4">
        <f t="shared" si="0"/>
        <v>2273578.7458690968</v>
      </c>
      <c r="L24" s="7"/>
    </row>
    <row r="25" spans="1:12" x14ac:dyDescent="0.2">
      <c r="A25" s="6" t="s">
        <v>54</v>
      </c>
      <c r="B25" s="6" t="s">
        <v>55</v>
      </c>
      <c r="C25" s="4">
        <v>7452789.5500000007</v>
      </c>
      <c r="D25" s="122">
        <f>SUMIFS('School Level O &amp; M Resources'!$AC$5:$AC$359,'School Level O &amp; M Resources'!$A$5:$A$359,$A25)</f>
        <v>9.1883655107302129</v>
      </c>
      <c r="E25" s="122">
        <f>SUMIFS('School Level O &amp; M Resources'!$AO$5:$AO$359,'School Level O &amp; M Resources'!$A$5:$A$359,$A25)</f>
        <v>4.4228640135009218</v>
      </c>
      <c r="F25" s="122">
        <f>IF('Site Level Groundskeepers'!$A$2=1,SUMIFS('Site Level Groundskeepers'!$O$5:$O$557,'Site Level Groundskeepers'!$A$5:$A$557,$A25),SUMIFS('Site Level Groundskeepers'!$O$5:$O$557,'Site Level Groundskeepers'!$A$5:$A$557,$A25)*1.1)</f>
        <v>3.5815189243027894</v>
      </c>
      <c r="G25" s="4">
        <f>$D25*'Central Office and O&amp;M Comp.'!$AM25</f>
        <v>524247.53122616629</v>
      </c>
      <c r="H25" s="4">
        <f>$E25*'Central Office and O&amp;M Comp.'!$AG25</f>
        <v>252349.0752864753</v>
      </c>
      <c r="I25" s="4">
        <f>$F25*'Central Office and O&amp;M Comp.'!$AG25</f>
        <v>204345.64253161891</v>
      </c>
      <c r="J25" s="4">
        <f>SUMIFS('School Level O &amp; M Resources'!$AR$5:$AR$359,'School Level O &amp; M Resources'!$A$5:$A$359,$A25)</f>
        <v>194763.01020000002</v>
      </c>
      <c r="K25" s="4">
        <f t="shared" si="0"/>
        <v>1175705.2592442604</v>
      </c>
      <c r="L25" s="7"/>
    </row>
    <row r="26" spans="1:12" x14ac:dyDescent="0.2">
      <c r="A26" s="6" t="s">
        <v>56</v>
      </c>
      <c r="B26" s="6" t="s">
        <v>57</v>
      </c>
      <c r="C26" s="4">
        <v>11761951.219999999</v>
      </c>
      <c r="D26" s="122">
        <f>SUMIFS('School Level O &amp; M Resources'!$AC$5:$AC$359,'School Level O &amp; M Resources'!$A$5:$A$359,$A26)</f>
        <v>14.521068025594573</v>
      </c>
      <c r="E26" s="122">
        <f>SUMIFS('School Level O &amp; M Resources'!$AO$5:$AO$359,'School Level O &amp; M Resources'!$A$5:$A$359,$A26)</f>
        <v>6.1377026629699767</v>
      </c>
      <c r="F26" s="122">
        <f>IF('Site Level Groundskeepers'!$A$2=1,SUMIFS('Site Level Groundskeepers'!$O$5:$O$557,'Site Level Groundskeepers'!$A$5:$A$557,$A26),SUMIFS('Site Level Groundskeepers'!$O$5:$O$557,'Site Level Groundskeepers'!$A$5:$A$557,$A26)*1.1)</f>
        <v>22.864783625498013</v>
      </c>
      <c r="G26" s="4">
        <f>$D26*'Central Office and O&amp;M Comp.'!$AM26</f>
        <v>834799.12985224801</v>
      </c>
      <c r="H26" s="4">
        <f>$E26*'Central Office and O&amp;M Comp.'!$AG26</f>
        <v>352849.31062289182</v>
      </c>
      <c r="I26" s="4">
        <f>$F26*'Central Office and O&amp;M Comp.'!$AG26</f>
        <v>1314469.5308349484</v>
      </c>
      <c r="J26" s="4">
        <f>SUMIFS('School Level O &amp; M Resources'!$AR$5:$AR$359,'School Level O &amp; M Resources'!$A$5:$A$359,$A26)</f>
        <v>283992.2635</v>
      </c>
      <c r="K26" s="4">
        <f t="shared" si="0"/>
        <v>2786110.2348100883</v>
      </c>
      <c r="L26" s="7"/>
    </row>
    <row r="27" spans="1:12" x14ac:dyDescent="0.2">
      <c r="A27" s="6" t="s">
        <v>58</v>
      </c>
      <c r="B27" s="6" t="s">
        <v>59</v>
      </c>
      <c r="C27" s="4">
        <v>103951852.07000002</v>
      </c>
      <c r="D27" s="122">
        <f>SUMIFS('School Level O &amp; M Resources'!$AC$5:$AC$359,'School Level O &amp; M Resources'!$A$5:$A$359,$A27)</f>
        <v>101.25518422124674</v>
      </c>
      <c r="E27" s="122">
        <f>SUMIFS('School Level O &amp; M Resources'!$AO$5:$AO$359,'School Level O &amp; M Resources'!$A$5:$A$359,$A27)</f>
        <v>38.543714000564975</v>
      </c>
      <c r="F27" s="122">
        <f>IF('Site Level Groundskeepers'!$A$2=1,SUMIFS('Site Level Groundskeepers'!$O$5:$O$557,'Site Level Groundskeepers'!$A$5:$A$557,$A27),SUMIFS('Site Level Groundskeepers'!$O$5:$O$557,'Site Level Groundskeepers'!$A$5:$A$557,$A27)*1.1)</f>
        <v>38.661130155627497</v>
      </c>
      <c r="G27" s="4">
        <f>$D27*'Central Office and O&amp;M Comp.'!$AM27</f>
        <v>6084250.4428271493</v>
      </c>
      <c r="H27" s="4">
        <f>$E27*'Central Office and O&amp;M Comp.'!$AG27</f>
        <v>2316025.7006073617</v>
      </c>
      <c r="I27" s="4">
        <f>$F27*'Central Office and O&amp;M Comp.'!$AG27</f>
        <v>2323081.0360840447</v>
      </c>
      <c r="J27" s="4">
        <f>SUMIFS('School Level O &amp; M Resources'!$AR$5:$AR$359,'School Level O &amp; M Resources'!$A$5:$A$359,$A27)</f>
        <v>1738796.4351999999</v>
      </c>
      <c r="K27" s="4">
        <f t="shared" si="0"/>
        <v>12462153.614718556</v>
      </c>
      <c r="L27" s="7"/>
    </row>
    <row r="28" spans="1:12" x14ac:dyDescent="0.2">
      <c r="A28" s="6" t="s">
        <v>60</v>
      </c>
      <c r="B28" s="6" t="s">
        <v>61</v>
      </c>
      <c r="C28" s="4">
        <v>10092882.539999999</v>
      </c>
      <c r="D28" s="122">
        <f>SUMIFS('School Level O &amp; M Resources'!$AC$5:$AC$359,'School Level O &amp; M Resources'!$A$5:$A$359,$A28)</f>
        <v>10.420291923309179</v>
      </c>
      <c r="E28" s="122">
        <f>SUMIFS('School Level O &amp; M Resources'!$AO$5:$AO$359,'School Level O &amp; M Resources'!$A$5:$A$359,$A28)</f>
        <v>5.1646038478963083</v>
      </c>
      <c r="F28" s="122">
        <f>IF('Site Level Groundskeepers'!$A$2=1,SUMIFS('Site Level Groundskeepers'!$O$5:$O$557,'Site Level Groundskeepers'!$A$5:$A$557,$A28),SUMIFS('Site Level Groundskeepers'!$O$5:$O$557,'Site Level Groundskeepers'!$A$5:$A$557,$A28)*1.1)</f>
        <v>5.0877565114541845</v>
      </c>
      <c r="G28" s="4">
        <f>$D28*'Central Office and O&amp;M Comp.'!$AM28</f>
        <v>626137.4786524626</v>
      </c>
      <c r="H28" s="4">
        <f>$E28*'Central Office and O&amp;M Comp.'!$AG28</f>
        <v>310332.19178121223</v>
      </c>
      <c r="I28" s="4">
        <f>$F28*'Central Office and O&amp;M Comp.'!$AG28</f>
        <v>305714.56707020046</v>
      </c>
      <c r="J28" s="4">
        <f>SUMIFS('School Level O &amp; M Resources'!$AR$5:$AR$359,'School Level O &amp; M Resources'!$A$5:$A$359,$A28)</f>
        <v>199762.70765</v>
      </c>
      <c r="K28" s="4">
        <f t="shared" si="0"/>
        <v>1441946.9451538753</v>
      </c>
      <c r="L28" s="7"/>
    </row>
    <row r="29" spans="1:12" x14ac:dyDescent="0.2">
      <c r="A29" s="6" t="s">
        <v>62</v>
      </c>
      <c r="B29" s="6" t="s">
        <v>63</v>
      </c>
      <c r="C29" s="4">
        <v>7383118.8600000013</v>
      </c>
      <c r="D29" s="122">
        <f>SUMIFS('School Level O &amp; M Resources'!$AC$5:$AC$359,'School Level O &amp; M Resources'!$A$5:$A$359,$A29)</f>
        <v>6.182201142465626</v>
      </c>
      <c r="E29" s="122">
        <f>SUMIFS('School Level O &amp; M Resources'!$AO$5:$AO$359,'School Level O &amp; M Resources'!$A$5:$A$359,$A29)</f>
        <v>4.1258374267520761</v>
      </c>
      <c r="F29" s="122">
        <f>IF('Site Level Groundskeepers'!$A$2=1,SUMIFS('Site Level Groundskeepers'!$O$5:$O$557,'Site Level Groundskeepers'!$A$5:$A$557,$A29),SUMIFS('Site Level Groundskeepers'!$O$5:$O$557,'Site Level Groundskeepers'!$A$5:$A$557,$A29)*1.1)</f>
        <v>5.8842878486055792</v>
      </c>
      <c r="G29" s="4">
        <f>$D29*'Central Office and O&amp;M Comp.'!$AM29</f>
        <v>374156.26760836592</v>
      </c>
      <c r="H29" s="4">
        <f>$E29*'Central Office and O&amp;M Comp.'!$AG29</f>
        <v>249701.99072765687</v>
      </c>
      <c r="I29" s="4">
        <f>$F29*'Central Office and O&amp;M Comp.'!$AG29</f>
        <v>356126.09946389595</v>
      </c>
      <c r="J29" s="4">
        <f>SUMIFS('School Level O &amp; M Resources'!$AR$5:$AR$359,'School Level O &amp; M Resources'!$A$5:$A$359,$A29)</f>
        <v>112384.94575</v>
      </c>
      <c r="K29" s="4">
        <f t="shared" si="0"/>
        <v>1092369.3035499186</v>
      </c>
      <c r="L29" s="7"/>
    </row>
    <row r="30" spans="1:12" x14ac:dyDescent="0.2">
      <c r="A30" s="6" t="s">
        <v>64</v>
      </c>
      <c r="B30" s="6" t="s">
        <v>65</v>
      </c>
      <c r="C30" s="4">
        <v>21352195.02</v>
      </c>
      <c r="D30" s="122">
        <f>SUMIFS('School Level O &amp; M Resources'!$AC$5:$AC$359,'School Level O &amp; M Resources'!$A$5:$A$359,$A30)</f>
        <v>23.569006986018209</v>
      </c>
      <c r="E30" s="122">
        <f>SUMIFS('School Level O &amp; M Resources'!$AO$5:$AO$359,'School Level O &amp; M Resources'!$A$5:$A$359,$A30)</f>
        <v>9.6567166449570649</v>
      </c>
      <c r="F30" s="122">
        <f>IF('Site Level Groundskeepers'!$A$2=1,SUMIFS('Site Level Groundskeepers'!$O$5:$O$557,'Site Level Groundskeepers'!$A$5:$A$557,$A30),SUMIFS('Site Level Groundskeepers'!$O$5:$O$557,'Site Level Groundskeepers'!$A$5:$A$557,$A30)*1.1)</f>
        <v>14.377905829183268</v>
      </c>
      <c r="G30" s="4">
        <f>$D30*'Central Office and O&amp;M Comp.'!$AM30</f>
        <v>1426432.3469758581</v>
      </c>
      <c r="H30" s="4">
        <f>$E30*'Central Office and O&amp;M Comp.'!$AG30</f>
        <v>584439.25941039633</v>
      </c>
      <c r="I30" s="4">
        <f>$F30*'Central Office and O&amp;M Comp.'!$AG30</f>
        <v>870172.84897434735</v>
      </c>
      <c r="J30" s="4">
        <f>SUMIFS('School Level O &amp; M Resources'!$AR$5:$AR$359,'School Level O &amp; M Resources'!$A$5:$A$359,$A30)</f>
        <v>425631.57669999998</v>
      </c>
      <c r="K30" s="4">
        <f t="shared" si="0"/>
        <v>3306676.0320606017</v>
      </c>
      <c r="L30" s="7"/>
    </row>
    <row r="31" spans="1:12" x14ac:dyDescent="0.2">
      <c r="A31" s="6" t="s">
        <v>66</v>
      </c>
      <c r="B31" s="6" t="s">
        <v>67</v>
      </c>
      <c r="C31" s="4">
        <v>90531635.030000046</v>
      </c>
      <c r="D31" s="122">
        <f>SUMIFS('School Level O &amp; M Resources'!$AC$5:$AC$359,'School Level O &amp; M Resources'!$A$5:$A$359,$A31)</f>
        <v>94.765430367707154</v>
      </c>
      <c r="E31" s="122">
        <f>SUMIFS('School Level O &amp; M Resources'!$AO$5:$AO$359,'School Level O &amp; M Resources'!$A$5:$A$359,$A31)</f>
        <v>35.929483557809142</v>
      </c>
      <c r="F31" s="122">
        <f>IF('Site Level Groundskeepers'!$A$2=1,SUMIFS('Site Level Groundskeepers'!$O$5:$O$557,'Site Level Groundskeepers'!$A$5:$A$557,$A31),SUMIFS('Site Level Groundskeepers'!$O$5:$O$557,'Site Level Groundskeepers'!$A$5:$A$557,$A31)*1.1)</f>
        <v>30.305506876494025</v>
      </c>
      <c r="G31" s="4">
        <f>$D31*'Central Office and O&amp;M Comp.'!$AM31</f>
        <v>5817461.795381885</v>
      </c>
      <c r="H31" s="4">
        <f>$E31*'Central Office and O&amp;M Comp.'!$AG31</f>
        <v>2205639.7265788461</v>
      </c>
      <c r="I31" s="4">
        <f>$F31*'Central Office and O&amp;M Comp.'!$AG31</f>
        <v>1860394.9537252821</v>
      </c>
      <c r="J31" s="4">
        <f>SUMIFS('School Level O &amp; M Resources'!$AR$5:$AR$359,'School Level O &amp; M Resources'!$A$5:$A$359,$A31)</f>
        <v>1756442.8315500005</v>
      </c>
      <c r="K31" s="4">
        <f t="shared" si="0"/>
        <v>11639939.307236014</v>
      </c>
      <c r="L31" s="7"/>
    </row>
    <row r="32" spans="1:12" x14ac:dyDescent="0.2">
      <c r="A32" s="6" t="s">
        <v>68</v>
      </c>
      <c r="B32" s="6" t="s">
        <v>69</v>
      </c>
      <c r="C32" s="4">
        <v>4750105.67</v>
      </c>
      <c r="D32" s="122">
        <f>SUMIFS('School Level O &amp; M Resources'!$AC$5:$AC$359,'School Level O &amp; M Resources'!$A$5:$A$359,$A32)</f>
        <v>6.5325758051374958</v>
      </c>
      <c r="E32" s="122">
        <f>SUMIFS('School Level O &amp; M Resources'!$AO$5:$AO$359,'School Level O &amp; M Resources'!$A$5:$A$359,$A32)</f>
        <v>3.2947226941175707</v>
      </c>
      <c r="F32" s="122">
        <f>IF('Site Level Groundskeepers'!$A$2=1,SUMIFS('Site Level Groundskeepers'!$O$5:$O$557,'Site Level Groundskeepers'!$A$5:$A$557,$A32),SUMIFS('Site Level Groundskeepers'!$O$5:$O$557,'Site Level Groundskeepers'!$A$5:$A$557,$A32)*1.1)</f>
        <v>3.2809362549800798</v>
      </c>
      <c r="G32" s="4">
        <f>$D32*'Central Office and O&amp;M Comp.'!$AM32</f>
        <v>355738.72868529649</v>
      </c>
      <c r="H32" s="4">
        <f>$E32*'Central Office and O&amp;M Comp.'!$AG32</f>
        <v>179417.81274917946</v>
      </c>
      <c r="I32" s="4">
        <f>$F32*'Central Office and O&amp;M Comp.'!$AG32</f>
        <v>178667.05677203319</v>
      </c>
      <c r="J32" s="4">
        <f>SUMIFS('School Level O &amp; M Resources'!$AR$5:$AR$359,'School Level O &amp; M Resources'!$A$5:$A$359,$A32)</f>
        <v>107971.42125000001</v>
      </c>
      <c r="K32" s="4">
        <f t="shared" si="0"/>
        <v>821795.01945650915</v>
      </c>
      <c r="L32" s="7"/>
    </row>
    <row r="33" spans="1:12" x14ac:dyDescent="0.2">
      <c r="A33" s="6" t="s">
        <v>70</v>
      </c>
      <c r="B33" s="6" t="s">
        <v>71</v>
      </c>
      <c r="C33" s="4">
        <v>13789863.340000002</v>
      </c>
      <c r="D33" s="122">
        <f>SUMIFS('School Level O &amp; M Resources'!$AC$5:$AC$359,'School Level O &amp; M Resources'!$A$5:$A$359,$A33)</f>
        <v>15.029458342391305</v>
      </c>
      <c r="E33" s="122">
        <f>SUMIFS('School Level O &amp; M Resources'!$AO$5:$AO$359,'School Level O &amp; M Resources'!$A$5:$A$359,$A33)</f>
        <v>6.5136266424477842</v>
      </c>
      <c r="F33" s="122">
        <f>IF('Site Level Groundskeepers'!$A$2=1,SUMIFS('Site Level Groundskeepers'!$O$5:$O$557,'Site Level Groundskeepers'!$A$5:$A$557,$A33),SUMIFS('Site Level Groundskeepers'!$O$5:$O$557,'Site Level Groundskeepers'!$A$5:$A$557,$A33)*1.1)</f>
        <v>6.4767082694223115</v>
      </c>
      <c r="G33" s="4">
        <f>$D33*'Central Office and O&amp;M Comp.'!$AM33</f>
        <v>896582.97149757342</v>
      </c>
      <c r="H33" s="4">
        <f>$E33*'Central Office and O&amp;M Comp.'!$AG33</f>
        <v>388570.67216052482</v>
      </c>
      <c r="I33" s="4">
        <f>$F33*'Central Office and O&amp;M Comp.'!$AG33</f>
        <v>386368.30506013019</v>
      </c>
      <c r="J33" s="4">
        <f>SUMIFS('School Level O &amp; M Resources'!$AR$5:$AR$359,'School Level O &amp; M Resources'!$A$5:$A$359,$A33)</f>
        <v>287122.63415000006</v>
      </c>
      <c r="K33" s="4">
        <f t="shared" si="0"/>
        <v>1958644.5828682284</v>
      </c>
      <c r="L33" s="7"/>
    </row>
    <row r="34" spans="1:12" x14ac:dyDescent="0.2">
      <c r="A34" s="6" t="s">
        <v>72</v>
      </c>
      <c r="B34" s="6" t="s">
        <v>73</v>
      </c>
      <c r="C34" s="4">
        <v>18085580.120000008</v>
      </c>
      <c r="D34" s="122">
        <f>SUMIFS('School Level O &amp; M Resources'!$AC$5:$AC$359,'School Level O &amp; M Resources'!$A$5:$A$359,$A34)</f>
        <v>16.729750984345969</v>
      </c>
      <c r="E34" s="122">
        <f>SUMIFS('School Level O &amp; M Resources'!$AO$5:$AO$359,'School Level O &amp; M Resources'!$A$5:$A$359,$A34)</f>
        <v>7.5110972351991574</v>
      </c>
      <c r="F34" s="122">
        <f>IF('Site Level Groundskeepers'!$A$2=1,SUMIFS('Site Level Groundskeepers'!$O$5:$O$557,'Site Level Groundskeepers'!$A$5:$A$557,$A34),SUMIFS('Site Level Groundskeepers'!$O$5:$O$557,'Site Level Groundskeepers'!$A$5:$A$557,$A34)*1.1)</f>
        <v>4.9937554800796828</v>
      </c>
      <c r="G34" s="4">
        <f>$D34*'Central Office and O&amp;M Comp.'!$AM34</f>
        <v>998014.00078752323</v>
      </c>
      <c r="H34" s="4">
        <f>$E34*'Central Office and O&amp;M Comp.'!$AG34</f>
        <v>448074.82245368697</v>
      </c>
      <c r="I34" s="4">
        <f>$F34*'Central Office and O&amp;M Comp.'!$AG34</f>
        <v>297902.69384716608</v>
      </c>
      <c r="J34" s="4">
        <f>SUMIFS('School Level O &amp; M Resources'!$AR$5:$AR$359,'School Level O &amp; M Resources'!$A$5:$A$359,$A34)</f>
        <v>298476.45080000005</v>
      </c>
      <c r="K34" s="4">
        <f t="shared" si="0"/>
        <v>2042467.9678883762</v>
      </c>
      <c r="L34" s="7"/>
    </row>
    <row r="35" spans="1:12" x14ac:dyDescent="0.2">
      <c r="A35" s="6" t="s">
        <v>74</v>
      </c>
      <c r="B35" s="6" t="s">
        <v>75</v>
      </c>
      <c r="C35" s="4">
        <v>2084691.29</v>
      </c>
      <c r="D35" s="122">
        <f>SUMIFS('School Level O &amp; M Resources'!$AC$5:$AC$359,'School Level O &amp; M Resources'!$A$5:$A$359,$A35)</f>
        <v>2.3459956463675216</v>
      </c>
      <c r="E35" s="122">
        <f>SUMIFS('School Level O &amp; M Resources'!$AO$5:$AO$359,'School Level O &amp; M Resources'!$A$5:$A$359,$A35)</f>
        <v>1.6851100090439999</v>
      </c>
      <c r="F35" s="122">
        <f>IF('Site Level Groundskeepers'!$A$2=1,SUMIFS('Site Level Groundskeepers'!$O$5:$O$557,'Site Level Groundskeepers'!$A$5:$A$557,$A35),SUMIFS('Site Level Groundskeepers'!$O$5:$O$557,'Site Level Groundskeepers'!$A$5:$A$557,$A35)*1.1)</f>
        <v>0.95014691235059756</v>
      </c>
      <c r="G35" s="4">
        <f>$D35*'Central Office and O&amp;M Comp.'!$AM35</f>
        <v>139950.46925995196</v>
      </c>
      <c r="H35" s="4">
        <f>$E35*'Central Office and O&amp;M Comp.'!$AG35</f>
        <v>100525.30868311955</v>
      </c>
      <c r="I35" s="4">
        <f>$F35*'Central Office and O&amp;M Comp.'!$AG35</f>
        <v>56681.054142301284</v>
      </c>
      <c r="J35" s="4">
        <f>SUMIFS('School Level O &amp; M Resources'!$AR$5:$AR$359,'School Level O &amp; M Resources'!$A$5:$A$359,$A35)</f>
        <v>42844.500050000002</v>
      </c>
      <c r="K35" s="4">
        <f t="shared" si="0"/>
        <v>340001.3321353728</v>
      </c>
      <c r="L35" s="7"/>
    </row>
    <row r="36" spans="1:12" x14ac:dyDescent="0.2">
      <c r="A36" s="6" t="s">
        <v>76</v>
      </c>
      <c r="B36" s="6" t="s">
        <v>77</v>
      </c>
      <c r="C36" s="4">
        <v>12533456.120000003</v>
      </c>
      <c r="D36" s="122">
        <f>SUMIFS('School Level O &amp; M Resources'!$AC$5:$AC$359,'School Level O &amp; M Resources'!$A$5:$A$359,$A36)</f>
        <v>9.8326565312616108</v>
      </c>
      <c r="E36" s="122">
        <f>SUMIFS('School Level O &amp; M Resources'!$AO$5:$AO$359,'School Level O &amp; M Resources'!$A$5:$A$359,$A36)</f>
        <v>7.0553568915679188</v>
      </c>
      <c r="F36" s="122">
        <f>IF('Site Level Groundskeepers'!$A$2=1,SUMIFS('Site Level Groundskeepers'!$O$5:$O$557,'Site Level Groundskeepers'!$A$5:$A$557,$A36),SUMIFS('Site Level Groundskeepers'!$O$5:$O$557,'Site Level Groundskeepers'!$A$5:$A$557,$A36)*1.1)</f>
        <v>4.4661311728087654</v>
      </c>
      <c r="G36" s="4">
        <f>$D36*'Central Office and O&amp;M Comp.'!$AM36</f>
        <v>595087.4103951595</v>
      </c>
      <c r="H36" s="4">
        <f>$E36*'Central Office and O&amp;M Comp.'!$AG36</f>
        <v>427000.98886481556</v>
      </c>
      <c r="I36" s="4">
        <f>$F36*'Central Office and O&amp;M Comp.'!$AG36</f>
        <v>270297.08865167235</v>
      </c>
      <c r="J36" s="4">
        <f>SUMIFS('School Level O &amp; M Resources'!$AR$5:$AR$359,'School Level O &amp; M Resources'!$A$5:$A$359,$A36)</f>
        <v>215916.34735</v>
      </c>
      <c r="K36" s="4">
        <f t="shared" si="0"/>
        <v>1508301.8352616474</v>
      </c>
      <c r="L36" s="7"/>
    </row>
    <row r="37" spans="1:12" x14ac:dyDescent="0.2">
      <c r="A37" s="6" t="s">
        <v>78</v>
      </c>
      <c r="B37" s="6" t="s">
        <v>79</v>
      </c>
      <c r="C37" s="4">
        <v>3002920.91</v>
      </c>
      <c r="D37" s="122">
        <f>SUMIFS('School Level O &amp; M Resources'!$AC$5:$AC$359,'School Level O &amp; M Resources'!$A$5:$A$359,$A37)</f>
        <v>3.2555372840486809</v>
      </c>
      <c r="E37" s="122">
        <f>SUMIFS('School Level O &amp; M Resources'!$AO$5:$AO$359,'School Level O &amp; M Resources'!$A$5:$A$359,$A37)</f>
        <v>2.183932761626</v>
      </c>
      <c r="F37" s="122">
        <f>IF('Site Level Groundskeepers'!$A$2=1,SUMIFS('Site Level Groundskeepers'!$O$5:$O$557,'Site Level Groundskeepers'!$A$5:$A$557,$A37),SUMIFS('Site Level Groundskeepers'!$O$5:$O$557,'Site Level Groundskeepers'!$A$5:$A$557,$A37)*1.1)</f>
        <v>2.4530602589641437</v>
      </c>
      <c r="G37" s="4">
        <f>$D37*'Central Office and O&amp;M Comp.'!$AM37</f>
        <v>197030.09513755943</v>
      </c>
      <c r="H37" s="4">
        <f>$E37*'Central Office and O&amp;M Comp.'!$AG37</f>
        <v>132174.9506312118</v>
      </c>
      <c r="I37" s="4">
        <f>$F37*'Central Office and O&amp;M Comp.'!$AG37</f>
        <v>148462.95834793581</v>
      </c>
      <c r="J37" s="4">
        <f>SUMIFS('School Level O &amp; M Resources'!$AR$5:$AR$359,'School Level O &amp; M Resources'!$A$5:$A$359,$A37)</f>
        <v>60724.414849999994</v>
      </c>
      <c r="K37" s="4">
        <f t="shared" si="0"/>
        <v>538392.41896670696</v>
      </c>
      <c r="L37" s="7"/>
    </row>
    <row r="38" spans="1:12" x14ac:dyDescent="0.2">
      <c r="A38" s="6" t="s">
        <v>80</v>
      </c>
      <c r="B38" s="6" t="s">
        <v>81</v>
      </c>
      <c r="C38" s="4">
        <v>9454986.9200000018</v>
      </c>
      <c r="D38" s="122">
        <f>SUMIFS('School Level O &amp; M Resources'!$AC$5:$AC$359,'School Level O &amp; M Resources'!$A$5:$A$359,$A38)</f>
        <v>12.063493354422148</v>
      </c>
      <c r="E38" s="122">
        <f>SUMIFS('School Level O &amp; M Resources'!$AO$5:$AO$359,'School Level O &amp; M Resources'!$A$5:$A$359,$A38)</f>
        <v>6.7068868633102712</v>
      </c>
      <c r="F38" s="122">
        <f>IF('Site Level Groundskeepers'!$A$2=1,SUMIFS('Site Level Groundskeepers'!$O$5:$O$557,'Site Level Groundskeepers'!$A$5:$A$557,$A38),SUMIFS('Site Level Groundskeepers'!$O$5:$O$557,'Site Level Groundskeepers'!$A$5:$A$557,$A38)*1.1)</f>
        <v>8.7044104930278881</v>
      </c>
      <c r="G38" s="4">
        <f>$D38*'Central Office and O&amp;M Comp.'!$AM38</f>
        <v>714421.7742319511</v>
      </c>
      <c r="H38" s="4">
        <f>$E38*'Central Office and O&amp;M Comp.'!$AG38</f>
        <v>397193.90326539526</v>
      </c>
      <c r="I38" s="4">
        <f>$F38*'Central Office and O&amp;M Comp.'!$AG38</f>
        <v>515490.84542684472</v>
      </c>
      <c r="J38" s="4">
        <f>SUMIFS('School Level O &amp; M Resources'!$AR$5:$AR$359,'School Level O &amp; M Resources'!$A$5:$A$359,$A38)</f>
        <v>236978.8861</v>
      </c>
      <c r="K38" s="4">
        <f t="shared" si="0"/>
        <v>1864085.4090241911</v>
      </c>
      <c r="L38" s="7"/>
    </row>
    <row r="39" spans="1:12" x14ac:dyDescent="0.2">
      <c r="A39" s="6" t="s">
        <v>82</v>
      </c>
      <c r="B39" s="6" t="s">
        <v>83</v>
      </c>
      <c r="C39" s="4">
        <v>26577604.239999995</v>
      </c>
      <c r="D39" s="122">
        <f>SUMIFS('School Level O &amp; M Resources'!$AC$5:$AC$359,'School Level O &amp; M Resources'!$A$5:$A$359,$A39)</f>
        <v>28.939718806438126</v>
      </c>
      <c r="E39" s="122">
        <f>SUMIFS('School Level O &amp; M Resources'!$AO$5:$AO$359,'School Level O &amp; M Resources'!$A$5:$A$359,$A39)</f>
        <v>10.427093197186981</v>
      </c>
      <c r="F39" s="122">
        <f>IF('Site Level Groundskeepers'!$A$2=1,SUMIFS('Site Level Groundskeepers'!$O$5:$O$557,'Site Level Groundskeepers'!$A$5:$A$557,$A39),SUMIFS('Site Level Groundskeepers'!$O$5:$O$557,'Site Level Groundskeepers'!$A$5:$A$557,$A39)*1.1)</f>
        <v>10.625006384462154</v>
      </c>
      <c r="G39" s="4">
        <f>$D39*'Central Office and O&amp;M Comp.'!$AM39</f>
        <v>1713862.1996165263</v>
      </c>
      <c r="H39" s="4">
        <f>$E39*'Central Office and O&amp;M Comp.'!$AG39</f>
        <v>617511.21363908274</v>
      </c>
      <c r="I39" s="4">
        <f>$F39*'Central Office and O&amp;M Comp.'!$AG39</f>
        <v>629231.98856247577</v>
      </c>
      <c r="J39" s="4">
        <f>SUMIFS('School Level O &amp; M Resources'!$AR$5:$AR$359,'School Level O &amp; M Resources'!$A$5:$A$359,$A39)</f>
        <v>528499.75199999998</v>
      </c>
      <c r="K39" s="4">
        <f t="shared" si="0"/>
        <v>3489105.1538180849</v>
      </c>
      <c r="L39" s="7"/>
    </row>
    <row r="40" spans="1:12" x14ac:dyDescent="0.2">
      <c r="A40" s="6" t="s">
        <v>84</v>
      </c>
      <c r="B40" s="6" t="s">
        <v>85</v>
      </c>
      <c r="C40" s="4">
        <v>2269087.23</v>
      </c>
      <c r="D40" s="122">
        <f>SUMIFS('School Level O &amp; M Resources'!$AC$5:$AC$359,'School Level O &amp; M Resources'!$A$5:$A$359,$A40)</f>
        <v>1.9481441545893721</v>
      </c>
      <c r="E40" s="122">
        <f>SUMIFS('School Level O &amp; M Resources'!$AO$5:$AO$359,'School Level O &amp; M Resources'!$A$5:$A$359,$A40)</f>
        <v>1.7065912171759796</v>
      </c>
      <c r="F40" s="122">
        <f>IF('Site Level Groundskeepers'!$A$2=1,SUMIFS('Site Level Groundskeepers'!$O$5:$O$557,'Site Level Groundskeepers'!$A$5:$A$557,$A40),SUMIFS('Site Level Groundskeepers'!$O$5:$O$557,'Site Level Groundskeepers'!$A$5:$A$557,$A40)*1.1)</f>
        <v>0.63186043326693242</v>
      </c>
      <c r="G40" s="4">
        <f>$D40*'Central Office and O&amp;M Comp.'!$AM40</f>
        <v>115372.60082885931</v>
      </c>
      <c r="H40" s="4">
        <f>$E40*'Central Office and O&amp;M Comp.'!$AG40</f>
        <v>101067.40141043749</v>
      </c>
      <c r="I40" s="4">
        <f>$F40*'Central Office and O&amp;M Comp.'!$AG40</f>
        <v>37419.911342352156</v>
      </c>
      <c r="J40" s="4">
        <f>SUMIFS('School Level O &amp; M Resources'!$AR$5:$AR$359,'School Level O &amp; M Resources'!$A$5:$A$359,$A40)</f>
        <v>37280.408000000003</v>
      </c>
      <c r="K40" s="4">
        <f t="shared" si="0"/>
        <v>291140.32158164895</v>
      </c>
      <c r="L40" s="7"/>
    </row>
    <row r="41" spans="1:12" x14ac:dyDescent="0.2">
      <c r="A41" s="6" t="s">
        <v>86</v>
      </c>
      <c r="B41" s="6" t="s">
        <v>87</v>
      </c>
      <c r="C41" s="4">
        <v>7814325.3400000008</v>
      </c>
      <c r="D41" s="122">
        <f>SUMIFS('School Level O &amp; M Resources'!$AC$5:$AC$359,'School Level O &amp; M Resources'!$A$5:$A$359,$A41)</f>
        <v>9.7133417992846525</v>
      </c>
      <c r="E41" s="122">
        <f>SUMIFS('School Level O &amp; M Resources'!$AO$5:$AO$359,'School Level O &amp; M Resources'!$A$5:$A$359,$A41)</f>
        <v>4.5091564141947558</v>
      </c>
      <c r="F41" s="122">
        <f>IF('Site Level Groundskeepers'!$A$2=1,SUMIFS('Site Level Groundskeepers'!$O$5:$O$557,'Site Level Groundskeepers'!$A$5:$A$557,$A41),SUMIFS('Site Level Groundskeepers'!$O$5:$O$557,'Site Level Groundskeepers'!$A$5:$A$557,$A41)*1.1)</f>
        <v>5.4369265861553782</v>
      </c>
      <c r="G41" s="4">
        <f>$D41*'Central Office and O&amp;M Comp.'!$AM41</f>
        <v>663614.66995576548</v>
      </c>
      <c r="H41" s="4">
        <f>$E41*'Central Office and O&amp;M Comp.'!$AG41</f>
        <v>308065.17544818093</v>
      </c>
      <c r="I41" s="4">
        <f>$F41*'Central Office and O&amp;M Comp.'!$AG41</f>
        <v>371450.35319471045</v>
      </c>
      <c r="J41" s="4">
        <f>SUMIFS('School Level O &amp; M Resources'!$AR$5:$AR$359,'School Level O &amp; M Resources'!$A$5:$A$359,$A41)</f>
        <v>181475.60034999999</v>
      </c>
      <c r="K41" s="4">
        <f t="shared" si="0"/>
        <v>1524605.7989486568</v>
      </c>
      <c r="L41" s="7"/>
    </row>
    <row r="42" spans="1:12" x14ac:dyDescent="0.2">
      <c r="A42" s="6" t="s">
        <v>88</v>
      </c>
      <c r="B42" s="6" t="s">
        <v>89</v>
      </c>
      <c r="C42" s="4">
        <v>8354769.0899999971</v>
      </c>
      <c r="D42" s="122">
        <f>SUMIFS('School Level O &amp; M Resources'!$AC$5:$AC$359,'School Level O &amp; M Resources'!$A$5:$A$359,$A42)</f>
        <v>7.9016732111204018</v>
      </c>
      <c r="E42" s="122">
        <f>SUMIFS('School Level O &amp; M Resources'!$AO$5:$AO$359,'School Level O &amp; M Resources'!$A$5:$A$359,$A42)</f>
        <v>3.6630361784014438</v>
      </c>
      <c r="F42" s="122">
        <f>IF('Site Level Groundskeepers'!$A$2=1,SUMIFS('Site Level Groundskeepers'!$O$5:$O$557,'Site Level Groundskeepers'!$A$5:$A$557,$A42),SUMIFS('Site Level Groundskeepers'!$O$5:$O$557,'Site Level Groundskeepers'!$A$5:$A$557,$A42)*1.1)</f>
        <v>5.0727146414342643</v>
      </c>
      <c r="G42" s="4">
        <f>$D42*'Central Office and O&amp;M Comp.'!$AM42</f>
        <v>539841.6290140386</v>
      </c>
      <c r="H42" s="4">
        <f>$E42*'Central Office and O&amp;M Comp.'!$AG42</f>
        <v>250258.31426470799</v>
      </c>
      <c r="I42" s="4">
        <f>$F42*'Central Office and O&amp;M Comp.'!$AG42</f>
        <v>346567.42469446454</v>
      </c>
      <c r="J42" s="4">
        <f>SUMIFS('School Level O &amp; M Resources'!$AR$5:$AR$359,'School Level O &amp; M Resources'!$A$5:$A$359,$A42)</f>
        <v>138293.37005</v>
      </c>
      <c r="K42" s="4">
        <f t="shared" si="0"/>
        <v>1274960.7380232112</v>
      </c>
      <c r="L42" s="7"/>
    </row>
    <row r="43" spans="1:12" x14ac:dyDescent="0.2">
      <c r="A43" s="6" t="s">
        <v>90</v>
      </c>
      <c r="B43" s="6" t="s">
        <v>91</v>
      </c>
      <c r="C43" s="4">
        <v>38978907.979999989</v>
      </c>
      <c r="D43" s="122">
        <f>SUMIFS('School Level O &amp; M Resources'!$AC$5:$AC$359,'School Level O &amp; M Resources'!$A$5:$A$359,$A43)</f>
        <v>41.973606932599402</v>
      </c>
      <c r="E43" s="122">
        <f>SUMIFS('School Level O &amp; M Resources'!$AO$5:$AO$359,'School Level O &amp; M Resources'!$A$5:$A$359,$A43)</f>
        <v>15.914722489522104</v>
      </c>
      <c r="F43" s="122">
        <f>IF('Site Level Groundskeepers'!$A$2=1,SUMIFS('Site Level Groundskeepers'!$O$5:$O$557,'Site Level Groundskeepers'!$A$5:$A$557,$A43),SUMIFS('Site Level Groundskeepers'!$O$5:$O$557,'Site Level Groundskeepers'!$A$5:$A$557,$A43)*1.1)</f>
        <v>16.366501283651111</v>
      </c>
      <c r="G43" s="4">
        <f>$D43*'Central Office and O&amp;M Comp.'!$AM43</f>
        <v>2831263.5985710872</v>
      </c>
      <c r="H43" s="4">
        <f>$E43*'Central Office and O&amp;M Comp.'!$AG43</f>
        <v>1073502.5593177942</v>
      </c>
      <c r="I43" s="4">
        <f>$F43*'Central Office and O&amp;M Comp.'!$AG43</f>
        <v>1103976.5868770117</v>
      </c>
      <c r="J43" s="4">
        <f>SUMIFS('School Level O &amp; M Resources'!$AR$5:$AR$359,'School Level O &amp; M Resources'!$A$5:$A$359,$A43)</f>
        <v>744372.72689999989</v>
      </c>
      <c r="K43" s="4">
        <f t="shared" si="0"/>
        <v>5753115.4716658928</v>
      </c>
      <c r="L43" s="7"/>
    </row>
    <row r="44" spans="1:12" x14ac:dyDescent="0.2">
      <c r="A44" s="6" t="s">
        <v>92</v>
      </c>
      <c r="B44" s="6" t="s">
        <v>93</v>
      </c>
      <c r="C44" s="4">
        <v>23673337.720000003</v>
      </c>
      <c r="D44" s="122">
        <f>SUMIFS('School Level O &amp; M Resources'!$AC$5:$AC$359,'School Level O &amp; M Resources'!$A$5:$A$359,$A44)</f>
        <v>21.037664740756227</v>
      </c>
      <c r="E44" s="122">
        <f>SUMIFS('School Level O &amp; M Resources'!$AO$5:$AO$359,'School Level O &amp; M Resources'!$A$5:$A$359,$A44)</f>
        <v>9.5620061471953939</v>
      </c>
      <c r="F44" s="122">
        <f>IF('Site Level Groundskeepers'!$A$2=1,SUMIFS('Site Level Groundskeepers'!$O$5:$O$557,'Site Level Groundskeepers'!$A$5:$A$557,$A44),SUMIFS('Site Level Groundskeepers'!$O$5:$O$557,'Site Level Groundskeepers'!$A$5:$A$557,$A44)*1.1)</f>
        <v>12.456400547808764</v>
      </c>
      <c r="G44" s="4">
        <f>$D44*'Central Office and O&amp;M Comp.'!$AM44</f>
        <v>1419062.5665097409</v>
      </c>
      <c r="H44" s="4">
        <f>$E44*'Central Office and O&amp;M Comp.'!$AG44</f>
        <v>644990.07620050397</v>
      </c>
      <c r="I44" s="4">
        <f>$F44*'Central Office and O&amp;M Comp.'!$AG44</f>
        <v>840226.89536459662</v>
      </c>
      <c r="J44" s="4">
        <f>SUMIFS('School Level O &amp; M Resources'!$AR$5:$AR$359,'School Level O &amp; M Resources'!$A$5:$A$359,$A44)</f>
        <v>378596.82630000002</v>
      </c>
      <c r="K44" s="4">
        <f t="shared" si="0"/>
        <v>3282876.3643748411</v>
      </c>
      <c r="L44" s="7"/>
    </row>
    <row r="45" spans="1:12" x14ac:dyDescent="0.2">
      <c r="A45" s="6" t="s">
        <v>94</v>
      </c>
      <c r="B45" s="6" t="s">
        <v>95</v>
      </c>
      <c r="C45" s="4">
        <v>23273213.290000003</v>
      </c>
      <c r="D45" s="122">
        <f>SUMIFS('School Level O &amp; M Resources'!$AC$5:$AC$359,'School Level O &amp; M Resources'!$A$5:$A$359,$A45)</f>
        <v>20.554489831150129</v>
      </c>
      <c r="E45" s="122">
        <f>SUMIFS('School Level O &amp; M Resources'!$AO$5:$AO$359,'School Level O &amp; M Resources'!$A$5:$A$359,$A45)</f>
        <v>8.4290382171017608</v>
      </c>
      <c r="F45" s="122">
        <f>IF('Site Level Groundskeepers'!$A$2=1,SUMIFS('Site Level Groundskeepers'!$O$5:$O$557,'Site Level Groundskeepers'!$A$5:$A$557,$A45),SUMIFS('Site Level Groundskeepers'!$O$5:$O$557,'Site Level Groundskeepers'!$A$5:$A$557,$A45)*1.1)</f>
        <v>10.135890877739046</v>
      </c>
      <c r="G45" s="4">
        <f>$D45*'Central Office and O&amp;M Comp.'!$AM45</f>
        <v>1341945.2619095824</v>
      </c>
      <c r="H45" s="4">
        <f>$E45*'Central Office and O&amp;M Comp.'!$AG45</f>
        <v>550308.37499806623</v>
      </c>
      <c r="I45" s="4">
        <f>$F45*'Central Office and O&amp;M Comp.'!$AG45</f>
        <v>661744.02042326832</v>
      </c>
      <c r="J45" s="4">
        <f>SUMIFS('School Level O &amp; M Resources'!$AR$5:$AR$359,'School Level O &amp; M Resources'!$A$5:$A$359,$A45)</f>
        <v>358125.65635</v>
      </c>
      <c r="K45" s="4">
        <f t="shared" si="0"/>
        <v>2912123.313680917</v>
      </c>
      <c r="L45" s="7"/>
    </row>
    <row r="46" spans="1:12" x14ac:dyDescent="0.2">
      <c r="A46" s="6" t="s">
        <v>96</v>
      </c>
      <c r="B46" s="6" t="s">
        <v>97</v>
      </c>
      <c r="C46" s="4">
        <v>26934277.339999996</v>
      </c>
      <c r="D46" s="122">
        <f>SUMIFS('School Level O &amp; M Resources'!$AC$5:$AC$359,'School Level O &amp; M Resources'!$A$5:$A$359,$A46)</f>
        <v>23.399133611854328</v>
      </c>
      <c r="E46" s="122">
        <f>SUMIFS('School Level O &amp; M Resources'!$AO$5:$AO$359,'School Level O &amp; M Resources'!$A$5:$A$359,$A46)</f>
        <v>9.6156326783488293</v>
      </c>
      <c r="F46" s="122">
        <f>IF('Site Level Groundskeepers'!$A$2=1,SUMIFS('Site Level Groundskeepers'!$O$5:$O$557,'Site Level Groundskeepers'!$A$5:$A$557,$A46),SUMIFS('Site Level Groundskeepers'!$O$5:$O$557,'Site Level Groundskeepers'!$A$5:$A$557,$A46)*1.1)</f>
        <v>10.921085408366533</v>
      </c>
      <c r="G46" s="4">
        <f>$D46*'Central Office and O&amp;M Comp.'!$AM46</f>
        <v>1385738.7789204118</v>
      </c>
      <c r="H46" s="4">
        <f>$E46*'Central Office and O&amp;M Comp.'!$AG46</f>
        <v>569455.06219477335</v>
      </c>
      <c r="I46" s="4">
        <f>$F46*'Central Office and O&amp;M Comp.'!$AG46</f>
        <v>646766.32089524833</v>
      </c>
      <c r="J46" s="4">
        <f>SUMIFS('School Level O &amp; M Resources'!$AR$5:$AR$359,'School Level O &amp; M Resources'!$A$5:$A$359,$A46)</f>
        <v>403365.99599999998</v>
      </c>
      <c r="K46" s="4">
        <f t="shared" si="0"/>
        <v>3005326.158010433</v>
      </c>
      <c r="L46" s="7"/>
    </row>
    <row r="47" spans="1:12" x14ac:dyDescent="0.2">
      <c r="A47" s="6" t="s">
        <v>98</v>
      </c>
      <c r="B47" s="6" t="s">
        <v>99</v>
      </c>
      <c r="C47" s="4">
        <v>6771442.4500000011</v>
      </c>
      <c r="D47" s="122">
        <f>SUMIFS('School Level O &amp; M Resources'!$AC$5:$AC$359,'School Level O &amp; M Resources'!$A$5:$A$359,$A47)</f>
        <v>8.8692218357952441</v>
      </c>
      <c r="E47" s="122">
        <f>SUMIFS('School Level O &amp; M Resources'!$AO$5:$AO$359,'School Level O &amp; M Resources'!$A$5:$A$359,$A47)</f>
        <v>3.4692459144792984</v>
      </c>
      <c r="F47" s="122">
        <f>IF('Site Level Groundskeepers'!$A$2=1,SUMIFS('Site Level Groundskeepers'!$O$5:$O$557,'Site Level Groundskeepers'!$A$5:$A$557,$A47),SUMIFS('Site Level Groundskeepers'!$O$5:$O$557,'Site Level Groundskeepers'!$A$5:$A$557,$A47)*1.1)</f>
        <v>4.668590412848606</v>
      </c>
      <c r="G47" s="4">
        <f>$D47*'Central Office and O&amp;M Comp.'!$AM47</f>
        <v>525251.26958045387</v>
      </c>
      <c r="H47" s="4">
        <f>$E47*'Central Office and O&amp;M Comp.'!$AG47</f>
        <v>205454.9829515756</v>
      </c>
      <c r="I47" s="4">
        <f>$F47*'Central Office and O&amp;M Comp.'!$AG47</f>
        <v>276482.32132419024</v>
      </c>
      <c r="J47" s="4">
        <f>SUMIFS('School Level O &amp; M Resources'!$AR$5:$AR$359,'School Level O &amp; M Resources'!$A$5:$A$359,$A47)</f>
        <v>155447.08189999999</v>
      </c>
      <c r="K47" s="4">
        <f t="shared" si="0"/>
        <v>1162635.6557562198</v>
      </c>
      <c r="L47" s="7"/>
    </row>
    <row r="48" spans="1:12" x14ac:dyDescent="0.2">
      <c r="A48" s="6" t="s">
        <v>100</v>
      </c>
      <c r="B48" s="6" t="s">
        <v>101</v>
      </c>
      <c r="C48" s="4">
        <v>7308629.9200000027</v>
      </c>
      <c r="D48" s="122">
        <f>SUMIFS('School Level O &amp; M Resources'!$AC$5:$AC$359,'School Level O &amp; M Resources'!$A$5:$A$359,$A48)</f>
        <v>8.4088576683853589</v>
      </c>
      <c r="E48" s="122">
        <f>SUMIFS('School Level O &amp; M Resources'!$AO$5:$AO$359,'School Level O &amp; M Resources'!$A$5:$A$359,$A48)</f>
        <v>3.583924805611443</v>
      </c>
      <c r="F48" s="122">
        <f>IF('Site Level Groundskeepers'!$A$2=1,SUMIFS('Site Level Groundskeepers'!$O$5:$O$557,'Site Level Groundskeepers'!$A$5:$A$557,$A48),SUMIFS('Site Level Groundskeepers'!$O$5:$O$557,'Site Level Groundskeepers'!$A$5:$A$557,$A48)*1.1)</f>
        <v>5.916536802788845</v>
      </c>
      <c r="G48" s="4">
        <f>$D48*'Central Office and O&amp;M Comp.'!$AM48</f>
        <v>497987.67556079768</v>
      </c>
      <c r="H48" s="4">
        <f>$E48*'Central Office and O&amp;M Comp.'!$AG48</f>
        <v>212246.47314952448</v>
      </c>
      <c r="I48" s="4">
        <f>$F48*'Central Office and O&amp;M Comp.'!$AG48</f>
        <v>350387.95113254443</v>
      </c>
      <c r="J48" s="4">
        <f>SUMIFS('School Level O &amp; M Resources'!$AR$5:$AR$359,'School Level O &amp; M Resources'!$A$5:$A$359,$A48)</f>
        <v>142863.06485000002</v>
      </c>
      <c r="K48" s="4">
        <f t="shared" si="0"/>
        <v>1203485.1646928664</v>
      </c>
      <c r="L48" s="7"/>
    </row>
    <row r="49" spans="1:12" x14ac:dyDescent="0.2">
      <c r="A49" s="6" t="s">
        <v>102</v>
      </c>
      <c r="B49" s="6" t="s">
        <v>103</v>
      </c>
      <c r="C49" s="4">
        <v>11632706.17</v>
      </c>
      <c r="D49" s="122">
        <f>SUMIFS('School Level O &amp; M Resources'!$AC$5:$AC$359,'School Level O &amp; M Resources'!$A$5:$A$359,$A49)</f>
        <v>11.94153711636009</v>
      </c>
      <c r="E49" s="122">
        <f>SUMIFS('School Level O &amp; M Resources'!$AO$5:$AO$359,'School Level O &amp; M Resources'!$A$5:$A$359,$A49)</f>
        <v>5.0435828335770738</v>
      </c>
      <c r="F49" s="122">
        <f>IF('Site Level Groundskeepers'!$A$2=1,SUMIFS('Site Level Groundskeepers'!$O$5:$O$557,'Site Level Groundskeepers'!$A$5:$A$557,$A49),SUMIFS('Site Level Groundskeepers'!$O$5:$O$557,'Site Level Groundskeepers'!$A$5:$A$557,$A49)*1.1)</f>
        <v>7.7616558764940233</v>
      </c>
      <c r="G49" s="4">
        <f>$D49*'Central Office and O&amp;M Comp.'!$AM49</f>
        <v>691678.52439377503</v>
      </c>
      <c r="H49" s="4">
        <f>$E49*'Central Office and O&amp;M Comp.'!$AG49</f>
        <v>292134.74764542788</v>
      </c>
      <c r="I49" s="4">
        <f>$F49*'Central Office and O&amp;M Comp.'!$AG49</f>
        <v>449571.15915593767</v>
      </c>
      <c r="J49" s="4">
        <f>SUMIFS('School Level O &amp; M Resources'!$AR$5:$AR$359,'School Level O &amp; M Resources'!$A$5:$A$359,$A49)</f>
        <v>216242.58040000001</v>
      </c>
      <c r="K49" s="4">
        <f t="shared" si="0"/>
        <v>1649627.0115951407</v>
      </c>
      <c r="L49" s="7"/>
    </row>
    <row r="50" spans="1:12" x14ac:dyDescent="0.2">
      <c r="A50" s="6" t="s">
        <v>104</v>
      </c>
      <c r="B50" s="6" t="s">
        <v>105</v>
      </c>
      <c r="C50" s="4">
        <v>1857268.44</v>
      </c>
      <c r="D50" s="122">
        <f>SUMIFS('School Level O &amp; M Resources'!$AC$5:$AC$359,'School Level O &amp; M Resources'!$A$5:$A$359,$A50)</f>
        <v>2.1969997580360463</v>
      </c>
      <c r="E50" s="122">
        <f>SUMIFS('School Level O &amp; M Resources'!$AO$5:$AO$359,'School Level O &amp; M Resources'!$A$5:$A$359,$A50)</f>
        <v>1.6042795762840001</v>
      </c>
      <c r="F50" s="122">
        <f>IF('Site Level Groundskeepers'!$A$2=1,SUMIFS('Site Level Groundskeepers'!$O$5:$O$557,'Site Level Groundskeepers'!$A$5:$A$557,$A50),SUMIFS('Site Level Groundskeepers'!$O$5:$O$557,'Site Level Groundskeepers'!$A$5:$A$557,$A50)*1.1)</f>
        <v>0.77056150398406387</v>
      </c>
      <c r="G50" s="4">
        <f>$D50*'Central Office and O&amp;M Comp.'!$AM50</f>
        <v>127254.76929179861</v>
      </c>
      <c r="H50" s="4">
        <f>$E50*'Central Office and O&amp;M Comp.'!$AG50</f>
        <v>92923.190643435344</v>
      </c>
      <c r="I50" s="4">
        <f>$F50*'Central Office and O&amp;M Comp.'!$AG50</f>
        <v>44632.515800679743</v>
      </c>
      <c r="J50" s="4">
        <f>SUMIFS('School Level O &amp; M Resources'!$AR$5:$AR$359,'School Level O &amp; M Resources'!$A$5:$A$359,$A50)</f>
        <v>40274.101999999999</v>
      </c>
      <c r="K50" s="4">
        <f t="shared" si="0"/>
        <v>305084.57773591374</v>
      </c>
      <c r="L50" s="7"/>
    </row>
    <row r="51" spans="1:12" x14ac:dyDescent="0.2">
      <c r="A51" s="6" t="s">
        <v>106</v>
      </c>
      <c r="B51" s="6" t="s">
        <v>107</v>
      </c>
      <c r="C51" s="4">
        <v>7880216.9699999997</v>
      </c>
      <c r="D51" s="122">
        <f>SUMIFS('School Level O &amp; M Resources'!$AC$5:$AC$359,'School Level O &amp; M Resources'!$A$5:$A$359,$A51)</f>
        <v>8.6983573707264945</v>
      </c>
      <c r="E51" s="122">
        <f>SUMIFS('School Level O &amp; M Resources'!$AO$5:$AO$359,'School Level O &amp; M Resources'!$A$5:$A$359,$A51)</f>
        <v>3.8304380386304961</v>
      </c>
      <c r="F51" s="122">
        <f>IF('Site Level Groundskeepers'!$A$2=1,SUMIFS('Site Level Groundskeepers'!$O$5:$O$557,'Site Level Groundskeepers'!$A$5:$A$557,$A51),SUMIFS('Site Level Groundskeepers'!$O$5:$O$557,'Site Level Groundskeepers'!$A$5:$A$557,$A51)*1.1)</f>
        <v>4.0207727758964147</v>
      </c>
      <c r="G51" s="4">
        <f>$D51*'Central Office and O&amp;M Comp.'!$AM51</f>
        <v>488752.81759689102</v>
      </c>
      <c r="H51" s="4">
        <f>$E51*'Central Office and O&amp;M Comp.'!$AG51</f>
        <v>215228.8419778505</v>
      </c>
      <c r="I51" s="4">
        <f>$F51*'Central Office and O&amp;M Comp.'!$AG51</f>
        <v>225923.57837007489</v>
      </c>
      <c r="J51" s="4">
        <f>SUMIFS('School Level O &amp; M Resources'!$AR$5:$AR$359,'School Level O &amp; M Resources'!$A$5:$A$359,$A51)</f>
        <v>161637.40285000001</v>
      </c>
      <c r="K51" s="4">
        <f t="shared" si="0"/>
        <v>1091542.6407948164</v>
      </c>
      <c r="L51" s="7"/>
    </row>
    <row r="52" spans="1:12" x14ac:dyDescent="0.2">
      <c r="A52" s="6" t="s">
        <v>108</v>
      </c>
      <c r="B52" s="6" t="s">
        <v>109</v>
      </c>
      <c r="C52" s="4">
        <v>3262428.04</v>
      </c>
      <c r="D52" s="122">
        <f>SUMIFS('School Level O &amp; M Resources'!$AC$5:$AC$359,'School Level O &amp; M Resources'!$A$5:$A$359,$A52)</f>
        <v>4.5906328063916764</v>
      </c>
      <c r="E52" s="122">
        <f>SUMIFS('School Level O &amp; M Resources'!$AO$5:$AO$359,'School Level O &amp; M Resources'!$A$5:$A$359,$A52)</f>
        <v>2.2752756666751299</v>
      </c>
      <c r="F52" s="122">
        <f>IF('Site Level Groundskeepers'!$A$2=1,SUMIFS('Site Level Groundskeepers'!$O$5:$O$557,'Site Level Groundskeepers'!$A$5:$A$557,$A52),SUMIFS('Site Level Groundskeepers'!$O$5:$O$557,'Site Level Groundskeepers'!$A$5:$A$557,$A52)*1.1)</f>
        <v>3.0970204183266929</v>
      </c>
      <c r="G52" s="4">
        <f>$D52*'Central Office and O&amp;M Comp.'!$AM52</f>
        <v>257943.49703629853</v>
      </c>
      <c r="H52" s="4">
        <f>$E52*'Central Office and O&amp;M Comp.'!$AG52</f>
        <v>127845.67769537793</v>
      </c>
      <c r="I52" s="4">
        <f>$F52*'Central Office and O&amp;M Comp.'!$AG52</f>
        <v>174018.77056769509</v>
      </c>
      <c r="J52" s="4">
        <f>SUMIFS('School Level O &amp; M Resources'!$AR$5:$AR$359,'School Level O &amp; M Resources'!$A$5:$A$359,$A52)</f>
        <v>84092.658100000001</v>
      </c>
      <c r="K52" s="4">
        <f t="shared" si="0"/>
        <v>643900.60339937161</v>
      </c>
      <c r="L52" s="7"/>
    </row>
    <row r="54" spans="1:12" ht="13.5" thickBot="1" x14ac:dyDescent="0.25">
      <c r="C54" s="9">
        <f t="shared" ref="C54:K54" si="1">SUM(C5:C52)</f>
        <v>776074617.88000011</v>
      </c>
      <c r="D54" s="124">
        <f t="shared" si="1"/>
        <v>799.82116998546087</v>
      </c>
      <c r="E54" s="124">
        <f t="shared" ref="E54:F54" si="2">SUM(E5:E52)</f>
        <v>345.52575904248749</v>
      </c>
      <c r="F54" s="124">
        <f t="shared" si="2"/>
        <v>411.33823866836246</v>
      </c>
      <c r="G54" s="9">
        <f t="shared" si="1"/>
        <v>48787065.153179243</v>
      </c>
      <c r="H54" s="9">
        <f t="shared" si="1"/>
        <v>21009383.646905534</v>
      </c>
      <c r="I54" s="9">
        <f t="shared" si="1"/>
        <v>24940481.517702799</v>
      </c>
      <c r="J54" s="9">
        <f t="shared" si="1"/>
        <v>14524895.384450004</v>
      </c>
      <c r="K54" s="9">
        <f t="shared" si="1"/>
        <v>109261825.70223759</v>
      </c>
    </row>
    <row r="55" spans="1:12" ht="13.5" thickTop="1" x14ac:dyDescent="0.2"/>
    <row r="58" spans="1:12" x14ac:dyDescent="0.2">
      <c r="K58" s="7"/>
    </row>
  </sheetData>
  <sheetProtection algorithmName="SHA-512" hashValue="ppweSNYxCv1r2uQiRcmF9U+CMN9K6Es1c/MqmrKJF8H6BW9Gj1IOTjP8QgiLz+lHf7O1yE6r42Hc1bFm2jvAjg==" saltValue="iTMf40/6aorCGvrwDSL57Q==" spinCount="100000" sheet="1" objects="1" scenarios="1"/>
  <mergeCells count="1">
    <mergeCell ref="A1:K1"/>
  </mergeCells>
  <pageMargins left="0.5" right="0.5" top="0.5" bottom="0.5" header="0.25" footer="0.25"/>
  <pageSetup scale="76" orientation="landscape" r:id="rId1"/>
  <headerFooter>
    <oddHeader>&amp;L&amp;"Calibri,Bold"&amp;12Total Routine Operations &amp; Maintenance Personnel and Non-Personnel Resources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R362"/>
  <sheetViews>
    <sheetView showGridLines="0" zoomScale="85" zoomScaleNormal="85" workbookViewId="0">
      <pane xSplit="4" ySplit="4" topLeftCell="E5" activePane="bottomRight" state="frozen"/>
      <selection sqref="A1:M1"/>
      <selection pane="topRight" sqref="A1:M1"/>
      <selection pane="bottomLeft" sqref="A1:M1"/>
      <selection pane="bottomRight" sqref="A1:AR1"/>
    </sheetView>
  </sheetViews>
  <sheetFormatPr defaultColWidth="8.85546875" defaultRowHeight="12.75" x14ac:dyDescent="0.2"/>
  <cols>
    <col min="1" max="1" width="12.7109375" style="189" customWidth="1"/>
    <col min="2" max="2" width="15.28515625" style="189" customWidth="1"/>
    <col min="3" max="3" width="12.7109375" style="189" customWidth="1"/>
    <col min="4" max="4" width="30" style="189" customWidth="1"/>
    <col min="5" max="5" width="13.7109375" style="282" customWidth="1"/>
    <col min="6" max="44" width="13.7109375" style="189" customWidth="1"/>
    <col min="45" max="16384" width="8.85546875" style="189"/>
  </cols>
  <sheetData>
    <row r="1" spans="1:44" ht="15.75" x14ac:dyDescent="0.25">
      <c r="A1" s="485" t="s">
        <v>1121</v>
      </c>
      <c r="B1" s="485"/>
      <c r="C1" s="485"/>
      <c r="D1" s="485"/>
      <c r="E1" s="485"/>
      <c r="F1" s="485"/>
      <c r="G1" s="485"/>
      <c r="H1" s="485"/>
      <c r="I1" s="485"/>
      <c r="J1" s="485"/>
      <c r="K1" s="485"/>
      <c r="L1" s="485"/>
      <c r="M1" s="485"/>
      <c r="N1" s="485"/>
      <c r="O1" s="485"/>
      <c r="P1" s="485"/>
      <c r="Q1" s="485"/>
      <c r="R1" s="485"/>
      <c r="S1" s="485"/>
      <c r="T1" s="485"/>
      <c r="U1" s="485"/>
      <c r="V1" s="485"/>
      <c r="W1" s="485"/>
      <c r="X1" s="485"/>
      <c r="Y1" s="485"/>
      <c r="Z1" s="485"/>
      <c r="AA1" s="485"/>
      <c r="AB1" s="485"/>
      <c r="AC1" s="485"/>
      <c r="AD1" s="485"/>
      <c r="AE1" s="485"/>
      <c r="AF1" s="485"/>
      <c r="AG1" s="485"/>
      <c r="AH1" s="485"/>
      <c r="AI1" s="485"/>
      <c r="AJ1" s="485"/>
      <c r="AK1" s="485"/>
      <c r="AL1" s="485"/>
      <c r="AM1" s="485"/>
      <c r="AN1" s="485"/>
      <c r="AO1" s="485"/>
      <c r="AP1" s="485"/>
      <c r="AQ1" s="485"/>
      <c r="AR1" s="485"/>
    </row>
    <row r="4" spans="1:44" ht="64.5" thickBot="1" x14ac:dyDescent="0.25">
      <c r="A4" s="190" t="s">
        <v>1</v>
      </c>
      <c r="B4" s="190" t="s">
        <v>2</v>
      </c>
      <c r="C4" s="190" t="s">
        <v>312</v>
      </c>
      <c r="D4" s="190" t="s">
        <v>313</v>
      </c>
      <c r="E4" s="190" t="s">
        <v>314</v>
      </c>
      <c r="F4" s="190" t="s">
        <v>1122</v>
      </c>
      <c r="G4" s="190" t="s">
        <v>1123</v>
      </c>
      <c r="H4" s="190" t="s">
        <v>1124</v>
      </c>
      <c r="I4" s="190" t="s">
        <v>1125</v>
      </c>
      <c r="J4" s="190" t="s">
        <v>1126</v>
      </c>
      <c r="K4" s="190" t="s">
        <v>1127</v>
      </c>
      <c r="L4" s="190" t="s">
        <v>1128</v>
      </c>
      <c r="M4" s="190" t="s">
        <v>1129</v>
      </c>
      <c r="N4" s="190" t="s">
        <v>207</v>
      </c>
      <c r="O4" s="190" t="s">
        <v>1130</v>
      </c>
      <c r="P4" s="190" t="s">
        <v>3</v>
      </c>
      <c r="Q4" s="190" t="s">
        <v>1131</v>
      </c>
      <c r="R4" s="190" t="s">
        <v>1132</v>
      </c>
      <c r="S4" s="190" t="s">
        <v>1133</v>
      </c>
      <c r="T4" s="190" t="s">
        <v>1134</v>
      </c>
      <c r="U4" s="190" t="s">
        <v>1135</v>
      </c>
      <c r="V4" s="190" t="s">
        <v>1136</v>
      </c>
      <c r="W4" s="190" t="s">
        <v>1137</v>
      </c>
      <c r="X4" s="190" t="s">
        <v>1138</v>
      </c>
      <c r="Y4" s="190" t="s">
        <v>1139</v>
      </c>
      <c r="Z4" s="190" t="s">
        <v>1140</v>
      </c>
      <c r="AA4" s="190" t="s">
        <v>1141</v>
      </c>
      <c r="AB4" s="190" t="s">
        <v>1142</v>
      </c>
      <c r="AC4" s="190" t="s">
        <v>1143</v>
      </c>
      <c r="AD4" s="190" t="s">
        <v>1144</v>
      </c>
      <c r="AE4" s="190" t="s">
        <v>1145</v>
      </c>
      <c r="AF4" s="190" t="s">
        <v>1146</v>
      </c>
      <c r="AG4" s="190" t="s">
        <v>1146</v>
      </c>
      <c r="AH4" s="190" t="s">
        <v>1147</v>
      </c>
      <c r="AI4" s="190" t="s">
        <v>1148</v>
      </c>
      <c r="AJ4" s="190" t="s">
        <v>1149</v>
      </c>
      <c r="AK4" s="190" t="s">
        <v>1150</v>
      </c>
      <c r="AL4" s="190" t="s">
        <v>1151</v>
      </c>
      <c r="AM4" s="190" t="s">
        <v>1152</v>
      </c>
      <c r="AN4" s="190" t="s">
        <v>1153</v>
      </c>
      <c r="AO4" s="190" t="s">
        <v>1154</v>
      </c>
      <c r="AP4" s="190" t="s">
        <v>1155</v>
      </c>
      <c r="AQ4" s="190" t="s">
        <v>1156</v>
      </c>
      <c r="AR4" s="190" t="s">
        <v>1157</v>
      </c>
    </row>
    <row r="5" spans="1:44" x14ac:dyDescent="0.2">
      <c r="A5" s="191" t="str">
        <f>'School Level Inst. Resources'!A5</f>
        <v>0101000</v>
      </c>
      <c r="B5" s="191" t="str">
        <f>'School Level Inst. Resources'!B5</f>
        <v>Albany #1</v>
      </c>
      <c r="C5" s="191" t="str">
        <f>'School Level Inst. Resources'!C5</f>
        <v>0101001</v>
      </c>
      <c r="D5" s="191" t="str">
        <f>'School Level Inst. Resources'!D5</f>
        <v>Snowy Range Academy</v>
      </c>
      <c r="E5" s="192" t="str">
        <f>'School Level Inst. Resources'!E5</f>
        <v>K-9</v>
      </c>
      <c r="F5" s="192" t="str">
        <f>'School Level Inst. Resources'!H5</f>
        <v>M</v>
      </c>
      <c r="G5" s="192" t="s">
        <v>1158</v>
      </c>
      <c r="H5" s="193">
        <v>40699</v>
      </c>
      <c r="I5" s="193">
        <f>IF('SFD Allowable GSF Calculation'!$D$2=1,'SFD Allowable GSF Calculation'!$P5,'SFD Allowable GSF Calculation'!$X5)</f>
        <v>50022</v>
      </c>
      <c r="J5" s="194">
        <f>$I5*'Model Data Inputs'!$B$165</f>
        <v>57525.299999999996</v>
      </c>
      <c r="K5" s="194">
        <f>IF($L5&gt;='Model Data Inputs'!$B$164,$H5,MIN($H5,$J5))</f>
        <v>40699</v>
      </c>
      <c r="L5" s="195">
        <v>1989</v>
      </c>
      <c r="M5" s="196">
        <f>IF($L5&gt;0,'Model Data Inputs'!$B$157-$L5,"")</f>
        <v>28</v>
      </c>
      <c r="N5" s="197">
        <v>17</v>
      </c>
      <c r="O5" s="198">
        <f>'School Level Inst. Resources'!$L5</f>
        <v>200.94</v>
      </c>
      <c r="P5" s="198">
        <f>IF($G5="T",SUMIFS('School Level ADM'!$S$5:$S$359,'School Level ADM'!$A$5:$A$359,$A5),0)</f>
        <v>3965.61</v>
      </c>
      <c r="Q5" s="199">
        <f t="shared" ref="Q5" si="0">IF($G5="F",0,$O5/$P5)</f>
        <v>5.0670640834575259E-2</v>
      </c>
      <c r="R5" s="200">
        <f>SUM((('School Level Inst. Resources'!I5/'Model Data Inputs'!$B$8)*(1+'Model Data Inputs'!$B$9)),(SUM('School Level Inst. Resources'!J5:K5)/'Model Data Inputs'!$C$8)*(1+'Model Data Inputs'!$C$9),'School Level Inst. Resources'!K5/400)</f>
        <v>13.061399782608694</v>
      </c>
      <c r="S5" s="200">
        <f>R5</f>
        <v>13.061399782608694</v>
      </c>
      <c r="T5" s="201">
        <f>IF($G5="T",VLOOKUP($A5,'Total O &amp; M Resources'!$A$5:$K$52,3),0)</f>
        <v>33292037.800000001</v>
      </c>
      <c r="U5" s="202">
        <f>IF($G5="F",0,$S5/'Model Data Inputs'!$B$140)</f>
        <v>1.0047230602006687</v>
      </c>
      <c r="V5" s="202">
        <f>IF($G5="F",0,$O5/'Model Data Inputs'!$B$141)</f>
        <v>0.61827692307692306</v>
      </c>
      <c r="W5" s="202">
        <f>IF($G5="F",0,$N5/'Model Data Inputs'!$B$142)</f>
        <v>1.3076923076923077</v>
      </c>
      <c r="X5" s="202">
        <f>IF($G5="F",0,$K5/'Model Data Inputs'!$B$143)</f>
        <v>2.2610555555555556</v>
      </c>
      <c r="Y5" s="202">
        <f>AVERAGE(U5:X5)</f>
        <v>1.2979369616313639</v>
      </c>
      <c r="Z5" s="202">
        <f>IF(OR($G5="F",$F5="E"),0,'Model Data Inputs'!$B$144)</f>
        <v>0.5</v>
      </c>
      <c r="AA5" s="202">
        <f>IF(AND($O5&lt;='Model Data Inputs'!$B$139,$F5="E"),0,IF(AND($O5&lt;='Model Data Inputs'!$B$139,$F5="M"),0,IF(AND($O5&lt;='Model Data Inputs'!$B$139,$F5="H"),0,IF(SUM($Y5:$Z5)&lt;1,1,SUM($Y5:$Z5)))))</f>
        <v>1.7979369616313639</v>
      </c>
      <c r="AB5" s="202">
        <f>($K5/'Model Data Inputs'!$B$143)*'Model Data Inputs'!$B$145</f>
        <v>0.22610555555555556</v>
      </c>
      <c r="AC5" s="202">
        <f>SUM(AA5:AB5)</f>
        <v>2.0240425171869196</v>
      </c>
      <c r="AD5" s="202">
        <f>IF($G5="F",0,'Model Data Inputs'!$B$147)</f>
        <v>1.1000000000000001</v>
      </c>
      <c r="AE5" s="202">
        <f>IF($G5="F",0,($K5/'Model Data Inputs'!$B$148)*'Model Data Inputs'!$B$149)</f>
        <v>0.81398000000000004</v>
      </c>
      <c r="AF5" s="202">
        <f>IF($G5="F",0,($O5/'Model Data Inputs'!$B$150)*'Model Data Inputs'!$B$151)</f>
        <v>0.26122200000000001</v>
      </c>
      <c r="AG5" s="202">
        <f>IF($G5="F",0,(($Q5*$T5)/'Model Data Inputs'!$B$152)*'Model Data Inputs'!$B$153)</f>
        <v>0.40486293360357678</v>
      </c>
      <c r="AH5" s="202">
        <f>AVERAGE($AD5:$AG5)</f>
        <v>0.6450162334008942</v>
      </c>
      <c r="AI5" s="203">
        <f>IF(OR($G5="F",$F5="M",$F5="H"),0,($AH5*'Model Data Inputs'!$B$154)-$AH5)</f>
        <v>0</v>
      </c>
      <c r="AJ5" s="202">
        <f>IF(OR($G5="F",$F5="E",$F5="H"),0,($AH5*'Model Data Inputs'!$B$155)-$AH5)</f>
        <v>0</v>
      </c>
      <c r="AK5" s="203">
        <f>IF(OR($G5="F",$F5="E",$F5="M"),0,($AH5*'Model Data Inputs'!$B$156)-$AH5)</f>
        <v>0</v>
      </c>
      <c r="AL5" s="203">
        <f>IF($G5="F",0,IF($M5&lt;'Model Data Inputs'!$B$158,$AH5*('Model Data Inputs'!$B$159-1),0))</f>
        <v>0</v>
      </c>
      <c r="AM5" s="202">
        <f>IF($G5="F",0,IF($M5&gt;'Model Data Inputs'!$B$160,$AH5*('Model Data Inputs'!$B$161-1),0))</f>
        <v>0</v>
      </c>
      <c r="AN5" s="202">
        <f>IF($G5="F",0,IF($P5&lt;'Model Data Inputs'!$B$162,SUM($AH5,$AI5,$AJ5,$AK5,$AL5,$AM5)*('Model Data Inputs'!$B$163-1),0))</f>
        <v>0</v>
      </c>
      <c r="AO5" s="202">
        <f>SUM(AH5:AN5)</f>
        <v>0.6450162334008942</v>
      </c>
      <c r="AP5" s="204">
        <f>$K5*'Model Data Inputs'!$B$166</f>
        <v>27268.33</v>
      </c>
      <c r="AQ5" s="204">
        <f>($K5*'Model Data Inputs'!$B$145)*'Model Data Inputs'!$B$166</f>
        <v>2726.8330000000001</v>
      </c>
      <c r="AR5" s="50">
        <f>SUM(AP5:AQ5)</f>
        <v>29995.163</v>
      </c>
    </row>
    <row r="6" spans="1:44" x14ac:dyDescent="0.2">
      <c r="A6" s="205" t="str">
        <f>'School Level Inst. Resources'!A6</f>
        <v>0101000</v>
      </c>
      <c r="B6" s="205" t="str">
        <f>'School Level Inst. Resources'!B6</f>
        <v>Albany #1</v>
      </c>
      <c r="C6" s="205" t="str">
        <f>'School Level Inst. Resources'!C6</f>
        <v>0101002</v>
      </c>
      <c r="D6" s="205" t="str">
        <f>'School Level Inst. Resources'!D6</f>
        <v>Beitel Elementary</v>
      </c>
      <c r="E6" s="206" t="str">
        <f>'School Level Inst. Resources'!E6</f>
        <v>K-5</v>
      </c>
      <c r="F6" s="206" t="str">
        <f>'School Level Inst. Resources'!H6</f>
        <v>E</v>
      </c>
      <c r="G6" s="206" t="s">
        <v>1158</v>
      </c>
      <c r="H6" s="207">
        <v>32242</v>
      </c>
      <c r="I6" s="207">
        <f>IF('SFD Allowable GSF Calculation'!$D$2=1,'SFD Allowable GSF Calculation'!$P6,'SFD Allowable GSF Calculation'!$X6)</f>
        <v>38338</v>
      </c>
      <c r="J6" s="194">
        <f>$I6*'Model Data Inputs'!$B$165</f>
        <v>44088.7</v>
      </c>
      <c r="K6" s="194">
        <f>IF($L6&gt;='Model Data Inputs'!$B$164,$H6,MIN($H6,$J6))</f>
        <v>32242</v>
      </c>
      <c r="L6" s="208">
        <v>1952</v>
      </c>
      <c r="M6" s="196">
        <f>IF($L6&gt;0,'Model Data Inputs'!$B$157-$L6,"")</f>
        <v>65</v>
      </c>
      <c r="N6" s="209">
        <v>26</v>
      </c>
      <c r="O6" s="198">
        <f>'School Level Inst. Resources'!$L6</f>
        <v>238.37</v>
      </c>
      <c r="P6" s="198">
        <f>IF($G6="T",SUMIFS('School Level ADM'!$S$5:$S$359,'School Level ADM'!$A$5:$A$359,$A6),0)</f>
        <v>3965.61</v>
      </c>
      <c r="Q6" s="199">
        <f>IF($G6="F",0,$O6/$P6)</f>
        <v>6.0109289617486336E-2</v>
      </c>
      <c r="R6" s="200">
        <f>SUM((('School Level Inst. Resources'!I6/'Model Data Inputs'!$B$8)*(1+'Model Data Inputs'!$B$9)),(SUM('School Level Inst. Resources'!J6:K6)/'Model Data Inputs'!$C$8)*(1+'Model Data Inputs'!$C$9),'School Level Inst. Resources'!K6/400)</f>
        <v>15.891333333333334</v>
      </c>
      <c r="S6" s="200">
        <f t="shared" ref="S6:S69" si="1">R6</f>
        <v>15.891333333333334</v>
      </c>
      <c r="T6" s="201">
        <f>IF($G6="T",VLOOKUP($A6,'Total O &amp; M Resources'!$A$5:$K$52,3),0)</f>
        <v>33292037.800000001</v>
      </c>
      <c r="U6" s="202">
        <f>IF($G6="F",0,$S6/'Model Data Inputs'!$B$140)</f>
        <v>1.2224102564102564</v>
      </c>
      <c r="V6" s="202">
        <f>IF($G6="F",0,$O6/'Model Data Inputs'!$B$141)</f>
        <v>0.73344615384615386</v>
      </c>
      <c r="W6" s="202">
        <f>IF($G6="F",0,$N6/'Model Data Inputs'!$B$142)</f>
        <v>2</v>
      </c>
      <c r="X6" s="202">
        <f>IF($G6="F",0,$K6/'Model Data Inputs'!$B$143)</f>
        <v>1.7912222222222223</v>
      </c>
      <c r="Y6" s="202">
        <f t="shared" ref="Y6:Y69" si="2">AVERAGE(U6:X6)</f>
        <v>1.4367696581196581</v>
      </c>
      <c r="Z6" s="202">
        <f>IF(OR($G6="F",$F6="E"),0,'Model Data Inputs'!$B$144)</f>
        <v>0</v>
      </c>
      <c r="AA6" s="202">
        <f>IF(AND($O6&lt;='Model Data Inputs'!$B$139,$F6="E"),0,IF(AND($O6&lt;='Model Data Inputs'!$B$139,$F6="M"),0,IF(AND($O6&lt;='Model Data Inputs'!$B$139,$F6="H"),0,IF(SUM($Y6:$Z6)&lt;1,1,SUM($Y6:$Z6)))))</f>
        <v>1.4367696581196581</v>
      </c>
      <c r="AB6" s="202">
        <f>($K6/'Model Data Inputs'!$B$143)*'Model Data Inputs'!$B$145</f>
        <v>0.17912222222222224</v>
      </c>
      <c r="AC6" s="202">
        <f t="shared" ref="AC6:AC69" si="3">SUM(AA6:AB6)</f>
        <v>1.6158918803418802</v>
      </c>
      <c r="AD6" s="202">
        <f>IF($G6="F",0,'Model Data Inputs'!$B$147)</f>
        <v>1.1000000000000001</v>
      </c>
      <c r="AE6" s="202">
        <f>IF($G6="F",0,($K6/'Model Data Inputs'!$B$148)*'Model Data Inputs'!$B$149)</f>
        <v>0.64483999999999997</v>
      </c>
      <c r="AF6" s="202">
        <f>IF($G6="F",0,($O6/'Model Data Inputs'!$B$150)*'Model Data Inputs'!$B$151)</f>
        <v>0.30988100000000002</v>
      </c>
      <c r="AG6" s="202">
        <f>IF($G6="F",0,(($Q6*$T6)/'Model Data Inputs'!$B$152)*'Model Data Inputs'!$B$153)</f>
        <v>0.48027857809836061</v>
      </c>
      <c r="AH6" s="202">
        <f t="shared" ref="AH6:AH69" si="4">AVERAGE($AD6:$AG6)</f>
        <v>0.63374989452459007</v>
      </c>
      <c r="AI6" s="203">
        <f>IF(OR($G6="F",$F6="M",$F6="H"),0,($AH6*'Model Data Inputs'!$B$154)-$AH6)</f>
        <v>-0.12674997890491801</v>
      </c>
      <c r="AJ6" s="202">
        <f>IF(OR($G6="F",$F6="E",$F6="H"),0,($AH6*'Model Data Inputs'!$B$155)-$AH6)</f>
        <v>0</v>
      </c>
      <c r="AK6" s="203">
        <f>IF(OR($G6="F",$F6="E",$F6="M"),0,($AH6*'Model Data Inputs'!$B$156)-$AH6)</f>
        <v>0</v>
      </c>
      <c r="AL6" s="203">
        <f>IF($G6="F",0,IF($M6&lt;'Model Data Inputs'!$B$158,$AH6*('Model Data Inputs'!$B$159-1),0))</f>
        <v>0</v>
      </c>
      <c r="AM6" s="202">
        <f>IF($G6="F",0,IF($M6&gt;'Model Data Inputs'!$B$160,$AH6*('Model Data Inputs'!$B$161-1),0))</f>
        <v>6.3374989452459063E-2</v>
      </c>
      <c r="AN6" s="202">
        <f>IF($G6="F",0,IF($P6&lt;'Model Data Inputs'!$B$162,SUM($AH6,$AI6,$AJ6,$AK6,$AL6,$AM6)*('Model Data Inputs'!$B$163-1),0))</f>
        <v>0</v>
      </c>
      <c r="AO6" s="202">
        <f t="shared" ref="AO6:AO69" si="5">SUM(AH6:AN6)</f>
        <v>0.57037490507213118</v>
      </c>
      <c r="AP6" s="204">
        <f>$K6*'Model Data Inputs'!$B$166</f>
        <v>21602.140000000003</v>
      </c>
      <c r="AQ6" s="204">
        <f>($K6*'Model Data Inputs'!$B$145)*'Model Data Inputs'!$B$166</f>
        <v>2160.2140000000004</v>
      </c>
      <c r="AR6" s="50">
        <f t="shared" ref="AR6:AR69" si="6">SUM(AP6:AQ6)</f>
        <v>23762.354000000003</v>
      </c>
    </row>
    <row r="7" spans="1:44" x14ac:dyDescent="0.2">
      <c r="A7" s="205" t="str">
        <f>'School Level Inst. Resources'!A7</f>
        <v>0101000</v>
      </c>
      <c r="B7" s="205" t="str">
        <f>'School Level Inst. Resources'!B7</f>
        <v>Albany #1</v>
      </c>
      <c r="C7" s="205" t="str">
        <f>'School Level Inst. Resources'!C7</f>
        <v>0101005</v>
      </c>
      <c r="D7" s="205" t="str">
        <f>'School Level Inst. Resources'!D7</f>
        <v>Centennial Elementary</v>
      </c>
      <c r="E7" s="206" t="str">
        <f>'School Level Inst. Resources'!E7</f>
        <v>K-6</v>
      </c>
      <c r="F7" s="206" t="str">
        <f>'School Level Inst. Resources'!H7</f>
        <v>E</v>
      </c>
      <c r="G7" s="206" t="s">
        <v>1158</v>
      </c>
      <c r="H7" s="207">
        <v>7443</v>
      </c>
      <c r="I7" s="207">
        <f>IF('SFD Allowable GSF Calculation'!$D$2=1,'SFD Allowable GSF Calculation'!$P7,'SFD Allowable GSF Calculation'!$X7)</f>
        <v>2915</v>
      </c>
      <c r="J7" s="194">
        <f>$I7*'Model Data Inputs'!$B$165</f>
        <v>3352.2499999999995</v>
      </c>
      <c r="K7" s="194">
        <f>IF($L7&gt;='Model Data Inputs'!$B$164,$H7,MIN($H7,$J7))</f>
        <v>3352.2499999999995</v>
      </c>
      <c r="L7" s="208">
        <v>1962</v>
      </c>
      <c r="M7" s="196">
        <f>IF($L7&gt;0,'Model Data Inputs'!$B$157-$L7,"")</f>
        <v>55</v>
      </c>
      <c r="N7" s="209">
        <v>5</v>
      </c>
      <c r="O7" s="198">
        <f>'School Level Inst. Resources'!$L7</f>
        <v>7.8800000000000008</v>
      </c>
      <c r="P7" s="198">
        <f>IF($G7="T",SUMIFS('School Level ADM'!$S$5:$S$359,'School Level ADM'!$A$5:$A$359,$A7),0)</f>
        <v>3965.61</v>
      </c>
      <c r="Q7" s="199">
        <f t="shared" ref="Q7:Q70" si="7">IF($G7="F",0,$O7/$P7)</f>
        <v>1.987083954297069E-3</v>
      </c>
      <c r="R7" s="200">
        <f>SUM((('School Level Inst. Resources'!I7/'Model Data Inputs'!$B$8)*(1+'Model Data Inputs'!$B$9)),(SUM('School Level Inst. Resources'!J7:K7)/'Model Data Inputs'!$C$8)*(1+'Model Data Inputs'!$C$9),'School Level Inst. Resources'!K7/400)</f>
        <v>0.52533333333333332</v>
      </c>
      <c r="S7" s="200">
        <f t="shared" si="1"/>
        <v>0.52533333333333332</v>
      </c>
      <c r="T7" s="201">
        <f>IF($G7="T",VLOOKUP($A7,'Total O &amp; M Resources'!$A$5:$K$52,3),0)</f>
        <v>33292037.800000001</v>
      </c>
      <c r="U7" s="202">
        <f>IF($G7="F",0,$S7/'Model Data Inputs'!$B$140)</f>
        <v>4.0410256410256411E-2</v>
      </c>
      <c r="V7" s="202">
        <f>IF($G7="F",0,$O7/'Model Data Inputs'!$B$141)</f>
        <v>2.4246153846153848E-2</v>
      </c>
      <c r="W7" s="202">
        <f>IF($G7="F",0,$N7/'Model Data Inputs'!$B$142)</f>
        <v>0.38461538461538464</v>
      </c>
      <c r="X7" s="202">
        <f>IF($G7="F",0,$K7/'Model Data Inputs'!$B$143)</f>
        <v>0.18623611111111107</v>
      </c>
      <c r="Y7" s="202">
        <f t="shared" si="2"/>
        <v>0.15887697649572649</v>
      </c>
      <c r="Z7" s="202">
        <f>IF(OR($G7="F",$F7="E"),0,'Model Data Inputs'!$B$144)</f>
        <v>0</v>
      </c>
      <c r="AA7" s="202">
        <f>IF(AND($O7&lt;='Model Data Inputs'!$B$139,$F7="E"),0,IF(AND($O7&lt;='Model Data Inputs'!$B$139,$F7="M"),0,IF(AND($O7&lt;='Model Data Inputs'!$B$139,$F7="H"),0,IF(SUM($Y7:$Z7)&lt;1,1,SUM($Y7:$Z7)))))</f>
        <v>0</v>
      </c>
      <c r="AB7" s="202">
        <f>($K7/'Model Data Inputs'!$B$143)*'Model Data Inputs'!$B$145</f>
        <v>1.8623611111111108E-2</v>
      </c>
      <c r="AC7" s="202">
        <f t="shared" si="3"/>
        <v>1.8623611111111108E-2</v>
      </c>
      <c r="AD7" s="202">
        <f>IF($G7="F",0,'Model Data Inputs'!$B$147)</f>
        <v>1.1000000000000001</v>
      </c>
      <c r="AE7" s="202">
        <f>IF($G7="F",0,($K7/'Model Data Inputs'!$B$148)*'Model Data Inputs'!$B$149)</f>
        <v>6.7044999999999993E-2</v>
      </c>
      <c r="AF7" s="202">
        <f>IF($G7="F",0,($O7/'Model Data Inputs'!$B$150)*'Model Data Inputs'!$B$151)</f>
        <v>1.0244000000000003E-2</v>
      </c>
      <c r="AG7" s="202">
        <f>IF($G7="F",0,(($Q7*$T7)/'Model Data Inputs'!$B$152)*'Model Data Inputs'!$B$153)</f>
        <v>1.587697778837556E-2</v>
      </c>
      <c r="AH7" s="202">
        <f t="shared" si="4"/>
        <v>0.29829149444709391</v>
      </c>
      <c r="AI7" s="203">
        <f>IF(OR($G7="F",$F7="M",$F7="H"),0,($AH7*'Model Data Inputs'!$B$154)-$AH7)</f>
        <v>-5.9658298889418759E-2</v>
      </c>
      <c r="AJ7" s="202">
        <f>IF(OR($G7="F",$F7="E",$F7="H"),0,($AH7*'Model Data Inputs'!$B$155)-$AH7)</f>
        <v>0</v>
      </c>
      <c r="AK7" s="203">
        <f>IF(OR($G7="F",$F7="E",$F7="M"),0,($AH7*'Model Data Inputs'!$B$156)-$AH7)</f>
        <v>0</v>
      </c>
      <c r="AL7" s="203">
        <f>IF($G7="F",0,IF($M7&lt;'Model Data Inputs'!$B$158,$AH7*('Model Data Inputs'!$B$159-1),0))</f>
        <v>0</v>
      </c>
      <c r="AM7" s="202">
        <f>IF($G7="F",0,IF($M7&gt;'Model Data Inputs'!$B$160,$AH7*('Model Data Inputs'!$B$161-1),0))</f>
        <v>2.9829149444709418E-2</v>
      </c>
      <c r="AN7" s="202">
        <f>IF($G7="F",0,IF($P7&lt;'Model Data Inputs'!$B$162,SUM($AH7,$AI7,$AJ7,$AK7,$AL7,$AM7)*('Model Data Inputs'!$B$163-1),0))</f>
        <v>0</v>
      </c>
      <c r="AO7" s="202">
        <f t="shared" si="5"/>
        <v>0.26846234500238458</v>
      </c>
      <c r="AP7" s="204">
        <f>$K7*'Model Data Inputs'!$B$166</f>
        <v>2246.0074999999997</v>
      </c>
      <c r="AQ7" s="204">
        <f>($K7*'Model Data Inputs'!$B$145)*'Model Data Inputs'!$B$166</f>
        <v>224.60074999999998</v>
      </c>
      <c r="AR7" s="50">
        <f t="shared" si="6"/>
        <v>2470.6082499999998</v>
      </c>
    </row>
    <row r="8" spans="1:44" x14ac:dyDescent="0.2">
      <c r="A8" s="205" t="str">
        <f>'School Level Inst. Resources'!A8</f>
        <v>0101000</v>
      </c>
      <c r="B8" s="205" t="str">
        <f>'School Level Inst. Resources'!B8</f>
        <v>Albany #1</v>
      </c>
      <c r="C8" s="205" t="str">
        <f>'School Level Inst. Resources'!C8</f>
        <v>0101009</v>
      </c>
      <c r="D8" s="205" t="str">
        <f>'School Level Inst. Resources'!D8</f>
        <v>Harmony Elementary</v>
      </c>
      <c r="E8" s="206" t="str">
        <f>'School Level Inst. Resources'!E8</f>
        <v>K-6</v>
      </c>
      <c r="F8" s="206" t="str">
        <f>'School Level Inst. Resources'!H8</f>
        <v>E</v>
      </c>
      <c r="G8" s="206" t="s">
        <v>1158</v>
      </c>
      <c r="H8" s="207">
        <v>12919</v>
      </c>
      <c r="I8" s="207">
        <f>IF('SFD Allowable GSF Calculation'!$D$2=1,'SFD Allowable GSF Calculation'!$P8,'SFD Allowable GSF Calculation'!$X8)</f>
        <v>4904</v>
      </c>
      <c r="J8" s="194">
        <f>$I8*'Model Data Inputs'!$B$165</f>
        <v>5639.5999999999995</v>
      </c>
      <c r="K8" s="194">
        <f>IF($L8&gt;='Model Data Inputs'!$B$164,$H8,MIN($H8,$J8))</f>
        <v>5639.5999999999995</v>
      </c>
      <c r="L8" s="208">
        <v>1935</v>
      </c>
      <c r="M8" s="196">
        <f>IF($L8&gt;0,'Model Data Inputs'!$B$157-$L8,"")</f>
        <v>82</v>
      </c>
      <c r="N8" s="209">
        <v>7</v>
      </c>
      <c r="O8" s="198">
        <f>'School Level Inst. Resources'!$L8</f>
        <v>23.64</v>
      </c>
      <c r="P8" s="198">
        <f>IF($G8="T",SUMIFS('School Level ADM'!$S$5:$S$359,'School Level ADM'!$A$5:$A$359,$A8),0)</f>
        <v>3965.61</v>
      </c>
      <c r="Q8" s="199">
        <f t="shared" si="7"/>
        <v>5.9612518628912071E-3</v>
      </c>
      <c r="R8" s="200">
        <f>SUM((('School Level Inst. Resources'!I8/'Model Data Inputs'!$B$8)*(1+'Model Data Inputs'!$B$9)),(SUM('School Level Inst. Resources'!J8:K8)/'Model Data Inputs'!$C$8)*(1+'Model Data Inputs'!$C$9),'School Level Inst. Resources'!K8/400)</f>
        <v>1.5760000000000001</v>
      </c>
      <c r="S8" s="200">
        <f t="shared" si="1"/>
        <v>1.5760000000000001</v>
      </c>
      <c r="T8" s="201">
        <f>IF($G8="T",VLOOKUP($A8,'Total O &amp; M Resources'!$A$5:$K$52,3),0)</f>
        <v>33292037.800000001</v>
      </c>
      <c r="U8" s="202">
        <f>IF($G8="F",0,$S8/'Model Data Inputs'!$B$140)</f>
        <v>0.12123076923076924</v>
      </c>
      <c r="V8" s="202">
        <f>IF($G8="F",0,$O8/'Model Data Inputs'!$B$141)</f>
        <v>7.2738461538461543E-2</v>
      </c>
      <c r="W8" s="202">
        <f>IF($G8="F",0,$N8/'Model Data Inputs'!$B$142)</f>
        <v>0.53846153846153844</v>
      </c>
      <c r="X8" s="202">
        <f>IF($G8="F",0,$K8/'Model Data Inputs'!$B$143)</f>
        <v>0.3133111111111111</v>
      </c>
      <c r="Y8" s="202">
        <f t="shared" si="2"/>
        <v>0.26143547008547008</v>
      </c>
      <c r="Z8" s="202">
        <f>IF(OR($G8="F",$F8="E"),0,'Model Data Inputs'!$B$144)</f>
        <v>0</v>
      </c>
      <c r="AA8" s="202">
        <f>IF(AND($O8&lt;='Model Data Inputs'!$B$139,$F8="E"),0,IF(AND($O8&lt;='Model Data Inputs'!$B$139,$F8="M"),0,IF(AND($O8&lt;='Model Data Inputs'!$B$139,$F8="H"),0,IF(SUM($Y8:$Z8)&lt;1,1,SUM($Y8:$Z8)))))</f>
        <v>0</v>
      </c>
      <c r="AB8" s="202">
        <f>($K8/'Model Data Inputs'!$B$143)*'Model Data Inputs'!$B$145</f>
        <v>3.1331111111111108E-2</v>
      </c>
      <c r="AC8" s="202">
        <f t="shared" si="3"/>
        <v>3.1331111111111108E-2</v>
      </c>
      <c r="AD8" s="202">
        <f>IF($G8="F",0,'Model Data Inputs'!$B$147)</f>
        <v>1.1000000000000001</v>
      </c>
      <c r="AE8" s="202">
        <f>IF($G8="F",0,($K8/'Model Data Inputs'!$B$148)*'Model Data Inputs'!$B$149)</f>
        <v>0.11279199999999998</v>
      </c>
      <c r="AF8" s="202">
        <f>IF($G8="F",0,($O8/'Model Data Inputs'!$B$150)*'Model Data Inputs'!$B$151)</f>
        <v>3.0732000000000002E-2</v>
      </c>
      <c r="AG8" s="202">
        <f>IF($G8="F",0,(($Q8*$T8)/'Model Data Inputs'!$B$152)*'Model Data Inputs'!$B$153)</f>
        <v>4.7630933365126679E-2</v>
      </c>
      <c r="AH8" s="202">
        <f t="shared" si="4"/>
        <v>0.32278873334128166</v>
      </c>
      <c r="AI8" s="203">
        <f>IF(OR($G8="F",$F8="M",$F8="H"),0,($AH8*'Model Data Inputs'!$B$154)-$AH8)</f>
        <v>-6.4557746668256311E-2</v>
      </c>
      <c r="AJ8" s="202">
        <f>IF(OR($G8="F",$F8="E",$F8="H"),0,($AH8*'Model Data Inputs'!$B$155)-$AH8)</f>
        <v>0</v>
      </c>
      <c r="AK8" s="203">
        <f>IF(OR($G8="F",$F8="E",$F8="M"),0,($AH8*'Model Data Inputs'!$B$156)-$AH8)</f>
        <v>0</v>
      </c>
      <c r="AL8" s="203">
        <f>IF($G8="F",0,IF($M8&lt;'Model Data Inputs'!$B$158,$AH8*('Model Data Inputs'!$B$159-1),0))</f>
        <v>0</v>
      </c>
      <c r="AM8" s="202">
        <f>IF($G8="F",0,IF($M8&gt;'Model Data Inputs'!$B$160,$AH8*('Model Data Inputs'!$B$161-1),0))</f>
        <v>3.2278873334128197E-2</v>
      </c>
      <c r="AN8" s="202">
        <f>IF($G8="F",0,IF($P8&lt;'Model Data Inputs'!$B$162,SUM($AH8,$AI8,$AJ8,$AK8,$AL8,$AM8)*('Model Data Inputs'!$B$163-1),0))</f>
        <v>0</v>
      </c>
      <c r="AO8" s="202">
        <f t="shared" si="5"/>
        <v>0.29050986000715356</v>
      </c>
      <c r="AP8" s="204">
        <f>$K8*'Model Data Inputs'!$B$166</f>
        <v>3778.5319999999997</v>
      </c>
      <c r="AQ8" s="204">
        <f>($K8*'Model Data Inputs'!$B$145)*'Model Data Inputs'!$B$166</f>
        <v>377.85319999999996</v>
      </c>
      <c r="AR8" s="50">
        <f t="shared" si="6"/>
        <v>4156.3851999999997</v>
      </c>
    </row>
    <row r="9" spans="1:44" s="226" customFormat="1" x14ac:dyDescent="0.2">
      <c r="A9" s="210" t="str">
        <f>'School Level Inst. Resources'!A9</f>
        <v>0101000</v>
      </c>
      <c r="B9" s="210" t="str">
        <f>'School Level Inst. Resources'!B9</f>
        <v>Albany #1</v>
      </c>
      <c r="C9" s="210" t="str">
        <f>'School Level Inst. Resources'!C9</f>
        <v>0101015</v>
      </c>
      <c r="D9" s="210" t="str">
        <f>'School Level Inst. Resources'!D9</f>
        <v>Rock River Elementary</v>
      </c>
      <c r="E9" s="211" t="str">
        <f>'School Level Inst. Resources'!E9</f>
        <v>P-6</v>
      </c>
      <c r="F9" s="212" t="str">
        <f>'School Level Inst. Resources'!H9</f>
        <v>E</v>
      </c>
      <c r="G9" s="212" t="s">
        <v>1159</v>
      </c>
      <c r="H9" s="213">
        <v>0</v>
      </c>
      <c r="I9" s="213">
        <f>IF('SFD Allowable GSF Calculation'!$D$2=1,'SFD Allowable GSF Calculation'!$P9,'SFD Allowable GSF Calculation'!$X9)</f>
        <v>0</v>
      </c>
      <c r="J9" s="214">
        <f>$I9*'Model Data Inputs'!$B$165</f>
        <v>0</v>
      </c>
      <c r="K9" s="214">
        <f>IF($L9&gt;='Model Data Inputs'!$B$164,$H9,MIN($H9,$J9))</f>
        <v>0</v>
      </c>
      <c r="L9" s="215">
        <v>0</v>
      </c>
      <c r="M9" s="196" t="str">
        <f>IF($L9&gt;0,'Model Data Inputs'!$B$157-$L9,"")</f>
        <v/>
      </c>
      <c r="N9" s="216">
        <v>0</v>
      </c>
      <c r="O9" s="217">
        <v>0</v>
      </c>
      <c r="P9" s="218">
        <f>IF($G9="T",SUMIFS('School Level ADM'!$S$5:$S$359,'School Level ADM'!$A$5:$A$359,$A9),0)</f>
        <v>0</v>
      </c>
      <c r="Q9" s="219">
        <f t="shared" si="7"/>
        <v>0</v>
      </c>
      <c r="R9" s="220">
        <f>SUM((('School Level Inst. Resources'!I9/'Model Data Inputs'!$B$8)*(1+'Model Data Inputs'!$B$9)),(SUM('School Level Inst. Resources'!J9:K9)/'Model Data Inputs'!$C$8)*(1+'Model Data Inputs'!$C$9),'School Level Inst. Resources'!K9/400)</f>
        <v>1.7073333333333331</v>
      </c>
      <c r="S9" s="220">
        <v>0</v>
      </c>
      <c r="T9" s="221">
        <f>IF($G9="T",VLOOKUP($A9,'Total O &amp; M Resources'!$A$5:$K$52,3),0)</f>
        <v>0</v>
      </c>
      <c r="U9" s="222">
        <f>IF($G9="F",0,$S9/'Model Data Inputs'!$B$140)</f>
        <v>0</v>
      </c>
      <c r="V9" s="222">
        <f>IF($G9="F",0,$O9/'Model Data Inputs'!$B$141)</f>
        <v>0</v>
      </c>
      <c r="W9" s="222">
        <f>IF($G9="F",0,$N9/'Model Data Inputs'!$B$142)</f>
        <v>0</v>
      </c>
      <c r="X9" s="222">
        <f>IF($G9="F",0,$K9/'Model Data Inputs'!$B$143)</f>
        <v>0</v>
      </c>
      <c r="Y9" s="222">
        <f t="shared" si="2"/>
        <v>0</v>
      </c>
      <c r="Z9" s="222">
        <f>IF(OR($G9="F",$F9="E"),0,'Model Data Inputs'!$B$144)</f>
        <v>0</v>
      </c>
      <c r="AA9" s="222">
        <f>IF(AND($O9&lt;='Model Data Inputs'!$B$139,$F9="E"),0,IF(AND($O9&lt;='Model Data Inputs'!$B$139,$F9="M"),0,IF(AND($O9&lt;='Model Data Inputs'!$B$139,$F9="H"),0,IF(SUM($Y9:$Z9)&lt;1,1,SUM($Y9:$Z9)))))</f>
        <v>0</v>
      </c>
      <c r="AB9" s="222">
        <f>($K9/'Model Data Inputs'!$B$143)*'Model Data Inputs'!$B$145</f>
        <v>0</v>
      </c>
      <c r="AC9" s="222">
        <f t="shared" si="3"/>
        <v>0</v>
      </c>
      <c r="AD9" s="222">
        <f>IF($G9="F",0,'Model Data Inputs'!$B$147)</f>
        <v>0</v>
      </c>
      <c r="AE9" s="222">
        <f>IF($G9="F",0,($K9/'Model Data Inputs'!$B$148)*'Model Data Inputs'!$B$149)</f>
        <v>0</v>
      </c>
      <c r="AF9" s="222">
        <f>IF($G9="F",0,($O9/'Model Data Inputs'!$B$150)*'Model Data Inputs'!$B$151)</f>
        <v>0</v>
      </c>
      <c r="AG9" s="222">
        <f>IF($G9="F",0,(($Q9*$T9)/'Model Data Inputs'!$B$152)*'Model Data Inputs'!$B$153)</f>
        <v>0</v>
      </c>
      <c r="AH9" s="222">
        <f t="shared" si="4"/>
        <v>0</v>
      </c>
      <c r="AI9" s="223">
        <f>IF(OR($G9="F",$F9="M",$F9="H"),0,($AH9*'Model Data Inputs'!$B$154)-$AH9)</f>
        <v>0</v>
      </c>
      <c r="AJ9" s="222">
        <f>IF(OR($G9="F",$F9="E",$F9="H"),0,($AH9*'Model Data Inputs'!$B$155)-$AH9)</f>
        <v>0</v>
      </c>
      <c r="AK9" s="223">
        <f>IF(OR($G9="F",$F9="E",$F9="M"),0,($AH9*'Model Data Inputs'!$B$156)-$AH9)</f>
        <v>0</v>
      </c>
      <c r="AL9" s="223">
        <f>IF($G9="F",0,IF($M9&lt;'Model Data Inputs'!$B$158,$AH9*('Model Data Inputs'!$B$159-1),0))</f>
        <v>0</v>
      </c>
      <c r="AM9" s="222">
        <f>IF($G9="F",0,IF($M9&gt;'Model Data Inputs'!$B$160,$AH9*('Model Data Inputs'!$B$161-1),0))</f>
        <v>0</v>
      </c>
      <c r="AN9" s="222">
        <f>IF($G9="F",0,IF($P9&lt;'Model Data Inputs'!$B$162,SUM($AH9,$AI9,$AJ9,$AK9,$AL9,$AM9)*('Model Data Inputs'!$B$163-1),0))</f>
        <v>0</v>
      </c>
      <c r="AO9" s="222">
        <f t="shared" si="5"/>
        <v>0</v>
      </c>
      <c r="AP9" s="224">
        <f>$K9*'Model Data Inputs'!$B$166</f>
        <v>0</v>
      </c>
      <c r="AQ9" s="224">
        <f>($K9*'Model Data Inputs'!$B$145)*'Model Data Inputs'!$B$166</f>
        <v>0</v>
      </c>
      <c r="AR9" s="225">
        <f t="shared" si="6"/>
        <v>0</v>
      </c>
    </row>
    <row r="10" spans="1:44" x14ac:dyDescent="0.2">
      <c r="A10" s="227" t="str">
        <f>'School Level Inst. Resources'!A10</f>
        <v>0101000</v>
      </c>
      <c r="B10" s="227" t="str">
        <f>'School Level Inst. Resources'!B10</f>
        <v>Albany #1</v>
      </c>
      <c r="C10" s="227" t="str">
        <f>'School Level Inst. Resources'!C10</f>
        <v>0101017</v>
      </c>
      <c r="D10" s="227" t="str">
        <f>'School Level Inst. Resources'!D10</f>
        <v>Slade Elementary</v>
      </c>
      <c r="E10" s="228" t="str">
        <f>'School Level Inst. Resources'!E10</f>
        <v>P-5</v>
      </c>
      <c r="F10" s="229" t="str">
        <f>'School Level Inst. Resources'!H10</f>
        <v>E</v>
      </c>
      <c r="G10" s="229" t="s">
        <v>1158</v>
      </c>
      <c r="H10" s="207">
        <v>42080</v>
      </c>
      <c r="I10" s="207">
        <f>IF('SFD Allowable GSF Calculation'!$D$2=1,'SFD Allowable GSF Calculation'!$P10,'SFD Allowable GSF Calculation'!$X10)</f>
        <v>39823</v>
      </c>
      <c r="J10" s="194">
        <f>$I10*'Model Data Inputs'!$B$165</f>
        <v>45796.45</v>
      </c>
      <c r="K10" s="194">
        <f>IF($L10&gt;='Model Data Inputs'!$B$164,$H10,MIN($H10,$J10))</f>
        <v>42080</v>
      </c>
      <c r="L10" s="208">
        <v>1955</v>
      </c>
      <c r="M10" s="196">
        <f>IF($L10&gt;0,'Model Data Inputs'!$B$157-$L10,"")</f>
        <v>62</v>
      </c>
      <c r="N10" s="209">
        <v>32</v>
      </c>
      <c r="O10" s="198">
        <f>'School Level Inst. Resources'!$L10</f>
        <v>246.25</v>
      </c>
      <c r="P10" s="198">
        <f>IF($G10="T",SUMIFS('School Level ADM'!$S$5:$S$359,'School Level ADM'!$A$5:$A$359,$A10),0)</f>
        <v>3965.61</v>
      </c>
      <c r="Q10" s="199">
        <f t="shared" si="7"/>
        <v>6.2096373571783409E-2</v>
      </c>
      <c r="R10" s="200">
        <f>SUM((('School Level Inst. Resources'!I10/'Model Data Inputs'!$B$8)*(1+'Model Data Inputs'!$B$9)),(SUM('School Level Inst. Resources'!J10:K10)/'Model Data Inputs'!$C$8)*(1+'Model Data Inputs'!$C$9),'School Level Inst. Resources'!K10/400)</f>
        <v>16.416666666666664</v>
      </c>
      <c r="S10" s="200">
        <f t="shared" si="1"/>
        <v>16.416666666666664</v>
      </c>
      <c r="T10" s="201">
        <f>IF($G10="T",VLOOKUP($A10,'Total O &amp; M Resources'!$A$5:$K$52,3),0)</f>
        <v>33292037.800000001</v>
      </c>
      <c r="U10" s="202">
        <f>IF($G10="F",0,$S10/'Model Data Inputs'!$B$140)</f>
        <v>1.2628205128205126</v>
      </c>
      <c r="V10" s="202">
        <f>IF($G10="F",0,$O10/'Model Data Inputs'!$B$141)</f>
        <v>0.75769230769230766</v>
      </c>
      <c r="W10" s="202">
        <f>IF($G10="F",0,$N10/'Model Data Inputs'!$B$142)</f>
        <v>2.4615384615384617</v>
      </c>
      <c r="X10" s="202">
        <f>IF($G10="F",0,$K10/'Model Data Inputs'!$B$143)</f>
        <v>2.3377777777777777</v>
      </c>
      <c r="Y10" s="202">
        <f t="shared" si="2"/>
        <v>1.7049572649572649</v>
      </c>
      <c r="Z10" s="202">
        <f>IF(OR($G10="F",$F10="E"),0,'Model Data Inputs'!$B$144)</f>
        <v>0</v>
      </c>
      <c r="AA10" s="202">
        <f>IF(AND($O10&lt;='Model Data Inputs'!$B$139,$F10="E"),0,IF(AND($O10&lt;='Model Data Inputs'!$B$139,$F10="M"),0,IF(AND($O10&lt;='Model Data Inputs'!$B$139,$F10="H"),0,IF(SUM($Y10:$Z10)&lt;1,1,SUM($Y10:$Z10)))))</f>
        <v>1.7049572649572649</v>
      </c>
      <c r="AB10" s="202">
        <f>($K10/'Model Data Inputs'!$B$143)*'Model Data Inputs'!$B$145</f>
        <v>0.23377777777777778</v>
      </c>
      <c r="AC10" s="202">
        <f t="shared" si="3"/>
        <v>1.9387350427350427</v>
      </c>
      <c r="AD10" s="202">
        <f>IF($G10="F",0,'Model Data Inputs'!$B$147)</f>
        <v>1.1000000000000001</v>
      </c>
      <c r="AE10" s="202">
        <f>IF($G10="F",0,($K10/'Model Data Inputs'!$B$148)*'Model Data Inputs'!$B$149)</f>
        <v>0.84160000000000001</v>
      </c>
      <c r="AF10" s="202">
        <f>IF($G10="F",0,($O10/'Model Data Inputs'!$B$150)*'Model Data Inputs'!$B$151)</f>
        <v>0.32012499999999999</v>
      </c>
      <c r="AG10" s="202">
        <f>IF($G10="F",0,(($Q10*$T10)/'Model Data Inputs'!$B$152)*'Model Data Inputs'!$B$153)</f>
        <v>0.49615555588673621</v>
      </c>
      <c r="AH10" s="202">
        <f t="shared" si="4"/>
        <v>0.68947013897168408</v>
      </c>
      <c r="AI10" s="203">
        <f>IF(OR($G10="F",$F10="M",$F10="H"),0,($AH10*'Model Data Inputs'!$B$154)-$AH10)</f>
        <v>-0.13789402779433679</v>
      </c>
      <c r="AJ10" s="202">
        <f>IF(OR($G10="F",$F10="E",$F10="H"),0,($AH10*'Model Data Inputs'!$B$155)-$AH10)</f>
        <v>0</v>
      </c>
      <c r="AK10" s="203">
        <f>IF(OR($G10="F",$F10="E",$F10="M"),0,($AH10*'Model Data Inputs'!$B$156)-$AH10)</f>
        <v>0</v>
      </c>
      <c r="AL10" s="203">
        <f>IF($G10="F",0,IF($M10&lt;'Model Data Inputs'!$B$158,$AH10*('Model Data Inputs'!$B$159-1),0))</f>
        <v>0</v>
      </c>
      <c r="AM10" s="202">
        <f>IF($G10="F",0,IF($M10&gt;'Model Data Inputs'!$B$160,$AH10*('Model Data Inputs'!$B$161-1),0))</f>
        <v>6.8947013897168466E-2</v>
      </c>
      <c r="AN10" s="202">
        <f>IF($G10="F",0,IF($P10&lt;'Model Data Inputs'!$B$162,SUM($AH10,$AI10,$AJ10,$AK10,$AL10,$AM10)*('Model Data Inputs'!$B$163-1),0))</f>
        <v>0</v>
      </c>
      <c r="AO10" s="202">
        <f t="shared" si="5"/>
        <v>0.62052312507451579</v>
      </c>
      <c r="AP10" s="204">
        <f>$K10*'Model Data Inputs'!$B$166</f>
        <v>28193.600000000002</v>
      </c>
      <c r="AQ10" s="204">
        <f>($K10*'Model Data Inputs'!$B$145)*'Model Data Inputs'!$B$166</f>
        <v>2819.36</v>
      </c>
      <c r="AR10" s="50">
        <f t="shared" si="6"/>
        <v>31012.960000000003</v>
      </c>
    </row>
    <row r="11" spans="1:44" x14ac:dyDescent="0.2">
      <c r="A11" s="227" t="str">
        <f>'School Level Inst. Resources'!A11</f>
        <v>0101000</v>
      </c>
      <c r="B11" s="227" t="str">
        <f>'School Level Inst. Resources'!B11</f>
        <v>Albany #1</v>
      </c>
      <c r="C11" s="227" t="str">
        <f>'School Level Inst. Resources'!C11</f>
        <v>0101019</v>
      </c>
      <c r="D11" s="227" t="str">
        <f>'School Level Inst. Resources'!D11</f>
        <v>Valley View Elementary</v>
      </c>
      <c r="E11" s="228" t="str">
        <f>'School Level Inst. Resources'!E11</f>
        <v>K-6</v>
      </c>
      <c r="F11" s="229" t="str">
        <f>'School Level Inst. Resources'!H11</f>
        <v>E</v>
      </c>
      <c r="G11" s="229" t="s">
        <v>1158</v>
      </c>
      <c r="H11" s="207">
        <v>6729</v>
      </c>
      <c r="I11" s="207">
        <f>IF('SFD Allowable GSF Calculation'!$D$2=1,'SFD Allowable GSF Calculation'!$P11,'SFD Allowable GSF Calculation'!$X11)</f>
        <v>2915</v>
      </c>
      <c r="J11" s="194">
        <f>$I11*'Model Data Inputs'!$B$165</f>
        <v>3352.2499999999995</v>
      </c>
      <c r="K11" s="194">
        <f>IF($L11&gt;='Model Data Inputs'!$B$164,$H11,MIN($H11,$J11))</f>
        <v>3352.2499999999995</v>
      </c>
      <c r="L11" s="208">
        <v>1963</v>
      </c>
      <c r="M11" s="196">
        <f>IF($L11&gt;0,'Model Data Inputs'!$B$157-$L11,"")</f>
        <v>54</v>
      </c>
      <c r="N11" s="209">
        <v>3</v>
      </c>
      <c r="O11" s="198">
        <f>'School Level Inst. Resources'!$L11</f>
        <v>4.9249999999999998</v>
      </c>
      <c r="P11" s="198">
        <f>IF($G11="T",SUMIFS('School Level ADM'!$S$5:$S$359,'School Level ADM'!$A$5:$A$359,$A11),0)</f>
        <v>3965.61</v>
      </c>
      <c r="Q11" s="199">
        <f t="shared" si="7"/>
        <v>1.2419274714356682E-3</v>
      </c>
      <c r="R11" s="200">
        <f>SUM((('School Level Inst. Resources'!I11/'Model Data Inputs'!$B$8)*(1+'Model Data Inputs'!$B$9)),(SUM('School Level Inst. Resources'!J11:K11)/'Model Data Inputs'!$C$8)*(1+'Model Data Inputs'!$C$9),'School Level Inst. Resources'!K11/400)</f>
        <v>0.32833333333333331</v>
      </c>
      <c r="S11" s="200">
        <f t="shared" si="1"/>
        <v>0.32833333333333331</v>
      </c>
      <c r="T11" s="201">
        <f>IF($G11="T",VLOOKUP($A11,'Total O &amp; M Resources'!$A$5:$K$52,3),0)</f>
        <v>33292037.800000001</v>
      </c>
      <c r="U11" s="202">
        <f>IF($G11="F",0,$S11/'Model Data Inputs'!$B$140)</f>
        <v>2.5256410256410254E-2</v>
      </c>
      <c r="V11" s="202">
        <f>IF($G11="F",0,$O11/'Model Data Inputs'!$B$141)</f>
        <v>1.5153846153846153E-2</v>
      </c>
      <c r="W11" s="202">
        <f>IF($G11="F",0,$N11/'Model Data Inputs'!$B$142)</f>
        <v>0.23076923076923078</v>
      </c>
      <c r="X11" s="202">
        <f>IF($G11="F",0,$K11/'Model Data Inputs'!$B$143)</f>
        <v>0.18623611111111107</v>
      </c>
      <c r="Y11" s="202">
        <f t="shared" si="2"/>
        <v>0.11435389957264958</v>
      </c>
      <c r="Z11" s="202">
        <f>IF(OR($G11="F",$F11="E"),0,'Model Data Inputs'!$B$144)</f>
        <v>0</v>
      </c>
      <c r="AA11" s="202">
        <f>IF(AND($O11&lt;='Model Data Inputs'!$B$139,$F11="E"),0,IF(AND($O11&lt;='Model Data Inputs'!$B$139,$F11="M"),0,IF(AND($O11&lt;='Model Data Inputs'!$B$139,$F11="H"),0,IF(SUM($Y11:$Z11)&lt;1,1,SUM($Y11:$Z11)))))</f>
        <v>0</v>
      </c>
      <c r="AB11" s="202">
        <f>($K11/'Model Data Inputs'!$B$143)*'Model Data Inputs'!$B$145</f>
        <v>1.8623611111111108E-2</v>
      </c>
      <c r="AC11" s="202">
        <f t="shared" si="3"/>
        <v>1.8623611111111108E-2</v>
      </c>
      <c r="AD11" s="202">
        <f>IF($G11="F",0,'Model Data Inputs'!$B$147)</f>
        <v>1.1000000000000001</v>
      </c>
      <c r="AE11" s="202">
        <f>IF($G11="F",0,($K11/'Model Data Inputs'!$B$148)*'Model Data Inputs'!$B$149)</f>
        <v>6.7044999999999993E-2</v>
      </c>
      <c r="AF11" s="202">
        <f>IF($G11="F",0,($O11/'Model Data Inputs'!$B$150)*'Model Data Inputs'!$B$151)</f>
        <v>6.4025000000000002E-3</v>
      </c>
      <c r="AG11" s="202">
        <f>IF($G11="F",0,(($Q11*$T11)/'Model Data Inputs'!$B$152)*'Model Data Inputs'!$B$153)</f>
        <v>9.9231111177347231E-3</v>
      </c>
      <c r="AH11" s="202">
        <f t="shared" si="4"/>
        <v>0.29584265277943372</v>
      </c>
      <c r="AI11" s="203">
        <f>IF(OR($G11="F",$F11="M",$F11="H"),0,($AH11*'Model Data Inputs'!$B$154)-$AH11)</f>
        <v>-5.9168530555886722E-2</v>
      </c>
      <c r="AJ11" s="202">
        <f>IF(OR($G11="F",$F11="E",$F11="H"),0,($AH11*'Model Data Inputs'!$B$155)-$AH11)</f>
        <v>0</v>
      </c>
      <c r="AK11" s="203">
        <f>IF(OR($G11="F",$F11="E",$F11="M"),0,($AH11*'Model Data Inputs'!$B$156)-$AH11)</f>
        <v>0</v>
      </c>
      <c r="AL11" s="203">
        <f>IF($G11="F",0,IF($M11&lt;'Model Data Inputs'!$B$158,$AH11*('Model Data Inputs'!$B$159-1),0))</f>
        <v>0</v>
      </c>
      <c r="AM11" s="202">
        <f>IF($G11="F",0,IF($M11&gt;'Model Data Inputs'!$B$160,$AH11*('Model Data Inputs'!$B$161-1),0))</f>
        <v>2.9584265277943399E-2</v>
      </c>
      <c r="AN11" s="202">
        <f>IF($G11="F",0,IF($P11&lt;'Model Data Inputs'!$B$162,SUM($AH11,$AI11,$AJ11,$AK11,$AL11,$AM11)*('Model Data Inputs'!$B$163-1),0))</f>
        <v>0</v>
      </c>
      <c r="AO11" s="202">
        <f t="shared" si="5"/>
        <v>0.26625838750149039</v>
      </c>
      <c r="AP11" s="204">
        <f>$K11*'Model Data Inputs'!$B$166</f>
        <v>2246.0074999999997</v>
      </c>
      <c r="AQ11" s="204">
        <f>($K11*'Model Data Inputs'!$B$145)*'Model Data Inputs'!$B$166</f>
        <v>224.60074999999998</v>
      </c>
      <c r="AR11" s="50">
        <f t="shared" si="6"/>
        <v>2470.6082499999998</v>
      </c>
    </row>
    <row r="12" spans="1:44" x14ac:dyDescent="0.2">
      <c r="A12" s="227" t="str">
        <f>'School Level Inst. Resources'!A12</f>
        <v>0101000</v>
      </c>
      <c r="B12" s="227" t="str">
        <f>'School Level Inst. Resources'!B12</f>
        <v>Albany #1</v>
      </c>
      <c r="C12" s="227" t="str">
        <f>'School Level Inst. Resources'!C12</f>
        <v>0101020</v>
      </c>
      <c r="D12" s="227" t="str">
        <f>'School Level Inst. Resources'!D12</f>
        <v>Velma Linford Elementary</v>
      </c>
      <c r="E12" s="228" t="str">
        <f>'School Level Inst. Resources'!E12</f>
        <v>P-5</v>
      </c>
      <c r="F12" s="229" t="str">
        <f>'School Level Inst. Resources'!H12</f>
        <v>E</v>
      </c>
      <c r="G12" s="229" t="s">
        <v>1158</v>
      </c>
      <c r="H12" s="207">
        <v>46031</v>
      </c>
      <c r="I12" s="207">
        <f>IF('SFD Allowable GSF Calculation'!$D$2=1,'SFD Allowable GSF Calculation'!$P12,'SFD Allowable GSF Calculation'!$X12)</f>
        <v>49339</v>
      </c>
      <c r="J12" s="194">
        <f>$I12*'Model Data Inputs'!$B$165</f>
        <v>56739.85</v>
      </c>
      <c r="K12" s="194">
        <f>IF($L12&gt;='Model Data Inputs'!$B$164,$H12,MIN($H12,$J12))</f>
        <v>46031</v>
      </c>
      <c r="L12" s="208">
        <v>1978</v>
      </c>
      <c r="M12" s="196">
        <f>IF($L12&gt;0,'Model Data Inputs'!$B$157-$L12,"")</f>
        <v>39</v>
      </c>
      <c r="N12" s="209">
        <v>40</v>
      </c>
      <c r="O12" s="198">
        <f>'School Level Inst. Resources'!$L12</f>
        <v>313.22999999999996</v>
      </c>
      <c r="P12" s="198">
        <f>IF($G12="T",SUMIFS('School Level ADM'!$S$5:$S$359,'School Level ADM'!$A$5:$A$359,$A12),0)</f>
        <v>3965.61</v>
      </c>
      <c r="Q12" s="199">
        <f t="shared" si="7"/>
        <v>7.8986587183308477E-2</v>
      </c>
      <c r="R12" s="200">
        <f>SUM((('School Level Inst. Resources'!I12/'Model Data Inputs'!$B$8)*(1+'Model Data Inputs'!$B$9)),(SUM('School Level Inst. Resources'!J12:K12)/'Model Data Inputs'!$C$8)*(1+'Model Data Inputs'!$C$9),'School Level Inst. Resources'!K12/400)</f>
        <v>20.881999999999994</v>
      </c>
      <c r="S12" s="200">
        <f t="shared" si="1"/>
        <v>20.881999999999994</v>
      </c>
      <c r="T12" s="201">
        <f>IF($G12="T",VLOOKUP($A12,'Total O &amp; M Resources'!$A$5:$K$52,3),0)</f>
        <v>33292037.800000001</v>
      </c>
      <c r="U12" s="202">
        <f>IF($G12="F",0,$S12/'Model Data Inputs'!$B$140)</f>
        <v>1.6063076923076918</v>
      </c>
      <c r="V12" s="202">
        <f>IF($G12="F",0,$O12/'Model Data Inputs'!$B$141)</f>
        <v>0.96378461538461524</v>
      </c>
      <c r="W12" s="202">
        <f>IF($G12="F",0,$N12/'Model Data Inputs'!$B$142)</f>
        <v>3.0769230769230771</v>
      </c>
      <c r="X12" s="202">
        <f>IF($G12="F",0,$K12/'Model Data Inputs'!$B$143)</f>
        <v>2.5572777777777778</v>
      </c>
      <c r="Y12" s="202">
        <f t="shared" si="2"/>
        <v>2.0510732905982905</v>
      </c>
      <c r="Z12" s="202">
        <f>IF(OR($G12="F",$F12="E"),0,'Model Data Inputs'!$B$144)</f>
        <v>0</v>
      </c>
      <c r="AA12" s="202">
        <f>IF(AND($O12&lt;='Model Data Inputs'!$B$139,$F12="E"),0,IF(AND($O12&lt;='Model Data Inputs'!$B$139,$F12="M"),0,IF(AND($O12&lt;='Model Data Inputs'!$B$139,$F12="H"),0,IF(SUM($Y12:$Z12)&lt;1,1,SUM($Y12:$Z12)))))</f>
        <v>2.0510732905982905</v>
      </c>
      <c r="AB12" s="202">
        <f>($K12/'Model Data Inputs'!$B$143)*'Model Data Inputs'!$B$145</f>
        <v>0.25572777777777778</v>
      </c>
      <c r="AC12" s="202">
        <f t="shared" si="3"/>
        <v>2.3068010683760685</v>
      </c>
      <c r="AD12" s="202">
        <f>IF($G12="F",0,'Model Data Inputs'!$B$147)</f>
        <v>1.1000000000000001</v>
      </c>
      <c r="AE12" s="202">
        <f>IF($G12="F",0,($K12/'Model Data Inputs'!$B$148)*'Model Data Inputs'!$B$149)</f>
        <v>0.92061999999999999</v>
      </c>
      <c r="AF12" s="202">
        <f>IF($G12="F",0,($O12/'Model Data Inputs'!$B$150)*'Model Data Inputs'!$B$151)</f>
        <v>0.40719899999999998</v>
      </c>
      <c r="AG12" s="202">
        <f>IF($G12="F",0,(($Q12*$T12)/'Model Data Inputs'!$B$152)*'Model Data Inputs'!$B$153)</f>
        <v>0.63110986708792816</v>
      </c>
      <c r="AH12" s="202">
        <f t="shared" si="4"/>
        <v>0.764732216771982</v>
      </c>
      <c r="AI12" s="203">
        <f>IF(OR($G12="F",$F12="M",$F12="H"),0,($AH12*'Model Data Inputs'!$B$154)-$AH12)</f>
        <v>-0.15294644335439633</v>
      </c>
      <c r="AJ12" s="202">
        <f>IF(OR($G12="F",$F12="E",$F12="H"),0,($AH12*'Model Data Inputs'!$B$155)-$AH12)</f>
        <v>0</v>
      </c>
      <c r="AK12" s="203">
        <f>IF(OR($G12="F",$F12="E",$F12="M"),0,($AH12*'Model Data Inputs'!$B$156)-$AH12)</f>
        <v>0</v>
      </c>
      <c r="AL12" s="203">
        <f>IF($G12="F",0,IF($M12&lt;'Model Data Inputs'!$B$158,$AH12*('Model Data Inputs'!$B$159-1),0))</f>
        <v>0</v>
      </c>
      <c r="AM12" s="202">
        <f>IF($G12="F",0,IF($M12&gt;'Model Data Inputs'!$B$160,$AH12*('Model Data Inputs'!$B$161-1),0))</f>
        <v>7.6473221677198264E-2</v>
      </c>
      <c r="AN12" s="202">
        <f>IF($G12="F",0,IF($P12&lt;'Model Data Inputs'!$B$162,SUM($AH12,$AI12,$AJ12,$AK12,$AL12,$AM12)*('Model Data Inputs'!$B$163-1),0))</f>
        <v>0</v>
      </c>
      <c r="AO12" s="202">
        <f t="shared" si="5"/>
        <v>0.68825899509478394</v>
      </c>
      <c r="AP12" s="204">
        <f>$K12*'Model Data Inputs'!$B$166</f>
        <v>30840.77</v>
      </c>
      <c r="AQ12" s="204">
        <f>($K12*'Model Data Inputs'!$B$145)*'Model Data Inputs'!$B$166</f>
        <v>3084.0770000000002</v>
      </c>
      <c r="AR12" s="50">
        <f t="shared" si="6"/>
        <v>33924.847000000002</v>
      </c>
    </row>
    <row r="13" spans="1:44" x14ac:dyDescent="0.2">
      <c r="A13" s="227" t="str">
        <f>'School Level Inst. Resources'!A13</f>
        <v>0101000</v>
      </c>
      <c r="B13" s="227" t="str">
        <f>'School Level Inst. Resources'!B13</f>
        <v>Albany #1</v>
      </c>
      <c r="C13" s="227" t="str">
        <f>'School Level Inst. Resources'!C13</f>
        <v>0101027</v>
      </c>
      <c r="D13" s="227" t="str">
        <f>'School Level Inst. Resources'!D13</f>
        <v>Spring Creek Elementary</v>
      </c>
      <c r="E13" s="228" t="str">
        <f>'School Level Inst. Resources'!E13</f>
        <v>K-5</v>
      </c>
      <c r="F13" s="229" t="str">
        <f>'School Level Inst. Resources'!H13</f>
        <v>E</v>
      </c>
      <c r="G13" s="229" t="s">
        <v>1158</v>
      </c>
      <c r="H13" s="207">
        <v>57353</v>
      </c>
      <c r="I13" s="207">
        <f>IF('SFD Allowable GSF Calculation'!$D$2=1,'SFD Allowable GSF Calculation'!$P13,'SFD Allowable GSF Calculation'!$X13)</f>
        <v>47841</v>
      </c>
      <c r="J13" s="194">
        <f>$I13*'Model Data Inputs'!$B$165</f>
        <v>55017.149999999994</v>
      </c>
      <c r="K13" s="194">
        <f>IF($L13&gt;='Model Data Inputs'!$B$164,$H13,MIN($H13,$J13))</f>
        <v>55017.149999999994</v>
      </c>
      <c r="L13" s="208">
        <v>1992</v>
      </c>
      <c r="M13" s="196">
        <f>IF($L13&gt;0,'Model Data Inputs'!$B$157-$L13,"")</f>
        <v>25</v>
      </c>
      <c r="N13" s="209">
        <v>38</v>
      </c>
      <c r="O13" s="198">
        <f>'School Level Inst. Resources'!$L13</f>
        <v>321.11</v>
      </c>
      <c r="P13" s="198">
        <f>IF($G13="T",SUMIFS('School Level ADM'!$S$5:$S$359,'School Level ADM'!$A$5:$A$359,$A13),0)</f>
        <v>3965.61</v>
      </c>
      <c r="Q13" s="199">
        <f t="shared" si="7"/>
        <v>8.0973671137605563E-2</v>
      </c>
      <c r="R13" s="200">
        <f>SUM((('School Level Inst. Resources'!I13/'Model Data Inputs'!$B$8)*(1+'Model Data Inputs'!$B$9)),(SUM('School Level Inst. Resources'!J13:K13)/'Model Data Inputs'!$C$8)*(1+'Model Data Inputs'!$C$9),'School Level Inst. Resources'!K13/400)</f>
        <v>21.407333333333334</v>
      </c>
      <c r="S13" s="200">
        <f t="shared" si="1"/>
        <v>21.407333333333334</v>
      </c>
      <c r="T13" s="201">
        <f>IF($G13="T",VLOOKUP($A13,'Total O &amp; M Resources'!$A$5:$K$52,3),0)</f>
        <v>33292037.800000001</v>
      </c>
      <c r="U13" s="202">
        <f>IF($G13="F",0,$S13/'Model Data Inputs'!$B$140)</f>
        <v>1.6467179487179489</v>
      </c>
      <c r="V13" s="202">
        <f>IF($G13="F",0,$O13/'Model Data Inputs'!$B$141)</f>
        <v>0.98803076923076927</v>
      </c>
      <c r="W13" s="202">
        <f>IF($G13="F",0,$N13/'Model Data Inputs'!$B$142)</f>
        <v>2.9230769230769229</v>
      </c>
      <c r="X13" s="202">
        <f>IF($G13="F",0,$K13/'Model Data Inputs'!$B$143)</f>
        <v>3.0565083333333329</v>
      </c>
      <c r="Y13" s="202">
        <f t="shared" si="2"/>
        <v>2.1535834935897435</v>
      </c>
      <c r="Z13" s="202">
        <f>IF(OR($G13="F",$F13="E"),0,'Model Data Inputs'!$B$144)</f>
        <v>0</v>
      </c>
      <c r="AA13" s="202">
        <f>IF(AND($O13&lt;='Model Data Inputs'!$B$139,$F13="E"),0,IF(AND($O13&lt;='Model Data Inputs'!$B$139,$F13="M"),0,IF(AND($O13&lt;='Model Data Inputs'!$B$139,$F13="H"),0,IF(SUM($Y13:$Z13)&lt;1,1,SUM($Y13:$Z13)))))</f>
        <v>2.1535834935897435</v>
      </c>
      <c r="AB13" s="202">
        <f>($K13/'Model Data Inputs'!$B$143)*'Model Data Inputs'!$B$145</f>
        <v>0.30565083333333332</v>
      </c>
      <c r="AC13" s="202">
        <f t="shared" si="3"/>
        <v>2.459234326923077</v>
      </c>
      <c r="AD13" s="202">
        <f>IF($G13="F",0,'Model Data Inputs'!$B$147)</f>
        <v>1.1000000000000001</v>
      </c>
      <c r="AE13" s="202">
        <f>IF($G13="F",0,($K13/'Model Data Inputs'!$B$148)*'Model Data Inputs'!$B$149)</f>
        <v>1.1003429999999998</v>
      </c>
      <c r="AF13" s="202">
        <f>IF($G13="F",0,($O13/'Model Data Inputs'!$B$150)*'Model Data Inputs'!$B$151)</f>
        <v>0.41744300000000001</v>
      </c>
      <c r="AG13" s="202">
        <f>IF($G13="F",0,(($Q13*$T13)/'Model Data Inputs'!$B$152)*'Model Data Inputs'!$B$153)</f>
        <v>0.64698684487630398</v>
      </c>
      <c r="AH13" s="202">
        <f t="shared" si="4"/>
        <v>0.81619321121907606</v>
      </c>
      <c r="AI13" s="203">
        <f>IF(OR($G13="F",$F13="M",$F13="H"),0,($AH13*'Model Data Inputs'!$B$154)-$AH13)</f>
        <v>-0.16323864224381512</v>
      </c>
      <c r="AJ13" s="202">
        <f>IF(OR($G13="F",$F13="E",$F13="H"),0,($AH13*'Model Data Inputs'!$B$155)-$AH13)</f>
        <v>0</v>
      </c>
      <c r="AK13" s="203">
        <f>IF(OR($G13="F",$F13="E",$F13="M"),0,($AH13*'Model Data Inputs'!$B$156)-$AH13)</f>
        <v>0</v>
      </c>
      <c r="AL13" s="203">
        <f>IF($G13="F",0,IF($M13&lt;'Model Data Inputs'!$B$158,$AH13*('Model Data Inputs'!$B$159-1),0))</f>
        <v>0</v>
      </c>
      <c r="AM13" s="202">
        <f>IF($G13="F",0,IF($M13&gt;'Model Data Inputs'!$B$160,$AH13*('Model Data Inputs'!$B$161-1),0))</f>
        <v>0</v>
      </c>
      <c r="AN13" s="202">
        <f>IF($G13="F",0,IF($P13&lt;'Model Data Inputs'!$B$162,SUM($AH13,$AI13,$AJ13,$AK13,$AL13,$AM13)*('Model Data Inputs'!$B$163-1),0))</f>
        <v>0</v>
      </c>
      <c r="AO13" s="202">
        <f t="shared" si="5"/>
        <v>0.65295456897526094</v>
      </c>
      <c r="AP13" s="204">
        <f>$K13*'Model Data Inputs'!$B$166</f>
        <v>36861.4905</v>
      </c>
      <c r="AQ13" s="204">
        <f>($K13*'Model Data Inputs'!$B$145)*'Model Data Inputs'!$B$166</f>
        <v>3686.1490500000004</v>
      </c>
      <c r="AR13" s="50">
        <f t="shared" si="6"/>
        <v>40547.63955</v>
      </c>
    </row>
    <row r="14" spans="1:44" x14ac:dyDescent="0.2">
      <c r="A14" s="227" t="str">
        <f>'School Level Inst. Resources'!A14</f>
        <v>0101000</v>
      </c>
      <c r="B14" s="227" t="str">
        <f>'School Level Inst. Resources'!B14</f>
        <v>Albany #1</v>
      </c>
      <c r="C14" s="227" t="str">
        <f>'School Level Inst. Resources'!C14</f>
        <v>0101028</v>
      </c>
      <c r="D14" s="227" t="str">
        <f>'School Level Inst. Resources'!D14</f>
        <v>Indian Paintbrush  Elementary</v>
      </c>
      <c r="E14" s="228" t="str">
        <f>'School Level Inst. Resources'!E14</f>
        <v>K-5</v>
      </c>
      <c r="F14" s="229" t="str">
        <f>'School Level Inst. Resources'!H14</f>
        <v>E</v>
      </c>
      <c r="G14" s="229" t="s">
        <v>1158</v>
      </c>
      <c r="H14" s="207">
        <v>54090</v>
      </c>
      <c r="I14" s="207">
        <f>IF('SFD Allowable GSF Calculation'!$D$2=1,'SFD Allowable GSF Calculation'!$P14,'SFD Allowable GSF Calculation'!$X14)</f>
        <v>47872</v>
      </c>
      <c r="J14" s="194">
        <f>$I14*'Model Data Inputs'!$B$165</f>
        <v>55052.799999999996</v>
      </c>
      <c r="K14" s="194">
        <f>IF($L14&gt;='Model Data Inputs'!$B$164,$H14,MIN($H14,$J14))</f>
        <v>54090</v>
      </c>
      <c r="L14" s="208">
        <v>1992</v>
      </c>
      <c r="M14" s="196">
        <f>IF($L14&gt;0,'Model Data Inputs'!$B$157-$L14,"")</f>
        <v>25</v>
      </c>
      <c r="N14" s="209">
        <v>42</v>
      </c>
      <c r="O14" s="198">
        <f>'School Level Inst. Resources'!$L14</f>
        <v>330.96</v>
      </c>
      <c r="P14" s="198">
        <f>IF($G14="T",SUMIFS('School Level ADM'!$S$5:$S$359,'School Level ADM'!$A$5:$A$359,$A14),0)</f>
        <v>3965.61</v>
      </c>
      <c r="Q14" s="199">
        <f t="shared" si="7"/>
        <v>8.3457526080476893E-2</v>
      </c>
      <c r="R14" s="200">
        <f>SUM((('School Level Inst. Resources'!I14/'Model Data Inputs'!$B$8)*(1+'Model Data Inputs'!$B$9)),(SUM('School Level Inst. Resources'!J14:K14)/'Model Data Inputs'!$C$8)*(1+'Model Data Inputs'!$C$9),'School Level Inst. Resources'!K14/400)</f>
        <v>22.064</v>
      </c>
      <c r="S14" s="200">
        <f t="shared" si="1"/>
        <v>22.064</v>
      </c>
      <c r="T14" s="201">
        <f>IF($G14="T",VLOOKUP($A14,'Total O &amp; M Resources'!$A$5:$K$52,3),0)</f>
        <v>33292037.800000001</v>
      </c>
      <c r="U14" s="202">
        <f>IF($G14="F",0,$S14/'Model Data Inputs'!$B$140)</f>
        <v>1.6972307692307693</v>
      </c>
      <c r="V14" s="202">
        <f>IF($G14="F",0,$O14/'Model Data Inputs'!$B$141)</f>
        <v>1.0183384615384614</v>
      </c>
      <c r="W14" s="202">
        <f>IF($G14="F",0,$N14/'Model Data Inputs'!$B$142)</f>
        <v>3.2307692307692308</v>
      </c>
      <c r="X14" s="202">
        <f>IF($G14="F",0,$K14/'Model Data Inputs'!$B$143)</f>
        <v>3.0049999999999999</v>
      </c>
      <c r="Y14" s="202">
        <f t="shared" si="2"/>
        <v>2.2378346153846156</v>
      </c>
      <c r="Z14" s="202">
        <f>IF(OR($G14="F",$F14="E"),0,'Model Data Inputs'!$B$144)</f>
        <v>0</v>
      </c>
      <c r="AA14" s="202">
        <f>IF(AND($O14&lt;='Model Data Inputs'!$B$139,$F14="E"),0,IF(AND($O14&lt;='Model Data Inputs'!$B$139,$F14="M"),0,IF(AND($O14&lt;='Model Data Inputs'!$B$139,$F14="H"),0,IF(SUM($Y14:$Z14)&lt;1,1,SUM($Y14:$Z14)))))</f>
        <v>2.2378346153846156</v>
      </c>
      <c r="AB14" s="202">
        <f>($K14/'Model Data Inputs'!$B$143)*'Model Data Inputs'!$B$145</f>
        <v>0.30049999999999999</v>
      </c>
      <c r="AC14" s="202">
        <f t="shared" si="3"/>
        <v>2.5383346153846156</v>
      </c>
      <c r="AD14" s="202">
        <f>IF($G14="F",0,'Model Data Inputs'!$B$147)</f>
        <v>1.1000000000000001</v>
      </c>
      <c r="AE14" s="202">
        <f>IF($G14="F",0,($K14/'Model Data Inputs'!$B$148)*'Model Data Inputs'!$B$149)</f>
        <v>1.0817999999999999</v>
      </c>
      <c r="AF14" s="202">
        <f>IF($G14="F",0,($O14/'Model Data Inputs'!$B$150)*'Model Data Inputs'!$B$151)</f>
        <v>0.43024799999999996</v>
      </c>
      <c r="AG14" s="202">
        <f>IF($G14="F",0,(($Q14*$T14)/'Model Data Inputs'!$B$152)*'Model Data Inputs'!$B$153)</f>
        <v>0.66683306711177337</v>
      </c>
      <c r="AH14" s="202">
        <f t="shared" si="4"/>
        <v>0.8197202667779433</v>
      </c>
      <c r="AI14" s="203">
        <f>IF(OR($G14="F",$F14="M",$F14="H"),0,($AH14*'Model Data Inputs'!$B$154)-$AH14)</f>
        <v>-0.16394405335558859</v>
      </c>
      <c r="AJ14" s="202">
        <f>IF(OR($G14="F",$F14="E",$F14="H"),0,($AH14*'Model Data Inputs'!$B$155)-$AH14)</f>
        <v>0</v>
      </c>
      <c r="AK14" s="203">
        <f>IF(OR($G14="F",$F14="E",$F14="M"),0,($AH14*'Model Data Inputs'!$B$156)-$AH14)</f>
        <v>0</v>
      </c>
      <c r="AL14" s="203">
        <f>IF($G14="F",0,IF($M14&lt;'Model Data Inputs'!$B$158,$AH14*('Model Data Inputs'!$B$159-1),0))</f>
        <v>0</v>
      </c>
      <c r="AM14" s="202">
        <f>IF($G14="F",0,IF($M14&gt;'Model Data Inputs'!$B$160,$AH14*('Model Data Inputs'!$B$161-1),0))</f>
        <v>0</v>
      </c>
      <c r="AN14" s="202">
        <f>IF($G14="F",0,IF($P14&lt;'Model Data Inputs'!$B$162,SUM($AH14,$AI14,$AJ14,$AK14,$AL14,$AM14)*('Model Data Inputs'!$B$163-1),0))</f>
        <v>0</v>
      </c>
      <c r="AO14" s="202">
        <f t="shared" si="5"/>
        <v>0.6557762134223547</v>
      </c>
      <c r="AP14" s="204">
        <f>$K14*'Model Data Inputs'!$B$166</f>
        <v>36240.300000000003</v>
      </c>
      <c r="AQ14" s="204">
        <f>($K14*'Model Data Inputs'!$B$145)*'Model Data Inputs'!$B$166</f>
        <v>3624.03</v>
      </c>
      <c r="AR14" s="50">
        <f t="shared" si="6"/>
        <v>39864.33</v>
      </c>
    </row>
    <row r="15" spans="1:44" x14ac:dyDescent="0.2">
      <c r="A15" s="227" t="str">
        <f>'School Level Inst. Resources'!A15</f>
        <v>0101000</v>
      </c>
      <c r="B15" s="227" t="str">
        <f>'School Level Inst. Resources'!B15</f>
        <v>Albany #1</v>
      </c>
      <c r="C15" s="227" t="str">
        <f>'School Level Inst. Resources'!C15</f>
        <v>0101030</v>
      </c>
      <c r="D15" s="227" t="str">
        <f>'School Level Inst. Resources'!D15</f>
        <v>UW Laboratory School</v>
      </c>
      <c r="E15" s="228" t="str">
        <f>'School Level Inst. Resources'!E15</f>
        <v>K-8</v>
      </c>
      <c r="F15" s="229" t="str">
        <f>'School Level Inst. Resources'!H15</f>
        <v>M</v>
      </c>
      <c r="G15" s="229" t="s">
        <v>1158</v>
      </c>
      <c r="H15" s="207">
        <v>60320</v>
      </c>
      <c r="I15" s="207">
        <f>IF('SFD Allowable GSF Calculation'!$D$2=1,'SFD Allowable GSF Calculation'!$P15,'SFD Allowable GSF Calculation'!$X15)</f>
        <v>57729</v>
      </c>
      <c r="J15" s="194">
        <f>$I15*'Model Data Inputs'!$B$165</f>
        <v>66388.349999999991</v>
      </c>
      <c r="K15" s="194">
        <f>IF($L15&gt;='Model Data Inputs'!$B$164,$H15,MIN($H15,$J15))</f>
        <v>60320</v>
      </c>
      <c r="L15" s="208">
        <v>1958</v>
      </c>
      <c r="M15" s="196">
        <f>IF($L15&gt;0,'Model Data Inputs'!$B$157-$L15,"")</f>
        <v>59</v>
      </c>
      <c r="N15" s="209">
        <v>25</v>
      </c>
      <c r="O15" s="198">
        <f>'School Level Inst. Resources'!$L15</f>
        <v>262.995</v>
      </c>
      <c r="P15" s="198">
        <f>IF($G15="T",SUMIFS('School Level ADM'!$S$5:$S$359,'School Level ADM'!$A$5:$A$359,$A15),0)</f>
        <v>3965.61</v>
      </c>
      <c r="Q15" s="199">
        <f t="shared" si="7"/>
        <v>6.6318926974664683E-2</v>
      </c>
      <c r="R15" s="200">
        <f>SUM((('School Level Inst. Resources'!I15/'Model Data Inputs'!$B$8)*(1+'Model Data Inputs'!$B$9)),(SUM('School Level Inst. Resources'!J15:K15)/'Model Data Inputs'!$C$8)*(1+'Model Data Inputs'!$C$9),'School Level Inst. Resources'!K15/400)</f>
        <v>16.778004637681157</v>
      </c>
      <c r="S15" s="200">
        <f t="shared" si="1"/>
        <v>16.778004637681157</v>
      </c>
      <c r="T15" s="201">
        <f>IF($G15="T",VLOOKUP($A15,'Total O &amp; M Resources'!$A$5:$K$52,3),0)</f>
        <v>33292037.800000001</v>
      </c>
      <c r="U15" s="202">
        <f>IF($G15="F",0,$S15/'Model Data Inputs'!$B$140)</f>
        <v>1.2906157413600889</v>
      </c>
      <c r="V15" s="202">
        <f>IF($G15="F",0,$O15/'Model Data Inputs'!$B$141)</f>
        <v>0.80921538461538467</v>
      </c>
      <c r="W15" s="202">
        <f>IF($G15="F",0,$N15/'Model Data Inputs'!$B$142)</f>
        <v>1.9230769230769231</v>
      </c>
      <c r="X15" s="202">
        <f>IF($G15="F",0,$K15/'Model Data Inputs'!$B$143)</f>
        <v>3.3511111111111109</v>
      </c>
      <c r="Y15" s="202">
        <f t="shared" si="2"/>
        <v>1.843504790040877</v>
      </c>
      <c r="Z15" s="202">
        <f>IF(OR($G15="F",$F15="E"),0,'Model Data Inputs'!$B$144)</f>
        <v>0.5</v>
      </c>
      <c r="AA15" s="202">
        <f>IF(AND($O15&lt;='Model Data Inputs'!$B$139,$F15="E"),0,IF(AND($O15&lt;='Model Data Inputs'!$B$139,$F15="M"),0,IF(AND($O15&lt;='Model Data Inputs'!$B$139,$F15="H"),0,IF(SUM($Y15:$Z15)&lt;1,1,SUM($Y15:$Z15)))))</f>
        <v>2.343504790040877</v>
      </c>
      <c r="AB15" s="202">
        <f>($K15/'Model Data Inputs'!$B$143)*'Model Data Inputs'!$B$145</f>
        <v>0.33511111111111114</v>
      </c>
      <c r="AC15" s="202">
        <f t="shared" si="3"/>
        <v>2.6786159011519883</v>
      </c>
      <c r="AD15" s="202">
        <f>IF($G15="F",0,'Model Data Inputs'!$B$147)</f>
        <v>1.1000000000000001</v>
      </c>
      <c r="AE15" s="202">
        <f>IF($G15="F",0,($K15/'Model Data Inputs'!$B$148)*'Model Data Inputs'!$B$149)</f>
        <v>1.2064000000000001</v>
      </c>
      <c r="AF15" s="202">
        <f>IF($G15="F",0,($O15/'Model Data Inputs'!$B$150)*'Model Data Inputs'!$B$151)</f>
        <v>0.34189349999999996</v>
      </c>
      <c r="AG15" s="202">
        <f>IF($G15="F",0,(($Q15*$T15)/'Model Data Inputs'!$B$152)*'Model Data Inputs'!$B$153)</f>
        <v>0.5298941336870342</v>
      </c>
      <c r="AH15" s="202">
        <f t="shared" si="4"/>
        <v>0.79454690842175846</v>
      </c>
      <c r="AI15" s="203">
        <f>IF(OR($G15="F",$F15="M",$F15="H"),0,($AH15*'Model Data Inputs'!$B$154)-$AH15)</f>
        <v>0</v>
      </c>
      <c r="AJ15" s="202">
        <f>IF(OR($G15="F",$F15="E",$F15="H"),0,($AH15*'Model Data Inputs'!$B$155)-$AH15)</f>
        <v>0</v>
      </c>
      <c r="AK15" s="203">
        <f>IF(OR($G15="F",$F15="E",$F15="M"),0,($AH15*'Model Data Inputs'!$B$156)-$AH15)</f>
        <v>0</v>
      </c>
      <c r="AL15" s="203">
        <f>IF($G15="F",0,IF($M15&lt;'Model Data Inputs'!$B$158,$AH15*('Model Data Inputs'!$B$159-1),0))</f>
        <v>0</v>
      </c>
      <c r="AM15" s="202">
        <f>IF($G15="F",0,IF($M15&gt;'Model Data Inputs'!$B$160,$AH15*('Model Data Inputs'!$B$161-1),0))</f>
        <v>7.9454690842175921E-2</v>
      </c>
      <c r="AN15" s="202">
        <f>IF($G15="F",0,IF($P15&lt;'Model Data Inputs'!$B$162,SUM($AH15,$AI15,$AJ15,$AK15,$AL15,$AM15)*('Model Data Inputs'!$B$163-1),0))</f>
        <v>0</v>
      </c>
      <c r="AO15" s="202">
        <f t="shared" si="5"/>
        <v>0.87400159926393439</v>
      </c>
      <c r="AP15" s="204">
        <f>$K15*'Model Data Inputs'!$B$166</f>
        <v>40414.400000000001</v>
      </c>
      <c r="AQ15" s="204">
        <f>($K15*'Model Data Inputs'!$B$145)*'Model Data Inputs'!$B$166</f>
        <v>4041.44</v>
      </c>
      <c r="AR15" s="50">
        <f t="shared" si="6"/>
        <v>44455.840000000004</v>
      </c>
    </row>
    <row r="16" spans="1:44" x14ac:dyDescent="0.2">
      <c r="A16" s="227" t="str">
        <f>'School Level Inst. Resources'!A16</f>
        <v>0101000</v>
      </c>
      <c r="B16" s="227" t="str">
        <f>'School Level Inst. Resources'!B16</f>
        <v>Albany #1</v>
      </c>
      <c r="C16" s="227" t="str">
        <f>'School Level Inst. Resources'!C16</f>
        <v>0101031</v>
      </c>
      <c r="D16" s="227" t="str">
        <f>'School Level Inst. Resources'!D16</f>
        <v>Laramie Montessori</v>
      </c>
      <c r="E16" s="228" t="str">
        <f>'School Level Inst. Resources'!E16</f>
        <v>K-6</v>
      </c>
      <c r="F16" s="229" t="str">
        <f>'School Level Inst. Resources'!H16</f>
        <v>E</v>
      </c>
      <c r="G16" s="229" t="s">
        <v>1158</v>
      </c>
      <c r="H16" s="207">
        <v>11500</v>
      </c>
      <c r="I16" s="207">
        <f>IF('SFD Allowable GSF Calculation'!$D$2=1,'SFD Allowable GSF Calculation'!$P16,'SFD Allowable GSF Calculation'!$X16)</f>
        <v>13692</v>
      </c>
      <c r="J16" s="194">
        <f>$I16*'Model Data Inputs'!$B$165</f>
        <v>15745.8</v>
      </c>
      <c r="K16" s="194">
        <f>IF($L16&gt;='Model Data Inputs'!$B$164,$H16,MIN($H16,$J16))</f>
        <v>11500</v>
      </c>
      <c r="L16" s="208">
        <v>1951</v>
      </c>
      <c r="M16" s="196">
        <f>IF($L16&gt;0,'Model Data Inputs'!$B$157-$L16,"")</f>
        <v>66</v>
      </c>
      <c r="N16" s="209">
        <v>10</v>
      </c>
      <c r="O16" s="198">
        <f>'School Level Inst. Resources'!$L16</f>
        <v>78.8</v>
      </c>
      <c r="P16" s="198">
        <f>IF($G16="T",SUMIFS('School Level ADM'!$S$5:$S$359,'School Level ADM'!$A$5:$A$359,$A16),0)</f>
        <v>3965.61</v>
      </c>
      <c r="Q16" s="199">
        <f t="shared" si="7"/>
        <v>1.987083954297069E-2</v>
      </c>
      <c r="R16" s="200">
        <f>SUM((('School Level Inst. Resources'!I16/'Model Data Inputs'!$B$8)*(1+'Model Data Inputs'!$B$9)),(SUM('School Level Inst. Resources'!J16:K16)/'Model Data Inputs'!$C$8)*(1+'Model Data Inputs'!$C$9),'School Level Inst. Resources'!K16/400)</f>
        <v>5.253333333333333</v>
      </c>
      <c r="S16" s="200">
        <f t="shared" si="1"/>
        <v>5.253333333333333</v>
      </c>
      <c r="T16" s="201">
        <f>IF($G16="T",VLOOKUP($A16,'Total O &amp; M Resources'!$A$5:$K$52,3),0)</f>
        <v>33292037.800000001</v>
      </c>
      <c r="U16" s="202">
        <f>IF($G16="F",0,$S16/'Model Data Inputs'!$B$140)</f>
        <v>0.40410256410256407</v>
      </c>
      <c r="V16" s="202">
        <f>IF($G16="F",0,$O16/'Model Data Inputs'!$B$141)</f>
        <v>0.24246153846153845</v>
      </c>
      <c r="W16" s="202">
        <f>IF($G16="F",0,$N16/'Model Data Inputs'!$B$142)</f>
        <v>0.76923076923076927</v>
      </c>
      <c r="X16" s="202">
        <f>IF($G16="F",0,$K16/'Model Data Inputs'!$B$143)</f>
        <v>0.63888888888888884</v>
      </c>
      <c r="Y16" s="202">
        <f t="shared" si="2"/>
        <v>0.51367094017094017</v>
      </c>
      <c r="Z16" s="202">
        <f>IF(OR($G16="F",$F16="E"),0,'Model Data Inputs'!$B$144)</f>
        <v>0</v>
      </c>
      <c r="AA16" s="202">
        <f>IF(AND($O16&lt;='Model Data Inputs'!$B$139,$F16="E"),0,IF(AND($O16&lt;='Model Data Inputs'!$B$139,$F16="M"),0,IF(AND($O16&lt;='Model Data Inputs'!$B$139,$F16="H"),0,IF(SUM($Y16:$Z16)&lt;1,1,SUM($Y16:$Z16)))))</f>
        <v>1</v>
      </c>
      <c r="AB16" s="202">
        <f>($K16/'Model Data Inputs'!$B$143)*'Model Data Inputs'!$B$145</f>
        <v>6.3888888888888884E-2</v>
      </c>
      <c r="AC16" s="202">
        <f t="shared" si="3"/>
        <v>1.0638888888888889</v>
      </c>
      <c r="AD16" s="202">
        <f>IF($G16="F",0,'Model Data Inputs'!$B$147)</f>
        <v>1.1000000000000001</v>
      </c>
      <c r="AE16" s="202">
        <f>IF($G16="F",0,($K16/'Model Data Inputs'!$B$148)*'Model Data Inputs'!$B$149)</f>
        <v>0.23</v>
      </c>
      <c r="AF16" s="202">
        <f>IF($G16="F",0,($O16/'Model Data Inputs'!$B$150)*'Model Data Inputs'!$B$151)</f>
        <v>0.10244</v>
      </c>
      <c r="AG16" s="202">
        <f>IF($G16="F",0,(($Q16*$T16)/'Model Data Inputs'!$B$152)*'Model Data Inputs'!$B$153)</f>
        <v>0.15876977788375557</v>
      </c>
      <c r="AH16" s="202">
        <f t="shared" si="4"/>
        <v>0.39780244447093893</v>
      </c>
      <c r="AI16" s="203">
        <f>IF(OR($G16="F",$F16="M",$F16="H"),0,($AH16*'Model Data Inputs'!$B$154)-$AH16)</f>
        <v>-7.9560488894187764E-2</v>
      </c>
      <c r="AJ16" s="202">
        <f>IF(OR($G16="F",$F16="E",$F16="H"),0,($AH16*'Model Data Inputs'!$B$155)-$AH16)</f>
        <v>0</v>
      </c>
      <c r="AK16" s="203">
        <f>IF(OR($G16="F",$F16="E",$F16="M"),0,($AH16*'Model Data Inputs'!$B$156)-$AH16)</f>
        <v>0</v>
      </c>
      <c r="AL16" s="203">
        <f>IF($G16="F",0,IF($M16&lt;'Model Data Inputs'!$B$158,$AH16*('Model Data Inputs'!$B$159-1),0))</f>
        <v>0</v>
      </c>
      <c r="AM16" s="202">
        <f>IF($G16="F",0,IF($M16&gt;'Model Data Inputs'!$B$160,$AH16*('Model Data Inputs'!$B$161-1),0))</f>
        <v>3.9780244447093931E-2</v>
      </c>
      <c r="AN16" s="202">
        <f>IF($G16="F",0,IF($P16&lt;'Model Data Inputs'!$B$162,SUM($AH16,$AI16,$AJ16,$AK16,$AL16,$AM16)*('Model Data Inputs'!$B$163-1),0))</f>
        <v>0</v>
      </c>
      <c r="AO16" s="202">
        <f t="shared" si="5"/>
        <v>0.35802220002384511</v>
      </c>
      <c r="AP16" s="204">
        <f>$K16*'Model Data Inputs'!$B$166</f>
        <v>7705.0000000000009</v>
      </c>
      <c r="AQ16" s="204">
        <f>($K16*'Model Data Inputs'!$B$145)*'Model Data Inputs'!$B$166</f>
        <v>770.5</v>
      </c>
      <c r="AR16" s="50">
        <f t="shared" si="6"/>
        <v>8475.5</v>
      </c>
    </row>
    <row r="17" spans="1:44" x14ac:dyDescent="0.2">
      <c r="A17" s="227" t="str">
        <f>'School Level Inst. Resources'!A17</f>
        <v>0101000</v>
      </c>
      <c r="B17" s="227" t="str">
        <f>'School Level Inst. Resources'!B17</f>
        <v>Albany #1</v>
      </c>
      <c r="C17" s="227" t="str">
        <f>'School Level Inst. Resources'!C17</f>
        <v>0101032</v>
      </c>
      <c r="D17" s="227" t="str">
        <f>'School Level Inst. Resources'!D17</f>
        <v>Notch Peak Elementary</v>
      </c>
      <c r="E17" s="228" t="str">
        <f>'School Level Inst. Resources'!E17</f>
        <v>K-8</v>
      </c>
      <c r="F17" s="229" t="str">
        <f>'School Level Inst. Resources'!H17</f>
        <v>E</v>
      </c>
      <c r="G17" s="229" t="s">
        <v>1158</v>
      </c>
      <c r="H17" s="207">
        <v>368</v>
      </c>
      <c r="I17" s="207">
        <f>IF('SFD Allowable GSF Calculation'!$D$2=1,'SFD Allowable GSF Calculation'!$P17,'SFD Allowable GSF Calculation'!$X17)</f>
        <v>3257</v>
      </c>
      <c r="J17" s="194">
        <f>$I17*'Model Data Inputs'!$B$165</f>
        <v>3745.5499999999997</v>
      </c>
      <c r="K17" s="194">
        <f>IF($L17&gt;='Model Data Inputs'!$B$164,$H17,MIN($H17,$J17))</f>
        <v>368</v>
      </c>
      <c r="L17" s="208">
        <v>2014</v>
      </c>
      <c r="M17" s="196">
        <f>IF($L17&gt;0,'Model Data Inputs'!$B$157-$L17,"")</f>
        <v>3</v>
      </c>
      <c r="N17" s="209">
        <v>1</v>
      </c>
      <c r="O17" s="198">
        <f>'School Level Inst. Resources'!$L17</f>
        <v>0.98499999999999999</v>
      </c>
      <c r="P17" s="198">
        <f>IF($G17="T",SUMIFS('School Level ADM'!$S$5:$S$359,'School Level ADM'!$A$5:$A$359,$A17),0)</f>
        <v>3965.61</v>
      </c>
      <c r="Q17" s="199">
        <f t="shared" si="7"/>
        <v>2.4838549428713363E-4</v>
      </c>
      <c r="R17" s="200">
        <f>SUM((('School Level Inst. Resources'!I17/'Model Data Inputs'!$B$8)*(1+'Model Data Inputs'!$B$9)),(SUM('School Level Inst. Resources'!J17:K17)/'Model Data Inputs'!$C$8)*(1+'Model Data Inputs'!$C$9),'School Level Inst. Resources'!K17/400)</f>
        <v>6.5666666666666665E-2</v>
      </c>
      <c r="S17" s="200">
        <f t="shared" si="1"/>
        <v>6.5666666666666665E-2</v>
      </c>
      <c r="T17" s="201">
        <f>IF($G17="T",VLOOKUP($A17,'Total O &amp; M Resources'!$A$5:$K$52,3),0)</f>
        <v>33292037.800000001</v>
      </c>
      <c r="U17" s="202">
        <f>IF($G17="F",0,$S17/'Model Data Inputs'!$B$140)</f>
        <v>5.0512820512820513E-3</v>
      </c>
      <c r="V17" s="202">
        <f>IF($G17="F",0,$O17/'Model Data Inputs'!$B$141)</f>
        <v>3.0307692307692305E-3</v>
      </c>
      <c r="W17" s="202">
        <f>IF($G17="F",0,$N17/'Model Data Inputs'!$B$142)</f>
        <v>7.6923076923076927E-2</v>
      </c>
      <c r="X17" s="202">
        <f>IF($G17="F",0,$K17/'Model Data Inputs'!$B$143)</f>
        <v>2.0444444444444446E-2</v>
      </c>
      <c r="Y17" s="202">
        <f t="shared" si="2"/>
        <v>2.6362393162393163E-2</v>
      </c>
      <c r="Z17" s="202">
        <f>IF(OR($G17="F",$F17="E"),0,'Model Data Inputs'!$B$144)</f>
        <v>0</v>
      </c>
      <c r="AA17" s="202">
        <f>IF(AND($O17&lt;='Model Data Inputs'!$B$139,$F17="E"),0,IF(AND($O17&lt;='Model Data Inputs'!$B$139,$F17="M"),0,IF(AND($O17&lt;='Model Data Inputs'!$B$139,$F17="H"),0,IF(SUM($Y17:$Z17)&lt;1,1,SUM($Y17:$Z17)))))</f>
        <v>0</v>
      </c>
      <c r="AB17" s="202">
        <f>($K17/'Model Data Inputs'!$B$143)*'Model Data Inputs'!$B$145</f>
        <v>2.0444444444444447E-3</v>
      </c>
      <c r="AC17" s="202">
        <f t="shared" si="3"/>
        <v>2.0444444444444447E-3</v>
      </c>
      <c r="AD17" s="202">
        <f>IF($G17="F",0,'Model Data Inputs'!$B$147)</f>
        <v>1.1000000000000001</v>
      </c>
      <c r="AE17" s="202">
        <f>IF($G17="F",0,($K17/'Model Data Inputs'!$B$148)*'Model Data Inputs'!$B$149)</f>
        <v>7.3600000000000002E-3</v>
      </c>
      <c r="AF17" s="202">
        <f>IF($G17="F",0,($O17/'Model Data Inputs'!$B$150)*'Model Data Inputs'!$B$151)</f>
        <v>1.2805E-3</v>
      </c>
      <c r="AG17" s="202">
        <f>IF($G17="F",0,(($Q17*$T17)/'Model Data Inputs'!$B$152)*'Model Data Inputs'!$B$153)</f>
        <v>1.984622223546945E-3</v>
      </c>
      <c r="AH17" s="202">
        <f t="shared" si="4"/>
        <v>0.27765628055588676</v>
      </c>
      <c r="AI17" s="203">
        <f>IF(OR($G17="F",$F17="M",$F17="H"),0,($AH17*'Model Data Inputs'!$B$154)-$AH17)</f>
        <v>-5.5531256111177346E-2</v>
      </c>
      <c r="AJ17" s="202">
        <f>IF(OR($G17="F",$F17="E",$F17="H"),0,($AH17*'Model Data Inputs'!$B$155)-$AH17)</f>
        <v>0</v>
      </c>
      <c r="AK17" s="203">
        <f>IF(OR($G17="F",$F17="E",$F17="M"),0,($AH17*'Model Data Inputs'!$B$156)-$AH17)</f>
        <v>0</v>
      </c>
      <c r="AL17" s="203">
        <f>IF($G17="F",0,IF($M17&lt;'Model Data Inputs'!$B$158,$AH17*('Model Data Inputs'!$B$159-1),0))</f>
        <v>-1.388281402779435E-2</v>
      </c>
      <c r="AM17" s="202">
        <f>IF($G17="F",0,IF($M17&gt;'Model Data Inputs'!$B$160,$AH17*('Model Data Inputs'!$B$161-1),0))</f>
        <v>0</v>
      </c>
      <c r="AN17" s="202">
        <f>IF($G17="F",0,IF($P17&lt;'Model Data Inputs'!$B$162,SUM($AH17,$AI17,$AJ17,$AK17,$AL17,$AM17)*('Model Data Inputs'!$B$163-1),0))</f>
        <v>0</v>
      </c>
      <c r="AO17" s="202">
        <f t="shared" si="5"/>
        <v>0.20824221041691507</v>
      </c>
      <c r="AP17" s="204">
        <f>$K17*'Model Data Inputs'!$B$166</f>
        <v>246.56</v>
      </c>
      <c r="AQ17" s="204">
        <f>($K17*'Model Data Inputs'!$B$145)*'Model Data Inputs'!$B$166</f>
        <v>24.656000000000006</v>
      </c>
      <c r="AR17" s="50">
        <f t="shared" si="6"/>
        <v>271.21600000000001</v>
      </c>
    </row>
    <row r="18" spans="1:44" x14ac:dyDescent="0.2">
      <c r="A18" s="230" t="str">
        <f>'School Level Inst. Resources'!A18</f>
        <v>0101000</v>
      </c>
      <c r="B18" s="230" t="str">
        <f>'School Level Inst. Resources'!B18</f>
        <v>Albany #1</v>
      </c>
      <c r="C18" s="230" t="str">
        <f>'School Level Inst. Resources'!C18</f>
        <v>0101050</v>
      </c>
      <c r="D18" s="230" t="str">
        <f>'School Level Inst. Resources'!D18</f>
        <v>Laramie Middle School</v>
      </c>
      <c r="E18" s="231" t="str">
        <f>'School Level Inst. Resources'!E18</f>
        <v>6-8</v>
      </c>
      <c r="F18" s="232" t="str">
        <f>'School Level Inst. Resources'!H18</f>
        <v>M</v>
      </c>
      <c r="G18" s="232" t="s">
        <v>1158</v>
      </c>
      <c r="H18" s="207">
        <v>110951</v>
      </c>
      <c r="I18" s="207">
        <f>IF('SFD Allowable GSF Calculation'!$D$2=1,'SFD Allowable GSF Calculation'!$P18,'SFD Allowable GSF Calculation'!$X18)</f>
        <v>110038</v>
      </c>
      <c r="J18" s="194">
        <f>$I18*'Model Data Inputs'!$B$165</f>
        <v>126543.7</v>
      </c>
      <c r="K18" s="194">
        <f>IF($L18&gt;='Model Data Inputs'!$B$164,$H18,MIN($H18,$J18))</f>
        <v>110951</v>
      </c>
      <c r="L18" s="208">
        <v>1978</v>
      </c>
      <c r="M18" s="196">
        <f>IF($L18&gt;0,'Model Data Inputs'!$B$157-$L18,"")</f>
        <v>39</v>
      </c>
      <c r="N18" s="209">
        <v>62</v>
      </c>
      <c r="O18" s="198">
        <f>'School Level Inst. Resources'!$L18</f>
        <v>757.46500000000003</v>
      </c>
      <c r="P18" s="198">
        <f>IF($G18="T",SUMIFS('School Level ADM'!$S$5:$S$359,'School Level ADM'!$A$5:$A$359,$A18),0)</f>
        <v>3965.61</v>
      </c>
      <c r="Q18" s="199">
        <f t="shared" si="7"/>
        <v>0.19100844510680576</v>
      </c>
      <c r="R18" s="200">
        <f>SUM((('School Level Inst. Resources'!I18/'Model Data Inputs'!$B$8)*(1+'Model Data Inputs'!$B$9)),(SUM('School Level Inst. Resources'!J18:K18)/'Model Data Inputs'!$C$8)*(1+'Model Data Inputs'!$C$9),'School Level Inst. Resources'!K18/400)</f>
        <v>43.900036739130435</v>
      </c>
      <c r="S18" s="200">
        <f t="shared" si="1"/>
        <v>43.900036739130435</v>
      </c>
      <c r="T18" s="201">
        <f>IF($G18="T",VLOOKUP($A18,'Total O &amp; M Resources'!$A$5:$K$52,3),0)</f>
        <v>33292037.800000001</v>
      </c>
      <c r="U18" s="202">
        <f>IF($G18="F",0,$S18/'Model Data Inputs'!$B$140)</f>
        <v>3.3769259030100334</v>
      </c>
      <c r="V18" s="202">
        <f>IF($G18="F",0,$O18/'Model Data Inputs'!$B$141)</f>
        <v>2.3306615384615386</v>
      </c>
      <c r="W18" s="202">
        <f>IF($G18="F",0,$N18/'Model Data Inputs'!$B$142)</f>
        <v>4.7692307692307692</v>
      </c>
      <c r="X18" s="202">
        <f>IF($G18="F",0,$K18/'Model Data Inputs'!$B$143)</f>
        <v>6.1639444444444447</v>
      </c>
      <c r="Y18" s="202">
        <f t="shared" si="2"/>
        <v>4.1601906637866968</v>
      </c>
      <c r="Z18" s="202">
        <f>IF(OR($G18="F",$F18="E"),0,'Model Data Inputs'!$B$144)</f>
        <v>0.5</v>
      </c>
      <c r="AA18" s="202">
        <f>IF(AND($O18&lt;='Model Data Inputs'!$B$139,$F18="E"),0,IF(AND($O18&lt;='Model Data Inputs'!$B$139,$F18="M"),0,IF(AND($O18&lt;='Model Data Inputs'!$B$139,$F18="H"),0,IF(SUM($Y18:$Z18)&lt;1,1,SUM($Y18:$Z18)))))</f>
        <v>4.6601906637866968</v>
      </c>
      <c r="AB18" s="202">
        <f>($K18/'Model Data Inputs'!$B$143)*'Model Data Inputs'!$B$145</f>
        <v>0.61639444444444447</v>
      </c>
      <c r="AC18" s="202">
        <f t="shared" si="3"/>
        <v>5.2765851082311412</v>
      </c>
      <c r="AD18" s="202">
        <f>IF($G18="F",0,'Model Data Inputs'!$B$147)</f>
        <v>1.1000000000000001</v>
      </c>
      <c r="AE18" s="202">
        <f>IF($G18="F",0,($K18/'Model Data Inputs'!$B$148)*'Model Data Inputs'!$B$149)</f>
        <v>2.21902</v>
      </c>
      <c r="AF18" s="202">
        <f>IF($G18="F",0,($O18/'Model Data Inputs'!$B$150)*'Model Data Inputs'!$B$151)</f>
        <v>0.98470450000000009</v>
      </c>
      <c r="AG18" s="202">
        <f>IF($G18="F",0,(($Q18*$T18)/'Model Data Inputs'!$B$152)*'Model Data Inputs'!$B$153)</f>
        <v>1.5261744899076004</v>
      </c>
      <c r="AH18" s="202">
        <f t="shared" si="4"/>
        <v>1.4574747474769003</v>
      </c>
      <c r="AI18" s="203">
        <f>IF(OR($G18="F",$F18="M",$F18="H"),0,($AH18*'Model Data Inputs'!$B$154)-$AH18)</f>
        <v>0</v>
      </c>
      <c r="AJ18" s="202">
        <f>IF(OR($G18="F",$F18="E",$F18="H"),0,($AH18*'Model Data Inputs'!$B$155)-$AH18)</f>
        <v>0</v>
      </c>
      <c r="AK18" s="203">
        <f>IF(OR($G18="F",$F18="E",$F18="M"),0,($AH18*'Model Data Inputs'!$B$156)-$AH18)</f>
        <v>0</v>
      </c>
      <c r="AL18" s="203">
        <f>IF($G18="F",0,IF($M18&lt;'Model Data Inputs'!$B$158,$AH18*('Model Data Inputs'!$B$159-1),0))</f>
        <v>0</v>
      </c>
      <c r="AM18" s="202">
        <f>IF($G18="F",0,IF($M18&gt;'Model Data Inputs'!$B$160,$AH18*('Model Data Inputs'!$B$161-1),0))</f>
        <v>0.14574747474769015</v>
      </c>
      <c r="AN18" s="202">
        <f>IF($G18="F",0,IF($P18&lt;'Model Data Inputs'!$B$162,SUM($AH18,$AI18,$AJ18,$AK18,$AL18,$AM18)*('Model Data Inputs'!$B$163-1),0))</f>
        <v>0</v>
      </c>
      <c r="AO18" s="202">
        <f t="shared" si="5"/>
        <v>1.6032222222245904</v>
      </c>
      <c r="AP18" s="204">
        <f>$K18*'Model Data Inputs'!$B$166</f>
        <v>74337.17</v>
      </c>
      <c r="AQ18" s="204">
        <f>($K18*'Model Data Inputs'!$B$145)*'Model Data Inputs'!$B$166</f>
        <v>7433.7170000000006</v>
      </c>
      <c r="AR18" s="50">
        <f t="shared" si="6"/>
        <v>81770.887000000002</v>
      </c>
    </row>
    <row r="19" spans="1:44" s="226" customFormat="1" x14ac:dyDescent="0.2">
      <c r="A19" s="210" t="str">
        <f>'School Level Inst. Resources'!A19</f>
        <v>0101000</v>
      </c>
      <c r="B19" s="210" t="str">
        <f>'School Level Inst. Resources'!B19</f>
        <v>Albany #1</v>
      </c>
      <c r="C19" s="210" t="str">
        <f>'School Level Inst. Resources'!C19</f>
        <v>0101051</v>
      </c>
      <c r="D19" s="210" t="str">
        <f>'School Level Inst. Resources'!D19</f>
        <v>Rock River Junior High School</v>
      </c>
      <c r="E19" s="211" t="str">
        <f>'School Level Inst. Resources'!E19</f>
        <v>7-8</v>
      </c>
      <c r="F19" s="212" t="str">
        <f>'School Level Inst. Resources'!H19</f>
        <v>M</v>
      </c>
      <c r="G19" s="212" t="s">
        <v>1159</v>
      </c>
      <c r="H19" s="213">
        <v>0</v>
      </c>
      <c r="I19" s="213">
        <f>IF('SFD Allowable GSF Calculation'!$D$2=1,'SFD Allowable GSF Calculation'!$P19,'SFD Allowable GSF Calculation'!$X19)</f>
        <v>0</v>
      </c>
      <c r="J19" s="214">
        <f>$I19*'Model Data Inputs'!$B$165</f>
        <v>0</v>
      </c>
      <c r="K19" s="214">
        <f>IF($L19&gt;='Model Data Inputs'!$B$164,$H19,MIN($H19,$J19))</f>
        <v>0</v>
      </c>
      <c r="L19" s="233">
        <v>0</v>
      </c>
      <c r="M19" s="196" t="str">
        <f>IF($L19&gt;0,'Model Data Inputs'!$B$157-$L19,"")</f>
        <v/>
      </c>
      <c r="N19" s="216">
        <v>0</v>
      </c>
      <c r="O19" s="217">
        <v>0</v>
      </c>
      <c r="P19" s="218">
        <f>IF($G19="T",SUMIFS('School Level ADM'!$S$5:$S$359,'School Level ADM'!$A$5:$A$359,$A19),0)</f>
        <v>0</v>
      </c>
      <c r="Q19" s="219">
        <f t="shared" si="7"/>
        <v>0</v>
      </c>
      <c r="R19" s="220">
        <f>SUM((('School Level Inst. Resources'!I19/'Model Data Inputs'!$B$8)*(1+'Model Data Inputs'!$B$9)),(SUM('School Level Inst. Resources'!J19:K19)/'Model Data Inputs'!$C$8)*(1+'Model Data Inputs'!$C$9),'School Level Inst. Resources'!K19/400)</f>
        <v>0.79922043478260862</v>
      </c>
      <c r="S19" s="220">
        <v>0</v>
      </c>
      <c r="T19" s="221">
        <f>IF($G19="T",VLOOKUP($A19,'Total O &amp; M Resources'!$A$5:$K$52,3),0)</f>
        <v>0</v>
      </c>
      <c r="U19" s="222">
        <f>IF($G19="F",0,$S19/'Model Data Inputs'!$B$140)</f>
        <v>0</v>
      </c>
      <c r="V19" s="222">
        <f>IF($G19="F",0,$O19/'Model Data Inputs'!$B$141)</f>
        <v>0</v>
      </c>
      <c r="W19" s="222">
        <f>IF($G19="F",0,$N19/'Model Data Inputs'!$B$142)</f>
        <v>0</v>
      </c>
      <c r="X19" s="222">
        <f>IF($G19="F",0,$K19/'Model Data Inputs'!$B$143)</f>
        <v>0</v>
      </c>
      <c r="Y19" s="222">
        <f t="shared" si="2"/>
        <v>0</v>
      </c>
      <c r="Z19" s="222">
        <f>IF(OR($G19="F",$F19="E"),0,'Model Data Inputs'!$B$144)</f>
        <v>0</v>
      </c>
      <c r="AA19" s="222">
        <f>IF(AND($O19&lt;='Model Data Inputs'!$B$139,$F19="E"),0,IF(AND($O19&lt;='Model Data Inputs'!$B$139,$F19="M"),0,IF(AND($O19&lt;='Model Data Inputs'!$B$139,$F19="H"),0,IF(SUM($Y19:$Z19)&lt;1,1,SUM($Y19:$Z19)))))</f>
        <v>0</v>
      </c>
      <c r="AB19" s="222">
        <f>($K19/'Model Data Inputs'!$B$143)*'Model Data Inputs'!$B$145</f>
        <v>0</v>
      </c>
      <c r="AC19" s="222">
        <f t="shared" si="3"/>
        <v>0</v>
      </c>
      <c r="AD19" s="222">
        <f>IF($G19="F",0,'Model Data Inputs'!$B$147)</f>
        <v>0</v>
      </c>
      <c r="AE19" s="222">
        <f>IF($G19="F",0,($K19/'Model Data Inputs'!$B$148)*'Model Data Inputs'!$B$149)</f>
        <v>0</v>
      </c>
      <c r="AF19" s="222">
        <f>IF($G19="F",0,($O19/'Model Data Inputs'!$B$150)*'Model Data Inputs'!$B$151)</f>
        <v>0</v>
      </c>
      <c r="AG19" s="222">
        <f>IF($G19="F",0,(($Q19*$T19)/'Model Data Inputs'!$B$152)*'Model Data Inputs'!$B$153)</f>
        <v>0</v>
      </c>
      <c r="AH19" s="222">
        <f t="shared" si="4"/>
        <v>0</v>
      </c>
      <c r="AI19" s="223">
        <f>IF(OR($G19="F",$F19="M",$F19="H"),0,($AH19*'Model Data Inputs'!$B$154)-$AH19)</f>
        <v>0</v>
      </c>
      <c r="AJ19" s="222">
        <f>IF(OR($G19="F",$F19="E",$F19="H"),0,($AH19*'Model Data Inputs'!$B$155)-$AH19)</f>
        <v>0</v>
      </c>
      <c r="AK19" s="223">
        <f>IF(OR($G19="F",$F19="E",$F19="M"),0,($AH19*'Model Data Inputs'!$B$156)-$AH19)</f>
        <v>0</v>
      </c>
      <c r="AL19" s="223">
        <f>IF($G19="F",0,IF($M19&lt;'Model Data Inputs'!$B$158,$AH19*('Model Data Inputs'!$B$159-1),0))</f>
        <v>0</v>
      </c>
      <c r="AM19" s="222">
        <f>IF($G19="F",0,IF($M19&gt;'Model Data Inputs'!$B$160,$AH19*('Model Data Inputs'!$B$161-1),0))</f>
        <v>0</v>
      </c>
      <c r="AN19" s="222">
        <f>IF($G19="F",0,IF($P19&lt;'Model Data Inputs'!$B$162,SUM($AH19,$AI19,$AJ19,$AK19,$AL19,$AM19)*('Model Data Inputs'!$B$163-1),0))</f>
        <v>0</v>
      </c>
      <c r="AO19" s="222">
        <f t="shared" si="5"/>
        <v>0</v>
      </c>
      <c r="AP19" s="224">
        <f>$K19*'Model Data Inputs'!$B$166</f>
        <v>0</v>
      </c>
      <c r="AQ19" s="224">
        <f>($K19*'Model Data Inputs'!$B$145)*'Model Data Inputs'!$B$166</f>
        <v>0</v>
      </c>
      <c r="AR19" s="225">
        <f t="shared" si="6"/>
        <v>0</v>
      </c>
    </row>
    <row r="20" spans="1:44" x14ac:dyDescent="0.2">
      <c r="A20" s="230" t="str">
        <f>'School Level Inst. Resources'!A20</f>
        <v>0101000</v>
      </c>
      <c r="B20" s="230" t="str">
        <f>'School Level Inst. Resources'!B20</f>
        <v>Albany #1</v>
      </c>
      <c r="C20" s="230" t="str">
        <f>'School Level Inst. Resources'!C20</f>
        <v>0101055</v>
      </c>
      <c r="D20" s="230" t="str">
        <f>'School Level Inst. Resources'!D20</f>
        <v>Laramie High School</v>
      </c>
      <c r="E20" s="231" t="str">
        <f>'School Level Inst. Resources'!E20</f>
        <v>9-12</v>
      </c>
      <c r="F20" s="232" t="str">
        <f>'School Level Inst. Resources'!H20</f>
        <v>H</v>
      </c>
      <c r="G20" s="232" t="s">
        <v>1158</v>
      </c>
      <c r="H20" s="207">
        <v>269649</v>
      </c>
      <c r="I20" s="207">
        <f>IF('SFD Allowable GSF Calculation'!$D$2=1,'SFD Allowable GSF Calculation'!$P20,'SFD Allowable GSF Calculation'!$X20)</f>
        <v>172420</v>
      </c>
      <c r="J20" s="194">
        <f>$I20*'Model Data Inputs'!$B$165</f>
        <v>198282.99999999997</v>
      </c>
      <c r="K20" s="194">
        <f>IF($L20&gt;='Model Data Inputs'!$B$164,$H20,MIN($H20,$J20))</f>
        <v>269649</v>
      </c>
      <c r="L20" s="208">
        <v>2016</v>
      </c>
      <c r="M20" s="196">
        <f>IF($L20&gt;0,'Model Data Inputs'!$B$157-$L20,"")</f>
        <v>1</v>
      </c>
      <c r="N20" s="209">
        <v>69</v>
      </c>
      <c r="O20" s="198">
        <f>'School Level Inst. Resources'!$L20</f>
        <v>1063.8</v>
      </c>
      <c r="P20" s="198">
        <f>IF($G20="T",SUMIFS('School Level ADM'!$S$5:$S$359,'School Level ADM'!$A$5:$A$359,$A20),0)</f>
        <v>3965.61</v>
      </c>
      <c r="Q20" s="199">
        <f t="shared" si="7"/>
        <v>0.26825633383010428</v>
      </c>
      <c r="R20" s="200">
        <f>SUM((('School Level Inst. Resources'!I20/'Model Data Inputs'!$B$8)*(1+'Model Data Inputs'!$B$9)),(SUM('School Level Inst. Resources'!J20:K20)/'Model Data Inputs'!$C$8)*(1+'Model Data Inputs'!$C$9),'School Level Inst. Resources'!K20/400)</f>
        <v>64.31364782608695</v>
      </c>
      <c r="S20" s="200">
        <f t="shared" si="1"/>
        <v>64.31364782608695</v>
      </c>
      <c r="T20" s="201">
        <f>IF($G20="T",VLOOKUP($A20,'Total O &amp; M Resources'!$A$5:$K$52,3),0)</f>
        <v>33292037.800000001</v>
      </c>
      <c r="U20" s="202">
        <f>IF($G20="F",0,$S20/'Model Data Inputs'!$B$140)</f>
        <v>4.9472036789297658</v>
      </c>
      <c r="V20" s="202">
        <f>IF($G20="F",0,$O20/'Model Data Inputs'!$B$141)</f>
        <v>3.2732307692307692</v>
      </c>
      <c r="W20" s="202">
        <f>IF($G20="F",0,$N20/'Model Data Inputs'!$B$142)</f>
        <v>5.3076923076923075</v>
      </c>
      <c r="X20" s="202">
        <f>IF($G20="F",0,$K20/'Model Data Inputs'!$B$143)</f>
        <v>14.980499999999999</v>
      </c>
      <c r="Y20" s="202">
        <f t="shared" si="2"/>
        <v>7.1271566889632103</v>
      </c>
      <c r="Z20" s="202">
        <f>IF(OR($G20="F",$F20="E"),0,'Model Data Inputs'!$B$144)</f>
        <v>0.5</v>
      </c>
      <c r="AA20" s="202">
        <f>IF(AND($O20&lt;='Model Data Inputs'!$B$139,$F20="E"),0,IF(AND($O20&lt;='Model Data Inputs'!$B$139,$F20="M"),0,IF(AND($O20&lt;='Model Data Inputs'!$B$139,$F20="H"),0,IF(SUM($Y20:$Z20)&lt;1,1,SUM($Y20:$Z20)))))</f>
        <v>7.6271566889632103</v>
      </c>
      <c r="AB20" s="202">
        <f>($K20/'Model Data Inputs'!$B$143)*'Model Data Inputs'!$B$145</f>
        <v>1.4980500000000001</v>
      </c>
      <c r="AC20" s="202">
        <f t="shared" si="3"/>
        <v>9.1252066889632104</v>
      </c>
      <c r="AD20" s="202">
        <f>IF($G20="F",0,'Model Data Inputs'!$B$147)</f>
        <v>1.1000000000000001</v>
      </c>
      <c r="AE20" s="202">
        <f>IF($G20="F",0,($K20/'Model Data Inputs'!$B$148)*'Model Data Inputs'!$B$149)</f>
        <v>5.3929800000000006</v>
      </c>
      <c r="AF20" s="202">
        <f>IF($G20="F",0,($O20/'Model Data Inputs'!$B$150)*'Model Data Inputs'!$B$151)</f>
        <v>1.3829399999999998</v>
      </c>
      <c r="AG20" s="202">
        <f>IF($G20="F",0,(($Q20*$T20)/'Model Data Inputs'!$B$152)*'Model Data Inputs'!$B$153)</f>
        <v>2.1433920014307</v>
      </c>
      <c r="AH20" s="202">
        <f t="shared" si="4"/>
        <v>2.5048280003576751</v>
      </c>
      <c r="AI20" s="203">
        <f>IF(OR($G20="F",$F20="M",$F20="H"),0,($AH20*'Model Data Inputs'!$B$154)-$AH20)</f>
        <v>0</v>
      </c>
      <c r="AJ20" s="202">
        <f>IF(OR($G20="F",$F20="E",$F20="H"),0,($AH20*'Model Data Inputs'!$B$155)-$AH20)</f>
        <v>0</v>
      </c>
      <c r="AK20" s="203">
        <f>IF(OR($G20="F",$F20="E",$F20="M"),0,($AH20*'Model Data Inputs'!$B$156)-$AH20)</f>
        <v>2.5048280003576751</v>
      </c>
      <c r="AL20" s="203">
        <f>IF($G20="F",0,IF($M20&lt;'Model Data Inputs'!$B$158,$AH20*('Model Data Inputs'!$B$159-1),0))</f>
        <v>-0.12524140001788386</v>
      </c>
      <c r="AM20" s="202">
        <f>IF($G20="F",0,IF($M20&gt;'Model Data Inputs'!$B$160,$AH20*('Model Data Inputs'!$B$161-1),0))</f>
        <v>0</v>
      </c>
      <c r="AN20" s="202">
        <f>IF($G20="F",0,IF($P20&lt;'Model Data Inputs'!$B$162,SUM($AH20,$AI20,$AJ20,$AK20,$AL20,$AM20)*('Model Data Inputs'!$B$163-1),0))</f>
        <v>0</v>
      </c>
      <c r="AO20" s="202">
        <f t="shared" si="5"/>
        <v>4.8844146006974665</v>
      </c>
      <c r="AP20" s="204">
        <f>$K20*'Model Data Inputs'!$B$166</f>
        <v>180664.83000000002</v>
      </c>
      <c r="AQ20" s="204">
        <f>($K20*'Model Data Inputs'!$B$145)*'Model Data Inputs'!$B$166</f>
        <v>18066.483000000004</v>
      </c>
      <c r="AR20" s="50">
        <f t="shared" si="6"/>
        <v>198731.31300000002</v>
      </c>
    </row>
    <row r="21" spans="1:44" s="226" customFormat="1" x14ac:dyDescent="0.2">
      <c r="A21" s="210" t="str">
        <f>'School Level Inst. Resources'!A21</f>
        <v>0101000</v>
      </c>
      <c r="B21" s="210" t="str">
        <f>'School Level Inst. Resources'!B21</f>
        <v>Albany #1</v>
      </c>
      <c r="C21" s="210" t="str">
        <f>'School Level Inst. Resources'!C21</f>
        <v>0101056</v>
      </c>
      <c r="D21" s="210" t="str">
        <f>'School Level Inst. Resources'!D21</f>
        <v>Rock River High School</v>
      </c>
      <c r="E21" s="211" t="str">
        <f>'School Level Inst. Resources'!E21</f>
        <v>9-12</v>
      </c>
      <c r="F21" s="212" t="str">
        <f>'School Level Inst. Resources'!H21</f>
        <v>H</v>
      </c>
      <c r="G21" s="212" t="s">
        <v>1158</v>
      </c>
      <c r="H21" s="213">
        <v>54853</v>
      </c>
      <c r="I21" s="213">
        <f>IF('SFD Allowable GSF Calculation'!$D$2=1,'SFD Allowable GSF Calculation'!$P21,'SFD Allowable GSF Calculation'!$X21)</f>
        <v>39444</v>
      </c>
      <c r="J21" s="214">
        <f>$I21*'Model Data Inputs'!$B$165</f>
        <v>45360.6</v>
      </c>
      <c r="K21" s="214">
        <f>IF($L21&gt;='Model Data Inputs'!$B$164,$H21,MIN($H21,$J21))</f>
        <v>45360.6</v>
      </c>
      <c r="L21" s="233">
        <v>1983</v>
      </c>
      <c r="M21" s="196">
        <f>IF($L21&gt;0,'Model Data Inputs'!$B$157-$L21,"")</f>
        <v>34</v>
      </c>
      <c r="N21" s="216">
        <v>23</v>
      </c>
      <c r="O21" s="218">
        <f>SUM('School Level Inst. Resources'!$L9,'School Level Inst. Resources'!$L19,'School Level Inst. Resources'!$L21)</f>
        <v>77.814999999999998</v>
      </c>
      <c r="P21" s="218">
        <f>IF($G21="T",SUMIFS('School Level ADM'!$S$5:$S$359,'School Level ADM'!$A$5:$A$359,$A21),0)</f>
        <v>3965.61</v>
      </c>
      <c r="Q21" s="219">
        <f t="shared" si="7"/>
        <v>1.9622454048683555E-2</v>
      </c>
      <c r="R21" s="234">
        <f>SUM((('School Level Inst. Resources'!I21/'Model Data Inputs'!$B$8)*(1+'Model Data Inputs'!$B$9)),(SUM('School Level Inst. Resources'!J21:K21)/'Model Data Inputs'!$C$8)*(1+'Model Data Inputs'!$C$9),'School Level Inst. Resources'!K21/400)</f>
        <v>2.3224372826086959</v>
      </c>
      <c r="S21" s="234">
        <f>SUM(R9,R19,R21)</f>
        <v>4.8289910507246372</v>
      </c>
      <c r="T21" s="221">
        <f>IF($G21="T",VLOOKUP($A21,'Total O &amp; M Resources'!$A$5:$K$52,3),0)</f>
        <v>33292037.800000001</v>
      </c>
      <c r="U21" s="222">
        <f>IF($G21="F",0,$S21/'Model Data Inputs'!$B$140)</f>
        <v>0.37146085005574131</v>
      </c>
      <c r="V21" s="222">
        <f>IF($G21="F",0,$O21/'Model Data Inputs'!$B$141)</f>
        <v>0.23943076923076922</v>
      </c>
      <c r="W21" s="222">
        <f>IF($G21="F",0,$N21/'Model Data Inputs'!$B$142)</f>
        <v>1.7692307692307692</v>
      </c>
      <c r="X21" s="222">
        <f>IF($G21="F",0,$K21/'Model Data Inputs'!$B$143)</f>
        <v>2.5200333333333331</v>
      </c>
      <c r="Y21" s="222">
        <f t="shared" si="2"/>
        <v>1.2250389304626532</v>
      </c>
      <c r="Z21" s="222">
        <f>IF(OR($G21="F",$F21="E"),0,'Model Data Inputs'!$B$144)</f>
        <v>0.5</v>
      </c>
      <c r="AA21" s="222">
        <f>IF(AND($O21&lt;='Model Data Inputs'!$B$139,$F21="E"),0,IF(AND($O21&lt;='Model Data Inputs'!$B$139,$F21="M"),0,IF(AND($O21&lt;='Model Data Inputs'!$B$139,$F21="H"),0,IF(SUM($Y21:$Z21)&lt;1,1,SUM($Y21:$Z21)))))</f>
        <v>1.7250389304626532</v>
      </c>
      <c r="AB21" s="222">
        <f>($K21/'Model Data Inputs'!$B$143)*'Model Data Inputs'!$B$145</f>
        <v>0.2520033333333333</v>
      </c>
      <c r="AC21" s="222">
        <f t="shared" si="3"/>
        <v>1.9770422637959866</v>
      </c>
      <c r="AD21" s="222">
        <f>IF($G21="F",0,'Model Data Inputs'!$B$147)</f>
        <v>1.1000000000000001</v>
      </c>
      <c r="AE21" s="222">
        <f>IF($G21="F",0,($K21/'Model Data Inputs'!$B$148)*'Model Data Inputs'!$B$149)</f>
        <v>0.90721199999999991</v>
      </c>
      <c r="AF21" s="222">
        <f>IF($G21="F",0,($O21/'Model Data Inputs'!$B$150)*'Model Data Inputs'!$B$151)</f>
        <v>0.1011595</v>
      </c>
      <c r="AG21" s="222">
        <f>IF($G21="F",0,(($Q21*$T21)/'Model Data Inputs'!$B$152)*'Model Data Inputs'!$B$153)</f>
        <v>0.15678515566020865</v>
      </c>
      <c r="AH21" s="222">
        <f t="shared" si="4"/>
        <v>0.56628916391505213</v>
      </c>
      <c r="AI21" s="223">
        <f>IF(OR($G21="F",$F21="M",$F21="H"),0,($AH21*'Model Data Inputs'!$B$154)-$AH21)</f>
        <v>0</v>
      </c>
      <c r="AJ21" s="222">
        <f>IF(OR($G21="F",$F21="E",$F21="H"),0,($AH21*'Model Data Inputs'!$B$155)-$AH21)</f>
        <v>0</v>
      </c>
      <c r="AK21" s="223">
        <f>IF(OR($G21="F",$F21="E",$F21="M"),0,($AH21*'Model Data Inputs'!$B$156)-$AH21)</f>
        <v>0.56628916391505213</v>
      </c>
      <c r="AL21" s="223">
        <f>IF($G21="F",0,IF($M21&lt;'Model Data Inputs'!$B$158,$AH21*('Model Data Inputs'!$B$159-1),0))</f>
        <v>0</v>
      </c>
      <c r="AM21" s="222">
        <f>IF($G21="F",0,IF($M21&gt;'Model Data Inputs'!$B$160,$AH21*('Model Data Inputs'!$B$161-1),0))</f>
        <v>5.662891639150526E-2</v>
      </c>
      <c r="AN21" s="222">
        <f>IF($G21="F",0,IF($P21&lt;'Model Data Inputs'!$B$162,SUM($AH21,$AI21,$AJ21,$AK21,$AL21,$AM21)*('Model Data Inputs'!$B$163-1),0))</f>
        <v>0</v>
      </c>
      <c r="AO21" s="222">
        <f t="shared" si="5"/>
        <v>1.1892072442216095</v>
      </c>
      <c r="AP21" s="224">
        <f>$K21*'Model Data Inputs'!$B$166</f>
        <v>30391.602000000003</v>
      </c>
      <c r="AQ21" s="224">
        <f>($K21*'Model Data Inputs'!$B$145)*'Model Data Inputs'!$B$166</f>
        <v>3039.1602000000003</v>
      </c>
      <c r="AR21" s="225">
        <f t="shared" si="6"/>
        <v>33430.762200000005</v>
      </c>
    </row>
    <row r="22" spans="1:44" x14ac:dyDescent="0.2">
      <c r="A22" s="227" t="str">
        <f>'School Level Inst. Resources'!A22</f>
        <v>0101000</v>
      </c>
      <c r="B22" s="227" t="str">
        <f>'School Level Inst. Resources'!B22</f>
        <v>Albany #1</v>
      </c>
      <c r="C22" s="227" t="str">
        <f>'School Level Inst. Resources'!C22</f>
        <v>0101057</v>
      </c>
      <c r="D22" s="227" t="str">
        <f>'School Level Inst. Resources'!D22</f>
        <v>Whiting High School</v>
      </c>
      <c r="E22" s="228" t="str">
        <f>'School Level Inst. Resources'!E22</f>
        <v>9-12</v>
      </c>
      <c r="F22" s="229" t="str">
        <f>'School Level Inst. Resources'!H22</f>
        <v>H</v>
      </c>
      <c r="G22" s="229" t="s">
        <v>1158</v>
      </c>
      <c r="H22" s="207">
        <v>31817</v>
      </c>
      <c r="I22" s="207">
        <f>IF('SFD Allowable GSF Calculation'!$D$2=1,'SFD Allowable GSF Calculation'!$P22,'SFD Allowable GSF Calculation'!$X22)</f>
        <v>18175</v>
      </c>
      <c r="J22" s="194">
        <f>$I22*'Model Data Inputs'!$B$165</f>
        <v>20901.25</v>
      </c>
      <c r="K22" s="194">
        <f>IF($L22&gt;='Model Data Inputs'!$B$164,$H22,MIN($H22,$J22))</f>
        <v>20901.25</v>
      </c>
      <c r="L22" s="208">
        <v>1964</v>
      </c>
      <c r="M22" s="196">
        <f>IF($L22&gt;0,'Model Data Inputs'!$B$157-$L22,"")</f>
        <v>53</v>
      </c>
      <c r="N22" s="209">
        <v>13</v>
      </c>
      <c r="O22" s="198">
        <f>'School Level Inst. Resources'!$L22</f>
        <v>36.445</v>
      </c>
      <c r="P22" s="198">
        <f>IF($G22="T",SUMIFS('School Level ADM'!$S$5:$S$359,'School Level ADM'!$A$5:$A$359,$A22),0)</f>
        <v>3965.61</v>
      </c>
      <c r="Q22" s="199">
        <f t="shared" si="7"/>
        <v>9.1902632886239448E-3</v>
      </c>
      <c r="R22" s="200">
        <f>SUM((('School Level Inst. Resources'!I22/'Model Data Inputs'!$B$8)*(1+'Model Data Inputs'!$B$9)),(SUM('School Level Inst. Resources'!J22:K22)/'Model Data Inputs'!$C$8)*(1+'Model Data Inputs'!$C$9),'School Level Inst. Resources'!K22/400)</f>
        <v>2.2033379347826085</v>
      </c>
      <c r="S22" s="200">
        <f t="shared" si="1"/>
        <v>2.2033379347826085</v>
      </c>
      <c r="T22" s="201">
        <f>IF($G22="T",VLOOKUP($A22,'Total O &amp; M Resources'!$A$5:$K$52,3),0)</f>
        <v>33292037.800000001</v>
      </c>
      <c r="U22" s="202">
        <f>IF($G22="F",0,$S22/'Model Data Inputs'!$B$140)</f>
        <v>0.16948753344481604</v>
      </c>
      <c r="V22" s="202">
        <f>IF($G22="F",0,$O22/'Model Data Inputs'!$B$141)</f>
        <v>0.11213846153846153</v>
      </c>
      <c r="W22" s="202">
        <f>IF($G22="F",0,$N22/'Model Data Inputs'!$B$142)</f>
        <v>1</v>
      </c>
      <c r="X22" s="202">
        <f>IF($G22="F",0,$K22/'Model Data Inputs'!$B$143)</f>
        <v>1.1611805555555557</v>
      </c>
      <c r="Y22" s="202">
        <f t="shared" si="2"/>
        <v>0.61070163763470831</v>
      </c>
      <c r="Z22" s="202">
        <f>IF(OR($G22="F",$F22="E"),0,'Model Data Inputs'!$B$144)</f>
        <v>0.5</v>
      </c>
      <c r="AA22" s="202">
        <f>IF(AND($O22&lt;='Model Data Inputs'!$B$139,$F22="E"),0,IF(AND($O22&lt;='Model Data Inputs'!$B$139,$F22="M"),0,IF(AND($O22&lt;='Model Data Inputs'!$B$139,$F22="H"),0,IF(SUM($Y22:$Z22)&lt;1,1,SUM($Y22:$Z22)))))</f>
        <v>0</v>
      </c>
      <c r="AB22" s="202">
        <f>($K22/'Model Data Inputs'!$B$143)*'Model Data Inputs'!$B$145</f>
        <v>0.11611805555555557</v>
      </c>
      <c r="AC22" s="202">
        <f t="shared" si="3"/>
        <v>0.11611805555555557</v>
      </c>
      <c r="AD22" s="202">
        <f>IF($G22="F",0,'Model Data Inputs'!$B$147)</f>
        <v>1.1000000000000001</v>
      </c>
      <c r="AE22" s="202">
        <f>IF($G22="F",0,($K22/'Model Data Inputs'!$B$148)*'Model Data Inputs'!$B$149)</f>
        <v>0.41802500000000004</v>
      </c>
      <c r="AF22" s="202">
        <f>IF($G22="F",0,($O22/'Model Data Inputs'!$B$150)*'Model Data Inputs'!$B$151)</f>
        <v>4.7378499999999997E-2</v>
      </c>
      <c r="AG22" s="202">
        <f>IF($G22="F",0,(($Q22*$T22)/'Model Data Inputs'!$B$152)*'Model Data Inputs'!$B$153)</f>
        <v>7.3431022271236962E-2</v>
      </c>
      <c r="AH22" s="202">
        <f t="shared" si="4"/>
        <v>0.40970863056780926</v>
      </c>
      <c r="AI22" s="203">
        <f>IF(OR($G22="F",$F22="M",$F22="H"),0,($AH22*'Model Data Inputs'!$B$154)-$AH22)</f>
        <v>0</v>
      </c>
      <c r="AJ22" s="202">
        <f>IF(OR($G22="F",$F22="E",$F22="H"),0,($AH22*'Model Data Inputs'!$B$155)-$AH22)</f>
        <v>0</v>
      </c>
      <c r="AK22" s="203">
        <f>IF(OR($G22="F",$F22="E",$F22="M"),0,($AH22*'Model Data Inputs'!$B$156)-$AH22)</f>
        <v>0.40970863056780926</v>
      </c>
      <c r="AL22" s="203">
        <f>IF($G22="F",0,IF($M22&lt;'Model Data Inputs'!$B$158,$AH22*('Model Data Inputs'!$B$159-1),0))</f>
        <v>0</v>
      </c>
      <c r="AM22" s="202">
        <f>IF($G22="F",0,IF($M22&gt;'Model Data Inputs'!$B$160,$AH22*('Model Data Inputs'!$B$161-1),0))</f>
        <v>4.0970863056780965E-2</v>
      </c>
      <c r="AN22" s="202">
        <f>IF($G22="F",0,IF($P22&lt;'Model Data Inputs'!$B$162,SUM($AH22,$AI22,$AJ22,$AK22,$AL22,$AM22)*('Model Data Inputs'!$B$163-1),0))</f>
        <v>0</v>
      </c>
      <c r="AO22" s="202">
        <f t="shared" si="5"/>
        <v>0.86038812419239952</v>
      </c>
      <c r="AP22" s="204">
        <f>$K22*'Model Data Inputs'!$B$166</f>
        <v>14003.837500000001</v>
      </c>
      <c r="AQ22" s="204">
        <f>($K22*'Model Data Inputs'!$B$145)*'Model Data Inputs'!$B$166</f>
        <v>1400.3837500000002</v>
      </c>
      <c r="AR22" s="50">
        <f t="shared" si="6"/>
        <v>15404.221250000002</v>
      </c>
    </row>
    <row r="23" spans="1:44" s="226" customFormat="1" x14ac:dyDescent="0.2">
      <c r="A23" s="210" t="str">
        <f>'School Level Inst. Resources'!A23</f>
        <v>0201000</v>
      </c>
      <c r="B23" s="210" t="str">
        <f>'School Level Inst. Resources'!B23</f>
        <v>Big Horn #1</v>
      </c>
      <c r="C23" s="210" t="str">
        <f>'School Level Inst. Resources'!C23</f>
        <v>0201001</v>
      </c>
      <c r="D23" s="210" t="str">
        <f>'School Level Inst. Resources'!D23</f>
        <v>Burlington Elementary</v>
      </c>
      <c r="E23" s="211" t="str">
        <f>'School Level Inst. Resources'!E23</f>
        <v>P-5</v>
      </c>
      <c r="F23" s="212" t="str">
        <f>'School Level Inst. Resources'!H23</f>
        <v>E</v>
      </c>
      <c r="G23" s="212" t="s">
        <v>1159</v>
      </c>
      <c r="H23" s="213">
        <v>0</v>
      </c>
      <c r="I23" s="213">
        <f>IF('SFD Allowable GSF Calculation'!$D$2=1,'SFD Allowable GSF Calculation'!$P23,'SFD Allowable GSF Calculation'!$X23)</f>
        <v>0</v>
      </c>
      <c r="J23" s="214">
        <f>$I23*'Model Data Inputs'!$B$165</f>
        <v>0</v>
      </c>
      <c r="K23" s="214">
        <f>IF($L23&gt;='Model Data Inputs'!$B$164,$H23,MIN($H23,$J23))</f>
        <v>0</v>
      </c>
      <c r="L23" s="233">
        <v>0</v>
      </c>
      <c r="M23" s="196" t="str">
        <f>IF($L23&gt;0,'Model Data Inputs'!$B$157-$L23,"")</f>
        <v/>
      </c>
      <c r="N23" s="216">
        <v>0</v>
      </c>
      <c r="O23" s="217">
        <v>0</v>
      </c>
      <c r="P23" s="218">
        <f>IF($G23="T",SUMIFS('School Level ADM'!$S$5:$S$359,'School Level ADM'!$A$5:$A$359,$A23),0)</f>
        <v>0</v>
      </c>
      <c r="Q23" s="219">
        <f t="shared" si="7"/>
        <v>0</v>
      </c>
      <c r="R23" s="220">
        <f>SUM((('School Level Inst. Resources'!I23/'Model Data Inputs'!$B$8)*(1+'Model Data Inputs'!$B$9)),(SUM('School Level Inst. Resources'!J23:K23)/'Model Data Inputs'!$C$8)*(1+'Model Data Inputs'!$C$9),'School Level Inst. Resources'!K23/400)</f>
        <v>7.2889999999999997</v>
      </c>
      <c r="S23" s="220">
        <v>0</v>
      </c>
      <c r="T23" s="221">
        <f>IF($G23="T",VLOOKUP($A23,'Total O &amp; M Resources'!$A$5:$K$52,3),0)</f>
        <v>0</v>
      </c>
      <c r="U23" s="222">
        <f>IF($G23="F",0,$S23/'Model Data Inputs'!$B$140)</f>
        <v>0</v>
      </c>
      <c r="V23" s="222">
        <f>IF($G23="F",0,$O23/'Model Data Inputs'!$B$141)</f>
        <v>0</v>
      </c>
      <c r="W23" s="222">
        <f>IF($G23="F",0,$N23/'Model Data Inputs'!$B$142)</f>
        <v>0</v>
      </c>
      <c r="X23" s="222">
        <f>IF($G23="F",0,$K23/'Model Data Inputs'!$B$143)</f>
        <v>0</v>
      </c>
      <c r="Y23" s="222">
        <f t="shared" si="2"/>
        <v>0</v>
      </c>
      <c r="Z23" s="222">
        <f>IF(OR($G23="F",$F23="E"),0,'Model Data Inputs'!$B$144)</f>
        <v>0</v>
      </c>
      <c r="AA23" s="222">
        <f>IF(AND($O23&lt;='Model Data Inputs'!$B$139,$F23="E"),0,IF(AND($O23&lt;='Model Data Inputs'!$B$139,$F23="M"),0,IF(AND($O23&lt;='Model Data Inputs'!$B$139,$F23="H"),0,IF(SUM($Y23:$Z23)&lt;1,1,SUM($Y23:$Z23)))))</f>
        <v>0</v>
      </c>
      <c r="AB23" s="222">
        <f>($K23/'Model Data Inputs'!$B$143)*'Model Data Inputs'!$B$145</f>
        <v>0</v>
      </c>
      <c r="AC23" s="222">
        <f t="shared" si="3"/>
        <v>0</v>
      </c>
      <c r="AD23" s="222">
        <f>IF($G23="F",0,'Model Data Inputs'!$B$147)</f>
        <v>0</v>
      </c>
      <c r="AE23" s="222">
        <f>IF($G23="F",0,($K23/'Model Data Inputs'!$B$148)*'Model Data Inputs'!$B$149)</f>
        <v>0</v>
      </c>
      <c r="AF23" s="222">
        <f>IF($G23="F",0,($O23/'Model Data Inputs'!$B$150)*'Model Data Inputs'!$B$151)</f>
        <v>0</v>
      </c>
      <c r="AG23" s="222">
        <f>IF($G23="F",0,(($Q23*$T23)/'Model Data Inputs'!$B$152)*'Model Data Inputs'!$B$153)</f>
        <v>0</v>
      </c>
      <c r="AH23" s="222">
        <f t="shared" si="4"/>
        <v>0</v>
      </c>
      <c r="AI23" s="223">
        <f>IF(OR($G23="F",$F23="M",$F23="H"),0,($AH23*'Model Data Inputs'!$B$154)-$AH23)</f>
        <v>0</v>
      </c>
      <c r="AJ23" s="222">
        <f>IF(OR($G23="F",$F23="E",$F23="H"),0,($AH23*'Model Data Inputs'!$B$155)-$AH23)</f>
        <v>0</v>
      </c>
      <c r="AK23" s="223">
        <f>IF(OR($G23="F",$F23="E",$F23="M"),0,($AH23*'Model Data Inputs'!$B$156)-$AH23)</f>
        <v>0</v>
      </c>
      <c r="AL23" s="223">
        <f>IF($G23="F",0,IF($M23&lt;'Model Data Inputs'!$B$158,$AH23*('Model Data Inputs'!$B$159-1),0))</f>
        <v>0</v>
      </c>
      <c r="AM23" s="222">
        <f>IF($G23="F",0,IF($M23&gt;'Model Data Inputs'!$B$160,$AH23*('Model Data Inputs'!$B$161-1),0))</f>
        <v>0</v>
      </c>
      <c r="AN23" s="222">
        <f>IF($G23="F",0,IF($P23&lt;'Model Data Inputs'!$B$162,SUM($AH23,$AI23,$AJ23,$AK23,$AL23,$AM23)*('Model Data Inputs'!$B$163-1),0))</f>
        <v>0</v>
      </c>
      <c r="AO23" s="222">
        <f t="shared" si="5"/>
        <v>0</v>
      </c>
      <c r="AP23" s="224">
        <f>$K23*'Model Data Inputs'!$B$166</f>
        <v>0</v>
      </c>
      <c r="AQ23" s="224">
        <f>($K23*'Model Data Inputs'!$B$145)*'Model Data Inputs'!$B$166</f>
        <v>0</v>
      </c>
      <c r="AR23" s="225">
        <f t="shared" si="6"/>
        <v>0</v>
      </c>
    </row>
    <row r="24" spans="1:44" x14ac:dyDescent="0.2">
      <c r="A24" s="227" t="str">
        <f>'School Level Inst. Resources'!A24</f>
        <v>0201000</v>
      </c>
      <c r="B24" s="227" t="str">
        <f>'School Level Inst. Resources'!B24</f>
        <v>Big Horn #1</v>
      </c>
      <c r="C24" s="227" t="str">
        <f>'School Level Inst. Resources'!C24</f>
        <v>0201004</v>
      </c>
      <c r="D24" s="227" t="str">
        <f>'School Level Inst. Resources'!D24</f>
        <v>Rocky Mountain Elementary</v>
      </c>
      <c r="E24" s="228" t="str">
        <f>'School Level Inst. Resources'!E24</f>
        <v>P-5</v>
      </c>
      <c r="F24" s="229" t="str">
        <f>'School Level Inst. Resources'!H24</f>
        <v>E</v>
      </c>
      <c r="G24" s="229" t="s">
        <v>1158</v>
      </c>
      <c r="H24" s="207">
        <v>39694</v>
      </c>
      <c r="I24" s="207">
        <f>IF('SFD Allowable GSF Calculation'!$D$2=1,'SFD Allowable GSF Calculation'!$P24,'SFD Allowable GSF Calculation'!$X24)</f>
        <v>42060</v>
      </c>
      <c r="J24" s="194">
        <f>$I24*'Model Data Inputs'!$B$165</f>
        <v>48368.999999999993</v>
      </c>
      <c r="K24" s="194">
        <f>IF($L24&gt;='Model Data Inputs'!$B$164,$H24,MIN($H24,$J24))</f>
        <v>39694</v>
      </c>
      <c r="L24" s="208">
        <v>2005</v>
      </c>
      <c r="M24" s="196">
        <f>IF($L24&gt;0,'Model Data Inputs'!$B$157-$L24,"")</f>
        <v>12</v>
      </c>
      <c r="N24" s="209">
        <v>21</v>
      </c>
      <c r="O24" s="198">
        <f>'School Level Inst. Resources'!$L24</f>
        <v>290.57499999999999</v>
      </c>
      <c r="P24" s="198">
        <f>IF($G24="T",SUMIFS('School Level ADM'!$S$5:$S$359,'School Level ADM'!$A$5:$A$359,$A24),0)</f>
        <v>1028.3399999999999</v>
      </c>
      <c r="Q24" s="199">
        <f t="shared" si="7"/>
        <v>0.28256704980842912</v>
      </c>
      <c r="R24" s="200">
        <f>SUM((('School Level Inst. Resources'!I24/'Model Data Inputs'!$B$8)*(1+'Model Data Inputs'!$B$9)),(SUM('School Level Inst. Resources'!J24:K24)/'Model Data Inputs'!$C$8)*(1+'Model Data Inputs'!$C$9),'School Level Inst. Resources'!K24/400)</f>
        <v>19.371666666666666</v>
      </c>
      <c r="S24" s="200">
        <f t="shared" si="1"/>
        <v>19.371666666666666</v>
      </c>
      <c r="T24" s="201">
        <f>IF($G24="T",VLOOKUP($A24,'Total O &amp; M Resources'!$A$5:$K$52,3),0)</f>
        <v>7958234.4800000023</v>
      </c>
      <c r="U24" s="202">
        <f>IF($G24="F",0,$S24/'Model Data Inputs'!$B$140)</f>
        <v>1.490128205128205</v>
      </c>
      <c r="V24" s="202">
        <f>IF($G24="F",0,$O24/'Model Data Inputs'!$B$141)</f>
        <v>0.89407692307692299</v>
      </c>
      <c r="W24" s="202">
        <f>IF($G24="F",0,$N24/'Model Data Inputs'!$B$142)</f>
        <v>1.6153846153846154</v>
      </c>
      <c r="X24" s="202">
        <f>IF($G24="F",0,$K24/'Model Data Inputs'!$B$143)</f>
        <v>2.2052222222222224</v>
      </c>
      <c r="Y24" s="202">
        <f t="shared" si="2"/>
        <v>1.5512029914529915</v>
      </c>
      <c r="Z24" s="202">
        <f>IF(OR($G24="F",$F24="E"),0,'Model Data Inputs'!$B$144)</f>
        <v>0</v>
      </c>
      <c r="AA24" s="202">
        <f>IF(AND($O24&lt;='Model Data Inputs'!$B$139,$F24="E"),0,IF(AND($O24&lt;='Model Data Inputs'!$B$139,$F24="M"),0,IF(AND($O24&lt;='Model Data Inputs'!$B$139,$F24="H"),0,IF(SUM($Y24:$Z24)&lt;1,1,SUM($Y24:$Z24)))))</f>
        <v>1.5512029914529915</v>
      </c>
      <c r="AB24" s="202">
        <f>($K24/'Model Data Inputs'!$B$143)*'Model Data Inputs'!$B$145</f>
        <v>0.22052222222222226</v>
      </c>
      <c r="AC24" s="202">
        <f t="shared" si="3"/>
        <v>1.7717252136752137</v>
      </c>
      <c r="AD24" s="202">
        <f>IF($G24="F",0,'Model Data Inputs'!$B$147)</f>
        <v>1.1000000000000001</v>
      </c>
      <c r="AE24" s="202">
        <f>IF($G24="F",0,($K24/'Model Data Inputs'!$B$148)*'Model Data Inputs'!$B$149)</f>
        <v>0.79387999999999992</v>
      </c>
      <c r="AF24" s="202">
        <f>IF($G24="F",0,($O24/'Model Data Inputs'!$B$150)*'Model Data Inputs'!$B$151)</f>
        <v>0.37774749999999996</v>
      </c>
      <c r="AG24" s="202">
        <f>IF($G24="F",0,(($Q24*$T24)/'Model Data Inputs'!$B$152)*'Model Data Inputs'!$B$153)</f>
        <v>0.53969636128735643</v>
      </c>
      <c r="AH24" s="202">
        <f t="shared" si="4"/>
        <v>0.7028309653218392</v>
      </c>
      <c r="AI24" s="203">
        <f>IF(OR($G24="F",$F24="M",$F24="H"),0,($AH24*'Model Data Inputs'!$B$154)-$AH24)</f>
        <v>-0.14056619306436779</v>
      </c>
      <c r="AJ24" s="202">
        <f>IF(OR($G24="F",$F24="E",$F24="H"),0,($AH24*'Model Data Inputs'!$B$155)-$AH24)</f>
        <v>0</v>
      </c>
      <c r="AK24" s="203">
        <f>IF(OR($G24="F",$F24="E",$F24="M"),0,($AH24*'Model Data Inputs'!$B$156)-$AH24)</f>
        <v>0</v>
      </c>
      <c r="AL24" s="203">
        <f>IF($G24="F",0,IF($M24&lt;'Model Data Inputs'!$B$158,$AH24*('Model Data Inputs'!$B$159-1),0))</f>
        <v>0</v>
      </c>
      <c r="AM24" s="202">
        <f>IF($G24="F",0,IF($M24&gt;'Model Data Inputs'!$B$160,$AH24*('Model Data Inputs'!$B$161-1),0))</f>
        <v>0</v>
      </c>
      <c r="AN24" s="202">
        <f>IF($G24="F",0,IF($P24&lt;'Model Data Inputs'!$B$162,SUM($AH24,$AI24,$AJ24,$AK24,$AL24,$AM24)*('Model Data Inputs'!$B$163-1),0))</f>
        <v>0</v>
      </c>
      <c r="AO24" s="202">
        <f t="shared" si="5"/>
        <v>0.5622647722574714</v>
      </c>
      <c r="AP24" s="204">
        <f>$K24*'Model Data Inputs'!$B$166</f>
        <v>26594.980000000003</v>
      </c>
      <c r="AQ24" s="204">
        <f>($K24*'Model Data Inputs'!$B$145)*'Model Data Inputs'!$B$166</f>
        <v>2659.498</v>
      </c>
      <c r="AR24" s="50">
        <f t="shared" si="6"/>
        <v>29254.478000000003</v>
      </c>
    </row>
    <row r="25" spans="1:44" s="226" customFormat="1" x14ac:dyDescent="0.2">
      <c r="A25" s="210" t="str">
        <f>'School Level Inst. Resources'!A25</f>
        <v>0201000</v>
      </c>
      <c r="B25" s="210" t="str">
        <f>'School Level Inst. Resources'!B25</f>
        <v>Big Horn #1</v>
      </c>
      <c r="C25" s="210" t="str">
        <f>'School Level Inst. Resources'!C25</f>
        <v>0201050</v>
      </c>
      <c r="D25" s="210" t="str">
        <f>'School Level Inst. Resources'!D25</f>
        <v>Burlington Middle School</v>
      </c>
      <c r="E25" s="211" t="str">
        <f>'School Level Inst. Resources'!E25</f>
        <v>6-8</v>
      </c>
      <c r="F25" s="212" t="str">
        <f>'School Level Inst. Resources'!H25</f>
        <v>M</v>
      </c>
      <c r="G25" s="212" t="s">
        <v>1159</v>
      </c>
      <c r="H25" s="213">
        <v>0</v>
      </c>
      <c r="I25" s="213">
        <f>IF('SFD Allowable GSF Calculation'!$D$2=1,'SFD Allowable GSF Calculation'!$P25,'SFD Allowable GSF Calculation'!$X25)</f>
        <v>0</v>
      </c>
      <c r="J25" s="214">
        <f>$I25*'Model Data Inputs'!$B$165</f>
        <v>0</v>
      </c>
      <c r="K25" s="214">
        <f>IF($L25&gt;='Model Data Inputs'!$B$164,$H25,MIN($H25,$J25))</f>
        <v>0</v>
      </c>
      <c r="L25" s="233">
        <v>0</v>
      </c>
      <c r="M25" s="196" t="str">
        <f>IF($L25&gt;0,'Model Data Inputs'!$B$157-$L25,"")</f>
        <v/>
      </c>
      <c r="N25" s="216">
        <v>0</v>
      </c>
      <c r="O25" s="217">
        <v>0</v>
      </c>
      <c r="P25" s="218">
        <f>IF($G25="T",SUMIFS('School Level ADM'!$S$5:$S$359,'School Level ADM'!$A$5:$A$359,$A25),0)</f>
        <v>0</v>
      </c>
      <c r="Q25" s="219">
        <f t="shared" si="7"/>
        <v>0</v>
      </c>
      <c r="R25" s="220">
        <f>SUM((('School Level Inst. Resources'!I25/'Model Data Inputs'!$B$8)*(1+'Model Data Inputs'!$B$9)),(SUM('School Level Inst. Resources'!J25:K25)/'Model Data Inputs'!$C$8)*(1+'Model Data Inputs'!$C$9),'School Level Inst. Resources'!K25/400)</f>
        <v>3.1968817391304345</v>
      </c>
      <c r="S25" s="220">
        <v>0</v>
      </c>
      <c r="T25" s="221">
        <f>IF($G25="T",VLOOKUP($A25,'Total O &amp; M Resources'!$A$5:$K$52,3),0)</f>
        <v>0</v>
      </c>
      <c r="U25" s="222">
        <f>IF($G25="F",0,$S25/'Model Data Inputs'!$B$140)</f>
        <v>0</v>
      </c>
      <c r="V25" s="222">
        <f>IF($G25="F",0,$O25/'Model Data Inputs'!$B$141)</f>
        <v>0</v>
      </c>
      <c r="W25" s="222">
        <f>IF($G25="F",0,$N25/'Model Data Inputs'!$B$142)</f>
        <v>0</v>
      </c>
      <c r="X25" s="222">
        <f>IF($G25="F",0,$K25/'Model Data Inputs'!$B$143)</f>
        <v>0</v>
      </c>
      <c r="Y25" s="222">
        <f t="shared" si="2"/>
        <v>0</v>
      </c>
      <c r="Z25" s="222">
        <f>IF(OR($G25="F",$F25="E"),0,'Model Data Inputs'!$B$144)</f>
        <v>0</v>
      </c>
      <c r="AA25" s="222">
        <f>IF(AND($O25&lt;='Model Data Inputs'!$B$139,$F25="E"),0,IF(AND($O25&lt;='Model Data Inputs'!$B$139,$F25="M"),0,IF(AND($O25&lt;='Model Data Inputs'!$B$139,$F25="H"),0,IF(SUM($Y25:$Z25)&lt;1,1,SUM($Y25:$Z25)))))</f>
        <v>0</v>
      </c>
      <c r="AB25" s="222">
        <f>($K25/'Model Data Inputs'!$B$143)*'Model Data Inputs'!$B$145</f>
        <v>0</v>
      </c>
      <c r="AC25" s="222">
        <f t="shared" si="3"/>
        <v>0</v>
      </c>
      <c r="AD25" s="222">
        <f>IF($G25="F",0,'Model Data Inputs'!$B$147)</f>
        <v>0</v>
      </c>
      <c r="AE25" s="222">
        <f>IF($G25="F",0,($K25/'Model Data Inputs'!$B$148)*'Model Data Inputs'!$B$149)</f>
        <v>0</v>
      </c>
      <c r="AF25" s="222">
        <f>IF($G25="F",0,($O25/'Model Data Inputs'!$B$150)*'Model Data Inputs'!$B$151)</f>
        <v>0</v>
      </c>
      <c r="AG25" s="222">
        <f>IF($G25="F",0,(($Q25*$T25)/'Model Data Inputs'!$B$152)*'Model Data Inputs'!$B$153)</f>
        <v>0</v>
      </c>
      <c r="AH25" s="222">
        <f t="shared" si="4"/>
        <v>0</v>
      </c>
      <c r="AI25" s="223">
        <f>IF(OR($G25="F",$F25="M",$F25="H"),0,($AH25*'Model Data Inputs'!$B$154)-$AH25)</f>
        <v>0</v>
      </c>
      <c r="AJ25" s="222">
        <f>IF(OR($G25="F",$F25="E",$F25="H"),0,($AH25*'Model Data Inputs'!$B$155)-$AH25)</f>
        <v>0</v>
      </c>
      <c r="AK25" s="223">
        <f>IF(OR($G25="F",$F25="E",$F25="M"),0,($AH25*'Model Data Inputs'!$B$156)-$AH25)</f>
        <v>0</v>
      </c>
      <c r="AL25" s="223">
        <f>IF($G25="F",0,IF($M25&lt;'Model Data Inputs'!$B$158,$AH25*('Model Data Inputs'!$B$159-1),0))</f>
        <v>0</v>
      </c>
      <c r="AM25" s="222">
        <f>IF($G25="F",0,IF($M25&gt;'Model Data Inputs'!$B$160,$AH25*('Model Data Inputs'!$B$161-1),0))</f>
        <v>0</v>
      </c>
      <c r="AN25" s="222">
        <f>IF($G25="F",0,IF($P25&lt;'Model Data Inputs'!$B$162,SUM($AH25,$AI25,$AJ25,$AK25,$AL25,$AM25)*('Model Data Inputs'!$B$163-1),0))</f>
        <v>0</v>
      </c>
      <c r="AO25" s="222">
        <f t="shared" si="5"/>
        <v>0</v>
      </c>
      <c r="AP25" s="224">
        <f>$K25*'Model Data Inputs'!$B$166</f>
        <v>0</v>
      </c>
      <c r="AQ25" s="224">
        <f>($K25*'Model Data Inputs'!$B$145)*'Model Data Inputs'!$B$166</f>
        <v>0</v>
      </c>
      <c r="AR25" s="225">
        <f t="shared" si="6"/>
        <v>0</v>
      </c>
    </row>
    <row r="26" spans="1:44" s="226" customFormat="1" x14ac:dyDescent="0.2">
      <c r="A26" s="210" t="str">
        <f>'School Level Inst. Resources'!A26</f>
        <v>0201000</v>
      </c>
      <c r="B26" s="210" t="str">
        <f>'School Level Inst. Resources'!B26</f>
        <v>Big Horn #1</v>
      </c>
      <c r="C26" s="210" t="str">
        <f>'School Level Inst. Resources'!C26</f>
        <v>0201051</v>
      </c>
      <c r="D26" s="210" t="str">
        <f>'School Level Inst. Resources'!D26</f>
        <v>Rocky Mountain Middle School</v>
      </c>
      <c r="E26" s="211" t="str">
        <f>'School Level Inst. Resources'!E26</f>
        <v>6-8</v>
      </c>
      <c r="F26" s="212" t="str">
        <f>'School Level Inst. Resources'!H26</f>
        <v>M</v>
      </c>
      <c r="G26" s="212" t="s">
        <v>1159</v>
      </c>
      <c r="H26" s="213">
        <v>0</v>
      </c>
      <c r="I26" s="213">
        <f>IF('SFD Allowable GSF Calculation'!$D$2=1,'SFD Allowable GSF Calculation'!$P26,'SFD Allowable GSF Calculation'!$X26)</f>
        <v>0</v>
      </c>
      <c r="J26" s="214">
        <f>$I26*'Model Data Inputs'!$B$165</f>
        <v>0</v>
      </c>
      <c r="K26" s="214">
        <f>IF($L26&gt;='Model Data Inputs'!$B$164,$H26,MIN($H26,$J26))</f>
        <v>0</v>
      </c>
      <c r="L26" s="233">
        <v>0</v>
      </c>
      <c r="M26" s="196" t="str">
        <f>IF($L26&gt;0,'Model Data Inputs'!$B$157-$L26,"")</f>
        <v/>
      </c>
      <c r="N26" s="216">
        <v>0</v>
      </c>
      <c r="O26" s="217">
        <v>0</v>
      </c>
      <c r="P26" s="218">
        <f>IF($G26="T",SUMIFS('School Level ADM'!$S$5:$S$359,'School Level ADM'!$A$5:$A$359,$A26),0)</f>
        <v>0</v>
      </c>
      <c r="Q26" s="219">
        <f t="shared" si="7"/>
        <v>0</v>
      </c>
      <c r="R26" s="220">
        <f>SUM((('School Level Inst. Resources'!I26/'Model Data Inputs'!$B$8)*(1+'Model Data Inputs'!$B$9)),(SUM('School Level Inst. Resources'!J26:K26)/'Model Data Inputs'!$C$8)*(1+'Model Data Inputs'!$C$9),'School Level Inst. Resources'!K26/400)</f>
        <v>11.017824565217392</v>
      </c>
      <c r="S26" s="220">
        <v>0</v>
      </c>
      <c r="T26" s="221">
        <f>IF($G26="T",VLOOKUP($A26,'Total O &amp; M Resources'!$A$5:$K$52,3),0)</f>
        <v>0</v>
      </c>
      <c r="U26" s="222">
        <f>IF($G26="F",0,$S26/'Model Data Inputs'!$B$140)</f>
        <v>0</v>
      </c>
      <c r="V26" s="222">
        <f>IF($G26="F",0,$O26/'Model Data Inputs'!$B$141)</f>
        <v>0</v>
      </c>
      <c r="W26" s="222">
        <f>IF($G26="F",0,$N26/'Model Data Inputs'!$B$142)</f>
        <v>0</v>
      </c>
      <c r="X26" s="222">
        <f>IF($G26="F",0,$K26/'Model Data Inputs'!$B$143)</f>
        <v>0</v>
      </c>
      <c r="Y26" s="222">
        <f t="shared" si="2"/>
        <v>0</v>
      </c>
      <c r="Z26" s="222">
        <f>IF(OR($G26="F",$F26="E"),0,'Model Data Inputs'!$B$144)</f>
        <v>0</v>
      </c>
      <c r="AA26" s="222">
        <f>IF(AND($O26&lt;='Model Data Inputs'!$B$139,$F26="E"),0,IF(AND($O26&lt;='Model Data Inputs'!$B$139,$F26="M"),0,IF(AND($O26&lt;='Model Data Inputs'!$B$139,$F26="H"),0,IF(SUM($Y26:$Z26)&lt;1,1,SUM($Y26:$Z26)))))</f>
        <v>0</v>
      </c>
      <c r="AB26" s="222">
        <f>($K26/'Model Data Inputs'!$B$143)*'Model Data Inputs'!$B$145</f>
        <v>0</v>
      </c>
      <c r="AC26" s="222">
        <f t="shared" si="3"/>
        <v>0</v>
      </c>
      <c r="AD26" s="222">
        <f>IF($G26="F",0,'Model Data Inputs'!$B$147)</f>
        <v>0</v>
      </c>
      <c r="AE26" s="222">
        <f>IF($G26="F",0,($K26/'Model Data Inputs'!$B$148)*'Model Data Inputs'!$B$149)</f>
        <v>0</v>
      </c>
      <c r="AF26" s="222">
        <f>IF($G26="F",0,($O26/'Model Data Inputs'!$B$150)*'Model Data Inputs'!$B$151)</f>
        <v>0</v>
      </c>
      <c r="AG26" s="222">
        <f>IF($G26="F",0,(($Q26*$T26)/'Model Data Inputs'!$B$152)*'Model Data Inputs'!$B$153)</f>
        <v>0</v>
      </c>
      <c r="AH26" s="222">
        <f t="shared" si="4"/>
        <v>0</v>
      </c>
      <c r="AI26" s="223">
        <f>IF(OR($G26="F",$F26="M",$F26="H"),0,($AH26*'Model Data Inputs'!$B$154)-$AH26)</f>
        <v>0</v>
      </c>
      <c r="AJ26" s="222">
        <f>IF(OR($G26="F",$F26="E",$F26="H"),0,($AH26*'Model Data Inputs'!$B$155)-$AH26)</f>
        <v>0</v>
      </c>
      <c r="AK26" s="223">
        <f>IF(OR($G26="F",$F26="E",$F26="M"),0,($AH26*'Model Data Inputs'!$B$156)-$AH26)</f>
        <v>0</v>
      </c>
      <c r="AL26" s="223">
        <f>IF($G26="F",0,IF($M26&lt;'Model Data Inputs'!$B$158,$AH26*('Model Data Inputs'!$B$159-1),0))</f>
        <v>0</v>
      </c>
      <c r="AM26" s="222">
        <f>IF($G26="F",0,IF($M26&gt;'Model Data Inputs'!$B$160,$AH26*('Model Data Inputs'!$B$161-1),0))</f>
        <v>0</v>
      </c>
      <c r="AN26" s="222">
        <f>IF($G26="F",0,IF($P26&lt;'Model Data Inputs'!$B$162,SUM($AH26,$AI26,$AJ26,$AK26,$AL26,$AM26)*('Model Data Inputs'!$B$163-1),0))</f>
        <v>0</v>
      </c>
      <c r="AO26" s="222">
        <f t="shared" si="5"/>
        <v>0</v>
      </c>
      <c r="AP26" s="224">
        <f>$K26*'Model Data Inputs'!$B$166</f>
        <v>0</v>
      </c>
      <c r="AQ26" s="224">
        <f>($K26*'Model Data Inputs'!$B$145)*'Model Data Inputs'!$B$166</f>
        <v>0</v>
      </c>
      <c r="AR26" s="225">
        <f t="shared" si="6"/>
        <v>0</v>
      </c>
    </row>
    <row r="27" spans="1:44" s="226" customFormat="1" x14ac:dyDescent="0.2">
      <c r="A27" s="210" t="str">
        <f>'School Level Inst. Resources'!A27</f>
        <v>0201000</v>
      </c>
      <c r="B27" s="210" t="str">
        <f>'School Level Inst. Resources'!B27</f>
        <v>Big Horn #1</v>
      </c>
      <c r="C27" s="210" t="str">
        <f>'School Level Inst. Resources'!C27</f>
        <v>0201055</v>
      </c>
      <c r="D27" s="210" t="str">
        <f>'School Level Inst. Resources'!D27</f>
        <v>Burlington High School</v>
      </c>
      <c r="E27" s="211" t="str">
        <f>'School Level Inst. Resources'!E27</f>
        <v>9-12</v>
      </c>
      <c r="F27" s="212" t="str">
        <f>'School Level Inst. Resources'!H27</f>
        <v>H</v>
      </c>
      <c r="G27" s="212" t="s">
        <v>1158</v>
      </c>
      <c r="H27" s="213">
        <v>91442</v>
      </c>
      <c r="I27" s="213">
        <f>IF('SFD Allowable GSF Calculation'!$D$2=1,'SFD Allowable GSF Calculation'!$P27,'SFD Allowable GSF Calculation'!$X27)</f>
        <v>69580</v>
      </c>
      <c r="J27" s="214">
        <f>$I27*'Model Data Inputs'!$B$165</f>
        <v>80017</v>
      </c>
      <c r="K27" s="214">
        <f>IF($L27&gt;='Model Data Inputs'!$B$164,$H27,MIN($H27,$J27))</f>
        <v>80017</v>
      </c>
      <c r="L27" s="233">
        <v>1987</v>
      </c>
      <c r="M27" s="196">
        <f>IF($L27&gt;0,'Model Data Inputs'!$B$157-$L27,"")</f>
        <v>30</v>
      </c>
      <c r="N27" s="216">
        <v>42</v>
      </c>
      <c r="O27" s="218">
        <f>SUM('School Level Inst. Resources'!$L23,'School Level Inst. Resources'!$L25,'School Level Inst. Resources'!$L27)</f>
        <v>230.49</v>
      </c>
      <c r="P27" s="218">
        <f>IF($G27="T",SUMIFS('School Level ADM'!$S$5:$S$359,'School Level ADM'!$A$5:$A$359,$A27),0)</f>
        <v>1028.3399999999999</v>
      </c>
      <c r="Q27" s="219">
        <f t="shared" si="7"/>
        <v>0.22413793103448279</v>
      </c>
      <c r="R27" s="234">
        <f>SUM((('School Level Inst. Resources'!I27/'Model Data Inputs'!$B$8)*(1+'Model Data Inputs'!$B$9)),(SUM('School Level Inst. Resources'!J27:K27)/'Model Data Inputs'!$C$8)*(1+'Model Data Inputs'!$C$9),'School Level Inst. Resources'!K27/400)</f>
        <v>3.9898281521739136</v>
      </c>
      <c r="S27" s="234">
        <f>SUM(R23,R25,R27)</f>
        <v>14.475709891304348</v>
      </c>
      <c r="T27" s="221">
        <f>IF($G27="T",VLOOKUP($A27,'Total O &amp; M Resources'!$A$5:$K$52,3),0)</f>
        <v>7958234.4800000023</v>
      </c>
      <c r="U27" s="222">
        <f>IF($G27="F",0,$S27/'Model Data Inputs'!$B$140)</f>
        <v>1.1135161454849498</v>
      </c>
      <c r="V27" s="222">
        <f>IF($G27="F",0,$O27/'Model Data Inputs'!$B$141)</f>
        <v>0.70920000000000005</v>
      </c>
      <c r="W27" s="222">
        <f>IF($G27="F",0,$N27/'Model Data Inputs'!$B$142)</f>
        <v>3.2307692307692308</v>
      </c>
      <c r="X27" s="222">
        <f>IF($G27="F",0,$K27/'Model Data Inputs'!$B$143)</f>
        <v>4.4453888888888891</v>
      </c>
      <c r="Y27" s="222">
        <f t="shared" si="2"/>
        <v>2.3747185662857673</v>
      </c>
      <c r="Z27" s="222">
        <f>IF(OR($G27="F",$F27="E"),0,'Model Data Inputs'!$B$144)</f>
        <v>0.5</v>
      </c>
      <c r="AA27" s="222">
        <f>IF(AND($O27&lt;='Model Data Inputs'!$B$139,$F27="E"),0,IF(AND($O27&lt;='Model Data Inputs'!$B$139,$F27="M"),0,IF(AND($O27&lt;='Model Data Inputs'!$B$139,$F27="H"),0,IF(SUM($Y27:$Z27)&lt;1,1,SUM($Y27:$Z27)))))</f>
        <v>2.8747185662857673</v>
      </c>
      <c r="AB27" s="222">
        <f>($K27/'Model Data Inputs'!$B$143)*'Model Data Inputs'!$B$145</f>
        <v>0.44453888888888893</v>
      </c>
      <c r="AC27" s="222">
        <f t="shared" si="3"/>
        <v>3.3192574551746561</v>
      </c>
      <c r="AD27" s="222">
        <f>IF($G27="F",0,'Model Data Inputs'!$B$147)</f>
        <v>1.1000000000000001</v>
      </c>
      <c r="AE27" s="222">
        <f>IF($G27="F",0,($K27/'Model Data Inputs'!$B$148)*'Model Data Inputs'!$B$149)</f>
        <v>1.6003399999999999</v>
      </c>
      <c r="AF27" s="222">
        <f>IF($G27="F",0,($O27/'Model Data Inputs'!$B$150)*'Model Data Inputs'!$B$151)</f>
        <v>0.29963699999999999</v>
      </c>
      <c r="AG27" s="222">
        <f>IF($G27="F",0,(($Q27*$T27)/'Model Data Inputs'!$B$152)*'Model Data Inputs'!$B$153)</f>
        <v>0.42809813064827607</v>
      </c>
      <c r="AH27" s="222">
        <f t="shared" si="4"/>
        <v>0.85701878266206899</v>
      </c>
      <c r="AI27" s="223">
        <f>IF(OR($G27="F",$F27="M",$F27="H"),0,($AH27*'Model Data Inputs'!$B$154)-$AH27)</f>
        <v>0</v>
      </c>
      <c r="AJ27" s="222">
        <f>IF(OR($G27="F",$F27="E",$F27="H"),0,($AH27*'Model Data Inputs'!$B$155)-$AH27)</f>
        <v>0</v>
      </c>
      <c r="AK27" s="223">
        <f>IF(OR($G27="F",$F27="E",$F27="M"),0,($AH27*'Model Data Inputs'!$B$156)-$AH27)</f>
        <v>0.85701878266206899</v>
      </c>
      <c r="AL27" s="223">
        <f>IF($G27="F",0,IF($M27&lt;'Model Data Inputs'!$B$158,$AH27*('Model Data Inputs'!$B$159-1),0))</f>
        <v>0</v>
      </c>
      <c r="AM27" s="222">
        <f>IF($G27="F",0,IF($M27&gt;'Model Data Inputs'!$B$160,$AH27*('Model Data Inputs'!$B$161-1),0))</f>
        <v>0</v>
      </c>
      <c r="AN27" s="222">
        <f>IF($G27="F",0,IF($P27&lt;'Model Data Inputs'!$B$162,SUM($AH27,$AI27,$AJ27,$AK27,$AL27,$AM27)*('Model Data Inputs'!$B$163-1),0))</f>
        <v>0</v>
      </c>
      <c r="AO27" s="222">
        <f t="shared" si="5"/>
        <v>1.714037565324138</v>
      </c>
      <c r="AP27" s="224">
        <f>$K27*'Model Data Inputs'!$B$166</f>
        <v>53611.390000000007</v>
      </c>
      <c r="AQ27" s="224">
        <f>($K27*'Model Data Inputs'!$B$145)*'Model Data Inputs'!$B$166</f>
        <v>5361.139000000001</v>
      </c>
      <c r="AR27" s="225">
        <f t="shared" si="6"/>
        <v>58972.52900000001</v>
      </c>
    </row>
    <row r="28" spans="1:44" s="226" customFormat="1" x14ac:dyDescent="0.2">
      <c r="A28" s="210" t="str">
        <f>'School Level Inst. Resources'!A28</f>
        <v>0201000</v>
      </c>
      <c r="B28" s="210" t="str">
        <f>'School Level Inst. Resources'!B28</f>
        <v>Big Horn #1</v>
      </c>
      <c r="C28" s="210" t="str">
        <f>'School Level Inst. Resources'!C28</f>
        <v>0201056</v>
      </c>
      <c r="D28" s="210" t="str">
        <f>'School Level Inst. Resources'!D28</f>
        <v>Rocky Mountain High School</v>
      </c>
      <c r="E28" s="211" t="str">
        <f>'School Level Inst. Resources'!E28</f>
        <v>9-12</v>
      </c>
      <c r="F28" s="212" t="str">
        <f>'School Level Inst. Resources'!H28</f>
        <v>H</v>
      </c>
      <c r="G28" s="212" t="s">
        <v>1158</v>
      </c>
      <c r="H28" s="213">
        <v>78737</v>
      </c>
      <c r="I28" s="213">
        <f>IF('SFD Allowable GSF Calculation'!$D$2=1,'SFD Allowable GSF Calculation'!$P28,'SFD Allowable GSF Calculation'!$X28)</f>
        <v>121582</v>
      </c>
      <c r="J28" s="214">
        <f>$I28*'Model Data Inputs'!$B$165</f>
        <v>139819.29999999999</v>
      </c>
      <c r="K28" s="214">
        <f>IF($L28&gt;='Model Data Inputs'!$B$164,$H28,MIN($H28,$J28))</f>
        <v>78737</v>
      </c>
      <c r="L28" s="233">
        <v>2010</v>
      </c>
      <c r="M28" s="196">
        <f>IF($L28&gt;0,'Model Data Inputs'!$B$157-$L28,"")</f>
        <v>7</v>
      </c>
      <c r="N28" s="216">
        <v>28</v>
      </c>
      <c r="O28" s="218">
        <f>SUM('School Level Inst. Resources'!$L26,'School Level Inst. Resources'!$L28)</f>
        <v>507.27499999999998</v>
      </c>
      <c r="P28" s="218">
        <f>IF($G28="T",SUMIFS('School Level ADM'!$S$5:$S$359,'School Level ADM'!$A$5:$A$359,$A28),0)</f>
        <v>1028.3399999999999</v>
      </c>
      <c r="Q28" s="219">
        <f t="shared" si="7"/>
        <v>0.49329501915708812</v>
      </c>
      <c r="R28" s="234">
        <f>SUM((('School Level Inst. Resources'!I28/'Model Data Inputs'!$B$8)*(1+'Model Data Inputs'!$B$9)),(SUM('School Level Inst. Resources'!J28:K28)/'Model Data Inputs'!$C$8)*(1+'Model Data Inputs'!$C$9),'School Level Inst. Resources'!K28/400)</f>
        <v>19.174994999999996</v>
      </c>
      <c r="S28" s="234">
        <f>SUM(R26,R28)</f>
        <v>30.192819565217388</v>
      </c>
      <c r="T28" s="221">
        <f>IF($G28="T",VLOOKUP($A28,'Total O &amp; M Resources'!$A$5:$K$52,3),0)</f>
        <v>7958234.4800000023</v>
      </c>
      <c r="U28" s="222">
        <f>IF($G28="F",0,$S28/'Model Data Inputs'!$B$140)</f>
        <v>2.322524581939799</v>
      </c>
      <c r="V28" s="222">
        <f>IF($G28="F",0,$O28/'Model Data Inputs'!$B$141)</f>
        <v>1.5608461538461538</v>
      </c>
      <c r="W28" s="222">
        <f>IF($G28="F",0,$N28/'Model Data Inputs'!$B$142)</f>
        <v>2.1538461538461537</v>
      </c>
      <c r="X28" s="222">
        <f>IF($G28="F",0,$K28/'Model Data Inputs'!$B$143)</f>
        <v>4.3742777777777775</v>
      </c>
      <c r="Y28" s="222">
        <f t="shared" si="2"/>
        <v>2.6028736668524708</v>
      </c>
      <c r="Z28" s="222">
        <f>IF(OR($G28="F",$F28="E"),0,'Model Data Inputs'!$B$144)</f>
        <v>0.5</v>
      </c>
      <c r="AA28" s="222">
        <f>IF(AND($O28&lt;='Model Data Inputs'!$B$139,$F28="E"),0,IF(AND($O28&lt;='Model Data Inputs'!$B$139,$F28="M"),0,IF(AND($O28&lt;='Model Data Inputs'!$B$139,$F28="H"),0,IF(SUM($Y28:$Z28)&lt;1,1,SUM($Y28:$Z28)))))</f>
        <v>3.1028736668524708</v>
      </c>
      <c r="AB28" s="222">
        <f>($K28/'Model Data Inputs'!$B$143)*'Model Data Inputs'!$B$145</f>
        <v>0.43742777777777775</v>
      </c>
      <c r="AC28" s="222">
        <f t="shared" si="3"/>
        <v>3.5403014446302485</v>
      </c>
      <c r="AD28" s="222">
        <f>IF($G28="F",0,'Model Data Inputs'!$B$147)</f>
        <v>1.1000000000000001</v>
      </c>
      <c r="AE28" s="222">
        <f>IF($G28="F",0,($K28/'Model Data Inputs'!$B$148)*'Model Data Inputs'!$B$149)</f>
        <v>1.5747399999999998</v>
      </c>
      <c r="AF28" s="222">
        <f>IF($G28="F",0,($O28/'Model Data Inputs'!$B$150)*'Model Data Inputs'!$B$151)</f>
        <v>0.65945750000000003</v>
      </c>
      <c r="AG28" s="222">
        <f>IF($G28="F",0,(($Q28*$T28)/'Model Data Inputs'!$B$152)*'Model Data Inputs'!$B$153)</f>
        <v>0.94218178326436819</v>
      </c>
      <c r="AH28" s="222">
        <f t="shared" si="4"/>
        <v>1.0690948208160922</v>
      </c>
      <c r="AI28" s="223">
        <f>IF(OR($G28="F",$F28="M",$F28="H"),0,($AH28*'Model Data Inputs'!$B$154)-$AH28)</f>
        <v>0</v>
      </c>
      <c r="AJ28" s="222">
        <f>IF(OR($G28="F",$F28="E",$F28="H"),0,($AH28*'Model Data Inputs'!$B$155)-$AH28)</f>
        <v>0</v>
      </c>
      <c r="AK28" s="223">
        <f>IF(OR($G28="F",$F28="E",$F28="M"),0,($AH28*'Model Data Inputs'!$B$156)-$AH28)</f>
        <v>1.0690948208160922</v>
      </c>
      <c r="AL28" s="223">
        <f>IF($G28="F",0,IF($M28&lt;'Model Data Inputs'!$B$158,$AH28*('Model Data Inputs'!$B$159-1),0))</f>
        <v>-5.3454741040804658E-2</v>
      </c>
      <c r="AM28" s="222">
        <f>IF($G28="F",0,IF($M28&gt;'Model Data Inputs'!$B$160,$AH28*('Model Data Inputs'!$B$161-1),0))</f>
        <v>0</v>
      </c>
      <c r="AN28" s="222">
        <f>IF($G28="F",0,IF($P28&lt;'Model Data Inputs'!$B$162,SUM($AH28,$AI28,$AJ28,$AK28,$AL28,$AM28)*('Model Data Inputs'!$B$163-1),0))</f>
        <v>0</v>
      </c>
      <c r="AO28" s="222">
        <f t="shared" si="5"/>
        <v>2.0847349005913798</v>
      </c>
      <c r="AP28" s="224">
        <f>$K28*'Model Data Inputs'!$B$166</f>
        <v>52753.79</v>
      </c>
      <c r="AQ28" s="224">
        <f>($K28*'Model Data Inputs'!$B$145)*'Model Data Inputs'!$B$166</f>
        <v>5275.3790000000008</v>
      </c>
      <c r="AR28" s="225">
        <f t="shared" si="6"/>
        <v>58029.169000000002</v>
      </c>
    </row>
    <row r="29" spans="1:44" x14ac:dyDescent="0.2">
      <c r="A29" s="227" t="str">
        <f>'School Level Inst. Resources'!A29</f>
        <v>0202000</v>
      </c>
      <c r="B29" s="227" t="str">
        <f>'School Level Inst. Resources'!B29</f>
        <v>Big Horn #2</v>
      </c>
      <c r="C29" s="227" t="str">
        <f>'School Level Inst. Resources'!C29</f>
        <v>0202001</v>
      </c>
      <c r="D29" s="227" t="str">
        <f>'School Level Inst. Resources'!D29</f>
        <v>Lovell Elementary</v>
      </c>
      <c r="E29" s="228" t="str">
        <f>'School Level Inst. Resources'!E29</f>
        <v>K-5</v>
      </c>
      <c r="F29" s="229" t="str">
        <f>'School Level Inst. Resources'!H29</f>
        <v>E</v>
      </c>
      <c r="G29" s="229" t="s">
        <v>1158</v>
      </c>
      <c r="H29" s="207">
        <v>57936</v>
      </c>
      <c r="I29" s="207">
        <f>IF('SFD Allowable GSF Calculation'!$D$2=1,'SFD Allowable GSF Calculation'!$P29,'SFD Allowable GSF Calculation'!$X29)</f>
        <v>48761</v>
      </c>
      <c r="J29" s="194">
        <f>$I29*'Model Data Inputs'!$B$165</f>
        <v>56075.149999999994</v>
      </c>
      <c r="K29" s="194">
        <f>IF($L29&gt;='Model Data Inputs'!$B$164,$H29,MIN($H29,$J29))</f>
        <v>56075.149999999994</v>
      </c>
      <c r="L29" s="208">
        <v>1942</v>
      </c>
      <c r="M29" s="196">
        <f>IF($L29&gt;0,'Model Data Inputs'!$B$157-$L29,"")</f>
        <v>75</v>
      </c>
      <c r="N29" s="209">
        <v>31</v>
      </c>
      <c r="O29" s="198">
        <f>'School Level Inst. Resources'!$L29</f>
        <v>331.94499999999999</v>
      </c>
      <c r="P29" s="198">
        <f>IF($G29="T",SUMIFS('School Level ADM'!$S$5:$S$359,'School Level ADM'!$A$5:$A$359,$A29),0)</f>
        <v>707.23</v>
      </c>
      <c r="Q29" s="199">
        <f t="shared" si="7"/>
        <v>0.46935933147632308</v>
      </c>
      <c r="R29" s="200">
        <f>SUM((('School Level Inst. Resources'!I29/'Model Data Inputs'!$B$8)*(1+'Model Data Inputs'!$B$9)),(SUM('School Level Inst. Resources'!J29:K29)/'Model Data Inputs'!$C$8)*(1+'Model Data Inputs'!$C$9),'School Level Inst. Resources'!K29/400)</f>
        <v>22.129666666666665</v>
      </c>
      <c r="S29" s="200">
        <f t="shared" si="1"/>
        <v>22.129666666666665</v>
      </c>
      <c r="T29" s="201">
        <f>IF($G29="T",VLOOKUP($A29,'Total O &amp; M Resources'!$A$5:$K$52,3),0)</f>
        <v>6269762.6000000015</v>
      </c>
      <c r="U29" s="202">
        <f>IF($G29="F",0,$S29/'Model Data Inputs'!$B$140)</f>
        <v>1.7022820512820511</v>
      </c>
      <c r="V29" s="202">
        <f>IF($G29="F",0,$O29/'Model Data Inputs'!$B$141)</f>
        <v>1.0213692307692308</v>
      </c>
      <c r="W29" s="202">
        <f>IF($G29="F",0,$N29/'Model Data Inputs'!$B$142)</f>
        <v>2.3846153846153846</v>
      </c>
      <c r="X29" s="202">
        <f>IF($G29="F",0,$K29/'Model Data Inputs'!$B$143)</f>
        <v>3.1152861111111108</v>
      </c>
      <c r="Y29" s="202">
        <f t="shared" si="2"/>
        <v>2.0558881944444445</v>
      </c>
      <c r="Z29" s="202">
        <f>IF(OR($G29="F",$F29="E"),0,'Model Data Inputs'!$B$144)</f>
        <v>0</v>
      </c>
      <c r="AA29" s="202">
        <f>IF(AND($O29&lt;='Model Data Inputs'!$B$139,$F29="E"),0,IF(AND($O29&lt;='Model Data Inputs'!$B$139,$F29="M"),0,IF(AND($O29&lt;='Model Data Inputs'!$B$139,$F29="H"),0,IF(SUM($Y29:$Z29)&lt;1,1,SUM($Y29:$Z29)))))</f>
        <v>2.0558881944444445</v>
      </c>
      <c r="AB29" s="202">
        <f>($K29/'Model Data Inputs'!$B$143)*'Model Data Inputs'!$B$145</f>
        <v>0.31152861111111108</v>
      </c>
      <c r="AC29" s="202">
        <f t="shared" si="3"/>
        <v>2.3674168055555556</v>
      </c>
      <c r="AD29" s="202">
        <f>IF($G29="F",0,'Model Data Inputs'!$B$147)</f>
        <v>1.1000000000000001</v>
      </c>
      <c r="AE29" s="202">
        <f>IF($G29="F",0,($K29/'Model Data Inputs'!$B$148)*'Model Data Inputs'!$B$149)</f>
        <v>1.1215029999999999</v>
      </c>
      <c r="AF29" s="202">
        <f>IF($G29="F",0,($O29/'Model Data Inputs'!$B$150)*'Model Data Inputs'!$B$151)</f>
        <v>0.43152849999999998</v>
      </c>
      <c r="AG29" s="202">
        <f>IF($G29="F",0,(($Q29*$T29)/'Model Data Inputs'!$B$152)*'Model Data Inputs'!$B$153)</f>
        <v>0.70626517978830095</v>
      </c>
      <c r="AH29" s="202">
        <f t="shared" si="4"/>
        <v>0.83982416994707521</v>
      </c>
      <c r="AI29" s="203">
        <f>IF(OR($G29="F",$F29="M",$F29="H"),0,($AH29*'Model Data Inputs'!$B$154)-$AH29)</f>
        <v>-0.16796483398941497</v>
      </c>
      <c r="AJ29" s="202">
        <f>IF(OR($G29="F",$F29="E",$F29="H"),0,($AH29*'Model Data Inputs'!$B$155)-$AH29)</f>
        <v>0</v>
      </c>
      <c r="AK29" s="203">
        <f>IF(OR($G29="F",$F29="E",$F29="M"),0,($AH29*'Model Data Inputs'!$B$156)-$AH29)</f>
        <v>0</v>
      </c>
      <c r="AL29" s="203">
        <f>IF($G29="F",0,IF($M29&lt;'Model Data Inputs'!$B$158,$AH29*('Model Data Inputs'!$B$159-1),0))</f>
        <v>0</v>
      </c>
      <c r="AM29" s="202">
        <f>IF($G29="F",0,IF($M29&gt;'Model Data Inputs'!$B$160,$AH29*('Model Data Inputs'!$B$161-1),0))</f>
        <v>8.3982416994707598E-2</v>
      </c>
      <c r="AN29" s="202">
        <f>IF($G29="F",0,IF($P29&lt;'Model Data Inputs'!$B$162,SUM($AH29,$AI29,$AJ29,$AK29,$AL29,$AM29)*('Model Data Inputs'!$B$163-1),0))</f>
        <v>7.5584175295236838E-2</v>
      </c>
      <c r="AO29" s="202">
        <f t="shared" si="5"/>
        <v>0.83142592824760464</v>
      </c>
      <c r="AP29" s="204">
        <f>$K29*'Model Data Inputs'!$B$166</f>
        <v>37570.3505</v>
      </c>
      <c r="AQ29" s="204">
        <f>($K29*'Model Data Inputs'!$B$145)*'Model Data Inputs'!$B$166</f>
        <v>3757.03505</v>
      </c>
      <c r="AR29" s="50">
        <f t="shared" si="6"/>
        <v>41327.385549999999</v>
      </c>
    </row>
    <row r="30" spans="1:44" x14ac:dyDescent="0.2">
      <c r="A30" s="227" t="str">
        <f>'School Level Inst. Resources'!A30</f>
        <v>0202000</v>
      </c>
      <c r="B30" s="227" t="str">
        <f>'School Level Inst. Resources'!B30</f>
        <v>Big Horn #2</v>
      </c>
      <c r="C30" s="227" t="str">
        <f>'School Level Inst. Resources'!C30</f>
        <v>0202050</v>
      </c>
      <c r="D30" s="227" t="str">
        <f>'School Level Inst. Resources'!D30</f>
        <v>Lovell Middle School</v>
      </c>
      <c r="E30" s="228" t="str">
        <f>'School Level Inst. Resources'!E30</f>
        <v>6-8</v>
      </c>
      <c r="F30" s="229" t="str">
        <f>'School Level Inst. Resources'!H30</f>
        <v>M</v>
      </c>
      <c r="G30" s="229" t="s">
        <v>1158</v>
      </c>
      <c r="H30" s="207">
        <v>63590</v>
      </c>
      <c r="I30" s="207">
        <f>IF('SFD Allowable GSF Calculation'!$D$2=1,'SFD Allowable GSF Calculation'!$P30,'SFD Allowable GSF Calculation'!$X30)</f>
        <v>47756</v>
      </c>
      <c r="J30" s="194">
        <f>$I30*'Model Data Inputs'!$B$165</f>
        <v>54919.399999999994</v>
      </c>
      <c r="K30" s="194">
        <f>IF($L30&gt;='Model Data Inputs'!$B$164,$H30,MIN($H30,$J30))</f>
        <v>54919.399999999994</v>
      </c>
      <c r="L30" s="208">
        <v>1991</v>
      </c>
      <c r="M30" s="196">
        <f>IF($L30&gt;0,'Model Data Inputs'!$B$157-$L30,"")</f>
        <v>26</v>
      </c>
      <c r="N30" s="209">
        <v>24</v>
      </c>
      <c r="O30" s="198">
        <f>'School Level Inst. Resources'!$L30</f>
        <v>164.495</v>
      </c>
      <c r="P30" s="198">
        <f>IF($G30="T",SUMIFS('School Level ADM'!$S$5:$S$359,'School Level ADM'!$A$5:$A$359,$A30),0)</f>
        <v>707.23</v>
      </c>
      <c r="Q30" s="199">
        <f t="shared" si="7"/>
        <v>0.23259052924791088</v>
      </c>
      <c r="R30" s="200">
        <f>SUM((('School Level Inst. Resources'!I30/'Model Data Inputs'!$B$8)*(1+'Model Data Inputs'!$B$9)),(SUM('School Level Inst. Resources'!J30:K30)/'Model Data Inputs'!$C$8)*(1+'Model Data Inputs'!$C$9),'School Level Inst. Resources'!K30/400)</f>
        <v>9.5335580434782603</v>
      </c>
      <c r="S30" s="200">
        <f t="shared" si="1"/>
        <v>9.5335580434782603</v>
      </c>
      <c r="T30" s="201">
        <f>IF($G30="T",VLOOKUP($A30,'Total O &amp; M Resources'!$A$5:$K$52,3),0)</f>
        <v>6269762.6000000015</v>
      </c>
      <c r="U30" s="202">
        <f>IF($G30="F",0,$S30/'Model Data Inputs'!$B$140)</f>
        <v>0.7333506187290969</v>
      </c>
      <c r="V30" s="202">
        <f>IF($G30="F",0,$O30/'Model Data Inputs'!$B$141)</f>
        <v>0.50613846153846154</v>
      </c>
      <c r="W30" s="202">
        <f>IF($G30="F",0,$N30/'Model Data Inputs'!$B$142)</f>
        <v>1.8461538461538463</v>
      </c>
      <c r="X30" s="202">
        <f>IF($G30="F",0,$K30/'Model Data Inputs'!$B$143)</f>
        <v>3.0510777777777776</v>
      </c>
      <c r="Y30" s="202">
        <f t="shared" si="2"/>
        <v>1.5341801760497955</v>
      </c>
      <c r="Z30" s="202">
        <f>IF(OR($G30="F",$F30="E"),0,'Model Data Inputs'!$B$144)</f>
        <v>0.5</v>
      </c>
      <c r="AA30" s="202">
        <f>IF(AND($O30&lt;='Model Data Inputs'!$B$139,$F30="E"),0,IF(AND($O30&lt;='Model Data Inputs'!$B$139,$F30="M"),0,IF(AND($O30&lt;='Model Data Inputs'!$B$139,$F30="H"),0,IF(SUM($Y30:$Z30)&lt;1,1,SUM($Y30:$Z30)))))</f>
        <v>2.0341801760497953</v>
      </c>
      <c r="AB30" s="202">
        <f>($K30/'Model Data Inputs'!$B$143)*'Model Data Inputs'!$B$145</f>
        <v>0.30510777777777776</v>
      </c>
      <c r="AC30" s="202">
        <f t="shared" si="3"/>
        <v>2.339287953827573</v>
      </c>
      <c r="AD30" s="202">
        <f>IF($G30="F",0,'Model Data Inputs'!$B$147)</f>
        <v>1.1000000000000001</v>
      </c>
      <c r="AE30" s="202">
        <f>IF($G30="F",0,($K30/'Model Data Inputs'!$B$148)*'Model Data Inputs'!$B$149)</f>
        <v>1.0983879999999999</v>
      </c>
      <c r="AF30" s="202">
        <f>IF($G30="F",0,($O30/'Model Data Inputs'!$B$150)*'Model Data Inputs'!$B$151)</f>
        <v>0.21384350000000002</v>
      </c>
      <c r="AG30" s="202">
        <f>IF($G30="F",0,(($Q30*$T30)/'Model Data Inputs'!$B$152)*'Model Data Inputs'!$B$153)</f>
        <v>0.34998897633426196</v>
      </c>
      <c r="AH30" s="202">
        <f t="shared" si="4"/>
        <v>0.69055511908356548</v>
      </c>
      <c r="AI30" s="203">
        <f>IF(OR($G30="F",$F30="M",$F30="H"),0,($AH30*'Model Data Inputs'!$B$154)-$AH30)</f>
        <v>0</v>
      </c>
      <c r="AJ30" s="202">
        <f>IF(OR($G30="F",$F30="E",$F30="H"),0,($AH30*'Model Data Inputs'!$B$155)-$AH30)</f>
        <v>0</v>
      </c>
      <c r="AK30" s="203">
        <f>IF(OR($G30="F",$F30="E",$F30="M"),0,($AH30*'Model Data Inputs'!$B$156)-$AH30)</f>
        <v>0</v>
      </c>
      <c r="AL30" s="203">
        <f>IF($G30="F",0,IF($M30&lt;'Model Data Inputs'!$B$158,$AH30*('Model Data Inputs'!$B$159-1),0))</f>
        <v>0</v>
      </c>
      <c r="AM30" s="202">
        <f>IF($G30="F",0,IF($M30&gt;'Model Data Inputs'!$B$160,$AH30*('Model Data Inputs'!$B$161-1),0))</f>
        <v>0</v>
      </c>
      <c r="AN30" s="202">
        <f>IF($G30="F",0,IF($P30&lt;'Model Data Inputs'!$B$162,SUM($AH30,$AI30,$AJ30,$AK30,$AL30,$AM30)*('Model Data Inputs'!$B$163-1),0))</f>
        <v>6.9055511908356612E-2</v>
      </c>
      <c r="AO30" s="202">
        <f t="shared" si="5"/>
        <v>0.75961063099192205</v>
      </c>
      <c r="AP30" s="204">
        <f>$K30*'Model Data Inputs'!$B$166</f>
        <v>36795.998</v>
      </c>
      <c r="AQ30" s="204">
        <f>($K30*'Model Data Inputs'!$B$145)*'Model Data Inputs'!$B$166</f>
        <v>3679.5998</v>
      </c>
      <c r="AR30" s="50">
        <f t="shared" si="6"/>
        <v>40475.597800000003</v>
      </c>
    </row>
    <row r="31" spans="1:44" x14ac:dyDescent="0.2">
      <c r="A31" s="227" t="str">
        <f>'School Level Inst. Resources'!A31</f>
        <v>0202000</v>
      </c>
      <c r="B31" s="227" t="str">
        <f>'School Level Inst. Resources'!B31</f>
        <v>Big Horn #2</v>
      </c>
      <c r="C31" s="227" t="str">
        <f>'School Level Inst. Resources'!C31</f>
        <v>0202055</v>
      </c>
      <c r="D31" s="227" t="str">
        <f>'School Level Inst. Resources'!D31</f>
        <v>Lovell High School</v>
      </c>
      <c r="E31" s="228" t="str">
        <f>'School Level Inst. Resources'!E31</f>
        <v>9-12</v>
      </c>
      <c r="F31" s="229" t="str">
        <f>'School Level Inst. Resources'!H31</f>
        <v>H</v>
      </c>
      <c r="G31" s="229" t="s">
        <v>1158</v>
      </c>
      <c r="H31" s="207">
        <v>101235</v>
      </c>
      <c r="I31" s="207">
        <f>IF('SFD Allowable GSF Calculation'!$D$2=1,'SFD Allowable GSF Calculation'!$P31,'SFD Allowable GSF Calculation'!$X31)</f>
        <v>63784</v>
      </c>
      <c r="J31" s="194">
        <f>$I31*'Model Data Inputs'!$B$165</f>
        <v>73351.599999999991</v>
      </c>
      <c r="K31" s="194">
        <f>IF($L31&gt;='Model Data Inputs'!$B$164,$H31,MIN($H31,$J31))</f>
        <v>73351.599999999991</v>
      </c>
      <c r="L31" s="208">
        <v>1962</v>
      </c>
      <c r="M31" s="196">
        <f>IF($L31&gt;0,'Model Data Inputs'!$B$157-$L31,"")</f>
        <v>55</v>
      </c>
      <c r="N31" s="209">
        <v>29</v>
      </c>
      <c r="O31" s="198">
        <f>'School Level Inst. Resources'!$L31</f>
        <v>210.79</v>
      </c>
      <c r="P31" s="198">
        <f>IF($G31="T",SUMIFS('School Level ADM'!$S$5:$S$359,'School Level ADM'!$A$5:$A$359,$A31),0)</f>
        <v>707.23</v>
      </c>
      <c r="Q31" s="199">
        <f t="shared" si="7"/>
        <v>0.29805013927576601</v>
      </c>
      <c r="R31" s="200">
        <f>SUM((('School Level Inst. Resources'!I31/'Model Data Inputs'!$B$8)*(1+'Model Data Inputs'!$B$9)),(SUM('School Level Inst. Resources'!J31:K31)/'Model Data Inputs'!$C$8)*(1+'Model Data Inputs'!$C$9),'School Level Inst. Resources'!K31/400)</f>
        <v>12.743630217391303</v>
      </c>
      <c r="S31" s="200">
        <f t="shared" si="1"/>
        <v>12.743630217391303</v>
      </c>
      <c r="T31" s="201">
        <f>IF($G31="T",VLOOKUP($A31,'Total O &amp; M Resources'!$A$5:$K$52,3),0)</f>
        <v>6269762.6000000015</v>
      </c>
      <c r="U31" s="202">
        <f>IF($G31="F",0,$S31/'Model Data Inputs'!$B$140)</f>
        <v>0.98027924749163864</v>
      </c>
      <c r="V31" s="202">
        <f>IF($G31="F",0,$O31/'Model Data Inputs'!$B$141)</f>
        <v>0.64858461538461532</v>
      </c>
      <c r="W31" s="202">
        <f>IF($G31="F",0,$N31/'Model Data Inputs'!$B$142)</f>
        <v>2.2307692307692308</v>
      </c>
      <c r="X31" s="202">
        <f>IF($G31="F",0,$K31/'Model Data Inputs'!$B$143)</f>
        <v>4.0750888888888888</v>
      </c>
      <c r="Y31" s="202">
        <f t="shared" si="2"/>
        <v>1.9836804956335934</v>
      </c>
      <c r="Z31" s="202">
        <f>IF(OR($G31="F",$F31="E"),0,'Model Data Inputs'!$B$144)</f>
        <v>0.5</v>
      </c>
      <c r="AA31" s="202">
        <f>IF(AND($O31&lt;='Model Data Inputs'!$B$139,$F31="E"),0,IF(AND($O31&lt;='Model Data Inputs'!$B$139,$F31="M"),0,IF(AND($O31&lt;='Model Data Inputs'!$B$139,$F31="H"),0,IF(SUM($Y31:$Z31)&lt;1,1,SUM($Y31:$Z31)))))</f>
        <v>2.4836804956335934</v>
      </c>
      <c r="AB31" s="202">
        <f>($K31/'Model Data Inputs'!$B$143)*'Model Data Inputs'!$B$145</f>
        <v>0.40750888888888892</v>
      </c>
      <c r="AC31" s="202">
        <f t="shared" si="3"/>
        <v>2.8911893845224821</v>
      </c>
      <c r="AD31" s="202">
        <f>IF($G31="F",0,'Model Data Inputs'!$B$147)</f>
        <v>1.1000000000000001</v>
      </c>
      <c r="AE31" s="202">
        <f>IF($G31="F",0,($K31/'Model Data Inputs'!$B$148)*'Model Data Inputs'!$B$149)</f>
        <v>1.4670319999999999</v>
      </c>
      <c r="AF31" s="202">
        <f>IF($G31="F",0,($O31/'Model Data Inputs'!$B$150)*'Model Data Inputs'!$B$151)</f>
        <v>0.27402700000000002</v>
      </c>
      <c r="AG31" s="202">
        <f>IF($G31="F",0,(($Q31*$T31)/'Model Data Inputs'!$B$152)*'Model Data Inputs'!$B$153)</f>
        <v>0.44848886787743741</v>
      </c>
      <c r="AH31" s="202">
        <f t="shared" si="4"/>
        <v>0.82238696696935942</v>
      </c>
      <c r="AI31" s="203">
        <f>IF(OR($G31="F",$F31="M",$F31="H"),0,($AH31*'Model Data Inputs'!$B$154)-$AH31)</f>
        <v>0</v>
      </c>
      <c r="AJ31" s="202">
        <f>IF(OR($G31="F",$F31="E",$F31="H"),0,($AH31*'Model Data Inputs'!$B$155)-$AH31)</f>
        <v>0</v>
      </c>
      <c r="AK31" s="203">
        <f>IF(OR($G31="F",$F31="E",$F31="M"),0,($AH31*'Model Data Inputs'!$B$156)-$AH31)</f>
        <v>0.82238696696935942</v>
      </c>
      <c r="AL31" s="203">
        <f>IF($G31="F",0,IF($M31&lt;'Model Data Inputs'!$B$158,$AH31*('Model Data Inputs'!$B$159-1),0))</f>
        <v>0</v>
      </c>
      <c r="AM31" s="202">
        <f>IF($G31="F",0,IF($M31&gt;'Model Data Inputs'!$B$160,$AH31*('Model Data Inputs'!$B$161-1),0))</f>
        <v>8.2238696696936009E-2</v>
      </c>
      <c r="AN31" s="202">
        <f>IF($G31="F",0,IF($P31&lt;'Model Data Inputs'!$B$162,SUM($AH31,$AI31,$AJ31,$AK31,$AL31,$AM31)*('Model Data Inputs'!$B$163-1),0))</f>
        <v>0.17270126306356565</v>
      </c>
      <c r="AO31" s="202">
        <f t="shared" si="5"/>
        <v>1.8997138936992204</v>
      </c>
      <c r="AP31" s="204">
        <f>$K31*'Model Data Inputs'!$B$166</f>
        <v>49145.572</v>
      </c>
      <c r="AQ31" s="204">
        <f>($K31*'Model Data Inputs'!$B$145)*'Model Data Inputs'!$B$166</f>
        <v>4914.5572000000002</v>
      </c>
      <c r="AR31" s="50">
        <f t="shared" si="6"/>
        <v>54060.129200000003</v>
      </c>
    </row>
    <row r="32" spans="1:44" x14ac:dyDescent="0.2">
      <c r="A32" s="227" t="str">
        <f>'School Level Inst. Resources'!A32</f>
        <v>0203000</v>
      </c>
      <c r="B32" s="227" t="str">
        <f>'School Level Inst. Resources'!B32</f>
        <v>Big Horn #3</v>
      </c>
      <c r="C32" s="227" t="str">
        <f>'School Level Inst. Resources'!C32</f>
        <v>0203002</v>
      </c>
      <c r="D32" s="227" t="str">
        <f>'School Level Inst. Resources'!D32</f>
        <v>Greybull Elementary</v>
      </c>
      <c r="E32" s="228" t="str">
        <f>'School Level Inst. Resources'!E32</f>
        <v>K-5</v>
      </c>
      <c r="F32" s="229" t="str">
        <f>'School Level Inst. Resources'!H32</f>
        <v>E</v>
      </c>
      <c r="G32" s="229" t="s">
        <v>1158</v>
      </c>
      <c r="H32" s="207">
        <v>42710</v>
      </c>
      <c r="I32" s="207">
        <f>IF('SFD Allowable GSF Calculation'!$D$2=1,'SFD Allowable GSF Calculation'!$P32,'SFD Allowable GSF Calculation'!$X32)</f>
        <v>33870</v>
      </c>
      <c r="J32" s="194">
        <f>$I32*'Model Data Inputs'!$B$165</f>
        <v>38950.5</v>
      </c>
      <c r="K32" s="194">
        <f>IF($L32&gt;='Model Data Inputs'!$B$164,$H32,MIN($H32,$J32))</f>
        <v>42710</v>
      </c>
      <c r="L32" s="208">
        <v>2007</v>
      </c>
      <c r="M32" s="196">
        <f>IF($L32&gt;0,'Model Data Inputs'!$B$157-$L32,"")</f>
        <v>10</v>
      </c>
      <c r="N32" s="209">
        <v>23</v>
      </c>
      <c r="O32" s="198">
        <f>'School Level Inst. Resources'!$L32</f>
        <v>209.91400000000002</v>
      </c>
      <c r="P32" s="198">
        <f>IF($G32="T",SUMIFS('School Level ADM'!$S$5:$S$359,'School Level ADM'!$A$5:$A$359,$A32),0)</f>
        <v>495.58300000000003</v>
      </c>
      <c r="Q32" s="199">
        <f t="shared" si="7"/>
        <v>0.4235698157523563</v>
      </c>
      <c r="R32" s="200">
        <f>SUM((('School Level Inst. Resources'!I32/'Model Data Inputs'!$B$8)*(1+'Model Data Inputs'!$B$9)),(SUM('School Level Inst. Resources'!J32:K32)/'Model Data Inputs'!$C$8)*(1+'Model Data Inputs'!$C$9),'School Level Inst. Resources'!K32/400)</f>
        <v>13.994266666666666</v>
      </c>
      <c r="S32" s="200">
        <f t="shared" si="1"/>
        <v>13.994266666666666</v>
      </c>
      <c r="T32" s="201">
        <f>IF($G32="T",VLOOKUP($A32,'Total O &amp; M Resources'!$A$5:$K$52,3),0)</f>
        <v>5184454.41</v>
      </c>
      <c r="U32" s="202">
        <f>IF($G32="F",0,$S32/'Model Data Inputs'!$B$140)</f>
        <v>1.0764820512820512</v>
      </c>
      <c r="V32" s="202">
        <f>IF($G32="F",0,$O32/'Model Data Inputs'!$B$141)</f>
        <v>0.64588923076923077</v>
      </c>
      <c r="W32" s="202">
        <f>IF($G32="F",0,$N32/'Model Data Inputs'!$B$142)</f>
        <v>1.7692307692307692</v>
      </c>
      <c r="X32" s="202">
        <f>IF($G32="F",0,$K32/'Model Data Inputs'!$B$143)</f>
        <v>2.3727777777777779</v>
      </c>
      <c r="Y32" s="202">
        <f t="shared" si="2"/>
        <v>1.4660949572649571</v>
      </c>
      <c r="Z32" s="202">
        <f>IF(OR($G32="F",$F32="E"),0,'Model Data Inputs'!$B$144)</f>
        <v>0</v>
      </c>
      <c r="AA32" s="202">
        <f>IF(AND($O32&lt;='Model Data Inputs'!$B$139,$F32="E"),0,IF(AND($O32&lt;='Model Data Inputs'!$B$139,$F32="M"),0,IF(AND($O32&lt;='Model Data Inputs'!$B$139,$F32="H"),0,IF(SUM($Y32:$Z32)&lt;1,1,SUM($Y32:$Z32)))))</f>
        <v>1.4660949572649571</v>
      </c>
      <c r="AB32" s="202">
        <f>($K32/'Model Data Inputs'!$B$143)*'Model Data Inputs'!$B$145</f>
        <v>0.23727777777777781</v>
      </c>
      <c r="AC32" s="202">
        <f t="shared" si="3"/>
        <v>1.703372735042735</v>
      </c>
      <c r="AD32" s="202">
        <f>IF($G32="F",0,'Model Data Inputs'!$B$147)</f>
        <v>1.1000000000000001</v>
      </c>
      <c r="AE32" s="202">
        <f>IF($G32="F",0,($K32/'Model Data Inputs'!$B$148)*'Model Data Inputs'!$B$149)</f>
        <v>0.85419999999999996</v>
      </c>
      <c r="AF32" s="202">
        <f>IF($G32="F",0,($O32/'Model Data Inputs'!$B$150)*'Model Data Inputs'!$B$151)</f>
        <v>0.27288820000000003</v>
      </c>
      <c r="AG32" s="202">
        <f>IF($G32="F",0,(($Q32*$T32)/'Model Data Inputs'!$B$152)*'Model Data Inputs'!$B$153)</f>
        <v>0.52703481581284584</v>
      </c>
      <c r="AH32" s="202">
        <f t="shared" si="4"/>
        <v>0.68853075395321151</v>
      </c>
      <c r="AI32" s="203">
        <f>IF(OR($G32="F",$F32="M",$F32="H"),0,($AH32*'Model Data Inputs'!$B$154)-$AH32)</f>
        <v>-0.1377061507906423</v>
      </c>
      <c r="AJ32" s="202">
        <f>IF(OR($G32="F",$F32="E",$F32="H"),0,($AH32*'Model Data Inputs'!$B$155)-$AH32)</f>
        <v>0</v>
      </c>
      <c r="AK32" s="203">
        <f>IF(OR($G32="F",$F32="E",$F32="M"),0,($AH32*'Model Data Inputs'!$B$156)-$AH32)</f>
        <v>0</v>
      </c>
      <c r="AL32" s="203">
        <f>IF($G32="F",0,IF($M32&lt;'Model Data Inputs'!$B$158,$AH32*('Model Data Inputs'!$B$159-1),0))</f>
        <v>0</v>
      </c>
      <c r="AM32" s="202">
        <f>IF($G32="F",0,IF($M32&gt;'Model Data Inputs'!$B$160,$AH32*('Model Data Inputs'!$B$161-1),0))</f>
        <v>0</v>
      </c>
      <c r="AN32" s="202">
        <f>IF($G32="F",0,IF($P32&lt;'Model Data Inputs'!$B$162,SUM($AH32,$AI32,$AJ32,$AK32,$AL32,$AM32)*('Model Data Inputs'!$B$163-1),0))</f>
        <v>5.5082460316256972E-2</v>
      </c>
      <c r="AO32" s="202">
        <f t="shared" si="5"/>
        <v>0.60590706347882617</v>
      </c>
      <c r="AP32" s="204">
        <f>$K32*'Model Data Inputs'!$B$166</f>
        <v>28615.7</v>
      </c>
      <c r="AQ32" s="204">
        <f>($K32*'Model Data Inputs'!$B$145)*'Model Data Inputs'!$B$166</f>
        <v>2861.57</v>
      </c>
      <c r="AR32" s="50">
        <f t="shared" si="6"/>
        <v>31477.27</v>
      </c>
    </row>
    <row r="33" spans="1:44" x14ac:dyDescent="0.2">
      <c r="A33" s="227" t="str">
        <f>'School Level Inst. Resources'!A33</f>
        <v>0203000</v>
      </c>
      <c r="B33" s="227" t="str">
        <f>'School Level Inst. Resources'!B33</f>
        <v>Big Horn #3</v>
      </c>
      <c r="C33" s="227" t="str">
        <f>'School Level Inst. Resources'!C33</f>
        <v>0203050</v>
      </c>
      <c r="D33" s="227" t="str">
        <f>'School Level Inst. Resources'!D33</f>
        <v>Greybull Middle School</v>
      </c>
      <c r="E33" s="228" t="str">
        <f>'School Level Inst. Resources'!E33</f>
        <v>6-8</v>
      </c>
      <c r="F33" s="229" t="str">
        <f>'School Level Inst. Resources'!H33</f>
        <v>M</v>
      </c>
      <c r="G33" s="229" t="s">
        <v>1158</v>
      </c>
      <c r="H33" s="207">
        <v>35802</v>
      </c>
      <c r="I33" s="207">
        <f>IF('SFD Allowable GSF Calculation'!$D$2=1,'SFD Allowable GSF Calculation'!$P33,'SFD Allowable GSF Calculation'!$X33)</f>
        <v>33104</v>
      </c>
      <c r="J33" s="194">
        <f>$I33*'Model Data Inputs'!$B$165</f>
        <v>38069.599999999999</v>
      </c>
      <c r="K33" s="194">
        <f>IF($L33&gt;='Model Data Inputs'!$B$164,$H33,MIN($H33,$J33))</f>
        <v>35802</v>
      </c>
      <c r="L33" s="208">
        <v>2015</v>
      </c>
      <c r="M33" s="196">
        <f>IF($L33&gt;0,'Model Data Inputs'!$B$157-$L33,"")</f>
        <v>2</v>
      </c>
      <c r="N33" s="209">
        <v>12</v>
      </c>
      <c r="O33" s="198">
        <f>'School Level Inst. Resources'!$L33</f>
        <v>110.46733333333333</v>
      </c>
      <c r="P33" s="198">
        <f>IF($G33="T",SUMIFS('School Level ADM'!$S$5:$S$359,'School Level ADM'!$A$5:$A$359,$A33),0)</f>
        <v>495.58300000000003</v>
      </c>
      <c r="Q33" s="199">
        <f t="shared" si="7"/>
        <v>0.22290379882549102</v>
      </c>
      <c r="R33" s="200">
        <f>SUM((('School Level Inst. Resources'!I33/'Model Data Inputs'!$B$8)*(1+'Model Data Inputs'!$B$9)),(SUM('School Level Inst. Resources'!J33:K33)/'Model Data Inputs'!$C$8)*(1+'Model Data Inputs'!$C$9),'School Level Inst. Resources'!K33/400)</f>
        <v>6.4023024057971014</v>
      </c>
      <c r="S33" s="200">
        <f t="shared" si="1"/>
        <v>6.4023024057971014</v>
      </c>
      <c r="T33" s="201">
        <f>IF($G33="T",VLOOKUP($A33,'Total O &amp; M Resources'!$A$5:$K$52,3),0)</f>
        <v>5184454.41</v>
      </c>
      <c r="U33" s="202">
        <f>IF($G33="F",0,$S33/'Model Data Inputs'!$B$140)</f>
        <v>0.4924848004459309</v>
      </c>
      <c r="V33" s="202">
        <f>IF($G33="F",0,$O33/'Model Data Inputs'!$B$141)</f>
        <v>0.33989948717948715</v>
      </c>
      <c r="W33" s="202">
        <f>IF($G33="F",0,$N33/'Model Data Inputs'!$B$142)</f>
        <v>0.92307692307692313</v>
      </c>
      <c r="X33" s="202">
        <f>IF($G33="F",0,$K33/'Model Data Inputs'!$B$143)</f>
        <v>1.9890000000000001</v>
      </c>
      <c r="Y33" s="202">
        <f t="shared" si="2"/>
        <v>0.93611530267558529</v>
      </c>
      <c r="Z33" s="202">
        <f>IF(OR($G33="F",$F33="E"),0,'Model Data Inputs'!$B$144)</f>
        <v>0.5</v>
      </c>
      <c r="AA33" s="202">
        <f>IF(AND($O33&lt;='Model Data Inputs'!$B$139,$F33="E"),0,IF(AND($O33&lt;='Model Data Inputs'!$B$139,$F33="M"),0,IF(AND($O33&lt;='Model Data Inputs'!$B$139,$F33="H"),0,IF(SUM($Y33:$Z33)&lt;1,1,SUM($Y33:$Z33)))))</f>
        <v>1.4361153026755853</v>
      </c>
      <c r="AB33" s="202">
        <f>($K33/'Model Data Inputs'!$B$143)*'Model Data Inputs'!$B$145</f>
        <v>0.19890000000000002</v>
      </c>
      <c r="AC33" s="202">
        <f t="shared" si="3"/>
        <v>1.6350153026755854</v>
      </c>
      <c r="AD33" s="202">
        <f>IF($G33="F",0,'Model Data Inputs'!$B$147)</f>
        <v>1.1000000000000001</v>
      </c>
      <c r="AE33" s="202">
        <f>IF($G33="F",0,($K33/'Model Data Inputs'!$B$148)*'Model Data Inputs'!$B$149)</f>
        <v>0.71604000000000001</v>
      </c>
      <c r="AF33" s="202">
        <f>IF($G33="F",0,($O33/'Model Data Inputs'!$B$150)*'Model Data Inputs'!$B$151)</f>
        <v>0.14360753333333334</v>
      </c>
      <c r="AG33" s="202">
        <f>IF($G33="F",0,(($Q33*$T33)/'Model Data Inputs'!$B$152)*'Model Data Inputs'!$B$153)</f>
        <v>0.27735229987837667</v>
      </c>
      <c r="AH33" s="202">
        <f t="shared" si="4"/>
        <v>0.55924995830292756</v>
      </c>
      <c r="AI33" s="203">
        <f>IF(OR($G33="F",$F33="M",$F33="H"),0,($AH33*'Model Data Inputs'!$B$154)-$AH33)</f>
        <v>0</v>
      </c>
      <c r="AJ33" s="202">
        <f>IF(OR($G33="F",$F33="E",$F33="H"),0,($AH33*'Model Data Inputs'!$B$155)-$AH33)</f>
        <v>0</v>
      </c>
      <c r="AK33" s="203">
        <f>IF(OR($G33="F",$F33="E",$F33="M"),0,($AH33*'Model Data Inputs'!$B$156)-$AH33)</f>
        <v>0</v>
      </c>
      <c r="AL33" s="203">
        <f>IF($G33="F",0,IF($M33&lt;'Model Data Inputs'!$B$158,$AH33*('Model Data Inputs'!$B$159-1),0))</f>
        <v>-2.7962497915146402E-2</v>
      </c>
      <c r="AM33" s="202">
        <f>IF($G33="F",0,IF($M33&gt;'Model Data Inputs'!$B$160,$AH33*('Model Data Inputs'!$B$161-1),0))</f>
        <v>0</v>
      </c>
      <c r="AN33" s="202">
        <f>IF($G33="F",0,IF($P33&lt;'Model Data Inputs'!$B$162,SUM($AH33,$AI33,$AJ33,$AK33,$AL33,$AM33)*('Model Data Inputs'!$B$163-1),0))</f>
        <v>5.3128746038778166E-2</v>
      </c>
      <c r="AO33" s="202">
        <f t="shared" si="5"/>
        <v>0.58441620642655934</v>
      </c>
      <c r="AP33" s="204">
        <f>$K33*'Model Data Inputs'!$B$166</f>
        <v>23987.34</v>
      </c>
      <c r="AQ33" s="204">
        <f>($K33*'Model Data Inputs'!$B$145)*'Model Data Inputs'!$B$166</f>
        <v>2398.7340000000004</v>
      </c>
      <c r="AR33" s="50">
        <f t="shared" si="6"/>
        <v>26386.074000000001</v>
      </c>
    </row>
    <row r="34" spans="1:44" x14ac:dyDescent="0.2">
      <c r="A34" s="227" t="str">
        <f>'School Level Inst. Resources'!A34</f>
        <v>0203000</v>
      </c>
      <c r="B34" s="227" t="str">
        <f>'School Level Inst. Resources'!B34</f>
        <v>Big Horn #3</v>
      </c>
      <c r="C34" s="227" t="str">
        <f>'School Level Inst. Resources'!C34</f>
        <v>0203055</v>
      </c>
      <c r="D34" s="227" t="str">
        <f>'School Level Inst. Resources'!D34</f>
        <v>Greybull High School</v>
      </c>
      <c r="E34" s="228" t="str">
        <f>'School Level Inst. Resources'!E34</f>
        <v>9-12</v>
      </c>
      <c r="F34" s="229" t="str">
        <f>'School Level Inst. Resources'!H34</f>
        <v>H</v>
      </c>
      <c r="G34" s="229" t="s">
        <v>1158</v>
      </c>
      <c r="H34" s="207">
        <v>94822</v>
      </c>
      <c r="I34" s="207">
        <f>IF('SFD Allowable GSF Calculation'!$D$2=1,'SFD Allowable GSF Calculation'!$P34,'SFD Allowable GSF Calculation'!$X34)</f>
        <v>59924</v>
      </c>
      <c r="J34" s="194">
        <f>$I34*'Model Data Inputs'!$B$165</f>
        <v>68912.599999999991</v>
      </c>
      <c r="K34" s="194">
        <f>IF($L34&gt;='Model Data Inputs'!$B$164,$H34,MIN($H34,$J34))</f>
        <v>68912.599999999991</v>
      </c>
      <c r="L34" s="208">
        <v>1996</v>
      </c>
      <c r="M34" s="196">
        <f>IF($L34&gt;0,'Model Data Inputs'!$B$157-$L34,"")</f>
        <v>21</v>
      </c>
      <c r="N34" s="209">
        <v>27</v>
      </c>
      <c r="O34" s="198">
        <f>'School Level Inst. Resources'!$L34</f>
        <v>175.20166666666665</v>
      </c>
      <c r="P34" s="198">
        <f>IF($G34="T",SUMIFS('School Level ADM'!$S$5:$S$359,'School Level ADM'!$A$5:$A$359,$A34),0)</f>
        <v>495.58300000000003</v>
      </c>
      <c r="Q34" s="199">
        <f t="shared" si="7"/>
        <v>0.35352638542215259</v>
      </c>
      <c r="R34" s="200">
        <f>SUM((('School Level Inst. Resources'!I34/'Model Data Inputs'!$B$8)*(1+'Model Data Inputs'!$B$9)),(SUM('School Level Inst. Resources'!J34:K34)/'Model Data Inputs'!$C$8)*(1+'Model Data Inputs'!$C$9),'School Level Inst. Resources'!K34/400)</f>
        <v>10.592083369565216</v>
      </c>
      <c r="S34" s="200">
        <f t="shared" si="1"/>
        <v>10.592083369565216</v>
      </c>
      <c r="T34" s="201">
        <f>IF($G34="T",VLOOKUP($A34,'Total O &amp; M Resources'!$A$5:$K$52,3),0)</f>
        <v>5184454.41</v>
      </c>
      <c r="U34" s="202">
        <f>IF($G34="F",0,$S34/'Model Data Inputs'!$B$140)</f>
        <v>0.81477564381270895</v>
      </c>
      <c r="V34" s="202">
        <f>IF($G34="F",0,$O34/'Model Data Inputs'!$B$141)</f>
        <v>0.53908205128205122</v>
      </c>
      <c r="W34" s="202">
        <f>IF($G34="F",0,$N34/'Model Data Inputs'!$B$142)</f>
        <v>2.0769230769230771</v>
      </c>
      <c r="X34" s="202">
        <f>IF($G34="F",0,$K34/'Model Data Inputs'!$B$143)</f>
        <v>3.8284777777777772</v>
      </c>
      <c r="Y34" s="202">
        <f t="shared" si="2"/>
        <v>1.8148146374489036</v>
      </c>
      <c r="Z34" s="202">
        <f>IF(OR($G34="F",$F34="E"),0,'Model Data Inputs'!$B$144)</f>
        <v>0.5</v>
      </c>
      <c r="AA34" s="202">
        <f>IF(AND($O34&lt;='Model Data Inputs'!$B$139,$F34="E"),0,IF(AND($O34&lt;='Model Data Inputs'!$B$139,$F34="M"),0,IF(AND($O34&lt;='Model Data Inputs'!$B$139,$F34="H"),0,IF(SUM($Y34:$Z34)&lt;1,1,SUM($Y34:$Z34)))))</f>
        <v>2.3148146374489036</v>
      </c>
      <c r="AB34" s="202">
        <f>($K34/'Model Data Inputs'!$B$143)*'Model Data Inputs'!$B$145</f>
        <v>0.38284777777777773</v>
      </c>
      <c r="AC34" s="202">
        <f t="shared" si="3"/>
        <v>2.6976624152266813</v>
      </c>
      <c r="AD34" s="202">
        <f>IF($G34="F",0,'Model Data Inputs'!$B$147)</f>
        <v>1.1000000000000001</v>
      </c>
      <c r="AE34" s="202">
        <f>IF($G34="F",0,($K34/'Model Data Inputs'!$B$148)*'Model Data Inputs'!$B$149)</f>
        <v>1.3782519999999998</v>
      </c>
      <c r="AF34" s="202">
        <f>IF($G34="F",0,($O34/'Model Data Inputs'!$B$150)*'Model Data Inputs'!$B$151)</f>
        <v>0.22776216666666665</v>
      </c>
      <c r="AG34" s="202">
        <f>IF($G34="F",0,(($Q34*$T34)/'Model Data Inputs'!$B$152)*'Model Data Inputs'!$B$153)</f>
        <v>0.43988194270877728</v>
      </c>
      <c r="AH34" s="202">
        <f t="shared" si="4"/>
        <v>0.78647402734386096</v>
      </c>
      <c r="AI34" s="203">
        <f>IF(OR($G34="F",$F34="M",$F34="H"),0,($AH34*'Model Data Inputs'!$B$154)-$AH34)</f>
        <v>0</v>
      </c>
      <c r="AJ34" s="202">
        <f>IF(OR($G34="F",$F34="E",$F34="H"),0,($AH34*'Model Data Inputs'!$B$155)-$AH34)</f>
        <v>0</v>
      </c>
      <c r="AK34" s="203">
        <f>IF(OR($G34="F",$F34="E",$F34="M"),0,($AH34*'Model Data Inputs'!$B$156)-$AH34)</f>
        <v>0.78647402734386096</v>
      </c>
      <c r="AL34" s="203">
        <f>IF($G34="F",0,IF($M34&lt;'Model Data Inputs'!$B$158,$AH34*('Model Data Inputs'!$B$159-1),0))</f>
        <v>0</v>
      </c>
      <c r="AM34" s="202">
        <f>IF($G34="F",0,IF($M34&gt;'Model Data Inputs'!$B$160,$AH34*('Model Data Inputs'!$B$161-1),0))</f>
        <v>0</v>
      </c>
      <c r="AN34" s="202">
        <f>IF($G34="F",0,IF($P34&lt;'Model Data Inputs'!$B$162,SUM($AH34,$AI34,$AJ34,$AK34,$AL34,$AM34)*('Model Data Inputs'!$B$163-1),0))</f>
        <v>0.15729480546877234</v>
      </c>
      <c r="AO34" s="202">
        <f t="shared" si="5"/>
        <v>1.7302428601564943</v>
      </c>
      <c r="AP34" s="204">
        <f>$K34*'Model Data Inputs'!$B$166</f>
        <v>46171.441999999995</v>
      </c>
      <c r="AQ34" s="204">
        <f>($K34*'Model Data Inputs'!$B$145)*'Model Data Inputs'!$B$166</f>
        <v>4617.1441999999997</v>
      </c>
      <c r="AR34" s="50">
        <f t="shared" si="6"/>
        <v>50788.586199999998</v>
      </c>
    </row>
    <row r="35" spans="1:44" x14ac:dyDescent="0.2">
      <c r="A35" s="227" t="str">
        <f>'School Level Inst. Resources'!A35</f>
        <v>0204000</v>
      </c>
      <c r="B35" s="227" t="str">
        <f>'School Level Inst. Resources'!B35</f>
        <v>Big Horn #4</v>
      </c>
      <c r="C35" s="227" t="str">
        <f>'School Level Inst. Resources'!C35</f>
        <v>0204001</v>
      </c>
      <c r="D35" s="227" t="str">
        <f>'School Level Inst. Resources'!D35</f>
        <v>Laura Irwin Elementary</v>
      </c>
      <c r="E35" s="228" t="str">
        <f>'School Level Inst. Resources'!E35</f>
        <v>K-5</v>
      </c>
      <c r="F35" s="229" t="str">
        <f>'School Level Inst. Resources'!H35</f>
        <v>E</v>
      </c>
      <c r="G35" s="229" t="s">
        <v>1158</v>
      </c>
      <c r="H35" s="207">
        <v>26441</v>
      </c>
      <c r="I35" s="207">
        <f>IF('SFD Allowable GSF Calculation'!$D$2=1,'SFD Allowable GSF Calculation'!$P35,'SFD Allowable GSF Calculation'!$X35)</f>
        <v>22164</v>
      </c>
      <c r="J35" s="194">
        <f>$I35*'Model Data Inputs'!$B$165</f>
        <v>25488.6</v>
      </c>
      <c r="K35" s="194">
        <f>IF($L35&gt;='Model Data Inputs'!$B$164,$H35,MIN($H35,$J35))</f>
        <v>25488.6</v>
      </c>
      <c r="L35" s="208">
        <v>1957</v>
      </c>
      <c r="M35" s="196">
        <f>IF($L35&gt;0,'Model Data Inputs'!$B$157-$L35,"")</f>
        <v>60</v>
      </c>
      <c r="N35" s="209">
        <v>17</v>
      </c>
      <c r="O35" s="198">
        <f>'School Level Inst. Resources'!$L35</f>
        <v>123.58166666666666</v>
      </c>
      <c r="P35" s="198">
        <f>IF($G35="T",SUMIFS('School Level ADM'!$S$5:$S$359,'School Level ADM'!$A$5:$A$359,$A35),0)</f>
        <v>279.23933333333332</v>
      </c>
      <c r="Q35" s="199">
        <f t="shared" si="7"/>
        <v>0.44256539790239674</v>
      </c>
      <c r="R35" s="200">
        <f>SUM((('School Level Inst. Resources'!I35/'Model Data Inputs'!$B$8)*(1+'Model Data Inputs'!$B$9)),(SUM('School Level Inst. Resources'!J35:K35)/'Model Data Inputs'!$C$8)*(1+'Model Data Inputs'!$C$9),'School Level Inst. Resources'!K35/400)</f>
        <v>8.2387777777777771</v>
      </c>
      <c r="S35" s="200">
        <f t="shared" si="1"/>
        <v>8.2387777777777771</v>
      </c>
      <c r="T35" s="201">
        <f>IF($G35="T",VLOOKUP($A35,'Total O &amp; M Resources'!$A$5:$K$52,3),0)</f>
        <v>4416078.45</v>
      </c>
      <c r="U35" s="202">
        <f>IF($G35="F",0,$S35/'Model Data Inputs'!$B$140)</f>
        <v>0.63375213675213671</v>
      </c>
      <c r="V35" s="202">
        <f>IF($G35="F",0,$O35/'Model Data Inputs'!$B$141)</f>
        <v>0.38025128205128206</v>
      </c>
      <c r="W35" s="202">
        <f>IF($G35="F",0,$N35/'Model Data Inputs'!$B$142)</f>
        <v>1.3076923076923077</v>
      </c>
      <c r="X35" s="202">
        <f>IF($G35="F",0,$K35/'Model Data Inputs'!$B$143)</f>
        <v>1.4160333333333333</v>
      </c>
      <c r="Y35" s="202">
        <f t="shared" si="2"/>
        <v>0.93443226495726495</v>
      </c>
      <c r="Z35" s="202">
        <f>IF(OR($G35="F",$F35="E"),0,'Model Data Inputs'!$B$144)</f>
        <v>0</v>
      </c>
      <c r="AA35" s="202">
        <f>IF(AND($O35&lt;='Model Data Inputs'!$B$139,$F35="E"),0,IF(AND($O35&lt;='Model Data Inputs'!$B$139,$F35="M"),0,IF(AND($O35&lt;='Model Data Inputs'!$B$139,$F35="H"),0,IF(SUM($Y35:$Z35)&lt;1,1,SUM($Y35:$Z35)))))</f>
        <v>1</v>
      </c>
      <c r="AB35" s="202">
        <f>($K35/'Model Data Inputs'!$B$143)*'Model Data Inputs'!$B$145</f>
        <v>0.14160333333333333</v>
      </c>
      <c r="AC35" s="202">
        <f t="shared" si="3"/>
        <v>1.1416033333333333</v>
      </c>
      <c r="AD35" s="202">
        <f>IF($G35="F",0,'Model Data Inputs'!$B$147)</f>
        <v>1.1000000000000001</v>
      </c>
      <c r="AE35" s="202">
        <f>IF($G35="F",0,($K35/'Model Data Inputs'!$B$148)*'Model Data Inputs'!$B$149)</f>
        <v>0.50977199999999989</v>
      </c>
      <c r="AF35" s="202">
        <f>IF($G35="F",0,($O35/'Model Data Inputs'!$B$150)*'Model Data Inputs'!$B$151)</f>
        <v>0.16065616666666666</v>
      </c>
      <c r="AG35" s="202">
        <f>IF($G35="F",0,(($Q35*$T35)/'Model Data Inputs'!$B$152)*'Model Data Inputs'!$B$153)</f>
        <v>0.46905684393418789</v>
      </c>
      <c r="AH35" s="202">
        <f t="shared" si="4"/>
        <v>0.55987125265021365</v>
      </c>
      <c r="AI35" s="203">
        <f>IF(OR($G35="F",$F35="M",$F35="H"),0,($AH35*'Model Data Inputs'!$B$154)-$AH35)</f>
        <v>-0.11197425053004273</v>
      </c>
      <c r="AJ35" s="202">
        <f>IF(OR($G35="F",$F35="E",$F35="H"),0,($AH35*'Model Data Inputs'!$B$155)-$AH35)</f>
        <v>0</v>
      </c>
      <c r="AK35" s="203">
        <f>IF(OR($G35="F",$F35="E",$F35="M"),0,($AH35*'Model Data Inputs'!$B$156)-$AH35)</f>
        <v>0</v>
      </c>
      <c r="AL35" s="203">
        <f>IF($G35="F",0,IF($M35&lt;'Model Data Inputs'!$B$158,$AH35*('Model Data Inputs'!$B$159-1),0))</f>
        <v>0</v>
      </c>
      <c r="AM35" s="202">
        <f>IF($G35="F",0,IF($M35&gt;'Model Data Inputs'!$B$160,$AH35*('Model Data Inputs'!$B$161-1),0))</f>
        <v>5.5987125265021413E-2</v>
      </c>
      <c r="AN35" s="202">
        <f>IF($G35="F",0,IF($P35&lt;'Model Data Inputs'!$B$162,SUM($AH35,$AI35,$AJ35,$AK35,$AL35,$AM35)*('Model Data Inputs'!$B$163-1),0))</f>
        <v>5.0388412738519274E-2</v>
      </c>
      <c r="AO35" s="202">
        <f t="shared" si="5"/>
        <v>0.55427254012371152</v>
      </c>
      <c r="AP35" s="204">
        <f>$K35*'Model Data Inputs'!$B$166</f>
        <v>17077.362000000001</v>
      </c>
      <c r="AQ35" s="204">
        <f>($K35*'Model Data Inputs'!$B$145)*'Model Data Inputs'!$B$166</f>
        <v>1707.7362000000003</v>
      </c>
      <c r="AR35" s="50">
        <f t="shared" si="6"/>
        <v>18785.0982</v>
      </c>
    </row>
    <row r="36" spans="1:44" x14ac:dyDescent="0.2">
      <c r="A36" s="227" t="str">
        <f>'School Level Inst. Resources'!A36</f>
        <v>0204000</v>
      </c>
      <c r="B36" s="227" t="str">
        <f>'School Level Inst. Resources'!B36</f>
        <v>Big Horn #4</v>
      </c>
      <c r="C36" s="227" t="str">
        <f>'School Level Inst. Resources'!C36</f>
        <v>0204055</v>
      </c>
      <c r="D36" s="227" t="str">
        <f>'School Level Inst. Resources'!D36</f>
        <v>Riverside Middle/High School</v>
      </c>
      <c r="E36" s="228" t="str">
        <f>'School Level Inst. Resources'!E36</f>
        <v>6-12</v>
      </c>
      <c r="F36" s="229" t="str">
        <f>'School Level Inst. Resources'!H36</f>
        <v>H</v>
      </c>
      <c r="G36" s="229" t="s">
        <v>1158</v>
      </c>
      <c r="H36" s="207">
        <v>60788</v>
      </c>
      <c r="I36" s="207">
        <f>IF('SFD Allowable GSF Calculation'!$D$2=1,'SFD Allowable GSF Calculation'!$P36,'SFD Allowable GSF Calculation'!$X36)</f>
        <v>58894</v>
      </c>
      <c r="J36" s="194">
        <f>$I36*'Model Data Inputs'!$B$165</f>
        <v>67728.099999999991</v>
      </c>
      <c r="K36" s="194">
        <f>IF($L36&gt;='Model Data Inputs'!$B$164,$H36,MIN($H36,$J36))</f>
        <v>60788</v>
      </c>
      <c r="L36" s="208">
        <v>1949</v>
      </c>
      <c r="M36" s="196">
        <f>IF($L36&gt;0,'Model Data Inputs'!$B$157-$L36,"")</f>
        <v>68</v>
      </c>
      <c r="N36" s="209">
        <v>22</v>
      </c>
      <c r="O36" s="198">
        <f>'School Level Inst. Resources'!$L36</f>
        <v>155.65766666666667</v>
      </c>
      <c r="P36" s="198">
        <f>IF($G36="T",SUMIFS('School Level ADM'!$S$5:$S$359,'School Level ADM'!$A$5:$A$359,$A36),0)</f>
        <v>279.23933333333332</v>
      </c>
      <c r="Q36" s="199">
        <f t="shared" si="7"/>
        <v>0.55743460209760332</v>
      </c>
      <c r="R36" s="200">
        <f>SUM((('School Level Inst. Resources'!I36/'Model Data Inputs'!$B$8)*(1+'Model Data Inputs'!$B$9)),(SUM('School Level Inst. Resources'!J36:K36)/'Model Data Inputs'!$C$8)*(1+'Model Data Inputs'!$C$9),'School Level Inst. Resources'!K36/400)</f>
        <v>9.2367044420289872</v>
      </c>
      <c r="S36" s="200">
        <f t="shared" si="1"/>
        <v>9.2367044420289872</v>
      </c>
      <c r="T36" s="201">
        <f>IF($G36="T",VLOOKUP($A36,'Total O &amp; M Resources'!$A$5:$K$52,3),0)</f>
        <v>4416078.45</v>
      </c>
      <c r="U36" s="202">
        <f>IF($G36="F",0,$S36/'Model Data Inputs'!$B$140)</f>
        <v>0.7105157263099221</v>
      </c>
      <c r="V36" s="202">
        <f>IF($G36="F",0,$O36/'Model Data Inputs'!$B$141)</f>
        <v>0.47894666666666669</v>
      </c>
      <c r="W36" s="202">
        <f>IF($G36="F",0,$N36/'Model Data Inputs'!$B$142)</f>
        <v>1.6923076923076923</v>
      </c>
      <c r="X36" s="202">
        <f>IF($G36="F",0,$K36/'Model Data Inputs'!$B$143)</f>
        <v>3.3771111111111112</v>
      </c>
      <c r="Y36" s="202">
        <f t="shared" si="2"/>
        <v>1.5647202990988482</v>
      </c>
      <c r="Z36" s="202">
        <f>IF(OR($G36="F",$F36="E"),0,'Model Data Inputs'!$B$144)</f>
        <v>0.5</v>
      </c>
      <c r="AA36" s="202">
        <f>IF(AND($O36&lt;='Model Data Inputs'!$B$139,$F36="E"),0,IF(AND($O36&lt;='Model Data Inputs'!$B$139,$F36="M"),0,IF(AND($O36&lt;='Model Data Inputs'!$B$139,$F36="H"),0,IF(SUM($Y36:$Z36)&lt;1,1,SUM($Y36:$Z36)))))</f>
        <v>2.0647202990988482</v>
      </c>
      <c r="AB36" s="202">
        <f>($K36/'Model Data Inputs'!$B$143)*'Model Data Inputs'!$B$145</f>
        <v>0.33771111111111113</v>
      </c>
      <c r="AC36" s="202">
        <f t="shared" si="3"/>
        <v>2.4024314102099593</v>
      </c>
      <c r="AD36" s="202">
        <f>IF($G36="F",0,'Model Data Inputs'!$B$147)</f>
        <v>1.1000000000000001</v>
      </c>
      <c r="AE36" s="202">
        <f>IF($G36="F",0,($K36/'Model Data Inputs'!$B$148)*'Model Data Inputs'!$B$149)</f>
        <v>1.2157600000000002</v>
      </c>
      <c r="AF36" s="202">
        <f>IF($G36="F",0,($O36/'Model Data Inputs'!$B$150)*'Model Data Inputs'!$B$151)</f>
        <v>0.20235496666666666</v>
      </c>
      <c r="AG36" s="202">
        <f>IF($G36="F",0,(($Q36*$T36)/'Model Data Inputs'!$B$152)*'Model Data Inputs'!$B$153)</f>
        <v>0.59080198406581219</v>
      </c>
      <c r="AH36" s="202">
        <f t="shared" si="4"/>
        <v>0.7772292376831198</v>
      </c>
      <c r="AI36" s="203">
        <f>IF(OR($G36="F",$F36="M",$F36="H"),0,($AH36*'Model Data Inputs'!$B$154)-$AH36)</f>
        <v>0</v>
      </c>
      <c r="AJ36" s="202">
        <f>IF(OR($G36="F",$F36="E",$F36="H"),0,($AH36*'Model Data Inputs'!$B$155)-$AH36)</f>
        <v>0</v>
      </c>
      <c r="AK36" s="203">
        <f>IF(OR($G36="F",$F36="E",$F36="M"),0,($AH36*'Model Data Inputs'!$B$156)-$AH36)</f>
        <v>0.7772292376831198</v>
      </c>
      <c r="AL36" s="203">
        <f>IF($G36="F",0,IF($M36&lt;'Model Data Inputs'!$B$158,$AH36*('Model Data Inputs'!$B$159-1),0))</f>
        <v>0</v>
      </c>
      <c r="AM36" s="202">
        <f>IF($G36="F",0,IF($M36&gt;'Model Data Inputs'!$B$160,$AH36*('Model Data Inputs'!$B$161-1),0))</f>
        <v>7.7722923768312052E-2</v>
      </c>
      <c r="AN36" s="202">
        <f>IF($G36="F",0,IF($P36&lt;'Model Data Inputs'!$B$162,SUM($AH36,$AI36,$AJ36,$AK36,$AL36,$AM36)*('Model Data Inputs'!$B$163-1),0))</f>
        <v>0.16321813991345532</v>
      </c>
      <c r="AO36" s="202">
        <f t="shared" si="5"/>
        <v>1.7953995390480071</v>
      </c>
      <c r="AP36" s="204">
        <f>$K36*'Model Data Inputs'!$B$166</f>
        <v>40727.96</v>
      </c>
      <c r="AQ36" s="204">
        <f>($K36*'Model Data Inputs'!$B$145)*'Model Data Inputs'!$B$166</f>
        <v>4072.7960000000003</v>
      </c>
      <c r="AR36" s="50">
        <f t="shared" si="6"/>
        <v>44800.756000000001</v>
      </c>
    </row>
    <row r="37" spans="1:44" x14ac:dyDescent="0.2">
      <c r="A37" s="227" t="str">
        <f>'School Level Inst. Resources'!A37</f>
        <v>0301000</v>
      </c>
      <c r="B37" s="227" t="str">
        <f>'School Level Inst. Resources'!B37</f>
        <v>Campbell #1</v>
      </c>
      <c r="C37" s="227" t="str">
        <f>'School Level Inst. Resources'!C37</f>
        <v>0301002</v>
      </c>
      <c r="D37" s="227" t="str">
        <f>'School Level Inst. Resources'!D37</f>
        <v>4-J Elementary School</v>
      </c>
      <c r="E37" s="228" t="str">
        <f>'School Level Inst. Resources'!E37</f>
        <v>K-6</v>
      </c>
      <c r="F37" s="229" t="str">
        <f>'School Level Inst. Resources'!H37</f>
        <v>E</v>
      </c>
      <c r="G37" s="229" t="s">
        <v>1158</v>
      </c>
      <c r="H37" s="207">
        <v>18804</v>
      </c>
      <c r="I37" s="207">
        <f>IF('SFD Allowable GSF Calculation'!$D$2=1,'SFD Allowable GSF Calculation'!$P37,'SFD Allowable GSF Calculation'!$X37)</f>
        <v>8421</v>
      </c>
      <c r="J37" s="194">
        <f>$I37*'Model Data Inputs'!$B$165</f>
        <v>9684.15</v>
      </c>
      <c r="K37" s="194">
        <f>IF($L37&gt;='Model Data Inputs'!$B$164,$H37,MIN($H37,$J37))</f>
        <v>9684.15</v>
      </c>
      <c r="L37" s="208">
        <v>1962</v>
      </c>
      <c r="M37" s="196">
        <f>IF($L37&gt;0,'Model Data Inputs'!$B$157-$L37,"")</f>
        <v>55</v>
      </c>
      <c r="N37" s="209">
        <v>8</v>
      </c>
      <c r="O37" s="198">
        <f>'School Level Inst. Resources'!$L37</f>
        <v>39.463333333333331</v>
      </c>
      <c r="P37" s="198">
        <f>IF($G37="T",SUMIFS('School Level ADM'!$S$5:$S$359,'School Level ADM'!$A$5:$A$359,$A37),0)</f>
        <v>8676.6579999999994</v>
      </c>
      <c r="Q37" s="199">
        <f t="shared" si="7"/>
        <v>4.5482181426689094E-3</v>
      </c>
      <c r="R37" s="200">
        <f>SUM((('School Level Inst. Resources'!I37/'Model Data Inputs'!$B$8)*(1+'Model Data Inputs'!$B$9)),(SUM('School Level Inst. Resources'!J37:K37)/'Model Data Inputs'!$C$8)*(1+'Model Data Inputs'!$C$9),'School Level Inst. Resources'!K37/400)</f>
        <v>2.6308888888888884</v>
      </c>
      <c r="S37" s="200">
        <f t="shared" si="1"/>
        <v>2.6308888888888884</v>
      </c>
      <c r="T37" s="201">
        <f>IF($G37="T",VLOOKUP($A37,'Total O &amp; M Resources'!$A$5:$K$52,3),0)</f>
        <v>60606522.549999997</v>
      </c>
      <c r="U37" s="202">
        <f>IF($G37="F",0,$S37/'Model Data Inputs'!$B$140)</f>
        <v>0.20237606837606834</v>
      </c>
      <c r="V37" s="202">
        <f>IF($G37="F",0,$O37/'Model Data Inputs'!$B$141)</f>
        <v>0.12142564102564102</v>
      </c>
      <c r="W37" s="202">
        <f>IF($G37="F",0,$N37/'Model Data Inputs'!$B$142)</f>
        <v>0.61538461538461542</v>
      </c>
      <c r="X37" s="202">
        <f>IF($G37="F",0,$K37/'Model Data Inputs'!$B$143)</f>
        <v>0.53800833333333331</v>
      </c>
      <c r="Y37" s="202">
        <f t="shared" si="2"/>
        <v>0.36929866452991456</v>
      </c>
      <c r="Z37" s="202">
        <f>IF(OR($G37="F",$F37="E"),0,'Model Data Inputs'!$B$144)</f>
        <v>0</v>
      </c>
      <c r="AA37" s="202">
        <f>IF(AND($O37&lt;='Model Data Inputs'!$B$139,$F37="E"),0,IF(AND($O37&lt;='Model Data Inputs'!$B$139,$F37="M"),0,IF(AND($O37&lt;='Model Data Inputs'!$B$139,$F37="H"),0,IF(SUM($Y37:$Z37)&lt;1,1,SUM($Y37:$Z37)))))</f>
        <v>0</v>
      </c>
      <c r="AB37" s="202">
        <f>($K37/'Model Data Inputs'!$B$143)*'Model Data Inputs'!$B$145</f>
        <v>5.3800833333333332E-2</v>
      </c>
      <c r="AC37" s="202">
        <f t="shared" si="3"/>
        <v>5.3800833333333332E-2</v>
      </c>
      <c r="AD37" s="202">
        <f>IF($G37="F",0,'Model Data Inputs'!$B$147)</f>
        <v>1.1000000000000001</v>
      </c>
      <c r="AE37" s="202">
        <f>IF($G37="F",0,($K37/'Model Data Inputs'!$B$148)*'Model Data Inputs'!$B$149)</f>
        <v>0.19368299999999999</v>
      </c>
      <c r="AF37" s="202">
        <f>IF($G37="F",0,($O37/'Model Data Inputs'!$B$150)*'Model Data Inputs'!$B$151)</f>
        <v>5.1302333333333332E-2</v>
      </c>
      <c r="AG37" s="202">
        <f>IF($G37="F",0,(($Q37*$T37)/'Model Data Inputs'!$B$152)*'Model Data Inputs'!$B$153)</f>
        <v>6.6156404502235755E-2</v>
      </c>
      <c r="AH37" s="202">
        <f t="shared" si="4"/>
        <v>0.35278543445889232</v>
      </c>
      <c r="AI37" s="203">
        <f>IF(OR($G37="F",$F37="M",$F37="H"),0,($AH37*'Model Data Inputs'!$B$154)-$AH37)</f>
        <v>-7.0557086891778475E-2</v>
      </c>
      <c r="AJ37" s="202">
        <f>IF(OR($G37="F",$F37="E",$F37="H"),0,($AH37*'Model Data Inputs'!$B$155)-$AH37)</f>
        <v>0</v>
      </c>
      <c r="AK37" s="203">
        <f>IF(OR($G37="F",$F37="E",$F37="M"),0,($AH37*'Model Data Inputs'!$B$156)-$AH37)</f>
        <v>0</v>
      </c>
      <c r="AL37" s="203">
        <f>IF($G37="F",0,IF($M37&lt;'Model Data Inputs'!$B$158,$AH37*('Model Data Inputs'!$B$159-1),0))</f>
        <v>0</v>
      </c>
      <c r="AM37" s="202">
        <f>IF($G37="F",0,IF($M37&gt;'Model Data Inputs'!$B$160,$AH37*('Model Data Inputs'!$B$161-1),0))</f>
        <v>3.5278543445889265E-2</v>
      </c>
      <c r="AN37" s="202">
        <f>IF($G37="F",0,IF($P37&lt;'Model Data Inputs'!$B$162,SUM($AH37,$AI37,$AJ37,$AK37,$AL37,$AM37)*('Model Data Inputs'!$B$163-1),0))</f>
        <v>0</v>
      </c>
      <c r="AO37" s="202">
        <f t="shared" si="5"/>
        <v>0.31750689101300311</v>
      </c>
      <c r="AP37" s="204">
        <f>$K37*'Model Data Inputs'!$B$166</f>
        <v>6488.3805000000002</v>
      </c>
      <c r="AQ37" s="204">
        <f>($K37*'Model Data Inputs'!$B$145)*'Model Data Inputs'!$B$166</f>
        <v>648.83805000000007</v>
      </c>
      <c r="AR37" s="50">
        <f t="shared" si="6"/>
        <v>7137.2185500000005</v>
      </c>
    </row>
    <row r="38" spans="1:44" x14ac:dyDescent="0.2">
      <c r="A38" s="227" t="str">
        <f>'School Level Inst. Resources'!A38</f>
        <v>0301000</v>
      </c>
      <c r="B38" s="227" t="str">
        <f>'School Level Inst. Resources'!B38</f>
        <v>Campbell #1</v>
      </c>
      <c r="C38" s="227" t="str">
        <f>'School Level Inst. Resources'!C38</f>
        <v>0301006</v>
      </c>
      <c r="D38" s="227" t="str">
        <f>'School Level Inst. Resources'!D38</f>
        <v>Cottonwood Elementary</v>
      </c>
      <c r="E38" s="228" t="str">
        <f>'School Level Inst. Resources'!E38</f>
        <v>P-6</v>
      </c>
      <c r="F38" s="229" t="str">
        <f>'School Level Inst. Resources'!H38</f>
        <v>E</v>
      </c>
      <c r="G38" s="229" t="s">
        <v>1158</v>
      </c>
      <c r="H38" s="207">
        <v>58206</v>
      </c>
      <c r="I38" s="207">
        <f>IF('SFD Allowable GSF Calculation'!$D$2=1,'SFD Allowable GSF Calculation'!$P38,'SFD Allowable GSF Calculation'!$X38)</f>
        <v>35393</v>
      </c>
      <c r="J38" s="194">
        <f>$I38*'Model Data Inputs'!$B$165</f>
        <v>40701.949999999997</v>
      </c>
      <c r="K38" s="194">
        <f>IF($L38&gt;='Model Data Inputs'!$B$164,$H38,MIN($H38,$J38))</f>
        <v>40701.949999999997</v>
      </c>
      <c r="L38" s="208">
        <v>1979</v>
      </c>
      <c r="M38" s="196">
        <f>IF($L38&gt;0,'Model Data Inputs'!$B$157-$L38,"")</f>
        <v>38</v>
      </c>
      <c r="N38" s="209">
        <v>29</v>
      </c>
      <c r="O38" s="198">
        <f>'School Level Inst. Resources'!$L38</f>
        <v>232.27633333333333</v>
      </c>
      <c r="P38" s="198">
        <f>IF($G38="T",SUMIFS('School Level ADM'!$S$5:$S$359,'School Level ADM'!$A$5:$A$359,$A38),0)</f>
        <v>8676.6579999999994</v>
      </c>
      <c r="Q38" s="199">
        <f t="shared" si="7"/>
        <v>2.6770253400944619E-2</v>
      </c>
      <c r="R38" s="200">
        <f>SUM((('School Level Inst. Resources'!I38/'Model Data Inputs'!$B$8)*(1+'Model Data Inputs'!$B$9)),(SUM('School Level Inst. Resources'!J38:K38)/'Model Data Inputs'!$C$8)*(1+'Model Data Inputs'!$C$9),'School Level Inst. Resources'!K38/400)</f>
        <v>15.485088888888887</v>
      </c>
      <c r="S38" s="200">
        <f t="shared" si="1"/>
        <v>15.485088888888887</v>
      </c>
      <c r="T38" s="201">
        <f>IF($G38="T",VLOOKUP($A38,'Total O &amp; M Resources'!$A$5:$K$52,3),0)</f>
        <v>60606522.549999997</v>
      </c>
      <c r="U38" s="202">
        <f>IF($G38="F",0,$S38/'Model Data Inputs'!$B$140)</f>
        <v>1.1911606837606836</v>
      </c>
      <c r="V38" s="202">
        <f>IF($G38="F",0,$O38/'Model Data Inputs'!$B$141)</f>
        <v>0.71469641025641029</v>
      </c>
      <c r="W38" s="202">
        <f>IF($G38="F",0,$N38/'Model Data Inputs'!$B$142)</f>
        <v>2.2307692307692308</v>
      </c>
      <c r="X38" s="202">
        <f>IF($G38="F",0,$K38/'Model Data Inputs'!$B$143)</f>
        <v>2.2612194444444444</v>
      </c>
      <c r="Y38" s="202">
        <f t="shared" si="2"/>
        <v>1.5994614423076923</v>
      </c>
      <c r="Z38" s="202">
        <f>IF(OR($G38="F",$F38="E"),0,'Model Data Inputs'!$B$144)</f>
        <v>0</v>
      </c>
      <c r="AA38" s="202">
        <f>IF(AND($O38&lt;='Model Data Inputs'!$B$139,$F38="E"),0,IF(AND($O38&lt;='Model Data Inputs'!$B$139,$F38="M"),0,IF(AND($O38&lt;='Model Data Inputs'!$B$139,$F38="H"),0,IF(SUM($Y38:$Z38)&lt;1,1,SUM($Y38:$Z38)))))</f>
        <v>1.5994614423076923</v>
      </c>
      <c r="AB38" s="202">
        <f>($K38/'Model Data Inputs'!$B$143)*'Model Data Inputs'!$B$145</f>
        <v>0.22612194444444444</v>
      </c>
      <c r="AC38" s="202">
        <f t="shared" si="3"/>
        <v>1.8255833867521367</v>
      </c>
      <c r="AD38" s="202">
        <f>IF($G38="F",0,'Model Data Inputs'!$B$147)</f>
        <v>1.1000000000000001</v>
      </c>
      <c r="AE38" s="202">
        <f>IF($G38="F",0,($K38/'Model Data Inputs'!$B$148)*'Model Data Inputs'!$B$149)</f>
        <v>0.81403899999999996</v>
      </c>
      <c r="AF38" s="202">
        <f>IF($G38="F",0,($O38/'Model Data Inputs'!$B$150)*'Model Data Inputs'!$B$151)</f>
        <v>0.30195923333333335</v>
      </c>
      <c r="AG38" s="202">
        <f>IF($G38="F",0,(($Q38*$T38)/'Model Data Inputs'!$B$152)*'Model Data Inputs'!$B$153)</f>
        <v>0.38938847193925535</v>
      </c>
      <c r="AH38" s="202">
        <f t="shared" si="4"/>
        <v>0.65134667631814724</v>
      </c>
      <c r="AI38" s="203">
        <f>IF(OR($G38="F",$F38="M",$F38="H"),0,($AH38*'Model Data Inputs'!$B$154)-$AH38)</f>
        <v>-0.13026933526362938</v>
      </c>
      <c r="AJ38" s="202">
        <f>IF(OR($G38="F",$F38="E",$F38="H"),0,($AH38*'Model Data Inputs'!$B$155)-$AH38)</f>
        <v>0</v>
      </c>
      <c r="AK38" s="203">
        <f>IF(OR($G38="F",$F38="E",$F38="M"),0,($AH38*'Model Data Inputs'!$B$156)-$AH38)</f>
        <v>0</v>
      </c>
      <c r="AL38" s="203">
        <f>IF($G38="F",0,IF($M38&lt;'Model Data Inputs'!$B$158,$AH38*('Model Data Inputs'!$B$159-1),0))</f>
        <v>0</v>
      </c>
      <c r="AM38" s="202">
        <f>IF($G38="F",0,IF($M38&gt;'Model Data Inputs'!$B$160,$AH38*('Model Data Inputs'!$B$161-1),0))</f>
        <v>6.5134667631814788E-2</v>
      </c>
      <c r="AN38" s="202">
        <f>IF($G38="F",0,IF($P38&lt;'Model Data Inputs'!$B$162,SUM($AH38,$AI38,$AJ38,$AK38,$AL38,$AM38)*('Model Data Inputs'!$B$163-1),0))</f>
        <v>0</v>
      </c>
      <c r="AO38" s="202">
        <f t="shared" si="5"/>
        <v>0.58621200868633261</v>
      </c>
      <c r="AP38" s="204">
        <f>$K38*'Model Data Inputs'!$B$166</f>
        <v>27270.306499999999</v>
      </c>
      <c r="AQ38" s="204">
        <f>($K38*'Model Data Inputs'!$B$145)*'Model Data Inputs'!$B$166</f>
        <v>2727.0306500000002</v>
      </c>
      <c r="AR38" s="50">
        <f t="shared" si="6"/>
        <v>29997.337149999999</v>
      </c>
    </row>
    <row r="39" spans="1:44" x14ac:dyDescent="0.2">
      <c r="A39" s="227" t="str">
        <f>'School Level Inst. Resources'!A39</f>
        <v>0301000</v>
      </c>
      <c r="B39" s="227" t="str">
        <f>'School Level Inst. Resources'!B39</f>
        <v>Campbell #1</v>
      </c>
      <c r="C39" s="227" t="str">
        <f>'School Level Inst. Resources'!C39</f>
        <v>0301009</v>
      </c>
      <c r="D39" s="227" t="str">
        <f>'School Level Inst. Resources'!D39</f>
        <v>Hillcrest Elementary</v>
      </c>
      <c r="E39" s="228" t="str">
        <f>'School Level Inst. Resources'!E39</f>
        <v>K-6</v>
      </c>
      <c r="F39" s="229" t="str">
        <f>'School Level Inst. Resources'!H39</f>
        <v>E</v>
      </c>
      <c r="G39" s="229" t="s">
        <v>1158</v>
      </c>
      <c r="H39" s="207">
        <v>69314</v>
      </c>
      <c r="I39" s="207">
        <f>IF('SFD Allowable GSF Calculation'!$D$2=1,'SFD Allowable GSF Calculation'!$P39,'SFD Allowable GSF Calculation'!$X39)</f>
        <v>56257</v>
      </c>
      <c r="J39" s="194">
        <f>$I39*'Model Data Inputs'!$B$165</f>
        <v>64695.549999999996</v>
      </c>
      <c r="K39" s="194">
        <f>IF($L39&gt;='Model Data Inputs'!$B$164,$H39,MIN($H39,$J39))</f>
        <v>69314</v>
      </c>
      <c r="L39" s="208">
        <v>2009</v>
      </c>
      <c r="M39" s="196">
        <f>IF($L39&gt;0,'Model Data Inputs'!$B$157-$L39,"")</f>
        <v>8</v>
      </c>
      <c r="N39" s="209">
        <v>39</v>
      </c>
      <c r="O39" s="198">
        <f>'School Level Inst. Resources'!$L39</f>
        <v>426.74000000000007</v>
      </c>
      <c r="P39" s="198">
        <f>IF($G39="T",SUMIFS('School Level ADM'!$S$5:$S$359,'School Level ADM'!$A$5:$A$359,$A39),0)</f>
        <v>8676.6579999999994</v>
      </c>
      <c r="Q39" s="199">
        <f t="shared" si="7"/>
        <v>4.9182530877672034E-2</v>
      </c>
      <c r="R39" s="200">
        <f>SUM((('School Level Inst. Resources'!I39/'Model Data Inputs'!$B$8)*(1+'Model Data Inputs'!$B$9)),(SUM('School Level Inst. Resources'!J39:K39)/'Model Data Inputs'!$C$8)*(1+'Model Data Inputs'!$C$9),'School Level Inst. Resources'!K39/400)</f>
        <v>28.449333333333339</v>
      </c>
      <c r="S39" s="200">
        <f t="shared" si="1"/>
        <v>28.449333333333339</v>
      </c>
      <c r="T39" s="201">
        <f>IF($G39="T",VLOOKUP($A39,'Total O &amp; M Resources'!$A$5:$K$52,3),0)</f>
        <v>60606522.549999997</v>
      </c>
      <c r="U39" s="202">
        <f>IF($G39="F",0,$S39/'Model Data Inputs'!$B$140)</f>
        <v>2.1884102564102568</v>
      </c>
      <c r="V39" s="202">
        <f>IF($G39="F",0,$O39/'Model Data Inputs'!$B$141)</f>
        <v>1.313046153846154</v>
      </c>
      <c r="W39" s="202">
        <f>IF($G39="F",0,$N39/'Model Data Inputs'!$B$142)</f>
        <v>3</v>
      </c>
      <c r="X39" s="202">
        <f>IF($G39="F",0,$K39/'Model Data Inputs'!$B$143)</f>
        <v>3.8507777777777776</v>
      </c>
      <c r="Y39" s="202">
        <f t="shared" si="2"/>
        <v>2.5880585470085471</v>
      </c>
      <c r="Z39" s="202">
        <f>IF(OR($G39="F",$F39="E"),0,'Model Data Inputs'!$B$144)</f>
        <v>0</v>
      </c>
      <c r="AA39" s="202">
        <f>IF(AND($O39&lt;='Model Data Inputs'!$B$139,$F39="E"),0,IF(AND($O39&lt;='Model Data Inputs'!$B$139,$F39="M"),0,IF(AND($O39&lt;='Model Data Inputs'!$B$139,$F39="H"),0,IF(SUM($Y39:$Z39)&lt;1,1,SUM($Y39:$Z39)))))</f>
        <v>2.5880585470085471</v>
      </c>
      <c r="AB39" s="202">
        <f>($K39/'Model Data Inputs'!$B$143)*'Model Data Inputs'!$B$145</f>
        <v>0.3850777777777778</v>
      </c>
      <c r="AC39" s="202">
        <f t="shared" si="3"/>
        <v>2.9731363247863247</v>
      </c>
      <c r="AD39" s="202">
        <f>IF($G39="F",0,'Model Data Inputs'!$B$147)</f>
        <v>1.1000000000000001</v>
      </c>
      <c r="AE39" s="202">
        <f>IF($G39="F",0,($K39/'Model Data Inputs'!$B$148)*'Model Data Inputs'!$B$149)</f>
        <v>1.38628</v>
      </c>
      <c r="AF39" s="202">
        <f>IF($G39="F",0,($O39/'Model Data Inputs'!$B$150)*'Model Data Inputs'!$B$151)</f>
        <v>0.55476200000000009</v>
      </c>
      <c r="AG39" s="202">
        <f>IF($G39="F",0,(($Q39*$T39)/'Model Data Inputs'!$B$152)*'Model Data Inputs'!$B$153)</f>
        <v>0.71538772000888839</v>
      </c>
      <c r="AH39" s="202">
        <f t="shared" si="4"/>
        <v>0.93910743000222208</v>
      </c>
      <c r="AI39" s="203">
        <f>IF(OR($G39="F",$F39="M",$F39="H"),0,($AH39*'Model Data Inputs'!$B$154)-$AH39)</f>
        <v>-0.18782148600044435</v>
      </c>
      <c r="AJ39" s="202">
        <f>IF(OR($G39="F",$F39="E",$F39="H"),0,($AH39*'Model Data Inputs'!$B$155)-$AH39)</f>
        <v>0</v>
      </c>
      <c r="AK39" s="203">
        <f>IF(OR($G39="F",$F39="E",$F39="M"),0,($AH39*'Model Data Inputs'!$B$156)-$AH39)</f>
        <v>0</v>
      </c>
      <c r="AL39" s="203">
        <f>IF($G39="F",0,IF($M39&lt;'Model Data Inputs'!$B$158,$AH39*('Model Data Inputs'!$B$159-1),0))</f>
        <v>-4.6955371500111143E-2</v>
      </c>
      <c r="AM39" s="202">
        <f>IF($G39="F",0,IF($M39&gt;'Model Data Inputs'!$B$160,$AH39*('Model Data Inputs'!$B$161-1),0))</f>
        <v>0</v>
      </c>
      <c r="AN39" s="202">
        <f>IF($G39="F",0,IF($P39&lt;'Model Data Inputs'!$B$162,SUM($AH39,$AI39,$AJ39,$AK39,$AL39,$AM39)*('Model Data Inputs'!$B$163-1),0))</f>
        <v>0</v>
      </c>
      <c r="AO39" s="202">
        <f t="shared" si="5"/>
        <v>0.70433057250166664</v>
      </c>
      <c r="AP39" s="204">
        <f>$K39*'Model Data Inputs'!$B$166</f>
        <v>46440.380000000005</v>
      </c>
      <c r="AQ39" s="204">
        <f>($K39*'Model Data Inputs'!$B$145)*'Model Data Inputs'!$B$166</f>
        <v>4644.0380000000005</v>
      </c>
      <c r="AR39" s="50">
        <f t="shared" si="6"/>
        <v>51084.418000000005</v>
      </c>
    </row>
    <row r="40" spans="1:44" x14ac:dyDescent="0.2">
      <c r="A40" s="227" t="str">
        <f>'School Level Inst. Resources'!A40</f>
        <v>0301000</v>
      </c>
      <c r="B40" s="227" t="str">
        <f>'School Level Inst. Resources'!B40</f>
        <v>Campbell #1</v>
      </c>
      <c r="C40" s="227" t="str">
        <f>'School Level Inst. Resources'!C40</f>
        <v>0301010</v>
      </c>
      <c r="D40" s="227" t="str">
        <f>'School Level Inst. Resources'!D40</f>
        <v>Little Powder Elementary</v>
      </c>
      <c r="E40" s="228" t="str">
        <f>'School Level Inst. Resources'!E40</f>
        <v>K-8</v>
      </c>
      <c r="F40" s="229" t="str">
        <f>'School Level Inst. Resources'!H40</f>
        <v>E</v>
      </c>
      <c r="G40" s="229" t="s">
        <v>1158</v>
      </c>
      <c r="H40" s="207">
        <v>16229</v>
      </c>
      <c r="I40" s="207">
        <f>IF('SFD Allowable GSF Calculation'!$D$2=1,'SFD Allowable GSF Calculation'!$P40,'SFD Allowable GSF Calculation'!$X40)</f>
        <v>14202</v>
      </c>
      <c r="J40" s="194">
        <f>$I40*'Model Data Inputs'!$B$165</f>
        <v>16332.3</v>
      </c>
      <c r="K40" s="194">
        <f>IF($L40&gt;='Model Data Inputs'!$B$164,$H40,MIN($H40,$J40))</f>
        <v>16229</v>
      </c>
      <c r="L40" s="208">
        <v>1976</v>
      </c>
      <c r="M40" s="196">
        <f>IF($L40&gt;0,'Model Data Inputs'!$B$157-$L40,"")</f>
        <v>41</v>
      </c>
      <c r="N40" s="209">
        <v>10</v>
      </c>
      <c r="O40" s="198">
        <f>'School Level Inst. Resources'!$L40</f>
        <v>25.639999999999997</v>
      </c>
      <c r="P40" s="198">
        <f>IF($G40="T",SUMIFS('School Level ADM'!$S$5:$S$359,'School Level ADM'!$A$5:$A$359,$A40),0)</f>
        <v>8676.6579999999994</v>
      </c>
      <c r="Q40" s="199">
        <f t="shared" si="7"/>
        <v>2.9550548148837949E-3</v>
      </c>
      <c r="R40" s="200">
        <f>SUM((('School Level Inst. Resources'!I40/'Model Data Inputs'!$B$8)*(1+'Model Data Inputs'!$B$9)),(SUM('School Level Inst. Resources'!J40:K40)/'Model Data Inputs'!$C$8)*(1+'Model Data Inputs'!$C$9),'School Level Inst. Resources'!K40/400)</f>
        <v>1.7093333333333329</v>
      </c>
      <c r="S40" s="200">
        <f t="shared" si="1"/>
        <v>1.7093333333333329</v>
      </c>
      <c r="T40" s="201">
        <f>IF($G40="T",VLOOKUP($A40,'Total O &amp; M Resources'!$A$5:$K$52,3),0)</f>
        <v>60606522.549999997</v>
      </c>
      <c r="U40" s="202">
        <f>IF($G40="F",0,$S40/'Model Data Inputs'!$B$140)</f>
        <v>0.13148717948717945</v>
      </c>
      <c r="V40" s="202">
        <f>IF($G40="F",0,$O40/'Model Data Inputs'!$B$141)</f>
        <v>7.8892307692307678E-2</v>
      </c>
      <c r="W40" s="202">
        <f>IF($G40="F",0,$N40/'Model Data Inputs'!$B$142)</f>
        <v>0.76923076923076927</v>
      </c>
      <c r="X40" s="202">
        <f>IF($G40="F",0,$K40/'Model Data Inputs'!$B$143)</f>
        <v>0.90161111111111114</v>
      </c>
      <c r="Y40" s="202">
        <f t="shared" si="2"/>
        <v>0.4703053418803419</v>
      </c>
      <c r="Z40" s="202">
        <f>IF(OR($G40="F",$F40="E"),0,'Model Data Inputs'!$B$144)</f>
        <v>0</v>
      </c>
      <c r="AA40" s="202">
        <f>IF(AND($O40&lt;='Model Data Inputs'!$B$139,$F40="E"),0,IF(AND($O40&lt;='Model Data Inputs'!$B$139,$F40="M"),0,IF(AND($O40&lt;='Model Data Inputs'!$B$139,$F40="H"),0,IF(SUM($Y40:$Z40)&lt;1,1,SUM($Y40:$Z40)))))</f>
        <v>0</v>
      </c>
      <c r="AB40" s="202">
        <f>($K40/'Model Data Inputs'!$B$143)*'Model Data Inputs'!$B$145</f>
        <v>9.0161111111111122E-2</v>
      </c>
      <c r="AC40" s="202">
        <f t="shared" si="3"/>
        <v>9.0161111111111122E-2</v>
      </c>
      <c r="AD40" s="202">
        <f>IF($G40="F",0,'Model Data Inputs'!$B$147)</f>
        <v>1.1000000000000001</v>
      </c>
      <c r="AE40" s="202">
        <f>IF($G40="F",0,($K40/'Model Data Inputs'!$B$148)*'Model Data Inputs'!$B$149)</f>
        <v>0.32458000000000004</v>
      </c>
      <c r="AF40" s="202">
        <f>IF($G40="F",0,($O40/'Model Data Inputs'!$B$150)*'Model Data Inputs'!$B$151)</f>
        <v>3.3331999999999994E-2</v>
      </c>
      <c r="AG40" s="202">
        <f>IF($G40="F",0,(($Q40*$T40)/'Model Data Inputs'!$B$152)*'Model Data Inputs'!$B$153)</f>
        <v>4.2982943105937789E-2</v>
      </c>
      <c r="AH40" s="202">
        <f t="shared" si="4"/>
        <v>0.37522373577648449</v>
      </c>
      <c r="AI40" s="203">
        <f>IF(OR($G40="F",$F40="M",$F40="H"),0,($AH40*'Model Data Inputs'!$B$154)-$AH40)</f>
        <v>-7.5044747155296854E-2</v>
      </c>
      <c r="AJ40" s="202">
        <f>IF(OR($G40="F",$F40="E",$F40="H"),0,($AH40*'Model Data Inputs'!$B$155)-$AH40)</f>
        <v>0</v>
      </c>
      <c r="AK40" s="203">
        <f>IF(OR($G40="F",$F40="E",$F40="M"),0,($AH40*'Model Data Inputs'!$B$156)-$AH40)</f>
        <v>0</v>
      </c>
      <c r="AL40" s="203">
        <f>IF($G40="F",0,IF($M40&lt;'Model Data Inputs'!$B$158,$AH40*('Model Data Inputs'!$B$159-1),0))</f>
        <v>0</v>
      </c>
      <c r="AM40" s="202">
        <f>IF($G40="F",0,IF($M40&gt;'Model Data Inputs'!$B$160,$AH40*('Model Data Inputs'!$B$161-1),0))</f>
        <v>3.7522373577648482E-2</v>
      </c>
      <c r="AN40" s="202">
        <f>IF($G40="F",0,IF($P40&lt;'Model Data Inputs'!$B$162,SUM($AH40,$AI40,$AJ40,$AK40,$AL40,$AM40)*('Model Data Inputs'!$B$163-1),0))</f>
        <v>0</v>
      </c>
      <c r="AO40" s="202">
        <f t="shared" si="5"/>
        <v>0.33770136219883612</v>
      </c>
      <c r="AP40" s="204">
        <f>$K40*'Model Data Inputs'!$B$166</f>
        <v>10873.43</v>
      </c>
      <c r="AQ40" s="204">
        <f>($K40*'Model Data Inputs'!$B$145)*'Model Data Inputs'!$B$166</f>
        <v>1087.3430000000001</v>
      </c>
      <c r="AR40" s="50">
        <f t="shared" si="6"/>
        <v>11960.773000000001</v>
      </c>
    </row>
    <row r="41" spans="1:44" x14ac:dyDescent="0.2">
      <c r="A41" s="227" t="str">
        <f>'School Level Inst. Resources'!A41</f>
        <v>0301000</v>
      </c>
      <c r="B41" s="227" t="str">
        <f>'School Level Inst. Resources'!B41</f>
        <v>Campbell #1</v>
      </c>
      <c r="C41" s="227" t="str">
        <f>'School Level Inst. Resources'!C41</f>
        <v>0301011</v>
      </c>
      <c r="D41" s="227" t="str">
        <f>'School Level Inst. Resources'!D41</f>
        <v>Meadowlark Elementary</v>
      </c>
      <c r="E41" s="228" t="str">
        <f>'School Level Inst. Resources'!E41</f>
        <v>K-6</v>
      </c>
      <c r="F41" s="229" t="str">
        <f>'School Level Inst. Resources'!H41</f>
        <v>E</v>
      </c>
      <c r="G41" s="229" t="s">
        <v>1158</v>
      </c>
      <c r="H41" s="207">
        <v>39496</v>
      </c>
      <c r="I41" s="207">
        <f>IF('SFD Allowable GSF Calculation'!$D$2=1,'SFD Allowable GSF Calculation'!$P41,'SFD Allowable GSF Calculation'!$X41)</f>
        <v>39850</v>
      </c>
      <c r="J41" s="194">
        <f>$I41*'Model Data Inputs'!$B$165</f>
        <v>45827.5</v>
      </c>
      <c r="K41" s="194">
        <f>IF($L41&gt;='Model Data Inputs'!$B$164,$H41,MIN($H41,$J41))</f>
        <v>39496</v>
      </c>
      <c r="L41" s="208">
        <v>1975</v>
      </c>
      <c r="M41" s="196">
        <f>IF($L41&gt;0,'Model Data Inputs'!$B$157-$L41,"")</f>
        <v>42</v>
      </c>
      <c r="N41" s="209">
        <v>25</v>
      </c>
      <c r="O41" s="198">
        <f>'School Level Inst. Resources'!$L41</f>
        <v>259.98633333333333</v>
      </c>
      <c r="P41" s="198">
        <f>IF($G41="T",SUMIFS('School Level ADM'!$S$5:$S$359,'School Level ADM'!$A$5:$A$359,$A41),0)</f>
        <v>8676.6579999999994</v>
      </c>
      <c r="Q41" s="199">
        <f t="shared" si="7"/>
        <v>2.9963879333878708E-2</v>
      </c>
      <c r="R41" s="200">
        <f>SUM((('School Level Inst. Resources'!I41/'Model Data Inputs'!$B$8)*(1+'Model Data Inputs'!$B$9)),(SUM('School Level Inst. Resources'!J41:K41)/'Model Data Inputs'!$C$8)*(1+'Model Data Inputs'!$C$9),'School Level Inst. Resources'!K41/400)</f>
        <v>17.33242222222222</v>
      </c>
      <c r="S41" s="200">
        <f t="shared" si="1"/>
        <v>17.33242222222222</v>
      </c>
      <c r="T41" s="201">
        <f>IF($G41="T",VLOOKUP($A41,'Total O &amp; M Resources'!$A$5:$K$52,3),0)</f>
        <v>60606522.549999997</v>
      </c>
      <c r="U41" s="202">
        <f>IF($G41="F",0,$S41/'Model Data Inputs'!$B$140)</f>
        <v>1.3332632478632478</v>
      </c>
      <c r="V41" s="202">
        <f>IF($G41="F",0,$O41/'Model Data Inputs'!$B$141)</f>
        <v>0.79995794871794867</v>
      </c>
      <c r="W41" s="202">
        <f>IF($G41="F",0,$N41/'Model Data Inputs'!$B$142)</f>
        <v>1.9230769230769231</v>
      </c>
      <c r="X41" s="202">
        <f>IF($G41="F",0,$K41/'Model Data Inputs'!$B$143)</f>
        <v>2.1942222222222223</v>
      </c>
      <c r="Y41" s="202">
        <f t="shared" si="2"/>
        <v>1.5626300854700856</v>
      </c>
      <c r="Z41" s="202">
        <f>IF(OR($G41="F",$F41="E"),0,'Model Data Inputs'!$B$144)</f>
        <v>0</v>
      </c>
      <c r="AA41" s="202">
        <f>IF(AND($O41&lt;='Model Data Inputs'!$B$139,$F41="E"),0,IF(AND($O41&lt;='Model Data Inputs'!$B$139,$F41="M"),0,IF(AND($O41&lt;='Model Data Inputs'!$B$139,$F41="H"),0,IF(SUM($Y41:$Z41)&lt;1,1,SUM($Y41:$Z41)))))</f>
        <v>1.5626300854700856</v>
      </c>
      <c r="AB41" s="202">
        <f>($K41/'Model Data Inputs'!$B$143)*'Model Data Inputs'!$B$145</f>
        <v>0.21942222222222224</v>
      </c>
      <c r="AC41" s="202">
        <f t="shared" si="3"/>
        <v>1.7820523076923078</v>
      </c>
      <c r="AD41" s="202">
        <f>IF($G41="F",0,'Model Data Inputs'!$B$147)</f>
        <v>1.1000000000000001</v>
      </c>
      <c r="AE41" s="202">
        <f>IF($G41="F",0,($K41/'Model Data Inputs'!$B$148)*'Model Data Inputs'!$B$149)</f>
        <v>0.78991999999999996</v>
      </c>
      <c r="AF41" s="202">
        <f>IF($G41="F",0,($O41/'Model Data Inputs'!$B$150)*'Model Data Inputs'!$B$151)</f>
        <v>0.33798223333333333</v>
      </c>
      <c r="AG41" s="202">
        <f>IF($G41="F",0,(($Q41*$T41)/'Model Data Inputs'!$B$152)*'Model Data Inputs'!$B$153)</f>
        <v>0.43584156684820774</v>
      </c>
      <c r="AH41" s="202">
        <f t="shared" si="4"/>
        <v>0.66593595004538531</v>
      </c>
      <c r="AI41" s="203">
        <f>IF(OR($G41="F",$F41="M",$F41="H"),0,($AH41*'Model Data Inputs'!$B$154)-$AH41)</f>
        <v>-0.13318719000907708</v>
      </c>
      <c r="AJ41" s="202">
        <f>IF(OR($G41="F",$F41="E",$F41="H"),0,($AH41*'Model Data Inputs'!$B$155)-$AH41)</f>
        <v>0</v>
      </c>
      <c r="AK41" s="203">
        <f>IF(OR($G41="F",$F41="E",$F41="M"),0,($AH41*'Model Data Inputs'!$B$156)-$AH41)</f>
        <v>0</v>
      </c>
      <c r="AL41" s="203">
        <f>IF($G41="F",0,IF($M41&lt;'Model Data Inputs'!$B$158,$AH41*('Model Data Inputs'!$B$159-1),0))</f>
        <v>0</v>
      </c>
      <c r="AM41" s="202">
        <f>IF($G41="F",0,IF($M41&gt;'Model Data Inputs'!$B$160,$AH41*('Model Data Inputs'!$B$161-1),0))</f>
        <v>6.6593595004538583E-2</v>
      </c>
      <c r="AN41" s="202">
        <f>IF($G41="F",0,IF($P41&lt;'Model Data Inputs'!$B$162,SUM($AH41,$AI41,$AJ41,$AK41,$AL41,$AM41)*('Model Data Inputs'!$B$163-1),0))</f>
        <v>0</v>
      </c>
      <c r="AO41" s="202">
        <f t="shared" si="5"/>
        <v>0.59934235504084676</v>
      </c>
      <c r="AP41" s="204">
        <f>$K41*'Model Data Inputs'!$B$166</f>
        <v>26462.320000000003</v>
      </c>
      <c r="AQ41" s="204">
        <f>($K41*'Model Data Inputs'!$B$145)*'Model Data Inputs'!$B$166</f>
        <v>2646.2320000000004</v>
      </c>
      <c r="AR41" s="50">
        <f t="shared" si="6"/>
        <v>29108.552000000003</v>
      </c>
    </row>
    <row r="42" spans="1:44" x14ac:dyDescent="0.2">
      <c r="A42" s="227" t="str">
        <f>'School Level Inst. Resources'!A42</f>
        <v>0301000</v>
      </c>
      <c r="B42" s="227" t="str">
        <f>'School Level Inst. Resources'!B42</f>
        <v>Campbell #1</v>
      </c>
      <c r="C42" s="227" t="str">
        <f>'School Level Inst. Resources'!C42</f>
        <v>0301012</v>
      </c>
      <c r="D42" s="227" t="str">
        <f>'School Level Inst. Resources'!D42</f>
        <v>Lakeview Elementary</v>
      </c>
      <c r="E42" s="228" t="str">
        <f>'School Level Inst. Resources'!E42</f>
        <v>K-6</v>
      </c>
      <c r="F42" s="229" t="str">
        <f>'School Level Inst. Resources'!H42</f>
        <v>E</v>
      </c>
      <c r="G42" s="229" t="s">
        <v>1158</v>
      </c>
      <c r="H42" s="207">
        <v>68997</v>
      </c>
      <c r="I42" s="207">
        <f>IF('SFD Allowable GSF Calculation'!$D$2=1,'SFD Allowable GSF Calculation'!$P42,'SFD Allowable GSF Calculation'!$X42)</f>
        <v>63397</v>
      </c>
      <c r="J42" s="194">
        <f>$I42*'Model Data Inputs'!$B$165</f>
        <v>72906.549999999988</v>
      </c>
      <c r="K42" s="194">
        <f>IF($L42&gt;='Model Data Inputs'!$B$164,$H42,MIN($H42,$J42))</f>
        <v>68997</v>
      </c>
      <c r="L42" s="208">
        <v>2014</v>
      </c>
      <c r="M42" s="196">
        <f>IF($L42&gt;0,'Model Data Inputs'!$B$157-$L42,"")</f>
        <v>3</v>
      </c>
      <c r="N42" s="209">
        <v>39</v>
      </c>
      <c r="O42" s="198">
        <f>'School Level Inst. Resources'!$L42</f>
        <v>466.08500000000004</v>
      </c>
      <c r="P42" s="198">
        <f>IF($G42="T",SUMIFS('School Level ADM'!$S$5:$S$359,'School Level ADM'!$A$5:$A$359,$A42),0)</f>
        <v>8676.6579999999994</v>
      </c>
      <c r="Q42" s="199">
        <f t="shared" si="7"/>
        <v>5.3717110896845312E-2</v>
      </c>
      <c r="R42" s="200">
        <f>SUM((('School Level Inst. Resources'!I42/'Model Data Inputs'!$B$8)*(1+'Model Data Inputs'!$B$9)),(SUM('School Level Inst. Resources'!J42:K42)/'Model Data Inputs'!$C$8)*(1+'Model Data Inputs'!$C$9),'School Level Inst. Resources'!K42/400)</f>
        <v>31.072333333333333</v>
      </c>
      <c r="S42" s="200">
        <f t="shared" si="1"/>
        <v>31.072333333333333</v>
      </c>
      <c r="T42" s="201">
        <f>IF($G42="T",VLOOKUP($A42,'Total O &amp; M Resources'!$A$5:$K$52,3),0)</f>
        <v>60606522.549999997</v>
      </c>
      <c r="U42" s="202">
        <f>IF($G42="F",0,$S42/'Model Data Inputs'!$B$140)</f>
        <v>2.3901794871794872</v>
      </c>
      <c r="V42" s="202">
        <f>IF($G42="F",0,$O42/'Model Data Inputs'!$B$141)</f>
        <v>1.4341076923076925</v>
      </c>
      <c r="W42" s="202">
        <f>IF($G42="F",0,$N42/'Model Data Inputs'!$B$142)</f>
        <v>3</v>
      </c>
      <c r="X42" s="202">
        <f>IF($G42="F",0,$K42/'Model Data Inputs'!$B$143)</f>
        <v>3.8331666666666666</v>
      </c>
      <c r="Y42" s="202">
        <f t="shared" si="2"/>
        <v>2.6643634615384615</v>
      </c>
      <c r="Z42" s="202">
        <f>IF(OR($G42="F",$F42="E"),0,'Model Data Inputs'!$B$144)</f>
        <v>0</v>
      </c>
      <c r="AA42" s="202">
        <f>IF(AND($O42&lt;='Model Data Inputs'!$B$139,$F42="E"),0,IF(AND($O42&lt;='Model Data Inputs'!$B$139,$F42="M"),0,IF(AND($O42&lt;='Model Data Inputs'!$B$139,$F42="H"),0,IF(SUM($Y42:$Z42)&lt;1,1,SUM($Y42:$Z42)))))</f>
        <v>2.6643634615384615</v>
      </c>
      <c r="AB42" s="202">
        <f>($K42/'Model Data Inputs'!$B$143)*'Model Data Inputs'!$B$145</f>
        <v>0.38331666666666669</v>
      </c>
      <c r="AC42" s="202">
        <f t="shared" si="3"/>
        <v>3.047680128205128</v>
      </c>
      <c r="AD42" s="202">
        <f>IF($G42="F",0,'Model Data Inputs'!$B$147)</f>
        <v>1.1000000000000001</v>
      </c>
      <c r="AE42" s="202">
        <f>IF($G42="F",0,($K42/'Model Data Inputs'!$B$148)*'Model Data Inputs'!$B$149)</f>
        <v>1.3799399999999999</v>
      </c>
      <c r="AF42" s="202">
        <f>IF($G42="F",0,($O42/'Model Data Inputs'!$B$150)*'Model Data Inputs'!$B$151)</f>
        <v>0.60591050000000002</v>
      </c>
      <c r="AG42" s="202">
        <f>IF($G42="F",0,(($Q42*$T42)/'Model Data Inputs'!$B$152)*'Model Data Inputs'!$B$153)</f>
        <v>0.78134575029372144</v>
      </c>
      <c r="AH42" s="202">
        <f t="shared" si="4"/>
        <v>0.9667990625734304</v>
      </c>
      <c r="AI42" s="203">
        <f>IF(OR($G42="F",$F42="M",$F42="H"),0,($AH42*'Model Data Inputs'!$B$154)-$AH42)</f>
        <v>-0.19335981251468604</v>
      </c>
      <c r="AJ42" s="202">
        <f>IF(OR($G42="F",$F42="E",$F42="H"),0,($AH42*'Model Data Inputs'!$B$155)-$AH42)</f>
        <v>0</v>
      </c>
      <c r="AK42" s="203">
        <f>IF(OR($G42="F",$F42="E",$F42="M"),0,($AH42*'Model Data Inputs'!$B$156)-$AH42)</f>
        <v>0</v>
      </c>
      <c r="AL42" s="203">
        <f>IF($G42="F",0,IF($M42&lt;'Model Data Inputs'!$B$158,$AH42*('Model Data Inputs'!$B$159-1),0))</f>
        <v>-4.8339953128671564E-2</v>
      </c>
      <c r="AM42" s="202">
        <f>IF($G42="F",0,IF($M42&gt;'Model Data Inputs'!$B$160,$AH42*('Model Data Inputs'!$B$161-1),0))</f>
        <v>0</v>
      </c>
      <c r="AN42" s="202">
        <f>IF($G42="F",0,IF($P42&lt;'Model Data Inputs'!$B$162,SUM($AH42,$AI42,$AJ42,$AK42,$AL42,$AM42)*('Model Data Inputs'!$B$163-1),0))</f>
        <v>0</v>
      </c>
      <c r="AO42" s="202">
        <f t="shared" si="5"/>
        <v>0.7250992969300728</v>
      </c>
      <c r="AP42" s="204">
        <f>$K42*'Model Data Inputs'!$B$166</f>
        <v>46227.990000000005</v>
      </c>
      <c r="AQ42" s="204">
        <f>($K42*'Model Data Inputs'!$B$145)*'Model Data Inputs'!$B$166</f>
        <v>4622.7990000000009</v>
      </c>
      <c r="AR42" s="50">
        <f t="shared" si="6"/>
        <v>50850.789000000004</v>
      </c>
    </row>
    <row r="43" spans="1:44" x14ac:dyDescent="0.2">
      <c r="A43" s="227" t="str">
        <f>'School Level Inst. Resources'!A43</f>
        <v>0301000</v>
      </c>
      <c r="B43" s="227" t="str">
        <f>'School Level Inst. Resources'!B43</f>
        <v>Campbell #1</v>
      </c>
      <c r="C43" s="227" t="str">
        <f>'School Level Inst. Resources'!C43</f>
        <v>0301013</v>
      </c>
      <c r="D43" s="227" t="str">
        <f>'School Level Inst. Resources'!D43</f>
        <v>Rawhide Elementary</v>
      </c>
      <c r="E43" s="228" t="str">
        <f>'School Level Inst. Resources'!E43</f>
        <v>K-6</v>
      </c>
      <c r="F43" s="229" t="str">
        <f>'School Level Inst. Resources'!H43</f>
        <v>E</v>
      </c>
      <c r="G43" s="229" t="s">
        <v>1158</v>
      </c>
      <c r="H43" s="207">
        <v>58270</v>
      </c>
      <c r="I43" s="207">
        <f>IF('SFD Allowable GSF Calculation'!$D$2=1,'SFD Allowable GSF Calculation'!$P43,'SFD Allowable GSF Calculation'!$X43)</f>
        <v>34838</v>
      </c>
      <c r="J43" s="194">
        <f>$I43*'Model Data Inputs'!$B$165</f>
        <v>40063.699999999997</v>
      </c>
      <c r="K43" s="194">
        <f>IF($L43&gt;='Model Data Inputs'!$B$164,$H43,MIN($H43,$J43))</f>
        <v>40063.699999999997</v>
      </c>
      <c r="L43" s="208">
        <v>1980</v>
      </c>
      <c r="M43" s="196">
        <f>IF($L43&gt;0,'Model Data Inputs'!$B$157-$L43,"")</f>
        <v>37</v>
      </c>
      <c r="N43" s="209">
        <v>37</v>
      </c>
      <c r="O43" s="198">
        <f>'School Level Inst. Resources'!$L43</f>
        <v>235.36799999999999</v>
      </c>
      <c r="P43" s="198">
        <f>IF($G43="T",SUMIFS('School Level ADM'!$S$5:$S$359,'School Level ADM'!$A$5:$A$359,$A43),0)</f>
        <v>8676.6579999999994</v>
      </c>
      <c r="Q43" s="199">
        <f t="shared" si="7"/>
        <v>2.7126573388048719E-2</v>
      </c>
      <c r="R43" s="200">
        <f>SUM((('School Level Inst. Resources'!I43/'Model Data Inputs'!$B$8)*(1+'Model Data Inputs'!$B$9)),(SUM('School Level Inst. Resources'!J43:K43)/'Model Data Inputs'!$C$8)*(1+'Model Data Inputs'!$C$9),'School Level Inst. Resources'!K43/400)</f>
        <v>15.6912</v>
      </c>
      <c r="S43" s="200">
        <f t="shared" si="1"/>
        <v>15.6912</v>
      </c>
      <c r="T43" s="201">
        <f>IF($G43="T",VLOOKUP($A43,'Total O &amp; M Resources'!$A$5:$K$52,3),0)</f>
        <v>60606522.549999997</v>
      </c>
      <c r="U43" s="202">
        <f>IF($G43="F",0,$S43/'Model Data Inputs'!$B$140)</f>
        <v>1.2070153846153846</v>
      </c>
      <c r="V43" s="202">
        <f>IF($G43="F",0,$O43/'Model Data Inputs'!$B$141)</f>
        <v>0.72420923076923072</v>
      </c>
      <c r="W43" s="202">
        <f>IF($G43="F",0,$N43/'Model Data Inputs'!$B$142)</f>
        <v>2.8461538461538463</v>
      </c>
      <c r="X43" s="202">
        <f>IF($G43="F",0,$K43/'Model Data Inputs'!$B$143)</f>
        <v>2.2257611111111109</v>
      </c>
      <c r="Y43" s="202">
        <f t="shared" si="2"/>
        <v>1.7507848931623931</v>
      </c>
      <c r="Z43" s="202">
        <f>IF(OR($G43="F",$F43="E"),0,'Model Data Inputs'!$B$144)</f>
        <v>0</v>
      </c>
      <c r="AA43" s="202">
        <f>IF(AND($O43&lt;='Model Data Inputs'!$B$139,$F43="E"),0,IF(AND($O43&lt;='Model Data Inputs'!$B$139,$F43="M"),0,IF(AND($O43&lt;='Model Data Inputs'!$B$139,$F43="H"),0,IF(SUM($Y43:$Z43)&lt;1,1,SUM($Y43:$Z43)))))</f>
        <v>1.7507848931623931</v>
      </c>
      <c r="AB43" s="202">
        <f>($K43/'Model Data Inputs'!$B$143)*'Model Data Inputs'!$B$145</f>
        <v>0.22257611111111109</v>
      </c>
      <c r="AC43" s="202">
        <f t="shared" si="3"/>
        <v>1.9733610042735041</v>
      </c>
      <c r="AD43" s="202">
        <f>IF($G43="F",0,'Model Data Inputs'!$B$147)</f>
        <v>1.1000000000000001</v>
      </c>
      <c r="AE43" s="202">
        <f>IF($G43="F",0,($K43/'Model Data Inputs'!$B$148)*'Model Data Inputs'!$B$149)</f>
        <v>0.80127399999999993</v>
      </c>
      <c r="AF43" s="202">
        <f>IF($G43="F",0,($O43/'Model Data Inputs'!$B$150)*'Model Data Inputs'!$B$151)</f>
        <v>0.30597839999999998</v>
      </c>
      <c r="AG43" s="202">
        <f>IF($G43="F",0,(($Q43*$T43)/'Model Data Inputs'!$B$152)*'Model Data Inputs'!$B$153)</f>
        <v>0.39457134761928109</v>
      </c>
      <c r="AH43" s="202">
        <f t="shared" si="4"/>
        <v>0.65045593690482018</v>
      </c>
      <c r="AI43" s="203">
        <f>IF(OR($G43="F",$F43="M",$F43="H"),0,($AH43*'Model Data Inputs'!$B$154)-$AH43)</f>
        <v>-0.13009118738096404</v>
      </c>
      <c r="AJ43" s="202">
        <f>IF(OR($G43="F",$F43="E",$F43="H"),0,($AH43*'Model Data Inputs'!$B$155)-$AH43)</f>
        <v>0</v>
      </c>
      <c r="AK43" s="203">
        <f>IF(OR($G43="F",$F43="E",$F43="M"),0,($AH43*'Model Data Inputs'!$B$156)-$AH43)</f>
        <v>0</v>
      </c>
      <c r="AL43" s="203">
        <f>IF($G43="F",0,IF($M43&lt;'Model Data Inputs'!$B$158,$AH43*('Model Data Inputs'!$B$159-1),0))</f>
        <v>0</v>
      </c>
      <c r="AM43" s="202">
        <f>IF($G43="F",0,IF($M43&gt;'Model Data Inputs'!$B$160,$AH43*('Model Data Inputs'!$B$161-1),0))</f>
        <v>6.5045593690482073E-2</v>
      </c>
      <c r="AN43" s="202">
        <f>IF($G43="F",0,IF($P43&lt;'Model Data Inputs'!$B$162,SUM($AH43,$AI43,$AJ43,$AK43,$AL43,$AM43)*('Model Data Inputs'!$B$163-1),0))</f>
        <v>0</v>
      </c>
      <c r="AO43" s="202">
        <f t="shared" si="5"/>
        <v>0.58541034321433827</v>
      </c>
      <c r="AP43" s="204">
        <f>$K43*'Model Data Inputs'!$B$166</f>
        <v>26842.679</v>
      </c>
      <c r="AQ43" s="204">
        <f>($K43*'Model Data Inputs'!$B$145)*'Model Data Inputs'!$B$166</f>
        <v>2684.2679000000003</v>
      </c>
      <c r="AR43" s="50">
        <f t="shared" si="6"/>
        <v>29526.946899999999</v>
      </c>
    </row>
    <row r="44" spans="1:44" x14ac:dyDescent="0.2">
      <c r="A44" s="227" t="str">
        <f>'School Level Inst. Resources'!A44</f>
        <v>0301000</v>
      </c>
      <c r="B44" s="227" t="str">
        <f>'School Level Inst. Resources'!B44</f>
        <v>Campbell #1</v>
      </c>
      <c r="C44" s="227" t="str">
        <f>'School Level Inst. Resources'!C44</f>
        <v>0301014</v>
      </c>
      <c r="D44" s="227" t="str">
        <f>'School Level Inst. Resources'!D44</f>
        <v>Recluse School</v>
      </c>
      <c r="E44" s="228" t="str">
        <f>'School Level Inst. Resources'!E44</f>
        <v>K-8</v>
      </c>
      <c r="F44" s="229" t="str">
        <f>'School Level Inst. Resources'!H44</f>
        <v>M</v>
      </c>
      <c r="G44" s="229" t="s">
        <v>1158</v>
      </c>
      <c r="H44" s="207">
        <v>18014</v>
      </c>
      <c r="I44" s="207">
        <f>IF('SFD Allowable GSF Calculation'!$D$2=1,'SFD Allowable GSF Calculation'!$P44,'SFD Allowable GSF Calculation'!$X44)</f>
        <v>7792</v>
      </c>
      <c r="J44" s="194">
        <f>$I44*'Model Data Inputs'!$B$165</f>
        <v>8960.7999999999993</v>
      </c>
      <c r="K44" s="194">
        <f>IF($L44&gt;='Model Data Inputs'!$B$164,$H44,MIN($H44,$J44))</f>
        <v>18014</v>
      </c>
      <c r="L44" s="208">
        <v>2007</v>
      </c>
      <c r="M44" s="196">
        <f>IF($L44&gt;0,'Model Data Inputs'!$B$157-$L44,"")</f>
        <v>10</v>
      </c>
      <c r="N44" s="209">
        <v>9</v>
      </c>
      <c r="O44" s="198">
        <f>'School Level Inst. Resources'!$L44</f>
        <v>23.636333333333333</v>
      </c>
      <c r="P44" s="198">
        <f>IF($G44="T",SUMIFS('School Level ADM'!$S$5:$S$359,'School Level ADM'!$A$5:$A$359,$A44),0)</f>
        <v>8676.6579999999994</v>
      </c>
      <c r="Q44" s="199">
        <f t="shared" si="7"/>
        <v>2.7241287294409132E-3</v>
      </c>
      <c r="R44" s="200">
        <f>SUM((('School Level Inst. Resources'!I44/'Model Data Inputs'!$B$8)*(1+'Model Data Inputs'!$B$9)),(SUM('School Level Inst. Resources'!J44:K44)/'Model Data Inputs'!$C$8)*(1+'Model Data Inputs'!$C$9),'School Level Inst. Resources'!K44/400)</f>
        <v>1.5239272898550724</v>
      </c>
      <c r="S44" s="200">
        <f t="shared" si="1"/>
        <v>1.5239272898550724</v>
      </c>
      <c r="T44" s="201">
        <f>IF($G44="T",VLOOKUP($A44,'Total O &amp; M Resources'!$A$5:$K$52,3),0)</f>
        <v>60606522.549999997</v>
      </c>
      <c r="U44" s="202">
        <f>IF($G44="F",0,$S44/'Model Data Inputs'!$B$140)</f>
        <v>0.11722517614269788</v>
      </c>
      <c r="V44" s="202">
        <f>IF($G44="F",0,$O44/'Model Data Inputs'!$B$141)</f>
        <v>7.272717948717948E-2</v>
      </c>
      <c r="W44" s="202">
        <f>IF($G44="F",0,$N44/'Model Data Inputs'!$B$142)</f>
        <v>0.69230769230769229</v>
      </c>
      <c r="X44" s="202">
        <f>IF($G44="F",0,$K44/'Model Data Inputs'!$B$143)</f>
        <v>1.0007777777777778</v>
      </c>
      <c r="Y44" s="202">
        <f t="shared" si="2"/>
        <v>0.47075945642883688</v>
      </c>
      <c r="Z44" s="202">
        <f>IF(OR($G44="F",$F44="E"),0,'Model Data Inputs'!$B$144)</f>
        <v>0.5</v>
      </c>
      <c r="AA44" s="202">
        <f>IF(AND($O44&lt;='Model Data Inputs'!$B$139,$F44="E"),0,IF(AND($O44&lt;='Model Data Inputs'!$B$139,$F44="M"),0,IF(AND($O44&lt;='Model Data Inputs'!$B$139,$F44="H"),0,IF(SUM($Y44:$Z44)&lt;1,1,SUM($Y44:$Z44)))))</f>
        <v>0</v>
      </c>
      <c r="AB44" s="202">
        <f>($K44/'Model Data Inputs'!$B$143)*'Model Data Inputs'!$B$145</f>
        <v>0.10007777777777778</v>
      </c>
      <c r="AC44" s="202">
        <f t="shared" si="3"/>
        <v>0.10007777777777778</v>
      </c>
      <c r="AD44" s="202">
        <f>IF($G44="F",0,'Model Data Inputs'!$B$147)</f>
        <v>1.1000000000000001</v>
      </c>
      <c r="AE44" s="202">
        <f>IF($G44="F",0,($K44/'Model Data Inputs'!$B$148)*'Model Data Inputs'!$B$149)</f>
        <v>0.36027999999999999</v>
      </c>
      <c r="AF44" s="202">
        <f>IF($G44="F",0,($O44/'Model Data Inputs'!$B$150)*'Model Data Inputs'!$B$151)</f>
        <v>3.0727233333333333E-2</v>
      </c>
      <c r="AG44" s="202">
        <f>IF($G44="F",0,(($Q44*$T44)/'Model Data Inputs'!$B$152)*'Model Data Inputs'!$B$153)</f>
        <v>3.962399262479125E-2</v>
      </c>
      <c r="AH44" s="202">
        <f t="shared" si="4"/>
        <v>0.38265780648953113</v>
      </c>
      <c r="AI44" s="203">
        <f>IF(OR($G44="F",$F44="M",$F44="H"),0,($AH44*'Model Data Inputs'!$B$154)-$AH44)</f>
        <v>0</v>
      </c>
      <c r="AJ44" s="202">
        <f>IF(OR($G44="F",$F44="E",$F44="H"),0,($AH44*'Model Data Inputs'!$B$155)-$AH44)</f>
        <v>0</v>
      </c>
      <c r="AK44" s="203">
        <f>IF(OR($G44="F",$F44="E",$F44="M"),0,($AH44*'Model Data Inputs'!$B$156)-$AH44)</f>
        <v>0</v>
      </c>
      <c r="AL44" s="203">
        <f>IF($G44="F",0,IF($M44&lt;'Model Data Inputs'!$B$158,$AH44*('Model Data Inputs'!$B$159-1),0))</f>
        <v>0</v>
      </c>
      <c r="AM44" s="202">
        <f>IF($G44="F",0,IF($M44&gt;'Model Data Inputs'!$B$160,$AH44*('Model Data Inputs'!$B$161-1),0))</f>
        <v>0</v>
      </c>
      <c r="AN44" s="202">
        <f>IF($G44="F",0,IF($P44&lt;'Model Data Inputs'!$B$162,SUM($AH44,$AI44,$AJ44,$AK44,$AL44,$AM44)*('Model Data Inputs'!$B$163-1),0))</f>
        <v>0</v>
      </c>
      <c r="AO44" s="202">
        <f t="shared" si="5"/>
        <v>0.38265780648953113</v>
      </c>
      <c r="AP44" s="204">
        <f>$K44*'Model Data Inputs'!$B$166</f>
        <v>12069.380000000001</v>
      </c>
      <c r="AQ44" s="204">
        <f>($K44*'Model Data Inputs'!$B$145)*'Model Data Inputs'!$B$166</f>
        <v>1206.9380000000001</v>
      </c>
      <c r="AR44" s="50">
        <f t="shared" si="6"/>
        <v>13276.318000000001</v>
      </c>
    </row>
    <row r="45" spans="1:44" x14ac:dyDescent="0.2">
      <c r="A45" s="227" t="str">
        <f>'School Level Inst. Resources'!A45</f>
        <v>0301000</v>
      </c>
      <c r="B45" s="227" t="str">
        <f>'School Level Inst. Resources'!B45</f>
        <v>Campbell #1</v>
      </c>
      <c r="C45" s="227" t="str">
        <f>'School Level Inst. Resources'!C45</f>
        <v>0301015</v>
      </c>
      <c r="D45" s="227" t="str">
        <f>'School Level Inst. Resources'!D45</f>
        <v>Rozet Elementary</v>
      </c>
      <c r="E45" s="228" t="str">
        <f>'School Level Inst. Resources'!E45</f>
        <v>K-6</v>
      </c>
      <c r="F45" s="229" t="str">
        <f>'School Level Inst. Resources'!H45</f>
        <v>E</v>
      </c>
      <c r="G45" s="229" t="s">
        <v>1158</v>
      </c>
      <c r="H45" s="207">
        <v>80569</v>
      </c>
      <c r="I45" s="207">
        <f>IF('SFD Allowable GSF Calculation'!$D$2=1,'SFD Allowable GSF Calculation'!$P45,'SFD Allowable GSF Calculation'!$X45)</f>
        <v>47410</v>
      </c>
      <c r="J45" s="194">
        <f>$I45*'Model Data Inputs'!$B$165</f>
        <v>54521.499999999993</v>
      </c>
      <c r="K45" s="194">
        <f>IF($L45&gt;='Model Data Inputs'!$B$164,$H45,MIN($H45,$J45))</f>
        <v>54521.499999999993</v>
      </c>
      <c r="L45" s="208">
        <v>1973</v>
      </c>
      <c r="M45" s="196">
        <f>IF($L45&gt;0,'Model Data Inputs'!$B$157-$L45,"")</f>
        <v>44</v>
      </c>
      <c r="N45" s="209">
        <v>41</v>
      </c>
      <c r="O45" s="198">
        <f>'School Level Inst. Resources'!$L45</f>
        <v>328.12933333333336</v>
      </c>
      <c r="P45" s="198">
        <f>IF($G45="T",SUMIFS('School Level ADM'!$S$5:$S$359,'School Level ADM'!$A$5:$A$359,$A45),0)</f>
        <v>8676.6579999999994</v>
      </c>
      <c r="Q45" s="199">
        <f t="shared" si="7"/>
        <v>3.7817479187647295E-2</v>
      </c>
      <c r="R45" s="200">
        <f>SUM((('School Level Inst. Resources'!I45/'Model Data Inputs'!$B$8)*(1+'Model Data Inputs'!$B$9)),(SUM('School Level Inst. Resources'!J45:K45)/'Model Data Inputs'!$C$8)*(1+'Model Data Inputs'!$C$9),'School Level Inst. Resources'!K45/400)</f>
        <v>21.875288888888889</v>
      </c>
      <c r="S45" s="200">
        <f t="shared" si="1"/>
        <v>21.875288888888889</v>
      </c>
      <c r="T45" s="201">
        <f>IF($G45="T",VLOOKUP($A45,'Total O &amp; M Resources'!$A$5:$K$52,3),0)</f>
        <v>60606522.549999997</v>
      </c>
      <c r="U45" s="202">
        <f>IF($G45="F",0,$S45/'Model Data Inputs'!$B$140)</f>
        <v>1.6827145299145299</v>
      </c>
      <c r="V45" s="202">
        <f>IF($G45="F",0,$O45/'Model Data Inputs'!$B$141)</f>
        <v>1.009628717948718</v>
      </c>
      <c r="W45" s="202">
        <f>IF($G45="F",0,$N45/'Model Data Inputs'!$B$142)</f>
        <v>3.1538461538461537</v>
      </c>
      <c r="X45" s="202">
        <f>IF($G45="F",0,$K45/'Model Data Inputs'!$B$143)</f>
        <v>3.028972222222222</v>
      </c>
      <c r="Y45" s="202">
        <f t="shared" si="2"/>
        <v>2.2187904059829058</v>
      </c>
      <c r="Z45" s="202">
        <f>IF(OR($G45="F",$F45="E"),0,'Model Data Inputs'!$B$144)</f>
        <v>0</v>
      </c>
      <c r="AA45" s="202">
        <f>IF(AND($O45&lt;='Model Data Inputs'!$B$139,$F45="E"),0,IF(AND($O45&lt;='Model Data Inputs'!$B$139,$F45="M"),0,IF(AND($O45&lt;='Model Data Inputs'!$B$139,$F45="H"),0,IF(SUM($Y45:$Z45)&lt;1,1,SUM($Y45:$Z45)))))</f>
        <v>2.2187904059829058</v>
      </c>
      <c r="AB45" s="202">
        <f>($K45/'Model Data Inputs'!$B$143)*'Model Data Inputs'!$B$145</f>
        <v>0.30289722222222221</v>
      </c>
      <c r="AC45" s="202">
        <f t="shared" si="3"/>
        <v>2.5216876282051279</v>
      </c>
      <c r="AD45" s="202">
        <f>IF($G45="F",0,'Model Data Inputs'!$B$147)</f>
        <v>1.1000000000000001</v>
      </c>
      <c r="AE45" s="202">
        <f>IF($G45="F",0,($K45/'Model Data Inputs'!$B$148)*'Model Data Inputs'!$B$149)</f>
        <v>1.0904299999999998</v>
      </c>
      <c r="AF45" s="202">
        <f>IF($G45="F",0,($O45/'Model Data Inputs'!$B$150)*'Model Data Inputs'!$B$151)</f>
        <v>0.42656813333333343</v>
      </c>
      <c r="AG45" s="202">
        <f>IF($G45="F",0,(($Q45*$T45)/'Model Data Inputs'!$B$152)*'Model Data Inputs'!$B$153)</f>
        <v>0.55007661724087231</v>
      </c>
      <c r="AH45" s="202">
        <f t="shared" si="4"/>
        <v>0.79176868764355146</v>
      </c>
      <c r="AI45" s="203">
        <f>IF(OR($G45="F",$F45="M",$F45="H"),0,($AH45*'Model Data Inputs'!$B$154)-$AH45)</f>
        <v>-0.15835373752871029</v>
      </c>
      <c r="AJ45" s="202">
        <f>IF(OR($G45="F",$F45="E",$F45="H"),0,($AH45*'Model Data Inputs'!$B$155)-$AH45)</f>
        <v>0</v>
      </c>
      <c r="AK45" s="203">
        <f>IF(OR($G45="F",$F45="E",$F45="M"),0,($AH45*'Model Data Inputs'!$B$156)-$AH45)</f>
        <v>0</v>
      </c>
      <c r="AL45" s="203">
        <f>IF($G45="F",0,IF($M45&lt;'Model Data Inputs'!$B$158,$AH45*('Model Data Inputs'!$B$159-1),0))</f>
        <v>0</v>
      </c>
      <c r="AM45" s="202">
        <f>IF($G45="F",0,IF($M45&gt;'Model Data Inputs'!$B$160,$AH45*('Model Data Inputs'!$B$161-1),0))</f>
        <v>7.9176868764355215E-2</v>
      </c>
      <c r="AN45" s="202">
        <f>IF($G45="F",0,IF($P45&lt;'Model Data Inputs'!$B$162,SUM($AH45,$AI45,$AJ45,$AK45,$AL45,$AM45)*('Model Data Inputs'!$B$163-1),0))</f>
        <v>0</v>
      </c>
      <c r="AO45" s="202">
        <f t="shared" si="5"/>
        <v>0.71259181887919643</v>
      </c>
      <c r="AP45" s="204">
        <f>$K45*'Model Data Inputs'!$B$166</f>
        <v>36529.404999999999</v>
      </c>
      <c r="AQ45" s="204">
        <f>($K45*'Model Data Inputs'!$B$145)*'Model Data Inputs'!$B$166</f>
        <v>3652.9405000000002</v>
      </c>
      <c r="AR45" s="50">
        <f t="shared" si="6"/>
        <v>40182.345499999996</v>
      </c>
    </row>
    <row r="46" spans="1:44" x14ac:dyDescent="0.2">
      <c r="A46" s="227" t="str">
        <f>'School Level Inst. Resources'!A46</f>
        <v>0301000</v>
      </c>
      <c r="B46" s="227" t="str">
        <f>'School Level Inst. Resources'!B46</f>
        <v>Campbell #1</v>
      </c>
      <c r="C46" s="227" t="str">
        <f>'School Level Inst. Resources'!C46</f>
        <v>0301017</v>
      </c>
      <c r="D46" s="227" t="str">
        <f>'School Level Inst. Resources'!D46</f>
        <v>Prairie Wind Elementary</v>
      </c>
      <c r="E46" s="228" t="str">
        <f>'School Level Inst. Resources'!E46</f>
        <v>K-6</v>
      </c>
      <c r="F46" s="229" t="str">
        <f>'School Level Inst. Resources'!H46</f>
        <v>E</v>
      </c>
      <c r="G46" s="229" t="s">
        <v>1158</v>
      </c>
      <c r="H46" s="207">
        <v>69232</v>
      </c>
      <c r="I46" s="207">
        <f>IF('SFD Allowable GSF Calculation'!$D$2=1,'SFD Allowable GSF Calculation'!$P46,'SFD Allowable GSF Calculation'!$X46)</f>
        <v>53990</v>
      </c>
      <c r="J46" s="194">
        <f>$I46*'Model Data Inputs'!$B$165</f>
        <v>62088.499999999993</v>
      </c>
      <c r="K46" s="194">
        <f>IF($L46&gt;='Model Data Inputs'!$B$164,$H46,MIN($H46,$J46))</f>
        <v>69232</v>
      </c>
      <c r="L46" s="208">
        <v>2010</v>
      </c>
      <c r="M46" s="196">
        <f>IF($L46&gt;0,'Model Data Inputs'!$B$157-$L46,"")</f>
        <v>7</v>
      </c>
      <c r="N46" s="209">
        <v>38</v>
      </c>
      <c r="O46" s="198">
        <f>'School Level Inst. Resources'!$L46</f>
        <v>404.54166666666669</v>
      </c>
      <c r="P46" s="198">
        <f>IF($G46="T",SUMIFS('School Level ADM'!$S$5:$S$359,'School Level ADM'!$A$5:$A$359,$A46),0)</f>
        <v>8676.6579999999994</v>
      </c>
      <c r="Q46" s="199">
        <f t="shared" si="7"/>
        <v>4.662413416163997E-2</v>
      </c>
      <c r="R46" s="200">
        <f>SUM((('School Level Inst. Resources'!I46/'Model Data Inputs'!$B$8)*(1+'Model Data Inputs'!$B$9)),(SUM('School Level Inst. Resources'!J46:K46)/'Model Data Inputs'!$C$8)*(1+'Model Data Inputs'!$C$9),'School Level Inst. Resources'!K46/400)</f>
        <v>26.969444444444445</v>
      </c>
      <c r="S46" s="200">
        <f t="shared" si="1"/>
        <v>26.969444444444445</v>
      </c>
      <c r="T46" s="201">
        <f>IF($G46="T",VLOOKUP($A46,'Total O &amp; M Resources'!$A$5:$K$52,3),0)</f>
        <v>60606522.549999997</v>
      </c>
      <c r="U46" s="202">
        <f>IF($G46="F",0,$S46/'Model Data Inputs'!$B$140)</f>
        <v>2.0745726495726498</v>
      </c>
      <c r="V46" s="202">
        <f>IF($G46="F",0,$O46/'Model Data Inputs'!$B$141)</f>
        <v>1.2447435897435899</v>
      </c>
      <c r="W46" s="202">
        <f>IF($G46="F",0,$N46/'Model Data Inputs'!$B$142)</f>
        <v>2.9230769230769229</v>
      </c>
      <c r="X46" s="202">
        <f>IF($G46="F",0,$K46/'Model Data Inputs'!$B$143)</f>
        <v>3.8462222222222224</v>
      </c>
      <c r="Y46" s="202">
        <f t="shared" si="2"/>
        <v>2.522153846153846</v>
      </c>
      <c r="Z46" s="202">
        <f>IF(OR($G46="F",$F46="E"),0,'Model Data Inputs'!$B$144)</f>
        <v>0</v>
      </c>
      <c r="AA46" s="202">
        <f>IF(AND($O46&lt;='Model Data Inputs'!$B$139,$F46="E"),0,IF(AND($O46&lt;='Model Data Inputs'!$B$139,$F46="M"),0,IF(AND($O46&lt;='Model Data Inputs'!$B$139,$F46="H"),0,IF(SUM($Y46:$Z46)&lt;1,1,SUM($Y46:$Z46)))))</f>
        <v>2.522153846153846</v>
      </c>
      <c r="AB46" s="202">
        <f>($K46/'Model Data Inputs'!$B$143)*'Model Data Inputs'!$B$145</f>
        <v>0.38462222222222225</v>
      </c>
      <c r="AC46" s="202">
        <f t="shared" si="3"/>
        <v>2.9067760683760682</v>
      </c>
      <c r="AD46" s="202">
        <f>IF($G46="F",0,'Model Data Inputs'!$B$147)</f>
        <v>1.1000000000000001</v>
      </c>
      <c r="AE46" s="202">
        <f>IF($G46="F",0,($K46/'Model Data Inputs'!$B$148)*'Model Data Inputs'!$B$149)</f>
        <v>1.3846399999999999</v>
      </c>
      <c r="AF46" s="202">
        <f>IF($G46="F",0,($O46/'Model Data Inputs'!$B$150)*'Model Data Inputs'!$B$151)</f>
        <v>0.52590416666666673</v>
      </c>
      <c r="AG46" s="202">
        <f>IF($G46="F",0,(($Q46*$T46)/'Model Data Inputs'!$B$152)*'Model Data Inputs'!$B$153)</f>
        <v>0.67817439322599793</v>
      </c>
      <c r="AH46" s="202">
        <f t="shared" si="4"/>
        <v>0.9221796399731661</v>
      </c>
      <c r="AI46" s="203">
        <f>IF(OR($G46="F",$F46="M",$F46="H"),0,($AH46*'Model Data Inputs'!$B$154)-$AH46)</f>
        <v>-0.18443592799463315</v>
      </c>
      <c r="AJ46" s="202">
        <f>IF(OR($G46="F",$F46="E",$F46="H"),0,($AH46*'Model Data Inputs'!$B$155)-$AH46)</f>
        <v>0</v>
      </c>
      <c r="AK46" s="203">
        <f>IF(OR($G46="F",$F46="E",$F46="M"),0,($AH46*'Model Data Inputs'!$B$156)-$AH46)</f>
        <v>0</v>
      </c>
      <c r="AL46" s="203">
        <f>IF($G46="F",0,IF($M46&lt;'Model Data Inputs'!$B$158,$AH46*('Model Data Inputs'!$B$159-1),0))</f>
        <v>-4.6108981998658344E-2</v>
      </c>
      <c r="AM46" s="202">
        <f>IF($G46="F",0,IF($M46&gt;'Model Data Inputs'!$B$160,$AH46*('Model Data Inputs'!$B$161-1),0))</f>
        <v>0</v>
      </c>
      <c r="AN46" s="202">
        <f>IF($G46="F",0,IF($P46&lt;'Model Data Inputs'!$B$162,SUM($AH46,$AI46,$AJ46,$AK46,$AL46,$AM46)*('Model Data Inputs'!$B$163-1),0))</f>
        <v>0</v>
      </c>
      <c r="AO46" s="202">
        <f t="shared" si="5"/>
        <v>0.69163472997987463</v>
      </c>
      <c r="AP46" s="204">
        <f>$K46*'Model Data Inputs'!$B$166</f>
        <v>46385.440000000002</v>
      </c>
      <c r="AQ46" s="204">
        <f>($K46*'Model Data Inputs'!$B$145)*'Model Data Inputs'!$B$166</f>
        <v>4638.5440000000008</v>
      </c>
      <c r="AR46" s="50">
        <f t="shared" si="6"/>
        <v>51023.984000000004</v>
      </c>
    </row>
    <row r="47" spans="1:44" x14ac:dyDescent="0.2">
      <c r="A47" s="227" t="str">
        <f>'School Level Inst. Resources'!A47</f>
        <v>0301000</v>
      </c>
      <c r="B47" s="227" t="str">
        <f>'School Level Inst. Resources'!B47</f>
        <v>Campbell #1</v>
      </c>
      <c r="C47" s="227" t="str">
        <f>'School Level Inst. Resources'!C47</f>
        <v>0301019</v>
      </c>
      <c r="D47" s="227" t="str">
        <f>'School Level Inst. Resources'!D47</f>
        <v>Wagonwheel Elementary</v>
      </c>
      <c r="E47" s="228" t="str">
        <f>'School Level Inst. Resources'!E47</f>
        <v>K-6</v>
      </c>
      <c r="F47" s="229" t="str">
        <f>'School Level Inst. Resources'!H47</f>
        <v>E</v>
      </c>
      <c r="G47" s="229" t="s">
        <v>1158</v>
      </c>
      <c r="H47" s="207">
        <v>54150</v>
      </c>
      <c r="I47" s="207">
        <f>IF('SFD Allowable GSF Calculation'!$D$2=1,'SFD Allowable GSF Calculation'!$P47,'SFD Allowable GSF Calculation'!$X47)</f>
        <v>47671</v>
      </c>
      <c r="J47" s="194">
        <f>$I47*'Model Data Inputs'!$B$165</f>
        <v>54821.649999999994</v>
      </c>
      <c r="K47" s="194">
        <f>IF($L47&gt;='Model Data Inputs'!$B$164,$H47,MIN($H47,$J47))</f>
        <v>54150</v>
      </c>
      <c r="L47" s="208">
        <v>1976</v>
      </c>
      <c r="M47" s="196">
        <f>IF($L47&gt;0,'Model Data Inputs'!$B$157-$L47,"")</f>
        <v>41</v>
      </c>
      <c r="N47" s="209">
        <v>40</v>
      </c>
      <c r="O47" s="198">
        <f>'School Level Inst. Resources'!$L47</f>
        <v>339.10966666666667</v>
      </c>
      <c r="P47" s="198">
        <f>IF($G47="T",SUMIFS('School Level ADM'!$S$5:$S$359,'School Level ADM'!$A$5:$A$359,$A47),0)</f>
        <v>8676.6579999999994</v>
      </c>
      <c r="Q47" s="199">
        <f t="shared" si="7"/>
        <v>3.908298179629377E-2</v>
      </c>
      <c r="R47" s="200">
        <f>SUM((('School Level Inst. Resources'!I47/'Model Data Inputs'!$B$8)*(1+'Model Data Inputs'!$B$9)),(SUM('School Level Inst. Resources'!J47:K47)/'Model Data Inputs'!$C$8)*(1+'Model Data Inputs'!$C$9),'School Level Inst. Resources'!K47/400)</f>
        <v>22.607311111111112</v>
      </c>
      <c r="S47" s="200">
        <f t="shared" si="1"/>
        <v>22.607311111111112</v>
      </c>
      <c r="T47" s="201">
        <f>IF($G47="T",VLOOKUP($A47,'Total O &amp; M Resources'!$A$5:$K$52,3),0)</f>
        <v>60606522.549999997</v>
      </c>
      <c r="U47" s="202">
        <f>IF($G47="F",0,$S47/'Model Data Inputs'!$B$140)</f>
        <v>1.7390239316239318</v>
      </c>
      <c r="V47" s="202">
        <f>IF($G47="F",0,$O47/'Model Data Inputs'!$B$141)</f>
        <v>1.043414358974359</v>
      </c>
      <c r="W47" s="202">
        <f>IF($G47="F",0,$N47/'Model Data Inputs'!$B$142)</f>
        <v>3.0769230769230771</v>
      </c>
      <c r="X47" s="202">
        <f>IF($G47="F",0,$K47/'Model Data Inputs'!$B$143)</f>
        <v>3.0083333333333333</v>
      </c>
      <c r="Y47" s="202">
        <f t="shared" si="2"/>
        <v>2.2169236752136752</v>
      </c>
      <c r="Z47" s="202">
        <f>IF(OR($G47="F",$F47="E"),0,'Model Data Inputs'!$B$144)</f>
        <v>0</v>
      </c>
      <c r="AA47" s="202">
        <f>IF(AND($O47&lt;='Model Data Inputs'!$B$139,$F47="E"),0,IF(AND($O47&lt;='Model Data Inputs'!$B$139,$F47="M"),0,IF(AND($O47&lt;='Model Data Inputs'!$B$139,$F47="H"),0,IF(SUM($Y47:$Z47)&lt;1,1,SUM($Y47:$Z47)))))</f>
        <v>2.2169236752136752</v>
      </c>
      <c r="AB47" s="202">
        <f>($K47/'Model Data Inputs'!$B$143)*'Model Data Inputs'!$B$145</f>
        <v>0.30083333333333334</v>
      </c>
      <c r="AC47" s="202">
        <f t="shared" si="3"/>
        <v>2.5177570085470085</v>
      </c>
      <c r="AD47" s="202">
        <f>IF($G47="F",0,'Model Data Inputs'!$B$147)</f>
        <v>1.1000000000000001</v>
      </c>
      <c r="AE47" s="202">
        <f>IF($G47="F",0,($K47/'Model Data Inputs'!$B$148)*'Model Data Inputs'!$B$149)</f>
        <v>1.083</v>
      </c>
      <c r="AF47" s="202">
        <f>IF($G47="F",0,($O47/'Model Data Inputs'!$B$150)*'Model Data Inputs'!$B$151)</f>
        <v>0.44084256666666666</v>
      </c>
      <c r="AG47" s="202">
        <f>IF($G47="F",0,(($Q47*$T47)/'Model Data Inputs'!$B$152)*'Model Data Inputs'!$B$153)</f>
        <v>0.56848406821399622</v>
      </c>
      <c r="AH47" s="202">
        <f t="shared" si="4"/>
        <v>0.79808165872016557</v>
      </c>
      <c r="AI47" s="203">
        <f>IF(OR($G47="F",$F47="M",$F47="H"),0,($AH47*'Model Data Inputs'!$B$154)-$AH47)</f>
        <v>-0.15961633174403311</v>
      </c>
      <c r="AJ47" s="202">
        <f>IF(OR($G47="F",$F47="E",$F47="H"),0,($AH47*'Model Data Inputs'!$B$155)-$AH47)</f>
        <v>0</v>
      </c>
      <c r="AK47" s="203">
        <f>IF(OR($G47="F",$F47="E",$F47="M"),0,($AH47*'Model Data Inputs'!$B$156)-$AH47)</f>
        <v>0</v>
      </c>
      <c r="AL47" s="203">
        <f>IF($G47="F",0,IF($M47&lt;'Model Data Inputs'!$B$158,$AH47*('Model Data Inputs'!$B$159-1),0))</f>
        <v>0</v>
      </c>
      <c r="AM47" s="202">
        <f>IF($G47="F",0,IF($M47&gt;'Model Data Inputs'!$B$160,$AH47*('Model Data Inputs'!$B$161-1),0))</f>
        <v>7.9808165872016626E-2</v>
      </c>
      <c r="AN47" s="202">
        <f>IF($G47="F",0,IF($P47&lt;'Model Data Inputs'!$B$162,SUM($AH47,$AI47,$AJ47,$AK47,$AL47,$AM47)*('Model Data Inputs'!$B$163-1),0))</f>
        <v>0</v>
      </c>
      <c r="AO47" s="202">
        <f t="shared" si="5"/>
        <v>0.71827349284814912</v>
      </c>
      <c r="AP47" s="204">
        <f>$K47*'Model Data Inputs'!$B$166</f>
        <v>36280.5</v>
      </c>
      <c r="AQ47" s="204">
        <f>($K47*'Model Data Inputs'!$B$145)*'Model Data Inputs'!$B$166</f>
        <v>3628.05</v>
      </c>
      <c r="AR47" s="50">
        <f t="shared" si="6"/>
        <v>39908.550000000003</v>
      </c>
    </row>
    <row r="48" spans="1:44" x14ac:dyDescent="0.2">
      <c r="A48" s="227" t="str">
        <f>'School Level Inst. Resources'!A48</f>
        <v>0301000</v>
      </c>
      <c r="B48" s="227" t="str">
        <f>'School Level Inst. Resources'!B48</f>
        <v>Campbell #1</v>
      </c>
      <c r="C48" s="227" t="str">
        <f>'School Level Inst. Resources'!C48</f>
        <v>0301021</v>
      </c>
      <c r="D48" s="227" t="str">
        <f>'School Level Inst. Resources'!D48</f>
        <v>Paintbrush Elementary</v>
      </c>
      <c r="E48" s="228" t="str">
        <f>'School Level Inst. Resources'!E48</f>
        <v>K-6</v>
      </c>
      <c r="F48" s="229" t="str">
        <f>'School Level Inst. Resources'!H48</f>
        <v>E</v>
      </c>
      <c r="G48" s="229" t="s">
        <v>1158</v>
      </c>
      <c r="H48" s="207">
        <v>60911</v>
      </c>
      <c r="I48" s="207">
        <f>IF('SFD Allowable GSF Calculation'!$D$2=1,'SFD Allowable GSF Calculation'!$P48,'SFD Allowable GSF Calculation'!$X48)</f>
        <v>52722</v>
      </c>
      <c r="J48" s="194">
        <f>$I48*'Model Data Inputs'!$B$165</f>
        <v>60630.299999999996</v>
      </c>
      <c r="K48" s="194">
        <f>IF($L48&gt;='Model Data Inputs'!$B$164,$H48,MIN($H48,$J48))</f>
        <v>60630.299999999996</v>
      </c>
      <c r="L48" s="208">
        <v>1980</v>
      </c>
      <c r="M48" s="196">
        <f>IF($L48&gt;0,'Model Data Inputs'!$B$157-$L48,"")</f>
        <v>37</v>
      </c>
      <c r="N48" s="209">
        <v>38</v>
      </c>
      <c r="O48" s="198">
        <f>'School Level Inst. Resources'!$L48</f>
        <v>383.15266666666662</v>
      </c>
      <c r="P48" s="198">
        <f>IF($G48="T",SUMIFS('School Level ADM'!$S$5:$S$359,'School Level ADM'!$A$5:$A$359,$A48),0)</f>
        <v>8676.6579999999994</v>
      </c>
      <c r="Q48" s="199">
        <f t="shared" si="7"/>
        <v>4.4159014526868136E-2</v>
      </c>
      <c r="R48" s="200">
        <f>SUM((('School Level Inst. Resources'!I48/'Model Data Inputs'!$B$8)*(1+'Model Data Inputs'!$B$9)),(SUM('School Level Inst. Resources'!J48:K48)/'Model Data Inputs'!$C$8)*(1+'Model Data Inputs'!$C$9),'School Level Inst. Resources'!K48/400)</f>
        <v>25.543511111111108</v>
      </c>
      <c r="S48" s="200">
        <f t="shared" si="1"/>
        <v>25.543511111111108</v>
      </c>
      <c r="T48" s="201">
        <f>IF($G48="T",VLOOKUP($A48,'Total O &amp; M Resources'!$A$5:$K$52,3),0)</f>
        <v>60606522.549999997</v>
      </c>
      <c r="U48" s="202">
        <f>IF($G48="F",0,$S48/'Model Data Inputs'!$B$140)</f>
        <v>1.9648854700854699</v>
      </c>
      <c r="V48" s="202">
        <f>IF($G48="F",0,$O48/'Model Data Inputs'!$B$141)</f>
        <v>1.1789312820512818</v>
      </c>
      <c r="W48" s="202">
        <f>IF($G48="F",0,$N48/'Model Data Inputs'!$B$142)</f>
        <v>2.9230769230769229</v>
      </c>
      <c r="X48" s="202">
        <f>IF($G48="F",0,$K48/'Model Data Inputs'!$B$143)</f>
        <v>3.36835</v>
      </c>
      <c r="Y48" s="202">
        <f t="shared" si="2"/>
        <v>2.3588109188034188</v>
      </c>
      <c r="Z48" s="202">
        <f>IF(OR($G48="F",$F48="E"),0,'Model Data Inputs'!$B$144)</f>
        <v>0</v>
      </c>
      <c r="AA48" s="202">
        <f>IF(AND($O48&lt;='Model Data Inputs'!$B$139,$F48="E"),0,IF(AND($O48&lt;='Model Data Inputs'!$B$139,$F48="M"),0,IF(AND($O48&lt;='Model Data Inputs'!$B$139,$F48="H"),0,IF(SUM($Y48:$Z48)&lt;1,1,SUM($Y48:$Z48)))))</f>
        <v>2.3588109188034188</v>
      </c>
      <c r="AB48" s="202">
        <f>($K48/'Model Data Inputs'!$B$143)*'Model Data Inputs'!$B$145</f>
        <v>0.336835</v>
      </c>
      <c r="AC48" s="202">
        <f t="shared" si="3"/>
        <v>2.695645918803419</v>
      </c>
      <c r="AD48" s="202">
        <f>IF($G48="F",0,'Model Data Inputs'!$B$147)</f>
        <v>1.1000000000000001</v>
      </c>
      <c r="AE48" s="202">
        <f>IF($G48="F",0,($K48/'Model Data Inputs'!$B$148)*'Model Data Inputs'!$B$149)</f>
        <v>1.2126059999999999</v>
      </c>
      <c r="AF48" s="202">
        <f>IF($G48="F",0,($O48/'Model Data Inputs'!$B$150)*'Model Data Inputs'!$B$151)</f>
        <v>0.49809846666666663</v>
      </c>
      <c r="AG48" s="202">
        <f>IF($G48="F",0,(($Q48*$T48)/'Model Data Inputs'!$B$152)*'Model Data Inputs'!$B$153)</f>
        <v>0.64231783433001866</v>
      </c>
      <c r="AH48" s="202">
        <f t="shared" si="4"/>
        <v>0.86325557524917129</v>
      </c>
      <c r="AI48" s="203">
        <f>IF(OR($G48="F",$F48="M",$F48="H"),0,($AH48*'Model Data Inputs'!$B$154)-$AH48)</f>
        <v>-0.17265111504983421</v>
      </c>
      <c r="AJ48" s="202">
        <f>IF(OR($G48="F",$F48="E",$F48="H"),0,($AH48*'Model Data Inputs'!$B$155)-$AH48)</f>
        <v>0</v>
      </c>
      <c r="AK48" s="203">
        <f>IF(OR($G48="F",$F48="E",$F48="M"),0,($AH48*'Model Data Inputs'!$B$156)-$AH48)</f>
        <v>0</v>
      </c>
      <c r="AL48" s="203">
        <f>IF($G48="F",0,IF($M48&lt;'Model Data Inputs'!$B$158,$AH48*('Model Data Inputs'!$B$159-1),0))</f>
        <v>0</v>
      </c>
      <c r="AM48" s="202">
        <f>IF($G48="F",0,IF($M48&gt;'Model Data Inputs'!$B$160,$AH48*('Model Data Inputs'!$B$161-1),0))</f>
        <v>8.6325557524917204E-2</v>
      </c>
      <c r="AN48" s="202">
        <f>IF($G48="F",0,IF($P48&lt;'Model Data Inputs'!$B$162,SUM($AH48,$AI48,$AJ48,$AK48,$AL48,$AM48)*('Model Data Inputs'!$B$163-1),0))</f>
        <v>0</v>
      </c>
      <c r="AO48" s="202">
        <f t="shared" si="5"/>
        <v>0.7769300177242543</v>
      </c>
      <c r="AP48" s="204">
        <f>$K48*'Model Data Inputs'!$B$166</f>
        <v>40622.300999999999</v>
      </c>
      <c r="AQ48" s="204">
        <f>($K48*'Model Data Inputs'!$B$145)*'Model Data Inputs'!$B$166</f>
        <v>4062.2301000000002</v>
      </c>
      <c r="AR48" s="50">
        <f t="shared" si="6"/>
        <v>44684.5311</v>
      </c>
    </row>
    <row r="49" spans="1:44" x14ac:dyDescent="0.2">
      <c r="A49" s="227" t="str">
        <f>'School Level Inst. Resources'!A49</f>
        <v>0301000</v>
      </c>
      <c r="B49" s="227" t="str">
        <f>'School Level Inst. Resources'!B49</f>
        <v>Campbell #1</v>
      </c>
      <c r="C49" s="227" t="str">
        <f>'School Level Inst. Resources'!C49</f>
        <v>0301022</v>
      </c>
      <c r="D49" s="227" t="str">
        <f>'School Level Inst. Resources'!D49</f>
        <v>Conestoga Elementary</v>
      </c>
      <c r="E49" s="228" t="str">
        <f>'School Level Inst. Resources'!E49</f>
        <v>K-6</v>
      </c>
      <c r="F49" s="229" t="str">
        <f>'School Level Inst. Resources'!H49</f>
        <v>E</v>
      </c>
      <c r="G49" s="229" t="s">
        <v>1158</v>
      </c>
      <c r="H49" s="207">
        <v>56149</v>
      </c>
      <c r="I49" s="207">
        <f>IF('SFD Allowable GSF Calculation'!$D$2=1,'SFD Allowable GSF Calculation'!$P49,'SFD Allowable GSF Calculation'!$X49)</f>
        <v>55560</v>
      </c>
      <c r="J49" s="194">
        <f>$I49*'Model Data Inputs'!$B$165</f>
        <v>63893.999999999993</v>
      </c>
      <c r="K49" s="194">
        <f>IF($L49&gt;='Model Data Inputs'!$B$164,$H49,MIN($H49,$J49))</f>
        <v>56149</v>
      </c>
      <c r="L49" s="208">
        <v>1982</v>
      </c>
      <c r="M49" s="196">
        <f>IF($L49&gt;0,'Model Data Inputs'!$B$157-$L49,"")</f>
        <v>35</v>
      </c>
      <c r="N49" s="209">
        <v>33</v>
      </c>
      <c r="O49" s="198">
        <f>'School Level Inst. Resources'!$L49</f>
        <v>400.81533333333329</v>
      </c>
      <c r="P49" s="198">
        <f>IF($G49="T",SUMIFS('School Level ADM'!$S$5:$S$359,'School Level ADM'!$A$5:$A$359,$A49),0)</f>
        <v>8676.6579999999994</v>
      </c>
      <c r="Q49" s="199">
        <f t="shared" si="7"/>
        <v>4.6194667731900153E-2</v>
      </c>
      <c r="R49" s="200">
        <f>SUM((('School Level Inst. Resources'!I49/'Model Data Inputs'!$B$8)*(1+'Model Data Inputs'!$B$9)),(SUM('School Level Inst. Resources'!J49:K49)/'Model Data Inputs'!$C$8)*(1+'Model Data Inputs'!$C$9),'School Level Inst. Resources'!K49/400)</f>
        <v>26.721022222222217</v>
      </c>
      <c r="S49" s="200">
        <f t="shared" si="1"/>
        <v>26.721022222222217</v>
      </c>
      <c r="T49" s="201">
        <f>IF($G49="T",VLOOKUP($A49,'Total O &amp; M Resources'!$A$5:$K$52,3),0)</f>
        <v>60606522.549999997</v>
      </c>
      <c r="U49" s="202">
        <f>IF($G49="F",0,$S49/'Model Data Inputs'!$B$140)</f>
        <v>2.0554632478632473</v>
      </c>
      <c r="V49" s="202">
        <f>IF($G49="F",0,$O49/'Model Data Inputs'!$B$141)</f>
        <v>1.2332779487179486</v>
      </c>
      <c r="W49" s="202">
        <f>IF($G49="F",0,$N49/'Model Data Inputs'!$B$142)</f>
        <v>2.5384615384615383</v>
      </c>
      <c r="X49" s="202">
        <f>IF($G49="F",0,$K49/'Model Data Inputs'!$B$143)</f>
        <v>3.119388888888889</v>
      </c>
      <c r="Y49" s="202">
        <f t="shared" si="2"/>
        <v>2.2366479059829056</v>
      </c>
      <c r="Z49" s="202">
        <f>IF(OR($G49="F",$F49="E"),0,'Model Data Inputs'!$B$144)</f>
        <v>0</v>
      </c>
      <c r="AA49" s="202">
        <f>IF(AND($O49&lt;='Model Data Inputs'!$B$139,$F49="E"),0,IF(AND($O49&lt;='Model Data Inputs'!$B$139,$F49="M"),0,IF(AND($O49&lt;='Model Data Inputs'!$B$139,$F49="H"),0,IF(SUM($Y49:$Z49)&lt;1,1,SUM($Y49:$Z49)))))</f>
        <v>2.2366479059829056</v>
      </c>
      <c r="AB49" s="202">
        <f>($K49/'Model Data Inputs'!$B$143)*'Model Data Inputs'!$B$145</f>
        <v>0.31193888888888893</v>
      </c>
      <c r="AC49" s="202">
        <f t="shared" si="3"/>
        <v>2.5485867948717944</v>
      </c>
      <c r="AD49" s="202">
        <f>IF($G49="F",0,'Model Data Inputs'!$B$147)</f>
        <v>1.1000000000000001</v>
      </c>
      <c r="AE49" s="202">
        <f>IF($G49="F",0,($K49/'Model Data Inputs'!$B$148)*'Model Data Inputs'!$B$149)</f>
        <v>1.1229799999999999</v>
      </c>
      <c r="AF49" s="202">
        <f>IF($G49="F",0,($O49/'Model Data Inputs'!$B$150)*'Model Data Inputs'!$B$151)</f>
        <v>0.52105993333333334</v>
      </c>
      <c r="AG49" s="202">
        <f>IF($G49="F",0,(($Q49*$T49)/'Model Data Inputs'!$B$152)*'Model Data Inputs'!$B$153)</f>
        <v>0.67192756117995944</v>
      </c>
      <c r="AH49" s="202">
        <f t="shared" si="4"/>
        <v>0.85399187362832318</v>
      </c>
      <c r="AI49" s="203">
        <f>IF(OR($G49="F",$F49="M",$F49="H"),0,($AH49*'Model Data Inputs'!$B$154)-$AH49)</f>
        <v>-0.17079837472566461</v>
      </c>
      <c r="AJ49" s="202">
        <f>IF(OR($G49="F",$F49="E",$F49="H"),0,($AH49*'Model Data Inputs'!$B$155)-$AH49)</f>
        <v>0</v>
      </c>
      <c r="AK49" s="203">
        <f>IF(OR($G49="F",$F49="E",$F49="M"),0,($AH49*'Model Data Inputs'!$B$156)-$AH49)</f>
        <v>0</v>
      </c>
      <c r="AL49" s="203">
        <f>IF($G49="F",0,IF($M49&lt;'Model Data Inputs'!$B$158,$AH49*('Model Data Inputs'!$B$159-1),0))</f>
        <v>0</v>
      </c>
      <c r="AM49" s="202">
        <f>IF($G49="F",0,IF($M49&gt;'Model Data Inputs'!$B$160,$AH49*('Model Data Inputs'!$B$161-1),0))</f>
        <v>8.5399187362832391E-2</v>
      </c>
      <c r="AN49" s="202">
        <f>IF($G49="F",0,IF($P49&lt;'Model Data Inputs'!$B$162,SUM($AH49,$AI49,$AJ49,$AK49,$AL49,$AM49)*('Model Data Inputs'!$B$163-1),0))</f>
        <v>0</v>
      </c>
      <c r="AO49" s="202">
        <f t="shared" si="5"/>
        <v>0.76859268626549093</v>
      </c>
      <c r="AP49" s="204">
        <f>$K49*'Model Data Inputs'!$B$166</f>
        <v>37619.83</v>
      </c>
      <c r="AQ49" s="204">
        <f>($K49*'Model Data Inputs'!$B$145)*'Model Data Inputs'!$B$166</f>
        <v>3761.9830000000006</v>
      </c>
      <c r="AR49" s="50">
        <f t="shared" si="6"/>
        <v>41381.813000000002</v>
      </c>
    </row>
    <row r="50" spans="1:44" x14ac:dyDescent="0.2">
      <c r="A50" s="227" t="str">
        <f>'School Level Inst. Resources'!A50</f>
        <v>0301000</v>
      </c>
      <c r="B50" s="227" t="str">
        <f>'School Level Inst. Resources'!B50</f>
        <v>Campbell #1</v>
      </c>
      <c r="C50" s="227" t="str">
        <f>'School Level Inst. Resources'!C50</f>
        <v>0301023</v>
      </c>
      <c r="D50" s="227" t="str">
        <f>'School Level Inst. Resources'!D50</f>
        <v>Sunflower Elementary</v>
      </c>
      <c r="E50" s="228" t="str">
        <f>'School Level Inst. Resources'!E50</f>
        <v>K-6</v>
      </c>
      <c r="F50" s="229" t="str">
        <f>'School Level Inst. Resources'!H50</f>
        <v>E</v>
      </c>
      <c r="G50" s="229" t="s">
        <v>1158</v>
      </c>
      <c r="H50" s="207">
        <v>58303</v>
      </c>
      <c r="I50" s="207">
        <f>IF('SFD Allowable GSF Calculation'!$D$2=1,'SFD Allowable GSF Calculation'!$P50,'SFD Allowable GSF Calculation'!$X50)</f>
        <v>53639</v>
      </c>
      <c r="J50" s="194">
        <f>$I50*'Model Data Inputs'!$B$165</f>
        <v>61684.85</v>
      </c>
      <c r="K50" s="194">
        <f>IF($L50&gt;='Model Data Inputs'!$B$164,$H50,MIN($H50,$J50))</f>
        <v>58303</v>
      </c>
      <c r="L50" s="208">
        <v>1983</v>
      </c>
      <c r="M50" s="196">
        <f>IF($L50&gt;0,'Model Data Inputs'!$B$157-$L50,"")</f>
        <v>34</v>
      </c>
      <c r="N50" s="209">
        <v>35</v>
      </c>
      <c r="O50" s="198">
        <f>'School Level Inst. Resources'!$L50</f>
        <v>388.55266666666665</v>
      </c>
      <c r="P50" s="198">
        <f>IF($G50="T",SUMIFS('School Level ADM'!$S$5:$S$359,'School Level ADM'!$A$5:$A$359,$A50),0)</f>
        <v>8676.6579999999994</v>
      </c>
      <c r="Q50" s="199">
        <f t="shared" si="7"/>
        <v>4.4781373965260204E-2</v>
      </c>
      <c r="R50" s="200">
        <f>SUM((('School Level Inst. Resources'!I50/'Model Data Inputs'!$B$8)*(1+'Model Data Inputs'!$B$9)),(SUM('School Level Inst. Resources'!J50:K50)/'Model Data Inputs'!$C$8)*(1+'Model Data Inputs'!$C$9),'School Level Inst. Resources'!K50/400)</f>
        <v>25.903511111111108</v>
      </c>
      <c r="S50" s="200">
        <f t="shared" si="1"/>
        <v>25.903511111111108</v>
      </c>
      <c r="T50" s="201">
        <f>IF($G50="T",VLOOKUP($A50,'Total O &amp; M Resources'!$A$5:$K$52,3),0)</f>
        <v>60606522.549999997</v>
      </c>
      <c r="U50" s="202">
        <f>IF($G50="F",0,$S50/'Model Data Inputs'!$B$140)</f>
        <v>1.9925777777777776</v>
      </c>
      <c r="V50" s="202">
        <f>IF($G50="F",0,$O50/'Model Data Inputs'!$B$141)</f>
        <v>1.1955466666666665</v>
      </c>
      <c r="W50" s="202">
        <f>IF($G50="F",0,$N50/'Model Data Inputs'!$B$142)</f>
        <v>2.6923076923076925</v>
      </c>
      <c r="X50" s="202">
        <f>IF($G50="F",0,$K50/'Model Data Inputs'!$B$143)</f>
        <v>3.2390555555555554</v>
      </c>
      <c r="Y50" s="202">
        <f t="shared" si="2"/>
        <v>2.2798719230769229</v>
      </c>
      <c r="Z50" s="202">
        <f>IF(OR($G50="F",$F50="E"),0,'Model Data Inputs'!$B$144)</f>
        <v>0</v>
      </c>
      <c r="AA50" s="202">
        <f>IF(AND($O50&lt;='Model Data Inputs'!$B$139,$F50="E"),0,IF(AND($O50&lt;='Model Data Inputs'!$B$139,$F50="M"),0,IF(AND($O50&lt;='Model Data Inputs'!$B$139,$F50="H"),0,IF(SUM($Y50:$Z50)&lt;1,1,SUM($Y50:$Z50)))))</f>
        <v>2.2798719230769229</v>
      </c>
      <c r="AB50" s="202">
        <f>($K50/'Model Data Inputs'!$B$143)*'Model Data Inputs'!$B$145</f>
        <v>0.32390555555555556</v>
      </c>
      <c r="AC50" s="202">
        <f t="shared" si="3"/>
        <v>2.6037774786324785</v>
      </c>
      <c r="AD50" s="202">
        <f>IF($G50="F",0,'Model Data Inputs'!$B$147)</f>
        <v>1.1000000000000001</v>
      </c>
      <c r="AE50" s="202">
        <f>IF($G50="F",0,($K50/'Model Data Inputs'!$B$148)*'Model Data Inputs'!$B$149)</f>
        <v>1.1660599999999999</v>
      </c>
      <c r="AF50" s="202">
        <f>IF($G50="F",0,($O50/'Model Data Inputs'!$B$150)*'Model Data Inputs'!$B$151)</f>
        <v>0.50511846666666671</v>
      </c>
      <c r="AG50" s="202">
        <f>IF($G50="F",0,(($Q50*$T50)/'Model Data Inputs'!$B$152)*'Model Data Inputs'!$B$153)</f>
        <v>0.65137040425092607</v>
      </c>
      <c r="AH50" s="202">
        <f t="shared" si="4"/>
        <v>0.85563721772939816</v>
      </c>
      <c r="AI50" s="203">
        <f>IF(OR($G50="F",$F50="M",$F50="H"),0,($AH50*'Model Data Inputs'!$B$154)-$AH50)</f>
        <v>-0.17112744354587961</v>
      </c>
      <c r="AJ50" s="202">
        <f>IF(OR($G50="F",$F50="E",$F50="H"),0,($AH50*'Model Data Inputs'!$B$155)-$AH50)</f>
        <v>0</v>
      </c>
      <c r="AK50" s="203">
        <f>IF(OR($G50="F",$F50="E",$F50="M"),0,($AH50*'Model Data Inputs'!$B$156)-$AH50)</f>
        <v>0</v>
      </c>
      <c r="AL50" s="203">
        <f>IF($G50="F",0,IF($M50&lt;'Model Data Inputs'!$B$158,$AH50*('Model Data Inputs'!$B$159-1),0))</f>
        <v>0</v>
      </c>
      <c r="AM50" s="202">
        <f>IF($G50="F",0,IF($M50&gt;'Model Data Inputs'!$B$160,$AH50*('Model Data Inputs'!$B$161-1),0))</f>
        <v>8.5563721772939888E-2</v>
      </c>
      <c r="AN50" s="202">
        <f>IF($G50="F",0,IF($P50&lt;'Model Data Inputs'!$B$162,SUM($AH50,$AI50,$AJ50,$AK50,$AL50,$AM50)*('Model Data Inputs'!$B$163-1),0))</f>
        <v>0</v>
      </c>
      <c r="AO50" s="202">
        <f t="shared" si="5"/>
        <v>0.77007349595645846</v>
      </c>
      <c r="AP50" s="204">
        <f>$K50*'Model Data Inputs'!$B$166</f>
        <v>39063.01</v>
      </c>
      <c r="AQ50" s="204">
        <f>($K50*'Model Data Inputs'!$B$145)*'Model Data Inputs'!$B$166</f>
        <v>3906.3010000000004</v>
      </c>
      <c r="AR50" s="50">
        <f t="shared" si="6"/>
        <v>42969.311000000002</v>
      </c>
    </row>
    <row r="51" spans="1:44" x14ac:dyDescent="0.2">
      <c r="A51" s="227" t="str">
        <f>'School Level Inst. Resources'!A51</f>
        <v>0301000</v>
      </c>
      <c r="B51" s="227" t="str">
        <f>'School Level Inst. Resources'!B51</f>
        <v>Campbell #1</v>
      </c>
      <c r="C51" s="227" t="str">
        <f>'School Level Inst. Resources'!C51</f>
        <v>0301024</v>
      </c>
      <c r="D51" s="227" t="str">
        <f>'School Level Inst. Resources'!D51</f>
        <v>Pronghorn Elementary</v>
      </c>
      <c r="E51" s="228" t="str">
        <f>'School Level Inst. Resources'!E51</f>
        <v>K-6</v>
      </c>
      <c r="F51" s="229" t="str">
        <f>'School Level Inst. Resources'!H51</f>
        <v>E</v>
      </c>
      <c r="G51" s="229" t="s">
        <v>1158</v>
      </c>
      <c r="H51" s="207">
        <v>65289</v>
      </c>
      <c r="I51" s="207">
        <f>IF('SFD Allowable GSF Calculation'!$D$2=1,'SFD Allowable GSF Calculation'!$P51,'SFD Allowable GSF Calculation'!$X51)</f>
        <v>57264</v>
      </c>
      <c r="J51" s="194">
        <f>$I51*'Model Data Inputs'!$B$165</f>
        <v>65853.599999999991</v>
      </c>
      <c r="K51" s="194">
        <f>IF($L51&gt;='Model Data Inputs'!$B$164,$H51,MIN($H51,$J51))</f>
        <v>65289</v>
      </c>
      <c r="L51" s="208">
        <v>1993</v>
      </c>
      <c r="M51" s="196">
        <f>IF($L51&gt;0,'Model Data Inputs'!$B$157-$L51,"")</f>
        <v>24</v>
      </c>
      <c r="N51" s="209">
        <v>35</v>
      </c>
      <c r="O51" s="198">
        <f>'School Level Inst. Resources'!$L51</f>
        <v>435.98066666666671</v>
      </c>
      <c r="P51" s="198">
        <f>IF($G51="T",SUMIFS('School Level ADM'!$S$5:$S$359,'School Level ADM'!$A$5:$A$359,$A51),0)</f>
        <v>8676.6579999999994</v>
      </c>
      <c r="Q51" s="199">
        <f t="shared" si="7"/>
        <v>5.0247533862308132E-2</v>
      </c>
      <c r="R51" s="200">
        <f>SUM((('School Level Inst. Resources'!I51/'Model Data Inputs'!$B$8)*(1+'Model Data Inputs'!$B$9)),(SUM('School Level Inst. Resources'!J51:K51)/'Model Data Inputs'!$C$8)*(1+'Model Data Inputs'!$C$9),'School Level Inst. Resources'!K51/400)</f>
        <v>29.065377777777776</v>
      </c>
      <c r="S51" s="200">
        <f t="shared" si="1"/>
        <v>29.065377777777776</v>
      </c>
      <c r="T51" s="201">
        <f>IF($G51="T",VLOOKUP($A51,'Total O &amp; M Resources'!$A$5:$K$52,3),0)</f>
        <v>60606522.549999997</v>
      </c>
      <c r="U51" s="202">
        <f>IF($G51="F",0,$S51/'Model Data Inputs'!$B$140)</f>
        <v>2.2357982905982903</v>
      </c>
      <c r="V51" s="202">
        <f>IF($G51="F",0,$O51/'Model Data Inputs'!$B$141)</f>
        <v>1.3414789743589746</v>
      </c>
      <c r="W51" s="202">
        <f>IF($G51="F",0,$N51/'Model Data Inputs'!$B$142)</f>
        <v>2.6923076923076925</v>
      </c>
      <c r="X51" s="202">
        <f>IF($G51="F",0,$K51/'Model Data Inputs'!$B$143)</f>
        <v>3.6271666666666667</v>
      </c>
      <c r="Y51" s="202">
        <f t="shared" si="2"/>
        <v>2.4741879059829062</v>
      </c>
      <c r="Z51" s="202">
        <f>IF(OR($G51="F",$F51="E"),0,'Model Data Inputs'!$B$144)</f>
        <v>0</v>
      </c>
      <c r="AA51" s="202">
        <f>IF(AND($O51&lt;='Model Data Inputs'!$B$139,$F51="E"),0,IF(AND($O51&lt;='Model Data Inputs'!$B$139,$F51="M"),0,IF(AND($O51&lt;='Model Data Inputs'!$B$139,$F51="H"),0,IF(SUM($Y51:$Z51)&lt;1,1,SUM($Y51:$Z51)))))</f>
        <v>2.4741879059829062</v>
      </c>
      <c r="AB51" s="202">
        <f>($K51/'Model Data Inputs'!$B$143)*'Model Data Inputs'!$B$145</f>
        <v>0.36271666666666669</v>
      </c>
      <c r="AC51" s="202">
        <f t="shared" si="3"/>
        <v>2.8369045726495727</v>
      </c>
      <c r="AD51" s="202">
        <f>IF($G51="F",0,'Model Data Inputs'!$B$147)</f>
        <v>1.1000000000000001</v>
      </c>
      <c r="AE51" s="202">
        <f>IF($G51="F",0,($K51/'Model Data Inputs'!$B$148)*'Model Data Inputs'!$B$149)</f>
        <v>1.3057799999999999</v>
      </c>
      <c r="AF51" s="202">
        <f>IF($G51="F",0,($O51/'Model Data Inputs'!$B$150)*'Model Data Inputs'!$B$151)</f>
        <v>0.56677486666666665</v>
      </c>
      <c r="AG51" s="202">
        <f>IF($G51="F",0,(($Q51*$T51)/'Model Data Inputs'!$B$152)*'Model Data Inputs'!$B$153)</f>
        <v>0.73087879058588778</v>
      </c>
      <c r="AH51" s="202">
        <f t="shared" si="4"/>
        <v>0.92585841431313853</v>
      </c>
      <c r="AI51" s="203">
        <f>IF(OR($G51="F",$F51="M",$F51="H"),0,($AH51*'Model Data Inputs'!$B$154)-$AH51)</f>
        <v>-0.18517168286262764</v>
      </c>
      <c r="AJ51" s="202">
        <f>IF(OR($G51="F",$F51="E",$F51="H"),0,($AH51*'Model Data Inputs'!$B$155)-$AH51)</f>
        <v>0</v>
      </c>
      <c r="AK51" s="203">
        <f>IF(OR($G51="F",$F51="E",$F51="M"),0,($AH51*'Model Data Inputs'!$B$156)-$AH51)</f>
        <v>0</v>
      </c>
      <c r="AL51" s="203">
        <f>IF($G51="F",0,IF($M51&lt;'Model Data Inputs'!$B$158,$AH51*('Model Data Inputs'!$B$159-1),0))</f>
        <v>0</v>
      </c>
      <c r="AM51" s="202">
        <f>IF($G51="F",0,IF($M51&gt;'Model Data Inputs'!$B$160,$AH51*('Model Data Inputs'!$B$161-1),0))</f>
        <v>0</v>
      </c>
      <c r="AN51" s="202">
        <f>IF($G51="F",0,IF($P51&lt;'Model Data Inputs'!$B$162,SUM($AH51,$AI51,$AJ51,$AK51,$AL51,$AM51)*('Model Data Inputs'!$B$163-1),0))</f>
        <v>0</v>
      </c>
      <c r="AO51" s="202">
        <f t="shared" si="5"/>
        <v>0.74068673145051089</v>
      </c>
      <c r="AP51" s="204">
        <f>$K51*'Model Data Inputs'!$B$166</f>
        <v>43743.630000000005</v>
      </c>
      <c r="AQ51" s="204">
        <f>($K51*'Model Data Inputs'!$B$145)*'Model Data Inputs'!$B$166</f>
        <v>4374.3630000000003</v>
      </c>
      <c r="AR51" s="50">
        <f t="shared" si="6"/>
        <v>48117.993000000002</v>
      </c>
    </row>
    <row r="52" spans="1:44" x14ac:dyDescent="0.2">
      <c r="A52" s="227" t="str">
        <f>'School Level Inst. Resources'!A52</f>
        <v>0301000</v>
      </c>
      <c r="B52" s="227" t="str">
        <f>'School Level Inst. Resources'!B52</f>
        <v>Campbell #1</v>
      </c>
      <c r="C52" s="227" t="str">
        <f>'School Level Inst. Resources'!C52</f>
        <v>0301025</v>
      </c>
      <c r="D52" s="227" t="str">
        <f>'School Level Inst. Resources'!D52</f>
        <v>Buffalo Ridge Elementary</v>
      </c>
      <c r="E52" s="228" t="str">
        <f>'School Level Inst. Resources'!E52</f>
        <v>K-6</v>
      </c>
      <c r="F52" s="229" t="str">
        <f>'School Level Inst. Resources'!H52</f>
        <v>E</v>
      </c>
      <c r="G52" s="229" t="s">
        <v>1158</v>
      </c>
      <c r="H52" s="207">
        <v>69168</v>
      </c>
      <c r="I52" s="207">
        <f>IF('SFD Allowable GSF Calculation'!$D$2=1,'SFD Allowable GSF Calculation'!$P52,'SFD Allowable GSF Calculation'!$X52)</f>
        <v>57759</v>
      </c>
      <c r="J52" s="194">
        <f>$I52*'Model Data Inputs'!$B$165</f>
        <v>66422.849999999991</v>
      </c>
      <c r="K52" s="194">
        <f>IF($L52&gt;='Model Data Inputs'!$B$164,$H52,MIN($H52,$J52))</f>
        <v>69168</v>
      </c>
      <c r="L52" s="208">
        <v>2012</v>
      </c>
      <c r="M52" s="196">
        <f>IF($L52&gt;0,'Model Data Inputs'!$B$157-$L52,"")</f>
        <v>5</v>
      </c>
      <c r="N52" s="209">
        <v>40</v>
      </c>
      <c r="O52" s="198">
        <f>'School Level Inst. Resources'!$L52</f>
        <v>440.952</v>
      </c>
      <c r="P52" s="198">
        <f>IF($G52="T",SUMIFS('School Level ADM'!$S$5:$S$359,'School Level ADM'!$A$5:$A$359,$A52),0)</f>
        <v>8676.6579999999994</v>
      </c>
      <c r="Q52" s="199">
        <f t="shared" si="7"/>
        <v>5.0820488718121656E-2</v>
      </c>
      <c r="R52" s="200">
        <f>SUM((('School Level Inst. Resources'!I52/'Model Data Inputs'!$B$8)*(1+'Model Data Inputs'!$B$9)),(SUM('School Level Inst. Resources'!J52:K52)/'Model Data Inputs'!$C$8)*(1+'Model Data Inputs'!$C$9),'School Level Inst. Resources'!K52/400)</f>
        <v>29.396799999999999</v>
      </c>
      <c r="S52" s="200">
        <f t="shared" si="1"/>
        <v>29.396799999999999</v>
      </c>
      <c r="T52" s="201">
        <f>IF($G52="T",VLOOKUP($A52,'Total O &amp; M Resources'!$A$5:$K$52,3),0)</f>
        <v>60606522.549999997</v>
      </c>
      <c r="U52" s="202">
        <f>IF($G52="F",0,$S52/'Model Data Inputs'!$B$140)</f>
        <v>2.2612923076923077</v>
      </c>
      <c r="V52" s="202">
        <f>IF($G52="F",0,$O52/'Model Data Inputs'!$B$141)</f>
        <v>1.3567753846153847</v>
      </c>
      <c r="W52" s="202">
        <f>IF($G52="F",0,$N52/'Model Data Inputs'!$B$142)</f>
        <v>3.0769230769230771</v>
      </c>
      <c r="X52" s="202">
        <f>IF($G52="F",0,$K52/'Model Data Inputs'!$B$143)</f>
        <v>3.8426666666666667</v>
      </c>
      <c r="Y52" s="202">
        <f t="shared" si="2"/>
        <v>2.6344143589743592</v>
      </c>
      <c r="Z52" s="202">
        <f>IF(OR($G52="F",$F52="E"),0,'Model Data Inputs'!$B$144)</f>
        <v>0</v>
      </c>
      <c r="AA52" s="202">
        <f>IF(AND($O52&lt;='Model Data Inputs'!$B$139,$F52="E"),0,IF(AND($O52&lt;='Model Data Inputs'!$B$139,$F52="M"),0,IF(AND($O52&lt;='Model Data Inputs'!$B$139,$F52="H"),0,IF(SUM($Y52:$Z52)&lt;1,1,SUM($Y52:$Z52)))))</f>
        <v>2.6344143589743592</v>
      </c>
      <c r="AB52" s="202">
        <f>($K52/'Model Data Inputs'!$B$143)*'Model Data Inputs'!$B$145</f>
        <v>0.3842666666666667</v>
      </c>
      <c r="AC52" s="202">
        <f t="shared" si="3"/>
        <v>3.0186810256410257</v>
      </c>
      <c r="AD52" s="202">
        <f>IF($G52="F",0,'Model Data Inputs'!$B$147)</f>
        <v>1.1000000000000001</v>
      </c>
      <c r="AE52" s="202">
        <f>IF($G52="F",0,($K52/'Model Data Inputs'!$B$148)*'Model Data Inputs'!$B$149)</f>
        <v>1.3833599999999999</v>
      </c>
      <c r="AF52" s="202">
        <f>IF($G52="F",0,($O52/'Model Data Inputs'!$B$150)*'Model Data Inputs'!$B$151)</f>
        <v>0.57323760000000001</v>
      </c>
      <c r="AG52" s="202">
        <f>IF($G52="F",0,(($Q52*$T52)/'Model Data Inputs'!$B$152)*'Model Data Inputs'!$B$153)</f>
        <v>0.73921274291924655</v>
      </c>
      <c r="AH52" s="202">
        <f t="shared" si="4"/>
        <v>0.94895258572981178</v>
      </c>
      <c r="AI52" s="203">
        <f>IF(OR($G52="F",$F52="M",$F52="H"),0,($AH52*'Model Data Inputs'!$B$154)-$AH52)</f>
        <v>-0.18979051714596229</v>
      </c>
      <c r="AJ52" s="202">
        <f>IF(OR($G52="F",$F52="E",$F52="H"),0,($AH52*'Model Data Inputs'!$B$155)-$AH52)</f>
        <v>0</v>
      </c>
      <c r="AK52" s="203">
        <f>IF(OR($G52="F",$F52="E",$F52="M"),0,($AH52*'Model Data Inputs'!$B$156)-$AH52)</f>
        <v>0</v>
      </c>
      <c r="AL52" s="203">
        <f>IF($G52="F",0,IF($M52&lt;'Model Data Inputs'!$B$158,$AH52*('Model Data Inputs'!$B$159-1),0))</f>
        <v>-4.7447629286490628E-2</v>
      </c>
      <c r="AM52" s="202">
        <f>IF($G52="F",0,IF($M52&gt;'Model Data Inputs'!$B$160,$AH52*('Model Data Inputs'!$B$161-1),0))</f>
        <v>0</v>
      </c>
      <c r="AN52" s="202">
        <f>IF($G52="F",0,IF($P52&lt;'Model Data Inputs'!$B$162,SUM($AH52,$AI52,$AJ52,$AK52,$AL52,$AM52)*('Model Data Inputs'!$B$163-1),0))</f>
        <v>0</v>
      </c>
      <c r="AO52" s="202">
        <f t="shared" si="5"/>
        <v>0.71171443929735889</v>
      </c>
      <c r="AP52" s="204">
        <f>$K52*'Model Data Inputs'!$B$166</f>
        <v>46342.560000000005</v>
      </c>
      <c r="AQ52" s="204">
        <f>($K52*'Model Data Inputs'!$B$145)*'Model Data Inputs'!$B$166</f>
        <v>4634.2560000000003</v>
      </c>
      <c r="AR52" s="50">
        <f t="shared" si="6"/>
        <v>50976.816000000006</v>
      </c>
    </row>
    <row r="53" spans="1:44" s="243" customFormat="1" x14ac:dyDescent="0.2">
      <c r="A53" s="227" t="str">
        <f>'School Level Inst. Resources'!A53</f>
        <v>0301000</v>
      </c>
      <c r="B53" s="227" t="str">
        <f>'School Level Inst. Resources'!B53</f>
        <v>Campbell #1</v>
      </c>
      <c r="C53" s="227" t="str">
        <f>'School Level Inst. Resources'!C53</f>
        <v>0301026</v>
      </c>
      <c r="D53" s="227" t="str">
        <f>'School Level Inst. Resources'!D53</f>
        <v>Stocktrail Elementary</v>
      </c>
      <c r="E53" s="228" t="str">
        <f>'School Level Inst. Resources'!E53</f>
        <v>P-6</v>
      </c>
      <c r="F53" s="229" t="str">
        <f>'School Level Inst. Resources'!H53</f>
        <v>E</v>
      </c>
      <c r="G53" s="229" t="s">
        <v>1158</v>
      </c>
      <c r="H53" s="207">
        <v>72183</v>
      </c>
      <c r="I53" s="207">
        <f>IF('SFD Allowable GSF Calculation'!$D$2=1,'SFD Allowable GSF Calculation'!$P53,'SFD Allowable GSF Calculation'!$X53)</f>
        <v>37116</v>
      </c>
      <c r="J53" s="235">
        <f>$I53*'Model Data Inputs'!$B$165</f>
        <v>42683.399999999994</v>
      </c>
      <c r="K53" s="235">
        <f>IF($L53&gt;='Model Data Inputs'!$B$164,$H53,MIN($H53,$J53))</f>
        <v>72183</v>
      </c>
      <c r="L53" s="208">
        <v>2016</v>
      </c>
      <c r="M53" s="196">
        <f>IF($L53&gt;0,'Model Data Inputs'!$B$157-$L53,"")</f>
        <v>1</v>
      </c>
      <c r="N53" s="209">
        <v>40</v>
      </c>
      <c r="O53" s="236">
        <f>'School Level Inst. Resources'!$L53</f>
        <v>171.29766666666669</v>
      </c>
      <c r="P53" s="236">
        <f>IF($G53="T",SUMIFS('School Level ADM'!$S$5:$S$359,'School Level ADM'!$A$5:$A$359,$A53),0)</f>
        <v>8676.6579999999994</v>
      </c>
      <c r="Q53" s="237">
        <f t="shared" si="7"/>
        <v>1.9742355486025459E-2</v>
      </c>
      <c r="R53" s="238">
        <f>SUM((('School Level Inst. Resources'!I53/'Model Data Inputs'!$B$8)*(1+'Model Data Inputs'!$B$9)),(SUM('School Level Inst. Resources'!J53:K53)/'Model Data Inputs'!$C$8)*(1+'Model Data Inputs'!$C$9),'School Level Inst. Resources'!K53/400)</f>
        <v>11.419844444444445</v>
      </c>
      <c r="S53" s="238">
        <f t="shared" si="1"/>
        <v>11.419844444444445</v>
      </c>
      <c r="T53" s="239">
        <f>IF($G53="T",VLOOKUP($A53,'Total O &amp; M Resources'!$A$5:$K$52,3),0)</f>
        <v>60606522.549999997</v>
      </c>
      <c r="U53" s="240">
        <f>IF($G53="F",0,$S53/'Model Data Inputs'!$B$140)</f>
        <v>0.87844957264957269</v>
      </c>
      <c r="V53" s="240">
        <f>IF($G53="F",0,$O53/'Model Data Inputs'!$B$141)</f>
        <v>0.52706974358974368</v>
      </c>
      <c r="W53" s="240">
        <f>IF($G53="F",0,$N53/'Model Data Inputs'!$B$142)</f>
        <v>3.0769230769230771</v>
      </c>
      <c r="X53" s="240">
        <f>IF($G53="F",0,$K53/'Model Data Inputs'!$B$143)</f>
        <v>4.0101666666666667</v>
      </c>
      <c r="Y53" s="240">
        <f t="shared" si="2"/>
        <v>2.1231522649572652</v>
      </c>
      <c r="Z53" s="240">
        <f>IF(OR($G53="F",$F53="E"),0,'Model Data Inputs'!$B$144)</f>
        <v>0</v>
      </c>
      <c r="AA53" s="240">
        <f>IF(AND($O53&lt;='Model Data Inputs'!$B$139,$F53="E"),0,IF(AND($O53&lt;='Model Data Inputs'!$B$139,$F53="M"),0,IF(AND($O53&lt;='Model Data Inputs'!$B$139,$F53="H"),0,IF(SUM($Y53:$Z53)&lt;1,1,SUM($Y53:$Z53)))))</f>
        <v>2.1231522649572652</v>
      </c>
      <c r="AB53" s="240">
        <f>($K53/'Model Data Inputs'!$B$143)*'Model Data Inputs'!$B$145</f>
        <v>0.40101666666666669</v>
      </c>
      <c r="AC53" s="240">
        <f t="shared" si="3"/>
        <v>2.5241689316239317</v>
      </c>
      <c r="AD53" s="240">
        <f>IF($G53="F",0,'Model Data Inputs'!$B$147)</f>
        <v>1.1000000000000001</v>
      </c>
      <c r="AE53" s="240">
        <f>IF($G53="F",0,($K53/'Model Data Inputs'!$B$148)*'Model Data Inputs'!$B$149)</f>
        <v>1.4436599999999999</v>
      </c>
      <c r="AF53" s="240">
        <f>IF($G53="F",0,($O53/'Model Data Inputs'!$B$150)*'Model Data Inputs'!$B$151)</f>
        <v>0.22268696666666668</v>
      </c>
      <c r="AG53" s="240">
        <f>IF($G53="F",0,(($Q53*$T53)/'Model Data Inputs'!$B$152)*'Model Data Inputs'!$B$153)</f>
        <v>0.28716372310894034</v>
      </c>
      <c r="AH53" s="240">
        <f t="shared" si="4"/>
        <v>0.76337767244390176</v>
      </c>
      <c r="AI53" s="241">
        <f>IF(OR($G53="F",$F53="M",$F53="H"),0,($AH53*'Model Data Inputs'!$B$154)-$AH53)</f>
        <v>-0.15267553448878035</v>
      </c>
      <c r="AJ53" s="240">
        <f>IF(OR($G53="F",$F53="E",$F53="H"),0,($AH53*'Model Data Inputs'!$B$155)-$AH53)</f>
        <v>0</v>
      </c>
      <c r="AK53" s="241">
        <f>IF(OR($G53="F",$F53="E",$F53="M"),0,($AH53*'Model Data Inputs'!$B$156)-$AH53)</f>
        <v>0</v>
      </c>
      <c r="AL53" s="241">
        <f>IF($G53="F",0,IF($M53&lt;'Model Data Inputs'!$B$158,$AH53*('Model Data Inputs'!$B$159-1),0))</f>
        <v>-3.8168883622195122E-2</v>
      </c>
      <c r="AM53" s="240">
        <f>IF($G53="F",0,IF($M53&gt;'Model Data Inputs'!$B$160,$AH53*('Model Data Inputs'!$B$161-1),0))</f>
        <v>0</v>
      </c>
      <c r="AN53" s="240">
        <f>IF($G53="F",0,IF($P53&lt;'Model Data Inputs'!$B$162,SUM($AH53,$AI53,$AJ53,$AK53,$AL53,$AM53)*('Model Data Inputs'!$B$163-1),0))</f>
        <v>0</v>
      </c>
      <c r="AO53" s="240">
        <f t="shared" si="5"/>
        <v>0.57253325433292623</v>
      </c>
      <c r="AP53" s="242">
        <f>$K53*'Model Data Inputs'!$B$166</f>
        <v>48362.61</v>
      </c>
      <c r="AQ53" s="242">
        <f>($K53*'Model Data Inputs'!$B$145)*'Model Data Inputs'!$B$166</f>
        <v>4836.2610000000004</v>
      </c>
      <c r="AR53" s="52">
        <f t="shared" si="6"/>
        <v>53198.870999999999</v>
      </c>
    </row>
    <row r="54" spans="1:44" x14ac:dyDescent="0.2">
      <c r="A54" s="227" t="str">
        <f>'School Level Inst. Resources'!A54</f>
        <v>0301000</v>
      </c>
      <c r="B54" s="227" t="str">
        <f>'School Level Inst. Resources'!B54</f>
        <v>Campbell #1</v>
      </c>
      <c r="C54" s="227" t="str">
        <f>'School Level Inst. Resources'!C54</f>
        <v>0301050</v>
      </c>
      <c r="D54" s="227" t="str">
        <f>'School Level Inst. Resources'!D54</f>
        <v>Twin Spruce Junior High School</v>
      </c>
      <c r="E54" s="228" t="str">
        <f>'School Level Inst. Resources'!E54</f>
        <v>7-8</v>
      </c>
      <c r="F54" s="229" t="str">
        <f>'School Level Inst. Resources'!H54</f>
        <v>M</v>
      </c>
      <c r="G54" s="229" t="s">
        <v>1158</v>
      </c>
      <c r="H54" s="207">
        <v>196743</v>
      </c>
      <c r="I54" s="207">
        <f>IF('SFD Allowable GSF Calculation'!$D$2=1,'SFD Allowable GSF Calculation'!$P54,'SFD Allowable GSF Calculation'!$X54)</f>
        <v>89739</v>
      </c>
      <c r="J54" s="194">
        <f>$I54*'Model Data Inputs'!$B$165</f>
        <v>103199.84999999999</v>
      </c>
      <c r="K54" s="194">
        <f>IF($L54&gt;='Model Data Inputs'!$B$164,$H54,MIN($H54,$J54))</f>
        <v>103199.84999999999</v>
      </c>
      <c r="L54" s="208">
        <v>1925</v>
      </c>
      <c r="M54" s="196">
        <f>IF($L54&gt;0,'Model Data Inputs'!$B$157-$L54,"")</f>
        <v>92</v>
      </c>
      <c r="N54" s="209">
        <v>57</v>
      </c>
      <c r="O54" s="198">
        <f>'School Level Inst. Resources'!$L54</f>
        <v>583.08966666666663</v>
      </c>
      <c r="P54" s="198">
        <f>IF($G54="T",SUMIFS('School Level ADM'!$S$5:$S$359,'School Level ADM'!$A$5:$A$359,$A54),0)</f>
        <v>8676.6579999999994</v>
      </c>
      <c r="Q54" s="199">
        <f t="shared" si="7"/>
        <v>6.7202103236829971E-2</v>
      </c>
      <c r="R54" s="200">
        <f>SUM((('School Level Inst. Resources'!I54/'Model Data Inputs'!$B$8)*(1+'Model Data Inputs'!$B$9)),(SUM('School Level Inst. Resources'!J54:K54)/'Model Data Inputs'!$C$8)*(1+'Model Data Inputs'!$C$9),'School Level Inst. Resources'!K54/400)</f>
        <v>33.79384894202898</v>
      </c>
      <c r="S54" s="200">
        <f t="shared" si="1"/>
        <v>33.79384894202898</v>
      </c>
      <c r="T54" s="201">
        <f>IF($G54="T",VLOOKUP($A54,'Total O &amp; M Resources'!$A$5:$K$52,3),0)</f>
        <v>60606522.549999997</v>
      </c>
      <c r="U54" s="202">
        <f>IF($G54="F",0,$S54/'Model Data Inputs'!$B$140)</f>
        <v>2.5995268416945367</v>
      </c>
      <c r="V54" s="202">
        <f>IF($G54="F",0,$O54/'Model Data Inputs'!$B$141)</f>
        <v>1.7941220512820513</v>
      </c>
      <c r="W54" s="202">
        <f>IF($G54="F",0,$N54/'Model Data Inputs'!$B$142)</f>
        <v>4.384615384615385</v>
      </c>
      <c r="X54" s="202">
        <f>IF($G54="F",0,$K54/'Model Data Inputs'!$B$143)</f>
        <v>5.7333249999999998</v>
      </c>
      <c r="Y54" s="202">
        <f t="shared" si="2"/>
        <v>3.6278973193979933</v>
      </c>
      <c r="Z54" s="202">
        <f>IF(OR($G54="F",$F54="E"),0,'Model Data Inputs'!$B$144)</f>
        <v>0.5</v>
      </c>
      <c r="AA54" s="202">
        <f>IF(AND($O54&lt;='Model Data Inputs'!$B$139,$F54="E"),0,IF(AND($O54&lt;='Model Data Inputs'!$B$139,$F54="M"),0,IF(AND($O54&lt;='Model Data Inputs'!$B$139,$F54="H"),0,IF(SUM($Y54:$Z54)&lt;1,1,SUM($Y54:$Z54)))))</f>
        <v>4.1278973193979933</v>
      </c>
      <c r="AB54" s="202">
        <f>($K54/'Model Data Inputs'!$B$143)*'Model Data Inputs'!$B$145</f>
        <v>0.57333250000000002</v>
      </c>
      <c r="AC54" s="202">
        <f t="shared" si="3"/>
        <v>4.7012298193979936</v>
      </c>
      <c r="AD54" s="202">
        <f>IF($G54="F",0,'Model Data Inputs'!$B$147)</f>
        <v>1.1000000000000001</v>
      </c>
      <c r="AE54" s="202">
        <f>IF($G54="F",0,($K54/'Model Data Inputs'!$B$148)*'Model Data Inputs'!$B$149)</f>
        <v>2.0639969999999996</v>
      </c>
      <c r="AF54" s="202">
        <f>IF($G54="F",0,($O54/'Model Data Inputs'!$B$150)*'Model Data Inputs'!$B$151)</f>
        <v>0.75801656666666661</v>
      </c>
      <c r="AG54" s="202">
        <f>IF($G54="F",0,(($Q54*$T54)/'Model Data Inputs'!$B$152)*'Model Data Inputs'!$B$153)</f>
        <v>0.97749258845528719</v>
      </c>
      <c r="AH54" s="202">
        <f t="shared" si="4"/>
        <v>1.2248765387804883</v>
      </c>
      <c r="AI54" s="203">
        <f>IF(OR($G54="F",$F54="M",$F54="H"),0,($AH54*'Model Data Inputs'!$B$154)-$AH54)</f>
        <v>0</v>
      </c>
      <c r="AJ54" s="202">
        <f>IF(OR($G54="F",$F54="E",$F54="H"),0,($AH54*'Model Data Inputs'!$B$155)-$AH54)</f>
        <v>0</v>
      </c>
      <c r="AK54" s="203">
        <f>IF(OR($G54="F",$F54="E",$F54="M"),0,($AH54*'Model Data Inputs'!$B$156)-$AH54)</f>
        <v>0</v>
      </c>
      <c r="AL54" s="203">
        <f>IF($G54="F",0,IF($M54&lt;'Model Data Inputs'!$B$158,$AH54*('Model Data Inputs'!$B$159-1),0))</f>
        <v>0</v>
      </c>
      <c r="AM54" s="202">
        <f>IF($G54="F",0,IF($M54&gt;'Model Data Inputs'!$B$160,$AH54*('Model Data Inputs'!$B$161-1),0))</f>
        <v>0.12248765387804894</v>
      </c>
      <c r="AN54" s="202">
        <f>IF($G54="F",0,IF($P54&lt;'Model Data Inputs'!$B$162,SUM($AH54,$AI54,$AJ54,$AK54,$AL54,$AM54)*('Model Data Inputs'!$B$163-1),0))</f>
        <v>0</v>
      </c>
      <c r="AO54" s="202">
        <f t="shared" si="5"/>
        <v>1.3473641926585374</v>
      </c>
      <c r="AP54" s="204">
        <f>$K54*'Model Data Inputs'!$B$166</f>
        <v>69143.8995</v>
      </c>
      <c r="AQ54" s="204">
        <f>($K54*'Model Data Inputs'!$B$145)*'Model Data Inputs'!$B$166</f>
        <v>6914.3899500000007</v>
      </c>
      <c r="AR54" s="50">
        <f t="shared" si="6"/>
        <v>76058.289449999997</v>
      </c>
    </row>
    <row r="55" spans="1:44" x14ac:dyDescent="0.2">
      <c r="A55" s="227" t="str">
        <f>'School Level Inst. Resources'!A55</f>
        <v>0301000</v>
      </c>
      <c r="B55" s="227" t="str">
        <f>'School Level Inst. Resources'!B55</f>
        <v>Campbell #1</v>
      </c>
      <c r="C55" s="227" t="str">
        <f>'School Level Inst. Resources'!C55</f>
        <v>0301051</v>
      </c>
      <c r="D55" s="227" t="str">
        <f>'School Level Inst. Resources'!D55</f>
        <v>Sage Valley Junior High School</v>
      </c>
      <c r="E55" s="228" t="str">
        <f>'School Level Inst. Resources'!E55</f>
        <v>7-8</v>
      </c>
      <c r="F55" s="229" t="str">
        <f>'School Level Inst. Resources'!H55</f>
        <v>M</v>
      </c>
      <c r="G55" s="229" t="s">
        <v>1158</v>
      </c>
      <c r="H55" s="207">
        <v>184568</v>
      </c>
      <c r="I55" s="207">
        <f>IF('SFD Allowable GSF Calculation'!$D$2=1,'SFD Allowable GSF Calculation'!$P55,'SFD Allowable GSF Calculation'!$X55)</f>
        <v>94859</v>
      </c>
      <c r="J55" s="194">
        <f>$I55*'Model Data Inputs'!$B$165</f>
        <v>109087.84999999999</v>
      </c>
      <c r="K55" s="194">
        <f>IF($L55&gt;='Model Data Inputs'!$B$164,$H55,MIN($H55,$J55))</f>
        <v>109087.84999999999</v>
      </c>
      <c r="L55" s="208">
        <v>1981</v>
      </c>
      <c r="M55" s="196">
        <f>IF($L55&gt;0,'Model Data Inputs'!$B$157-$L55,"")</f>
        <v>36</v>
      </c>
      <c r="N55" s="209">
        <v>59</v>
      </c>
      <c r="O55" s="198">
        <f>'School Level Inst. Resources'!$L55</f>
        <v>634.50166666666667</v>
      </c>
      <c r="P55" s="198">
        <f>IF($G55="T",SUMIFS('School Level ADM'!$S$5:$S$359,'School Level ADM'!$A$5:$A$359,$A55),0)</f>
        <v>8676.6579999999994</v>
      </c>
      <c r="Q55" s="199">
        <f t="shared" si="7"/>
        <v>7.3127426097313819E-2</v>
      </c>
      <c r="R55" s="200">
        <f>SUM((('School Level Inst. Resources'!I55/'Model Data Inputs'!$B$8)*(1+'Model Data Inputs'!$B$9)),(SUM('School Level Inst. Resources'!J55:K55)/'Model Data Inputs'!$C$8)*(1+'Model Data Inputs'!$C$9),'School Level Inst. Resources'!K55/400)</f>
        <v>36.773509637681158</v>
      </c>
      <c r="S55" s="200">
        <f t="shared" si="1"/>
        <v>36.773509637681158</v>
      </c>
      <c r="T55" s="201">
        <f>IF($G55="T",VLOOKUP($A55,'Total O &amp; M Resources'!$A$5:$K$52,3),0)</f>
        <v>60606522.549999997</v>
      </c>
      <c r="U55" s="202">
        <f>IF($G55="F",0,$S55/'Model Data Inputs'!$B$140)</f>
        <v>2.8287315105908584</v>
      </c>
      <c r="V55" s="202">
        <f>IF($G55="F",0,$O55/'Model Data Inputs'!$B$141)</f>
        <v>1.9523128205128204</v>
      </c>
      <c r="W55" s="202">
        <f>IF($G55="F",0,$N55/'Model Data Inputs'!$B$142)</f>
        <v>4.5384615384615383</v>
      </c>
      <c r="X55" s="202">
        <f>IF($G55="F",0,$K55/'Model Data Inputs'!$B$143)</f>
        <v>6.0604361111111107</v>
      </c>
      <c r="Y55" s="202">
        <f t="shared" si="2"/>
        <v>3.8449854951690821</v>
      </c>
      <c r="Z55" s="202">
        <f>IF(OR($G55="F",$F55="E"),0,'Model Data Inputs'!$B$144)</f>
        <v>0.5</v>
      </c>
      <c r="AA55" s="202">
        <f>IF(AND($O55&lt;='Model Data Inputs'!$B$139,$F55="E"),0,IF(AND($O55&lt;='Model Data Inputs'!$B$139,$F55="M"),0,IF(AND($O55&lt;='Model Data Inputs'!$B$139,$F55="H"),0,IF(SUM($Y55:$Z55)&lt;1,1,SUM($Y55:$Z55)))))</f>
        <v>4.3449854951690821</v>
      </c>
      <c r="AB55" s="202">
        <f>($K55/'Model Data Inputs'!$B$143)*'Model Data Inputs'!$B$145</f>
        <v>0.60604361111111116</v>
      </c>
      <c r="AC55" s="202">
        <f t="shared" si="3"/>
        <v>4.9510291062801937</v>
      </c>
      <c r="AD55" s="202">
        <f>IF($G55="F",0,'Model Data Inputs'!$B$147)</f>
        <v>1.1000000000000001</v>
      </c>
      <c r="AE55" s="202">
        <f>IF($G55="F",0,($K55/'Model Data Inputs'!$B$148)*'Model Data Inputs'!$B$149)</f>
        <v>2.1817569999999997</v>
      </c>
      <c r="AF55" s="202">
        <f>IF($G55="F",0,($O55/'Model Data Inputs'!$B$150)*'Model Data Inputs'!$B$151)</f>
        <v>0.82485216666666661</v>
      </c>
      <c r="AG55" s="202">
        <f>IF($G55="F",0,(($Q55*$T55)/'Model Data Inputs'!$B$152)*'Model Data Inputs'!$B$153)</f>
        <v>1.0636797597096739</v>
      </c>
      <c r="AH55" s="202">
        <f t="shared" si="4"/>
        <v>1.2925722315940851</v>
      </c>
      <c r="AI55" s="203">
        <f>IF(OR($G55="F",$F55="M",$F55="H"),0,($AH55*'Model Data Inputs'!$B$154)-$AH55)</f>
        <v>0</v>
      </c>
      <c r="AJ55" s="202">
        <f>IF(OR($G55="F",$F55="E",$F55="H"),0,($AH55*'Model Data Inputs'!$B$155)-$AH55)</f>
        <v>0</v>
      </c>
      <c r="AK55" s="203">
        <f>IF(OR($G55="F",$F55="E",$F55="M"),0,($AH55*'Model Data Inputs'!$B$156)-$AH55)</f>
        <v>0</v>
      </c>
      <c r="AL55" s="203">
        <f>IF($G55="F",0,IF($M55&lt;'Model Data Inputs'!$B$158,$AH55*('Model Data Inputs'!$B$159-1),0))</f>
        <v>0</v>
      </c>
      <c r="AM55" s="202">
        <f>IF($G55="F",0,IF($M55&gt;'Model Data Inputs'!$B$160,$AH55*('Model Data Inputs'!$B$161-1),0))</f>
        <v>0.12925722315940863</v>
      </c>
      <c r="AN55" s="202">
        <f>IF($G55="F",0,IF($P55&lt;'Model Data Inputs'!$B$162,SUM($AH55,$AI55,$AJ55,$AK55,$AL55,$AM55)*('Model Data Inputs'!$B$163-1),0))</f>
        <v>0</v>
      </c>
      <c r="AO55" s="202">
        <f t="shared" si="5"/>
        <v>1.4218294547534938</v>
      </c>
      <c r="AP55" s="204">
        <f>$K55*'Model Data Inputs'!$B$166</f>
        <v>73088.859499999991</v>
      </c>
      <c r="AQ55" s="204">
        <f>($K55*'Model Data Inputs'!$B$145)*'Model Data Inputs'!$B$166</f>
        <v>7308.8859500000008</v>
      </c>
      <c r="AR55" s="50">
        <f t="shared" si="6"/>
        <v>80397.745449999988</v>
      </c>
    </row>
    <row r="56" spans="1:44" x14ac:dyDescent="0.2">
      <c r="A56" s="227" t="str">
        <f>'School Level Inst. Resources'!A56</f>
        <v>0301000</v>
      </c>
      <c r="B56" s="227" t="str">
        <f>'School Level Inst. Resources'!B56</f>
        <v>Campbell #1</v>
      </c>
      <c r="C56" s="227" t="str">
        <f>'School Level Inst. Resources'!C56</f>
        <v>0301055</v>
      </c>
      <c r="D56" s="227" t="str">
        <f>'School Level Inst. Resources'!D56</f>
        <v>Campbell County High School</v>
      </c>
      <c r="E56" s="228" t="str">
        <f>'School Level Inst. Resources'!E56</f>
        <v>9-12</v>
      </c>
      <c r="F56" s="229" t="str">
        <f>'School Level Inst. Resources'!H56</f>
        <v>H</v>
      </c>
      <c r="G56" s="229" t="s">
        <v>1158</v>
      </c>
      <c r="H56" s="207">
        <v>536276</v>
      </c>
      <c r="I56" s="207">
        <f>IF('SFD Allowable GSF Calculation'!$D$2=1,'SFD Allowable GSF Calculation'!$P56,'SFD Allowable GSF Calculation'!$X56)</f>
        <v>179202</v>
      </c>
      <c r="J56" s="194">
        <f>$I56*'Model Data Inputs'!$B$165</f>
        <v>206082.3</v>
      </c>
      <c r="K56" s="194">
        <f>IF($L56&gt;='Model Data Inputs'!$B$164,$H56,MIN($H56,$J56))</f>
        <v>206082.3</v>
      </c>
      <c r="L56" s="208">
        <v>1972</v>
      </c>
      <c r="M56" s="196">
        <f>IF($L56&gt;0,'Model Data Inputs'!$B$157-$L56,"")</f>
        <v>45</v>
      </c>
      <c r="N56" s="209">
        <v>144</v>
      </c>
      <c r="O56" s="198">
        <f>'School Level Inst. Resources'!$L56</f>
        <v>1069.4534999999998</v>
      </c>
      <c r="P56" s="198">
        <f>IF($G56="T",SUMIFS('School Level ADM'!$S$5:$S$359,'School Level ADM'!$A$5:$A$359,$A56),0)</f>
        <v>8676.6579999999994</v>
      </c>
      <c r="Q56" s="199">
        <f t="shared" si="7"/>
        <v>0.12325638511970852</v>
      </c>
      <c r="R56" s="200">
        <f>SUM((('School Level Inst. Resources'!I56/'Model Data Inputs'!$B$8)*(1+'Model Data Inputs'!$B$9)),(SUM('School Level Inst. Resources'!J56:K56)/'Model Data Inputs'!$C$8)*(1+'Model Data Inputs'!$C$9),'School Level Inst. Resources'!K56/400)</f>
        <v>64.655438771739114</v>
      </c>
      <c r="S56" s="200">
        <f t="shared" si="1"/>
        <v>64.655438771739114</v>
      </c>
      <c r="T56" s="201">
        <f>IF($G56="T",VLOOKUP($A56,'Total O &amp; M Resources'!$A$5:$K$52,3),0)</f>
        <v>60606522.549999997</v>
      </c>
      <c r="U56" s="202">
        <f>IF($G56="F",0,$S56/'Model Data Inputs'!$B$140)</f>
        <v>4.9734952901337781</v>
      </c>
      <c r="V56" s="202">
        <f>IF($G56="F",0,$O56/'Model Data Inputs'!$B$141)</f>
        <v>3.2906261538461532</v>
      </c>
      <c r="W56" s="202">
        <f>IF($G56="F",0,$N56/'Model Data Inputs'!$B$142)</f>
        <v>11.076923076923077</v>
      </c>
      <c r="X56" s="202">
        <f>IF($G56="F",0,$K56/'Model Data Inputs'!$B$143)</f>
        <v>11.449016666666665</v>
      </c>
      <c r="Y56" s="202">
        <f t="shared" si="2"/>
        <v>7.6975152968924183</v>
      </c>
      <c r="Z56" s="202">
        <f>IF(OR($G56="F",$F56="E"),0,'Model Data Inputs'!$B$144)</f>
        <v>0.5</v>
      </c>
      <c r="AA56" s="202">
        <f>IF(AND($O56&lt;='Model Data Inputs'!$B$139,$F56="E"),0,IF(AND($O56&lt;='Model Data Inputs'!$B$139,$F56="M"),0,IF(AND($O56&lt;='Model Data Inputs'!$B$139,$F56="H"),0,IF(SUM($Y56:$Z56)&lt;1,1,SUM($Y56:$Z56)))))</f>
        <v>8.1975152968924192</v>
      </c>
      <c r="AB56" s="202">
        <f>($K56/'Model Data Inputs'!$B$143)*'Model Data Inputs'!$B$145</f>
        <v>1.1449016666666665</v>
      </c>
      <c r="AC56" s="202">
        <f t="shared" si="3"/>
        <v>9.342416963559085</v>
      </c>
      <c r="AD56" s="202">
        <f>IF($G56="F",0,'Model Data Inputs'!$B$147)</f>
        <v>1.1000000000000001</v>
      </c>
      <c r="AE56" s="202">
        <f>IF($G56="F",0,($K56/'Model Data Inputs'!$B$148)*'Model Data Inputs'!$B$149)</f>
        <v>4.1216459999999993</v>
      </c>
      <c r="AF56" s="202">
        <f>IF($G56="F",0,($O56/'Model Data Inputs'!$B$150)*'Model Data Inputs'!$B$151)</f>
        <v>1.3902895499999999</v>
      </c>
      <c r="AG56" s="202">
        <f>IF($G56="F",0,(($Q56*$T56)/'Model Data Inputs'!$B$152)*'Model Data Inputs'!$B$153)</f>
        <v>1.7928338122053835</v>
      </c>
      <c r="AH56" s="202">
        <f t="shared" si="4"/>
        <v>2.101192340551346</v>
      </c>
      <c r="AI56" s="203">
        <f>IF(OR($G56="F",$F56="M",$F56="H"),0,($AH56*'Model Data Inputs'!$B$154)-$AH56)</f>
        <v>0</v>
      </c>
      <c r="AJ56" s="202">
        <f>IF(OR($G56="F",$F56="E",$F56="H"),0,($AH56*'Model Data Inputs'!$B$155)-$AH56)</f>
        <v>0</v>
      </c>
      <c r="AK56" s="203">
        <f>IF(OR($G56="F",$F56="E",$F56="M"),0,($AH56*'Model Data Inputs'!$B$156)-$AH56)</f>
        <v>2.101192340551346</v>
      </c>
      <c r="AL56" s="203">
        <f>IF($G56="F",0,IF($M56&lt;'Model Data Inputs'!$B$158,$AH56*('Model Data Inputs'!$B$159-1),0))</f>
        <v>0</v>
      </c>
      <c r="AM56" s="202">
        <f>IF($G56="F",0,IF($M56&gt;'Model Data Inputs'!$B$160,$AH56*('Model Data Inputs'!$B$161-1),0))</f>
        <v>0.21011923405513477</v>
      </c>
      <c r="AN56" s="202">
        <f>IF($G56="F",0,IF($P56&lt;'Model Data Inputs'!$B$162,SUM($AH56,$AI56,$AJ56,$AK56,$AL56,$AM56)*('Model Data Inputs'!$B$163-1),0))</f>
        <v>0</v>
      </c>
      <c r="AO56" s="202">
        <f t="shared" si="5"/>
        <v>4.4125039151578269</v>
      </c>
      <c r="AP56" s="204">
        <f>$K56*'Model Data Inputs'!$B$166</f>
        <v>138075.141</v>
      </c>
      <c r="AQ56" s="204">
        <f>($K56*'Model Data Inputs'!$B$145)*'Model Data Inputs'!$B$166</f>
        <v>13807.5141</v>
      </c>
      <c r="AR56" s="50">
        <f t="shared" si="6"/>
        <v>151882.6551</v>
      </c>
    </row>
    <row r="57" spans="1:44" x14ac:dyDescent="0.2">
      <c r="A57" s="227" t="str">
        <f>'School Level Inst. Resources'!A57</f>
        <v>0301000</v>
      </c>
      <c r="B57" s="227" t="str">
        <f>'School Level Inst. Resources'!B57</f>
        <v>Campbell #1</v>
      </c>
      <c r="C57" s="227" t="str">
        <f>'School Level Inst. Resources'!C57</f>
        <v>0301056</v>
      </c>
      <c r="D57" s="227" t="str">
        <f>'School Level Inst. Resources'!D57</f>
        <v>Wright Jr. &amp; Sr. High School</v>
      </c>
      <c r="E57" s="228" t="str">
        <f>'School Level Inst. Resources'!E57</f>
        <v>7-12</v>
      </c>
      <c r="F57" s="229" t="str">
        <f>'School Level Inst. Resources'!H57</f>
        <v>H</v>
      </c>
      <c r="G57" s="229" t="s">
        <v>1158</v>
      </c>
      <c r="H57" s="207">
        <v>113971</v>
      </c>
      <c r="I57" s="207">
        <f>IF('SFD Allowable GSF Calculation'!$D$2=1,'SFD Allowable GSF Calculation'!$P57,'SFD Allowable GSF Calculation'!$X57)</f>
        <v>63320</v>
      </c>
      <c r="J57" s="194">
        <f>$I57*'Model Data Inputs'!$B$165</f>
        <v>72818</v>
      </c>
      <c r="K57" s="194">
        <f>IF($L57&gt;='Model Data Inputs'!$B$164,$H57,MIN($H57,$J57))</f>
        <v>72818</v>
      </c>
      <c r="L57" s="208">
        <v>1983</v>
      </c>
      <c r="M57" s="196">
        <f>IF($L57&gt;0,'Model Data Inputs'!$B$157-$L57,"")</f>
        <v>34</v>
      </c>
      <c r="N57" s="209">
        <v>30</v>
      </c>
      <c r="O57" s="198">
        <f>'School Level Inst. Resources'!$L57</f>
        <v>189.786</v>
      </c>
      <c r="P57" s="198">
        <f>IF($G57="T",SUMIFS('School Level ADM'!$S$5:$S$359,'School Level ADM'!$A$5:$A$359,$A57),0)</f>
        <v>8676.6579999999994</v>
      </c>
      <c r="Q57" s="199">
        <f t="shared" si="7"/>
        <v>2.1873168217532605E-2</v>
      </c>
      <c r="R57" s="200">
        <f>SUM((('School Level Inst. Resources'!I57/'Model Data Inputs'!$B$8)*(1+'Model Data Inputs'!$B$9)),(SUM('School Level Inst. Resources'!J57:K57)/'Model Data Inputs'!$C$8)*(1+'Model Data Inputs'!$C$9),'School Level Inst. Resources'!K57/400)</f>
        <v>11.312458101449275</v>
      </c>
      <c r="S57" s="200">
        <f t="shared" si="1"/>
        <v>11.312458101449275</v>
      </c>
      <c r="T57" s="201">
        <f>IF($G57="T",VLOOKUP($A57,'Total O &amp; M Resources'!$A$5:$K$52,3),0)</f>
        <v>60606522.549999997</v>
      </c>
      <c r="U57" s="202">
        <f>IF($G57="F",0,$S57/'Model Data Inputs'!$B$140)</f>
        <v>0.87018908472686729</v>
      </c>
      <c r="V57" s="202">
        <f>IF($G57="F",0,$O57/'Model Data Inputs'!$B$141)</f>
        <v>0.58395692307692304</v>
      </c>
      <c r="W57" s="202">
        <f>IF($G57="F",0,$N57/'Model Data Inputs'!$B$142)</f>
        <v>2.3076923076923075</v>
      </c>
      <c r="X57" s="202">
        <f>IF($G57="F",0,$K57/'Model Data Inputs'!$B$143)</f>
        <v>4.0454444444444446</v>
      </c>
      <c r="Y57" s="202">
        <f t="shared" si="2"/>
        <v>1.9518206899851356</v>
      </c>
      <c r="Z57" s="202">
        <f>IF(OR($G57="F",$F57="E"),0,'Model Data Inputs'!$B$144)</f>
        <v>0.5</v>
      </c>
      <c r="AA57" s="202">
        <f>IF(AND($O57&lt;='Model Data Inputs'!$B$139,$F57="E"),0,IF(AND($O57&lt;='Model Data Inputs'!$B$139,$F57="M"),0,IF(AND($O57&lt;='Model Data Inputs'!$B$139,$F57="H"),0,IF(SUM($Y57:$Z57)&lt;1,1,SUM($Y57:$Z57)))))</f>
        <v>2.4518206899851354</v>
      </c>
      <c r="AB57" s="202">
        <f>($K57/'Model Data Inputs'!$B$143)*'Model Data Inputs'!$B$145</f>
        <v>0.40454444444444448</v>
      </c>
      <c r="AC57" s="202">
        <f t="shared" si="3"/>
        <v>2.8563651344295797</v>
      </c>
      <c r="AD57" s="202">
        <f>IF($G57="F",0,'Model Data Inputs'!$B$147)</f>
        <v>1.1000000000000001</v>
      </c>
      <c r="AE57" s="202">
        <f>IF($G57="F",0,($K57/'Model Data Inputs'!$B$148)*'Model Data Inputs'!$B$149)</f>
        <v>1.4563599999999999</v>
      </c>
      <c r="AF57" s="202">
        <f>IF($G57="F",0,($O57/'Model Data Inputs'!$B$150)*'Model Data Inputs'!$B$151)</f>
        <v>0.24672180000000002</v>
      </c>
      <c r="AG57" s="202">
        <f>IF($G57="F",0,(($Q57*$T57)/'Model Data Inputs'!$B$152)*'Model Data Inputs'!$B$153)</f>
        <v>0.31815759907579994</v>
      </c>
      <c r="AH57" s="202">
        <f t="shared" si="4"/>
        <v>0.7803098497689499</v>
      </c>
      <c r="AI57" s="203">
        <f>IF(OR($G57="F",$F57="M",$F57="H"),0,($AH57*'Model Data Inputs'!$B$154)-$AH57)</f>
        <v>0</v>
      </c>
      <c r="AJ57" s="202">
        <f>IF(OR($G57="F",$F57="E",$F57="H"),0,($AH57*'Model Data Inputs'!$B$155)-$AH57)</f>
        <v>0</v>
      </c>
      <c r="AK57" s="203">
        <f>IF(OR($G57="F",$F57="E",$F57="M"),0,($AH57*'Model Data Inputs'!$B$156)-$AH57)</f>
        <v>0.7803098497689499</v>
      </c>
      <c r="AL57" s="203">
        <f>IF($G57="F",0,IF($M57&lt;'Model Data Inputs'!$B$158,$AH57*('Model Data Inputs'!$B$159-1),0))</f>
        <v>0</v>
      </c>
      <c r="AM57" s="202">
        <f>IF($G57="F",0,IF($M57&gt;'Model Data Inputs'!$B$160,$AH57*('Model Data Inputs'!$B$161-1),0))</f>
        <v>7.8030984976895063E-2</v>
      </c>
      <c r="AN57" s="202">
        <f>IF($G57="F",0,IF($P57&lt;'Model Data Inputs'!$B$162,SUM($AH57,$AI57,$AJ57,$AK57,$AL57,$AM57)*('Model Data Inputs'!$B$163-1),0))</f>
        <v>0</v>
      </c>
      <c r="AO57" s="202">
        <f t="shared" si="5"/>
        <v>1.6386506845147948</v>
      </c>
      <c r="AP57" s="204">
        <f>$K57*'Model Data Inputs'!$B$166</f>
        <v>48788.060000000005</v>
      </c>
      <c r="AQ57" s="204">
        <f>($K57*'Model Data Inputs'!$B$145)*'Model Data Inputs'!$B$166</f>
        <v>4878.8060000000005</v>
      </c>
      <c r="AR57" s="50">
        <f t="shared" si="6"/>
        <v>53666.866000000009</v>
      </c>
    </row>
    <row r="58" spans="1:44" x14ac:dyDescent="0.2">
      <c r="A58" s="227" t="str">
        <f>'School Level Inst. Resources'!A58</f>
        <v>0301000</v>
      </c>
      <c r="B58" s="227" t="str">
        <f>'School Level Inst. Resources'!B58</f>
        <v>Campbell #1</v>
      </c>
      <c r="C58" s="227" t="str">
        <f>'School Level Inst. Resources'!C58</f>
        <v>0301057</v>
      </c>
      <c r="D58" s="227" t="str">
        <f>'School Level Inst. Resources'!D58</f>
        <v>Westwood High School</v>
      </c>
      <c r="E58" s="228" t="str">
        <f>'School Level Inst. Resources'!E58</f>
        <v>9-12</v>
      </c>
      <c r="F58" s="229" t="str">
        <f>'School Level Inst. Resources'!H58</f>
        <v>H</v>
      </c>
      <c r="G58" s="229" t="s">
        <v>1158</v>
      </c>
      <c r="H58" s="207">
        <v>35573</v>
      </c>
      <c r="I58" s="207">
        <f>IF('SFD Allowable GSF Calculation'!$D$2=1,'SFD Allowable GSF Calculation'!$P58,'SFD Allowable GSF Calculation'!$X58)</f>
        <v>48996</v>
      </c>
      <c r="J58" s="194">
        <f>$I58*'Model Data Inputs'!$B$165</f>
        <v>56345.399999999994</v>
      </c>
      <c r="K58" s="194">
        <f>IF($L58&gt;='Model Data Inputs'!$B$164,$H58,MIN($H58,$J58))</f>
        <v>35573</v>
      </c>
      <c r="L58" s="208">
        <v>2014</v>
      </c>
      <c r="M58" s="196">
        <f>IF($L58&gt;0,'Model Data Inputs'!$B$157-$L58,"")</f>
        <v>3</v>
      </c>
      <c r="N58" s="209">
        <v>23</v>
      </c>
      <c r="O58" s="198">
        <f>'School Level Inst. Resources'!$L58</f>
        <v>137.51166666666666</v>
      </c>
      <c r="P58" s="198">
        <f>IF($G58="T",SUMIFS('School Level ADM'!$S$5:$S$359,'School Level ADM'!$A$5:$A$359,$A58),0)</f>
        <v>8676.6579999999994</v>
      </c>
      <c r="Q58" s="199">
        <f t="shared" si="7"/>
        <v>1.584845993315245E-2</v>
      </c>
      <c r="R58" s="200">
        <f>SUM((('School Level Inst. Resources'!I58/'Model Data Inputs'!$B$8)*(1+'Model Data Inputs'!$B$9)),(SUM('School Level Inst. Resources'!J58:K58)/'Model Data Inputs'!$C$8)*(1+'Model Data Inputs'!$C$9),'School Level Inst. Resources'!K58/400)</f>
        <v>8.3134770652173913</v>
      </c>
      <c r="S58" s="200">
        <f t="shared" si="1"/>
        <v>8.3134770652173913</v>
      </c>
      <c r="T58" s="201">
        <f>IF($G58="T",VLOOKUP($A58,'Total O &amp; M Resources'!$A$5:$K$52,3),0)</f>
        <v>60606522.549999997</v>
      </c>
      <c r="U58" s="202">
        <f>IF($G58="F",0,$S58/'Model Data Inputs'!$B$140)</f>
        <v>0.63949823578595322</v>
      </c>
      <c r="V58" s="202">
        <f>IF($G58="F",0,$O58/'Model Data Inputs'!$B$141)</f>
        <v>0.42311282051282045</v>
      </c>
      <c r="W58" s="202">
        <f>IF($G58="F",0,$N58/'Model Data Inputs'!$B$142)</f>
        <v>1.7692307692307692</v>
      </c>
      <c r="X58" s="202">
        <f>IF($G58="F",0,$K58/'Model Data Inputs'!$B$143)</f>
        <v>1.9762777777777778</v>
      </c>
      <c r="Y58" s="202">
        <f t="shared" si="2"/>
        <v>1.20202990082683</v>
      </c>
      <c r="Z58" s="202">
        <f>IF(OR($G58="F",$F58="E"),0,'Model Data Inputs'!$B$144)</f>
        <v>0.5</v>
      </c>
      <c r="AA58" s="202">
        <f>IF(AND($O58&lt;='Model Data Inputs'!$B$139,$F58="E"),0,IF(AND($O58&lt;='Model Data Inputs'!$B$139,$F58="M"),0,IF(AND($O58&lt;='Model Data Inputs'!$B$139,$F58="H"),0,IF(SUM($Y58:$Z58)&lt;1,1,SUM($Y58:$Z58)))))</f>
        <v>1.70202990082683</v>
      </c>
      <c r="AB58" s="202">
        <f>($K58/'Model Data Inputs'!$B$143)*'Model Data Inputs'!$B$145</f>
        <v>0.19762777777777779</v>
      </c>
      <c r="AC58" s="202">
        <f t="shared" si="3"/>
        <v>1.8996576786046078</v>
      </c>
      <c r="AD58" s="202">
        <f>IF($G58="F",0,'Model Data Inputs'!$B$147)</f>
        <v>1.1000000000000001</v>
      </c>
      <c r="AE58" s="202">
        <f>IF($G58="F",0,($K58/'Model Data Inputs'!$B$148)*'Model Data Inputs'!$B$149)</f>
        <v>0.71145999999999998</v>
      </c>
      <c r="AF58" s="202">
        <f>IF($G58="F",0,($O58/'Model Data Inputs'!$B$150)*'Model Data Inputs'!$B$151)</f>
        <v>0.17876516666666664</v>
      </c>
      <c r="AG58" s="202">
        <f>IF($G58="F",0,(($Q58*$T58)/'Model Data Inputs'!$B$152)*'Model Data Inputs'!$B$153)</f>
        <v>0.2305248106371301</v>
      </c>
      <c r="AH58" s="202">
        <f t="shared" si="4"/>
        <v>0.55518749432594927</v>
      </c>
      <c r="AI58" s="203">
        <f>IF(OR($G58="F",$F58="M",$F58="H"),0,($AH58*'Model Data Inputs'!$B$154)-$AH58)</f>
        <v>0</v>
      </c>
      <c r="AJ58" s="202">
        <f>IF(OR($G58="F",$F58="E",$F58="H"),0,($AH58*'Model Data Inputs'!$B$155)-$AH58)</f>
        <v>0</v>
      </c>
      <c r="AK58" s="203">
        <f>IF(OR($G58="F",$F58="E",$F58="M"),0,($AH58*'Model Data Inputs'!$B$156)-$AH58)</f>
        <v>0.55518749432594927</v>
      </c>
      <c r="AL58" s="203">
        <f>IF($G58="F",0,IF($M58&lt;'Model Data Inputs'!$B$158,$AH58*('Model Data Inputs'!$B$159-1),0))</f>
        <v>-2.775937471629749E-2</v>
      </c>
      <c r="AM58" s="202">
        <f>IF($G58="F",0,IF($M58&gt;'Model Data Inputs'!$B$160,$AH58*('Model Data Inputs'!$B$161-1),0))</f>
        <v>0</v>
      </c>
      <c r="AN58" s="202">
        <f>IF($G58="F",0,IF($P58&lt;'Model Data Inputs'!$B$162,SUM($AH58,$AI58,$AJ58,$AK58,$AL58,$AM58)*('Model Data Inputs'!$B$163-1),0))</f>
        <v>0</v>
      </c>
      <c r="AO58" s="202">
        <f t="shared" si="5"/>
        <v>1.0826156139356011</v>
      </c>
      <c r="AP58" s="204">
        <f>$K58*'Model Data Inputs'!$B$166</f>
        <v>23833.91</v>
      </c>
      <c r="AQ58" s="204">
        <f>($K58*'Model Data Inputs'!$B$145)*'Model Data Inputs'!$B$166</f>
        <v>2383.3910000000001</v>
      </c>
      <c r="AR58" s="50">
        <f t="shared" si="6"/>
        <v>26217.300999999999</v>
      </c>
    </row>
    <row r="59" spans="1:44" x14ac:dyDescent="0.2">
      <c r="A59" s="227" t="str">
        <f>'School Level Inst. Resources'!A59</f>
        <v>0301000</v>
      </c>
      <c r="B59" s="227" t="str">
        <f>'School Level Inst. Resources'!B59</f>
        <v>Campbell #1</v>
      </c>
      <c r="C59" s="227" t="str">
        <f>'School Level Inst. Resources'!C59</f>
        <v>0301059</v>
      </c>
      <c r="D59" s="227" t="str">
        <f>'School Level Inst. Resources'!D59</f>
        <v>Thunder Basin High School</v>
      </c>
      <c r="E59" s="228" t="str">
        <f>'School Level Inst. Resources'!E59</f>
        <v>9-12</v>
      </c>
      <c r="F59" s="229" t="str">
        <f>'School Level Inst. Resources'!H59</f>
        <v>H</v>
      </c>
      <c r="G59" s="229" t="s">
        <v>1158</v>
      </c>
      <c r="H59" s="207">
        <v>300165</v>
      </c>
      <c r="I59" s="207">
        <f>IF('SFD Allowable GSF Calculation'!$D$2=1,'SFD Allowable GSF Calculation'!$P59,'SFD Allowable GSF Calculation'!$X59)</f>
        <v>179202</v>
      </c>
      <c r="J59" s="194">
        <f>$I59*'Model Data Inputs'!$B$165</f>
        <v>206082.3</v>
      </c>
      <c r="K59" s="194">
        <f>IF($L59&gt;='Model Data Inputs'!$B$164,$H59,MIN($H59,$J59))</f>
        <v>300165</v>
      </c>
      <c r="L59" s="208">
        <v>2017</v>
      </c>
      <c r="M59" s="196">
        <f>IF($L59&gt;0,'Model Data Inputs'!$B$157-$L59,"")</f>
        <v>0</v>
      </c>
      <c r="N59" s="209">
        <v>58</v>
      </c>
      <c r="O59" s="198">
        <f>'School Level Inst. Resources'!$L59</f>
        <v>1060.5885000000001</v>
      </c>
      <c r="P59" s="198">
        <f>IF($G59="T",SUMIFS('School Level ADM'!$S$5:$S$359,'School Level ADM'!$A$5:$A$359,$A59),0)</f>
        <v>8676.6579999999994</v>
      </c>
      <c r="Q59" s="199">
        <f t="shared" si="7"/>
        <v>0.12223467837501491</v>
      </c>
      <c r="R59" s="200">
        <f>SUM((('School Level Inst. Resources'!I59/'Model Data Inputs'!$B$8)*(1+'Model Data Inputs'!$B$9)),(SUM('School Level Inst. Resources'!J59:K59)/'Model Data Inputs'!$C$8)*(1+'Model Data Inputs'!$C$9),'School Level Inst. Resources'!K59/400)</f>
        <v>64.119491706521742</v>
      </c>
      <c r="S59" s="200">
        <f t="shared" si="1"/>
        <v>64.119491706521742</v>
      </c>
      <c r="T59" s="201">
        <f>IF($G59="T",VLOOKUP($A59,'Total O &amp; M Resources'!$A$5:$K$52,3),0)</f>
        <v>60606522.549999997</v>
      </c>
      <c r="U59" s="202">
        <f>IF($G59="F",0,$S59/'Model Data Inputs'!$B$140)</f>
        <v>4.9322685928093648</v>
      </c>
      <c r="V59" s="202">
        <f>IF($G59="F",0,$O59/'Model Data Inputs'!$B$141)</f>
        <v>3.2633492307692311</v>
      </c>
      <c r="W59" s="202">
        <f>IF($G59="F",0,$N59/'Model Data Inputs'!$B$142)</f>
        <v>4.4615384615384617</v>
      </c>
      <c r="X59" s="202">
        <f>IF($G59="F",0,$K59/'Model Data Inputs'!$B$143)</f>
        <v>16.675833333333333</v>
      </c>
      <c r="Y59" s="202">
        <f t="shared" si="2"/>
        <v>7.3332474046125977</v>
      </c>
      <c r="Z59" s="202">
        <f>IF(OR($G59="F",$F59="E"),0,'Model Data Inputs'!$B$144)</f>
        <v>0.5</v>
      </c>
      <c r="AA59" s="202">
        <f>IF(AND($O59&lt;='Model Data Inputs'!$B$139,$F59="E"),0,IF(AND($O59&lt;='Model Data Inputs'!$B$139,$F59="M"),0,IF(AND($O59&lt;='Model Data Inputs'!$B$139,$F59="H"),0,IF(SUM($Y59:$Z59)&lt;1,1,SUM($Y59:$Z59)))))</f>
        <v>7.8332474046125977</v>
      </c>
      <c r="AB59" s="202">
        <f>($K59/'Model Data Inputs'!$B$143)*'Model Data Inputs'!$B$145</f>
        <v>1.6675833333333334</v>
      </c>
      <c r="AC59" s="202">
        <f t="shared" si="3"/>
        <v>9.5008307379459307</v>
      </c>
      <c r="AD59" s="202">
        <f>IF($G59="F",0,'Model Data Inputs'!$B$147)</f>
        <v>1.1000000000000001</v>
      </c>
      <c r="AE59" s="202">
        <f>IF($G59="F",0,($K59/'Model Data Inputs'!$B$148)*'Model Data Inputs'!$B$149)</f>
        <v>6.0032999999999994</v>
      </c>
      <c r="AF59" s="202">
        <f>IF($G59="F",0,($O59/'Model Data Inputs'!$B$150)*'Model Data Inputs'!$B$151)</f>
        <v>1.3787650500000002</v>
      </c>
      <c r="AG59" s="202">
        <f>IF($G59="F",0,(($Q59*$T59)/'Model Data Inputs'!$B$152)*'Model Data Inputs'!$B$153)</f>
        <v>1.777972509918561</v>
      </c>
      <c r="AH59" s="202">
        <f t="shared" si="4"/>
        <v>2.56500938997964</v>
      </c>
      <c r="AI59" s="203">
        <f>IF(OR($G59="F",$F59="M",$F59="H"),0,($AH59*'Model Data Inputs'!$B$154)-$AH59)</f>
        <v>0</v>
      </c>
      <c r="AJ59" s="202">
        <f>IF(OR($G59="F",$F59="E",$F59="H"),0,($AH59*'Model Data Inputs'!$B$155)-$AH59)</f>
        <v>0</v>
      </c>
      <c r="AK59" s="203">
        <f>IF(OR($G59="F",$F59="E",$F59="M"),0,($AH59*'Model Data Inputs'!$B$156)-$AH59)</f>
        <v>2.56500938997964</v>
      </c>
      <c r="AL59" s="203">
        <f>IF($G59="F",0,IF($M59&lt;'Model Data Inputs'!$B$158,$AH59*('Model Data Inputs'!$B$159-1),0))</f>
        <v>-0.12825046949898211</v>
      </c>
      <c r="AM59" s="202">
        <f>IF($G59="F",0,IF($M59&gt;'Model Data Inputs'!$B$160,$AH59*('Model Data Inputs'!$B$161-1),0))</f>
        <v>0</v>
      </c>
      <c r="AN59" s="202">
        <f>IF($G59="F",0,IF($P59&lt;'Model Data Inputs'!$B$162,SUM($AH59,$AI59,$AJ59,$AK59,$AL59,$AM59)*('Model Data Inputs'!$B$163-1),0))</f>
        <v>0</v>
      </c>
      <c r="AO59" s="202">
        <f t="shared" si="5"/>
        <v>5.0017683104602977</v>
      </c>
      <c r="AP59" s="204">
        <f>$K59*'Model Data Inputs'!$B$166</f>
        <v>201110.55000000002</v>
      </c>
      <c r="AQ59" s="204">
        <f>($K59*'Model Data Inputs'!$B$145)*'Model Data Inputs'!$B$166</f>
        <v>20111.055</v>
      </c>
      <c r="AR59" s="50">
        <f t="shared" si="6"/>
        <v>221221.60500000001</v>
      </c>
    </row>
    <row r="60" spans="1:44" x14ac:dyDescent="0.2">
      <c r="A60" s="227" t="str">
        <f>'School Level Inst. Resources'!A60</f>
        <v>0401000</v>
      </c>
      <c r="B60" s="227" t="str">
        <f>'School Level Inst. Resources'!B60</f>
        <v>Carbon #1</v>
      </c>
      <c r="C60" s="227" t="str">
        <f>'School Level Inst. Resources'!C60</f>
        <v>0401008</v>
      </c>
      <c r="D60" s="227" t="str">
        <f>'School Level Inst. Resources'!D60</f>
        <v>Rawlins Elementary</v>
      </c>
      <c r="E60" s="228" t="str">
        <f>'School Level Inst. Resources'!E60</f>
        <v>K-5</v>
      </c>
      <c r="F60" s="229" t="str">
        <f>'School Level Inst. Resources'!H60</f>
        <v>E</v>
      </c>
      <c r="G60" s="229" t="s">
        <v>1158</v>
      </c>
      <c r="H60" s="207">
        <v>133114</v>
      </c>
      <c r="I60" s="207">
        <f>IF('SFD Allowable GSF Calculation'!$D$2=1,'SFD Allowable GSF Calculation'!$P60,'SFD Allowable GSF Calculation'!$X60)</f>
        <v>107553</v>
      </c>
      <c r="J60" s="194">
        <f>$I60*'Model Data Inputs'!$B$165</f>
        <v>123685.95</v>
      </c>
      <c r="K60" s="194">
        <f>IF($L60&gt;='Model Data Inputs'!$B$164,$H60,MIN($H60,$J60))</f>
        <v>133114</v>
      </c>
      <c r="L60" s="209">
        <v>2011</v>
      </c>
      <c r="M60" s="196">
        <f>IF($L60&gt;0,'Model Data Inputs'!$B$157-$L60,"")</f>
        <v>6</v>
      </c>
      <c r="N60" s="209">
        <v>78</v>
      </c>
      <c r="O60" s="198">
        <f>'School Level Inst. Resources'!$L60</f>
        <v>803.19466666666676</v>
      </c>
      <c r="P60" s="198">
        <f>IF($G60="T",SUMIFS('School Level ADM'!$S$5:$S$359,'School Level ADM'!$A$5:$A$359,$A60),0)</f>
        <v>1793.1540000000002</v>
      </c>
      <c r="Q60" s="199">
        <f t="shared" si="7"/>
        <v>0.44792285920041819</v>
      </c>
      <c r="R60" s="200">
        <f>SUM((('School Level Inst. Resources'!I60/'Model Data Inputs'!$B$8)*(1+'Model Data Inputs'!$B$9)),(SUM('School Level Inst. Resources'!J60:K60)/'Model Data Inputs'!$C$8)*(1+'Model Data Inputs'!$C$9),'School Level Inst. Resources'!K60/400)</f>
        <v>53.546311111111116</v>
      </c>
      <c r="S60" s="200">
        <f t="shared" si="1"/>
        <v>53.546311111111116</v>
      </c>
      <c r="T60" s="201">
        <f>IF($G60="T",VLOOKUP($A60,'Total O &amp; M Resources'!$A$5:$K$52,3),0)</f>
        <v>15408440.630000003</v>
      </c>
      <c r="U60" s="202">
        <f>IF($G60="F",0,$S60/'Model Data Inputs'!$B$140)</f>
        <v>4.1189470085470088</v>
      </c>
      <c r="V60" s="202">
        <f>IF($G60="F",0,$O60/'Model Data Inputs'!$B$141)</f>
        <v>2.4713682051282055</v>
      </c>
      <c r="W60" s="202">
        <f>IF($G60="F",0,$N60/'Model Data Inputs'!$B$142)</f>
        <v>6</v>
      </c>
      <c r="X60" s="202">
        <f>IF($G60="F",0,$K60/'Model Data Inputs'!$B$143)</f>
        <v>7.3952222222222224</v>
      </c>
      <c r="Y60" s="202">
        <f t="shared" si="2"/>
        <v>4.9963843589743595</v>
      </c>
      <c r="Z60" s="202">
        <f>IF(OR($G60="F",$F60="E"),0,'Model Data Inputs'!$B$144)</f>
        <v>0</v>
      </c>
      <c r="AA60" s="202">
        <f>IF(AND($O60&lt;='Model Data Inputs'!$B$139,$F60="E"),0,IF(AND($O60&lt;='Model Data Inputs'!$B$139,$F60="M"),0,IF(AND($O60&lt;='Model Data Inputs'!$B$139,$F60="H"),0,IF(SUM($Y60:$Z60)&lt;1,1,SUM($Y60:$Z60)))))</f>
        <v>4.9963843589743595</v>
      </c>
      <c r="AB60" s="202">
        <f>($K60/'Model Data Inputs'!$B$143)*'Model Data Inputs'!$B$145</f>
        <v>0.7395222222222223</v>
      </c>
      <c r="AC60" s="202">
        <f t="shared" si="3"/>
        <v>5.7359065811965815</v>
      </c>
      <c r="AD60" s="202">
        <f>IF($G60="F",0,'Model Data Inputs'!$B$147)</f>
        <v>1.1000000000000001</v>
      </c>
      <c r="AE60" s="202">
        <f>IF($G60="F",0,($K60/'Model Data Inputs'!$B$148)*'Model Data Inputs'!$B$149)</f>
        <v>2.66228</v>
      </c>
      <c r="AF60" s="202">
        <f>IF($G60="F",0,($O60/'Model Data Inputs'!$B$150)*'Model Data Inputs'!$B$151)</f>
        <v>1.0441530666666667</v>
      </c>
      <c r="AG60" s="202">
        <f>IF($G60="F",0,(($Q60*$T60)/'Model Data Inputs'!$B$152)*'Model Data Inputs'!$B$153)</f>
        <v>1.6564302678742784</v>
      </c>
      <c r="AH60" s="202">
        <f t="shared" si="4"/>
        <v>1.6157158336352364</v>
      </c>
      <c r="AI60" s="203">
        <f>IF(OR($G60="F",$F60="M",$F60="H"),0,($AH60*'Model Data Inputs'!$B$154)-$AH60)</f>
        <v>-0.32314316672704724</v>
      </c>
      <c r="AJ60" s="202">
        <f>IF(OR($G60="F",$F60="E",$F60="H"),0,($AH60*'Model Data Inputs'!$B$155)-$AH60)</f>
        <v>0</v>
      </c>
      <c r="AK60" s="203">
        <f>IF(OR($G60="F",$F60="E",$F60="M"),0,($AH60*'Model Data Inputs'!$B$156)-$AH60)</f>
        <v>0</v>
      </c>
      <c r="AL60" s="203">
        <f>IF($G60="F",0,IF($M60&lt;'Model Data Inputs'!$B$158,$AH60*('Model Data Inputs'!$B$159-1),0))</f>
        <v>-8.0785791681761893E-2</v>
      </c>
      <c r="AM60" s="202">
        <f>IF($G60="F",0,IF($M60&gt;'Model Data Inputs'!$B$160,$AH60*('Model Data Inputs'!$B$161-1),0))</f>
        <v>0</v>
      </c>
      <c r="AN60" s="202">
        <f>IF($G60="F",0,IF($P60&lt;'Model Data Inputs'!$B$162,SUM($AH60,$AI60,$AJ60,$AK60,$AL60,$AM60)*('Model Data Inputs'!$B$163-1),0))</f>
        <v>0</v>
      </c>
      <c r="AO60" s="202">
        <f t="shared" si="5"/>
        <v>1.2117868752264274</v>
      </c>
      <c r="AP60" s="204">
        <f>$K60*'Model Data Inputs'!$B$166</f>
        <v>89186.38</v>
      </c>
      <c r="AQ60" s="204">
        <f>($K60*'Model Data Inputs'!$B$145)*'Model Data Inputs'!$B$166</f>
        <v>8918.6380000000008</v>
      </c>
      <c r="AR60" s="50">
        <f t="shared" si="6"/>
        <v>98105.018000000011</v>
      </c>
    </row>
    <row r="61" spans="1:44" x14ac:dyDescent="0.2">
      <c r="A61" s="227" t="str">
        <f>'School Level Inst. Resources'!A61</f>
        <v>0401000</v>
      </c>
      <c r="B61" s="227" t="str">
        <f>'School Level Inst. Resources'!B61</f>
        <v>Carbon #1</v>
      </c>
      <c r="C61" s="227" t="str">
        <f>'School Level Inst. Resources'!C61</f>
        <v>0401049</v>
      </c>
      <c r="D61" s="227" t="str">
        <f>'School Level Inst. Resources'!D61</f>
        <v>Little Snake River Valley School</v>
      </c>
      <c r="E61" s="228" t="str">
        <f>'School Level Inst. Resources'!E61</f>
        <v>K-12</v>
      </c>
      <c r="F61" s="229" t="str">
        <f>'School Level Inst. Resources'!H61</f>
        <v>H</v>
      </c>
      <c r="G61" s="229" t="s">
        <v>1158</v>
      </c>
      <c r="H61" s="207">
        <v>59004</v>
      </c>
      <c r="I61" s="207">
        <f>IF('SFD Allowable GSF Calculation'!$D$2=1,'SFD Allowable GSF Calculation'!$P61,'SFD Allowable GSF Calculation'!$X61)</f>
        <v>63134</v>
      </c>
      <c r="J61" s="194">
        <f>$I61*'Model Data Inputs'!$B$165</f>
        <v>72604.099999999991</v>
      </c>
      <c r="K61" s="194">
        <f>IF($L61&gt;='Model Data Inputs'!$B$164,$H61,MIN($H61,$J61))</f>
        <v>59004</v>
      </c>
      <c r="L61" s="208">
        <v>1972</v>
      </c>
      <c r="M61" s="196">
        <f>IF($L61&gt;0,'Model Data Inputs'!$B$157-$L61,"")</f>
        <v>45</v>
      </c>
      <c r="N61" s="209">
        <v>25</v>
      </c>
      <c r="O61" s="198">
        <f>'School Level Inst. Resources'!$L61</f>
        <v>183.35666666666668</v>
      </c>
      <c r="P61" s="198">
        <f>IF($G61="T",SUMIFS('School Level ADM'!$S$5:$S$359,'School Level ADM'!$A$5:$A$359,$A61),0)</f>
        <v>1793.1540000000002</v>
      </c>
      <c r="Q61" s="199">
        <f t="shared" si="7"/>
        <v>0.1022537197957714</v>
      </c>
      <c r="R61" s="200">
        <f>SUM((('School Level Inst. Resources'!I61/'Model Data Inputs'!$B$8)*(1+'Model Data Inputs'!$B$9)),(SUM('School Level Inst. Resources'!J61:K61)/'Model Data Inputs'!$C$8)*(1+'Model Data Inputs'!$C$9),'School Level Inst. Resources'!K61/400)</f>
        <v>11.626282896135267</v>
      </c>
      <c r="S61" s="200">
        <f t="shared" si="1"/>
        <v>11.626282896135267</v>
      </c>
      <c r="T61" s="201">
        <f>IF($G61="T",VLOOKUP($A61,'Total O &amp; M Resources'!$A$5:$K$52,3),0)</f>
        <v>15408440.630000003</v>
      </c>
      <c r="U61" s="202">
        <f>IF($G61="F",0,$S61/'Model Data Inputs'!$B$140)</f>
        <v>0.89432945354886673</v>
      </c>
      <c r="V61" s="202">
        <f>IF($G61="F",0,$O61/'Model Data Inputs'!$B$141)</f>
        <v>0.56417435897435908</v>
      </c>
      <c r="W61" s="202">
        <f>IF($G61="F",0,$N61/'Model Data Inputs'!$B$142)</f>
        <v>1.9230769230769231</v>
      </c>
      <c r="X61" s="202">
        <f>IF($G61="F",0,$K61/'Model Data Inputs'!$B$143)</f>
        <v>3.278</v>
      </c>
      <c r="Y61" s="202">
        <f t="shared" si="2"/>
        <v>1.6648951839000374</v>
      </c>
      <c r="Z61" s="202">
        <f>IF(OR($G61="F",$F61="E"),0,'Model Data Inputs'!$B$144)</f>
        <v>0.5</v>
      </c>
      <c r="AA61" s="202">
        <f>IF(AND($O61&lt;='Model Data Inputs'!$B$139,$F61="E"),0,IF(AND($O61&lt;='Model Data Inputs'!$B$139,$F61="M"),0,IF(AND($O61&lt;='Model Data Inputs'!$B$139,$F61="H"),0,IF(SUM($Y61:$Z61)&lt;1,1,SUM($Y61:$Z61)))))</f>
        <v>2.1648951839000374</v>
      </c>
      <c r="AB61" s="202">
        <f>($K61/'Model Data Inputs'!$B$143)*'Model Data Inputs'!$B$145</f>
        <v>0.32780000000000004</v>
      </c>
      <c r="AC61" s="202">
        <f t="shared" si="3"/>
        <v>2.4926951839000373</v>
      </c>
      <c r="AD61" s="202">
        <f>IF($G61="F",0,'Model Data Inputs'!$B$147)</f>
        <v>1.1000000000000001</v>
      </c>
      <c r="AE61" s="202">
        <f>IF($G61="F",0,($K61/'Model Data Inputs'!$B$148)*'Model Data Inputs'!$B$149)</f>
        <v>1.18008</v>
      </c>
      <c r="AF61" s="202">
        <f>IF($G61="F",0,($O61/'Model Data Inputs'!$B$150)*'Model Data Inputs'!$B$151)</f>
        <v>0.23836366666666672</v>
      </c>
      <c r="AG61" s="202">
        <f>IF($G61="F",0,(($Q61*$T61)/'Model Data Inputs'!$B$152)*'Model Data Inputs'!$B$153)</f>
        <v>0.37813688896075187</v>
      </c>
      <c r="AH61" s="202">
        <f t="shared" si="4"/>
        <v>0.72414513890685461</v>
      </c>
      <c r="AI61" s="203">
        <f>IF(OR($G61="F",$F61="M",$F61="H"),0,($AH61*'Model Data Inputs'!$B$154)-$AH61)</f>
        <v>0</v>
      </c>
      <c r="AJ61" s="202">
        <f>IF(OR($G61="F",$F61="E",$F61="H"),0,($AH61*'Model Data Inputs'!$B$155)-$AH61)</f>
        <v>0</v>
      </c>
      <c r="AK61" s="203">
        <f>IF(OR($G61="F",$F61="E",$F61="M"),0,($AH61*'Model Data Inputs'!$B$156)-$AH61)</f>
        <v>0.72414513890685461</v>
      </c>
      <c r="AL61" s="203">
        <f>IF($G61="F",0,IF($M61&lt;'Model Data Inputs'!$B$158,$AH61*('Model Data Inputs'!$B$159-1),0))</f>
        <v>0</v>
      </c>
      <c r="AM61" s="202">
        <f>IF($G61="F",0,IF($M61&gt;'Model Data Inputs'!$B$160,$AH61*('Model Data Inputs'!$B$161-1),0))</f>
        <v>7.2414513890685525E-2</v>
      </c>
      <c r="AN61" s="202">
        <f>IF($G61="F",0,IF($P61&lt;'Model Data Inputs'!$B$162,SUM($AH61,$AI61,$AJ61,$AK61,$AL61,$AM61)*('Model Data Inputs'!$B$163-1),0))</f>
        <v>0</v>
      </c>
      <c r="AO61" s="202">
        <f t="shared" si="5"/>
        <v>1.5207047917043948</v>
      </c>
      <c r="AP61" s="204">
        <f>$K61*'Model Data Inputs'!$B$166</f>
        <v>39532.68</v>
      </c>
      <c r="AQ61" s="204">
        <f>($K61*'Model Data Inputs'!$B$145)*'Model Data Inputs'!$B$166</f>
        <v>3953.2680000000005</v>
      </c>
      <c r="AR61" s="50">
        <f t="shared" si="6"/>
        <v>43485.948000000004</v>
      </c>
    </row>
    <row r="62" spans="1:44" x14ac:dyDescent="0.2">
      <c r="A62" s="227" t="str">
        <f>'School Level Inst. Resources'!A62</f>
        <v>0401000</v>
      </c>
      <c r="B62" s="227" t="str">
        <f>'School Level Inst. Resources'!B62</f>
        <v>Carbon #1</v>
      </c>
      <c r="C62" s="227" t="str">
        <f>'School Level Inst. Resources'!C62</f>
        <v>0401050</v>
      </c>
      <c r="D62" s="227" t="str">
        <f>'School Level Inst. Resources'!D62</f>
        <v>Rawlins Middle School</v>
      </c>
      <c r="E62" s="228" t="str">
        <f>'School Level Inst. Resources'!E62</f>
        <v>6-8</v>
      </c>
      <c r="F62" s="229" t="str">
        <f>'School Level Inst. Resources'!H62</f>
        <v>M</v>
      </c>
      <c r="G62" s="229" t="s">
        <v>1158</v>
      </c>
      <c r="H62" s="207">
        <v>97523</v>
      </c>
      <c r="I62" s="207">
        <f>IF('SFD Allowable GSF Calculation'!$D$2=1,'SFD Allowable GSF Calculation'!$P62,'SFD Allowable GSF Calculation'!$X62)</f>
        <v>67711</v>
      </c>
      <c r="J62" s="194">
        <f>$I62*'Model Data Inputs'!$B$165</f>
        <v>77867.649999999994</v>
      </c>
      <c r="K62" s="194">
        <f>IF($L62&gt;='Model Data Inputs'!$B$164,$H62,MIN($H62,$J62))</f>
        <v>77867.649999999994</v>
      </c>
      <c r="L62" s="208">
        <v>1978</v>
      </c>
      <c r="M62" s="196">
        <f>IF($L62&gt;0,'Model Data Inputs'!$B$157-$L62,"")</f>
        <v>39</v>
      </c>
      <c r="N62" s="209">
        <v>44</v>
      </c>
      <c r="O62" s="198">
        <f>'School Level Inst. Resources'!$L62</f>
        <v>349.19466666666665</v>
      </c>
      <c r="P62" s="198">
        <f>IF($G62="T",SUMIFS('School Level ADM'!$S$5:$S$359,'School Level ADM'!$A$5:$A$359,$A62),0)</f>
        <v>1793.1540000000002</v>
      </c>
      <c r="Q62" s="199">
        <f t="shared" si="7"/>
        <v>0.19473768938232111</v>
      </c>
      <c r="R62" s="200">
        <f>SUM((('School Level Inst. Resources'!I62/'Model Data Inputs'!$B$8)*(1+'Model Data Inputs'!$B$9)),(SUM('School Level Inst. Resources'!J62:K62)/'Model Data Inputs'!$C$8)*(1+'Model Data Inputs'!$C$9),'School Level Inst. Resources'!K62/400)</f>
        <v>20.23810828985507</v>
      </c>
      <c r="S62" s="200">
        <f t="shared" si="1"/>
        <v>20.23810828985507</v>
      </c>
      <c r="T62" s="201">
        <f>IF($G62="T",VLOOKUP($A62,'Total O &amp; M Resources'!$A$5:$K$52,3),0)</f>
        <v>15408440.630000003</v>
      </c>
      <c r="U62" s="202">
        <f>IF($G62="F",0,$S62/'Model Data Inputs'!$B$140)</f>
        <v>1.5567775607580823</v>
      </c>
      <c r="V62" s="202">
        <f>IF($G62="F",0,$O62/'Model Data Inputs'!$B$141)</f>
        <v>1.0744451282051282</v>
      </c>
      <c r="W62" s="202">
        <f>IF($G62="F",0,$N62/'Model Data Inputs'!$B$142)</f>
        <v>3.3846153846153846</v>
      </c>
      <c r="X62" s="202">
        <f>IF($G62="F",0,$K62/'Model Data Inputs'!$B$143)</f>
        <v>4.3259805555555548</v>
      </c>
      <c r="Y62" s="202">
        <f t="shared" si="2"/>
        <v>2.5854546572835373</v>
      </c>
      <c r="Z62" s="202">
        <f>IF(OR($G62="F",$F62="E"),0,'Model Data Inputs'!$B$144)</f>
        <v>0.5</v>
      </c>
      <c r="AA62" s="202">
        <f>IF(AND($O62&lt;='Model Data Inputs'!$B$139,$F62="E"),0,IF(AND($O62&lt;='Model Data Inputs'!$B$139,$F62="M"),0,IF(AND($O62&lt;='Model Data Inputs'!$B$139,$F62="H"),0,IF(SUM($Y62:$Z62)&lt;1,1,SUM($Y62:$Z62)))))</f>
        <v>3.0854546572835373</v>
      </c>
      <c r="AB62" s="202">
        <f>($K62/'Model Data Inputs'!$B$143)*'Model Data Inputs'!$B$145</f>
        <v>0.43259805555555553</v>
      </c>
      <c r="AC62" s="202">
        <f t="shared" si="3"/>
        <v>3.5180527128390926</v>
      </c>
      <c r="AD62" s="202">
        <f>IF($G62="F",0,'Model Data Inputs'!$B$147)</f>
        <v>1.1000000000000001</v>
      </c>
      <c r="AE62" s="202">
        <f>IF($G62="F",0,($K62/'Model Data Inputs'!$B$148)*'Model Data Inputs'!$B$149)</f>
        <v>1.5573529999999998</v>
      </c>
      <c r="AF62" s="202">
        <f>IF($G62="F",0,($O62/'Model Data Inputs'!$B$150)*'Model Data Inputs'!$B$151)</f>
        <v>0.45395306666666668</v>
      </c>
      <c r="AG62" s="202">
        <f>IF($G62="F",0,(($Q62*$T62)/'Model Data Inputs'!$B$152)*'Model Data Inputs'!$B$153)</f>
        <v>0.72014499006501032</v>
      </c>
      <c r="AH62" s="202">
        <f t="shared" si="4"/>
        <v>0.95786276418291916</v>
      </c>
      <c r="AI62" s="203">
        <f>IF(OR($G62="F",$F62="M",$F62="H"),0,($AH62*'Model Data Inputs'!$B$154)-$AH62)</f>
        <v>0</v>
      </c>
      <c r="AJ62" s="202">
        <f>IF(OR($G62="F",$F62="E",$F62="H"),0,($AH62*'Model Data Inputs'!$B$155)-$AH62)</f>
        <v>0</v>
      </c>
      <c r="AK62" s="203">
        <f>IF(OR($G62="F",$F62="E",$F62="M"),0,($AH62*'Model Data Inputs'!$B$156)-$AH62)</f>
        <v>0</v>
      </c>
      <c r="AL62" s="203">
        <f>IF($G62="F",0,IF($M62&lt;'Model Data Inputs'!$B$158,$AH62*('Model Data Inputs'!$B$159-1),0))</f>
        <v>0</v>
      </c>
      <c r="AM62" s="202">
        <f>IF($G62="F",0,IF($M62&gt;'Model Data Inputs'!$B$160,$AH62*('Model Data Inputs'!$B$161-1),0))</f>
        <v>9.5786276418292002E-2</v>
      </c>
      <c r="AN62" s="202">
        <f>IF($G62="F",0,IF($P62&lt;'Model Data Inputs'!$B$162,SUM($AH62,$AI62,$AJ62,$AK62,$AL62,$AM62)*('Model Data Inputs'!$B$163-1),0))</f>
        <v>0</v>
      </c>
      <c r="AO62" s="202">
        <f t="shared" si="5"/>
        <v>1.0536490406012111</v>
      </c>
      <c r="AP62" s="204">
        <f>$K62*'Model Data Inputs'!$B$166</f>
        <v>52171.325499999999</v>
      </c>
      <c r="AQ62" s="204">
        <f>($K62*'Model Data Inputs'!$B$145)*'Model Data Inputs'!$B$166</f>
        <v>5217.1325500000003</v>
      </c>
      <c r="AR62" s="50">
        <f t="shared" si="6"/>
        <v>57388.458050000001</v>
      </c>
    </row>
    <row r="63" spans="1:44" x14ac:dyDescent="0.2">
      <c r="A63" s="227" t="str">
        <f>'School Level Inst. Resources'!A63</f>
        <v>0401000</v>
      </c>
      <c r="B63" s="227" t="str">
        <f>'School Level Inst. Resources'!B63</f>
        <v>Carbon #1</v>
      </c>
      <c r="C63" s="227" t="str">
        <f>'School Level Inst. Resources'!C63</f>
        <v>0401056</v>
      </c>
      <c r="D63" s="227" t="str">
        <f>'School Level Inst. Resources'!D63</f>
        <v>Rawlins High School</v>
      </c>
      <c r="E63" s="228" t="str">
        <f>'School Level Inst. Resources'!E63</f>
        <v>9-12</v>
      </c>
      <c r="F63" s="229" t="str">
        <f>'School Level Inst. Resources'!H63</f>
        <v>H</v>
      </c>
      <c r="G63" s="229" t="s">
        <v>1158</v>
      </c>
      <c r="H63" s="207">
        <v>74884</v>
      </c>
      <c r="I63" s="207">
        <f>IF('SFD Allowable GSF Calculation'!$D$2=1,'SFD Allowable GSF Calculation'!$P63,'SFD Allowable GSF Calculation'!$X63)</f>
        <v>97206</v>
      </c>
      <c r="J63" s="194">
        <f>$I63*'Model Data Inputs'!$B$165</f>
        <v>111786.9</v>
      </c>
      <c r="K63" s="194">
        <f>IF($L63&gt;='Model Data Inputs'!$B$164,$H63,MIN($H63,$J63))</f>
        <v>74884</v>
      </c>
      <c r="L63" s="208">
        <v>2016</v>
      </c>
      <c r="M63" s="196">
        <f>IF($L63&gt;0,'Model Data Inputs'!$B$157-$L63,"")</f>
        <v>1</v>
      </c>
      <c r="N63" s="209">
        <v>43</v>
      </c>
      <c r="O63" s="198">
        <f>'School Level Inst. Resources'!$L63</f>
        <v>423.14866666666671</v>
      </c>
      <c r="P63" s="198">
        <f>IF($G63="T",SUMIFS('School Level ADM'!$S$5:$S$359,'School Level ADM'!$A$5:$A$359,$A63),0)</f>
        <v>1793.1540000000002</v>
      </c>
      <c r="Q63" s="199">
        <f t="shared" si="7"/>
        <v>0.23598010358656682</v>
      </c>
      <c r="R63" s="200">
        <f>SUM((('School Level Inst. Resources'!I63/'Model Data Inputs'!$B$8)*(1+'Model Data Inputs'!$B$9)),(SUM('School Level Inst. Resources'!J63:K63)/'Model Data Inputs'!$C$8)*(1+'Model Data Inputs'!$C$9),'School Level Inst. Resources'!K63/400)</f>
        <v>25.582096565217395</v>
      </c>
      <c r="S63" s="200">
        <f t="shared" si="1"/>
        <v>25.582096565217395</v>
      </c>
      <c r="T63" s="201">
        <f>IF($G63="T",VLOOKUP($A63,'Total O &amp; M Resources'!$A$5:$K$52,3),0)</f>
        <v>15408440.630000003</v>
      </c>
      <c r="U63" s="202">
        <f>IF($G63="F",0,$S63/'Model Data Inputs'!$B$140)</f>
        <v>1.9678535819397995</v>
      </c>
      <c r="V63" s="202">
        <f>IF($G63="F",0,$O63/'Model Data Inputs'!$B$141)</f>
        <v>1.3019958974358976</v>
      </c>
      <c r="W63" s="202">
        <f>IF($G63="F",0,$N63/'Model Data Inputs'!$B$142)</f>
        <v>3.3076923076923075</v>
      </c>
      <c r="X63" s="202">
        <f>IF($G63="F",0,$K63/'Model Data Inputs'!$B$143)</f>
        <v>4.160222222222222</v>
      </c>
      <c r="Y63" s="202">
        <f t="shared" si="2"/>
        <v>2.6844410023225569</v>
      </c>
      <c r="Z63" s="202">
        <f>IF(OR($G63="F",$F63="E"),0,'Model Data Inputs'!$B$144)</f>
        <v>0.5</v>
      </c>
      <c r="AA63" s="202">
        <f>IF(AND($O63&lt;='Model Data Inputs'!$B$139,$F63="E"),0,IF(AND($O63&lt;='Model Data Inputs'!$B$139,$F63="M"),0,IF(AND($O63&lt;='Model Data Inputs'!$B$139,$F63="H"),0,IF(SUM($Y63:$Z63)&lt;1,1,SUM($Y63:$Z63)))))</f>
        <v>3.1844410023225569</v>
      </c>
      <c r="AB63" s="202">
        <f>($K63/'Model Data Inputs'!$B$143)*'Model Data Inputs'!$B$145</f>
        <v>0.41602222222222224</v>
      </c>
      <c r="AC63" s="202">
        <f t="shared" si="3"/>
        <v>3.6004632245447792</v>
      </c>
      <c r="AD63" s="202">
        <f>IF($G63="F",0,'Model Data Inputs'!$B$147)</f>
        <v>1.1000000000000001</v>
      </c>
      <c r="AE63" s="202">
        <f>IF($G63="F",0,($K63/'Model Data Inputs'!$B$148)*'Model Data Inputs'!$B$149)</f>
        <v>1.4976799999999999</v>
      </c>
      <c r="AF63" s="202">
        <f>IF($G63="F",0,($O63/'Model Data Inputs'!$B$150)*'Model Data Inputs'!$B$151)</f>
        <v>0.5500932666666668</v>
      </c>
      <c r="AG63" s="202">
        <f>IF($G63="F",0,(($Q63*$T63)/'Model Data Inputs'!$B$152)*'Model Data Inputs'!$B$153)</f>
        <v>0.87266049983396776</v>
      </c>
      <c r="AH63" s="202">
        <f t="shared" si="4"/>
        <v>1.0051084416251586</v>
      </c>
      <c r="AI63" s="203">
        <f>IF(OR($G63="F",$F63="M",$F63="H"),0,($AH63*'Model Data Inputs'!$B$154)-$AH63)</f>
        <v>0</v>
      </c>
      <c r="AJ63" s="202">
        <f>IF(OR($G63="F",$F63="E",$F63="H"),0,($AH63*'Model Data Inputs'!$B$155)-$AH63)</f>
        <v>0</v>
      </c>
      <c r="AK63" s="203">
        <f>IF(OR($G63="F",$F63="E",$F63="M"),0,($AH63*'Model Data Inputs'!$B$156)-$AH63)</f>
        <v>1.0051084416251586</v>
      </c>
      <c r="AL63" s="203">
        <f>IF($G63="F",0,IF($M63&lt;'Model Data Inputs'!$B$158,$AH63*('Model Data Inputs'!$B$159-1),0))</f>
        <v>-5.0255422081257974E-2</v>
      </c>
      <c r="AM63" s="202">
        <f>IF($G63="F",0,IF($M63&gt;'Model Data Inputs'!$B$160,$AH63*('Model Data Inputs'!$B$161-1),0))</f>
        <v>0</v>
      </c>
      <c r="AN63" s="202">
        <f>IF($G63="F",0,IF($P63&lt;'Model Data Inputs'!$B$162,SUM($AH63,$AI63,$AJ63,$AK63,$AL63,$AM63)*('Model Data Inputs'!$B$163-1),0))</f>
        <v>0</v>
      </c>
      <c r="AO63" s="202">
        <f t="shared" si="5"/>
        <v>1.9599614611690592</v>
      </c>
      <c r="AP63" s="204">
        <f>$K63*'Model Data Inputs'!$B$166</f>
        <v>50172.280000000006</v>
      </c>
      <c r="AQ63" s="204">
        <f>($K63*'Model Data Inputs'!$B$145)*'Model Data Inputs'!$B$166</f>
        <v>5017.228000000001</v>
      </c>
      <c r="AR63" s="50">
        <f t="shared" si="6"/>
        <v>55189.508000000009</v>
      </c>
    </row>
    <row r="64" spans="1:44" x14ac:dyDescent="0.2">
      <c r="A64" s="227" t="str">
        <f>'School Level Inst. Resources'!A64</f>
        <v>0401000</v>
      </c>
      <c r="B64" s="227" t="str">
        <f>'School Level Inst. Resources'!B64</f>
        <v>Carbon #1</v>
      </c>
      <c r="C64" s="227" t="str">
        <f>'School Level Inst. Resources'!C64</f>
        <v>0401057</v>
      </c>
      <c r="D64" s="227" t="str">
        <f>'School Level Inst. Resources'!D64</f>
        <v>Cooperative High</v>
      </c>
      <c r="E64" s="228" t="str">
        <f>'School Level Inst. Resources'!E64</f>
        <v>9-12</v>
      </c>
      <c r="F64" s="229" t="str">
        <f>'School Level Inst. Resources'!H64</f>
        <v>H</v>
      </c>
      <c r="G64" s="229" t="s">
        <v>1158</v>
      </c>
      <c r="H64" s="207">
        <v>7224</v>
      </c>
      <c r="I64" s="207">
        <f>IF('SFD Allowable GSF Calculation'!$D$2=1,'SFD Allowable GSF Calculation'!$P64,'SFD Allowable GSF Calculation'!$X64)</f>
        <v>14041</v>
      </c>
      <c r="J64" s="194">
        <f>$I64*'Model Data Inputs'!$B$165</f>
        <v>16147.15</v>
      </c>
      <c r="K64" s="194">
        <f>IF($L64&gt;='Model Data Inputs'!$B$164,$H64,MIN($H64,$J64))</f>
        <v>7224</v>
      </c>
      <c r="L64" s="208">
        <v>1950</v>
      </c>
      <c r="M64" s="196">
        <f>IF($L64&gt;0,'Model Data Inputs'!$B$157-$L64,"")</f>
        <v>67</v>
      </c>
      <c r="N64" s="209">
        <v>5</v>
      </c>
      <c r="O64" s="198">
        <f>'School Level Inst. Resources'!$L64</f>
        <v>34.259333333333331</v>
      </c>
      <c r="P64" s="198">
        <f>IF($G64="T",SUMIFS('School Level ADM'!$S$5:$S$359,'School Level ADM'!$A$5:$A$359,$A64),0)</f>
        <v>1793.1540000000002</v>
      </c>
      <c r="Q64" s="199">
        <f t="shared" si="7"/>
        <v>1.9105628034922446E-2</v>
      </c>
      <c r="R64" s="200">
        <f>SUM((('School Level Inst. Resources'!I64/'Model Data Inputs'!$B$8)*(1+'Model Data Inputs'!$B$9)),(SUM('School Level Inst. Resources'!J64:K64)/'Model Data Inputs'!$C$8)*(1+'Model Data Inputs'!$C$9),'School Level Inst. Resources'!K64/400)</f>
        <v>2.0712001304347822</v>
      </c>
      <c r="S64" s="200">
        <f t="shared" si="1"/>
        <v>2.0712001304347822</v>
      </c>
      <c r="T64" s="201">
        <f>IF($G64="T",VLOOKUP($A64,'Total O &amp; M Resources'!$A$5:$K$52,3),0)</f>
        <v>15408440.630000003</v>
      </c>
      <c r="U64" s="202">
        <f>IF($G64="F",0,$S64/'Model Data Inputs'!$B$140)</f>
        <v>0.1593230869565217</v>
      </c>
      <c r="V64" s="202">
        <f>IF($G64="F",0,$O64/'Model Data Inputs'!$B$141)</f>
        <v>0.10541333333333333</v>
      </c>
      <c r="W64" s="202">
        <f>IF($G64="F",0,$N64/'Model Data Inputs'!$B$142)</f>
        <v>0.38461538461538464</v>
      </c>
      <c r="X64" s="202">
        <f>IF($G64="F",0,$K64/'Model Data Inputs'!$B$143)</f>
        <v>0.40133333333333332</v>
      </c>
      <c r="Y64" s="202">
        <f t="shared" si="2"/>
        <v>0.26267128455964323</v>
      </c>
      <c r="Z64" s="202">
        <f>IF(OR($G64="F",$F64="E"),0,'Model Data Inputs'!$B$144)</f>
        <v>0.5</v>
      </c>
      <c r="AA64" s="202">
        <f>IF(AND($O64&lt;='Model Data Inputs'!$B$139,$F64="E"),0,IF(AND($O64&lt;='Model Data Inputs'!$B$139,$F64="M"),0,IF(AND($O64&lt;='Model Data Inputs'!$B$139,$F64="H"),0,IF(SUM($Y64:$Z64)&lt;1,1,SUM($Y64:$Z64)))))</f>
        <v>0</v>
      </c>
      <c r="AB64" s="202">
        <f>($K64/'Model Data Inputs'!$B$143)*'Model Data Inputs'!$B$145</f>
        <v>4.0133333333333333E-2</v>
      </c>
      <c r="AC64" s="202">
        <f t="shared" si="3"/>
        <v>4.0133333333333333E-2</v>
      </c>
      <c r="AD64" s="202">
        <f>IF($G64="F",0,'Model Data Inputs'!$B$147)</f>
        <v>1.1000000000000001</v>
      </c>
      <c r="AE64" s="202">
        <f>IF($G64="F",0,($K64/'Model Data Inputs'!$B$148)*'Model Data Inputs'!$B$149)</f>
        <v>0.14448</v>
      </c>
      <c r="AF64" s="202">
        <f>IF($G64="F",0,($O64/'Model Data Inputs'!$B$150)*'Model Data Inputs'!$B$151)</f>
        <v>4.4537133333333333E-2</v>
      </c>
      <c r="AG64" s="202">
        <f>IF($G64="F",0,(($Q64*$T64)/'Model Data Inputs'!$B$152)*'Model Data Inputs'!$B$153)</f>
        <v>7.0653104465991864E-2</v>
      </c>
      <c r="AH64" s="202">
        <f t="shared" si="4"/>
        <v>0.33991755944983132</v>
      </c>
      <c r="AI64" s="203">
        <f>IF(OR($G64="F",$F64="M",$F64="H"),0,($AH64*'Model Data Inputs'!$B$154)-$AH64)</f>
        <v>0</v>
      </c>
      <c r="AJ64" s="202">
        <f>IF(OR($G64="F",$F64="E",$F64="H"),0,($AH64*'Model Data Inputs'!$B$155)-$AH64)</f>
        <v>0</v>
      </c>
      <c r="AK64" s="203">
        <f>IF(OR($G64="F",$F64="E",$F64="M"),0,($AH64*'Model Data Inputs'!$B$156)-$AH64)</f>
        <v>0.33991755944983132</v>
      </c>
      <c r="AL64" s="203">
        <f>IF($G64="F",0,IF($M64&lt;'Model Data Inputs'!$B$158,$AH64*('Model Data Inputs'!$B$159-1),0))</f>
        <v>0</v>
      </c>
      <c r="AM64" s="202">
        <f>IF($G64="F",0,IF($M64&gt;'Model Data Inputs'!$B$160,$AH64*('Model Data Inputs'!$B$161-1),0))</f>
        <v>3.399175594498316E-2</v>
      </c>
      <c r="AN64" s="202">
        <f>IF($G64="F",0,IF($P64&lt;'Model Data Inputs'!$B$162,SUM($AH64,$AI64,$AJ64,$AK64,$AL64,$AM64)*('Model Data Inputs'!$B$163-1),0))</f>
        <v>0</v>
      </c>
      <c r="AO64" s="202">
        <f t="shared" si="5"/>
        <v>0.7138268748446458</v>
      </c>
      <c r="AP64" s="204">
        <f>$K64*'Model Data Inputs'!$B$166</f>
        <v>4840.08</v>
      </c>
      <c r="AQ64" s="204">
        <f>($K64*'Model Data Inputs'!$B$145)*'Model Data Inputs'!$B$166</f>
        <v>484.0080000000001</v>
      </c>
      <c r="AR64" s="50">
        <f t="shared" si="6"/>
        <v>5324.0879999999997</v>
      </c>
    </row>
    <row r="65" spans="1:44" x14ac:dyDescent="0.2">
      <c r="A65" s="227" t="str">
        <f>'School Level Inst. Resources'!A65</f>
        <v>0402000</v>
      </c>
      <c r="B65" s="227" t="str">
        <f>'School Level Inst. Resources'!B65</f>
        <v>Carbon #2</v>
      </c>
      <c r="C65" s="227" t="str">
        <f>'School Level Inst. Resources'!C65</f>
        <v>0402001</v>
      </c>
      <c r="D65" s="227" t="str">
        <f>'School Level Inst. Resources'!D65</f>
        <v>Elk Mountain Elementary</v>
      </c>
      <c r="E65" s="228" t="str">
        <f>'School Level Inst. Resources'!E65</f>
        <v>K-6</v>
      </c>
      <c r="F65" s="229" t="str">
        <f>'School Level Inst. Resources'!H65</f>
        <v>E</v>
      </c>
      <c r="G65" s="229" t="s">
        <v>1158</v>
      </c>
      <c r="H65" s="207">
        <v>8745</v>
      </c>
      <c r="I65" s="207">
        <f>IF('SFD Allowable GSF Calculation'!$D$2=1,'SFD Allowable GSF Calculation'!$P65,'SFD Allowable GSF Calculation'!$X65)</f>
        <v>2915</v>
      </c>
      <c r="J65" s="194">
        <f>$I65*'Model Data Inputs'!$B$165</f>
        <v>3352.2499999999995</v>
      </c>
      <c r="K65" s="194">
        <f>IF($L65&gt;='Model Data Inputs'!$B$164,$H65,MIN($H65,$J65))</f>
        <v>8745</v>
      </c>
      <c r="L65" s="208">
        <v>2009</v>
      </c>
      <c r="M65" s="196">
        <f>IF($L65&gt;0,'Model Data Inputs'!$B$157-$L65,"")</f>
        <v>8</v>
      </c>
      <c r="N65" s="209">
        <v>5</v>
      </c>
      <c r="O65" s="198">
        <f>'School Level Inst. Resources'!$L65</f>
        <v>13.046333333333333</v>
      </c>
      <c r="P65" s="198">
        <f>IF($G65="T",SUMIFS('School Level ADM'!$S$5:$S$359,'School Level ADM'!$A$5:$A$359,$A65),0)</f>
        <v>619.12233333333336</v>
      </c>
      <c r="Q65" s="199">
        <f t="shared" si="7"/>
        <v>2.107230288898209E-2</v>
      </c>
      <c r="R65" s="200">
        <f>SUM((('School Level Inst. Resources'!I65/'Model Data Inputs'!$B$8)*(1+'Model Data Inputs'!$B$9)),(SUM('School Level Inst. Resources'!J65:K65)/'Model Data Inputs'!$C$8)*(1+'Model Data Inputs'!$C$9),'School Level Inst. Resources'!K65/400)</f>
        <v>0.8697555555555555</v>
      </c>
      <c r="S65" s="200">
        <f t="shared" si="1"/>
        <v>0.8697555555555555</v>
      </c>
      <c r="T65" s="201">
        <f>IF($G65="T",VLOOKUP($A65,'Total O &amp; M Resources'!$A$5:$K$52,3),0)</f>
        <v>10080412.460000001</v>
      </c>
      <c r="U65" s="202">
        <f>IF($G65="F",0,$S65/'Model Data Inputs'!$B$140)</f>
        <v>6.6904273504273498E-2</v>
      </c>
      <c r="V65" s="202">
        <f>IF($G65="F",0,$O65/'Model Data Inputs'!$B$141)</f>
        <v>4.0142564102564102E-2</v>
      </c>
      <c r="W65" s="202">
        <f>IF($G65="F",0,$N65/'Model Data Inputs'!$B$142)</f>
        <v>0.38461538461538464</v>
      </c>
      <c r="X65" s="202">
        <f>IF($G65="F",0,$K65/'Model Data Inputs'!$B$143)</f>
        <v>0.48583333333333334</v>
      </c>
      <c r="Y65" s="202">
        <f t="shared" si="2"/>
        <v>0.24437388888888889</v>
      </c>
      <c r="Z65" s="202">
        <f>IF(OR($G65="F",$F65="E"),0,'Model Data Inputs'!$B$144)</f>
        <v>0</v>
      </c>
      <c r="AA65" s="202">
        <f>IF(AND($O65&lt;='Model Data Inputs'!$B$139,$F65="E"),0,IF(AND($O65&lt;='Model Data Inputs'!$B$139,$F65="M"),0,IF(AND($O65&lt;='Model Data Inputs'!$B$139,$F65="H"),0,IF(SUM($Y65:$Z65)&lt;1,1,SUM($Y65:$Z65)))))</f>
        <v>0</v>
      </c>
      <c r="AB65" s="202">
        <f>($K65/'Model Data Inputs'!$B$143)*'Model Data Inputs'!$B$145</f>
        <v>4.8583333333333339E-2</v>
      </c>
      <c r="AC65" s="202">
        <f t="shared" si="3"/>
        <v>4.8583333333333339E-2</v>
      </c>
      <c r="AD65" s="202">
        <f>IF($G65="F",0,'Model Data Inputs'!$B$147)</f>
        <v>1.1000000000000001</v>
      </c>
      <c r="AE65" s="202">
        <f>IF($G65="F",0,($K65/'Model Data Inputs'!$B$148)*'Model Data Inputs'!$B$149)</f>
        <v>0.17489999999999997</v>
      </c>
      <c r="AF65" s="202">
        <f>IF($G65="F",0,($O65/'Model Data Inputs'!$B$150)*'Model Data Inputs'!$B$151)</f>
        <v>1.6960233333333335E-2</v>
      </c>
      <c r="AG65" s="202">
        <f>IF($G65="F",0,(($Q65*$T65)/'Model Data Inputs'!$B$152)*'Model Data Inputs'!$B$153)</f>
        <v>5.0980201104717376E-2</v>
      </c>
      <c r="AH65" s="202">
        <f t="shared" si="4"/>
        <v>0.33571010860951273</v>
      </c>
      <c r="AI65" s="203">
        <f>IF(OR($G65="F",$F65="M",$F65="H"),0,($AH65*'Model Data Inputs'!$B$154)-$AH65)</f>
        <v>-6.7142021721902534E-2</v>
      </c>
      <c r="AJ65" s="202">
        <f>IF(OR($G65="F",$F65="E",$F65="H"),0,($AH65*'Model Data Inputs'!$B$155)-$AH65)</f>
        <v>0</v>
      </c>
      <c r="AK65" s="203">
        <f>IF(OR($G65="F",$F65="E",$F65="M"),0,($AH65*'Model Data Inputs'!$B$156)-$AH65)</f>
        <v>0</v>
      </c>
      <c r="AL65" s="203">
        <f>IF($G65="F",0,IF($M65&lt;'Model Data Inputs'!$B$158,$AH65*('Model Data Inputs'!$B$159-1),0))</f>
        <v>-1.6785505430475651E-2</v>
      </c>
      <c r="AM65" s="202">
        <f>IF($G65="F",0,IF($M65&gt;'Model Data Inputs'!$B$160,$AH65*('Model Data Inputs'!$B$161-1),0))</f>
        <v>0</v>
      </c>
      <c r="AN65" s="202">
        <f>IF($G65="F",0,IF($P65&lt;'Model Data Inputs'!$B$162,SUM($AH65,$AI65,$AJ65,$AK65,$AL65,$AM65)*('Model Data Inputs'!$B$163-1),0))</f>
        <v>2.5178258145713478E-2</v>
      </c>
      <c r="AO65" s="202">
        <f t="shared" si="5"/>
        <v>0.27696083960284801</v>
      </c>
      <c r="AP65" s="204">
        <f>$K65*'Model Data Inputs'!$B$166</f>
        <v>5859.1500000000005</v>
      </c>
      <c r="AQ65" s="204">
        <f>($K65*'Model Data Inputs'!$B$145)*'Model Data Inputs'!$B$166</f>
        <v>585.91500000000008</v>
      </c>
      <c r="AR65" s="50">
        <f t="shared" si="6"/>
        <v>6445.0650000000005</v>
      </c>
    </row>
    <row r="66" spans="1:44" x14ac:dyDescent="0.2">
      <c r="A66" s="227" t="str">
        <f>'School Level Inst. Resources'!A66</f>
        <v>0402000</v>
      </c>
      <c r="B66" s="227" t="str">
        <f>'School Level Inst. Resources'!B66</f>
        <v>Carbon #2</v>
      </c>
      <c r="C66" s="227" t="str">
        <f>'School Level Inst. Resources'!C66</f>
        <v>0402003</v>
      </c>
      <c r="D66" s="227" t="str">
        <f>'School Level Inst. Resources'!D66</f>
        <v>Hanna Elementary</v>
      </c>
      <c r="E66" s="228" t="str">
        <f>'School Level Inst. Resources'!E66</f>
        <v>K-6</v>
      </c>
      <c r="F66" s="229" t="str">
        <f>'School Level Inst. Resources'!H66</f>
        <v>E</v>
      </c>
      <c r="G66" s="229" t="s">
        <v>1158</v>
      </c>
      <c r="H66" s="207">
        <v>29237</v>
      </c>
      <c r="I66" s="207">
        <f>IF('SFD Allowable GSF Calculation'!$D$2=1,'SFD Allowable GSF Calculation'!$P66,'SFD Allowable GSF Calculation'!$X66)</f>
        <v>14963</v>
      </c>
      <c r="J66" s="194">
        <f>$I66*'Model Data Inputs'!$B$165</f>
        <v>17207.449999999997</v>
      </c>
      <c r="K66" s="194">
        <f>IF($L66&gt;='Model Data Inputs'!$B$164,$H66,MIN($H66,$J66))</f>
        <v>29237</v>
      </c>
      <c r="L66" s="208">
        <v>2015</v>
      </c>
      <c r="M66" s="196">
        <f>IF($L66&gt;0,'Model Data Inputs'!$B$157-$L66,"")</f>
        <v>2</v>
      </c>
      <c r="N66" s="209">
        <v>15</v>
      </c>
      <c r="O66" s="198">
        <f>'School Level Inst. Resources'!$L66</f>
        <v>74.762666666666661</v>
      </c>
      <c r="P66" s="198">
        <f>IF($G66="T",SUMIFS('School Level ADM'!$S$5:$S$359,'School Level ADM'!$A$5:$A$359,$A66),0)</f>
        <v>619.12233333333336</v>
      </c>
      <c r="Q66" s="199">
        <f t="shared" si="7"/>
        <v>0.12075588723176409</v>
      </c>
      <c r="R66" s="200">
        <f>SUM((('School Level Inst. Resources'!I66/'Model Data Inputs'!$B$8)*(1+'Model Data Inputs'!$B$9)),(SUM('School Level Inst. Resources'!J66:K66)/'Model Data Inputs'!$C$8)*(1+'Model Data Inputs'!$C$9),'School Level Inst. Resources'!K66/400)</f>
        <v>4.984177777777778</v>
      </c>
      <c r="S66" s="200">
        <f t="shared" si="1"/>
        <v>4.984177777777778</v>
      </c>
      <c r="T66" s="201">
        <f>IF($G66="T",VLOOKUP($A66,'Total O &amp; M Resources'!$A$5:$K$52,3),0)</f>
        <v>10080412.460000001</v>
      </c>
      <c r="U66" s="202">
        <f>IF($G66="F",0,$S66/'Model Data Inputs'!$B$140)</f>
        <v>0.38339829059829061</v>
      </c>
      <c r="V66" s="202">
        <f>IF($G66="F",0,$O66/'Model Data Inputs'!$B$141)</f>
        <v>0.23003897435897433</v>
      </c>
      <c r="W66" s="202">
        <f>IF($G66="F",0,$N66/'Model Data Inputs'!$B$142)</f>
        <v>1.1538461538461537</v>
      </c>
      <c r="X66" s="202">
        <f>IF($G66="F",0,$K66/'Model Data Inputs'!$B$143)</f>
        <v>1.6242777777777777</v>
      </c>
      <c r="Y66" s="202">
        <f t="shared" si="2"/>
        <v>0.84789029914529901</v>
      </c>
      <c r="Z66" s="202">
        <f>IF(OR($G66="F",$F66="E"),0,'Model Data Inputs'!$B$144)</f>
        <v>0</v>
      </c>
      <c r="AA66" s="202">
        <f>IF(AND($O66&lt;='Model Data Inputs'!$B$139,$F66="E"),0,IF(AND($O66&lt;='Model Data Inputs'!$B$139,$F66="M"),0,IF(AND($O66&lt;='Model Data Inputs'!$B$139,$F66="H"),0,IF(SUM($Y66:$Z66)&lt;1,1,SUM($Y66:$Z66)))))</f>
        <v>1</v>
      </c>
      <c r="AB66" s="202">
        <f>($K66/'Model Data Inputs'!$B$143)*'Model Data Inputs'!$B$145</f>
        <v>0.16242777777777778</v>
      </c>
      <c r="AC66" s="202">
        <f t="shared" si="3"/>
        <v>1.1624277777777778</v>
      </c>
      <c r="AD66" s="202">
        <f>IF($G66="F",0,'Model Data Inputs'!$B$147)</f>
        <v>1.1000000000000001</v>
      </c>
      <c r="AE66" s="202">
        <f>IF($G66="F",0,($K66/'Model Data Inputs'!$B$148)*'Model Data Inputs'!$B$149)</f>
        <v>0.58474000000000004</v>
      </c>
      <c r="AF66" s="202">
        <f>IF($G66="F",0,($O66/'Model Data Inputs'!$B$150)*'Model Data Inputs'!$B$151)</f>
        <v>9.7191466666666657E-2</v>
      </c>
      <c r="AG66" s="202">
        <f>IF($G66="F",0,(($Q66*$T66)/'Model Data Inputs'!$B$152)*'Model Data Inputs'!$B$153)</f>
        <v>0.29214459606466309</v>
      </c>
      <c r="AH66" s="202">
        <f t="shared" si="4"/>
        <v>0.51851901568283243</v>
      </c>
      <c r="AI66" s="203">
        <f>IF(OR($G66="F",$F66="M",$F66="H"),0,($AH66*'Model Data Inputs'!$B$154)-$AH66)</f>
        <v>-0.10370380313656646</v>
      </c>
      <c r="AJ66" s="202">
        <f>IF(OR($G66="F",$F66="E",$F66="H"),0,($AH66*'Model Data Inputs'!$B$155)-$AH66)</f>
        <v>0</v>
      </c>
      <c r="AK66" s="203">
        <f>IF(OR($G66="F",$F66="E",$F66="M"),0,($AH66*'Model Data Inputs'!$B$156)-$AH66)</f>
        <v>0</v>
      </c>
      <c r="AL66" s="203">
        <f>IF($G66="F",0,IF($M66&lt;'Model Data Inputs'!$B$158,$AH66*('Model Data Inputs'!$B$159-1),0))</f>
        <v>-2.5925950784141644E-2</v>
      </c>
      <c r="AM66" s="202">
        <f>IF($G66="F",0,IF($M66&gt;'Model Data Inputs'!$B$160,$AH66*('Model Data Inputs'!$B$161-1),0))</f>
        <v>0</v>
      </c>
      <c r="AN66" s="202">
        <f>IF($G66="F",0,IF($P66&lt;'Model Data Inputs'!$B$162,SUM($AH66,$AI66,$AJ66,$AK66,$AL66,$AM66)*('Model Data Inputs'!$B$163-1),0))</f>
        <v>3.8888926176212472E-2</v>
      </c>
      <c r="AO66" s="202">
        <f t="shared" si="5"/>
        <v>0.42777818793833683</v>
      </c>
      <c r="AP66" s="204">
        <f>$K66*'Model Data Inputs'!$B$166</f>
        <v>19588.79</v>
      </c>
      <c r="AQ66" s="204">
        <f>($K66*'Model Data Inputs'!$B$145)*'Model Data Inputs'!$B$166</f>
        <v>1958.8790000000004</v>
      </c>
      <c r="AR66" s="50">
        <f t="shared" si="6"/>
        <v>21547.669000000002</v>
      </c>
    </row>
    <row r="67" spans="1:44" x14ac:dyDescent="0.2">
      <c r="A67" s="227" t="str">
        <f>'School Level Inst. Resources'!A67</f>
        <v>0402000</v>
      </c>
      <c r="B67" s="227" t="str">
        <f>'School Level Inst. Resources'!B67</f>
        <v>Carbon #2</v>
      </c>
      <c r="C67" s="227" t="str">
        <f>'School Level Inst. Resources'!C67</f>
        <v>0402005</v>
      </c>
      <c r="D67" s="227" t="str">
        <f>'School Level Inst. Resources'!D67</f>
        <v>Medicine Bow Elementary</v>
      </c>
      <c r="E67" s="228" t="str">
        <f>'School Level Inst. Resources'!E67</f>
        <v>K-6</v>
      </c>
      <c r="F67" s="229" t="str">
        <f>'School Level Inst. Resources'!H67</f>
        <v>E</v>
      </c>
      <c r="G67" s="229" t="s">
        <v>1158</v>
      </c>
      <c r="H67" s="207">
        <v>8666</v>
      </c>
      <c r="I67" s="207">
        <f>IF('SFD Allowable GSF Calculation'!$D$2=1,'SFD Allowable GSF Calculation'!$P67,'SFD Allowable GSF Calculation'!$X67)</f>
        <v>2915</v>
      </c>
      <c r="J67" s="194">
        <f>$I67*'Model Data Inputs'!$B$165</f>
        <v>3352.2499999999995</v>
      </c>
      <c r="K67" s="194">
        <f>IF($L67&gt;='Model Data Inputs'!$B$164,$H67,MIN($H67,$J67))</f>
        <v>8666</v>
      </c>
      <c r="L67" s="208">
        <v>2009</v>
      </c>
      <c r="M67" s="196">
        <f>IF($L67&gt;0,'Model Data Inputs'!$B$157-$L67,"")</f>
        <v>8</v>
      </c>
      <c r="N67" s="209">
        <v>5</v>
      </c>
      <c r="O67" s="198">
        <f>'School Level Inst. Resources'!$L67</f>
        <v>16.345333333333336</v>
      </c>
      <c r="P67" s="198">
        <f>IF($G67="T",SUMIFS('School Level ADM'!$S$5:$S$359,'School Level ADM'!$A$5:$A$359,$A67),0)</f>
        <v>619.12233333333336</v>
      </c>
      <c r="Q67" s="199">
        <f t="shared" si="7"/>
        <v>2.6400813624878661E-2</v>
      </c>
      <c r="R67" s="200">
        <f>SUM((('School Level Inst. Resources'!I67/'Model Data Inputs'!$B$8)*(1+'Model Data Inputs'!$B$9)),(SUM('School Level Inst. Resources'!J67:K67)/'Model Data Inputs'!$C$8)*(1+'Model Data Inputs'!$C$9),'School Level Inst. Resources'!K67/400)</f>
        <v>1.0896888888888892</v>
      </c>
      <c r="S67" s="200">
        <f t="shared" si="1"/>
        <v>1.0896888888888892</v>
      </c>
      <c r="T67" s="201">
        <f>IF($G67="T",VLOOKUP($A67,'Total O &amp; M Resources'!$A$5:$K$52,3),0)</f>
        <v>10080412.460000001</v>
      </c>
      <c r="U67" s="202">
        <f>IF($G67="F",0,$S67/'Model Data Inputs'!$B$140)</f>
        <v>8.3822222222222242E-2</v>
      </c>
      <c r="V67" s="202">
        <f>IF($G67="F",0,$O67/'Model Data Inputs'!$B$141)</f>
        <v>5.0293333333333343E-2</v>
      </c>
      <c r="W67" s="202">
        <f>IF($G67="F",0,$N67/'Model Data Inputs'!$B$142)</f>
        <v>0.38461538461538464</v>
      </c>
      <c r="X67" s="202">
        <f>IF($G67="F",0,$K67/'Model Data Inputs'!$B$143)</f>
        <v>0.48144444444444445</v>
      </c>
      <c r="Y67" s="202">
        <f t="shared" si="2"/>
        <v>0.25004384615384617</v>
      </c>
      <c r="Z67" s="202">
        <f>IF(OR($G67="F",$F67="E"),0,'Model Data Inputs'!$B$144)</f>
        <v>0</v>
      </c>
      <c r="AA67" s="202">
        <f>IF(AND($O67&lt;='Model Data Inputs'!$B$139,$F67="E"),0,IF(AND($O67&lt;='Model Data Inputs'!$B$139,$F67="M"),0,IF(AND($O67&lt;='Model Data Inputs'!$B$139,$F67="H"),0,IF(SUM($Y67:$Z67)&lt;1,1,SUM($Y67:$Z67)))))</f>
        <v>0</v>
      </c>
      <c r="AB67" s="202">
        <f>($K67/'Model Data Inputs'!$B$143)*'Model Data Inputs'!$B$145</f>
        <v>4.8144444444444448E-2</v>
      </c>
      <c r="AC67" s="202">
        <f t="shared" si="3"/>
        <v>4.8144444444444448E-2</v>
      </c>
      <c r="AD67" s="202">
        <f>IF($G67="F",0,'Model Data Inputs'!$B$147)</f>
        <v>1.1000000000000001</v>
      </c>
      <c r="AE67" s="202">
        <f>IF($G67="F",0,($K67/'Model Data Inputs'!$B$148)*'Model Data Inputs'!$B$149)</f>
        <v>0.17332</v>
      </c>
      <c r="AF67" s="202">
        <f>IF($G67="F",0,($O67/'Model Data Inputs'!$B$150)*'Model Data Inputs'!$B$151)</f>
        <v>2.1248933333333338E-2</v>
      </c>
      <c r="AG67" s="202">
        <f>IF($G67="F",0,(($Q67*$T67)/'Model Data Inputs'!$B$152)*'Model Data Inputs'!$B$153)</f>
        <v>6.3871461748407507E-2</v>
      </c>
      <c r="AH67" s="202">
        <f t="shared" si="4"/>
        <v>0.33961009877043524</v>
      </c>
      <c r="AI67" s="203">
        <f>IF(OR($G67="F",$F67="M",$F67="H"),0,($AH67*'Model Data Inputs'!$B$154)-$AH67)</f>
        <v>-6.7922019754087015E-2</v>
      </c>
      <c r="AJ67" s="202">
        <f>IF(OR($G67="F",$F67="E",$F67="H"),0,($AH67*'Model Data Inputs'!$B$155)-$AH67)</f>
        <v>0</v>
      </c>
      <c r="AK67" s="203">
        <f>IF(OR($G67="F",$F67="E",$F67="M"),0,($AH67*'Model Data Inputs'!$B$156)-$AH67)</f>
        <v>0</v>
      </c>
      <c r="AL67" s="203">
        <f>IF($G67="F",0,IF($M67&lt;'Model Data Inputs'!$B$158,$AH67*('Model Data Inputs'!$B$159-1),0))</f>
        <v>-1.6980504938521778E-2</v>
      </c>
      <c r="AM67" s="202">
        <f>IF($G67="F",0,IF($M67&gt;'Model Data Inputs'!$B$160,$AH67*('Model Data Inputs'!$B$161-1),0))</f>
        <v>0</v>
      </c>
      <c r="AN67" s="202">
        <f>IF($G67="F",0,IF($P67&lt;'Model Data Inputs'!$B$162,SUM($AH67,$AI67,$AJ67,$AK67,$AL67,$AM67)*('Model Data Inputs'!$B$163-1),0))</f>
        <v>2.5470757407782669E-2</v>
      </c>
      <c r="AO67" s="202">
        <f t="shared" si="5"/>
        <v>0.28017833148560911</v>
      </c>
      <c r="AP67" s="204">
        <f>$K67*'Model Data Inputs'!$B$166</f>
        <v>5806.22</v>
      </c>
      <c r="AQ67" s="204">
        <f>($K67*'Model Data Inputs'!$B$145)*'Model Data Inputs'!$B$166</f>
        <v>580.62200000000007</v>
      </c>
      <c r="AR67" s="50">
        <f t="shared" si="6"/>
        <v>6386.8420000000006</v>
      </c>
    </row>
    <row r="68" spans="1:44" x14ac:dyDescent="0.2">
      <c r="A68" s="227" t="str">
        <f>'School Level Inst. Resources'!A68</f>
        <v>0402000</v>
      </c>
      <c r="B68" s="227" t="str">
        <f>'School Level Inst. Resources'!B68</f>
        <v>Carbon #2</v>
      </c>
      <c r="C68" s="227" t="str">
        <f>'School Level Inst. Resources'!C68</f>
        <v>0402006</v>
      </c>
      <c r="D68" s="227" t="str">
        <f>'School Level Inst. Resources'!D68</f>
        <v>Saratoga Elementary</v>
      </c>
      <c r="E68" s="228" t="str">
        <f>'School Level Inst. Resources'!E68</f>
        <v>K-6</v>
      </c>
      <c r="F68" s="229" t="str">
        <f>'School Level Inst. Resources'!H68</f>
        <v>E</v>
      </c>
      <c r="G68" s="229" t="s">
        <v>1158</v>
      </c>
      <c r="H68" s="207">
        <v>39990</v>
      </c>
      <c r="I68" s="207">
        <f>IF('SFD Allowable GSF Calculation'!$D$2=1,'SFD Allowable GSF Calculation'!$P68,'SFD Allowable GSF Calculation'!$X68)</f>
        <v>26107</v>
      </c>
      <c r="J68" s="194">
        <f>$I68*'Model Data Inputs'!$B$165</f>
        <v>30023.05</v>
      </c>
      <c r="K68" s="194">
        <f>IF($L68&gt;='Model Data Inputs'!$B$164,$H68,MIN($H68,$J68))</f>
        <v>30023.05</v>
      </c>
      <c r="L68" s="208">
        <v>1961</v>
      </c>
      <c r="M68" s="196">
        <f>IF($L68&gt;0,'Model Data Inputs'!$B$157-$L68,"")</f>
        <v>56</v>
      </c>
      <c r="N68" s="209">
        <v>18</v>
      </c>
      <c r="O68" s="198">
        <f>'School Level Inst. Resources'!$L68</f>
        <v>155.57533333333333</v>
      </c>
      <c r="P68" s="198">
        <f>IF($G68="T",SUMIFS('School Level ADM'!$S$5:$S$359,'School Level ADM'!$A$5:$A$359,$A68),0)</f>
        <v>619.12233333333336</v>
      </c>
      <c r="Q68" s="199">
        <f t="shared" si="7"/>
        <v>0.25128367199374169</v>
      </c>
      <c r="R68" s="200">
        <f>SUM((('School Level Inst. Resources'!I68/'Model Data Inputs'!$B$8)*(1+'Model Data Inputs'!$B$9)),(SUM('School Level Inst. Resources'!J68:K68)/'Model Data Inputs'!$C$8)*(1+'Model Data Inputs'!$C$9),'School Level Inst. Resources'!K68/400)</f>
        <v>10.371688888888889</v>
      </c>
      <c r="S68" s="200">
        <f t="shared" si="1"/>
        <v>10.371688888888889</v>
      </c>
      <c r="T68" s="201">
        <f>IF($G68="T",VLOOKUP($A68,'Total O &amp; M Resources'!$A$5:$K$52,3),0)</f>
        <v>10080412.460000001</v>
      </c>
      <c r="U68" s="202">
        <f>IF($G68="F",0,$S68/'Model Data Inputs'!$B$140)</f>
        <v>0.79782222222222221</v>
      </c>
      <c r="V68" s="202">
        <f>IF($G68="F",0,$O68/'Model Data Inputs'!$B$141)</f>
        <v>0.47869333333333336</v>
      </c>
      <c r="W68" s="202">
        <f>IF($G68="F",0,$N68/'Model Data Inputs'!$B$142)</f>
        <v>1.3846153846153846</v>
      </c>
      <c r="X68" s="202">
        <f>IF($G68="F",0,$K68/'Model Data Inputs'!$B$143)</f>
        <v>1.6679472222222222</v>
      </c>
      <c r="Y68" s="202">
        <f t="shared" si="2"/>
        <v>1.0822695405982907</v>
      </c>
      <c r="Z68" s="202">
        <f>IF(OR($G68="F",$F68="E"),0,'Model Data Inputs'!$B$144)</f>
        <v>0</v>
      </c>
      <c r="AA68" s="202">
        <f>IF(AND($O68&lt;='Model Data Inputs'!$B$139,$F68="E"),0,IF(AND($O68&lt;='Model Data Inputs'!$B$139,$F68="M"),0,IF(AND($O68&lt;='Model Data Inputs'!$B$139,$F68="H"),0,IF(SUM($Y68:$Z68)&lt;1,1,SUM($Y68:$Z68)))))</f>
        <v>1.0822695405982907</v>
      </c>
      <c r="AB68" s="202">
        <f>($K68/'Model Data Inputs'!$B$143)*'Model Data Inputs'!$B$145</f>
        <v>0.16679472222222225</v>
      </c>
      <c r="AC68" s="202">
        <f t="shared" si="3"/>
        <v>1.2490642628205131</v>
      </c>
      <c r="AD68" s="202">
        <f>IF($G68="F",0,'Model Data Inputs'!$B$147)</f>
        <v>1.1000000000000001</v>
      </c>
      <c r="AE68" s="202">
        <f>IF($G68="F",0,($K68/'Model Data Inputs'!$B$148)*'Model Data Inputs'!$B$149)</f>
        <v>0.60046099999999991</v>
      </c>
      <c r="AF68" s="202">
        <f>IF($G68="F",0,($O68/'Model Data Inputs'!$B$150)*'Model Data Inputs'!$B$151)</f>
        <v>0.20224793333333335</v>
      </c>
      <c r="AG68" s="202">
        <f>IF($G68="F",0,(($Q68*$T68)/'Model Data Inputs'!$B$152)*'Model Data Inputs'!$B$153)</f>
        <v>0.60793033395846408</v>
      </c>
      <c r="AH68" s="202">
        <f t="shared" si="4"/>
        <v>0.62765981682294936</v>
      </c>
      <c r="AI68" s="203">
        <f>IF(OR($G68="F",$F68="M",$F68="H"),0,($AH68*'Model Data Inputs'!$B$154)-$AH68)</f>
        <v>-0.12553196336458983</v>
      </c>
      <c r="AJ68" s="202">
        <f>IF(OR($G68="F",$F68="E",$F68="H"),0,($AH68*'Model Data Inputs'!$B$155)-$AH68)</f>
        <v>0</v>
      </c>
      <c r="AK68" s="203">
        <f>IF(OR($G68="F",$F68="E",$F68="M"),0,($AH68*'Model Data Inputs'!$B$156)-$AH68)</f>
        <v>0</v>
      </c>
      <c r="AL68" s="203">
        <f>IF($G68="F",0,IF($M68&lt;'Model Data Inputs'!$B$158,$AH68*('Model Data Inputs'!$B$159-1),0))</f>
        <v>0</v>
      </c>
      <c r="AM68" s="202">
        <f>IF($G68="F",0,IF($M68&gt;'Model Data Inputs'!$B$160,$AH68*('Model Data Inputs'!$B$161-1),0))</f>
        <v>6.2765981682294997E-2</v>
      </c>
      <c r="AN68" s="202">
        <f>IF($G68="F",0,IF($P68&lt;'Model Data Inputs'!$B$162,SUM($AH68,$AI68,$AJ68,$AK68,$AL68,$AM68)*('Model Data Inputs'!$B$163-1),0))</f>
        <v>5.6489383514065503E-2</v>
      </c>
      <c r="AO68" s="202">
        <f t="shared" si="5"/>
        <v>0.62138321865472002</v>
      </c>
      <c r="AP68" s="204">
        <f>$K68*'Model Data Inputs'!$B$166</f>
        <v>20115.443500000001</v>
      </c>
      <c r="AQ68" s="204">
        <f>($K68*'Model Data Inputs'!$B$145)*'Model Data Inputs'!$B$166</f>
        <v>2011.5443500000003</v>
      </c>
      <c r="AR68" s="50">
        <f t="shared" si="6"/>
        <v>22126.987850000001</v>
      </c>
    </row>
    <row r="69" spans="1:44" x14ac:dyDescent="0.2">
      <c r="A69" s="227" t="str">
        <f>'School Level Inst. Resources'!A69</f>
        <v>0402000</v>
      </c>
      <c r="B69" s="227" t="str">
        <f>'School Level Inst. Resources'!B69</f>
        <v>Carbon #2</v>
      </c>
      <c r="C69" s="227" t="str">
        <f>'School Level Inst. Resources'!C69</f>
        <v>0402048</v>
      </c>
      <c r="D69" s="227" t="str">
        <f>'School Level Inst. Resources'!D69</f>
        <v>HEM Junior/Senior High School</v>
      </c>
      <c r="E69" s="228" t="str">
        <f>'School Level Inst. Resources'!E69</f>
        <v>7-12</v>
      </c>
      <c r="F69" s="229" t="str">
        <f>'School Level Inst. Resources'!H69</f>
        <v>H</v>
      </c>
      <c r="G69" s="229" t="s">
        <v>1158</v>
      </c>
      <c r="H69" s="207">
        <v>79240</v>
      </c>
      <c r="I69" s="207">
        <f>IF('SFD Allowable GSF Calculation'!$D$2=1,'SFD Allowable GSF Calculation'!$P69,'SFD Allowable GSF Calculation'!$X69)</f>
        <v>44862</v>
      </c>
      <c r="J69" s="194">
        <f>$I69*'Model Data Inputs'!$B$165</f>
        <v>51591.299999999996</v>
      </c>
      <c r="K69" s="194">
        <f>IF($L69&gt;='Model Data Inputs'!$B$164,$H69,MIN($H69,$J69))</f>
        <v>51591.299999999996</v>
      </c>
      <c r="L69" s="208">
        <v>1978</v>
      </c>
      <c r="M69" s="196">
        <f>IF($L69&gt;0,'Model Data Inputs'!$B$157-$L69,"")</f>
        <v>39</v>
      </c>
      <c r="N69" s="209">
        <v>22</v>
      </c>
      <c r="O69" s="198">
        <f>'School Level Inst. Resources'!$L69</f>
        <v>88.301999999999992</v>
      </c>
      <c r="P69" s="198">
        <f>IF($G69="T",SUMIFS('School Level ADM'!$S$5:$S$359,'School Level ADM'!$A$5:$A$359,$A69),0)</f>
        <v>619.12233333333336</v>
      </c>
      <c r="Q69" s="199">
        <f t="shared" si="7"/>
        <v>0.142624478630233</v>
      </c>
      <c r="R69" s="200">
        <f>SUM((('School Level Inst. Resources'!I69/'Model Data Inputs'!$B$8)*(1+'Model Data Inputs'!$B$9)),(SUM('School Level Inst. Resources'!J69:K69)/'Model Data Inputs'!$C$8)*(1+'Model Data Inputs'!$C$9),'School Level Inst. Resources'!K69/400)</f>
        <v>5.259297615942029</v>
      </c>
      <c r="S69" s="200">
        <f t="shared" si="1"/>
        <v>5.259297615942029</v>
      </c>
      <c r="T69" s="201">
        <f>IF($G69="T",VLOOKUP($A69,'Total O &amp; M Resources'!$A$5:$K$52,3),0)</f>
        <v>10080412.460000001</v>
      </c>
      <c r="U69" s="202">
        <f>IF($G69="F",0,$S69/'Model Data Inputs'!$B$140)</f>
        <v>0.40456135507246377</v>
      </c>
      <c r="V69" s="202">
        <f>IF($G69="F",0,$O69/'Model Data Inputs'!$B$141)</f>
        <v>0.2716984615384615</v>
      </c>
      <c r="W69" s="202">
        <f>IF($G69="F",0,$N69/'Model Data Inputs'!$B$142)</f>
        <v>1.6923076923076923</v>
      </c>
      <c r="X69" s="202">
        <f>IF($G69="F",0,$K69/'Model Data Inputs'!$B$143)</f>
        <v>2.8661833333333333</v>
      </c>
      <c r="Y69" s="202">
        <f t="shared" si="2"/>
        <v>1.3086877105629877</v>
      </c>
      <c r="Z69" s="202">
        <f>IF(OR($G69="F",$F69="E"),0,'Model Data Inputs'!$B$144)</f>
        <v>0.5</v>
      </c>
      <c r="AA69" s="202">
        <f>IF(AND($O69&lt;='Model Data Inputs'!$B$139,$F69="E"),0,IF(AND($O69&lt;='Model Data Inputs'!$B$139,$F69="M"),0,IF(AND($O69&lt;='Model Data Inputs'!$B$139,$F69="H"),0,IF(SUM($Y69:$Z69)&lt;1,1,SUM($Y69:$Z69)))))</f>
        <v>1.8086877105629877</v>
      </c>
      <c r="AB69" s="202">
        <f>($K69/'Model Data Inputs'!$B$143)*'Model Data Inputs'!$B$145</f>
        <v>0.28661833333333336</v>
      </c>
      <c r="AC69" s="202">
        <f t="shared" si="3"/>
        <v>2.0953060438963211</v>
      </c>
      <c r="AD69" s="202">
        <f>IF($G69="F",0,'Model Data Inputs'!$B$147)</f>
        <v>1.1000000000000001</v>
      </c>
      <c r="AE69" s="202">
        <f>IF($G69="F",0,($K69/'Model Data Inputs'!$B$148)*'Model Data Inputs'!$B$149)</f>
        <v>1.0318259999999999</v>
      </c>
      <c r="AF69" s="202">
        <f>IF($G69="F",0,($O69/'Model Data Inputs'!$B$150)*'Model Data Inputs'!$B$151)</f>
        <v>0.11479259999999999</v>
      </c>
      <c r="AG69" s="202">
        <f>IF($G69="F",0,(($Q69*$T69)/'Model Data Inputs'!$B$152)*'Model Data Inputs'!$B$153)</f>
        <v>0.34505125715644908</v>
      </c>
      <c r="AH69" s="202">
        <f t="shared" si="4"/>
        <v>0.64791746428911234</v>
      </c>
      <c r="AI69" s="203">
        <f>IF(OR($G69="F",$F69="M",$F69="H"),0,($AH69*'Model Data Inputs'!$B$154)-$AH69)</f>
        <v>0</v>
      </c>
      <c r="AJ69" s="202">
        <f>IF(OR($G69="F",$F69="E",$F69="H"),0,($AH69*'Model Data Inputs'!$B$155)-$AH69)</f>
        <v>0</v>
      </c>
      <c r="AK69" s="203">
        <f>IF(OR($G69="F",$F69="E",$F69="M"),0,($AH69*'Model Data Inputs'!$B$156)-$AH69)</f>
        <v>0.64791746428911234</v>
      </c>
      <c r="AL69" s="203">
        <f>IF($G69="F",0,IF($M69&lt;'Model Data Inputs'!$B$158,$AH69*('Model Data Inputs'!$B$159-1),0))</f>
        <v>0</v>
      </c>
      <c r="AM69" s="202">
        <f>IF($G69="F",0,IF($M69&gt;'Model Data Inputs'!$B$160,$AH69*('Model Data Inputs'!$B$161-1),0))</f>
        <v>6.4791746428911293E-2</v>
      </c>
      <c r="AN69" s="202">
        <f>IF($G69="F",0,IF($P69&lt;'Model Data Inputs'!$B$162,SUM($AH69,$AI69,$AJ69,$AK69,$AL69,$AM69)*('Model Data Inputs'!$B$163-1),0))</f>
        <v>0.13606266750071372</v>
      </c>
      <c r="AO69" s="202">
        <f t="shared" si="5"/>
        <v>1.4966893425078498</v>
      </c>
      <c r="AP69" s="204">
        <f>$K69*'Model Data Inputs'!$B$166</f>
        <v>34566.171000000002</v>
      </c>
      <c r="AQ69" s="204">
        <f>($K69*'Model Data Inputs'!$B$145)*'Model Data Inputs'!$B$166</f>
        <v>3456.6171000000004</v>
      </c>
      <c r="AR69" s="50">
        <f t="shared" si="6"/>
        <v>38022.788100000005</v>
      </c>
    </row>
    <row r="70" spans="1:44" x14ac:dyDescent="0.2">
      <c r="A70" s="227" t="str">
        <f>'School Level Inst. Resources'!A70</f>
        <v>0402000</v>
      </c>
      <c r="B70" s="227" t="str">
        <f>'School Level Inst. Resources'!B70</f>
        <v>Carbon #2</v>
      </c>
      <c r="C70" s="227" t="str">
        <f>'School Level Inst. Resources'!C70</f>
        <v>0402049</v>
      </c>
      <c r="D70" s="227" t="str">
        <f>'School Level Inst. Resources'!D70</f>
        <v>Encampment K-12 School</v>
      </c>
      <c r="E70" s="228" t="str">
        <f>'School Level Inst. Resources'!E70</f>
        <v>K-12</v>
      </c>
      <c r="F70" s="229" t="str">
        <f>'School Level Inst. Resources'!H70</f>
        <v>H</v>
      </c>
      <c r="G70" s="229" t="s">
        <v>1158</v>
      </c>
      <c r="H70" s="207">
        <v>82350</v>
      </c>
      <c r="I70" s="207">
        <f>IF('SFD Allowable GSF Calculation'!$D$2=1,'SFD Allowable GSF Calculation'!$P70,'SFD Allowable GSF Calculation'!$X70)</f>
        <v>53325</v>
      </c>
      <c r="J70" s="194">
        <f>$I70*'Model Data Inputs'!$B$165</f>
        <v>61323.749999999993</v>
      </c>
      <c r="K70" s="194">
        <f>IF($L70&gt;='Model Data Inputs'!$B$164,$H70,MIN($H70,$J70))</f>
        <v>61323.749999999993</v>
      </c>
      <c r="L70" s="208">
        <v>1991</v>
      </c>
      <c r="M70" s="196">
        <f>IF($L70&gt;0,'Model Data Inputs'!$B$157-$L70,"")</f>
        <v>26</v>
      </c>
      <c r="N70" s="209">
        <v>26</v>
      </c>
      <c r="O70" s="198">
        <f>'School Level Inst. Resources'!$L70</f>
        <v>140.33633333333336</v>
      </c>
      <c r="P70" s="198">
        <f>IF($G70="T",SUMIFS('School Level ADM'!$S$5:$S$359,'School Level ADM'!$A$5:$A$359,$A70),0)</f>
        <v>619.12233333333336</v>
      </c>
      <c r="Q70" s="199">
        <f t="shared" si="7"/>
        <v>0.22666979654532468</v>
      </c>
      <c r="R70" s="200">
        <f>SUM((('School Level Inst. Resources'!I70/'Model Data Inputs'!$B$8)*(1+'Model Data Inputs'!$B$9)),(SUM('School Level Inst. Resources'!J70:K70)/'Model Data Inputs'!$C$8)*(1+'Model Data Inputs'!$C$9),'School Level Inst. Resources'!K70/400)</f>
        <v>8.7703524975845415</v>
      </c>
      <c r="S70" s="200">
        <f t="shared" ref="S70:S132" si="8">R70</f>
        <v>8.7703524975845415</v>
      </c>
      <c r="T70" s="201">
        <f>IF($G70="T",VLOOKUP($A70,'Total O &amp; M Resources'!$A$5:$K$52,3),0)</f>
        <v>10080412.460000001</v>
      </c>
      <c r="U70" s="202">
        <f>IF($G70="F",0,$S70/'Model Data Inputs'!$B$140)</f>
        <v>0.67464249981419555</v>
      </c>
      <c r="V70" s="202">
        <f>IF($G70="F",0,$O70/'Model Data Inputs'!$B$141)</f>
        <v>0.43180410256410262</v>
      </c>
      <c r="W70" s="202">
        <f>IF($G70="F",0,$N70/'Model Data Inputs'!$B$142)</f>
        <v>2</v>
      </c>
      <c r="X70" s="202">
        <f>IF($G70="F",0,$K70/'Model Data Inputs'!$B$143)</f>
        <v>3.4068749999999994</v>
      </c>
      <c r="Y70" s="202">
        <f t="shared" ref="Y70:Y133" si="9">AVERAGE(U70:X70)</f>
        <v>1.6283304005945745</v>
      </c>
      <c r="Z70" s="202">
        <f>IF(OR($G70="F",$F70="E"),0,'Model Data Inputs'!$B$144)</f>
        <v>0.5</v>
      </c>
      <c r="AA70" s="202">
        <f>IF(AND($O70&lt;='Model Data Inputs'!$B$139,$F70="E"),0,IF(AND($O70&lt;='Model Data Inputs'!$B$139,$F70="M"),0,IF(AND($O70&lt;='Model Data Inputs'!$B$139,$F70="H"),0,IF(SUM($Y70:$Z70)&lt;1,1,SUM($Y70:$Z70)))))</f>
        <v>2.1283304005945745</v>
      </c>
      <c r="AB70" s="202">
        <f>($K70/'Model Data Inputs'!$B$143)*'Model Data Inputs'!$B$145</f>
        <v>0.34068749999999998</v>
      </c>
      <c r="AC70" s="202">
        <f t="shared" ref="AC70:AC133" si="10">SUM(AA70:AB70)</f>
        <v>2.4690179005945745</v>
      </c>
      <c r="AD70" s="202">
        <f>IF($G70="F",0,'Model Data Inputs'!$B$147)</f>
        <v>1.1000000000000001</v>
      </c>
      <c r="AE70" s="202">
        <f>IF($G70="F",0,($K70/'Model Data Inputs'!$B$148)*'Model Data Inputs'!$B$149)</f>
        <v>1.2264749999999998</v>
      </c>
      <c r="AF70" s="202">
        <f>IF($G70="F",0,($O70/'Model Data Inputs'!$B$150)*'Model Data Inputs'!$B$151)</f>
        <v>0.18243723333333339</v>
      </c>
      <c r="AG70" s="202">
        <f>IF($G70="F",0,(($Q70*$T70)/'Model Data Inputs'!$B$152)*'Model Data Inputs'!$B$153)</f>
        <v>0.5483820099362775</v>
      </c>
      <c r="AH70" s="202">
        <f t="shared" ref="AH70:AH133" si="11">AVERAGE($AD70:$AG70)</f>
        <v>0.7643235608174026</v>
      </c>
      <c r="AI70" s="203">
        <f>IF(OR($G70="F",$F70="M",$F70="H"),0,($AH70*'Model Data Inputs'!$B$154)-$AH70)</f>
        <v>0</v>
      </c>
      <c r="AJ70" s="202">
        <f>IF(OR($G70="F",$F70="E",$F70="H"),0,($AH70*'Model Data Inputs'!$B$155)-$AH70)</f>
        <v>0</v>
      </c>
      <c r="AK70" s="203">
        <f>IF(OR($G70="F",$F70="E",$F70="M"),0,($AH70*'Model Data Inputs'!$B$156)-$AH70)</f>
        <v>0.7643235608174026</v>
      </c>
      <c r="AL70" s="203">
        <f>IF($G70="F",0,IF($M70&lt;'Model Data Inputs'!$B$158,$AH70*('Model Data Inputs'!$B$159-1),0))</f>
        <v>0</v>
      </c>
      <c r="AM70" s="202">
        <f>IF($G70="F",0,IF($M70&gt;'Model Data Inputs'!$B$160,$AH70*('Model Data Inputs'!$B$161-1),0))</f>
        <v>0</v>
      </c>
      <c r="AN70" s="202">
        <f>IF($G70="F",0,IF($P70&lt;'Model Data Inputs'!$B$162,SUM($AH70,$AI70,$AJ70,$AK70,$AL70,$AM70)*('Model Data Inputs'!$B$163-1),0))</f>
        <v>0.15286471216348066</v>
      </c>
      <c r="AO70" s="202">
        <f t="shared" ref="AO70:AO133" si="12">SUM(AH70:AN70)</f>
        <v>1.6815118337982859</v>
      </c>
      <c r="AP70" s="204">
        <f>$K70*'Model Data Inputs'!$B$166</f>
        <v>41086.912499999999</v>
      </c>
      <c r="AQ70" s="204">
        <f>($K70*'Model Data Inputs'!$B$145)*'Model Data Inputs'!$B$166</f>
        <v>4108.6912499999999</v>
      </c>
      <c r="AR70" s="50">
        <f t="shared" ref="AR70:AR133" si="13">SUM(AP70:AQ70)</f>
        <v>45195.603749999995</v>
      </c>
    </row>
    <row r="71" spans="1:44" x14ac:dyDescent="0.2">
      <c r="A71" s="227" t="str">
        <f>'School Level Inst. Resources'!A71</f>
        <v>0402000</v>
      </c>
      <c r="B71" s="227" t="str">
        <f>'School Level Inst. Resources'!B71</f>
        <v>Carbon #2</v>
      </c>
      <c r="C71" s="227" t="str">
        <f>'School Level Inst. Resources'!C71</f>
        <v>0402059</v>
      </c>
      <c r="D71" s="227" t="str">
        <f>'School Level Inst. Resources'!D71</f>
        <v>Saratoga Middle/High School</v>
      </c>
      <c r="E71" s="228" t="str">
        <f>'School Level Inst. Resources'!E71</f>
        <v>7-12</v>
      </c>
      <c r="F71" s="229" t="str">
        <f>'School Level Inst. Resources'!H71</f>
        <v>H</v>
      </c>
      <c r="G71" s="229" t="s">
        <v>1158</v>
      </c>
      <c r="H71" s="207">
        <v>80462</v>
      </c>
      <c r="I71" s="207">
        <f>IF('SFD Allowable GSF Calculation'!$D$2=1,'SFD Allowable GSF Calculation'!$P71,'SFD Allowable GSF Calculation'!$X71)</f>
        <v>54985</v>
      </c>
      <c r="J71" s="194">
        <f>$I71*'Model Data Inputs'!$B$165</f>
        <v>63232.749999999993</v>
      </c>
      <c r="K71" s="194">
        <f>IF($L71&gt;='Model Data Inputs'!$B$164,$H71,MIN($H71,$J71))</f>
        <v>63232.749999999993</v>
      </c>
      <c r="L71" s="208">
        <v>1978</v>
      </c>
      <c r="M71" s="196">
        <f>IF($L71&gt;0,'Model Data Inputs'!$B$157-$L71,"")</f>
        <v>39</v>
      </c>
      <c r="N71" s="209">
        <v>25</v>
      </c>
      <c r="O71" s="198">
        <f>'School Level Inst. Resources'!$L71</f>
        <v>130.75433333333334</v>
      </c>
      <c r="P71" s="198">
        <f>IF($G71="T",SUMIFS('School Level ADM'!$S$5:$S$359,'School Level ADM'!$A$5:$A$359,$A71),0)</f>
        <v>619.12233333333336</v>
      </c>
      <c r="Q71" s="199">
        <f t="shared" ref="Q71:Q134" si="14">IF($G71="F",0,$O71/$P71)</f>
        <v>0.2111930490850758</v>
      </c>
      <c r="R71" s="200">
        <f>SUM((('School Level Inst. Resources'!I71/'Model Data Inputs'!$B$8)*(1+'Model Data Inputs'!$B$9)),(SUM('School Level Inst. Resources'!J71:K71)/'Model Data Inputs'!$C$8)*(1+'Model Data Inputs'!$C$9),'School Level Inst. Resources'!K71/400)</f>
        <v>7.8058046956521734</v>
      </c>
      <c r="S71" s="200">
        <f t="shared" si="8"/>
        <v>7.8058046956521734</v>
      </c>
      <c r="T71" s="201">
        <f>IF($G71="T",VLOOKUP($A71,'Total O &amp; M Resources'!$A$5:$K$52,3),0)</f>
        <v>10080412.460000001</v>
      </c>
      <c r="U71" s="202">
        <f>IF($G71="F",0,$S71/'Model Data Inputs'!$B$140)</f>
        <v>0.60044651505016722</v>
      </c>
      <c r="V71" s="202">
        <f>IF($G71="F",0,$O71/'Model Data Inputs'!$B$141)</f>
        <v>0.40232102564102562</v>
      </c>
      <c r="W71" s="202">
        <f>IF($G71="F",0,$N71/'Model Data Inputs'!$B$142)</f>
        <v>1.9230769230769231</v>
      </c>
      <c r="X71" s="202">
        <f>IF($G71="F",0,$K71/'Model Data Inputs'!$B$143)</f>
        <v>3.5129305555555552</v>
      </c>
      <c r="Y71" s="202">
        <f t="shared" si="9"/>
        <v>1.6096937548309178</v>
      </c>
      <c r="Z71" s="202">
        <f>IF(OR($G71="F",$F71="E"),0,'Model Data Inputs'!$B$144)</f>
        <v>0.5</v>
      </c>
      <c r="AA71" s="202">
        <f>IF(AND($O71&lt;='Model Data Inputs'!$B$139,$F71="E"),0,IF(AND($O71&lt;='Model Data Inputs'!$B$139,$F71="M"),0,IF(AND($O71&lt;='Model Data Inputs'!$B$139,$F71="H"),0,IF(SUM($Y71:$Z71)&lt;1,1,SUM($Y71:$Z71)))))</f>
        <v>2.1096937548309178</v>
      </c>
      <c r="AB71" s="202">
        <f>($K71/'Model Data Inputs'!$B$143)*'Model Data Inputs'!$B$145</f>
        <v>0.35129305555555557</v>
      </c>
      <c r="AC71" s="202">
        <f t="shared" si="10"/>
        <v>2.4609868103864736</v>
      </c>
      <c r="AD71" s="202">
        <f>IF($G71="F",0,'Model Data Inputs'!$B$147)</f>
        <v>1.1000000000000001</v>
      </c>
      <c r="AE71" s="202">
        <f>IF($G71="F",0,($K71/'Model Data Inputs'!$B$148)*'Model Data Inputs'!$B$149)</f>
        <v>1.2646549999999996</v>
      </c>
      <c r="AF71" s="202">
        <f>IF($G71="F",0,($O71/'Model Data Inputs'!$B$150)*'Model Data Inputs'!$B$151)</f>
        <v>0.16998063333333335</v>
      </c>
      <c r="AG71" s="202">
        <f>IF($G71="F",0,(($Q71*$T71)/'Model Data Inputs'!$B$152)*'Model Data Inputs'!$B$153)</f>
        <v>0.51093913043102157</v>
      </c>
      <c r="AH71" s="202">
        <f t="shared" si="11"/>
        <v>0.76139369094108866</v>
      </c>
      <c r="AI71" s="203">
        <f>IF(OR($G71="F",$F71="M",$F71="H"),0,($AH71*'Model Data Inputs'!$B$154)-$AH71)</f>
        <v>0</v>
      </c>
      <c r="AJ71" s="202">
        <f>IF(OR($G71="F",$F71="E",$F71="H"),0,($AH71*'Model Data Inputs'!$B$155)-$AH71)</f>
        <v>0</v>
      </c>
      <c r="AK71" s="203">
        <f>IF(OR($G71="F",$F71="E",$F71="M"),0,($AH71*'Model Data Inputs'!$B$156)-$AH71)</f>
        <v>0.76139369094108866</v>
      </c>
      <c r="AL71" s="203">
        <f>IF($G71="F",0,IF($M71&lt;'Model Data Inputs'!$B$158,$AH71*('Model Data Inputs'!$B$159-1),0))</f>
        <v>0</v>
      </c>
      <c r="AM71" s="202">
        <f>IF($G71="F",0,IF($M71&gt;'Model Data Inputs'!$B$160,$AH71*('Model Data Inputs'!$B$161-1),0))</f>
        <v>7.6139369094108927E-2</v>
      </c>
      <c r="AN71" s="202">
        <f>IF($G71="F",0,IF($P71&lt;'Model Data Inputs'!$B$162,SUM($AH71,$AI71,$AJ71,$AK71,$AL71,$AM71)*('Model Data Inputs'!$B$163-1),0))</f>
        <v>0.15989267509762878</v>
      </c>
      <c r="AO71" s="202">
        <f t="shared" si="12"/>
        <v>1.7588194260739152</v>
      </c>
      <c r="AP71" s="204">
        <f>$K71*'Model Data Inputs'!$B$166</f>
        <v>42365.942499999997</v>
      </c>
      <c r="AQ71" s="204">
        <f>($K71*'Model Data Inputs'!$B$145)*'Model Data Inputs'!$B$166</f>
        <v>4236.5942500000001</v>
      </c>
      <c r="AR71" s="50">
        <f t="shared" si="13"/>
        <v>46602.536749999999</v>
      </c>
    </row>
    <row r="72" spans="1:44" x14ac:dyDescent="0.2">
      <c r="A72" s="227" t="str">
        <f>'School Level Inst. Resources'!A72</f>
        <v>0501000</v>
      </c>
      <c r="B72" s="227" t="str">
        <f>'School Level Inst. Resources'!B72</f>
        <v>Converse #1</v>
      </c>
      <c r="C72" s="227" t="str">
        <f>'School Level Inst. Resources'!C72</f>
        <v>0501001</v>
      </c>
      <c r="D72" s="227" t="str">
        <f>'School Level Inst. Resources'!D72</f>
        <v>Dry Creek Elementary</v>
      </c>
      <c r="E72" s="228" t="str">
        <f>'School Level Inst. Resources'!E72</f>
        <v>K-8</v>
      </c>
      <c r="F72" s="229" t="str">
        <f>'School Level Inst. Resources'!H72</f>
        <v>M</v>
      </c>
      <c r="G72" s="229" t="s">
        <v>1158</v>
      </c>
      <c r="H72" s="207">
        <v>1709</v>
      </c>
      <c r="I72" s="207">
        <f>IF('SFD Allowable GSF Calculation'!$D$2=1,'SFD Allowable GSF Calculation'!$P72,'SFD Allowable GSF Calculation'!$X72)</f>
        <v>4446</v>
      </c>
      <c r="J72" s="194">
        <f>$I72*'Model Data Inputs'!$B$165</f>
        <v>5112.8999999999996</v>
      </c>
      <c r="K72" s="194">
        <f>IF($L72&gt;='Model Data Inputs'!$B$164,$H72,MIN($H72,$J72))</f>
        <v>1709</v>
      </c>
      <c r="L72" s="208">
        <v>2016</v>
      </c>
      <c r="M72" s="196">
        <f>IF($L72&gt;0,'Model Data Inputs'!$B$157-$L72,"")</f>
        <v>1</v>
      </c>
      <c r="N72" s="209">
        <v>2</v>
      </c>
      <c r="O72" s="198">
        <f>'School Level Inst. Resources'!$L72</f>
        <v>13.215666666666666</v>
      </c>
      <c r="P72" s="198">
        <f>IF($G72="T",SUMIFS('School Level ADM'!$S$5:$S$359,'School Level ADM'!$A$5:$A$359,$A72),0)</f>
        <v>1689.6276666666668</v>
      </c>
      <c r="Q72" s="199">
        <f t="shared" si="14"/>
        <v>7.8216443346591346E-3</v>
      </c>
      <c r="R72" s="200">
        <f>SUM((('School Level Inst. Resources'!I72/'Model Data Inputs'!$B$8)*(1+'Model Data Inputs'!$B$9)),(SUM('School Level Inst. Resources'!J72:K72)/'Model Data Inputs'!$C$8)*(1+'Model Data Inputs'!$C$9),'School Level Inst. Resources'!K72/400)</f>
        <v>0.86729693236714966</v>
      </c>
      <c r="S72" s="200">
        <f t="shared" si="8"/>
        <v>0.86729693236714966</v>
      </c>
      <c r="T72" s="201">
        <f>IF($G72="T",VLOOKUP($A72,'Total O &amp; M Resources'!$A$5:$K$52,3),0)</f>
        <v>13759424.189999999</v>
      </c>
      <c r="U72" s="202">
        <f>IF($G72="F",0,$S72/'Model Data Inputs'!$B$140)</f>
        <v>6.6715148643626904E-2</v>
      </c>
      <c r="V72" s="202">
        <f>IF($G72="F",0,$O72/'Model Data Inputs'!$B$141)</f>
        <v>4.0663589743589738E-2</v>
      </c>
      <c r="W72" s="202">
        <f>IF($G72="F",0,$N72/'Model Data Inputs'!$B$142)</f>
        <v>0.15384615384615385</v>
      </c>
      <c r="X72" s="202">
        <f>IF($G72="F",0,$K72/'Model Data Inputs'!$B$143)</f>
        <v>9.4944444444444442E-2</v>
      </c>
      <c r="Y72" s="202">
        <f t="shared" si="9"/>
        <v>8.9042334169453743E-2</v>
      </c>
      <c r="Z72" s="202">
        <f>IF(OR($G72="F",$F72="E"),0,'Model Data Inputs'!$B$144)</f>
        <v>0.5</v>
      </c>
      <c r="AA72" s="202">
        <f>IF(AND($O72&lt;='Model Data Inputs'!$B$139,$F72="E"),0,IF(AND($O72&lt;='Model Data Inputs'!$B$139,$F72="M"),0,IF(AND($O72&lt;='Model Data Inputs'!$B$139,$F72="H"),0,IF(SUM($Y72:$Z72)&lt;1,1,SUM($Y72:$Z72)))))</f>
        <v>0</v>
      </c>
      <c r="AB72" s="202">
        <f>($K72/'Model Data Inputs'!$B$143)*'Model Data Inputs'!$B$145</f>
        <v>9.4944444444444442E-3</v>
      </c>
      <c r="AC72" s="202">
        <f t="shared" si="10"/>
        <v>9.4944444444444442E-3</v>
      </c>
      <c r="AD72" s="202">
        <f>IF($G72="F",0,'Model Data Inputs'!$B$147)</f>
        <v>1.1000000000000001</v>
      </c>
      <c r="AE72" s="202">
        <f>IF($G72="F",0,($K72/'Model Data Inputs'!$B$148)*'Model Data Inputs'!$B$149)</f>
        <v>3.4179999999999995E-2</v>
      </c>
      <c r="AF72" s="202">
        <f>IF($G72="F",0,($O72/'Model Data Inputs'!$B$150)*'Model Data Inputs'!$B$151)</f>
        <v>1.7180366666666665E-2</v>
      </c>
      <c r="AG72" s="202">
        <f>IF($G72="F",0,(($Q72*$T72)/'Model Data Inputs'!$B$152)*'Model Data Inputs'!$B$153)</f>
        <v>2.5829117343332483E-2</v>
      </c>
      <c r="AH72" s="202">
        <f t="shared" si="11"/>
        <v>0.29429737100249981</v>
      </c>
      <c r="AI72" s="203">
        <f>IF(OR($G72="F",$F72="M",$F72="H"),0,($AH72*'Model Data Inputs'!$B$154)-$AH72)</f>
        <v>0</v>
      </c>
      <c r="AJ72" s="202">
        <f>IF(OR($G72="F",$F72="E",$F72="H"),0,($AH72*'Model Data Inputs'!$B$155)-$AH72)</f>
        <v>0</v>
      </c>
      <c r="AK72" s="203">
        <f>IF(OR($G72="F",$F72="E",$F72="M"),0,($AH72*'Model Data Inputs'!$B$156)-$AH72)</f>
        <v>0</v>
      </c>
      <c r="AL72" s="203">
        <f>IF($G72="F",0,IF($M72&lt;'Model Data Inputs'!$B$158,$AH72*('Model Data Inputs'!$B$159-1),0))</f>
        <v>-1.4714868550125004E-2</v>
      </c>
      <c r="AM72" s="202">
        <f>IF($G72="F",0,IF($M72&gt;'Model Data Inputs'!$B$160,$AH72*('Model Data Inputs'!$B$161-1),0))</f>
        <v>0</v>
      </c>
      <c r="AN72" s="202">
        <f>IF($G72="F",0,IF($P72&lt;'Model Data Inputs'!$B$162,SUM($AH72,$AI72,$AJ72,$AK72,$AL72,$AM72)*('Model Data Inputs'!$B$163-1),0))</f>
        <v>0</v>
      </c>
      <c r="AO72" s="202">
        <f t="shared" si="12"/>
        <v>0.27958250245237481</v>
      </c>
      <c r="AP72" s="204">
        <f>$K72*'Model Data Inputs'!$B$166</f>
        <v>1145.03</v>
      </c>
      <c r="AQ72" s="204">
        <f>($K72*'Model Data Inputs'!$B$145)*'Model Data Inputs'!$B$166</f>
        <v>114.50300000000001</v>
      </c>
      <c r="AR72" s="50">
        <f t="shared" si="13"/>
        <v>1259.5329999999999</v>
      </c>
    </row>
    <row r="73" spans="1:44" x14ac:dyDescent="0.2">
      <c r="A73" s="227" t="str">
        <f>'School Level Inst. Resources'!A73</f>
        <v>0501000</v>
      </c>
      <c r="B73" s="227" t="str">
        <f>'School Level Inst. Resources'!B73</f>
        <v>Converse #1</v>
      </c>
      <c r="C73" s="227" t="str">
        <f>'School Level Inst. Resources'!C73</f>
        <v>0501002</v>
      </c>
      <c r="D73" s="227" t="str">
        <f>'School Level Inst. Resources'!D73</f>
        <v>Douglas Primary School</v>
      </c>
      <c r="E73" s="228" t="str">
        <f>'School Level Inst. Resources'!E73</f>
        <v>K-1</v>
      </c>
      <c r="F73" s="229" t="str">
        <f>'School Level Inst. Resources'!H73</f>
        <v>E</v>
      </c>
      <c r="G73" s="229" t="s">
        <v>1158</v>
      </c>
      <c r="H73" s="207">
        <v>52298</v>
      </c>
      <c r="I73" s="207">
        <f>IF('SFD Allowable GSF Calculation'!$D$2=1,'SFD Allowable GSF Calculation'!$P73,'SFD Allowable GSF Calculation'!$X73)</f>
        <v>37992</v>
      </c>
      <c r="J73" s="194">
        <f>$I73*'Model Data Inputs'!$B$165</f>
        <v>43690.799999999996</v>
      </c>
      <c r="K73" s="194">
        <f>IF($L73&gt;='Model Data Inputs'!$B$164,$H73,MIN($H73,$J73))</f>
        <v>43690.799999999996</v>
      </c>
      <c r="L73" s="208">
        <v>1974</v>
      </c>
      <c r="M73" s="196">
        <f>IF($L73&gt;0,'Model Data Inputs'!$B$157-$L73,"")</f>
        <v>43</v>
      </c>
      <c r="N73" s="209">
        <v>40</v>
      </c>
      <c r="O73" s="198">
        <f>'School Level Inst. Resources'!$L73</f>
        <v>249.82066666666668</v>
      </c>
      <c r="P73" s="198">
        <f>IF($G73="T",SUMIFS('School Level ADM'!$S$5:$S$359,'School Level ADM'!$A$5:$A$359,$A73),0)</f>
        <v>1689.6276666666668</v>
      </c>
      <c r="Q73" s="199">
        <f t="shared" si="14"/>
        <v>0.1478554545449165</v>
      </c>
      <c r="R73" s="200">
        <f>SUM((('School Level Inst. Resources'!I73/'Model Data Inputs'!$B$8)*(1+'Model Data Inputs'!$B$9)),(SUM('School Level Inst. Resources'!J73:K73)/'Model Data Inputs'!$C$8)*(1+'Model Data Inputs'!$C$9),'School Level Inst. Resources'!K73/400)</f>
        <v>16.654711111111112</v>
      </c>
      <c r="S73" s="200">
        <f t="shared" si="8"/>
        <v>16.654711111111112</v>
      </c>
      <c r="T73" s="201">
        <f>IF($G73="T",VLOOKUP($A73,'Total O &amp; M Resources'!$A$5:$K$52,3),0)</f>
        <v>13759424.189999999</v>
      </c>
      <c r="U73" s="202">
        <f>IF($G73="F",0,$S73/'Model Data Inputs'!$B$140)</f>
        <v>1.2811316239316239</v>
      </c>
      <c r="V73" s="202">
        <f>IF($G73="F",0,$O73/'Model Data Inputs'!$B$141)</f>
        <v>0.76867897435897437</v>
      </c>
      <c r="W73" s="202">
        <f>IF($G73="F",0,$N73/'Model Data Inputs'!$B$142)</f>
        <v>3.0769230769230771</v>
      </c>
      <c r="X73" s="202">
        <f>IF($G73="F",0,$K73/'Model Data Inputs'!$B$143)</f>
        <v>2.4272666666666662</v>
      </c>
      <c r="Y73" s="202">
        <f t="shared" si="9"/>
        <v>1.8885000854700853</v>
      </c>
      <c r="Z73" s="202">
        <f>IF(OR($G73="F",$F73="E"),0,'Model Data Inputs'!$B$144)</f>
        <v>0</v>
      </c>
      <c r="AA73" s="202">
        <f>IF(AND($O73&lt;='Model Data Inputs'!$B$139,$F73="E"),0,IF(AND($O73&lt;='Model Data Inputs'!$B$139,$F73="M"),0,IF(AND($O73&lt;='Model Data Inputs'!$B$139,$F73="H"),0,IF(SUM($Y73:$Z73)&lt;1,1,SUM($Y73:$Z73)))))</f>
        <v>1.8885000854700853</v>
      </c>
      <c r="AB73" s="202">
        <f>($K73/'Model Data Inputs'!$B$143)*'Model Data Inputs'!$B$145</f>
        <v>0.24272666666666665</v>
      </c>
      <c r="AC73" s="202">
        <f t="shared" si="10"/>
        <v>2.1312267521367518</v>
      </c>
      <c r="AD73" s="202">
        <f>IF($G73="F",0,'Model Data Inputs'!$B$147)</f>
        <v>1.1000000000000001</v>
      </c>
      <c r="AE73" s="202">
        <f>IF($G73="F",0,($K73/'Model Data Inputs'!$B$148)*'Model Data Inputs'!$B$149)</f>
        <v>0.87381599999999993</v>
      </c>
      <c r="AF73" s="202">
        <f>IF($G73="F",0,($O73/'Model Data Inputs'!$B$150)*'Model Data Inputs'!$B$151)</f>
        <v>0.32476686666666671</v>
      </c>
      <c r="AG73" s="202">
        <f>IF($G73="F",0,(($Q73*$T73)/'Model Data Inputs'!$B$152)*'Model Data Inputs'!$B$153)</f>
        <v>0.48825742029330466</v>
      </c>
      <c r="AH73" s="202">
        <f t="shared" si="11"/>
        <v>0.69671007173999278</v>
      </c>
      <c r="AI73" s="203">
        <f>IF(OR($G73="F",$F73="M",$F73="H"),0,($AH73*'Model Data Inputs'!$B$154)-$AH73)</f>
        <v>-0.13934201434799853</v>
      </c>
      <c r="AJ73" s="202">
        <f>IF(OR($G73="F",$F73="E",$F73="H"),0,($AH73*'Model Data Inputs'!$B$155)-$AH73)</f>
        <v>0</v>
      </c>
      <c r="AK73" s="203">
        <f>IF(OR($G73="F",$F73="E",$F73="M"),0,($AH73*'Model Data Inputs'!$B$156)-$AH73)</f>
        <v>0</v>
      </c>
      <c r="AL73" s="203">
        <f>IF($G73="F",0,IF($M73&lt;'Model Data Inputs'!$B$158,$AH73*('Model Data Inputs'!$B$159-1),0))</f>
        <v>0</v>
      </c>
      <c r="AM73" s="202">
        <f>IF($G73="F",0,IF($M73&gt;'Model Data Inputs'!$B$160,$AH73*('Model Data Inputs'!$B$161-1),0))</f>
        <v>6.9671007173999336E-2</v>
      </c>
      <c r="AN73" s="202">
        <f>IF($G73="F",0,IF($P73&lt;'Model Data Inputs'!$B$162,SUM($AH73,$AI73,$AJ73,$AK73,$AL73,$AM73)*('Model Data Inputs'!$B$163-1),0))</f>
        <v>0</v>
      </c>
      <c r="AO73" s="202">
        <f t="shared" si="12"/>
        <v>0.62703906456599356</v>
      </c>
      <c r="AP73" s="204">
        <f>$K73*'Model Data Inputs'!$B$166</f>
        <v>29272.835999999999</v>
      </c>
      <c r="AQ73" s="204">
        <f>($K73*'Model Data Inputs'!$B$145)*'Model Data Inputs'!$B$166</f>
        <v>2927.2836000000002</v>
      </c>
      <c r="AR73" s="50">
        <f t="shared" si="13"/>
        <v>32200.119599999998</v>
      </c>
    </row>
    <row r="74" spans="1:44" x14ac:dyDescent="0.2">
      <c r="A74" s="227" t="str">
        <f>'School Level Inst. Resources'!A74</f>
        <v>0501000</v>
      </c>
      <c r="B74" s="227" t="str">
        <f>'School Level Inst. Resources'!B74</f>
        <v>Converse #1</v>
      </c>
      <c r="C74" s="227" t="str">
        <f>'School Level Inst. Resources'!C74</f>
        <v>0501003</v>
      </c>
      <c r="D74" s="227" t="str">
        <f>'School Level Inst. Resources'!D74</f>
        <v>Moss Agate Elementary</v>
      </c>
      <c r="E74" s="228" t="str">
        <f>'School Level Inst. Resources'!E74</f>
        <v>K-8</v>
      </c>
      <c r="F74" s="229" t="str">
        <f>'School Level Inst. Resources'!H74</f>
        <v>M</v>
      </c>
      <c r="G74" s="229" t="s">
        <v>1158</v>
      </c>
      <c r="H74" s="207">
        <v>1715</v>
      </c>
      <c r="I74" s="207">
        <f>IF('SFD Allowable GSF Calculation'!$D$2=1,'SFD Allowable GSF Calculation'!$P74,'SFD Allowable GSF Calculation'!$X74)</f>
        <v>5951</v>
      </c>
      <c r="J74" s="194">
        <f>$I74*'Model Data Inputs'!$B$165</f>
        <v>6843.65</v>
      </c>
      <c r="K74" s="194">
        <f>IF($L74&gt;='Model Data Inputs'!$B$164,$H74,MIN($H74,$J74))</f>
        <v>1715</v>
      </c>
      <c r="L74" s="208">
        <v>2016</v>
      </c>
      <c r="M74" s="196">
        <f>IF($L74&gt;0,'Model Data Inputs'!$B$157-$L74,"")</f>
        <v>1</v>
      </c>
      <c r="N74" s="209">
        <v>2</v>
      </c>
      <c r="O74" s="198">
        <f>'School Level Inst. Resources'!$L74</f>
        <v>17.349999999999998</v>
      </c>
      <c r="P74" s="198">
        <f>IF($G74="T",SUMIFS('School Level ADM'!$S$5:$S$359,'School Level ADM'!$A$5:$A$359,$A74),0)</f>
        <v>1689.6276666666668</v>
      </c>
      <c r="Q74" s="199">
        <f t="shared" si="14"/>
        <v>1.026853450750392E-2</v>
      </c>
      <c r="R74" s="200">
        <f>SUM((('School Level Inst. Resources'!I74/'Model Data Inputs'!$B$8)*(1+'Model Data Inputs'!$B$9)),(SUM('School Level Inst. Resources'!J74:K74)/'Model Data Inputs'!$C$8)*(1+'Model Data Inputs'!$C$9),'School Level Inst. Resources'!K74/400)</f>
        <v>1.1278941545893719</v>
      </c>
      <c r="S74" s="200">
        <f t="shared" si="8"/>
        <v>1.1278941545893719</v>
      </c>
      <c r="T74" s="201">
        <f>IF($G74="T",VLOOKUP($A74,'Total O &amp; M Resources'!$A$5:$K$52,3),0)</f>
        <v>13759424.189999999</v>
      </c>
      <c r="U74" s="202">
        <f>IF($G74="F",0,$S74/'Model Data Inputs'!$B$140)</f>
        <v>8.6761088814567067E-2</v>
      </c>
      <c r="V74" s="202">
        <f>IF($G74="F",0,$O74/'Model Data Inputs'!$B$141)</f>
        <v>5.3384615384615378E-2</v>
      </c>
      <c r="W74" s="202">
        <f>IF($G74="F",0,$N74/'Model Data Inputs'!$B$142)</f>
        <v>0.15384615384615385</v>
      </c>
      <c r="X74" s="202">
        <f>IF($G74="F",0,$K74/'Model Data Inputs'!$B$143)</f>
        <v>9.5277777777777781E-2</v>
      </c>
      <c r="Y74" s="202">
        <f t="shared" si="9"/>
        <v>9.731740895577852E-2</v>
      </c>
      <c r="Z74" s="202">
        <f>IF(OR($G74="F",$F74="E"),0,'Model Data Inputs'!$B$144)</f>
        <v>0.5</v>
      </c>
      <c r="AA74" s="202">
        <f>IF(AND($O74&lt;='Model Data Inputs'!$B$139,$F74="E"),0,IF(AND($O74&lt;='Model Data Inputs'!$B$139,$F74="M"),0,IF(AND($O74&lt;='Model Data Inputs'!$B$139,$F74="H"),0,IF(SUM($Y74:$Z74)&lt;1,1,SUM($Y74:$Z74)))))</f>
        <v>0</v>
      </c>
      <c r="AB74" s="202">
        <f>($K74/'Model Data Inputs'!$B$143)*'Model Data Inputs'!$B$145</f>
        <v>9.5277777777777791E-3</v>
      </c>
      <c r="AC74" s="202">
        <f t="shared" si="10"/>
        <v>9.5277777777777791E-3</v>
      </c>
      <c r="AD74" s="202">
        <f>IF($G74="F",0,'Model Data Inputs'!$B$147)</f>
        <v>1.1000000000000001</v>
      </c>
      <c r="AE74" s="202">
        <f>IF($G74="F",0,($K74/'Model Data Inputs'!$B$148)*'Model Data Inputs'!$B$149)</f>
        <v>3.4299999999999997E-2</v>
      </c>
      <c r="AF74" s="202">
        <f>IF($G74="F",0,($O74/'Model Data Inputs'!$B$150)*'Model Data Inputs'!$B$151)</f>
        <v>2.2554999999999999E-2</v>
      </c>
      <c r="AG74" s="202">
        <f>IF($G74="F",0,(($Q74*$T74)/'Model Data Inputs'!$B$152)*'Model Data Inputs'!$B$153)</f>
        <v>3.3909389303615804E-2</v>
      </c>
      <c r="AH74" s="202">
        <f t="shared" si="11"/>
        <v>0.29769109732590399</v>
      </c>
      <c r="AI74" s="203">
        <f>IF(OR($G74="F",$F74="M",$F74="H"),0,($AH74*'Model Data Inputs'!$B$154)-$AH74)</f>
        <v>0</v>
      </c>
      <c r="AJ74" s="202">
        <f>IF(OR($G74="F",$F74="E",$F74="H"),0,($AH74*'Model Data Inputs'!$B$155)-$AH74)</f>
        <v>0</v>
      </c>
      <c r="AK74" s="203">
        <f>IF(OR($G74="F",$F74="E",$F74="M"),0,($AH74*'Model Data Inputs'!$B$156)-$AH74)</f>
        <v>0</v>
      </c>
      <c r="AL74" s="203">
        <f>IF($G74="F",0,IF($M74&lt;'Model Data Inputs'!$B$158,$AH74*('Model Data Inputs'!$B$159-1),0))</f>
        <v>-1.4884554866295212E-2</v>
      </c>
      <c r="AM74" s="202">
        <f>IF($G74="F",0,IF($M74&gt;'Model Data Inputs'!$B$160,$AH74*('Model Data Inputs'!$B$161-1),0))</f>
        <v>0</v>
      </c>
      <c r="AN74" s="202">
        <f>IF($G74="F",0,IF($P74&lt;'Model Data Inputs'!$B$162,SUM($AH74,$AI74,$AJ74,$AK74,$AL74,$AM74)*('Model Data Inputs'!$B$163-1),0))</f>
        <v>0</v>
      </c>
      <c r="AO74" s="202">
        <f t="shared" si="12"/>
        <v>0.28280654245960879</v>
      </c>
      <c r="AP74" s="204">
        <f>$K74*'Model Data Inputs'!$B$166</f>
        <v>1149.0500000000002</v>
      </c>
      <c r="AQ74" s="204">
        <f>($K74*'Model Data Inputs'!$B$145)*'Model Data Inputs'!$B$166</f>
        <v>114.905</v>
      </c>
      <c r="AR74" s="50">
        <f t="shared" si="13"/>
        <v>1263.9550000000002</v>
      </c>
    </row>
    <row r="75" spans="1:44" x14ac:dyDescent="0.2">
      <c r="A75" s="227" t="str">
        <f>'School Level Inst. Resources'!A75</f>
        <v>0501000</v>
      </c>
      <c r="B75" s="227" t="str">
        <f>'School Level Inst. Resources'!B75</f>
        <v>Converse #1</v>
      </c>
      <c r="C75" s="227" t="str">
        <f>'School Level Inst. Resources'!C75</f>
        <v>0501006</v>
      </c>
      <c r="D75" s="227" t="str">
        <f>'School Level Inst. Resources'!D75</f>
        <v>Shawnee Elementary</v>
      </c>
      <c r="E75" s="228" t="str">
        <f>'School Level Inst. Resources'!E75</f>
        <v>K-8</v>
      </c>
      <c r="F75" s="229" t="str">
        <f>'School Level Inst. Resources'!H75</f>
        <v>M</v>
      </c>
      <c r="G75" s="229" t="s">
        <v>1158</v>
      </c>
      <c r="H75" s="207">
        <v>1699</v>
      </c>
      <c r="I75" s="207">
        <f>IF('SFD Allowable GSF Calculation'!$D$2=1,'SFD Allowable GSF Calculation'!$P75,'SFD Allowable GSF Calculation'!$X75)</f>
        <v>4266</v>
      </c>
      <c r="J75" s="194">
        <f>$I75*'Model Data Inputs'!$B$165</f>
        <v>4905.8999999999996</v>
      </c>
      <c r="K75" s="194">
        <f>IF($L75&gt;='Model Data Inputs'!$B$164,$H75,MIN($H75,$J75))</f>
        <v>1699</v>
      </c>
      <c r="L75" s="208">
        <v>1986</v>
      </c>
      <c r="M75" s="196">
        <f>IF($L75&gt;0,'Model Data Inputs'!$B$157-$L75,"")</f>
        <v>31</v>
      </c>
      <c r="N75" s="209">
        <v>2</v>
      </c>
      <c r="O75" s="198">
        <f>'School Level Inst. Resources'!$L75</f>
        <v>11.297333333333331</v>
      </c>
      <c r="P75" s="198">
        <f>IF($G75="T",SUMIFS('School Level ADM'!$S$5:$S$359,'School Level ADM'!$A$5:$A$359,$A75),0)</f>
        <v>1689.6276666666668</v>
      </c>
      <c r="Q75" s="199">
        <f t="shared" si="14"/>
        <v>6.6862857162021672E-3</v>
      </c>
      <c r="R75" s="200">
        <f>SUM((('School Level Inst. Resources'!I75/'Model Data Inputs'!$B$8)*(1+'Model Data Inputs'!$B$9)),(SUM('School Level Inst. Resources'!J75:K75)/'Model Data Inputs'!$C$8)*(1+'Model Data Inputs'!$C$9),'School Level Inst. Resources'!K75/400)</f>
        <v>0.74038067632850213</v>
      </c>
      <c r="S75" s="200">
        <f t="shared" si="8"/>
        <v>0.74038067632850213</v>
      </c>
      <c r="T75" s="201">
        <f>IF($G75="T",VLOOKUP($A75,'Total O &amp; M Resources'!$A$5:$K$52,3),0)</f>
        <v>13759424.189999999</v>
      </c>
      <c r="U75" s="202">
        <f>IF($G75="F",0,$S75/'Model Data Inputs'!$B$140)</f>
        <v>5.6952359717577089E-2</v>
      </c>
      <c r="V75" s="202">
        <f>IF($G75="F",0,$O75/'Model Data Inputs'!$B$141)</f>
        <v>3.4761025641025636E-2</v>
      </c>
      <c r="W75" s="202">
        <f>IF($G75="F",0,$N75/'Model Data Inputs'!$B$142)</f>
        <v>0.15384615384615385</v>
      </c>
      <c r="X75" s="202">
        <f>IF($G75="F",0,$K75/'Model Data Inputs'!$B$143)</f>
        <v>9.4388888888888883E-2</v>
      </c>
      <c r="Y75" s="202">
        <f t="shared" si="9"/>
        <v>8.4987107023411362E-2</v>
      </c>
      <c r="Z75" s="202">
        <f>IF(OR($G75="F",$F75="E"),0,'Model Data Inputs'!$B$144)</f>
        <v>0.5</v>
      </c>
      <c r="AA75" s="202">
        <f>IF(AND($O75&lt;='Model Data Inputs'!$B$139,$F75="E"),0,IF(AND($O75&lt;='Model Data Inputs'!$B$139,$F75="M"),0,IF(AND($O75&lt;='Model Data Inputs'!$B$139,$F75="H"),0,IF(SUM($Y75:$Z75)&lt;1,1,SUM($Y75:$Z75)))))</f>
        <v>0</v>
      </c>
      <c r="AB75" s="202">
        <f>($K75/'Model Data Inputs'!$B$143)*'Model Data Inputs'!$B$145</f>
        <v>9.438888888888889E-3</v>
      </c>
      <c r="AC75" s="202">
        <f t="shared" si="10"/>
        <v>9.438888888888889E-3</v>
      </c>
      <c r="AD75" s="202">
        <f>IF($G75="F",0,'Model Data Inputs'!$B$147)</f>
        <v>1.1000000000000001</v>
      </c>
      <c r="AE75" s="202">
        <f>IF($G75="F",0,($K75/'Model Data Inputs'!$B$148)*'Model Data Inputs'!$B$149)</f>
        <v>3.3979999999999996E-2</v>
      </c>
      <c r="AF75" s="202">
        <f>IF($G75="F",0,($O75/'Model Data Inputs'!$B$150)*'Model Data Inputs'!$B$151)</f>
        <v>1.4686533333333331E-2</v>
      </c>
      <c r="AG75" s="202">
        <f>IF($G75="F",0,(($Q75*$T75)/'Model Data Inputs'!$B$152)*'Model Data Inputs'!$B$153)</f>
        <v>2.2079865941943257E-2</v>
      </c>
      <c r="AH75" s="202">
        <f t="shared" si="11"/>
        <v>0.29268659981881912</v>
      </c>
      <c r="AI75" s="203">
        <f>IF(OR($G75="F",$F75="M",$F75="H"),0,($AH75*'Model Data Inputs'!$B$154)-$AH75)</f>
        <v>0</v>
      </c>
      <c r="AJ75" s="202">
        <f>IF(OR($G75="F",$F75="E",$F75="H"),0,($AH75*'Model Data Inputs'!$B$155)-$AH75)</f>
        <v>0</v>
      </c>
      <c r="AK75" s="203">
        <f>IF(OR($G75="F",$F75="E",$F75="M"),0,($AH75*'Model Data Inputs'!$B$156)-$AH75)</f>
        <v>0</v>
      </c>
      <c r="AL75" s="203">
        <f>IF($G75="F",0,IF($M75&lt;'Model Data Inputs'!$B$158,$AH75*('Model Data Inputs'!$B$159-1),0))</f>
        <v>0</v>
      </c>
      <c r="AM75" s="202">
        <f>IF($G75="F",0,IF($M75&gt;'Model Data Inputs'!$B$160,$AH75*('Model Data Inputs'!$B$161-1),0))</f>
        <v>2.9268659981881936E-2</v>
      </c>
      <c r="AN75" s="202">
        <f>IF($G75="F",0,IF($P75&lt;'Model Data Inputs'!$B$162,SUM($AH75,$AI75,$AJ75,$AK75,$AL75,$AM75)*('Model Data Inputs'!$B$163-1),0))</f>
        <v>0</v>
      </c>
      <c r="AO75" s="202">
        <f t="shared" si="12"/>
        <v>0.32195525980070105</v>
      </c>
      <c r="AP75" s="204">
        <f>$K75*'Model Data Inputs'!$B$166</f>
        <v>1138.3300000000002</v>
      </c>
      <c r="AQ75" s="204">
        <f>($K75*'Model Data Inputs'!$B$145)*'Model Data Inputs'!$B$166</f>
        <v>113.83300000000001</v>
      </c>
      <c r="AR75" s="50">
        <f t="shared" si="13"/>
        <v>1252.1630000000002</v>
      </c>
    </row>
    <row r="76" spans="1:44" x14ac:dyDescent="0.2">
      <c r="A76" s="227" t="str">
        <f>'School Level Inst. Resources'!A76</f>
        <v>0501000</v>
      </c>
      <c r="B76" s="227" t="str">
        <f>'School Level Inst. Resources'!B76</f>
        <v>Converse #1</v>
      </c>
      <c r="C76" s="227" t="str">
        <f>'School Level Inst. Resources'!C76</f>
        <v>0501009</v>
      </c>
      <c r="D76" s="227" t="str">
        <f>'School Level Inst. Resources'!D76</f>
        <v>Walker Creek Elementary</v>
      </c>
      <c r="E76" s="228" t="str">
        <f>'School Level Inst. Resources'!E76</f>
        <v>K-8</v>
      </c>
      <c r="F76" s="229" t="str">
        <f>'School Level Inst. Resources'!H76</f>
        <v>E</v>
      </c>
      <c r="G76" s="229" t="s">
        <v>1158</v>
      </c>
      <c r="H76" s="207">
        <v>1666</v>
      </c>
      <c r="I76" s="207">
        <f>IF('SFD Allowable GSF Calculation'!$D$2=1,'SFD Allowable GSF Calculation'!$P76,'SFD Allowable GSF Calculation'!$X76)</f>
        <v>4967</v>
      </c>
      <c r="J76" s="194">
        <f>$I76*'Model Data Inputs'!$B$165</f>
        <v>5712.0499999999993</v>
      </c>
      <c r="K76" s="194">
        <f>IF($L76&gt;='Model Data Inputs'!$B$164,$H76,MIN($H76,$J76))</f>
        <v>1666</v>
      </c>
      <c r="L76" s="208">
        <v>2011</v>
      </c>
      <c r="M76" s="196">
        <f>IF($L76&gt;0,'Model Data Inputs'!$B$157-$L76,"")</f>
        <v>6</v>
      </c>
      <c r="N76" s="209">
        <v>2</v>
      </c>
      <c r="O76" s="198">
        <f>'School Level Inst. Resources'!$L76</f>
        <v>6.293333333333333</v>
      </c>
      <c r="P76" s="198">
        <f>IF($G76="T",SUMIFS('School Level ADM'!$S$5:$S$359,'School Level ADM'!$A$5:$A$359,$A76),0)</f>
        <v>1689.6276666666668</v>
      </c>
      <c r="Q76" s="199">
        <f t="shared" si="14"/>
        <v>3.7246864841820175E-3</v>
      </c>
      <c r="R76" s="200">
        <f>SUM((('School Level Inst. Resources'!I76/'Model Data Inputs'!$B$8)*(1+'Model Data Inputs'!$B$9)),(SUM('School Level Inst. Resources'!J76:K76)/'Model Data Inputs'!$C$8)*(1+'Model Data Inputs'!$C$9),'School Level Inst. Resources'!K76/400)</f>
        <v>0.41955555555555551</v>
      </c>
      <c r="S76" s="200">
        <f t="shared" si="8"/>
        <v>0.41955555555555551</v>
      </c>
      <c r="T76" s="201">
        <f>IF($G76="T",VLOOKUP($A76,'Total O &amp; M Resources'!$A$5:$K$52,3),0)</f>
        <v>13759424.189999999</v>
      </c>
      <c r="U76" s="202">
        <f>IF($G76="F",0,$S76/'Model Data Inputs'!$B$140)</f>
        <v>3.2273504273504269E-2</v>
      </c>
      <c r="V76" s="202">
        <f>IF($G76="F",0,$O76/'Model Data Inputs'!$B$141)</f>
        <v>1.9364102564102564E-2</v>
      </c>
      <c r="W76" s="202">
        <f>IF($G76="F",0,$N76/'Model Data Inputs'!$B$142)</f>
        <v>0.15384615384615385</v>
      </c>
      <c r="X76" s="202">
        <f>IF($G76="F",0,$K76/'Model Data Inputs'!$B$143)</f>
        <v>9.2555555555555558E-2</v>
      </c>
      <c r="Y76" s="202">
        <f t="shared" si="9"/>
        <v>7.4509829059829058E-2</v>
      </c>
      <c r="Z76" s="202">
        <f>IF(OR($G76="F",$F76="E"),0,'Model Data Inputs'!$B$144)</f>
        <v>0</v>
      </c>
      <c r="AA76" s="202">
        <f>IF(AND($O76&lt;='Model Data Inputs'!$B$139,$F76="E"),0,IF(AND($O76&lt;='Model Data Inputs'!$B$139,$F76="M"),0,IF(AND($O76&lt;='Model Data Inputs'!$B$139,$F76="H"),0,IF(SUM($Y76:$Z76)&lt;1,1,SUM($Y76:$Z76)))))</f>
        <v>0</v>
      </c>
      <c r="AB76" s="202">
        <f>($K76/'Model Data Inputs'!$B$143)*'Model Data Inputs'!$B$145</f>
        <v>9.2555555555555568E-3</v>
      </c>
      <c r="AC76" s="202">
        <f t="shared" si="10"/>
        <v>9.2555555555555568E-3</v>
      </c>
      <c r="AD76" s="202">
        <f>IF($G76="F",0,'Model Data Inputs'!$B$147)</f>
        <v>1.1000000000000001</v>
      </c>
      <c r="AE76" s="202">
        <f>IF($G76="F",0,($K76/'Model Data Inputs'!$B$148)*'Model Data Inputs'!$B$149)</f>
        <v>3.3319999999999995E-2</v>
      </c>
      <c r="AF76" s="202">
        <f>IF($G76="F",0,($O76/'Model Data Inputs'!$B$150)*'Model Data Inputs'!$B$151)</f>
        <v>8.1813333333333339E-3</v>
      </c>
      <c r="AG76" s="202">
        <f>IF($G76="F",0,(($Q76*$T76)/'Model Data Inputs'!$B$152)*'Model Data Inputs'!$B$153)</f>
        <v>1.2299889914548825E-2</v>
      </c>
      <c r="AH76" s="202">
        <f t="shared" si="11"/>
        <v>0.28845030581197056</v>
      </c>
      <c r="AI76" s="203">
        <f>IF(OR($G76="F",$F76="M",$F76="H"),0,($AH76*'Model Data Inputs'!$B$154)-$AH76)</f>
        <v>-5.7690061162394113E-2</v>
      </c>
      <c r="AJ76" s="202">
        <f>IF(OR($G76="F",$F76="E",$F76="H"),0,($AH76*'Model Data Inputs'!$B$155)-$AH76)</f>
        <v>0</v>
      </c>
      <c r="AK76" s="203">
        <f>IF(OR($G76="F",$F76="E",$F76="M"),0,($AH76*'Model Data Inputs'!$B$156)-$AH76)</f>
        <v>0</v>
      </c>
      <c r="AL76" s="203">
        <f>IF($G76="F",0,IF($M76&lt;'Model Data Inputs'!$B$158,$AH76*('Model Data Inputs'!$B$159-1),0))</f>
        <v>-1.442251529059854E-2</v>
      </c>
      <c r="AM76" s="202">
        <f>IF($G76="F",0,IF($M76&gt;'Model Data Inputs'!$B$160,$AH76*('Model Data Inputs'!$B$161-1),0))</f>
        <v>0</v>
      </c>
      <c r="AN76" s="202">
        <f>IF($G76="F",0,IF($P76&lt;'Model Data Inputs'!$B$162,SUM($AH76,$AI76,$AJ76,$AK76,$AL76,$AM76)*('Model Data Inputs'!$B$163-1),0))</f>
        <v>0</v>
      </c>
      <c r="AO76" s="202">
        <f t="shared" si="12"/>
        <v>0.21633772935897791</v>
      </c>
      <c r="AP76" s="204">
        <f>$K76*'Model Data Inputs'!$B$166</f>
        <v>1116.22</v>
      </c>
      <c r="AQ76" s="204">
        <f>($K76*'Model Data Inputs'!$B$145)*'Model Data Inputs'!$B$166</f>
        <v>111.62200000000003</v>
      </c>
      <c r="AR76" s="50">
        <f t="shared" si="13"/>
        <v>1227.8420000000001</v>
      </c>
    </row>
    <row r="77" spans="1:44" x14ac:dyDescent="0.2">
      <c r="A77" s="227" t="str">
        <f>'School Level Inst. Resources'!A77</f>
        <v>0501000</v>
      </c>
      <c r="B77" s="227" t="str">
        <f>'School Level Inst. Resources'!B77</f>
        <v>Converse #1</v>
      </c>
      <c r="C77" s="227" t="str">
        <f>'School Level Inst. Resources'!C77</f>
        <v>0501010</v>
      </c>
      <c r="D77" s="227" t="str">
        <f>'School Level Inst. Resources'!D77</f>
        <v>Douglas Upper Elementary School</v>
      </c>
      <c r="E77" s="228" t="str">
        <f>'School Level Inst. Resources'!E77</f>
        <v>4-5</v>
      </c>
      <c r="F77" s="229" t="str">
        <f>'School Level Inst. Resources'!H77</f>
        <v>E</v>
      </c>
      <c r="G77" s="229" t="s">
        <v>1158</v>
      </c>
      <c r="H77" s="207">
        <v>49681</v>
      </c>
      <c r="I77" s="207">
        <f>IF('SFD Allowable GSF Calculation'!$D$2=1,'SFD Allowable GSF Calculation'!$P77,'SFD Allowable GSF Calculation'!$X77)</f>
        <v>38888</v>
      </c>
      <c r="J77" s="194">
        <f>$I77*'Model Data Inputs'!$B$165</f>
        <v>44721.2</v>
      </c>
      <c r="K77" s="194">
        <f>IF($L77&gt;='Model Data Inputs'!$B$164,$H77,MIN($H77,$J77))</f>
        <v>49681</v>
      </c>
      <c r="L77" s="208">
        <v>2013</v>
      </c>
      <c r="M77" s="196">
        <f>IF($L77&gt;0,'Model Data Inputs'!$B$157-$L77,"")</f>
        <v>4</v>
      </c>
      <c r="N77" s="209">
        <v>31</v>
      </c>
      <c r="O77" s="198">
        <f>'School Level Inst. Resources'!$L77</f>
        <v>252.661</v>
      </c>
      <c r="P77" s="198">
        <f>IF($G77="T",SUMIFS('School Level ADM'!$S$5:$S$359,'School Level ADM'!$A$5:$A$359,$A77),0)</f>
        <v>1689.6276666666668</v>
      </c>
      <c r="Q77" s="199">
        <f t="shared" si="14"/>
        <v>0.14953649551587597</v>
      </c>
      <c r="R77" s="200">
        <f>SUM((('School Level Inst. Resources'!I77/'Model Data Inputs'!$B$8)*(1+'Model Data Inputs'!$B$9)),(SUM('School Level Inst. Resources'!J77:K77)/'Model Data Inputs'!$C$8)*(1+'Model Data Inputs'!$C$9),'School Level Inst. Resources'!K77/400)</f>
        <v>16.844066666666667</v>
      </c>
      <c r="S77" s="200">
        <f t="shared" si="8"/>
        <v>16.844066666666667</v>
      </c>
      <c r="T77" s="201">
        <f>IF($G77="T",VLOOKUP($A77,'Total O &amp; M Resources'!$A$5:$K$52,3),0)</f>
        <v>13759424.189999999</v>
      </c>
      <c r="U77" s="202">
        <f>IF($G77="F",0,$S77/'Model Data Inputs'!$B$140)</f>
        <v>1.2956974358974358</v>
      </c>
      <c r="V77" s="202">
        <f>IF($G77="F",0,$O77/'Model Data Inputs'!$B$141)</f>
        <v>0.7774184615384615</v>
      </c>
      <c r="W77" s="202">
        <f>IF($G77="F",0,$N77/'Model Data Inputs'!$B$142)</f>
        <v>2.3846153846153846</v>
      </c>
      <c r="X77" s="202">
        <f>IF($G77="F",0,$K77/'Model Data Inputs'!$B$143)</f>
        <v>2.7600555555555557</v>
      </c>
      <c r="Y77" s="202">
        <f t="shared" si="9"/>
        <v>1.8044467094017094</v>
      </c>
      <c r="Z77" s="202">
        <f>IF(OR($G77="F",$F77="E"),0,'Model Data Inputs'!$B$144)</f>
        <v>0</v>
      </c>
      <c r="AA77" s="202">
        <f>IF(AND($O77&lt;='Model Data Inputs'!$B$139,$F77="E"),0,IF(AND($O77&lt;='Model Data Inputs'!$B$139,$F77="M"),0,IF(AND($O77&lt;='Model Data Inputs'!$B$139,$F77="H"),0,IF(SUM($Y77:$Z77)&lt;1,1,SUM($Y77:$Z77)))))</f>
        <v>1.8044467094017094</v>
      </c>
      <c r="AB77" s="202">
        <f>($K77/'Model Data Inputs'!$B$143)*'Model Data Inputs'!$B$145</f>
        <v>0.27600555555555556</v>
      </c>
      <c r="AC77" s="202">
        <f t="shared" si="10"/>
        <v>2.0804522649572648</v>
      </c>
      <c r="AD77" s="202">
        <f>IF($G77="F",0,'Model Data Inputs'!$B$147)</f>
        <v>1.1000000000000001</v>
      </c>
      <c r="AE77" s="202">
        <f>IF($G77="F",0,($K77/'Model Data Inputs'!$B$148)*'Model Data Inputs'!$B$149)</f>
        <v>0.99361999999999995</v>
      </c>
      <c r="AF77" s="202">
        <f>IF($G77="F",0,($O77/'Model Data Inputs'!$B$150)*'Model Data Inputs'!$B$151)</f>
        <v>0.32845930000000007</v>
      </c>
      <c r="AG77" s="202">
        <f>IF($G77="F",0,(($Q77*$T77)/'Model Data Inputs'!$B$152)*'Model Data Inputs'!$B$153)</f>
        <v>0.49380865768535287</v>
      </c>
      <c r="AH77" s="202">
        <f t="shared" si="11"/>
        <v>0.72897198942133823</v>
      </c>
      <c r="AI77" s="203">
        <f>IF(OR($G77="F",$F77="M",$F77="H"),0,($AH77*'Model Data Inputs'!$B$154)-$AH77)</f>
        <v>-0.14579439788426762</v>
      </c>
      <c r="AJ77" s="202">
        <f>IF(OR($G77="F",$F77="E",$F77="H"),0,($AH77*'Model Data Inputs'!$B$155)-$AH77)</f>
        <v>0</v>
      </c>
      <c r="AK77" s="203">
        <f>IF(OR($G77="F",$F77="E",$F77="M"),0,($AH77*'Model Data Inputs'!$B$156)-$AH77)</f>
        <v>0</v>
      </c>
      <c r="AL77" s="203">
        <f>IF($G77="F",0,IF($M77&lt;'Model Data Inputs'!$B$158,$AH77*('Model Data Inputs'!$B$159-1),0))</f>
        <v>-3.6448599471066941E-2</v>
      </c>
      <c r="AM77" s="202">
        <f>IF($G77="F",0,IF($M77&gt;'Model Data Inputs'!$B$160,$AH77*('Model Data Inputs'!$B$161-1),0))</f>
        <v>0</v>
      </c>
      <c r="AN77" s="202">
        <f>IF($G77="F",0,IF($P77&lt;'Model Data Inputs'!$B$162,SUM($AH77,$AI77,$AJ77,$AK77,$AL77,$AM77)*('Model Data Inputs'!$B$163-1),0))</f>
        <v>0</v>
      </c>
      <c r="AO77" s="202">
        <f t="shared" si="12"/>
        <v>0.54672899206600367</v>
      </c>
      <c r="AP77" s="204">
        <f>$K77*'Model Data Inputs'!$B$166</f>
        <v>33286.270000000004</v>
      </c>
      <c r="AQ77" s="204">
        <f>($K77*'Model Data Inputs'!$B$145)*'Model Data Inputs'!$B$166</f>
        <v>3328.6270000000004</v>
      </c>
      <c r="AR77" s="50">
        <f t="shared" si="13"/>
        <v>36614.897000000004</v>
      </c>
    </row>
    <row r="78" spans="1:44" x14ac:dyDescent="0.2">
      <c r="A78" s="227" t="str">
        <f>'School Level Inst. Resources'!A78</f>
        <v>0501000</v>
      </c>
      <c r="B78" s="227" t="str">
        <f>'School Level Inst. Resources'!B78</f>
        <v>Converse #1</v>
      </c>
      <c r="C78" s="227" t="str">
        <f>'School Level Inst. Resources'!C78</f>
        <v>0501011</v>
      </c>
      <c r="D78" s="227" t="str">
        <f>'School Level Inst. Resources'!D78</f>
        <v>White Elementary</v>
      </c>
      <c r="E78" s="228" t="str">
        <f>'School Level Inst. Resources'!E78</f>
        <v>K-8</v>
      </c>
      <c r="F78" s="229" t="str">
        <f>'School Level Inst. Resources'!H78</f>
        <v>M</v>
      </c>
      <c r="G78" s="229" t="s">
        <v>1158</v>
      </c>
      <c r="H78" s="207">
        <v>1715</v>
      </c>
      <c r="I78" s="207">
        <f>IF('SFD Allowable GSF Calculation'!$D$2=1,'SFD Allowable GSF Calculation'!$P78,'SFD Allowable GSF Calculation'!$X78)</f>
        <v>4664</v>
      </c>
      <c r="J78" s="194">
        <f>$I78*'Model Data Inputs'!$B$165</f>
        <v>5363.5999999999995</v>
      </c>
      <c r="K78" s="194">
        <f>IF($L78&gt;='Model Data Inputs'!$B$164,$H78,MIN($H78,$J78))</f>
        <v>1715</v>
      </c>
      <c r="L78" s="208">
        <v>2016</v>
      </c>
      <c r="M78" s="196">
        <f>IF($L78&gt;0,'Model Data Inputs'!$B$157-$L78,"")</f>
        <v>1</v>
      </c>
      <c r="N78" s="209">
        <v>2</v>
      </c>
      <c r="O78" s="198">
        <f>'School Level Inst. Resources'!$L78</f>
        <v>12.028000000000002</v>
      </c>
      <c r="P78" s="198">
        <f>IF($G78="T",SUMIFS('School Level ADM'!$S$5:$S$359,'School Level ADM'!$A$5:$A$359,$A78),0)</f>
        <v>1689.6276666666668</v>
      </c>
      <c r="Q78" s="199">
        <f t="shared" si="14"/>
        <v>7.118728130043642E-3</v>
      </c>
      <c r="R78" s="200">
        <f>SUM((('School Level Inst. Resources'!I78/'Model Data Inputs'!$B$8)*(1+'Model Data Inputs'!$B$9)),(SUM('School Level Inst. Resources'!J78:K78)/'Model Data Inputs'!$C$8)*(1+'Model Data Inputs'!$C$9),'School Level Inst. Resources'!K78/400)</f>
        <v>0.78569483091787451</v>
      </c>
      <c r="S78" s="200">
        <f t="shared" si="8"/>
        <v>0.78569483091787451</v>
      </c>
      <c r="T78" s="201">
        <f>IF($G78="T",VLOOKUP($A78,'Total O &amp; M Resources'!$A$5:$K$52,3),0)</f>
        <v>13759424.189999999</v>
      </c>
      <c r="U78" s="202">
        <f>IF($G78="F",0,$S78/'Model Data Inputs'!$B$140)</f>
        <v>6.0438063916759578E-2</v>
      </c>
      <c r="V78" s="202">
        <f>IF($G78="F",0,$O78/'Model Data Inputs'!$B$141)</f>
        <v>3.7009230769230773E-2</v>
      </c>
      <c r="W78" s="202">
        <f>IF($G78="F",0,$N78/'Model Data Inputs'!$B$142)</f>
        <v>0.15384615384615385</v>
      </c>
      <c r="X78" s="202">
        <f>IF($G78="F",0,$K78/'Model Data Inputs'!$B$143)</f>
        <v>9.5277777777777781E-2</v>
      </c>
      <c r="Y78" s="202">
        <f t="shared" si="9"/>
        <v>8.6642806577480497E-2</v>
      </c>
      <c r="Z78" s="202">
        <f>IF(OR($G78="F",$F78="E"),0,'Model Data Inputs'!$B$144)</f>
        <v>0.5</v>
      </c>
      <c r="AA78" s="202">
        <f>IF(AND($O78&lt;='Model Data Inputs'!$B$139,$F78="E"),0,IF(AND($O78&lt;='Model Data Inputs'!$B$139,$F78="M"),0,IF(AND($O78&lt;='Model Data Inputs'!$B$139,$F78="H"),0,IF(SUM($Y78:$Z78)&lt;1,1,SUM($Y78:$Z78)))))</f>
        <v>0</v>
      </c>
      <c r="AB78" s="202">
        <f>($K78/'Model Data Inputs'!$B$143)*'Model Data Inputs'!$B$145</f>
        <v>9.5277777777777791E-3</v>
      </c>
      <c r="AC78" s="202">
        <f t="shared" si="10"/>
        <v>9.5277777777777791E-3</v>
      </c>
      <c r="AD78" s="202">
        <f>IF($G78="F",0,'Model Data Inputs'!$B$147)</f>
        <v>1.1000000000000001</v>
      </c>
      <c r="AE78" s="202">
        <f>IF($G78="F",0,($K78/'Model Data Inputs'!$B$148)*'Model Data Inputs'!$B$149)</f>
        <v>3.4299999999999997E-2</v>
      </c>
      <c r="AF78" s="202">
        <f>IF($G78="F",0,($O78/'Model Data Inputs'!$B$150)*'Model Data Inputs'!$B$151)</f>
        <v>1.5636400000000005E-2</v>
      </c>
      <c r="AG78" s="202">
        <f>IF($G78="F",0,(($Q78*$T78)/'Model Data Inputs'!$B$152)*'Model Data Inputs'!$B$153)</f>
        <v>2.3507904008293425E-2</v>
      </c>
      <c r="AH78" s="202">
        <f t="shared" si="11"/>
        <v>0.2933610760020734</v>
      </c>
      <c r="AI78" s="203">
        <f>IF(OR($G78="F",$F78="M",$F78="H"),0,($AH78*'Model Data Inputs'!$B$154)-$AH78)</f>
        <v>0</v>
      </c>
      <c r="AJ78" s="202">
        <f>IF(OR($G78="F",$F78="E",$F78="H"),0,($AH78*'Model Data Inputs'!$B$155)-$AH78)</f>
        <v>0</v>
      </c>
      <c r="AK78" s="203">
        <f>IF(OR($G78="F",$F78="E",$F78="M"),0,($AH78*'Model Data Inputs'!$B$156)-$AH78)</f>
        <v>0</v>
      </c>
      <c r="AL78" s="203">
        <f>IF($G78="F",0,IF($M78&lt;'Model Data Inputs'!$B$158,$AH78*('Model Data Inputs'!$B$159-1),0))</f>
        <v>-1.4668053800103683E-2</v>
      </c>
      <c r="AM78" s="202">
        <f>IF($G78="F",0,IF($M78&gt;'Model Data Inputs'!$B$160,$AH78*('Model Data Inputs'!$B$161-1),0))</f>
        <v>0</v>
      </c>
      <c r="AN78" s="202">
        <f>IF($G78="F",0,IF($P78&lt;'Model Data Inputs'!$B$162,SUM($AH78,$AI78,$AJ78,$AK78,$AL78,$AM78)*('Model Data Inputs'!$B$163-1),0))</f>
        <v>0</v>
      </c>
      <c r="AO78" s="202">
        <f t="shared" si="12"/>
        <v>0.27869302220196973</v>
      </c>
      <c r="AP78" s="204">
        <f>$K78*'Model Data Inputs'!$B$166</f>
        <v>1149.0500000000002</v>
      </c>
      <c r="AQ78" s="204">
        <f>($K78*'Model Data Inputs'!$B$145)*'Model Data Inputs'!$B$166</f>
        <v>114.905</v>
      </c>
      <c r="AR78" s="50">
        <f t="shared" si="13"/>
        <v>1263.9550000000002</v>
      </c>
    </row>
    <row r="79" spans="1:44" x14ac:dyDescent="0.2">
      <c r="A79" s="227" t="str">
        <f>'School Level Inst. Resources'!A79</f>
        <v>0501000</v>
      </c>
      <c r="B79" s="227" t="str">
        <f>'School Level Inst. Resources'!B79</f>
        <v>Converse #1</v>
      </c>
      <c r="C79" s="227" t="str">
        <f>'School Level Inst. Resources'!C79</f>
        <v>0501013</v>
      </c>
      <c r="D79" s="227" t="str">
        <f>'School Level Inst. Resources'!D79</f>
        <v>Douglas Intermediate School</v>
      </c>
      <c r="E79" s="228" t="str">
        <f>'School Level Inst. Resources'!E79</f>
        <v>2-3</v>
      </c>
      <c r="F79" s="229" t="str">
        <f>'School Level Inst. Resources'!H79</f>
        <v>E</v>
      </c>
      <c r="G79" s="229" t="s">
        <v>1158</v>
      </c>
      <c r="H79" s="207">
        <v>55727</v>
      </c>
      <c r="I79" s="207">
        <f>IF('SFD Allowable GSF Calculation'!$D$2=1,'SFD Allowable GSF Calculation'!$P79,'SFD Allowable GSF Calculation'!$X79)</f>
        <v>36971</v>
      </c>
      <c r="J79" s="194">
        <f>$I79*'Model Data Inputs'!$B$165</f>
        <v>42516.649999999994</v>
      </c>
      <c r="K79" s="194">
        <f>IF($L79&gt;='Model Data Inputs'!$B$164,$H79,MIN($H79,$J79))</f>
        <v>42516.649999999994</v>
      </c>
      <c r="L79" s="208">
        <v>1982</v>
      </c>
      <c r="M79" s="196">
        <f>IF($L79&gt;0,'Model Data Inputs'!$B$157-$L79,"")</f>
        <v>35</v>
      </c>
      <c r="N79" s="209">
        <v>34</v>
      </c>
      <c r="O79" s="198">
        <f>'School Level Inst. Resources'!$L79</f>
        <v>235.05866666666668</v>
      </c>
      <c r="P79" s="198">
        <f>IF($G79="T",SUMIFS('School Level ADM'!$S$5:$S$359,'School Level ADM'!$A$5:$A$359,$A79),0)</f>
        <v>1689.6276666666668</v>
      </c>
      <c r="Q79" s="199">
        <f t="shared" si="14"/>
        <v>0.1391186184411832</v>
      </c>
      <c r="R79" s="200">
        <f>SUM((('School Level Inst. Resources'!I79/'Model Data Inputs'!$B$8)*(1+'Model Data Inputs'!$B$9)),(SUM('School Level Inst. Resources'!J79:K79)/'Model Data Inputs'!$C$8)*(1+'Model Data Inputs'!$C$9),'School Level Inst. Resources'!K79/400)</f>
        <v>15.67057777777778</v>
      </c>
      <c r="S79" s="200">
        <f t="shared" si="8"/>
        <v>15.67057777777778</v>
      </c>
      <c r="T79" s="201">
        <f>IF($G79="T",VLOOKUP($A79,'Total O &amp; M Resources'!$A$5:$K$52,3),0)</f>
        <v>13759424.189999999</v>
      </c>
      <c r="U79" s="202">
        <f>IF($G79="F",0,$S79/'Model Data Inputs'!$B$140)</f>
        <v>1.20542905982906</v>
      </c>
      <c r="V79" s="202">
        <f>IF($G79="F",0,$O79/'Model Data Inputs'!$B$141)</f>
        <v>0.72325743589743596</v>
      </c>
      <c r="W79" s="202">
        <f>IF($G79="F",0,$N79/'Model Data Inputs'!$B$142)</f>
        <v>2.6153846153846154</v>
      </c>
      <c r="X79" s="202">
        <f>IF($G79="F",0,$K79/'Model Data Inputs'!$B$143)</f>
        <v>2.3620361111111108</v>
      </c>
      <c r="Y79" s="202">
        <f t="shared" si="9"/>
        <v>1.7265268055555554</v>
      </c>
      <c r="Z79" s="202">
        <f>IF(OR($G79="F",$F79="E"),0,'Model Data Inputs'!$B$144)</f>
        <v>0</v>
      </c>
      <c r="AA79" s="202">
        <f>IF(AND($O79&lt;='Model Data Inputs'!$B$139,$F79="E"),0,IF(AND($O79&lt;='Model Data Inputs'!$B$139,$F79="M"),0,IF(AND($O79&lt;='Model Data Inputs'!$B$139,$F79="H"),0,IF(SUM($Y79:$Z79)&lt;1,1,SUM($Y79:$Z79)))))</f>
        <v>1.7265268055555554</v>
      </c>
      <c r="AB79" s="202">
        <f>($K79/'Model Data Inputs'!$B$143)*'Model Data Inputs'!$B$145</f>
        <v>0.2362036111111111</v>
      </c>
      <c r="AC79" s="202">
        <f t="shared" si="10"/>
        <v>1.9627304166666666</v>
      </c>
      <c r="AD79" s="202">
        <f>IF($G79="F",0,'Model Data Inputs'!$B$147)</f>
        <v>1.1000000000000001</v>
      </c>
      <c r="AE79" s="202">
        <f>IF($G79="F",0,($K79/'Model Data Inputs'!$B$148)*'Model Data Inputs'!$B$149)</f>
        <v>0.85033299999999978</v>
      </c>
      <c r="AF79" s="202">
        <f>IF($G79="F",0,($O79/'Model Data Inputs'!$B$150)*'Model Data Inputs'!$B$151)</f>
        <v>0.30557626666666671</v>
      </c>
      <c r="AG79" s="202">
        <f>IF($G79="F",0,(($Q79*$T79)/'Model Data Inputs'!$B$152)*'Model Data Inputs'!$B$153)</f>
        <v>0.45940610012615907</v>
      </c>
      <c r="AH79" s="202">
        <f t="shared" si="11"/>
        <v>0.67882884169820634</v>
      </c>
      <c r="AI79" s="203">
        <f>IF(OR($G79="F",$F79="M",$F79="H"),0,($AH79*'Model Data Inputs'!$B$154)-$AH79)</f>
        <v>-0.13576576833964127</v>
      </c>
      <c r="AJ79" s="202">
        <f>IF(OR($G79="F",$F79="E",$F79="H"),0,($AH79*'Model Data Inputs'!$B$155)-$AH79)</f>
        <v>0</v>
      </c>
      <c r="AK79" s="203">
        <f>IF(OR($G79="F",$F79="E",$F79="M"),0,($AH79*'Model Data Inputs'!$B$156)-$AH79)</f>
        <v>0</v>
      </c>
      <c r="AL79" s="203">
        <f>IF($G79="F",0,IF($M79&lt;'Model Data Inputs'!$B$158,$AH79*('Model Data Inputs'!$B$159-1),0))</f>
        <v>0</v>
      </c>
      <c r="AM79" s="202">
        <f>IF($G79="F",0,IF($M79&gt;'Model Data Inputs'!$B$160,$AH79*('Model Data Inputs'!$B$161-1),0))</f>
        <v>6.788288416982069E-2</v>
      </c>
      <c r="AN79" s="202">
        <f>IF($G79="F",0,IF($P79&lt;'Model Data Inputs'!$B$162,SUM($AH79,$AI79,$AJ79,$AK79,$AL79,$AM79)*('Model Data Inputs'!$B$163-1),0))</f>
        <v>0</v>
      </c>
      <c r="AO79" s="202">
        <f t="shared" si="12"/>
        <v>0.61094595752838576</v>
      </c>
      <c r="AP79" s="204">
        <f>$K79*'Model Data Inputs'!$B$166</f>
        <v>28486.155499999997</v>
      </c>
      <c r="AQ79" s="204">
        <f>($K79*'Model Data Inputs'!$B$145)*'Model Data Inputs'!$B$166</f>
        <v>2848.61555</v>
      </c>
      <c r="AR79" s="50">
        <f t="shared" si="13"/>
        <v>31334.771049999996</v>
      </c>
    </row>
    <row r="80" spans="1:44" x14ac:dyDescent="0.2">
      <c r="A80" s="227" t="str">
        <f>'School Level Inst. Resources'!A80</f>
        <v>0501000</v>
      </c>
      <c r="B80" s="227" t="str">
        <f>'School Level Inst. Resources'!B80</f>
        <v>Converse #1</v>
      </c>
      <c r="C80" s="227" t="str">
        <f>'School Level Inst. Resources'!C80</f>
        <v>0501050</v>
      </c>
      <c r="D80" s="227" t="str">
        <f>'School Level Inst. Resources'!D80</f>
        <v>Douglas Middle School</v>
      </c>
      <c r="E80" s="228" t="str">
        <f>'School Level Inst. Resources'!E80</f>
        <v>6-8</v>
      </c>
      <c r="F80" s="229" t="str">
        <f>'School Level Inst. Resources'!H80</f>
        <v>M</v>
      </c>
      <c r="G80" s="229" t="s">
        <v>1158</v>
      </c>
      <c r="H80" s="207">
        <v>102622</v>
      </c>
      <c r="I80" s="207">
        <f>IF('SFD Allowable GSF Calculation'!$D$2=1,'SFD Allowable GSF Calculation'!$P80,'SFD Allowable GSF Calculation'!$X80)</f>
        <v>69755</v>
      </c>
      <c r="J80" s="194">
        <f>$I80*'Model Data Inputs'!$B$165</f>
        <v>80218.25</v>
      </c>
      <c r="K80" s="194">
        <f>IF($L80&gt;='Model Data Inputs'!$B$164,$H80,MIN($H80,$J80))</f>
        <v>80218.25</v>
      </c>
      <c r="L80" s="208">
        <v>1988</v>
      </c>
      <c r="M80" s="196">
        <f>IF($L80&gt;0,'Model Data Inputs'!$B$157-$L80,"")</f>
        <v>29</v>
      </c>
      <c r="N80" s="209">
        <v>41</v>
      </c>
      <c r="O80" s="198">
        <f>'School Level Inst. Resources'!$L80</f>
        <v>380.80433333333337</v>
      </c>
      <c r="P80" s="198">
        <f>IF($G80="T",SUMIFS('School Level ADM'!$S$5:$S$359,'School Level ADM'!$A$5:$A$359,$A80),0)</f>
        <v>1689.6276666666668</v>
      </c>
      <c r="Q80" s="199">
        <f t="shared" si="14"/>
        <v>0.22537766210030891</v>
      </c>
      <c r="R80" s="200">
        <f>SUM((('School Level Inst. Resources'!I80/'Model Data Inputs'!$B$8)*(1+'Model Data Inputs'!$B$9)),(SUM('School Level Inst. Resources'!J80:K80)/'Model Data Inputs'!$C$8)*(1+'Model Data Inputs'!$C$9),'School Level Inst. Resources'!K80/400)</f>
        <v>22.07009462318841</v>
      </c>
      <c r="S80" s="200">
        <f t="shared" si="8"/>
        <v>22.07009462318841</v>
      </c>
      <c r="T80" s="201">
        <f>IF($G80="T",VLOOKUP($A80,'Total O &amp; M Resources'!$A$5:$K$52,3),0)</f>
        <v>13759424.189999999</v>
      </c>
      <c r="U80" s="202">
        <f>IF($G80="F",0,$S80/'Model Data Inputs'!$B$140)</f>
        <v>1.6976995863991085</v>
      </c>
      <c r="V80" s="202">
        <f>IF($G80="F",0,$O80/'Model Data Inputs'!$B$141)</f>
        <v>1.1717056410256412</v>
      </c>
      <c r="W80" s="202">
        <f>IF($G80="F",0,$N80/'Model Data Inputs'!$B$142)</f>
        <v>3.1538461538461537</v>
      </c>
      <c r="X80" s="202">
        <f>IF($G80="F",0,$K80/'Model Data Inputs'!$B$143)</f>
        <v>4.4565694444444448</v>
      </c>
      <c r="Y80" s="202">
        <f t="shared" si="9"/>
        <v>2.6199552064288367</v>
      </c>
      <c r="Z80" s="202">
        <f>IF(OR($G80="F",$F80="E"),0,'Model Data Inputs'!$B$144)</f>
        <v>0.5</v>
      </c>
      <c r="AA80" s="202">
        <f>IF(AND($O80&lt;='Model Data Inputs'!$B$139,$F80="E"),0,IF(AND($O80&lt;='Model Data Inputs'!$B$139,$F80="M"),0,IF(AND($O80&lt;='Model Data Inputs'!$B$139,$F80="H"),0,IF(SUM($Y80:$Z80)&lt;1,1,SUM($Y80:$Z80)))))</f>
        <v>3.1199552064288367</v>
      </c>
      <c r="AB80" s="202">
        <f>($K80/'Model Data Inputs'!$B$143)*'Model Data Inputs'!$B$145</f>
        <v>0.44565694444444448</v>
      </c>
      <c r="AC80" s="202">
        <f t="shared" si="10"/>
        <v>3.5656121508732812</v>
      </c>
      <c r="AD80" s="202">
        <f>IF($G80="F",0,'Model Data Inputs'!$B$147)</f>
        <v>1.1000000000000001</v>
      </c>
      <c r="AE80" s="202">
        <f>IF($G80="F",0,($K80/'Model Data Inputs'!$B$148)*'Model Data Inputs'!$B$149)</f>
        <v>1.604365</v>
      </c>
      <c r="AF80" s="202">
        <f>IF($G80="F",0,($O80/'Model Data Inputs'!$B$150)*'Model Data Inputs'!$B$151)</f>
        <v>0.4950456333333334</v>
      </c>
      <c r="AG80" s="202">
        <f>IF($G80="F",0,(($Q80*$T80)/'Model Data Inputs'!$B$152)*'Model Data Inputs'!$B$153)</f>
        <v>0.74425604538927281</v>
      </c>
      <c r="AH80" s="202">
        <f t="shared" si="11"/>
        <v>0.98591666968065161</v>
      </c>
      <c r="AI80" s="203">
        <f>IF(OR($G80="F",$F80="M",$F80="H"),0,($AH80*'Model Data Inputs'!$B$154)-$AH80)</f>
        <v>0</v>
      </c>
      <c r="AJ80" s="202">
        <f>IF(OR($G80="F",$F80="E",$F80="H"),0,($AH80*'Model Data Inputs'!$B$155)-$AH80)</f>
        <v>0</v>
      </c>
      <c r="AK80" s="203">
        <f>IF(OR($G80="F",$F80="E",$F80="M"),0,($AH80*'Model Data Inputs'!$B$156)-$AH80)</f>
        <v>0</v>
      </c>
      <c r="AL80" s="203">
        <f>IF($G80="F",0,IF($M80&lt;'Model Data Inputs'!$B$158,$AH80*('Model Data Inputs'!$B$159-1),0))</f>
        <v>0</v>
      </c>
      <c r="AM80" s="202">
        <f>IF($G80="F",0,IF($M80&gt;'Model Data Inputs'!$B$160,$AH80*('Model Data Inputs'!$B$161-1),0))</f>
        <v>0</v>
      </c>
      <c r="AN80" s="202">
        <f>IF($G80="F",0,IF($P80&lt;'Model Data Inputs'!$B$162,SUM($AH80,$AI80,$AJ80,$AK80,$AL80,$AM80)*('Model Data Inputs'!$B$163-1),0))</f>
        <v>0</v>
      </c>
      <c r="AO80" s="202">
        <f t="shared" si="12"/>
        <v>0.98591666968065161</v>
      </c>
      <c r="AP80" s="204">
        <f>$K80*'Model Data Inputs'!$B$166</f>
        <v>53746.227500000001</v>
      </c>
      <c r="AQ80" s="204">
        <f>($K80*'Model Data Inputs'!$B$145)*'Model Data Inputs'!$B$166</f>
        <v>5374.6227500000005</v>
      </c>
      <c r="AR80" s="50">
        <f t="shared" si="13"/>
        <v>59120.850250000003</v>
      </c>
    </row>
    <row r="81" spans="1:44" x14ac:dyDescent="0.2">
      <c r="A81" s="227" t="str">
        <f>'School Level Inst. Resources'!A81</f>
        <v>0501000</v>
      </c>
      <c r="B81" s="227" t="str">
        <f>'School Level Inst. Resources'!B81</f>
        <v>Converse #1</v>
      </c>
      <c r="C81" s="227" t="str">
        <f>'School Level Inst. Resources'!C81</f>
        <v>0501055</v>
      </c>
      <c r="D81" s="227" t="str">
        <f>'School Level Inst. Resources'!D81</f>
        <v>Douglas High School</v>
      </c>
      <c r="E81" s="228" t="str">
        <f>'School Level Inst. Resources'!E81</f>
        <v>9-12</v>
      </c>
      <c r="F81" s="229" t="str">
        <f>'School Level Inst. Resources'!H81</f>
        <v>H</v>
      </c>
      <c r="G81" s="229" t="s">
        <v>1158</v>
      </c>
      <c r="H81" s="207">
        <v>207261</v>
      </c>
      <c r="I81" s="207">
        <f>IF('SFD Allowable GSF Calculation'!$D$2=1,'SFD Allowable GSF Calculation'!$P81,'SFD Allowable GSF Calculation'!$X81)</f>
        <v>110505</v>
      </c>
      <c r="J81" s="194">
        <f>$I81*'Model Data Inputs'!$B$165</f>
        <v>127080.74999999999</v>
      </c>
      <c r="K81" s="194">
        <f>IF($L81&gt;='Model Data Inputs'!$B$164,$H81,MIN($H81,$J81))</f>
        <v>127080.74999999999</v>
      </c>
      <c r="L81" s="208">
        <v>1983</v>
      </c>
      <c r="M81" s="196">
        <f>IF($L81&gt;0,'Model Data Inputs'!$B$157-$L81,"")</f>
        <v>34</v>
      </c>
      <c r="N81" s="209">
        <v>54</v>
      </c>
      <c r="O81" s="198">
        <f>'School Level Inst. Resources'!$L81</f>
        <v>511.09866666666665</v>
      </c>
      <c r="P81" s="198">
        <f>IF($G81="T",SUMIFS('School Level ADM'!$S$5:$S$359,'School Level ADM'!$A$5:$A$359,$A81),0)</f>
        <v>1689.6276666666668</v>
      </c>
      <c r="Q81" s="199">
        <f t="shared" si="14"/>
        <v>0.30249189022512452</v>
      </c>
      <c r="R81" s="200">
        <f>SUM((('School Level Inst. Resources'!I81/'Model Data Inputs'!$B$8)*(1+'Model Data Inputs'!$B$9)),(SUM('School Level Inst. Resources'!J81:K81)/'Model Data Inputs'!$C$8)*(1+'Model Data Inputs'!$C$9),'School Level Inst. Resources'!K81/400)</f>
        <v>30.899247652173909</v>
      </c>
      <c r="S81" s="200">
        <f t="shared" si="8"/>
        <v>30.899247652173909</v>
      </c>
      <c r="T81" s="201">
        <f>IF($G81="T",VLOOKUP($A81,'Total O &amp; M Resources'!$A$5:$K$52,3),0)</f>
        <v>13759424.189999999</v>
      </c>
      <c r="U81" s="202">
        <f>IF($G81="F",0,$S81/'Model Data Inputs'!$B$140)</f>
        <v>2.3768652040133778</v>
      </c>
      <c r="V81" s="202">
        <f>IF($G81="F",0,$O81/'Model Data Inputs'!$B$141)</f>
        <v>1.5726112820512821</v>
      </c>
      <c r="W81" s="202">
        <f>IF($G81="F",0,$N81/'Model Data Inputs'!$B$142)</f>
        <v>4.1538461538461542</v>
      </c>
      <c r="X81" s="202">
        <f>IF($G81="F",0,$K81/'Model Data Inputs'!$B$143)</f>
        <v>7.0600416666666659</v>
      </c>
      <c r="Y81" s="202">
        <f t="shared" si="9"/>
        <v>3.7908410766443703</v>
      </c>
      <c r="Z81" s="202">
        <f>IF(OR($G81="F",$F81="E"),0,'Model Data Inputs'!$B$144)</f>
        <v>0.5</v>
      </c>
      <c r="AA81" s="202">
        <f>IF(AND($O81&lt;='Model Data Inputs'!$B$139,$F81="E"),0,IF(AND($O81&lt;='Model Data Inputs'!$B$139,$F81="M"),0,IF(AND($O81&lt;='Model Data Inputs'!$B$139,$F81="H"),0,IF(SUM($Y81:$Z81)&lt;1,1,SUM($Y81:$Z81)))))</f>
        <v>4.2908410766443703</v>
      </c>
      <c r="AB81" s="202">
        <f>($K81/'Model Data Inputs'!$B$143)*'Model Data Inputs'!$B$145</f>
        <v>0.70600416666666665</v>
      </c>
      <c r="AC81" s="202">
        <f t="shared" si="10"/>
        <v>4.9968452433110366</v>
      </c>
      <c r="AD81" s="202">
        <f>IF($G81="F",0,'Model Data Inputs'!$B$147)</f>
        <v>1.1000000000000001</v>
      </c>
      <c r="AE81" s="202">
        <f>IF($G81="F",0,($K81/'Model Data Inputs'!$B$148)*'Model Data Inputs'!$B$149)</f>
        <v>2.5416149999999997</v>
      </c>
      <c r="AF81" s="202">
        <f>IF($G81="F",0,($O81/'Model Data Inputs'!$B$150)*'Model Data Inputs'!$B$151)</f>
        <v>0.66442826666666654</v>
      </c>
      <c r="AG81" s="202">
        <f>IF($G81="F",0,(($Q81*$T81)/'Model Data Inputs'!$B$152)*'Model Data Inputs'!$B$153)</f>
        <v>0.99890741559417662</v>
      </c>
      <c r="AH81" s="202">
        <f t="shared" si="11"/>
        <v>1.3262376705652108</v>
      </c>
      <c r="AI81" s="203">
        <f>IF(OR($G81="F",$F81="M",$F81="H"),0,($AH81*'Model Data Inputs'!$B$154)-$AH81)</f>
        <v>0</v>
      </c>
      <c r="AJ81" s="202">
        <f>IF(OR($G81="F",$F81="E",$F81="H"),0,($AH81*'Model Data Inputs'!$B$155)-$AH81)</f>
        <v>0</v>
      </c>
      <c r="AK81" s="203">
        <f>IF(OR($G81="F",$F81="E",$F81="M"),0,($AH81*'Model Data Inputs'!$B$156)-$AH81)</f>
        <v>1.3262376705652108</v>
      </c>
      <c r="AL81" s="203">
        <f>IF($G81="F",0,IF($M81&lt;'Model Data Inputs'!$B$158,$AH81*('Model Data Inputs'!$B$159-1),0))</f>
        <v>0</v>
      </c>
      <c r="AM81" s="202">
        <f>IF($G81="F",0,IF($M81&gt;'Model Data Inputs'!$B$160,$AH81*('Model Data Inputs'!$B$161-1),0))</f>
        <v>0.13262376705652121</v>
      </c>
      <c r="AN81" s="202">
        <f>IF($G81="F",0,IF($P81&lt;'Model Data Inputs'!$B$162,SUM($AH81,$AI81,$AJ81,$AK81,$AL81,$AM81)*('Model Data Inputs'!$B$163-1),0))</f>
        <v>0</v>
      </c>
      <c r="AO81" s="202">
        <f t="shared" si="12"/>
        <v>2.7850991081869427</v>
      </c>
      <c r="AP81" s="204">
        <f>$K81*'Model Data Inputs'!$B$166</f>
        <v>85144.102499999994</v>
      </c>
      <c r="AQ81" s="204">
        <f>($K81*'Model Data Inputs'!$B$145)*'Model Data Inputs'!$B$166</f>
        <v>8514.410249999999</v>
      </c>
      <c r="AR81" s="50">
        <f t="shared" si="13"/>
        <v>93658.512749999994</v>
      </c>
    </row>
    <row r="82" spans="1:44" x14ac:dyDescent="0.2">
      <c r="A82" s="227" t="str">
        <f>'School Level Inst. Resources'!A82</f>
        <v>0502000</v>
      </c>
      <c r="B82" s="227" t="str">
        <f>'School Level Inst. Resources'!B82</f>
        <v>Converse #2</v>
      </c>
      <c r="C82" s="227" t="str">
        <f>'School Level Inst. Resources'!C82</f>
        <v>0502001</v>
      </c>
      <c r="D82" s="227" t="str">
        <f>'School Level Inst. Resources'!D82</f>
        <v>Boxelder Elementary</v>
      </c>
      <c r="E82" s="228" t="str">
        <f>'School Level Inst. Resources'!E82</f>
        <v>K-6</v>
      </c>
      <c r="F82" s="229" t="str">
        <f>'School Level Inst. Resources'!H82</f>
        <v>E</v>
      </c>
      <c r="G82" s="229" t="s">
        <v>1158</v>
      </c>
      <c r="H82" s="207">
        <v>1694</v>
      </c>
      <c r="I82" s="207">
        <f>IF('SFD Allowable GSF Calculation'!$D$2=1,'SFD Allowable GSF Calculation'!$P82,'SFD Allowable GSF Calculation'!$X82)</f>
        <v>2915</v>
      </c>
      <c r="J82" s="194">
        <f>$I82*'Model Data Inputs'!$B$165</f>
        <v>3352.2499999999995</v>
      </c>
      <c r="K82" s="194">
        <f>IF($L82&gt;='Model Data Inputs'!$B$164,$H82,MIN($H82,$J82))</f>
        <v>1694</v>
      </c>
      <c r="L82" s="208">
        <v>2007</v>
      </c>
      <c r="M82" s="196">
        <f>IF($L82&gt;0,'Model Data Inputs'!$B$157-$L82,"")</f>
        <v>10</v>
      </c>
      <c r="N82" s="209">
        <v>2</v>
      </c>
      <c r="O82" s="198">
        <f>'School Level Inst. Resources'!$L82</f>
        <v>8.2063333333333333</v>
      </c>
      <c r="P82" s="198">
        <f>IF($G82="T",SUMIFS('School Level ADM'!$S$5:$S$359,'School Level ADM'!$A$5:$A$359,$A82),0)</f>
        <v>607.05766666666671</v>
      </c>
      <c r="Q82" s="199">
        <f t="shared" si="14"/>
        <v>1.3518210515969652E-2</v>
      </c>
      <c r="R82" s="200">
        <f>SUM((('School Level Inst. Resources'!I82/'Model Data Inputs'!$B$8)*(1+'Model Data Inputs'!$B$9)),(SUM('School Level Inst. Resources'!J82:K82)/'Model Data Inputs'!$C$8)*(1+'Model Data Inputs'!$C$9),'School Level Inst. Resources'!K82/400)</f>
        <v>0.54708888888888885</v>
      </c>
      <c r="S82" s="200">
        <f t="shared" si="8"/>
        <v>0.54708888888888885</v>
      </c>
      <c r="T82" s="201">
        <f>IF($G82="T",VLOOKUP($A82,'Total O &amp; M Resources'!$A$5:$K$52,3),0)</f>
        <v>7221861.3599999994</v>
      </c>
      <c r="U82" s="202">
        <f>IF($G82="F",0,$S82/'Model Data Inputs'!$B$140)</f>
        <v>4.2083760683760678E-2</v>
      </c>
      <c r="V82" s="202">
        <f>IF($G82="F",0,$O82/'Model Data Inputs'!$B$141)</f>
        <v>2.5250256410256411E-2</v>
      </c>
      <c r="W82" s="202">
        <f>IF($G82="F",0,$N82/'Model Data Inputs'!$B$142)</f>
        <v>0.15384615384615385</v>
      </c>
      <c r="X82" s="202">
        <f>IF($G82="F",0,$K82/'Model Data Inputs'!$B$143)</f>
        <v>9.4111111111111118E-2</v>
      </c>
      <c r="Y82" s="202">
        <f t="shared" si="9"/>
        <v>7.8822820512820524E-2</v>
      </c>
      <c r="Z82" s="202">
        <f>IF(OR($G82="F",$F82="E"),0,'Model Data Inputs'!$B$144)</f>
        <v>0</v>
      </c>
      <c r="AA82" s="202">
        <f>IF(AND($O82&lt;='Model Data Inputs'!$B$139,$F82="E"),0,IF(AND($O82&lt;='Model Data Inputs'!$B$139,$F82="M"),0,IF(AND($O82&lt;='Model Data Inputs'!$B$139,$F82="H"),0,IF(SUM($Y82:$Z82)&lt;1,1,SUM($Y82:$Z82)))))</f>
        <v>0</v>
      </c>
      <c r="AB82" s="202">
        <f>($K82/'Model Data Inputs'!$B$143)*'Model Data Inputs'!$B$145</f>
        <v>9.4111111111111131E-3</v>
      </c>
      <c r="AC82" s="202">
        <f t="shared" si="10"/>
        <v>9.4111111111111131E-3</v>
      </c>
      <c r="AD82" s="202">
        <f>IF($G82="F",0,'Model Data Inputs'!$B$147)</f>
        <v>1.1000000000000001</v>
      </c>
      <c r="AE82" s="202">
        <f>IF($G82="F",0,($K82/'Model Data Inputs'!$B$148)*'Model Data Inputs'!$B$149)</f>
        <v>3.388E-2</v>
      </c>
      <c r="AF82" s="202">
        <f>IF($G82="F",0,($O82/'Model Data Inputs'!$B$150)*'Model Data Inputs'!$B$151)</f>
        <v>1.0668233333333332E-2</v>
      </c>
      <c r="AG82" s="202">
        <f>IF($G82="F",0,(($Q82*$T82)/'Model Data Inputs'!$B$152)*'Model Data Inputs'!$B$153)</f>
        <v>2.3430394123590451E-2</v>
      </c>
      <c r="AH82" s="202">
        <f t="shared" si="11"/>
        <v>0.29199465686423098</v>
      </c>
      <c r="AI82" s="203">
        <f>IF(OR($G82="F",$F82="M",$F82="H"),0,($AH82*'Model Data Inputs'!$B$154)-$AH82)</f>
        <v>-5.8398931372846186E-2</v>
      </c>
      <c r="AJ82" s="202">
        <f>IF(OR($G82="F",$F82="E",$F82="H"),0,($AH82*'Model Data Inputs'!$B$155)-$AH82)</f>
        <v>0</v>
      </c>
      <c r="AK82" s="203">
        <f>IF(OR($G82="F",$F82="E",$F82="M"),0,($AH82*'Model Data Inputs'!$B$156)-$AH82)</f>
        <v>0</v>
      </c>
      <c r="AL82" s="203">
        <f>IF($G82="F",0,IF($M82&lt;'Model Data Inputs'!$B$158,$AH82*('Model Data Inputs'!$B$159-1),0))</f>
        <v>0</v>
      </c>
      <c r="AM82" s="202">
        <f>IF($G82="F",0,IF($M82&gt;'Model Data Inputs'!$B$160,$AH82*('Model Data Inputs'!$B$161-1),0))</f>
        <v>0</v>
      </c>
      <c r="AN82" s="202">
        <f>IF($G82="F",0,IF($P82&lt;'Model Data Inputs'!$B$162,SUM($AH82,$AI82,$AJ82,$AK82,$AL82,$AM82)*('Model Data Inputs'!$B$163-1),0))</f>
        <v>2.3359572549138501E-2</v>
      </c>
      <c r="AO82" s="202">
        <f t="shared" si="12"/>
        <v>0.25695529804052331</v>
      </c>
      <c r="AP82" s="204">
        <f>$K82*'Model Data Inputs'!$B$166</f>
        <v>1134.98</v>
      </c>
      <c r="AQ82" s="204">
        <f>($K82*'Model Data Inputs'!$B$145)*'Model Data Inputs'!$B$166</f>
        <v>113.498</v>
      </c>
      <c r="AR82" s="50">
        <f t="shared" si="13"/>
        <v>1248.4780000000001</v>
      </c>
    </row>
    <row r="83" spans="1:44" x14ac:dyDescent="0.2">
      <c r="A83" s="227" t="str">
        <f>'School Level Inst. Resources'!A83</f>
        <v>0502000</v>
      </c>
      <c r="B83" s="227" t="str">
        <f>'School Level Inst. Resources'!B83</f>
        <v>Converse #2</v>
      </c>
      <c r="C83" s="227" t="str">
        <f>'School Level Inst. Resources'!C83</f>
        <v>0502004</v>
      </c>
      <c r="D83" s="227" t="str">
        <f>'School Level Inst. Resources'!D83</f>
        <v>Grant Elementary</v>
      </c>
      <c r="E83" s="228" t="str">
        <f>'School Level Inst. Resources'!E83</f>
        <v>K-4</v>
      </c>
      <c r="F83" s="229" t="str">
        <f>'School Level Inst. Resources'!H83</f>
        <v>E</v>
      </c>
      <c r="G83" s="229" t="s">
        <v>1158</v>
      </c>
      <c r="H83" s="207">
        <v>46009</v>
      </c>
      <c r="I83" s="207">
        <f>IF('SFD Allowable GSF Calculation'!$D$2=1,'SFD Allowable GSF Calculation'!$P83,'SFD Allowable GSF Calculation'!$X83)</f>
        <v>37394</v>
      </c>
      <c r="J83" s="194">
        <f>$I83*'Model Data Inputs'!$B$165</f>
        <v>43003.1</v>
      </c>
      <c r="K83" s="194">
        <f>IF($L83&gt;='Model Data Inputs'!$B$164,$H83,MIN($H83,$J83))</f>
        <v>46009</v>
      </c>
      <c r="L83" s="208">
        <v>2008</v>
      </c>
      <c r="M83" s="196">
        <f>IF($L83&gt;0,'Model Data Inputs'!$B$157-$L83,"")</f>
        <v>9</v>
      </c>
      <c r="N83" s="209">
        <v>26</v>
      </c>
      <c r="O83" s="198">
        <f>'School Level Inst. Resources'!$L83</f>
        <v>239.80566666666667</v>
      </c>
      <c r="P83" s="198">
        <f>IF($G83="T",SUMIFS('School Level ADM'!$S$5:$S$359,'School Level ADM'!$A$5:$A$359,$A83),0)</f>
        <v>607.05766666666671</v>
      </c>
      <c r="Q83" s="199">
        <f t="shared" si="14"/>
        <v>0.39502946727191757</v>
      </c>
      <c r="R83" s="200">
        <f>SUM((('School Level Inst. Resources'!I83/'Model Data Inputs'!$B$8)*(1+'Model Data Inputs'!$B$9)),(SUM('School Level Inst. Resources'!J83:K83)/'Model Data Inputs'!$C$8)*(1+'Model Data Inputs'!$C$9),'School Level Inst. Resources'!K83/400)</f>
        <v>15.987044444444443</v>
      </c>
      <c r="S83" s="200">
        <f t="shared" si="8"/>
        <v>15.987044444444443</v>
      </c>
      <c r="T83" s="201">
        <f>IF($G83="T",VLOOKUP($A83,'Total O &amp; M Resources'!$A$5:$K$52,3),0)</f>
        <v>7221861.3599999994</v>
      </c>
      <c r="U83" s="202">
        <f>IF($G83="F",0,$S83/'Model Data Inputs'!$B$140)</f>
        <v>1.2297726495726495</v>
      </c>
      <c r="V83" s="202">
        <f>IF($G83="F",0,$O83/'Model Data Inputs'!$B$141)</f>
        <v>0.73786358974358979</v>
      </c>
      <c r="W83" s="202">
        <f>IF($G83="F",0,$N83/'Model Data Inputs'!$B$142)</f>
        <v>2</v>
      </c>
      <c r="X83" s="202">
        <f>IF($G83="F",0,$K83/'Model Data Inputs'!$B$143)</f>
        <v>2.5560555555555555</v>
      </c>
      <c r="Y83" s="202">
        <f t="shared" si="9"/>
        <v>1.6309229487179486</v>
      </c>
      <c r="Z83" s="202">
        <f>IF(OR($G83="F",$F83="E"),0,'Model Data Inputs'!$B$144)</f>
        <v>0</v>
      </c>
      <c r="AA83" s="202">
        <f>IF(AND($O83&lt;='Model Data Inputs'!$B$139,$F83="E"),0,IF(AND($O83&lt;='Model Data Inputs'!$B$139,$F83="M"),0,IF(AND($O83&lt;='Model Data Inputs'!$B$139,$F83="H"),0,IF(SUM($Y83:$Z83)&lt;1,1,SUM($Y83:$Z83)))))</f>
        <v>1.6309229487179486</v>
      </c>
      <c r="AB83" s="202">
        <f>($K83/'Model Data Inputs'!$B$143)*'Model Data Inputs'!$B$145</f>
        <v>0.25560555555555559</v>
      </c>
      <c r="AC83" s="202">
        <f t="shared" si="10"/>
        <v>1.8865285042735043</v>
      </c>
      <c r="AD83" s="202">
        <f>IF($G83="F",0,'Model Data Inputs'!$B$147)</f>
        <v>1.1000000000000001</v>
      </c>
      <c r="AE83" s="202">
        <f>IF($G83="F",0,($K83/'Model Data Inputs'!$B$148)*'Model Data Inputs'!$B$149)</f>
        <v>0.92018</v>
      </c>
      <c r="AF83" s="202">
        <f>IF($G83="F",0,($O83/'Model Data Inputs'!$B$150)*'Model Data Inputs'!$B$151)</f>
        <v>0.31174736666666669</v>
      </c>
      <c r="AG83" s="202">
        <f>IF($G83="F",0,(($Q83*$T83)/'Model Data Inputs'!$B$152)*'Model Data Inputs'!$B$153)</f>
        <v>0.68468353098058699</v>
      </c>
      <c r="AH83" s="202">
        <f t="shared" si="11"/>
        <v>0.75415272441181336</v>
      </c>
      <c r="AI83" s="203">
        <f>IF(OR($G83="F",$F83="M",$F83="H"),0,($AH83*'Model Data Inputs'!$B$154)-$AH83)</f>
        <v>-0.15083054488236258</v>
      </c>
      <c r="AJ83" s="202">
        <f>IF(OR($G83="F",$F83="E",$F83="H"),0,($AH83*'Model Data Inputs'!$B$155)-$AH83)</f>
        <v>0</v>
      </c>
      <c r="AK83" s="203">
        <f>IF(OR($G83="F",$F83="E",$F83="M"),0,($AH83*'Model Data Inputs'!$B$156)-$AH83)</f>
        <v>0</v>
      </c>
      <c r="AL83" s="203">
        <f>IF($G83="F",0,IF($M83&lt;'Model Data Inputs'!$B$158,$AH83*('Model Data Inputs'!$B$159-1),0))</f>
        <v>-3.7707636220590701E-2</v>
      </c>
      <c r="AM83" s="202">
        <f>IF($G83="F",0,IF($M83&gt;'Model Data Inputs'!$B$160,$AH83*('Model Data Inputs'!$B$161-1),0))</f>
        <v>0</v>
      </c>
      <c r="AN83" s="202">
        <f>IF($G83="F",0,IF($P83&lt;'Model Data Inputs'!$B$162,SUM($AH83,$AI83,$AJ83,$AK83,$AL83,$AM83)*('Model Data Inputs'!$B$163-1),0))</f>
        <v>5.6561454330886059E-2</v>
      </c>
      <c r="AO83" s="202">
        <f t="shared" si="12"/>
        <v>0.62217599763974618</v>
      </c>
      <c r="AP83" s="204">
        <f>$K83*'Model Data Inputs'!$B$166</f>
        <v>30826.030000000002</v>
      </c>
      <c r="AQ83" s="204">
        <f>($K83*'Model Data Inputs'!$B$145)*'Model Data Inputs'!$B$166</f>
        <v>3082.6030000000005</v>
      </c>
      <c r="AR83" s="50">
        <f t="shared" si="13"/>
        <v>33908.633000000002</v>
      </c>
    </row>
    <row r="84" spans="1:44" s="226" customFormat="1" x14ac:dyDescent="0.2">
      <c r="A84" s="210" t="str">
        <f>'School Level Inst. Resources'!A84</f>
        <v>0502000</v>
      </c>
      <c r="B84" s="210" t="str">
        <f>'School Level Inst. Resources'!B84</f>
        <v>Converse #2</v>
      </c>
      <c r="C84" s="210" t="str">
        <f>'School Level Inst. Resources'!C84</f>
        <v>0502007</v>
      </c>
      <c r="D84" s="210" t="str">
        <f>'School Level Inst. Resources'!D84</f>
        <v>Glenrock Intermediate School</v>
      </c>
      <c r="E84" s="211" t="str">
        <f>'School Level Inst. Resources'!E84</f>
        <v>5-6</v>
      </c>
      <c r="F84" s="212" t="str">
        <f>'School Level Inst. Resources'!H84</f>
        <v>E</v>
      </c>
      <c r="G84" s="212" t="s">
        <v>1159</v>
      </c>
      <c r="H84" s="213">
        <v>0</v>
      </c>
      <c r="I84" s="213">
        <f>IF('SFD Allowable GSF Calculation'!$D$2=1,'SFD Allowable GSF Calculation'!$P84,'SFD Allowable GSF Calculation'!$X84)</f>
        <v>0</v>
      </c>
      <c r="J84" s="214">
        <f>$I84*'Model Data Inputs'!$B$165</f>
        <v>0</v>
      </c>
      <c r="K84" s="214">
        <f>IF($L84&gt;='Model Data Inputs'!$B$164,$H84,MIN($H84,$J84))</f>
        <v>0</v>
      </c>
      <c r="L84" s="233">
        <v>0</v>
      </c>
      <c r="M84" s="196" t="str">
        <f>IF($L84&gt;0,'Model Data Inputs'!$B$157-$L84,"")</f>
        <v/>
      </c>
      <c r="N84" s="216">
        <v>0</v>
      </c>
      <c r="O84" s="217">
        <v>0</v>
      </c>
      <c r="P84" s="218">
        <f>IF($G84="T",SUMIFS('School Level ADM'!$S$5:$S$359,'School Level ADM'!$A$5:$A$359,$A84),0)</f>
        <v>0</v>
      </c>
      <c r="Q84" s="219">
        <f t="shared" si="14"/>
        <v>0</v>
      </c>
      <c r="R84" s="220">
        <f>SUM((('School Level Inst. Resources'!I84/'Model Data Inputs'!$B$8)*(1+'Model Data Inputs'!$B$9)),(SUM('School Level Inst. Resources'!J84:K84)/'Model Data Inputs'!$C$8)*(1+'Model Data Inputs'!$C$9),'School Level Inst. Resources'!K84/400)</f>
        <v>5.9531111111111121</v>
      </c>
      <c r="S84" s="220">
        <v>0</v>
      </c>
      <c r="T84" s="221">
        <f>IF($G84="T",VLOOKUP($A84,'Total O &amp; M Resources'!$A$5:$K$52,3),0)</f>
        <v>0</v>
      </c>
      <c r="U84" s="222">
        <f>IF($G84="F",0,$S84/'Model Data Inputs'!$B$140)</f>
        <v>0</v>
      </c>
      <c r="V84" s="222">
        <f>IF($G84="F",0,$O84/'Model Data Inputs'!$B$141)</f>
        <v>0</v>
      </c>
      <c r="W84" s="222">
        <f>IF($G84="F",0,$N84/'Model Data Inputs'!$B$142)</f>
        <v>0</v>
      </c>
      <c r="X84" s="222">
        <f>IF($G84="F",0,$K84/'Model Data Inputs'!$B$143)</f>
        <v>0</v>
      </c>
      <c r="Y84" s="222">
        <f t="shared" si="9"/>
        <v>0</v>
      </c>
      <c r="Z84" s="222">
        <f>IF(OR($G84="F",$F84="E"),0,'Model Data Inputs'!$B$144)</f>
        <v>0</v>
      </c>
      <c r="AA84" s="222">
        <f>IF(AND($O84&lt;='Model Data Inputs'!$B$139,$F84="E"),0,IF(AND($O84&lt;='Model Data Inputs'!$B$139,$F84="M"),0,IF(AND($O84&lt;='Model Data Inputs'!$B$139,$F84="H"),0,IF(SUM($Y84:$Z84)&lt;1,1,SUM($Y84:$Z84)))))</f>
        <v>0</v>
      </c>
      <c r="AB84" s="222">
        <f>($K84/'Model Data Inputs'!$B$143)*'Model Data Inputs'!$B$145</f>
        <v>0</v>
      </c>
      <c r="AC84" s="222">
        <f t="shared" si="10"/>
        <v>0</v>
      </c>
      <c r="AD84" s="222">
        <f>IF($G84="F",0,'Model Data Inputs'!$B$147)</f>
        <v>0</v>
      </c>
      <c r="AE84" s="222">
        <f>IF($G84="F",0,($K84/'Model Data Inputs'!$B$148)*'Model Data Inputs'!$B$149)</f>
        <v>0</v>
      </c>
      <c r="AF84" s="222">
        <f>IF($G84="F",0,($O84/'Model Data Inputs'!$B$150)*'Model Data Inputs'!$B$151)</f>
        <v>0</v>
      </c>
      <c r="AG84" s="222">
        <f>IF($G84="F",0,(($Q84*$T84)/'Model Data Inputs'!$B$152)*'Model Data Inputs'!$B$153)</f>
        <v>0</v>
      </c>
      <c r="AH84" s="222">
        <f t="shared" si="11"/>
        <v>0</v>
      </c>
      <c r="AI84" s="223">
        <f>IF(OR($G84="F",$F84="M",$F84="H"),0,($AH84*'Model Data Inputs'!$B$154)-$AH84)</f>
        <v>0</v>
      </c>
      <c r="AJ84" s="222">
        <f>IF(OR($G84="F",$F84="E",$F84="H"),0,($AH84*'Model Data Inputs'!$B$155)-$AH84)</f>
        <v>0</v>
      </c>
      <c r="AK84" s="223">
        <f>IF(OR($G84="F",$F84="E",$F84="M"),0,($AH84*'Model Data Inputs'!$B$156)-$AH84)</f>
        <v>0</v>
      </c>
      <c r="AL84" s="223">
        <f>IF($G84="F",0,IF($M84&lt;'Model Data Inputs'!$B$158,$AH84*('Model Data Inputs'!$B$159-1),0))</f>
        <v>0</v>
      </c>
      <c r="AM84" s="222">
        <f>IF($G84="F",0,IF($M84&gt;'Model Data Inputs'!$B$160,$AH84*('Model Data Inputs'!$B$161-1),0))</f>
        <v>0</v>
      </c>
      <c r="AN84" s="222">
        <f>IF($G84="F",0,IF($P84&lt;'Model Data Inputs'!$B$162,SUM($AH84,$AI84,$AJ84,$AK84,$AL84,$AM84)*('Model Data Inputs'!$B$163-1),0))</f>
        <v>0</v>
      </c>
      <c r="AO84" s="222">
        <f t="shared" si="12"/>
        <v>0</v>
      </c>
      <c r="AP84" s="224">
        <f>$K84*'Model Data Inputs'!$B$166</f>
        <v>0</v>
      </c>
      <c r="AQ84" s="224">
        <f>($K84*'Model Data Inputs'!$B$145)*'Model Data Inputs'!$B$166</f>
        <v>0</v>
      </c>
      <c r="AR84" s="225">
        <f t="shared" si="13"/>
        <v>0</v>
      </c>
    </row>
    <row r="85" spans="1:44" s="226" customFormat="1" x14ac:dyDescent="0.2">
      <c r="A85" s="210" t="str">
        <f>'School Level Inst. Resources'!A85</f>
        <v>0502000</v>
      </c>
      <c r="B85" s="210" t="str">
        <f>'School Level Inst. Resources'!B85</f>
        <v>Converse #2</v>
      </c>
      <c r="C85" s="210" t="str">
        <f>'School Level Inst. Resources'!C85</f>
        <v>0502050</v>
      </c>
      <c r="D85" s="210" t="str">
        <f>'School Level Inst. Resources'!D85</f>
        <v>Glenrock Middle School</v>
      </c>
      <c r="E85" s="211" t="str">
        <f>'School Level Inst. Resources'!E85</f>
        <v>7-8</v>
      </c>
      <c r="F85" s="212" t="str">
        <f>'School Level Inst. Resources'!H85</f>
        <v>M</v>
      </c>
      <c r="G85" s="212" t="s">
        <v>1158</v>
      </c>
      <c r="H85" s="213">
        <v>107262</v>
      </c>
      <c r="I85" s="213">
        <f>IF('SFD Allowable GSF Calculation'!$D$2=1,'SFD Allowable GSF Calculation'!$P85,'SFD Allowable GSF Calculation'!$X85)</f>
        <v>47625</v>
      </c>
      <c r="J85" s="214">
        <f>$I85*'Model Data Inputs'!$B$165</f>
        <v>54768.749999999993</v>
      </c>
      <c r="K85" s="214">
        <f>IF($L85&gt;='Model Data Inputs'!$B$164,$H85,MIN($H85,$J85))</f>
        <v>54768.749999999993</v>
      </c>
      <c r="L85" s="233">
        <v>1968</v>
      </c>
      <c r="M85" s="196">
        <f>IF($L85&gt;0,'Model Data Inputs'!$B$157-$L85,"")</f>
        <v>49</v>
      </c>
      <c r="N85" s="216">
        <v>26</v>
      </c>
      <c r="O85" s="218">
        <f>SUM('School Level Inst. Resources'!$L84,'School Level Inst. Resources'!$L85)</f>
        <v>177.92500000000001</v>
      </c>
      <c r="P85" s="218">
        <f>IF($G85="T",SUMIFS('School Level ADM'!$S$5:$S$359,'School Level ADM'!$A$5:$A$359,$A85),0)</f>
        <v>607.05766666666671</v>
      </c>
      <c r="Q85" s="219">
        <f t="shared" si="14"/>
        <v>0.29309406629683177</v>
      </c>
      <c r="R85" s="234">
        <f>SUM((('School Level Inst. Resources'!I85/'Model Data Inputs'!$B$8)*(1+'Model Data Inputs'!$B$9)),(SUM('School Level Inst. Resources'!J85:K85)/'Model Data Inputs'!$C$8)*(1+'Model Data Inputs'!$C$9),'School Level Inst. Resources'!K85/400)</f>
        <v>5.1365899275362317</v>
      </c>
      <c r="S85" s="234">
        <f>SUM(R84:R85)</f>
        <v>11.089701038647345</v>
      </c>
      <c r="T85" s="221">
        <f>IF($G85="T",VLOOKUP($A85,'Total O &amp; M Resources'!$A$5:$K$52,3),0)</f>
        <v>7221861.3599999994</v>
      </c>
      <c r="U85" s="222">
        <f>IF($G85="F",0,$S85/'Model Data Inputs'!$B$140)</f>
        <v>0.8530539260497958</v>
      </c>
      <c r="V85" s="222">
        <f>IF($G85="F",0,$O85/'Model Data Inputs'!$B$141)</f>
        <v>0.54746153846153844</v>
      </c>
      <c r="W85" s="222">
        <f>IF($G85="F",0,$N85/'Model Data Inputs'!$B$142)</f>
        <v>2</v>
      </c>
      <c r="X85" s="222">
        <f>IF($G85="F",0,$K85/'Model Data Inputs'!$B$143)</f>
        <v>3.0427083333333331</v>
      </c>
      <c r="Y85" s="222">
        <f t="shared" si="9"/>
        <v>1.6108059494611668</v>
      </c>
      <c r="Z85" s="222">
        <f>IF(OR($G85="F",$F85="E"),0,'Model Data Inputs'!$B$144)</f>
        <v>0.5</v>
      </c>
      <c r="AA85" s="222">
        <f>IF(AND($O85&lt;='Model Data Inputs'!$B$139,$F85="E"),0,IF(AND($O85&lt;='Model Data Inputs'!$B$139,$F85="M"),0,IF(AND($O85&lt;='Model Data Inputs'!$B$139,$F85="H"),0,IF(SUM($Y85:$Z85)&lt;1,1,SUM($Y85:$Z85)))))</f>
        <v>2.1108059494611666</v>
      </c>
      <c r="AB85" s="222">
        <f>($K85/'Model Data Inputs'!$B$143)*'Model Data Inputs'!$B$145</f>
        <v>0.30427083333333332</v>
      </c>
      <c r="AC85" s="222">
        <f t="shared" si="10"/>
        <v>2.4150767827944999</v>
      </c>
      <c r="AD85" s="222">
        <f>IF($G85="F",0,'Model Data Inputs'!$B$147)</f>
        <v>1.1000000000000001</v>
      </c>
      <c r="AE85" s="222">
        <f>IF($G85="F",0,($K85/'Model Data Inputs'!$B$148)*'Model Data Inputs'!$B$149)</f>
        <v>1.0953749999999998</v>
      </c>
      <c r="AF85" s="222">
        <f>IF($G85="F",0,($O85/'Model Data Inputs'!$B$150)*'Model Data Inputs'!$B$151)</f>
        <v>0.23130249999999999</v>
      </c>
      <c r="AG85" s="222">
        <f>IF($G85="F",0,(($Q85*$T85)/'Model Data Inputs'!$B$152)*'Model Data Inputs'!$B$153)</f>
        <v>0.50800433093624819</v>
      </c>
      <c r="AH85" s="222">
        <f t="shared" si="11"/>
        <v>0.73367045773406203</v>
      </c>
      <c r="AI85" s="223">
        <f>IF(OR($G85="F",$F85="M",$F85="H"),0,($AH85*'Model Data Inputs'!$B$154)-$AH85)</f>
        <v>0</v>
      </c>
      <c r="AJ85" s="222">
        <f>IF(OR($G85="F",$F85="E",$F85="H"),0,($AH85*'Model Data Inputs'!$B$155)-$AH85)</f>
        <v>0</v>
      </c>
      <c r="AK85" s="223">
        <f>IF(OR($G85="F",$F85="E",$F85="M"),0,($AH85*'Model Data Inputs'!$B$156)-$AH85)</f>
        <v>0</v>
      </c>
      <c r="AL85" s="223">
        <f>IF($G85="F",0,IF($M85&lt;'Model Data Inputs'!$B$158,$AH85*('Model Data Inputs'!$B$159-1),0))</f>
        <v>0</v>
      </c>
      <c r="AM85" s="222">
        <f>IF($G85="F",0,IF($M85&gt;'Model Data Inputs'!$B$160,$AH85*('Model Data Inputs'!$B$161-1),0))</f>
        <v>7.3367045773406261E-2</v>
      </c>
      <c r="AN85" s="222">
        <f>IF($G85="F",0,IF($P85&lt;'Model Data Inputs'!$B$162,SUM($AH85,$AI85,$AJ85,$AK85,$AL85,$AM85)*('Model Data Inputs'!$B$163-1),0))</f>
        <v>8.0703750350746895E-2</v>
      </c>
      <c r="AO85" s="222">
        <f t="shared" si="12"/>
        <v>0.88774125385821523</v>
      </c>
      <c r="AP85" s="224">
        <f>$K85*'Model Data Inputs'!$B$166</f>
        <v>36695.0625</v>
      </c>
      <c r="AQ85" s="224">
        <f>($K85*'Model Data Inputs'!$B$145)*'Model Data Inputs'!$B$166</f>
        <v>3669.5062500000004</v>
      </c>
      <c r="AR85" s="225">
        <f t="shared" si="13"/>
        <v>40364.568749999999</v>
      </c>
    </row>
    <row r="86" spans="1:44" x14ac:dyDescent="0.2">
      <c r="A86" s="227" t="str">
        <f>'School Level Inst. Resources'!A86</f>
        <v>0502000</v>
      </c>
      <c r="B86" s="227" t="str">
        <f>'School Level Inst. Resources'!B86</f>
        <v>Converse #2</v>
      </c>
      <c r="C86" s="227" t="str">
        <f>'School Level Inst. Resources'!C86</f>
        <v>0502055</v>
      </c>
      <c r="D86" s="227" t="str">
        <f>'School Level Inst. Resources'!D86</f>
        <v>Glenrock High School</v>
      </c>
      <c r="E86" s="228" t="str">
        <f>'School Level Inst. Resources'!E86</f>
        <v>9-12</v>
      </c>
      <c r="F86" s="229" t="str">
        <f>'School Level Inst. Resources'!H86</f>
        <v>H</v>
      </c>
      <c r="G86" s="229" t="s">
        <v>1158</v>
      </c>
      <c r="H86" s="207">
        <v>121787</v>
      </c>
      <c r="I86" s="207">
        <f>IF('SFD Allowable GSF Calculation'!$D$2=1,'SFD Allowable GSF Calculation'!$P86,'SFD Allowable GSF Calculation'!$X86)</f>
        <v>59503</v>
      </c>
      <c r="J86" s="194">
        <f>$I86*'Model Data Inputs'!$B$165</f>
        <v>68428.45</v>
      </c>
      <c r="K86" s="194">
        <f>IF($L86&gt;='Model Data Inputs'!$B$164,$H86,MIN($H86,$J86))</f>
        <v>68428.45</v>
      </c>
      <c r="L86" s="208">
        <v>1982</v>
      </c>
      <c r="M86" s="196">
        <f>IF($L86&gt;0,'Model Data Inputs'!$B$157-$L86,"")</f>
        <v>35</v>
      </c>
      <c r="N86" s="209">
        <v>36</v>
      </c>
      <c r="O86" s="198">
        <f>'School Level Inst. Resources'!$L86</f>
        <v>181.12066666666666</v>
      </c>
      <c r="P86" s="198">
        <f>IF($G86="T",SUMIFS('School Level ADM'!$S$5:$S$359,'School Level ADM'!$A$5:$A$359,$A86),0)</f>
        <v>607.05766666666671</v>
      </c>
      <c r="Q86" s="199">
        <f t="shared" si="14"/>
        <v>0.29835825591528098</v>
      </c>
      <c r="R86" s="200">
        <f>SUM((('School Level Inst. Resources'!I86/'Model Data Inputs'!$B$8)*(1+'Model Data Inputs'!$B$9)),(SUM('School Level Inst. Resources'!J86:K86)/'Model Data Inputs'!$C$8)*(1+'Model Data Inputs'!$C$9),'School Level Inst. Resources'!K86/400)</f>
        <v>10.949925521739129</v>
      </c>
      <c r="S86" s="200">
        <f t="shared" si="8"/>
        <v>10.949925521739129</v>
      </c>
      <c r="T86" s="201">
        <f>IF($G86="T",VLOOKUP($A86,'Total O &amp; M Resources'!$A$5:$K$52,3),0)</f>
        <v>7221861.3599999994</v>
      </c>
      <c r="U86" s="202">
        <f>IF($G86="F",0,$S86/'Model Data Inputs'!$B$140)</f>
        <v>0.84230196321070216</v>
      </c>
      <c r="V86" s="202">
        <f>IF($G86="F",0,$O86/'Model Data Inputs'!$B$141)</f>
        <v>0.55729435897435897</v>
      </c>
      <c r="W86" s="202">
        <f>IF($G86="F",0,$N86/'Model Data Inputs'!$B$142)</f>
        <v>2.7692307692307692</v>
      </c>
      <c r="X86" s="202">
        <f>IF($G86="F",0,$K86/'Model Data Inputs'!$B$143)</f>
        <v>3.8015805555555553</v>
      </c>
      <c r="Y86" s="202">
        <f t="shared" si="9"/>
        <v>1.9926019117428462</v>
      </c>
      <c r="Z86" s="202">
        <f>IF(OR($G86="F",$F86="E"),0,'Model Data Inputs'!$B$144)</f>
        <v>0.5</v>
      </c>
      <c r="AA86" s="202">
        <f>IF(AND($O86&lt;='Model Data Inputs'!$B$139,$F86="E"),0,IF(AND($O86&lt;='Model Data Inputs'!$B$139,$F86="M"),0,IF(AND($O86&lt;='Model Data Inputs'!$B$139,$F86="H"),0,IF(SUM($Y86:$Z86)&lt;1,1,SUM($Y86:$Z86)))))</f>
        <v>2.4926019117428462</v>
      </c>
      <c r="AB86" s="202">
        <f>($K86/'Model Data Inputs'!$B$143)*'Model Data Inputs'!$B$145</f>
        <v>0.38015805555555554</v>
      </c>
      <c r="AC86" s="202">
        <f t="shared" si="10"/>
        <v>2.8727599672984017</v>
      </c>
      <c r="AD86" s="202">
        <f>IF($G86="F",0,'Model Data Inputs'!$B$147)</f>
        <v>1.1000000000000001</v>
      </c>
      <c r="AE86" s="202">
        <f>IF($G86="F",0,($K86/'Model Data Inputs'!$B$148)*'Model Data Inputs'!$B$149)</f>
        <v>1.3685689999999999</v>
      </c>
      <c r="AF86" s="202">
        <f>IF($G86="F",0,($O86/'Model Data Inputs'!$B$150)*'Model Data Inputs'!$B$151)</f>
        <v>0.23545686666666665</v>
      </c>
      <c r="AG86" s="202">
        <f>IF($G86="F",0,(($Q86*$T86)/'Model Data Inputs'!$B$152)*'Model Data Inputs'!$B$153)</f>
        <v>0.51712847035957421</v>
      </c>
      <c r="AH86" s="202">
        <f t="shared" si="11"/>
        <v>0.80528858425656025</v>
      </c>
      <c r="AI86" s="203">
        <f>IF(OR($G86="F",$F86="M",$F86="H"),0,($AH86*'Model Data Inputs'!$B$154)-$AH86)</f>
        <v>0</v>
      </c>
      <c r="AJ86" s="202">
        <f>IF(OR($G86="F",$F86="E",$F86="H"),0,($AH86*'Model Data Inputs'!$B$155)-$AH86)</f>
        <v>0</v>
      </c>
      <c r="AK86" s="203">
        <f>IF(OR($G86="F",$F86="E",$F86="M"),0,($AH86*'Model Data Inputs'!$B$156)-$AH86)</f>
        <v>0.80528858425656025</v>
      </c>
      <c r="AL86" s="203">
        <f>IF($G86="F",0,IF($M86&lt;'Model Data Inputs'!$B$158,$AH86*('Model Data Inputs'!$B$159-1),0))</f>
        <v>0</v>
      </c>
      <c r="AM86" s="202">
        <f>IF($G86="F",0,IF($M86&gt;'Model Data Inputs'!$B$160,$AH86*('Model Data Inputs'!$B$161-1),0))</f>
        <v>8.0528858425656102E-2</v>
      </c>
      <c r="AN86" s="202">
        <f>IF($G86="F",0,IF($P86&lt;'Model Data Inputs'!$B$162,SUM($AH86,$AI86,$AJ86,$AK86,$AL86,$AM86)*('Model Data Inputs'!$B$163-1),0))</f>
        <v>0.16911060269387782</v>
      </c>
      <c r="AO86" s="202">
        <f t="shared" si="12"/>
        <v>1.8602166296326543</v>
      </c>
      <c r="AP86" s="204">
        <f>$K86*'Model Data Inputs'!$B$166</f>
        <v>45847.061500000003</v>
      </c>
      <c r="AQ86" s="204">
        <f>($K86*'Model Data Inputs'!$B$145)*'Model Data Inputs'!$B$166</f>
        <v>4584.7061500000009</v>
      </c>
      <c r="AR86" s="50">
        <f t="shared" si="13"/>
        <v>50431.767650000002</v>
      </c>
    </row>
    <row r="87" spans="1:44" x14ac:dyDescent="0.2">
      <c r="A87" s="227" t="str">
        <f>'School Level Inst. Resources'!A87</f>
        <v>0601000</v>
      </c>
      <c r="B87" s="227" t="str">
        <f>'School Level Inst. Resources'!B87</f>
        <v>Crook #1</v>
      </c>
      <c r="C87" s="227" t="str">
        <f>'School Level Inst. Resources'!C87</f>
        <v>0601007</v>
      </c>
      <c r="D87" s="227" t="str">
        <f>'School Level Inst. Resources'!D87</f>
        <v>Sundance Elementary</v>
      </c>
      <c r="E87" s="228" t="str">
        <f>'School Level Inst. Resources'!E87</f>
        <v>K-6</v>
      </c>
      <c r="F87" s="229" t="str">
        <f>'School Level Inst. Resources'!H87</f>
        <v>E</v>
      </c>
      <c r="G87" s="229" t="s">
        <v>1158</v>
      </c>
      <c r="H87" s="207">
        <v>49183</v>
      </c>
      <c r="I87" s="207">
        <f>IF('SFD Allowable GSF Calculation'!$D$2=1,'SFD Allowable GSF Calculation'!$P87,'SFD Allowable GSF Calculation'!$X87)</f>
        <v>33891</v>
      </c>
      <c r="J87" s="194">
        <f>$I87*'Model Data Inputs'!$B$165</f>
        <v>38974.649999999994</v>
      </c>
      <c r="K87" s="194">
        <f>IF($L87&gt;='Model Data Inputs'!$B$164,$H87,MIN($H87,$J87))</f>
        <v>49183</v>
      </c>
      <c r="L87" s="208">
        <v>2016</v>
      </c>
      <c r="M87" s="196">
        <f>IF($L87&gt;0,'Model Data Inputs'!$B$157-$L87,"")</f>
        <v>1</v>
      </c>
      <c r="N87" s="209">
        <v>26</v>
      </c>
      <c r="O87" s="198">
        <f>'School Level Inst. Resources'!$L87</f>
        <v>202.91933333333333</v>
      </c>
      <c r="P87" s="198">
        <f>IF($G87="T",SUMIFS('School Level ADM'!$S$5:$S$359,'School Level ADM'!$A$5:$A$359,$A87),0)</f>
        <v>1134.6060000000002</v>
      </c>
      <c r="Q87" s="199">
        <f t="shared" si="14"/>
        <v>0.17884563745770188</v>
      </c>
      <c r="R87" s="200">
        <f>SUM((('School Level Inst. Resources'!I87/'Model Data Inputs'!$B$8)*(1+'Model Data Inputs'!$B$9)),(SUM('School Level Inst. Resources'!J87:K87)/'Model Data Inputs'!$C$8)*(1+'Model Data Inputs'!$C$9),'School Level Inst. Resources'!K87/400)</f>
        <v>13.527955555555556</v>
      </c>
      <c r="S87" s="200">
        <f t="shared" si="8"/>
        <v>13.527955555555556</v>
      </c>
      <c r="T87" s="201">
        <f>IF($G87="T",VLOOKUP($A87,'Total O &amp; M Resources'!$A$5:$K$52,3),0)</f>
        <v>12161309.610000001</v>
      </c>
      <c r="U87" s="202">
        <f>IF($G87="F",0,$S87/'Model Data Inputs'!$B$140)</f>
        <v>1.0406119658119659</v>
      </c>
      <c r="V87" s="202">
        <f>IF($G87="F",0,$O87/'Model Data Inputs'!$B$141)</f>
        <v>0.62436717948717946</v>
      </c>
      <c r="W87" s="202">
        <f>IF($G87="F",0,$N87/'Model Data Inputs'!$B$142)</f>
        <v>2</v>
      </c>
      <c r="X87" s="202">
        <f>IF($G87="F",0,$K87/'Model Data Inputs'!$B$143)</f>
        <v>2.732388888888889</v>
      </c>
      <c r="Y87" s="202">
        <f t="shared" si="9"/>
        <v>1.5993420085470085</v>
      </c>
      <c r="Z87" s="202">
        <f>IF(OR($G87="F",$F87="E"),0,'Model Data Inputs'!$B$144)</f>
        <v>0</v>
      </c>
      <c r="AA87" s="202">
        <f>IF(AND($O87&lt;='Model Data Inputs'!$B$139,$F87="E"),0,IF(AND($O87&lt;='Model Data Inputs'!$B$139,$F87="M"),0,IF(AND($O87&lt;='Model Data Inputs'!$B$139,$F87="H"),0,IF(SUM($Y87:$Z87)&lt;1,1,SUM($Y87:$Z87)))))</f>
        <v>1.5993420085470085</v>
      </c>
      <c r="AB87" s="202">
        <f>($K87/'Model Data Inputs'!$B$143)*'Model Data Inputs'!$B$145</f>
        <v>0.27323888888888892</v>
      </c>
      <c r="AC87" s="202">
        <f t="shared" si="10"/>
        <v>1.8725808974358973</v>
      </c>
      <c r="AD87" s="202">
        <f>IF($G87="F",0,'Model Data Inputs'!$B$147)</f>
        <v>1.1000000000000001</v>
      </c>
      <c r="AE87" s="202">
        <f>IF($G87="F",0,($K87/'Model Data Inputs'!$B$148)*'Model Data Inputs'!$B$149)</f>
        <v>0.98365999999999998</v>
      </c>
      <c r="AF87" s="202">
        <f>IF($G87="F",0,($O87/'Model Data Inputs'!$B$150)*'Model Data Inputs'!$B$151)</f>
        <v>0.26379513333333338</v>
      </c>
      <c r="AG87" s="202">
        <f>IF($G87="F",0,(($Q87*$T87)/'Model Data Inputs'!$B$152)*'Model Data Inputs'!$B$153)</f>
        <v>0.52199932068502219</v>
      </c>
      <c r="AH87" s="202">
        <f t="shared" si="11"/>
        <v>0.71736361350458888</v>
      </c>
      <c r="AI87" s="203">
        <f>IF(OR($G87="F",$F87="M",$F87="H"),0,($AH87*'Model Data Inputs'!$B$154)-$AH87)</f>
        <v>-0.14347272270091771</v>
      </c>
      <c r="AJ87" s="202">
        <f>IF(OR($G87="F",$F87="E",$F87="H"),0,($AH87*'Model Data Inputs'!$B$155)-$AH87)</f>
        <v>0</v>
      </c>
      <c r="AK87" s="203">
        <f>IF(OR($G87="F",$F87="E",$F87="M"),0,($AH87*'Model Data Inputs'!$B$156)-$AH87)</f>
        <v>0</v>
      </c>
      <c r="AL87" s="203">
        <f>IF($G87="F",0,IF($M87&lt;'Model Data Inputs'!$B$158,$AH87*('Model Data Inputs'!$B$159-1),0))</f>
        <v>-3.5868180675229476E-2</v>
      </c>
      <c r="AM87" s="202">
        <f>IF($G87="F",0,IF($M87&gt;'Model Data Inputs'!$B$160,$AH87*('Model Data Inputs'!$B$161-1),0))</f>
        <v>0</v>
      </c>
      <c r="AN87" s="202">
        <f>IF($G87="F",0,IF($P87&lt;'Model Data Inputs'!$B$162,SUM($AH87,$AI87,$AJ87,$AK87,$AL87,$AM87)*('Model Data Inputs'!$B$163-1),0))</f>
        <v>0</v>
      </c>
      <c r="AO87" s="202">
        <f t="shared" si="12"/>
        <v>0.53802271012844172</v>
      </c>
      <c r="AP87" s="204">
        <f>$K87*'Model Data Inputs'!$B$166</f>
        <v>32952.61</v>
      </c>
      <c r="AQ87" s="204">
        <f>($K87*'Model Data Inputs'!$B$145)*'Model Data Inputs'!$B$166</f>
        <v>3295.2610000000004</v>
      </c>
      <c r="AR87" s="50">
        <f t="shared" si="13"/>
        <v>36247.870999999999</v>
      </c>
    </row>
    <row r="88" spans="1:44" x14ac:dyDescent="0.2">
      <c r="A88" s="227" t="str">
        <f>'School Level Inst. Resources'!A88</f>
        <v>0601000</v>
      </c>
      <c r="B88" s="227" t="str">
        <f>'School Level Inst. Resources'!B88</f>
        <v>Crook #1</v>
      </c>
      <c r="C88" s="227" t="str">
        <f>'School Level Inst. Resources'!C88</f>
        <v>0601008</v>
      </c>
      <c r="D88" s="227" t="str">
        <f>'School Level Inst. Resources'!D88</f>
        <v>Moorcroft K-8</v>
      </c>
      <c r="E88" s="228" t="str">
        <f>'School Level Inst. Resources'!E88</f>
        <v>K-8</v>
      </c>
      <c r="F88" s="229" t="str">
        <f>'School Level Inst. Resources'!H88</f>
        <v>M</v>
      </c>
      <c r="G88" s="229" t="s">
        <v>1158</v>
      </c>
      <c r="H88" s="207">
        <v>78803</v>
      </c>
      <c r="I88" s="207">
        <f>IF('SFD Allowable GSF Calculation'!$D$2=1,'SFD Allowable GSF Calculation'!$P88,'SFD Allowable GSF Calculation'!$X88)</f>
        <v>81223</v>
      </c>
      <c r="J88" s="194">
        <f>$I88*'Model Data Inputs'!$B$165</f>
        <v>93406.45</v>
      </c>
      <c r="K88" s="194">
        <f>IF($L88&gt;='Model Data Inputs'!$B$164,$H88,MIN($H88,$J88))</f>
        <v>78803</v>
      </c>
      <c r="L88" s="208">
        <v>2014</v>
      </c>
      <c r="M88" s="196">
        <f>IF($L88&gt;0,'Model Data Inputs'!$B$157-$L88,"")</f>
        <v>3</v>
      </c>
      <c r="N88" s="209">
        <v>46</v>
      </c>
      <c r="O88" s="198">
        <f>'School Level Inst. Resources'!$L88</f>
        <v>437.47300000000007</v>
      </c>
      <c r="P88" s="198">
        <f>IF($G88="T",SUMIFS('School Level ADM'!$S$5:$S$359,'School Level ADM'!$A$5:$A$359,$A88),0)</f>
        <v>1134.6060000000002</v>
      </c>
      <c r="Q88" s="199">
        <f t="shared" si="14"/>
        <v>0.38557261287178102</v>
      </c>
      <c r="R88" s="200">
        <f>SUM((('School Level Inst. Resources'!I88/'Model Data Inputs'!$B$8)*(1+'Model Data Inputs'!$B$9)),(SUM('School Level Inst. Resources'!J88:K88)/'Model Data Inputs'!$C$8)*(1+'Model Data Inputs'!$C$9),'School Level Inst. Resources'!K88/400)</f>
        <v>28.044164256038652</v>
      </c>
      <c r="S88" s="200">
        <f t="shared" si="8"/>
        <v>28.044164256038652</v>
      </c>
      <c r="T88" s="201">
        <f>IF($G88="T",VLOOKUP($A88,'Total O &amp; M Resources'!$A$5:$K$52,3),0)</f>
        <v>12161309.610000001</v>
      </c>
      <c r="U88" s="202">
        <f>IF($G88="F",0,$S88/'Model Data Inputs'!$B$140)</f>
        <v>2.1572434043106656</v>
      </c>
      <c r="V88" s="202">
        <f>IF($G88="F",0,$O88/'Model Data Inputs'!$B$141)</f>
        <v>1.3460707692307694</v>
      </c>
      <c r="W88" s="202">
        <f>IF($G88="F",0,$N88/'Model Data Inputs'!$B$142)</f>
        <v>3.5384615384615383</v>
      </c>
      <c r="X88" s="202">
        <f>IF($G88="F",0,$K88/'Model Data Inputs'!$B$143)</f>
        <v>4.3779444444444442</v>
      </c>
      <c r="Y88" s="202">
        <f t="shared" si="9"/>
        <v>2.8549300391118546</v>
      </c>
      <c r="Z88" s="202">
        <f>IF(OR($G88="F",$F88="E"),0,'Model Data Inputs'!$B$144)</f>
        <v>0.5</v>
      </c>
      <c r="AA88" s="202">
        <f>IF(AND($O88&lt;='Model Data Inputs'!$B$139,$F88="E"),0,IF(AND($O88&lt;='Model Data Inputs'!$B$139,$F88="M"),0,IF(AND($O88&lt;='Model Data Inputs'!$B$139,$F88="H"),0,IF(SUM($Y88:$Z88)&lt;1,1,SUM($Y88:$Z88)))))</f>
        <v>3.3549300391118546</v>
      </c>
      <c r="AB88" s="202">
        <f>($K88/'Model Data Inputs'!$B$143)*'Model Data Inputs'!$B$145</f>
        <v>0.43779444444444443</v>
      </c>
      <c r="AC88" s="202">
        <f t="shared" si="10"/>
        <v>3.7927244835562992</v>
      </c>
      <c r="AD88" s="202">
        <f>IF($G88="F",0,'Model Data Inputs'!$B$147)</f>
        <v>1.1000000000000001</v>
      </c>
      <c r="AE88" s="202">
        <f>IF($G88="F",0,($K88/'Model Data Inputs'!$B$148)*'Model Data Inputs'!$B$149)</f>
        <v>1.57606</v>
      </c>
      <c r="AF88" s="202">
        <f>IF($G88="F",0,($O88/'Model Data Inputs'!$B$150)*'Model Data Inputs'!$B$151)</f>
        <v>0.56871490000000013</v>
      </c>
      <c r="AG88" s="202">
        <f>IF($G88="F",0,(($Q88*$T88)/'Model Data Inputs'!$B$152)*'Model Data Inputs'!$B$153)</f>
        <v>1.1253763013448961</v>
      </c>
      <c r="AH88" s="202">
        <f t="shared" si="11"/>
        <v>1.0925378003362241</v>
      </c>
      <c r="AI88" s="203">
        <f>IF(OR($G88="F",$F88="M",$F88="H"),0,($AH88*'Model Data Inputs'!$B$154)-$AH88)</f>
        <v>0</v>
      </c>
      <c r="AJ88" s="202">
        <f>IF(OR($G88="F",$F88="E",$F88="H"),0,($AH88*'Model Data Inputs'!$B$155)-$AH88)</f>
        <v>0</v>
      </c>
      <c r="AK88" s="203">
        <f>IF(OR($G88="F",$F88="E",$F88="M"),0,($AH88*'Model Data Inputs'!$B$156)-$AH88)</f>
        <v>0</v>
      </c>
      <c r="AL88" s="203">
        <f>IF($G88="F",0,IF($M88&lt;'Model Data Inputs'!$B$158,$AH88*('Model Data Inputs'!$B$159-1),0))</f>
        <v>-5.4626890016811251E-2</v>
      </c>
      <c r="AM88" s="202">
        <f>IF($G88="F",0,IF($M88&gt;'Model Data Inputs'!$B$160,$AH88*('Model Data Inputs'!$B$161-1),0))</f>
        <v>0</v>
      </c>
      <c r="AN88" s="202">
        <f>IF($G88="F",0,IF($P88&lt;'Model Data Inputs'!$B$162,SUM($AH88,$AI88,$AJ88,$AK88,$AL88,$AM88)*('Model Data Inputs'!$B$163-1),0))</f>
        <v>0</v>
      </c>
      <c r="AO88" s="202">
        <f t="shared" si="12"/>
        <v>1.0379109103194128</v>
      </c>
      <c r="AP88" s="204">
        <f>$K88*'Model Data Inputs'!$B$166</f>
        <v>52798.01</v>
      </c>
      <c r="AQ88" s="204">
        <f>($K88*'Model Data Inputs'!$B$145)*'Model Data Inputs'!$B$166</f>
        <v>5279.8010000000004</v>
      </c>
      <c r="AR88" s="50">
        <f t="shared" si="13"/>
        <v>58077.811000000002</v>
      </c>
    </row>
    <row r="89" spans="1:44" x14ac:dyDescent="0.2">
      <c r="A89" s="227" t="str">
        <f>'School Level Inst. Resources'!A89</f>
        <v>0601000</v>
      </c>
      <c r="B89" s="227" t="str">
        <f>'School Level Inst. Resources'!B89</f>
        <v>Crook #1</v>
      </c>
      <c r="C89" s="227" t="str">
        <f>'School Level Inst. Resources'!C89</f>
        <v>0601048</v>
      </c>
      <c r="D89" s="227" t="str">
        <f>'School Level Inst. Resources'!D89</f>
        <v>Sundance Secondary</v>
      </c>
      <c r="E89" s="228" t="str">
        <f>'School Level Inst. Resources'!E89</f>
        <v>7-12</v>
      </c>
      <c r="F89" s="229" t="str">
        <f>'School Level Inst. Resources'!H89</f>
        <v>H</v>
      </c>
      <c r="G89" s="229" t="s">
        <v>1158</v>
      </c>
      <c r="H89" s="207">
        <v>77979</v>
      </c>
      <c r="I89" s="207">
        <f>IF('SFD Allowable GSF Calculation'!$D$2=1,'SFD Allowable GSF Calculation'!$P89,'SFD Allowable GSF Calculation'!$X89)</f>
        <v>61725</v>
      </c>
      <c r="J89" s="194">
        <f>$I89*'Model Data Inputs'!$B$165</f>
        <v>70983.75</v>
      </c>
      <c r="K89" s="194">
        <f>IF($L89&gt;='Model Data Inputs'!$B$164,$H89,MIN($H89,$J89))</f>
        <v>70983.75</v>
      </c>
      <c r="L89" s="208">
        <v>1988</v>
      </c>
      <c r="M89" s="196">
        <f>IF($L89&gt;0,'Model Data Inputs'!$B$157-$L89,"")</f>
        <v>29</v>
      </c>
      <c r="N89" s="209">
        <v>29</v>
      </c>
      <c r="O89" s="198">
        <f>'School Level Inst. Resources'!$L89</f>
        <v>173.17733333333334</v>
      </c>
      <c r="P89" s="198">
        <f>IF($G89="T",SUMIFS('School Level ADM'!$S$5:$S$359,'School Level ADM'!$A$5:$A$359,$A89),0)</f>
        <v>1134.6060000000002</v>
      </c>
      <c r="Q89" s="199">
        <f t="shared" si="14"/>
        <v>0.15263213250532193</v>
      </c>
      <c r="R89" s="200">
        <f>SUM((('School Level Inst. Resources'!I89/'Model Data Inputs'!$B$8)*(1+'Model Data Inputs'!$B$9)),(SUM('School Level Inst. Resources'!J89:K89)/'Model Data Inputs'!$C$8)*(1+'Model Data Inputs'!$C$9),'School Level Inst. Resources'!K89/400)</f>
        <v>10.316137550724639</v>
      </c>
      <c r="S89" s="200">
        <f t="shared" si="8"/>
        <v>10.316137550724639</v>
      </c>
      <c r="T89" s="201">
        <f>IF($G89="T",VLOOKUP($A89,'Total O &amp; M Resources'!$A$5:$K$52,3),0)</f>
        <v>12161309.610000001</v>
      </c>
      <c r="U89" s="202">
        <f>IF($G89="F",0,$S89/'Model Data Inputs'!$B$140)</f>
        <v>0.79354904236343371</v>
      </c>
      <c r="V89" s="202">
        <f>IF($G89="F",0,$O89/'Model Data Inputs'!$B$141)</f>
        <v>0.53285333333333329</v>
      </c>
      <c r="W89" s="202">
        <f>IF($G89="F",0,$N89/'Model Data Inputs'!$B$142)</f>
        <v>2.2307692307692308</v>
      </c>
      <c r="X89" s="202">
        <f>IF($G89="F",0,$K89/'Model Data Inputs'!$B$143)</f>
        <v>3.9435416666666665</v>
      </c>
      <c r="Y89" s="202">
        <f t="shared" si="9"/>
        <v>1.8751783182831661</v>
      </c>
      <c r="Z89" s="202">
        <f>IF(OR($G89="F",$F89="E"),0,'Model Data Inputs'!$B$144)</f>
        <v>0.5</v>
      </c>
      <c r="AA89" s="202">
        <f>IF(AND($O89&lt;='Model Data Inputs'!$B$139,$F89="E"),0,IF(AND($O89&lt;='Model Data Inputs'!$B$139,$F89="M"),0,IF(AND($O89&lt;='Model Data Inputs'!$B$139,$F89="H"),0,IF(SUM($Y89:$Z89)&lt;1,1,SUM($Y89:$Z89)))))</f>
        <v>2.3751783182831661</v>
      </c>
      <c r="AB89" s="202">
        <f>($K89/'Model Data Inputs'!$B$143)*'Model Data Inputs'!$B$145</f>
        <v>0.39435416666666667</v>
      </c>
      <c r="AC89" s="202">
        <f t="shared" si="10"/>
        <v>2.7695324849498326</v>
      </c>
      <c r="AD89" s="202">
        <f>IF($G89="F",0,'Model Data Inputs'!$B$147)</f>
        <v>1.1000000000000001</v>
      </c>
      <c r="AE89" s="202">
        <f>IF($G89="F",0,($K89/'Model Data Inputs'!$B$148)*'Model Data Inputs'!$B$149)</f>
        <v>1.4196749999999998</v>
      </c>
      <c r="AF89" s="202">
        <f>IF($G89="F",0,($O89/'Model Data Inputs'!$B$150)*'Model Data Inputs'!$B$151)</f>
        <v>0.22513053333333335</v>
      </c>
      <c r="AG89" s="202">
        <f>IF($G89="F",0,(($Q89*$T89)/'Model Data Inputs'!$B$152)*'Model Data Inputs'!$B$153)</f>
        <v>0.44548958875962358</v>
      </c>
      <c r="AH89" s="202">
        <f t="shared" si="11"/>
        <v>0.79757378052323924</v>
      </c>
      <c r="AI89" s="203">
        <f>IF(OR($G89="F",$F89="M",$F89="H"),0,($AH89*'Model Data Inputs'!$B$154)-$AH89)</f>
        <v>0</v>
      </c>
      <c r="AJ89" s="202">
        <f>IF(OR($G89="F",$F89="E",$F89="H"),0,($AH89*'Model Data Inputs'!$B$155)-$AH89)</f>
        <v>0</v>
      </c>
      <c r="AK89" s="203">
        <f>IF(OR($G89="F",$F89="E",$F89="M"),0,($AH89*'Model Data Inputs'!$B$156)-$AH89)</f>
        <v>0.79757378052323924</v>
      </c>
      <c r="AL89" s="203">
        <f>IF($G89="F",0,IF($M89&lt;'Model Data Inputs'!$B$158,$AH89*('Model Data Inputs'!$B$159-1),0))</f>
        <v>0</v>
      </c>
      <c r="AM89" s="202">
        <f>IF($G89="F",0,IF($M89&gt;'Model Data Inputs'!$B$160,$AH89*('Model Data Inputs'!$B$161-1),0))</f>
        <v>0</v>
      </c>
      <c r="AN89" s="202">
        <f>IF($G89="F",0,IF($P89&lt;'Model Data Inputs'!$B$162,SUM($AH89,$AI89,$AJ89,$AK89,$AL89,$AM89)*('Model Data Inputs'!$B$163-1),0))</f>
        <v>0</v>
      </c>
      <c r="AO89" s="202">
        <f t="shared" si="12"/>
        <v>1.5951475610464785</v>
      </c>
      <c r="AP89" s="204">
        <f>$K89*'Model Data Inputs'!$B$166</f>
        <v>47559.112500000003</v>
      </c>
      <c r="AQ89" s="204">
        <f>($K89*'Model Data Inputs'!$B$145)*'Model Data Inputs'!$B$166</f>
        <v>4755.9112500000001</v>
      </c>
      <c r="AR89" s="50">
        <f t="shared" si="13"/>
        <v>52315.02375</v>
      </c>
    </row>
    <row r="90" spans="1:44" x14ac:dyDescent="0.2">
      <c r="A90" s="227" t="str">
        <f>'School Level Inst. Resources'!A90</f>
        <v>0601000</v>
      </c>
      <c r="B90" s="227" t="str">
        <f>'School Level Inst. Resources'!B90</f>
        <v>Crook #1</v>
      </c>
      <c r="C90" s="227" t="str">
        <f>'School Level Inst. Resources'!C90</f>
        <v>0601049</v>
      </c>
      <c r="D90" s="227" t="str">
        <f>'School Level Inst. Resources'!D90</f>
        <v>Hulett School</v>
      </c>
      <c r="E90" s="228" t="str">
        <f>'School Level Inst. Resources'!E90</f>
        <v>K-12</v>
      </c>
      <c r="F90" s="229" t="str">
        <f>'School Level Inst. Resources'!H90</f>
        <v>H</v>
      </c>
      <c r="G90" s="229" t="s">
        <v>1158</v>
      </c>
      <c r="H90" s="207">
        <v>74184</v>
      </c>
      <c r="I90" s="207">
        <f>IF('SFD Allowable GSF Calculation'!$D$2=1,'SFD Allowable GSF Calculation'!$P90,'SFD Allowable GSF Calculation'!$X90)</f>
        <v>53649</v>
      </c>
      <c r="J90" s="194">
        <f>$I90*'Model Data Inputs'!$B$165</f>
        <v>61696.35</v>
      </c>
      <c r="K90" s="194">
        <f>IF($L90&gt;='Model Data Inputs'!$B$164,$H90,MIN($H90,$J90))</f>
        <v>74184</v>
      </c>
      <c r="L90" s="208">
        <v>2007</v>
      </c>
      <c r="M90" s="196">
        <f>IF($L90&gt;0,'Model Data Inputs'!$B$157-$L90,"")</f>
        <v>10</v>
      </c>
      <c r="N90" s="209">
        <v>30</v>
      </c>
      <c r="O90" s="198">
        <f>'School Level Inst. Resources'!$L90</f>
        <v>143.22133333333335</v>
      </c>
      <c r="P90" s="198">
        <f>IF($G90="T",SUMIFS('School Level ADM'!$S$5:$S$359,'School Level ADM'!$A$5:$A$359,$A90),0)</f>
        <v>1134.6060000000002</v>
      </c>
      <c r="Q90" s="199">
        <f t="shared" si="14"/>
        <v>0.1262300158234077</v>
      </c>
      <c r="R90" s="200">
        <f>SUM((('School Level Inst. Resources'!I90/'Model Data Inputs'!$B$8)*(1+'Model Data Inputs'!$B$9)),(SUM('School Level Inst. Resources'!J90:K90)/'Model Data Inputs'!$C$8)*(1+'Model Data Inputs'!$C$9),'School Level Inst. Resources'!K90/400)</f>
        <v>8.8874229661835749</v>
      </c>
      <c r="S90" s="200">
        <f t="shared" si="8"/>
        <v>8.8874229661835749</v>
      </c>
      <c r="T90" s="201">
        <f>IF($G90="T",VLOOKUP($A90,'Total O &amp; M Resources'!$A$5:$K$52,3),0)</f>
        <v>12161309.610000001</v>
      </c>
      <c r="U90" s="202">
        <f>IF($G90="F",0,$S90/'Model Data Inputs'!$B$140)</f>
        <v>0.68364792047565959</v>
      </c>
      <c r="V90" s="202">
        <f>IF($G90="F",0,$O90/'Model Data Inputs'!$B$141)</f>
        <v>0.44068102564102568</v>
      </c>
      <c r="W90" s="202">
        <f>IF($G90="F",0,$N90/'Model Data Inputs'!$B$142)</f>
        <v>2.3076923076923075</v>
      </c>
      <c r="X90" s="202">
        <f>IF($G90="F",0,$K90/'Model Data Inputs'!$B$143)</f>
        <v>4.1213333333333333</v>
      </c>
      <c r="Y90" s="202">
        <f t="shared" si="9"/>
        <v>1.8883386467855816</v>
      </c>
      <c r="Z90" s="202">
        <f>IF(OR($G90="F",$F90="E"),0,'Model Data Inputs'!$B$144)</f>
        <v>0.5</v>
      </c>
      <c r="AA90" s="202">
        <f>IF(AND($O90&lt;='Model Data Inputs'!$B$139,$F90="E"),0,IF(AND($O90&lt;='Model Data Inputs'!$B$139,$F90="M"),0,IF(AND($O90&lt;='Model Data Inputs'!$B$139,$F90="H"),0,IF(SUM($Y90:$Z90)&lt;1,1,SUM($Y90:$Z90)))))</f>
        <v>2.3883386467855816</v>
      </c>
      <c r="AB90" s="202">
        <f>($K90/'Model Data Inputs'!$B$143)*'Model Data Inputs'!$B$145</f>
        <v>0.41213333333333335</v>
      </c>
      <c r="AC90" s="202">
        <f t="shared" si="10"/>
        <v>2.8004719801189148</v>
      </c>
      <c r="AD90" s="202">
        <f>IF($G90="F",0,'Model Data Inputs'!$B$147)</f>
        <v>1.1000000000000001</v>
      </c>
      <c r="AE90" s="202">
        <f>IF($G90="F",0,($K90/'Model Data Inputs'!$B$148)*'Model Data Inputs'!$B$149)</f>
        <v>1.4836799999999999</v>
      </c>
      <c r="AF90" s="202">
        <f>IF($G90="F",0,($O90/'Model Data Inputs'!$B$150)*'Model Data Inputs'!$B$151)</f>
        <v>0.18618773333333336</v>
      </c>
      <c r="AG90" s="202">
        <f>IF($G90="F",0,(($Q90*$T90)/'Model Data Inputs'!$B$152)*'Model Data Inputs'!$B$153)</f>
        <v>0.36842935308087849</v>
      </c>
      <c r="AH90" s="202">
        <f t="shared" si="11"/>
        <v>0.78457427160355309</v>
      </c>
      <c r="AI90" s="203">
        <f>IF(OR($G90="F",$F90="M",$F90="H"),0,($AH90*'Model Data Inputs'!$B$154)-$AH90)</f>
        <v>0</v>
      </c>
      <c r="AJ90" s="202">
        <f>IF(OR($G90="F",$F90="E",$F90="H"),0,($AH90*'Model Data Inputs'!$B$155)-$AH90)</f>
        <v>0</v>
      </c>
      <c r="AK90" s="203">
        <f>IF(OR($G90="F",$F90="E",$F90="M"),0,($AH90*'Model Data Inputs'!$B$156)-$AH90)</f>
        <v>0.78457427160355309</v>
      </c>
      <c r="AL90" s="203">
        <f>IF($G90="F",0,IF($M90&lt;'Model Data Inputs'!$B$158,$AH90*('Model Data Inputs'!$B$159-1),0))</f>
        <v>0</v>
      </c>
      <c r="AM90" s="202">
        <f>IF($G90="F",0,IF($M90&gt;'Model Data Inputs'!$B$160,$AH90*('Model Data Inputs'!$B$161-1),0))</f>
        <v>0</v>
      </c>
      <c r="AN90" s="202">
        <f>IF($G90="F",0,IF($P90&lt;'Model Data Inputs'!$B$162,SUM($AH90,$AI90,$AJ90,$AK90,$AL90,$AM90)*('Model Data Inputs'!$B$163-1),0))</f>
        <v>0</v>
      </c>
      <c r="AO90" s="202">
        <f t="shared" si="12"/>
        <v>1.5691485432071062</v>
      </c>
      <c r="AP90" s="204">
        <f>$K90*'Model Data Inputs'!$B$166</f>
        <v>49703.280000000006</v>
      </c>
      <c r="AQ90" s="204">
        <f>($K90*'Model Data Inputs'!$B$145)*'Model Data Inputs'!$B$166</f>
        <v>4970.3280000000004</v>
      </c>
      <c r="AR90" s="50">
        <f t="shared" si="13"/>
        <v>54673.608000000007</v>
      </c>
    </row>
    <row r="91" spans="1:44" x14ac:dyDescent="0.2">
      <c r="A91" s="227" t="str">
        <f>'School Level Inst. Resources'!A91</f>
        <v>0601000</v>
      </c>
      <c r="B91" s="227" t="str">
        <f>'School Level Inst. Resources'!B91</f>
        <v>Crook #1</v>
      </c>
      <c r="C91" s="227" t="str">
        <f>'School Level Inst. Resources'!C91</f>
        <v>0601056</v>
      </c>
      <c r="D91" s="227" t="str">
        <f>'School Level Inst. Resources'!D91</f>
        <v>Moorcroft High School</v>
      </c>
      <c r="E91" s="228" t="str">
        <f>'School Level Inst. Resources'!E91</f>
        <v>9-12</v>
      </c>
      <c r="F91" s="229" t="str">
        <f>'School Level Inst. Resources'!H91</f>
        <v>H</v>
      </c>
      <c r="G91" s="229" t="s">
        <v>1158</v>
      </c>
      <c r="H91" s="207">
        <v>82140</v>
      </c>
      <c r="I91" s="207">
        <f>IF('SFD Allowable GSF Calculation'!$D$2=1,'SFD Allowable GSF Calculation'!$P91,'SFD Allowable GSF Calculation'!$X91)</f>
        <v>60097</v>
      </c>
      <c r="J91" s="194">
        <f>$I91*'Model Data Inputs'!$B$165</f>
        <v>69111.549999999988</v>
      </c>
      <c r="K91" s="194">
        <f>IF($L91&gt;='Model Data Inputs'!$B$164,$H91,MIN($H91,$J91))</f>
        <v>69111.549999999988</v>
      </c>
      <c r="L91" s="208">
        <v>1988</v>
      </c>
      <c r="M91" s="196">
        <f>IF($L91&gt;0,'Model Data Inputs'!$B$157-$L91,"")</f>
        <v>29</v>
      </c>
      <c r="N91" s="209">
        <v>25</v>
      </c>
      <c r="O91" s="198">
        <f>'School Level Inst. Resources'!$L91</f>
        <v>177.81500000000003</v>
      </c>
      <c r="P91" s="198">
        <f>IF($G91="T",SUMIFS('School Level ADM'!$S$5:$S$359,'School Level ADM'!$A$5:$A$359,$A91),0)</f>
        <v>1134.6060000000002</v>
      </c>
      <c r="Q91" s="199">
        <f t="shared" si="14"/>
        <v>0.15671960134178736</v>
      </c>
      <c r="R91" s="200">
        <f>SUM((('School Level Inst. Resources'!I91/'Model Data Inputs'!$B$8)*(1+'Model Data Inputs'!$B$9)),(SUM('School Level Inst. Resources'!J91:K91)/'Model Data Inputs'!$C$8)*(1+'Model Data Inputs'!$C$9),'School Level Inst. Resources'!K91/400)</f>
        <v>10.75007641304348</v>
      </c>
      <c r="S91" s="200">
        <f t="shared" si="8"/>
        <v>10.75007641304348</v>
      </c>
      <c r="T91" s="201">
        <f>IF($G91="T",VLOOKUP($A91,'Total O &amp; M Resources'!$A$5:$K$52,3),0)</f>
        <v>12161309.610000001</v>
      </c>
      <c r="U91" s="202">
        <f>IF($G91="F",0,$S91/'Model Data Inputs'!$B$140)</f>
        <v>0.82692895484949847</v>
      </c>
      <c r="V91" s="202">
        <f>IF($G91="F",0,$O91/'Model Data Inputs'!$B$141)</f>
        <v>0.54712307692307705</v>
      </c>
      <c r="W91" s="202">
        <f>IF($G91="F",0,$N91/'Model Data Inputs'!$B$142)</f>
        <v>1.9230769230769231</v>
      </c>
      <c r="X91" s="202">
        <f>IF($G91="F",0,$K91/'Model Data Inputs'!$B$143)</f>
        <v>3.8395305555555548</v>
      </c>
      <c r="Y91" s="202">
        <f t="shared" si="9"/>
        <v>1.7841648776012633</v>
      </c>
      <c r="Z91" s="202">
        <f>IF(OR($G91="F",$F91="E"),0,'Model Data Inputs'!$B$144)</f>
        <v>0.5</v>
      </c>
      <c r="AA91" s="202">
        <f>IF(AND($O91&lt;='Model Data Inputs'!$B$139,$F91="E"),0,IF(AND($O91&lt;='Model Data Inputs'!$B$139,$F91="M"),0,IF(AND($O91&lt;='Model Data Inputs'!$B$139,$F91="H"),0,IF(SUM($Y91:$Z91)&lt;1,1,SUM($Y91:$Z91)))))</f>
        <v>2.2841648776012633</v>
      </c>
      <c r="AB91" s="202">
        <f>($K91/'Model Data Inputs'!$B$143)*'Model Data Inputs'!$B$145</f>
        <v>0.38395305555555548</v>
      </c>
      <c r="AC91" s="202">
        <f t="shared" si="10"/>
        <v>2.668117933156819</v>
      </c>
      <c r="AD91" s="202">
        <f>IF($G91="F",0,'Model Data Inputs'!$B$147)</f>
        <v>1.1000000000000001</v>
      </c>
      <c r="AE91" s="202">
        <f>IF($G91="F",0,($K91/'Model Data Inputs'!$B$148)*'Model Data Inputs'!$B$149)</f>
        <v>1.3822309999999998</v>
      </c>
      <c r="AF91" s="202">
        <f>IF($G91="F",0,($O91/'Model Data Inputs'!$B$150)*'Model Data Inputs'!$B$151)</f>
        <v>0.23115950000000005</v>
      </c>
      <c r="AG91" s="202">
        <f>IF($G91="F",0,(($Q91*$T91)/'Model Data Inputs'!$B$152)*'Model Data Inputs'!$B$153)</f>
        <v>0.45741974252957945</v>
      </c>
      <c r="AH91" s="202">
        <f t="shared" si="11"/>
        <v>0.79270256063239475</v>
      </c>
      <c r="AI91" s="203">
        <f>IF(OR($G91="F",$F91="M",$F91="H"),0,($AH91*'Model Data Inputs'!$B$154)-$AH91)</f>
        <v>0</v>
      </c>
      <c r="AJ91" s="202">
        <f>IF(OR($G91="F",$F91="E",$F91="H"),0,($AH91*'Model Data Inputs'!$B$155)-$AH91)</f>
        <v>0</v>
      </c>
      <c r="AK91" s="203">
        <f>IF(OR($G91="F",$F91="E",$F91="M"),0,($AH91*'Model Data Inputs'!$B$156)-$AH91)</f>
        <v>0.79270256063239475</v>
      </c>
      <c r="AL91" s="203">
        <f>IF($G91="F",0,IF($M91&lt;'Model Data Inputs'!$B$158,$AH91*('Model Data Inputs'!$B$159-1),0))</f>
        <v>0</v>
      </c>
      <c r="AM91" s="202">
        <f>IF($G91="F",0,IF($M91&gt;'Model Data Inputs'!$B$160,$AH91*('Model Data Inputs'!$B$161-1),0))</f>
        <v>0</v>
      </c>
      <c r="AN91" s="202">
        <f>IF($G91="F",0,IF($P91&lt;'Model Data Inputs'!$B$162,SUM($AH91,$AI91,$AJ91,$AK91,$AL91,$AM91)*('Model Data Inputs'!$B$163-1),0))</f>
        <v>0</v>
      </c>
      <c r="AO91" s="202">
        <f t="shared" si="12"/>
        <v>1.5854051212647895</v>
      </c>
      <c r="AP91" s="204">
        <f>$K91*'Model Data Inputs'!$B$166</f>
        <v>46304.738499999992</v>
      </c>
      <c r="AQ91" s="204">
        <f>($K91*'Model Data Inputs'!$B$145)*'Model Data Inputs'!$B$166</f>
        <v>4630.4738499999994</v>
      </c>
      <c r="AR91" s="50">
        <f t="shared" si="13"/>
        <v>50935.212349999994</v>
      </c>
    </row>
    <row r="92" spans="1:44" x14ac:dyDescent="0.2">
      <c r="A92" s="227" t="str">
        <f>'School Level Inst. Resources'!A92</f>
        <v>0701000</v>
      </c>
      <c r="B92" s="227" t="str">
        <f>'School Level Inst. Resources'!B92</f>
        <v>Fremont #1</v>
      </c>
      <c r="C92" s="227" t="str">
        <f>'School Level Inst. Resources'!C92</f>
        <v>0701006</v>
      </c>
      <c r="D92" s="227" t="str">
        <f>'School Level Inst. Resources'!D92</f>
        <v>Jeffrey City Elementary</v>
      </c>
      <c r="E92" s="228" t="str">
        <f>'School Level Inst. Resources'!E92</f>
        <v>K-6</v>
      </c>
      <c r="F92" s="229" t="str">
        <f>'School Level Inst. Resources'!H92</f>
        <v>E</v>
      </c>
      <c r="G92" s="229" t="s">
        <v>1158</v>
      </c>
      <c r="H92" s="207">
        <v>8447</v>
      </c>
      <c r="I92" s="207">
        <f>IF('SFD Allowable GSF Calculation'!$D$2=1,'SFD Allowable GSF Calculation'!$P92,'SFD Allowable GSF Calculation'!$X92)</f>
        <v>2915</v>
      </c>
      <c r="J92" s="194">
        <f>$I92*'Model Data Inputs'!$B$165</f>
        <v>3352.2499999999995</v>
      </c>
      <c r="K92" s="194">
        <f>IF($L92&gt;='Model Data Inputs'!$B$164,$H92,MIN($H92,$J92))</f>
        <v>3352.2499999999995</v>
      </c>
      <c r="L92" s="208">
        <v>1958</v>
      </c>
      <c r="M92" s="196">
        <f>IF($L92&gt;0,'Model Data Inputs'!$B$157-$L92,"")</f>
        <v>59</v>
      </c>
      <c r="N92" s="209">
        <v>4</v>
      </c>
      <c r="O92" s="198">
        <f>'School Level Inst. Resources'!$L92</f>
        <v>6.8950000000000005</v>
      </c>
      <c r="P92" s="198">
        <f>IF($G92="T",SUMIFS('School Level ADM'!$S$5:$S$359,'School Level ADM'!$A$5:$A$359,$A92),0)</f>
        <v>1760.1949999999997</v>
      </c>
      <c r="Q92" s="199">
        <f t="shared" si="14"/>
        <v>3.9171796306659212E-3</v>
      </c>
      <c r="R92" s="200">
        <f>SUM((('School Level Inst. Resources'!I92/'Model Data Inputs'!$B$8)*(1+'Model Data Inputs'!$B$9)),(SUM('School Level Inst. Resources'!J92:K92)/'Model Data Inputs'!$C$8)*(1+'Model Data Inputs'!$C$9),'School Level Inst. Resources'!K92/400)</f>
        <v>0.45966666666666667</v>
      </c>
      <c r="S92" s="200">
        <f t="shared" si="8"/>
        <v>0.45966666666666667</v>
      </c>
      <c r="T92" s="201">
        <f>IF($G92="T",VLOOKUP($A92,'Total O &amp; M Resources'!$A$5:$K$52,3),0)</f>
        <v>16308972.9</v>
      </c>
      <c r="U92" s="202">
        <f>IF($G92="F",0,$S92/'Model Data Inputs'!$B$140)</f>
        <v>3.5358974358974359E-2</v>
      </c>
      <c r="V92" s="202">
        <f>IF($G92="F",0,$O92/'Model Data Inputs'!$B$141)</f>
        <v>2.1215384615384615E-2</v>
      </c>
      <c r="W92" s="202">
        <f>IF($G92="F",0,$N92/'Model Data Inputs'!$B$142)</f>
        <v>0.30769230769230771</v>
      </c>
      <c r="X92" s="202">
        <f>IF($G92="F",0,$K92/'Model Data Inputs'!$B$143)</f>
        <v>0.18623611111111107</v>
      </c>
      <c r="Y92" s="202">
        <f t="shared" si="9"/>
        <v>0.13762569444444445</v>
      </c>
      <c r="Z92" s="202">
        <f>IF(OR($G92="F",$F92="E"),0,'Model Data Inputs'!$B$144)</f>
        <v>0</v>
      </c>
      <c r="AA92" s="202">
        <f>IF(AND($O92&lt;='Model Data Inputs'!$B$139,$F92="E"),0,IF(AND($O92&lt;='Model Data Inputs'!$B$139,$F92="M"),0,IF(AND($O92&lt;='Model Data Inputs'!$B$139,$F92="H"),0,IF(SUM($Y92:$Z92)&lt;1,1,SUM($Y92:$Z92)))))</f>
        <v>0</v>
      </c>
      <c r="AB92" s="202">
        <f>($K92/'Model Data Inputs'!$B$143)*'Model Data Inputs'!$B$145</f>
        <v>1.8623611111111108E-2</v>
      </c>
      <c r="AC92" s="202">
        <f t="shared" si="10"/>
        <v>1.8623611111111108E-2</v>
      </c>
      <c r="AD92" s="202">
        <f>IF($G92="F",0,'Model Data Inputs'!$B$147)</f>
        <v>1.1000000000000001</v>
      </c>
      <c r="AE92" s="202">
        <f>IF($G92="F",0,($K92/'Model Data Inputs'!$B$148)*'Model Data Inputs'!$B$149)</f>
        <v>6.7044999999999993E-2</v>
      </c>
      <c r="AF92" s="202">
        <f>IF($G92="F",0,($O92/'Model Data Inputs'!$B$150)*'Model Data Inputs'!$B$151)</f>
        <v>8.963500000000001E-3</v>
      </c>
      <c r="AG92" s="202">
        <f>IF($G92="F",0,(($Q92*$T92)/'Model Data Inputs'!$B$152)*'Model Data Inputs'!$B$153)</f>
        <v>1.5332442345831004E-2</v>
      </c>
      <c r="AH92" s="202">
        <f t="shared" si="11"/>
        <v>0.29783523558645775</v>
      </c>
      <c r="AI92" s="203">
        <f>IF(OR($G92="F",$F92="M",$F92="H"),0,($AH92*'Model Data Inputs'!$B$154)-$AH92)</f>
        <v>-5.9567047117291549E-2</v>
      </c>
      <c r="AJ92" s="202">
        <f>IF(OR($G92="F",$F92="E",$F92="H"),0,($AH92*'Model Data Inputs'!$B$155)-$AH92)</f>
        <v>0</v>
      </c>
      <c r="AK92" s="203">
        <f>IF(OR($G92="F",$F92="E",$F92="M"),0,($AH92*'Model Data Inputs'!$B$156)-$AH92)</f>
        <v>0</v>
      </c>
      <c r="AL92" s="203">
        <f>IF($G92="F",0,IF($M92&lt;'Model Data Inputs'!$B$158,$AH92*('Model Data Inputs'!$B$159-1),0))</f>
        <v>0</v>
      </c>
      <c r="AM92" s="202">
        <f>IF($G92="F",0,IF($M92&gt;'Model Data Inputs'!$B$160,$AH92*('Model Data Inputs'!$B$161-1),0))</f>
        <v>2.9783523558645802E-2</v>
      </c>
      <c r="AN92" s="202">
        <f>IF($G92="F",0,IF($P92&lt;'Model Data Inputs'!$B$162,SUM($AH92,$AI92,$AJ92,$AK92,$AL92,$AM92)*('Model Data Inputs'!$B$163-1),0))</f>
        <v>0</v>
      </c>
      <c r="AO92" s="202">
        <f t="shared" si="12"/>
        <v>0.26805171202781197</v>
      </c>
      <c r="AP92" s="204">
        <f>$K92*'Model Data Inputs'!$B$166</f>
        <v>2246.0074999999997</v>
      </c>
      <c r="AQ92" s="204">
        <f>($K92*'Model Data Inputs'!$B$145)*'Model Data Inputs'!$B$166</f>
        <v>224.60074999999998</v>
      </c>
      <c r="AR92" s="50">
        <f t="shared" si="13"/>
        <v>2470.6082499999998</v>
      </c>
    </row>
    <row r="93" spans="1:44" x14ac:dyDescent="0.2">
      <c r="A93" s="227" t="str">
        <f>'School Level Inst. Resources'!A93</f>
        <v>0701000</v>
      </c>
      <c r="B93" s="227" t="str">
        <f>'School Level Inst. Resources'!B93</f>
        <v>Fremont #1</v>
      </c>
      <c r="C93" s="227" t="str">
        <f>'School Level Inst. Resources'!C93</f>
        <v>0701008</v>
      </c>
      <c r="D93" s="227" t="str">
        <f>'School Level Inst. Resources'!D93</f>
        <v>Gannett Peak</v>
      </c>
      <c r="E93" s="228" t="str">
        <f>'School Level Inst. Resources'!E93</f>
        <v>K-3</v>
      </c>
      <c r="F93" s="229" t="str">
        <f>'School Level Inst. Resources'!H93</f>
        <v>E</v>
      </c>
      <c r="G93" s="229" t="s">
        <v>1158</v>
      </c>
      <c r="H93" s="207">
        <v>81953</v>
      </c>
      <c r="I93" s="207">
        <f>IF('SFD Allowable GSF Calculation'!$D$2=1,'SFD Allowable GSF Calculation'!$P93,'SFD Allowable GSF Calculation'!$X93)</f>
        <v>74407</v>
      </c>
      <c r="J93" s="194">
        <f>$I93*'Model Data Inputs'!$B$165</f>
        <v>85568.049999999988</v>
      </c>
      <c r="K93" s="194">
        <f>IF($L93&gt;='Model Data Inputs'!$B$164,$H93,MIN($H93,$J93))</f>
        <v>81953</v>
      </c>
      <c r="L93" s="208">
        <v>2013</v>
      </c>
      <c r="M93" s="196">
        <f>IF($L93&gt;0,'Model Data Inputs'!$B$157-$L93,"")</f>
        <v>4</v>
      </c>
      <c r="N93" s="209">
        <v>48</v>
      </c>
      <c r="O93" s="198">
        <f>'School Level Inst. Resources'!$L93</f>
        <v>535.83999999999992</v>
      </c>
      <c r="P93" s="198">
        <f>IF($G93="T",SUMIFS('School Level ADM'!$S$5:$S$359,'School Level ADM'!$A$5:$A$359,$A93),0)</f>
        <v>1760.1949999999997</v>
      </c>
      <c r="Q93" s="199">
        <f t="shared" si="14"/>
        <v>0.30442081701175155</v>
      </c>
      <c r="R93" s="200">
        <f>SUM((('School Level Inst. Resources'!I93/'Model Data Inputs'!$B$8)*(1+'Model Data Inputs'!$B$9)),(SUM('School Level Inst. Resources'!J93:K93)/'Model Data Inputs'!$C$8)*(1+'Model Data Inputs'!$C$9),'School Level Inst. Resources'!K93/400)</f>
        <v>35.722666666666662</v>
      </c>
      <c r="S93" s="200">
        <f t="shared" si="8"/>
        <v>35.722666666666662</v>
      </c>
      <c r="T93" s="201">
        <f>IF($G93="T",VLOOKUP($A93,'Total O &amp; M Resources'!$A$5:$K$52,3),0)</f>
        <v>16308972.9</v>
      </c>
      <c r="U93" s="202">
        <f>IF($G93="F",0,$S93/'Model Data Inputs'!$B$140)</f>
        <v>2.7478974358974355</v>
      </c>
      <c r="V93" s="202">
        <f>IF($G93="F",0,$O93/'Model Data Inputs'!$B$141)</f>
        <v>1.6487384615384613</v>
      </c>
      <c r="W93" s="202">
        <f>IF($G93="F",0,$N93/'Model Data Inputs'!$B$142)</f>
        <v>3.6923076923076925</v>
      </c>
      <c r="X93" s="202">
        <f>IF($G93="F",0,$K93/'Model Data Inputs'!$B$143)</f>
        <v>4.552944444444444</v>
      </c>
      <c r="Y93" s="202">
        <f t="shared" si="9"/>
        <v>3.1604720085470084</v>
      </c>
      <c r="Z93" s="202">
        <f>IF(OR($G93="F",$F93="E"),0,'Model Data Inputs'!$B$144)</f>
        <v>0</v>
      </c>
      <c r="AA93" s="202">
        <f>IF(AND($O93&lt;='Model Data Inputs'!$B$139,$F93="E"),0,IF(AND($O93&lt;='Model Data Inputs'!$B$139,$F93="M"),0,IF(AND($O93&lt;='Model Data Inputs'!$B$139,$F93="H"),0,IF(SUM($Y93:$Z93)&lt;1,1,SUM($Y93:$Z93)))))</f>
        <v>3.1604720085470084</v>
      </c>
      <c r="AB93" s="202">
        <f>($K93/'Model Data Inputs'!$B$143)*'Model Data Inputs'!$B$145</f>
        <v>0.45529444444444445</v>
      </c>
      <c r="AC93" s="202">
        <f t="shared" si="10"/>
        <v>3.6157664529914531</v>
      </c>
      <c r="AD93" s="202">
        <f>IF($G93="F",0,'Model Data Inputs'!$B$147)</f>
        <v>1.1000000000000001</v>
      </c>
      <c r="AE93" s="202">
        <f>IF($G93="F",0,($K93/'Model Data Inputs'!$B$148)*'Model Data Inputs'!$B$149)</f>
        <v>1.63906</v>
      </c>
      <c r="AF93" s="202">
        <f>IF($G93="F",0,($O93/'Model Data Inputs'!$B$150)*'Model Data Inputs'!$B$151)</f>
        <v>0.69659199999999988</v>
      </c>
      <c r="AG93" s="202">
        <f>IF($G93="F",0,(($Q93*$T93)/'Model Data Inputs'!$B$152)*'Model Data Inputs'!$B$153)</f>
        <v>1.1915498051617235</v>
      </c>
      <c r="AH93" s="202">
        <f t="shared" si="11"/>
        <v>1.1568004512904309</v>
      </c>
      <c r="AI93" s="203">
        <f>IF(OR($G93="F",$F93="M",$F93="H"),0,($AH93*'Model Data Inputs'!$B$154)-$AH93)</f>
        <v>-0.23136009025808613</v>
      </c>
      <c r="AJ93" s="202">
        <f>IF(OR($G93="F",$F93="E",$F93="H"),0,($AH93*'Model Data Inputs'!$B$155)-$AH93)</f>
        <v>0</v>
      </c>
      <c r="AK93" s="203">
        <f>IF(OR($G93="F",$F93="E",$F93="M"),0,($AH93*'Model Data Inputs'!$B$156)-$AH93)</f>
        <v>0</v>
      </c>
      <c r="AL93" s="203">
        <f>IF($G93="F",0,IF($M93&lt;'Model Data Inputs'!$B$158,$AH93*('Model Data Inputs'!$B$159-1),0))</f>
        <v>-5.7840022564521594E-2</v>
      </c>
      <c r="AM93" s="202">
        <f>IF($G93="F",0,IF($M93&gt;'Model Data Inputs'!$B$160,$AH93*('Model Data Inputs'!$B$161-1),0))</f>
        <v>0</v>
      </c>
      <c r="AN93" s="202">
        <f>IF($G93="F",0,IF($P93&lt;'Model Data Inputs'!$B$162,SUM($AH93,$AI93,$AJ93,$AK93,$AL93,$AM93)*('Model Data Inputs'!$B$163-1),0))</f>
        <v>0</v>
      </c>
      <c r="AO93" s="202">
        <f t="shared" si="12"/>
        <v>0.86760033846782314</v>
      </c>
      <c r="AP93" s="204">
        <f>$K93*'Model Data Inputs'!$B$166</f>
        <v>54908.51</v>
      </c>
      <c r="AQ93" s="204">
        <f>($K93*'Model Data Inputs'!$B$145)*'Model Data Inputs'!$B$166</f>
        <v>5490.8510000000015</v>
      </c>
      <c r="AR93" s="50">
        <f t="shared" si="13"/>
        <v>60399.361000000004</v>
      </c>
    </row>
    <row r="94" spans="1:44" x14ac:dyDescent="0.2">
      <c r="A94" s="227" t="str">
        <f>'School Level Inst. Resources'!A94</f>
        <v>0701000</v>
      </c>
      <c r="B94" s="227" t="str">
        <f>'School Level Inst. Resources'!B94</f>
        <v>Fremont #1</v>
      </c>
      <c r="C94" s="227" t="str">
        <f>'School Level Inst. Resources'!C94</f>
        <v>0701009</v>
      </c>
      <c r="D94" s="227" t="str">
        <f>'School Level Inst. Resources'!D94</f>
        <v>Baldwin Creek</v>
      </c>
      <c r="E94" s="228" t="str">
        <f>'School Level Inst. Resources'!E94</f>
        <v>4-5</v>
      </c>
      <c r="F94" s="229" t="str">
        <f>'School Level Inst. Resources'!H94</f>
        <v>E</v>
      </c>
      <c r="G94" s="229" t="s">
        <v>1158</v>
      </c>
      <c r="H94" s="207">
        <v>44702</v>
      </c>
      <c r="I94" s="207">
        <f>IF('SFD Allowable GSF Calculation'!$D$2=1,'SFD Allowable GSF Calculation'!$P94,'SFD Allowable GSF Calculation'!$X94)</f>
        <v>44591</v>
      </c>
      <c r="J94" s="194">
        <f>$I94*'Model Data Inputs'!$B$165</f>
        <v>51279.649999999994</v>
      </c>
      <c r="K94" s="194">
        <f>IF($L94&gt;='Model Data Inputs'!$B$164,$H94,MIN($H94,$J94))</f>
        <v>44702</v>
      </c>
      <c r="L94" s="208">
        <v>1982</v>
      </c>
      <c r="M94" s="196">
        <f>IF($L94&gt;0,'Model Data Inputs'!$B$157-$L94,"")</f>
        <v>35</v>
      </c>
      <c r="N94" s="209">
        <v>25</v>
      </c>
      <c r="O94" s="198">
        <f>'School Level Inst. Resources'!$L94</f>
        <v>300.42499999999995</v>
      </c>
      <c r="P94" s="198">
        <f>IF($G94="T",SUMIFS('School Level ADM'!$S$5:$S$359,'School Level ADM'!$A$5:$A$359,$A94),0)</f>
        <v>1760.1949999999997</v>
      </c>
      <c r="Q94" s="199">
        <f t="shared" si="14"/>
        <v>0.17067711247901513</v>
      </c>
      <c r="R94" s="200">
        <f>SUM((('School Level Inst. Resources'!I94/'Model Data Inputs'!$B$8)*(1+'Model Data Inputs'!$B$9)),(SUM('School Level Inst. Resources'!J94:K94)/'Model Data Inputs'!$C$8)*(1+'Model Data Inputs'!$C$9),'School Level Inst. Resources'!K94/400)</f>
        <v>20.028333333333332</v>
      </c>
      <c r="S94" s="200">
        <f t="shared" si="8"/>
        <v>20.028333333333332</v>
      </c>
      <c r="T94" s="201">
        <f>IF($G94="T",VLOOKUP($A94,'Total O &amp; M Resources'!$A$5:$K$52,3),0)</f>
        <v>16308972.9</v>
      </c>
      <c r="U94" s="202">
        <f>IF($G94="F",0,$S94/'Model Data Inputs'!$B$140)</f>
        <v>1.5406410256410257</v>
      </c>
      <c r="V94" s="202">
        <f>IF($G94="F",0,$O94/'Model Data Inputs'!$B$141)</f>
        <v>0.92438461538461525</v>
      </c>
      <c r="W94" s="202">
        <f>IF($G94="F",0,$N94/'Model Data Inputs'!$B$142)</f>
        <v>1.9230769230769231</v>
      </c>
      <c r="X94" s="202">
        <f>IF($G94="F",0,$K94/'Model Data Inputs'!$B$143)</f>
        <v>2.4834444444444443</v>
      </c>
      <c r="Y94" s="202">
        <f t="shared" si="9"/>
        <v>1.717886752136752</v>
      </c>
      <c r="Z94" s="202">
        <f>IF(OR($G94="F",$F94="E"),0,'Model Data Inputs'!$B$144)</f>
        <v>0</v>
      </c>
      <c r="AA94" s="202">
        <f>IF(AND($O94&lt;='Model Data Inputs'!$B$139,$F94="E"),0,IF(AND($O94&lt;='Model Data Inputs'!$B$139,$F94="M"),0,IF(AND($O94&lt;='Model Data Inputs'!$B$139,$F94="H"),0,IF(SUM($Y94:$Z94)&lt;1,1,SUM($Y94:$Z94)))))</f>
        <v>1.717886752136752</v>
      </c>
      <c r="AB94" s="202">
        <f>($K94/'Model Data Inputs'!$B$143)*'Model Data Inputs'!$B$145</f>
        <v>0.24834444444444445</v>
      </c>
      <c r="AC94" s="202">
        <f t="shared" si="10"/>
        <v>1.9662311965811965</v>
      </c>
      <c r="AD94" s="202">
        <f>IF($G94="F",0,'Model Data Inputs'!$B$147)</f>
        <v>1.1000000000000001</v>
      </c>
      <c r="AE94" s="202">
        <f>IF($G94="F",0,($K94/'Model Data Inputs'!$B$148)*'Model Data Inputs'!$B$149)</f>
        <v>0.89403999999999995</v>
      </c>
      <c r="AF94" s="202">
        <f>IF($G94="F",0,($O94/'Model Data Inputs'!$B$150)*'Model Data Inputs'!$B$151)</f>
        <v>0.39055249999999991</v>
      </c>
      <c r="AG94" s="202">
        <f>IF($G94="F",0,(($Q94*$T94)/'Model Data Inputs'!$B$152)*'Model Data Inputs'!$B$153)</f>
        <v>0.66805641649692238</v>
      </c>
      <c r="AH94" s="202">
        <f t="shared" si="11"/>
        <v>0.7631622291242306</v>
      </c>
      <c r="AI94" s="203">
        <f>IF(OR($G94="F",$F94="M",$F94="H"),0,($AH94*'Model Data Inputs'!$B$154)-$AH94)</f>
        <v>-0.15263244582484603</v>
      </c>
      <c r="AJ94" s="202">
        <f>IF(OR($G94="F",$F94="E",$F94="H"),0,($AH94*'Model Data Inputs'!$B$155)-$AH94)</f>
        <v>0</v>
      </c>
      <c r="AK94" s="203">
        <f>IF(OR($G94="F",$F94="E",$F94="M"),0,($AH94*'Model Data Inputs'!$B$156)-$AH94)</f>
        <v>0</v>
      </c>
      <c r="AL94" s="203">
        <f>IF($G94="F",0,IF($M94&lt;'Model Data Inputs'!$B$158,$AH94*('Model Data Inputs'!$B$159-1),0))</f>
        <v>0</v>
      </c>
      <c r="AM94" s="202">
        <f>IF($G94="F",0,IF($M94&gt;'Model Data Inputs'!$B$160,$AH94*('Model Data Inputs'!$B$161-1),0))</f>
        <v>7.6316222912423126E-2</v>
      </c>
      <c r="AN94" s="202">
        <f>IF($G94="F",0,IF($P94&lt;'Model Data Inputs'!$B$162,SUM($AH94,$AI94,$AJ94,$AK94,$AL94,$AM94)*('Model Data Inputs'!$B$163-1),0))</f>
        <v>0</v>
      </c>
      <c r="AO94" s="202">
        <f t="shared" si="12"/>
        <v>0.68684600621180769</v>
      </c>
      <c r="AP94" s="204">
        <f>$K94*'Model Data Inputs'!$B$166</f>
        <v>29950.34</v>
      </c>
      <c r="AQ94" s="204">
        <f>($K94*'Model Data Inputs'!$B$145)*'Model Data Inputs'!$B$166</f>
        <v>2995.0340000000001</v>
      </c>
      <c r="AR94" s="50">
        <f t="shared" si="13"/>
        <v>32945.374000000003</v>
      </c>
    </row>
    <row r="95" spans="1:44" x14ac:dyDescent="0.2">
      <c r="A95" s="227" t="str">
        <f>'School Level Inst. Resources'!A95</f>
        <v>0701000</v>
      </c>
      <c r="B95" s="227" t="str">
        <f>'School Level Inst. Resources'!B95</f>
        <v>Fremont #1</v>
      </c>
      <c r="C95" s="227" t="str">
        <f>'School Level Inst. Resources'!C95</f>
        <v>0701050</v>
      </c>
      <c r="D95" s="227" t="str">
        <f>'School Level Inst. Resources'!D95</f>
        <v>Lander Middle School</v>
      </c>
      <c r="E95" s="228" t="str">
        <f>'School Level Inst. Resources'!E95</f>
        <v>6-8</v>
      </c>
      <c r="F95" s="229" t="str">
        <f>'School Level Inst. Resources'!H95</f>
        <v>M</v>
      </c>
      <c r="G95" s="229" t="s">
        <v>1158</v>
      </c>
      <c r="H95" s="207">
        <v>77622</v>
      </c>
      <c r="I95" s="207">
        <f>IF('SFD Allowable GSF Calculation'!$D$2=1,'SFD Allowable GSF Calculation'!$P95,'SFD Allowable GSF Calculation'!$X95)</f>
        <v>73600</v>
      </c>
      <c r="J95" s="194">
        <f>$I95*'Model Data Inputs'!$B$165</f>
        <v>84640</v>
      </c>
      <c r="K95" s="194">
        <f>IF($L95&gt;='Model Data Inputs'!$B$164,$H95,MIN($H95,$J95))</f>
        <v>77622</v>
      </c>
      <c r="L95" s="208">
        <v>2011</v>
      </c>
      <c r="M95" s="196">
        <f>IF($L95&gt;0,'Model Data Inputs'!$B$157-$L95,"")</f>
        <v>6</v>
      </c>
      <c r="N95" s="209">
        <v>34</v>
      </c>
      <c r="O95" s="198">
        <f>'School Level Inst. Resources'!$L95</f>
        <v>409.76</v>
      </c>
      <c r="P95" s="198">
        <f>IF($G95="T",SUMIFS('School Level ADM'!$S$5:$S$359,'School Level ADM'!$A$5:$A$359,$A95),0)</f>
        <v>1760.1949999999997</v>
      </c>
      <c r="Q95" s="199">
        <f t="shared" si="14"/>
        <v>0.23279238947957473</v>
      </c>
      <c r="R95" s="200">
        <f>SUM((('School Level Inst. Resources'!I95/'Model Data Inputs'!$B$8)*(1+'Model Data Inputs'!$B$9)),(SUM('School Level Inst. Resources'!J95:K95)/'Model Data Inputs'!$C$8)*(1+'Model Data Inputs'!$C$9),'School Level Inst. Resources'!K95/400)</f>
        <v>23.748264347826087</v>
      </c>
      <c r="S95" s="200">
        <f t="shared" si="8"/>
        <v>23.748264347826087</v>
      </c>
      <c r="T95" s="201">
        <f>IF($G95="T",VLOOKUP($A95,'Total O &amp; M Resources'!$A$5:$K$52,3),0)</f>
        <v>16308972.9</v>
      </c>
      <c r="U95" s="202">
        <f>IF($G95="F",0,$S95/'Model Data Inputs'!$B$140)</f>
        <v>1.8267895652173913</v>
      </c>
      <c r="V95" s="202">
        <f>IF($G95="F",0,$O95/'Model Data Inputs'!$B$141)</f>
        <v>1.2607999999999999</v>
      </c>
      <c r="W95" s="202">
        <f>IF($G95="F",0,$N95/'Model Data Inputs'!$B$142)</f>
        <v>2.6153846153846154</v>
      </c>
      <c r="X95" s="202">
        <f>IF($G95="F",0,$K95/'Model Data Inputs'!$B$143)</f>
        <v>4.3123333333333331</v>
      </c>
      <c r="Y95" s="202">
        <f t="shared" si="9"/>
        <v>2.5038268784838351</v>
      </c>
      <c r="Z95" s="202">
        <f>IF(OR($G95="F",$F95="E"),0,'Model Data Inputs'!$B$144)</f>
        <v>0.5</v>
      </c>
      <c r="AA95" s="202">
        <f>IF(AND($O95&lt;='Model Data Inputs'!$B$139,$F95="E"),0,IF(AND($O95&lt;='Model Data Inputs'!$B$139,$F95="M"),0,IF(AND($O95&lt;='Model Data Inputs'!$B$139,$F95="H"),0,IF(SUM($Y95:$Z95)&lt;1,1,SUM($Y95:$Z95)))))</f>
        <v>3.0038268784838351</v>
      </c>
      <c r="AB95" s="202">
        <f>($K95/'Model Data Inputs'!$B$143)*'Model Data Inputs'!$B$145</f>
        <v>0.43123333333333336</v>
      </c>
      <c r="AC95" s="202">
        <f t="shared" si="10"/>
        <v>3.4350602118171683</v>
      </c>
      <c r="AD95" s="202">
        <f>IF($G95="F",0,'Model Data Inputs'!$B$147)</f>
        <v>1.1000000000000001</v>
      </c>
      <c r="AE95" s="202">
        <f>IF($G95="F",0,($K95/'Model Data Inputs'!$B$148)*'Model Data Inputs'!$B$149)</f>
        <v>1.55244</v>
      </c>
      <c r="AF95" s="202">
        <f>IF($G95="F",0,($O95/'Model Data Inputs'!$B$150)*'Model Data Inputs'!$B$151)</f>
        <v>0.53268800000000005</v>
      </c>
      <c r="AG95" s="202">
        <f>IF($G95="F",0,(($Q95*$T95)/'Model Data Inputs'!$B$152)*'Model Data Inputs'!$B$153)</f>
        <v>0.91118514512367099</v>
      </c>
      <c r="AH95" s="202">
        <f t="shared" si="11"/>
        <v>1.0240782862809179</v>
      </c>
      <c r="AI95" s="203">
        <f>IF(OR($G95="F",$F95="M",$F95="H"),0,($AH95*'Model Data Inputs'!$B$154)-$AH95)</f>
        <v>0</v>
      </c>
      <c r="AJ95" s="202">
        <f>IF(OR($G95="F",$F95="E",$F95="H"),0,($AH95*'Model Data Inputs'!$B$155)-$AH95)</f>
        <v>0</v>
      </c>
      <c r="AK95" s="203">
        <f>IF(OR($G95="F",$F95="E",$F95="M"),0,($AH95*'Model Data Inputs'!$B$156)-$AH95)</f>
        <v>0</v>
      </c>
      <c r="AL95" s="203">
        <f>IF($G95="F",0,IF($M95&lt;'Model Data Inputs'!$B$158,$AH95*('Model Data Inputs'!$B$159-1),0))</f>
        <v>-5.1203914314045938E-2</v>
      </c>
      <c r="AM95" s="202">
        <f>IF($G95="F",0,IF($M95&gt;'Model Data Inputs'!$B$160,$AH95*('Model Data Inputs'!$B$161-1),0))</f>
        <v>0</v>
      </c>
      <c r="AN95" s="202">
        <f>IF($G95="F",0,IF($P95&lt;'Model Data Inputs'!$B$162,SUM($AH95,$AI95,$AJ95,$AK95,$AL95,$AM95)*('Model Data Inputs'!$B$163-1),0))</f>
        <v>0</v>
      </c>
      <c r="AO95" s="202">
        <f t="shared" si="12"/>
        <v>0.97287437196687199</v>
      </c>
      <c r="AP95" s="204">
        <f>$K95*'Model Data Inputs'!$B$166</f>
        <v>52006.740000000005</v>
      </c>
      <c r="AQ95" s="204">
        <f>($K95*'Model Data Inputs'!$B$145)*'Model Data Inputs'!$B$166</f>
        <v>5200.6740000000009</v>
      </c>
      <c r="AR95" s="50">
        <f t="shared" si="13"/>
        <v>57207.414000000004</v>
      </c>
    </row>
    <row r="96" spans="1:44" x14ac:dyDescent="0.2">
      <c r="A96" s="227" t="str">
        <f>'School Level Inst. Resources'!A96</f>
        <v>0701000</v>
      </c>
      <c r="B96" s="227" t="str">
        <f>'School Level Inst. Resources'!B96</f>
        <v>Fremont #1</v>
      </c>
      <c r="C96" s="227" t="str">
        <f>'School Level Inst. Resources'!C96</f>
        <v>0701055</v>
      </c>
      <c r="D96" s="227" t="str">
        <f>'School Level Inst. Resources'!D96</f>
        <v>Lander Valley High School</v>
      </c>
      <c r="E96" s="228" t="str">
        <f>'School Level Inst. Resources'!E96</f>
        <v>9-12</v>
      </c>
      <c r="F96" s="229" t="str">
        <f>'School Level Inst. Resources'!H96</f>
        <v>H</v>
      </c>
      <c r="G96" s="229" t="s">
        <v>1158</v>
      </c>
      <c r="H96" s="207">
        <v>206141</v>
      </c>
      <c r="I96" s="207">
        <f>IF('SFD Allowable GSF Calculation'!$D$2=1,'SFD Allowable GSF Calculation'!$P96,'SFD Allowable GSF Calculation'!$X96)</f>
        <v>101174</v>
      </c>
      <c r="J96" s="194">
        <f>$I96*'Model Data Inputs'!$B$165</f>
        <v>116350.09999999999</v>
      </c>
      <c r="K96" s="194">
        <f>IF($L96&gt;='Model Data Inputs'!$B$164,$H96,MIN($H96,$J96))</f>
        <v>206141</v>
      </c>
      <c r="L96" s="208">
        <v>2004</v>
      </c>
      <c r="M96" s="196">
        <f>IF($L96&gt;0,'Model Data Inputs'!$B$157-$L96,"")</f>
        <v>13</v>
      </c>
      <c r="N96" s="209">
        <v>50</v>
      </c>
      <c r="O96" s="198">
        <f>'School Level Inst. Resources'!$L96</f>
        <v>472.79999999999995</v>
      </c>
      <c r="P96" s="198">
        <f>IF($G96="T",SUMIFS('School Level ADM'!$S$5:$S$359,'School Level ADM'!$A$5:$A$359,$A96),0)</f>
        <v>1760.1949999999997</v>
      </c>
      <c r="Q96" s="199">
        <f t="shared" si="14"/>
        <v>0.26860660324566316</v>
      </c>
      <c r="R96" s="200">
        <f>SUM((('School Level Inst. Resources'!I96/'Model Data Inputs'!$B$8)*(1+'Model Data Inputs'!$B$9)),(SUM('School Level Inst. Resources'!J96:K96)/'Model Data Inputs'!$C$8)*(1+'Model Data Inputs'!$C$9),'School Level Inst. Resources'!K96/400)</f>
        <v>28.583843478260864</v>
      </c>
      <c r="S96" s="200">
        <f t="shared" si="8"/>
        <v>28.583843478260864</v>
      </c>
      <c r="T96" s="201">
        <f>IF($G96="T",VLOOKUP($A96,'Total O &amp; M Resources'!$A$5:$K$52,3),0)</f>
        <v>16308972.9</v>
      </c>
      <c r="U96" s="202">
        <f>IF($G96="F",0,$S96/'Model Data Inputs'!$B$140)</f>
        <v>2.1987571906354511</v>
      </c>
      <c r="V96" s="202">
        <f>IF($G96="F",0,$O96/'Model Data Inputs'!$B$141)</f>
        <v>1.4547692307692306</v>
      </c>
      <c r="W96" s="202">
        <f>IF($G96="F",0,$N96/'Model Data Inputs'!$B$142)</f>
        <v>3.8461538461538463</v>
      </c>
      <c r="X96" s="202">
        <f>IF($G96="F",0,$K96/'Model Data Inputs'!$B$143)</f>
        <v>11.452277777777777</v>
      </c>
      <c r="Y96" s="202">
        <f t="shared" si="9"/>
        <v>4.7379895113340762</v>
      </c>
      <c r="Z96" s="202">
        <f>IF(OR($G96="F",$F96="E"),0,'Model Data Inputs'!$B$144)</f>
        <v>0.5</v>
      </c>
      <c r="AA96" s="202">
        <f>IF(AND($O96&lt;='Model Data Inputs'!$B$139,$F96="E"),0,IF(AND($O96&lt;='Model Data Inputs'!$B$139,$F96="M"),0,IF(AND($O96&lt;='Model Data Inputs'!$B$139,$F96="H"),0,IF(SUM($Y96:$Z96)&lt;1,1,SUM($Y96:$Z96)))))</f>
        <v>5.2379895113340762</v>
      </c>
      <c r="AB96" s="202">
        <f>($K96/'Model Data Inputs'!$B$143)*'Model Data Inputs'!$B$145</f>
        <v>1.1452277777777777</v>
      </c>
      <c r="AC96" s="202">
        <f t="shared" si="10"/>
        <v>6.3832172891118537</v>
      </c>
      <c r="AD96" s="202">
        <f>IF($G96="F",0,'Model Data Inputs'!$B$147)</f>
        <v>1.1000000000000001</v>
      </c>
      <c r="AE96" s="202">
        <f>IF($G96="F",0,($K96/'Model Data Inputs'!$B$148)*'Model Data Inputs'!$B$149)</f>
        <v>4.1228199999999999</v>
      </c>
      <c r="AF96" s="202">
        <f>IF($G96="F",0,($O96/'Model Data Inputs'!$B$150)*'Model Data Inputs'!$B$151)</f>
        <v>0.61463999999999996</v>
      </c>
      <c r="AG96" s="202">
        <f>IF($G96="F",0,(($Q96*$T96)/'Model Data Inputs'!$B$152)*'Model Data Inputs'!$B$153)</f>
        <v>1.0513674751426973</v>
      </c>
      <c r="AH96" s="202">
        <f t="shared" si="11"/>
        <v>1.7222068687856744</v>
      </c>
      <c r="AI96" s="203">
        <f>IF(OR($G96="F",$F96="M",$F96="H"),0,($AH96*'Model Data Inputs'!$B$154)-$AH96)</f>
        <v>0</v>
      </c>
      <c r="AJ96" s="202">
        <f>IF(OR($G96="F",$F96="E",$F96="H"),0,($AH96*'Model Data Inputs'!$B$155)-$AH96)</f>
        <v>0</v>
      </c>
      <c r="AK96" s="203">
        <f>IF(OR($G96="F",$F96="E",$F96="M"),0,($AH96*'Model Data Inputs'!$B$156)-$AH96)</f>
        <v>1.7222068687856744</v>
      </c>
      <c r="AL96" s="203">
        <f>IF($G96="F",0,IF($M96&lt;'Model Data Inputs'!$B$158,$AH96*('Model Data Inputs'!$B$159-1),0))</f>
        <v>0</v>
      </c>
      <c r="AM96" s="202">
        <f>IF($G96="F",0,IF($M96&gt;'Model Data Inputs'!$B$160,$AH96*('Model Data Inputs'!$B$161-1),0))</f>
        <v>0</v>
      </c>
      <c r="AN96" s="202">
        <f>IF($G96="F",0,IF($P96&lt;'Model Data Inputs'!$B$162,SUM($AH96,$AI96,$AJ96,$AK96,$AL96,$AM96)*('Model Data Inputs'!$B$163-1),0))</f>
        <v>0</v>
      </c>
      <c r="AO96" s="202">
        <f t="shared" si="12"/>
        <v>3.4444137375713488</v>
      </c>
      <c r="AP96" s="204">
        <f>$K96*'Model Data Inputs'!$B$166</f>
        <v>138114.47</v>
      </c>
      <c r="AQ96" s="204">
        <f>($K96*'Model Data Inputs'!$B$145)*'Model Data Inputs'!$B$166</f>
        <v>13811.447000000002</v>
      </c>
      <c r="AR96" s="50">
        <f t="shared" si="13"/>
        <v>151925.91700000002</v>
      </c>
    </row>
    <row r="97" spans="1:44" x14ac:dyDescent="0.2">
      <c r="A97" s="227" t="str">
        <f>'School Level Inst. Resources'!A97</f>
        <v>0701000</v>
      </c>
      <c r="B97" s="227" t="str">
        <f>'School Level Inst. Resources'!B97</f>
        <v>Fremont #1</v>
      </c>
      <c r="C97" s="227" t="str">
        <f>'School Level Inst. Resources'!C97</f>
        <v>0701056</v>
      </c>
      <c r="D97" s="227" t="str">
        <f>'School Level Inst. Resources'!D97</f>
        <v>Pathfinder High School</v>
      </c>
      <c r="E97" s="228" t="str">
        <f>'School Level Inst. Resources'!E97</f>
        <v>9-12</v>
      </c>
      <c r="F97" s="229" t="str">
        <f>'School Level Inst. Resources'!H97</f>
        <v>H</v>
      </c>
      <c r="G97" s="229" t="s">
        <v>1158</v>
      </c>
      <c r="H97" s="207">
        <v>47590</v>
      </c>
      <c r="I97" s="244">
        <f>IF('SFD Allowable GSF Calculation'!$D$2=1,'SFD Allowable GSF Calculation'!$P97,'SFD Allowable GSF Calculation'!$X97)</f>
        <v>13560</v>
      </c>
      <c r="J97" s="194">
        <f>$I97*'Model Data Inputs'!$B$165</f>
        <v>15593.999999999998</v>
      </c>
      <c r="K97" s="194">
        <f>IF($L97&gt;='Model Data Inputs'!$B$164,$H97,MIN($H97,$J97))</f>
        <v>15593.999999999998</v>
      </c>
      <c r="L97" s="208">
        <v>1961</v>
      </c>
      <c r="M97" s="196">
        <f>IF($L97&gt;0,'Model Data Inputs'!$B$157-$L97,"")</f>
        <v>56</v>
      </c>
      <c r="N97" s="209">
        <v>31</v>
      </c>
      <c r="O97" s="198">
        <f>'School Level Inst. Resources'!$L97</f>
        <v>34.475000000000001</v>
      </c>
      <c r="P97" s="198">
        <f>IF($G97="T",SUMIFS('School Level ADM'!$S$5:$S$359,'School Level ADM'!$A$5:$A$359,$A97),0)</f>
        <v>1760.1949999999997</v>
      </c>
      <c r="Q97" s="199">
        <f t="shared" si="14"/>
        <v>1.9585898153329607E-2</v>
      </c>
      <c r="R97" s="200">
        <f>SUM((('School Level Inst. Resources'!I97/'Model Data Inputs'!$B$8)*(1+'Model Data Inputs'!$B$9)),(SUM('School Level Inst. Resources'!J97:K97)/'Model Data Inputs'!$C$8)*(1+'Model Data Inputs'!$C$9),'School Level Inst. Resources'!K97/400)</f>
        <v>2.0842385869565216</v>
      </c>
      <c r="S97" s="200">
        <f t="shared" si="8"/>
        <v>2.0842385869565216</v>
      </c>
      <c r="T97" s="201">
        <f>IF($G97="T",VLOOKUP($A97,'Total O &amp; M Resources'!$A$5:$K$52,3),0)</f>
        <v>16308972.9</v>
      </c>
      <c r="U97" s="202">
        <f>IF($G97="F",0,$S97/'Model Data Inputs'!$B$140)</f>
        <v>0.16032604515050167</v>
      </c>
      <c r="V97" s="202">
        <f>IF($G97="F",0,$O97/'Model Data Inputs'!$B$141)</f>
        <v>0.10607692307692308</v>
      </c>
      <c r="W97" s="202">
        <f>IF($G97="F",0,$N97/'Model Data Inputs'!$B$142)</f>
        <v>2.3846153846153846</v>
      </c>
      <c r="X97" s="202">
        <f>IF($G97="F",0,$K97/'Model Data Inputs'!$B$143)</f>
        <v>0.86633333333333318</v>
      </c>
      <c r="Y97" s="202">
        <f t="shared" si="9"/>
        <v>0.87933792154403556</v>
      </c>
      <c r="Z97" s="202">
        <f>IF(OR($G97="F",$F97="E"),0,'Model Data Inputs'!$B$144)</f>
        <v>0.5</v>
      </c>
      <c r="AA97" s="202">
        <f>IF(AND($O97&lt;='Model Data Inputs'!$B$139,$F97="E"),0,IF(AND($O97&lt;='Model Data Inputs'!$B$139,$F97="M"),0,IF(AND($O97&lt;='Model Data Inputs'!$B$139,$F97="H"),0,IF(SUM($Y97:$Z97)&lt;1,1,SUM($Y97:$Z97)))))</f>
        <v>0</v>
      </c>
      <c r="AB97" s="202">
        <f>($K97/'Model Data Inputs'!$B$143)*'Model Data Inputs'!$B$145</f>
        <v>8.6633333333333326E-2</v>
      </c>
      <c r="AC97" s="202">
        <f t="shared" si="10"/>
        <v>8.6633333333333326E-2</v>
      </c>
      <c r="AD97" s="202">
        <f>IF($G97="F",0,'Model Data Inputs'!$B$147)</f>
        <v>1.1000000000000001</v>
      </c>
      <c r="AE97" s="202">
        <f>IF($G97="F",0,($K97/'Model Data Inputs'!$B$148)*'Model Data Inputs'!$B$149)</f>
        <v>0.31187999999999994</v>
      </c>
      <c r="AF97" s="202">
        <f>IF($G97="F",0,($O97/'Model Data Inputs'!$B$150)*'Model Data Inputs'!$B$151)</f>
        <v>4.4817500000000003E-2</v>
      </c>
      <c r="AG97" s="202">
        <f>IF($G97="F",0,(($Q97*$T97)/'Model Data Inputs'!$B$152)*'Model Data Inputs'!$B$153)</f>
        <v>7.6662211729155022E-2</v>
      </c>
      <c r="AH97" s="202">
        <f t="shared" si="11"/>
        <v>0.38333992793228877</v>
      </c>
      <c r="AI97" s="203">
        <f>IF(OR($G97="F",$F97="M",$F97="H"),0,($AH97*'Model Data Inputs'!$B$154)-$AH97)</f>
        <v>0</v>
      </c>
      <c r="AJ97" s="202">
        <f>IF(OR($G97="F",$F97="E",$F97="H"),0,($AH97*'Model Data Inputs'!$B$155)-$AH97)</f>
        <v>0</v>
      </c>
      <c r="AK97" s="203">
        <f>IF(OR($G97="F",$F97="E",$F97="M"),0,($AH97*'Model Data Inputs'!$B$156)-$AH97)</f>
        <v>0.38333992793228877</v>
      </c>
      <c r="AL97" s="203">
        <f>IF($G97="F",0,IF($M97&lt;'Model Data Inputs'!$B$158,$AH97*('Model Data Inputs'!$B$159-1),0))</f>
        <v>0</v>
      </c>
      <c r="AM97" s="202">
        <f>IF($G97="F",0,IF($M97&gt;'Model Data Inputs'!$B$160,$AH97*('Model Data Inputs'!$B$161-1),0))</f>
        <v>3.833399279322891E-2</v>
      </c>
      <c r="AN97" s="202">
        <f>IF($G97="F",0,IF($P97&lt;'Model Data Inputs'!$B$162,SUM($AH97,$AI97,$AJ97,$AK97,$AL97,$AM97)*('Model Data Inputs'!$B$163-1),0))</f>
        <v>0</v>
      </c>
      <c r="AO97" s="202">
        <f t="shared" si="12"/>
        <v>0.80501384865780645</v>
      </c>
      <c r="AP97" s="204">
        <f>$K97*'Model Data Inputs'!$B$166</f>
        <v>10447.98</v>
      </c>
      <c r="AQ97" s="204">
        <f>($K97*'Model Data Inputs'!$B$145)*'Model Data Inputs'!$B$166</f>
        <v>1044.798</v>
      </c>
      <c r="AR97" s="50">
        <f t="shared" si="13"/>
        <v>11492.778</v>
      </c>
    </row>
    <row r="98" spans="1:44" s="226" customFormat="1" x14ac:dyDescent="0.2">
      <c r="A98" s="210" t="str">
        <f>'School Level Inst. Resources'!A98</f>
        <v>0702000</v>
      </c>
      <c r="B98" s="210" t="str">
        <f>'School Level Inst. Resources'!B98</f>
        <v>Fremont #2</v>
      </c>
      <c r="C98" s="210" t="str">
        <f>'School Level Inst. Resources'!C98</f>
        <v>0702001</v>
      </c>
      <c r="D98" s="210" t="str">
        <f>'School Level Inst. Resources'!D98</f>
        <v>Dubois Elementary</v>
      </c>
      <c r="E98" s="211" t="str">
        <f>'School Level Inst. Resources'!E98</f>
        <v>K-5</v>
      </c>
      <c r="F98" s="212" t="str">
        <f>'School Level Inst. Resources'!H98</f>
        <v>E</v>
      </c>
      <c r="G98" s="212" t="s">
        <v>1159</v>
      </c>
      <c r="H98" s="213">
        <v>0</v>
      </c>
      <c r="I98" s="213">
        <f>IF('SFD Allowable GSF Calculation'!$D$2=1,'SFD Allowable GSF Calculation'!$P98,'SFD Allowable GSF Calculation'!$X98)</f>
        <v>0</v>
      </c>
      <c r="J98" s="214">
        <f>$I98*'Model Data Inputs'!$B$165</f>
        <v>0</v>
      </c>
      <c r="K98" s="214">
        <f>IF($L98&gt;='Model Data Inputs'!$B$164,$H98,MIN($H98,$J98))</f>
        <v>0</v>
      </c>
      <c r="L98" s="233">
        <v>0</v>
      </c>
      <c r="M98" s="196" t="str">
        <f>IF($L98&gt;0,'Model Data Inputs'!$B$157-$L98,"")</f>
        <v/>
      </c>
      <c r="N98" s="216">
        <v>0</v>
      </c>
      <c r="O98" s="217">
        <v>0</v>
      </c>
      <c r="P98" s="218">
        <f>IF($G98="T",SUMIFS('School Level ADM'!$S$5:$S$359,'School Level ADM'!$A$5:$A$359,$A98),0)</f>
        <v>0</v>
      </c>
      <c r="Q98" s="219">
        <f t="shared" si="14"/>
        <v>0</v>
      </c>
      <c r="R98" s="220">
        <f>SUM((('School Level Inst. Resources'!I98/'Model Data Inputs'!$B$8)*(1+'Model Data Inputs'!$B$9)),(SUM('School Level Inst. Resources'!J98:K98)/'Model Data Inputs'!$C$8)*(1+'Model Data Inputs'!$C$9),'School Level Inst. Resources'!K98/400)</f>
        <v>4.3339999999999996</v>
      </c>
      <c r="S98" s="220">
        <v>0</v>
      </c>
      <c r="T98" s="221">
        <f>IF($G98="T",VLOOKUP($A98,'Total O &amp; M Resources'!$A$5:$K$52,3),0)</f>
        <v>0</v>
      </c>
      <c r="U98" s="222">
        <f>IF($G98="F",0,$S98/'Model Data Inputs'!$B$140)</f>
        <v>0</v>
      </c>
      <c r="V98" s="222">
        <f>IF($G98="F",0,$O98/'Model Data Inputs'!$B$141)</f>
        <v>0</v>
      </c>
      <c r="W98" s="222">
        <f>IF($G98="F",0,$N98/'Model Data Inputs'!$B$142)</f>
        <v>0</v>
      </c>
      <c r="X98" s="222">
        <f>IF($G98="F",0,$K98/'Model Data Inputs'!$B$143)</f>
        <v>0</v>
      </c>
      <c r="Y98" s="222">
        <f t="shared" si="9"/>
        <v>0</v>
      </c>
      <c r="Z98" s="222">
        <f>IF(OR($G98="F",$F98="E"),0,'Model Data Inputs'!$B$144)</f>
        <v>0</v>
      </c>
      <c r="AA98" s="222">
        <f>IF(AND($O98&lt;='Model Data Inputs'!$B$139,$F98="E"),0,IF(AND($O98&lt;='Model Data Inputs'!$B$139,$F98="M"),0,IF(AND($O98&lt;='Model Data Inputs'!$B$139,$F98="H"),0,IF(SUM($Y98:$Z98)&lt;1,1,SUM($Y98:$Z98)))))</f>
        <v>0</v>
      </c>
      <c r="AB98" s="222">
        <f>($K98/'Model Data Inputs'!$B$143)*'Model Data Inputs'!$B$145</f>
        <v>0</v>
      </c>
      <c r="AC98" s="222">
        <f t="shared" si="10"/>
        <v>0</v>
      </c>
      <c r="AD98" s="222">
        <f>IF($G98="F",0,'Model Data Inputs'!$B$147)</f>
        <v>0</v>
      </c>
      <c r="AE98" s="222">
        <f>IF($G98="F",0,($K98/'Model Data Inputs'!$B$148)*'Model Data Inputs'!$B$149)</f>
        <v>0</v>
      </c>
      <c r="AF98" s="222">
        <f>IF($G98="F",0,($O98/'Model Data Inputs'!$B$150)*'Model Data Inputs'!$B$151)</f>
        <v>0</v>
      </c>
      <c r="AG98" s="222">
        <f>IF($G98="F",0,(($Q98*$T98)/'Model Data Inputs'!$B$152)*'Model Data Inputs'!$B$153)</f>
        <v>0</v>
      </c>
      <c r="AH98" s="222">
        <f t="shared" si="11"/>
        <v>0</v>
      </c>
      <c r="AI98" s="223">
        <f>IF(OR($G98="F",$F98="M",$F98="H"),0,($AH98*'Model Data Inputs'!$B$154)-$AH98)</f>
        <v>0</v>
      </c>
      <c r="AJ98" s="222">
        <f>IF(OR($G98="F",$F98="E",$F98="H"),0,($AH98*'Model Data Inputs'!$B$155)-$AH98)</f>
        <v>0</v>
      </c>
      <c r="AK98" s="223">
        <f>IF(OR($G98="F",$F98="E",$F98="M"),0,($AH98*'Model Data Inputs'!$B$156)-$AH98)</f>
        <v>0</v>
      </c>
      <c r="AL98" s="223">
        <f>IF($G98="F",0,IF($M98&lt;'Model Data Inputs'!$B$158,$AH98*('Model Data Inputs'!$B$159-1),0))</f>
        <v>0</v>
      </c>
      <c r="AM98" s="222">
        <f>IF($G98="F",0,IF($M98&gt;'Model Data Inputs'!$B$160,$AH98*('Model Data Inputs'!$B$161-1),0))</f>
        <v>0</v>
      </c>
      <c r="AN98" s="222">
        <f>IF($G98="F",0,IF($P98&lt;'Model Data Inputs'!$B$162,SUM($AH98,$AI98,$AJ98,$AK98,$AL98,$AM98)*('Model Data Inputs'!$B$163-1),0))</f>
        <v>0</v>
      </c>
      <c r="AO98" s="222">
        <f t="shared" si="12"/>
        <v>0</v>
      </c>
      <c r="AP98" s="224">
        <f>$K98*'Model Data Inputs'!$B$166</f>
        <v>0</v>
      </c>
      <c r="AQ98" s="224">
        <f>($K98*'Model Data Inputs'!$B$145)*'Model Data Inputs'!$B$166</f>
        <v>0</v>
      </c>
      <c r="AR98" s="225">
        <f t="shared" si="13"/>
        <v>0</v>
      </c>
    </row>
    <row r="99" spans="1:44" s="226" customFormat="1" x14ac:dyDescent="0.2">
      <c r="A99" s="210" t="str">
        <f>'School Level Inst. Resources'!A99</f>
        <v>0702000</v>
      </c>
      <c r="B99" s="210" t="str">
        <f>'School Level Inst. Resources'!B99</f>
        <v>Fremont #2</v>
      </c>
      <c r="C99" s="210" t="str">
        <f>'School Level Inst. Resources'!C99</f>
        <v>0702050</v>
      </c>
      <c r="D99" s="210" t="str">
        <f>'School Level Inst. Resources'!D99</f>
        <v>Dubois Middle School</v>
      </c>
      <c r="E99" s="211" t="str">
        <f>'School Level Inst. Resources'!E99</f>
        <v>6-8</v>
      </c>
      <c r="F99" s="212" t="str">
        <f>'School Level Inst. Resources'!H99</f>
        <v>M</v>
      </c>
      <c r="G99" s="212" t="s">
        <v>1159</v>
      </c>
      <c r="H99" s="213">
        <v>0</v>
      </c>
      <c r="I99" s="213">
        <f>IF('SFD Allowable GSF Calculation'!$D$2=1,'SFD Allowable GSF Calculation'!$P99,'SFD Allowable GSF Calculation'!$X99)</f>
        <v>0</v>
      </c>
      <c r="J99" s="214">
        <f>$I99*'Model Data Inputs'!$B$165</f>
        <v>0</v>
      </c>
      <c r="K99" s="214">
        <f>IF($L99&gt;='Model Data Inputs'!$B$164,$H99,MIN($H99,$J99))</f>
        <v>0</v>
      </c>
      <c r="L99" s="233">
        <v>0</v>
      </c>
      <c r="M99" s="196" t="str">
        <f>IF($L99&gt;0,'Model Data Inputs'!$B$157-$L99,"")</f>
        <v/>
      </c>
      <c r="N99" s="216">
        <v>0</v>
      </c>
      <c r="O99" s="217">
        <v>0</v>
      </c>
      <c r="P99" s="218">
        <f>IF($G99="T",SUMIFS('School Level ADM'!$S$5:$S$359,'School Level ADM'!$A$5:$A$359,$A99),0)</f>
        <v>0</v>
      </c>
      <c r="Q99" s="219">
        <f t="shared" si="14"/>
        <v>0</v>
      </c>
      <c r="R99" s="220">
        <f>SUM((('School Level Inst. Resources'!I99/'Model Data Inputs'!$B$8)*(1+'Model Data Inputs'!$B$9)),(SUM('School Level Inst. Resources'!J99:K99)/'Model Data Inputs'!$C$8)*(1+'Model Data Inputs'!$C$9),'School Level Inst. Resources'!K99/400)</f>
        <v>2.0551382608695645</v>
      </c>
      <c r="S99" s="220">
        <v>0</v>
      </c>
      <c r="T99" s="221">
        <f>IF($G99="T",VLOOKUP($A99,'Total O &amp; M Resources'!$A$5:$K$52,3),0)</f>
        <v>0</v>
      </c>
      <c r="U99" s="222">
        <f>IF($G99="F",0,$S99/'Model Data Inputs'!$B$140)</f>
        <v>0</v>
      </c>
      <c r="V99" s="222">
        <f>IF($G99="F",0,$O99/'Model Data Inputs'!$B$141)</f>
        <v>0</v>
      </c>
      <c r="W99" s="222">
        <f>IF($G99="F",0,$N99/'Model Data Inputs'!$B$142)</f>
        <v>0</v>
      </c>
      <c r="X99" s="222">
        <f>IF($G99="F",0,$K99/'Model Data Inputs'!$B$143)</f>
        <v>0</v>
      </c>
      <c r="Y99" s="222">
        <f t="shared" si="9"/>
        <v>0</v>
      </c>
      <c r="Z99" s="222">
        <f>IF(OR($G99="F",$F99="E"),0,'Model Data Inputs'!$B$144)</f>
        <v>0</v>
      </c>
      <c r="AA99" s="222">
        <f>IF(AND($O99&lt;='Model Data Inputs'!$B$139,$F99="E"),0,IF(AND($O99&lt;='Model Data Inputs'!$B$139,$F99="M"),0,IF(AND($O99&lt;='Model Data Inputs'!$B$139,$F99="H"),0,IF(SUM($Y99:$Z99)&lt;1,1,SUM($Y99:$Z99)))))</f>
        <v>0</v>
      </c>
      <c r="AB99" s="222">
        <f>($K99/'Model Data Inputs'!$B$143)*'Model Data Inputs'!$B$145</f>
        <v>0</v>
      </c>
      <c r="AC99" s="222">
        <f t="shared" si="10"/>
        <v>0</v>
      </c>
      <c r="AD99" s="222">
        <f>IF($G99="F",0,'Model Data Inputs'!$B$147)</f>
        <v>0</v>
      </c>
      <c r="AE99" s="222">
        <f>IF($G99="F",0,($K99/'Model Data Inputs'!$B$148)*'Model Data Inputs'!$B$149)</f>
        <v>0</v>
      </c>
      <c r="AF99" s="222">
        <f>IF($G99="F",0,($O99/'Model Data Inputs'!$B$150)*'Model Data Inputs'!$B$151)</f>
        <v>0</v>
      </c>
      <c r="AG99" s="222">
        <f>IF($G99="F",0,(($Q99*$T99)/'Model Data Inputs'!$B$152)*'Model Data Inputs'!$B$153)</f>
        <v>0</v>
      </c>
      <c r="AH99" s="222">
        <f t="shared" si="11"/>
        <v>0</v>
      </c>
      <c r="AI99" s="223">
        <f>IF(OR($G99="F",$F99="M",$F99="H"),0,($AH99*'Model Data Inputs'!$B$154)-$AH99)</f>
        <v>0</v>
      </c>
      <c r="AJ99" s="222">
        <f>IF(OR($G99="F",$F99="E",$F99="H"),0,($AH99*'Model Data Inputs'!$B$155)-$AH99)</f>
        <v>0</v>
      </c>
      <c r="AK99" s="223">
        <f>IF(OR($G99="F",$F99="E",$F99="M"),0,($AH99*'Model Data Inputs'!$B$156)-$AH99)</f>
        <v>0</v>
      </c>
      <c r="AL99" s="223">
        <f>IF($G99="F",0,IF($M99&lt;'Model Data Inputs'!$B$158,$AH99*('Model Data Inputs'!$B$159-1),0))</f>
        <v>0</v>
      </c>
      <c r="AM99" s="222">
        <f>IF($G99="F",0,IF($M99&gt;'Model Data Inputs'!$B$160,$AH99*('Model Data Inputs'!$B$161-1),0))</f>
        <v>0</v>
      </c>
      <c r="AN99" s="222">
        <f>IF($G99="F",0,IF($P99&lt;'Model Data Inputs'!$B$162,SUM($AH99,$AI99,$AJ99,$AK99,$AL99,$AM99)*('Model Data Inputs'!$B$163-1),0))</f>
        <v>0</v>
      </c>
      <c r="AO99" s="222">
        <f t="shared" si="12"/>
        <v>0</v>
      </c>
      <c r="AP99" s="224">
        <f>$K99*'Model Data Inputs'!$B$166</f>
        <v>0</v>
      </c>
      <c r="AQ99" s="224">
        <f>($K99*'Model Data Inputs'!$B$145)*'Model Data Inputs'!$B$166</f>
        <v>0</v>
      </c>
      <c r="AR99" s="225">
        <f t="shared" si="13"/>
        <v>0</v>
      </c>
    </row>
    <row r="100" spans="1:44" s="226" customFormat="1" x14ac:dyDescent="0.2">
      <c r="A100" s="210" t="str">
        <f>'School Level Inst. Resources'!A100</f>
        <v>0702000</v>
      </c>
      <c r="B100" s="210" t="str">
        <f>'School Level Inst. Resources'!B100</f>
        <v>Fremont #2</v>
      </c>
      <c r="C100" s="210" t="str">
        <f>'School Level Inst. Resources'!C100</f>
        <v>0702055</v>
      </c>
      <c r="D100" s="210" t="str">
        <f>'School Level Inst. Resources'!D100</f>
        <v>Dubois High School</v>
      </c>
      <c r="E100" s="211" t="str">
        <f>'School Level Inst. Resources'!E100</f>
        <v>9-12</v>
      </c>
      <c r="F100" s="212" t="str">
        <f>'School Level Inst. Resources'!H100</f>
        <v>H</v>
      </c>
      <c r="G100" s="212" t="s">
        <v>1158</v>
      </c>
      <c r="H100" s="213">
        <v>77375</v>
      </c>
      <c r="I100" s="213">
        <f>IF('SFD Allowable GSF Calculation'!$D$2=1,'SFD Allowable GSF Calculation'!$P100,'SFD Allowable GSF Calculation'!$X100)</f>
        <v>56029</v>
      </c>
      <c r="J100" s="214">
        <f>$I100*'Model Data Inputs'!$B$165</f>
        <v>64433.35</v>
      </c>
      <c r="K100" s="214">
        <f>IF($L100&gt;='Model Data Inputs'!$B$164,$H100,MIN($H100,$J100))</f>
        <v>64433.35</v>
      </c>
      <c r="L100" s="233">
        <v>1996</v>
      </c>
      <c r="M100" s="196">
        <f>IF($L100&gt;0,'Model Data Inputs'!$B$157-$L100,"")</f>
        <v>21</v>
      </c>
      <c r="N100" s="216">
        <v>30</v>
      </c>
      <c r="O100" s="218">
        <f>SUM('School Level Inst. Resources'!$L98,'School Level Inst. Resources'!$L99,'School Level Inst. Resources'!$L100)</f>
        <v>148.73500000000001</v>
      </c>
      <c r="P100" s="218">
        <f>IF($G100="T",SUMIFS('School Level ADM'!$S$5:$S$359,'School Level ADM'!$A$5:$A$359,$A100),0)</f>
        <v>148.73500000000001</v>
      </c>
      <c r="Q100" s="219">
        <f t="shared" si="14"/>
        <v>1</v>
      </c>
      <c r="R100" s="234">
        <f>SUM((('School Level Inst. Resources'!I100/'Model Data Inputs'!$B$8)*(1+'Model Data Inputs'!$B$9)),(SUM('School Level Inst. Resources'!J100:K100)/'Model Data Inputs'!$C$8)*(1+'Model Data Inputs'!$C$9),'School Level Inst. Resources'!K100/400)</f>
        <v>2.9179340217391303</v>
      </c>
      <c r="S100" s="234">
        <f>SUM(R98:R100)</f>
        <v>9.3070722826086936</v>
      </c>
      <c r="T100" s="221">
        <f>IF($G100="T",VLOOKUP($A100,'Total O &amp; M Resources'!$A$5:$K$52,3),0)</f>
        <v>3086129.3</v>
      </c>
      <c r="U100" s="222">
        <f>IF($G100="F",0,$S100/'Model Data Inputs'!$B$140)</f>
        <v>0.71592863712374566</v>
      </c>
      <c r="V100" s="222">
        <f>IF($G100="F",0,$O100/'Model Data Inputs'!$B$141)</f>
        <v>0.45764615384615387</v>
      </c>
      <c r="W100" s="222">
        <f>IF($G100="F",0,$N100/'Model Data Inputs'!$B$142)</f>
        <v>2.3076923076923075</v>
      </c>
      <c r="X100" s="222">
        <f>IF($G100="F",0,$K100/'Model Data Inputs'!$B$143)</f>
        <v>3.5796305555555556</v>
      </c>
      <c r="Y100" s="222">
        <f t="shared" si="9"/>
        <v>1.7652244135544408</v>
      </c>
      <c r="Z100" s="222">
        <f>IF(OR($G100="F",$F100="E"),0,'Model Data Inputs'!$B$144)</f>
        <v>0.5</v>
      </c>
      <c r="AA100" s="222">
        <f>IF(AND($O100&lt;='Model Data Inputs'!$B$139,$F100="E"),0,IF(AND($O100&lt;='Model Data Inputs'!$B$139,$F100="M"),0,IF(AND($O100&lt;='Model Data Inputs'!$B$139,$F100="H"),0,IF(SUM($Y100:$Z100)&lt;1,1,SUM($Y100:$Z100)))))</f>
        <v>2.2652244135544408</v>
      </c>
      <c r="AB100" s="222">
        <f>($K100/'Model Data Inputs'!$B$143)*'Model Data Inputs'!$B$145</f>
        <v>0.35796305555555558</v>
      </c>
      <c r="AC100" s="222">
        <f t="shared" si="10"/>
        <v>2.6231874691099963</v>
      </c>
      <c r="AD100" s="222">
        <f>IF($G100="F",0,'Model Data Inputs'!$B$147)</f>
        <v>1.1000000000000001</v>
      </c>
      <c r="AE100" s="222">
        <f>IF($G100="F",0,($K100/'Model Data Inputs'!$B$148)*'Model Data Inputs'!$B$149)</f>
        <v>1.2886669999999998</v>
      </c>
      <c r="AF100" s="222">
        <f>IF($G100="F",0,($O100/'Model Data Inputs'!$B$150)*'Model Data Inputs'!$B$151)</f>
        <v>0.19335550000000001</v>
      </c>
      <c r="AG100" s="222">
        <f>IF($G100="F",0,(($Q100*$T100)/'Model Data Inputs'!$B$152)*'Model Data Inputs'!$B$153)</f>
        <v>0.74067103199999995</v>
      </c>
      <c r="AH100" s="222">
        <f t="shared" si="11"/>
        <v>0.83067338299999993</v>
      </c>
      <c r="AI100" s="223">
        <f>IF(OR($G100="F",$F100="M",$F100="H"),0,($AH100*'Model Data Inputs'!$B$154)-$AH100)</f>
        <v>0</v>
      </c>
      <c r="AJ100" s="222">
        <f>IF(OR($G100="F",$F100="E",$F100="H"),0,($AH100*'Model Data Inputs'!$B$155)-$AH100)</f>
        <v>0</v>
      </c>
      <c r="AK100" s="223">
        <f>IF(OR($G100="F",$F100="E",$F100="M"),0,($AH100*'Model Data Inputs'!$B$156)-$AH100)</f>
        <v>0.83067338299999993</v>
      </c>
      <c r="AL100" s="223">
        <f>IF($G100="F",0,IF($M100&lt;'Model Data Inputs'!$B$158,$AH100*('Model Data Inputs'!$B$159-1),0))</f>
        <v>0</v>
      </c>
      <c r="AM100" s="222">
        <f>IF($G100="F",0,IF($M100&gt;'Model Data Inputs'!$B$160,$AH100*('Model Data Inputs'!$B$161-1),0))</f>
        <v>0</v>
      </c>
      <c r="AN100" s="222">
        <f>IF($G100="F",0,IF($P100&lt;'Model Data Inputs'!$B$162,SUM($AH100,$AI100,$AJ100,$AK100,$AL100,$AM100)*('Model Data Inputs'!$B$163-1),0))</f>
        <v>0.16613467660000014</v>
      </c>
      <c r="AO100" s="222">
        <f t="shared" si="12"/>
        <v>1.8274814425999999</v>
      </c>
      <c r="AP100" s="224">
        <f>$K100*'Model Data Inputs'!$B$166</f>
        <v>43170.344499999999</v>
      </c>
      <c r="AQ100" s="224">
        <f>($K100*'Model Data Inputs'!$B$145)*'Model Data Inputs'!$B$166</f>
        <v>4317.0344500000001</v>
      </c>
      <c r="AR100" s="225">
        <f t="shared" si="13"/>
        <v>47487.378949999998</v>
      </c>
    </row>
    <row r="101" spans="1:44" x14ac:dyDescent="0.2">
      <c r="A101" s="227" t="str">
        <f>'School Level Inst. Resources'!A101</f>
        <v>0706000</v>
      </c>
      <c r="B101" s="227" t="str">
        <f>'School Level Inst. Resources'!B101</f>
        <v>Fremont #6</v>
      </c>
      <c r="C101" s="227" t="str">
        <f>'School Level Inst. Resources'!C101</f>
        <v>0706001</v>
      </c>
      <c r="D101" s="227" t="str">
        <f>'School Level Inst. Resources'!D101</f>
        <v>Crowheart Elementary</v>
      </c>
      <c r="E101" s="228" t="str">
        <f>'School Level Inst. Resources'!E101</f>
        <v>P-3</v>
      </c>
      <c r="F101" s="229" t="str">
        <f>'School Level Inst. Resources'!H101</f>
        <v>E</v>
      </c>
      <c r="G101" s="229" t="s">
        <v>1158</v>
      </c>
      <c r="H101" s="207">
        <v>8263</v>
      </c>
      <c r="I101" s="207">
        <f>IF('SFD Allowable GSF Calculation'!$D$2=1,'SFD Allowable GSF Calculation'!$P101,'SFD Allowable GSF Calculation'!$X101)</f>
        <v>2915</v>
      </c>
      <c r="J101" s="194">
        <f>$I101*'Model Data Inputs'!$B$165</f>
        <v>3352.2499999999995</v>
      </c>
      <c r="K101" s="194">
        <f>IF($L101&gt;='Model Data Inputs'!$B$164,$H101,MIN($H101,$J101))</f>
        <v>3352.2499999999995</v>
      </c>
      <c r="L101" s="208">
        <v>1956</v>
      </c>
      <c r="M101" s="196">
        <f>IF($L101&gt;0,'Model Data Inputs'!$B$157-$L101,"")</f>
        <v>61</v>
      </c>
      <c r="N101" s="209">
        <v>3</v>
      </c>
      <c r="O101" s="198">
        <f>'School Level Inst. Resources'!$L101</f>
        <v>17.73</v>
      </c>
      <c r="P101" s="198">
        <f>IF($G101="T",SUMIFS('School Level ADM'!$S$5:$S$359,'School Level ADM'!$A$5:$A$359,$A101),0)</f>
        <v>406.80500000000001</v>
      </c>
      <c r="Q101" s="199">
        <f t="shared" si="14"/>
        <v>4.3583535108958835E-2</v>
      </c>
      <c r="R101" s="200">
        <f>SUM((('School Level Inst. Resources'!I101/'Model Data Inputs'!$B$8)*(1+'Model Data Inputs'!$B$9)),(SUM('School Level Inst. Resources'!J101:K101)/'Model Data Inputs'!$C$8)*(1+'Model Data Inputs'!$C$9),'School Level Inst. Resources'!K101/400)</f>
        <v>1.1819999999999999</v>
      </c>
      <c r="S101" s="200">
        <f t="shared" si="8"/>
        <v>1.1819999999999999</v>
      </c>
      <c r="T101" s="201">
        <f>IF($G101="T",VLOOKUP($A101,'Total O &amp; M Resources'!$A$5:$K$52,3),0)</f>
        <v>4624752.55</v>
      </c>
      <c r="U101" s="202">
        <f>IF($G101="F",0,$S101/'Model Data Inputs'!$B$140)</f>
        <v>9.0923076923076912E-2</v>
      </c>
      <c r="V101" s="202">
        <f>IF($G101="F",0,$O101/'Model Data Inputs'!$B$141)</f>
        <v>5.4553846153846154E-2</v>
      </c>
      <c r="W101" s="202">
        <f>IF($G101="F",0,$N101/'Model Data Inputs'!$B$142)</f>
        <v>0.23076923076923078</v>
      </c>
      <c r="X101" s="202">
        <f>IF($G101="F",0,$K101/'Model Data Inputs'!$B$143)</f>
        <v>0.18623611111111107</v>
      </c>
      <c r="Y101" s="202">
        <f t="shared" si="9"/>
        <v>0.14062056623931624</v>
      </c>
      <c r="Z101" s="202">
        <f>IF(OR($G101="F",$F101="E"),0,'Model Data Inputs'!$B$144)</f>
        <v>0</v>
      </c>
      <c r="AA101" s="202">
        <f>IF(AND($O101&lt;='Model Data Inputs'!$B$139,$F101="E"),0,IF(AND($O101&lt;='Model Data Inputs'!$B$139,$F101="M"),0,IF(AND($O101&lt;='Model Data Inputs'!$B$139,$F101="H"),0,IF(SUM($Y101:$Z101)&lt;1,1,SUM($Y101:$Z101)))))</f>
        <v>0</v>
      </c>
      <c r="AB101" s="202">
        <f>($K101/'Model Data Inputs'!$B$143)*'Model Data Inputs'!$B$145</f>
        <v>1.8623611111111108E-2</v>
      </c>
      <c r="AC101" s="202">
        <f t="shared" si="10"/>
        <v>1.8623611111111108E-2</v>
      </c>
      <c r="AD101" s="202">
        <f>IF($G101="F",0,'Model Data Inputs'!$B$147)</f>
        <v>1.1000000000000001</v>
      </c>
      <c r="AE101" s="202">
        <f>IF($G101="F",0,($K101/'Model Data Inputs'!$B$148)*'Model Data Inputs'!$B$149)</f>
        <v>6.7044999999999993E-2</v>
      </c>
      <c r="AF101" s="202">
        <f>IF($G101="F",0,($O101/'Model Data Inputs'!$B$150)*'Model Data Inputs'!$B$151)</f>
        <v>2.3049E-2</v>
      </c>
      <c r="AG101" s="202">
        <f>IF($G101="F",0,(($Q101*$T101)/'Model Data Inputs'!$B$152)*'Model Data Inputs'!$B$153)</f>
        <v>4.8375135631961254E-2</v>
      </c>
      <c r="AH101" s="202">
        <f t="shared" si="11"/>
        <v>0.30961728390799037</v>
      </c>
      <c r="AI101" s="203">
        <f>IF(OR($G101="F",$F101="M",$F101="H"),0,($AH101*'Model Data Inputs'!$B$154)-$AH101)</f>
        <v>-6.1923456781598052E-2</v>
      </c>
      <c r="AJ101" s="202">
        <f>IF(OR($G101="F",$F101="E",$F101="H"),0,($AH101*'Model Data Inputs'!$B$155)-$AH101)</f>
        <v>0</v>
      </c>
      <c r="AK101" s="203">
        <f>IF(OR($G101="F",$F101="E",$F101="M"),0,($AH101*'Model Data Inputs'!$B$156)-$AH101)</f>
        <v>0</v>
      </c>
      <c r="AL101" s="203">
        <f>IF($G101="F",0,IF($M101&lt;'Model Data Inputs'!$B$158,$AH101*('Model Data Inputs'!$B$159-1),0))</f>
        <v>0</v>
      </c>
      <c r="AM101" s="202">
        <f>IF($G101="F",0,IF($M101&gt;'Model Data Inputs'!$B$160,$AH101*('Model Data Inputs'!$B$161-1),0))</f>
        <v>3.0961728390799064E-2</v>
      </c>
      <c r="AN101" s="202">
        <f>IF($G101="F",0,IF($P101&lt;'Model Data Inputs'!$B$162,SUM($AH101,$AI101,$AJ101,$AK101,$AL101,$AM101)*('Model Data Inputs'!$B$163-1),0))</f>
        <v>2.7865555551719164E-2</v>
      </c>
      <c r="AO101" s="202">
        <f t="shared" si="12"/>
        <v>0.30652111106891056</v>
      </c>
      <c r="AP101" s="204">
        <f>$K101*'Model Data Inputs'!$B$166</f>
        <v>2246.0074999999997</v>
      </c>
      <c r="AQ101" s="204">
        <f>($K101*'Model Data Inputs'!$B$145)*'Model Data Inputs'!$B$166</f>
        <v>224.60074999999998</v>
      </c>
      <c r="AR101" s="50">
        <f t="shared" si="13"/>
        <v>2470.6082499999998</v>
      </c>
    </row>
    <row r="102" spans="1:44" x14ac:dyDescent="0.2">
      <c r="A102" s="227" t="str">
        <f>'School Level Inst. Resources'!A102</f>
        <v>0706000</v>
      </c>
      <c r="B102" s="227" t="str">
        <f>'School Level Inst. Resources'!B102</f>
        <v>Fremont #6</v>
      </c>
      <c r="C102" s="227" t="str">
        <f>'School Level Inst. Resources'!C102</f>
        <v>0706002</v>
      </c>
      <c r="D102" s="227" t="str">
        <f>'School Level Inst. Resources'!D102</f>
        <v>Wind River Elementary</v>
      </c>
      <c r="E102" s="228" t="str">
        <f>'School Level Inst. Resources'!E102</f>
        <v>P-5</v>
      </c>
      <c r="F102" s="229" t="str">
        <f>'School Level Inst. Resources'!H102</f>
        <v>E</v>
      </c>
      <c r="G102" s="229" t="s">
        <v>1158</v>
      </c>
      <c r="H102" s="207">
        <v>48373</v>
      </c>
      <c r="I102" s="207">
        <f>IF('SFD Allowable GSF Calculation'!$D$2=1,'SFD Allowable GSF Calculation'!$P102,'SFD Allowable GSF Calculation'!$X102)</f>
        <v>27012</v>
      </c>
      <c r="J102" s="194">
        <f>$I102*'Model Data Inputs'!$B$165</f>
        <v>31063.8</v>
      </c>
      <c r="K102" s="194">
        <f>IF($L102&gt;='Model Data Inputs'!$B$164,$H102,MIN($H102,$J102))</f>
        <v>48373</v>
      </c>
      <c r="L102" s="208">
        <v>2008</v>
      </c>
      <c r="M102" s="196">
        <f>IF($L102&gt;0,'Model Data Inputs'!$B$157-$L102,"")</f>
        <v>9</v>
      </c>
      <c r="N102" s="209">
        <v>22</v>
      </c>
      <c r="O102" s="198">
        <f>'School Level Inst. Resources'!$L102</f>
        <v>169.42000000000002</v>
      </c>
      <c r="P102" s="198">
        <f>IF($G102="T",SUMIFS('School Level ADM'!$S$5:$S$359,'School Level ADM'!$A$5:$A$359,$A102),0)</f>
        <v>406.80500000000001</v>
      </c>
      <c r="Q102" s="199">
        <f t="shared" si="14"/>
        <v>0.41646489104116224</v>
      </c>
      <c r="R102" s="200">
        <f>SUM((('School Level Inst. Resources'!I102/'Model Data Inputs'!$B$8)*(1+'Model Data Inputs'!$B$9)),(SUM('School Level Inst. Resources'!J102:K102)/'Model Data Inputs'!$C$8)*(1+'Model Data Inputs'!$C$9),'School Level Inst. Resources'!K102/400)</f>
        <v>11.294666666666666</v>
      </c>
      <c r="S102" s="200">
        <f t="shared" si="8"/>
        <v>11.294666666666666</v>
      </c>
      <c r="T102" s="201">
        <f>IF($G102="T",VLOOKUP($A102,'Total O &amp; M Resources'!$A$5:$K$52,3),0)</f>
        <v>4624752.55</v>
      </c>
      <c r="U102" s="202">
        <f>IF($G102="F",0,$S102/'Model Data Inputs'!$B$140)</f>
        <v>0.86882051282051276</v>
      </c>
      <c r="V102" s="202">
        <f>IF($G102="F",0,$O102/'Model Data Inputs'!$B$141)</f>
        <v>0.52129230769230772</v>
      </c>
      <c r="W102" s="202">
        <f>IF($G102="F",0,$N102/'Model Data Inputs'!$B$142)</f>
        <v>1.6923076923076923</v>
      </c>
      <c r="X102" s="202">
        <f>IF($G102="F",0,$K102/'Model Data Inputs'!$B$143)</f>
        <v>2.687388888888889</v>
      </c>
      <c r="Y102" s="202">
        <f t="shared" si="9"/>
        <v>1.4424523504273505</v>
      </c>
      <c r="Z102" s="202">
        <f>IF(OR($G102="F",$F102="E"),0,'Model Data Inputs'!$B$144)</f>
        <v>0</v>
      </c>
      <c r="AA102" s="202">
        <f>IF(AND($O102&lt;='Model Data Inputs'!$B$139,$F102="E"),0,IF(AND($O102&lt;='Model Data Inputs'!$B$139,$F102="M"),0,IF(AND($O102&lt;='Model Data Inputs'!$B$139,$F102="H"),0,IF(SUM($Y102:$Z102)&lt;1,1,SUM($Y102:$Z102)))))</f>
        <v>1.4424523504273505</v>
      </c>
      <c r="AB102" s="202">
        <f>($K102/'Model Data Inputs'!$B$143)*'Model Data Inputs'!$B$145</f>
        <v>0.26873888888888892</v>
      </c>
      <c r="AC102" s="202">
        <f t="shared" si="10"/>
        <v>1.7111912393162394</v>
      </c>
      <c r="AD102" s="202">
        <f>IF($G102="F",0,'Model Data Inputs'!$B$147)</f>
        <v>1.1000000000000001</v>
      </c>
      <c r="AE102" s="202">
        <f>IF($G102="F",0,($K102/'Model Data Inputs'!$B$148)*'Model Data Inputs'!$B$149)</f>
        <v>0.96745999999999999</v>
      </c>
      <c r="AF102" s="202">
        <f>IF($G102="F",0,($O102/'Model Data Inputs'!$B$150)*'Model Data Inputs'!$B$151)</f>
        <v>0.22024600000000003</v>
      </c>
      <c r="AG102" s="202">
        <f>IF($G102="F",0,(($Q102*$T102)/'Model Data Inputs'!$B$152)*'Model Data Inputs'!$B$153)</f>
        <v>0.46225129603874088</v>
      </c>
      <c r="AH102" s="202">
        <f t="shared" si="11"/>
        <v>0.68748932400968521</v>
      </c>
      <c r="AI102" s="203">
        <f>IF(OR($G102="F",$F102="M",$F102="H"),0,($AH102*'Model Data Inputs'!$B$154)-$AH102)</f>
        <v>-0.13749786480193704</v>
      </c>
      <c r="AJ102" s="202">
        <f>IF(OR($G102="F",$F102="E",$F102="H"),0,($AH102*'Model Data Inputs'!$B$155)-$AH102)</f>
        <v>0</v>
      </c>
      <c r="AK102" s="203">
        <f>IF(OR($G102="F",$F102="E",$F102="M"),0,($AH102*'Model Data Inputs'!$B$156)-$AH102)</f>
        <v>0</v>
      </c>
      <c r="AL102" s="203">
        <f>IF($G102="F",0,IF($M102&lt;'Model Data Inputs'!$B$158,$AH102*('Model Data Inputs'!$B$159-1),0))</f>
        <v>-3.4374466200484288E-2</v>
      </c>
      <c r="AM102" s="202">
        <f>IF($G102="F",0,IF($M102&gt;'Model Data Inputs'!$B$160,$AH102*('Model Data Inputs'!$B$161-1),0))</f>
        <v>0</v>
      </c>
      <c r="AN102" s="202">
        <f>IF($G102="F",0,IF($P102&lt;'Model Data Inputs'!$B$162,SUM($AH102,$AI102,$AJ102,$AK102,$AL102,$AM102)*('Model Data Inputs'!$B$163-1),0))</f>
        <v>5.1561699300726425E-2</v>
      </c>
      <c r="AO102" s="202">
        <f t="shared" si="12"/>
        <v>0.56717869230799023</v>
      </c>
      <c r="AP102" s="204">
        <f>$K102*'Model Data Inputs'!$B$166</f>
        <v>32409.910000000003</v>
      </c>
      <c r="AQ102" s="204">
        <f>($K102*'Model Data Inputs'!$B$145)*'Model Data Inputs'!$B$166</f>
        <v>3240.9910000000004</v>
      </c>
      <c r="AR102" s="50">
        <f t="shared" si="13"/>
        <v>35650.901000000005</v>
      </c>
    </row>
    <row r="103" spans="1:44" s="226" customFormat="1" x14ac:dyDescent="0.2">
      <c r="A103" s="210" t="str">
        <f>'School Level Inst. Resources'!A103</f>
        <v>0706000</v>
      </c>
      <c r="B103" s="210" t="str">
        <f>'School Level Inst. Resources'!B103</f>
        <v>Fremont #6</v>
      </c>
      <c r="C103" s="210" t="str">
        <f>'School Level Inst. Resources'!C103</f>
        <v>0706050</v>
      </c>
      <c r="D103" s="210" t="str">
        <f>'School Level Inst. Resources'!D103</f>
        <v>Wind River Middle School</v>
      </c>
      <c r="E103" s="211" t="str">
        <f>'School Level Inst. Resources'!E103</f>
        <v>6-8</v>
      </c>
      <c r="F103" s="212" t="str">
        <f>'School Level Inst. Resources'!H103</f>
        <v>M</v>
      </c>
      <c r="G103" s="212" t="s">
        <v>1159</v>
      </c>
      <c r="H103" s="213">
        <v>0</v>
      </c>
      <c r="I103" s="213">
        <f>IF('SFD Allowable GSF Calculation'!$D$2=1,'SFD Allowable GSF Calculation'!$P103,'SFD Allowable GSF Calculation'!$X103)</f>
        <v>0</v>
      </c>
      <c r="J103" s="214">
        <f>$I103*'Model Data Inputs'!$B$165</f>
        <v>0</v>
      </c>
      <c r="K103" s="214">
        <f>IF($L103&gt;='Model Data Inputs'!$B$164,$H103,MIN($H103,$J103))</f>
        <v>0</v>
      </c>
      <c r="L103" s="233">
        <v>0</v>
      </c>
      <c r="M103" s="196" t="str">
        <f>IF($L103&gt;0,'Model Data Inputs'!$B$157-$L103,"")</f>
        <v/>
      </c>
      <c r="N103" s="216">
        <v>0</v>
      </c>
      <c r="O103" s="217">
        <v>0</v>
      </c>
      <c r="P103" s="218">
        <f>IF($G103="T",SUMIFS('School Level ADM'!$S$5:$S$359,'School Level ADM'!$A$5:$A$359,$A103),0)</f>
        <v>0</v>
      </c>
      <c r="Q103" s="219">
        <f t="shared" si="14"/>
        <v>0</v>
      </c>
      <c r="R103" s="220">
        <f>SUM((('School Level Inst. Resources'!I103/'Model Data Inputs'!$B$8)*(1+'Model Data Inputs'!$B$9)),(SUM('School Level Inst. Resources'!J103:K103)/'Model Data Inputs'!$C$8)*(1+'Model Data Inputs'!$C$9),'School Level Inst. Resources'!K103/400)</f>
        <v>4.9665841304347822</v>
      </c>
      <c r="S103" s="220">
        <v>0</v>
      </c>
      <c r="T103" s="221">
        <f>IF($G103="T",VLOOKUP($A103,'Total O &amp; M Resources'!$A$5:$K$52,3),0)</f>
        <v>0</v>
      </c>
      <c r="U103" s="222">
        <f>IF($G103="F",0,$S103/'Model Data Inputs'!$B$140)</f>
        <v>0</v>
      </c>
      <c r="V103" s="222">
        <f>IF($G103="F",0,$O103/'Model Data Inputs'!$B$141)</f>
        <v>0</v>
      </c>
      <c r="W103" s="222">
        <f>IF($G103="F",0,$N103/'Model Data Inputs'!$B$142)</f>
        <v>0</v>
      </c>
      <c r="X103" s="222">
        <f>IF($G103="F",0,$K103/'Model Data Inputs'!$B$143)</f>
        <v>0</v>
      </c>
      <c r="Y103" s="222">
        <f t="shared" si="9"/>
        <v>0</v>
      </c>
      <c r="Z103" s="222">
        <f>IF(OR($G103="F",$F103="E"),0,'Model Data Inputs'!$B$144)</f>
        <v>0</v>
      </c>
      <c r="AA103" s="222">
        <f>IF(AND($O103&lt;='Model Data Inputs'!$B$139,$F103="E"),0,IF(AND($O103&lt;='Model Data Inputs'!$B$139,$F103="M"),0,IF(AND($O103&lt;='Model Data Inputs'!$B$139,$F103="H"),0,IF(SUM($Y103:$Z103)&lt;1,1,SUM($Y103:$Z103)))))</f>
        <v>0</v>
      </c>
      <c r="AB103" s="222">
        <f>($K103/'Model Data Inputs'!$B$143)*'Model Data Inputs'!$B$145</f>
        <v>0</v>
      </c>
      <c r="AC103" s="222">
        <f t="shared" si="10"/>
        <v>0</v>
      </c>
      <c r="AD103" s="222">
        <f>IF($G103="F",0,'Model Data Inputs'!$B$147)</f>
        <v>0</v>
      </c>
      <c r="AE103" s="222">
        <f>IF($G103="F",0,($K103/'Model Data Inputs'!$B$148)*'Model Data Inputs'!$B$149)</f>
        <v>0</v>
      </c>
      <c r="AF103" s="222">
        <f>IF($G103="F",0,($O103/'Model Data Inputs'!$B$150)*'Model Data Inputs'!$B$151)</f>
        <v>0</v>
      </c>
      <c r="AG103" s="222">
        <f>IF($G103="F",0,(($Q103*$T103)/'Model Data Inputs'!$B$152)*'Model Data Inputs'!$B$153)</f>
        <v>0</v>
      </c>
      <c r="AH103" s="222">
        <f t="shared" si="11"/>
        <v>0</v>
      </c>
      <c r="AI103" s="223">
        <f>IF(OR($G103="F",$F103="M",$F103="H"),0,($AH103*'Model Data Inputs'!$B$154)-$AH103)</f>
        <v>0</v>
      </c>
      <c r="AJ103" s="222">
        <f>IF(OR($G103="F",$F103="E",$F103="H"),0,($AH103*'Model Data Inputs'!$B$155)-$AH103)</f>
        <v>0</v>
      </c>
      <c r="AK103" s="223">
        <f>IF(OR($G103="F",$F103="E",$F103="M"),0,($AH103*'Model Data Inputs'!$B$156)-$AH103)</f>
        <v>0</v>
      </c>
      <c r="AL103" s="223">
        <f>IF($G103="F",0,IF($M103&lt;'Model Data Inputs'!$B$158,$AH103*('Model Data Inputs'!$B$159-1),0))</f>
        <v>0</v>
      </c>
      <c r="AM103" s="222">
        <f>IF($G103="F",0,IF($M103&gt;'Model Data Inputs'!$B$160,$AH103*('Model Data Inputs'!$B$161-1),0))</f>
        <v>0</v>
      </c>
      <c r="AN103" s="222">
        <f>IF($G103="F",0,IF($P103&lt;'Model Data Inputs'!$B$162,SUM($AH103,$AI103,$AJ103,$AK103,$AL103,$AM103)*('Model Data Inputs'!$B$163-1),0))</f>
        <v>0</v>
      </c>
      <c r="AO103" s="222">
        <f t="shared" si="12"/>
        <v>0</v>
      </c>
      <c r="AP103" s="224">
        <f>$K103*'Model Data Inputs'!$B$166</f>
        <v>0</v>
      </c>
      <c r="AQ103" s="224">
        <f>($K103*'Model Data Inputs'!$B$145)*'Model Data Inputs'!$B$166</f>
        <v>0</v>
      </c>
      <c r="AR103" s="225">
        <f t="shared" si="13"/>
        <v>0</v>
      </c>
    </row>
    <row r="104" spans="1:44" s="226" customFormat="1" x14ac:dyDescent="0.2">
      <c r="A104" s="210" t="str">
        <f>'School Level Inst. Resources'!A104</f>
        <v>0706000</v>
      </c>
      <c r="B104" s="210" t="str">
        <f>'School Level Inst. Resources'!B104</f>
        <v>Fremont #6</v>
      </c>
      <c r="C104" s="210" t="str">
        <f>'School Level Inst. Resources'!C104</f>
        <v>0706056</v>
      </c>
      <c r="D104" s="210" t="str">
        <f>'School Level Inst. Resources'!D104</f>
        <v>Wind River High School</v>
      </c>
      <c r="E104" s="211" t="str">
        <f>'School Level Inst. Resources'!E104</f>
        <v>9-12</v>
      </c>
      <c r="F104" s="212" t="str">
        <f>'School Level Inst. Resources'!H104</f>
        <v>H</v>
      </c>
      <c r="G104" s="212" t="s">
        <v>1158</v>
      </c>
      <c r="H104" s="213">
        <v>86604</v>
      </c>
      <c r="I104" s="213">
        <f>IF('SFD Allowable GSF Calculation'!$D$2=1,'SFD Allowable GSF Calculation'!$P104,'SFD Allowable GSF Calculation'!$X104)</f>
        <v>66724</v>
      </c>
      <c r="J104" s="214">
        <f>$I104*'Model Data Inputs'!$B$165</f>
        <v>76732.599999999991</v>
      </c>
      <c r="K104" s="214">
        <f>IF($L104&gt;='Model Data Inputs'!$B$164,$H104,MIN($H104,$J104))</f>
        <v>76732.599999999991</v>
      </c>
      <c r="L104" s="233">
        <v>1994</v>
      </c>
      <c r="M104" s="196">
        <f>IF($L104&gt;0,'Model Data Inputs'!$B$157-$L104,"")</f>
        <v>23</v>
      </c>
      <c r="N104" s="216">
        <v>32</v>
      </c>
      <c r="O104" s="218">
        <f>SUM('School Level Inst. Resources'!$L103,'School Level Inst. Resources'!$L104,'School Level Inst. Resources'!$L105)</f>
        <v>219.655</v>
      </c>
      <c r="P104" s="218">
        <f>IF($G104="T",SUMIFS('School Level ADM'!$S$5:$S$359,'School Level ADM'!$A$5:$A$359,$A104),0)</f>
        <v>406.80500000000001</v>
      </c>
      <c r="Q104" s="219">
        <f t="shared" si="14"/>
        <v>0.53995157384987891</v>
      </c>
      <c r="R104" s="234">
        <f>SUM((('School Level Inst. Resources'!I104/'Model Data Inputs'!$B$8)*(1+'Model Data Inputs'!$B$9)),(SUM('School Level Inst. Resources'!J104:K104)/'Model Data Inputs'!$C$8)*(1+'Model Data Inputs'!$C$9),'School Level Inst. Resources'!K104/400)</f>
        <v>7.9201066304347822</v>
      </c>
      <c r="S104" s="234">
        <f>SUM(R103:R105)</f>
        <v>13.065339782608694</v>
      </c>
      <c r="T104" s="221">
        <f>IF($G104="T",VLOOKUP($A104,'Total O &amp; M Resources'!$A$5:$K$52,3),0)</f>
        <v>4624752.55</v>
      </c>
      <c r="U104" s="222">
        <f>IF($G104="F",0,$S104/'Model Data Inputs'!$B$140)</f>
        <v>1.0050261371237457</v>
      </c>
      <c r="V104" s="222">
        <f>IF($G104="F",0,$O104/'Model Data Inputs'!$B$141)</f>
        <v>0.67586153846153851</v>
      </c>
      <c r="W104" s="222">
        <f>IF($G104="F",0,$N104/'Model Data Inputs'!$B$142)</f>
        <v>2.4615384615384617</v>
      </c>
      <c r="X104" s="222">
        <f>IF($G104="F",0,$K104/'Model Data Inputs'!$B$143)</f>
        <v>4.2629222222222216</v>
      </c>
      <c r="Y104" s="222">
        <f t="shared" si="9"/>
        <v>2.101337089836492</v>
      </c>
      <c r="Z104" s="222">
        <f>IF(OR($G104="F",$F104="E"),0,'Model Data Inputs'!$B$144)</f>
        <v>0.5</v>
      </c>
      <c r="AA104" s="222">
        <f>IF(AND($O104&lt;='Model Data Inputs'!$B$139,$F104="E"),0,IF(AND($O104&lt;='Model Data Inputs'!$B$139,$F104="M"),0,IF(AND($O104&lt;='Model Data Inputs'!$B$139,$F104="H"),0,IF(SUM($Y104:$Z104)&lt;1,1,SUM($Y104:$Z104)))))</f>
        <v>2.601337089836492</v>
      </c>
      <c r="AB104" s="222">
        <f>($K104/'Model Data Inputs'!$B$143)*'Model Data Inputs'!$B$145</f>
        <v>0.42629222222222218</v>
      </c>
      <c r="AC104" s="222">
        <f t="shared" si="10"/>
        <v>3.0276293120587141</v>
      </c>
      <c r="AD104" s="222">
        <f>IF($G104="F",0,'Model Data Inputs'!$B$147)</f>
        <v>1.1000000000000001</v>
      </c>
      <c r="AE104" s="222">
        <f>IF($G104="F",0,($K104/'Model Data Inputs'!$B$148)*'Model Data Inputs'!$B$149)</f>
        <v>1.5346519999999997</v>
      </c>
      <c r="AF104" s="222">
        <f>IF($G104="F",0,($O104/'Model Data Inputs'!$B$150)*'Model Data Inputs'!$B$151)</f>
        <v>0.28555150000000001</v>
      </c>
      <c r="AG104" s="222">
        <f>IF($G104="F",0,(($Q104*$T104)/'Model Data Inputs'!$B$152)*'Model Data Inputs'!$B$153)</f>
        <v>0.59931418032929773</v>
      </c>
      <c r="AH104" s="222">
        <f t="shared" si="11"/>
        <v>0.87987942008232445</v>
      </c>
      <c r="AI104" s="223">
        <f>IF(OR($G104="F",$F104="M",$F104="H"),0,($AH104*'Model Data Inputs'!$B$154)-$AH104)</f>
        <v>0</v>
      </c>
      <c r="AJ104" s="222">
        <f>IF(OR($G104="F",$F104="E",$F104="H"),0,($AH104*'Model Data Inputs'!$B$155)-$AH104)</f>
        <v>0</v>
      </c>
      <c r="AK104" s="223">
        <f>IF(OR($G104="F",$F104="E",$F104="M"),0,($AH104*'Model Data Inputs'!$B$156)-$AH104)</f>
        <v>0.87987942008232445</v>
      </c>
      <c r="AL104" s="223">
        <f>IF($G104="F",0,IF($M104&lt;'Model Data Inputs'!$B$158,$AH104*('Model Data Inputs'!$B$159-1),0))</f>
        <v>0</v>
      </c>
      <c r="AM104" s="222">
        <f>IF($G104="F",0,IF($M104&gt;'Model Data Inputs'!$B$160,$AH104*('Model Data Inputs'!$B$161-1),0))</f>
        <v>0</v>
      </c>
      <c r="AN104" s="222">
        <f>IF($G104="F",0,IF($P104&lt;'Model Data Inputs'!$B$162,SUM($AH104,$AI104,$AJ104,$AK104,$AL104,$AM104)*('Model Data Inputs'!$B$163-1),0))</f>
        <v>0.17597588401646505</v>
      </c>
      <c r="AO104" s="222">
        <f t="shared" si="12"/>
        <v>1.935734724181114</v>
      </c>
      <c r="AP104" s="224">
        <f>$K104*'Model Data Inputs'!$B$166</f>
        <v>51410.841999999997</v>
      </c>
      <c r="AQ104" s="224">
        <f>($K104*'Model Data Inputs'!$B$145)*'Model Data Inputs'!$B$166</f>
        <v>5141.0842000000002</v>
      </c>
      <c r="AR104" s="225">
        <f t="shared" si="13"/>
        <v>56551.926199999994</v>
      </c>
    </row>
    <row r="105" spans="1:44" s="226" customFormat="1" x14ac:dyDescent="0.2">
      <c r="A105" s="210" t="str">
        <f>'School Level Inst. Resources'!A105</f>
        <v>0706000</v>
      </c>
      <c r="B105" s="210" t="str">
        <f>'School Level Inst. Resources'!B105</f>
        <v>Fremont #6</v>
      </c>
      <c r="C105" s="210" t="str">
        <f>'School Level Inst. Resources'!C105</f>
        <v>0706057</v>
      </c>
      <c r="D105" s="210" t="str">
        <f>'School Level Inst. Resources'!D105</f>
        <v>Wind River Learning Academy</v>
      </c>
      <c r="E105" s="211" t="str">
        <f>'School Level Inst. Resources'!E105</f>
        <v>9-12</v>
      </c>
      <c r="F105" s="212" t="str">
        <f>'School Level Inst. Resources'!H105</f>
        <v>H</v>
      </c>
      <c r="G105" s="212" t="s">
        <v>1159</v>
      </c>
      <c r="H105" s="213">
        <v>0</v>
      </c>
      <c r="I105" s="213">
        <f>IF('SFD Allowable GSF Calculation'!$D$2=1,'SFD Allowable GSF Calculation'!$P105,'SFD Allowable GSF Calculation'!$X105)</f>
        <v>0</v>
      </c>
      <c r="J105" s="214">
        <f>$I105*'Model Data Inputs'!$B$165</f>
        <v>0</v>
      </c>
      <c r="K105" s="214">
        <f>IF($L105&gt;='Model Data Inputs'!$B$164,$H105,MIN($H105,$J105))</f>
        <v>0</v>
      </c>
      <c r="L105" s="233">
        <v>0</v>
      </c>
      <c r="M105" s="196" t="str">
        <f>IF($L105&gt;0,'Model Data Inputs'!$B$157-$L105,"")</f>
        <v/>
      </c>
      <c r="N105" s="216">
        <v>0</v>
      </c>
      <c r="O105" s="217">
        <v>0</v>
      </c>
      <c r="P105" s="218">
        <f>IF($G105="T",SUMIFS('School Level ADM'!$S$5:$S$359,'School Level ADM'!$A$5:$A$359,$A105),0)</f>
        <v>0</v>
      </c>
      <c r="Q105" s="219">
        <f t="shared" si="14"/>
        <v>0</v>
      </c>
      <c r="R105" s="220">
        <f>SUM((('School Level Inst. Resources'!I105/'Model Data Inputs'!$B$8)*(1+'Model Data Inputs'!$B$9)),(SUM('School Level Inst. Resources'!J105:K105)/'Model Data Inputs'!$C$8)*(1+'Model Data Inputs'!$C$9),'School Level Inst. Resources'!K105/400)</f>
        <v>0.17864902173913041</v>
      </c>
      <c r="S105" s="220">
        <v>0</v>
      </c>
      <c r="T105" s="221">
        <f>IF($G105="T",VLOOKUP($A105,'Total O &amp; M Resources'!$A$5:$K$52,3),0)</f>
        <v>0</v>
      </c>
      <c r="U105" s="222">
        <f>IF($G105="F",0,$S105/'Model Data Inputs'!$B$140)</f>
        <v>0</v>
      </c>
      <c r="V105" s="222">
        <f>IF($G105="F",0,$O105/'Model Data Inputs'!$B$141)</f>
        <v>0</v>
      </c>
      <c r="W105" s="222">
        <f>IF($G105="F",0,$N105/'Model Data Inputs'!$B$142)</f>
        <v>0</v>
      </c>
      <c r="X105" s="222">
        <f>IF($G105="F",0,$K105/'Model Data Inputs'!$B$143)</f>
        <v>0</v>
      </c>
      <c r="Y105" s="222">
        <f t="shared" si="9"/>
        <v>0</v>
      </c>
      <c r="Z105" s="222">
        <f>IF(OR($G105="F",$F105="E"),0,'Model Data Inputs'!$B$144)</f>
        <v>0</v>
      </c>
      <c r="AA105" s="222">
        <f>IF(AND($O105&lt;='Model Data Inputs'!$B$139,$F105="E"),0,IF(AND($O105&lt;='Model Data Inputs'!$B$139,$F105="M"),0,IF(AND($O105&lt;='Model Data Inputs'!$B$139,$F105="H"),0,IF(SUM($Y105:$Z105)&lt;1,1,SUM($Y105:$Z105)))))</f>
        <v>0</v>
      </c>
      <c r="AB105" s="222">
        <f>($K105/'Model Data Inputs'!$B$143)*'Model Data Inputs'!$B$145</f>
        <v>0</v>
      </c>
      <c r="AC105" s="222">
        <f t="shared" si="10"/>
        <v>0</v>
      </c>
      <c r="AD105" s="222">
        <f>IF($G105="F",0,'Model Data Inputs'!$B$147)</f>
        <v>0</v>
      </c>
      <c r="AE105" s="222">
        <f>IF($G105="F",0,($K105/'Model Data Inputs'!$B$148)*'Model Data Inputs'!$B$149)</f>
        <v>0</v>
      </c>
      <c r="AF105" s="222">
        <f>IF($G105="F",0,($O105/'Model Data Inputs'!$B$150)*'Model Data Inputs'!$B$151)</f>
        <v>0</v>
      </c>
      <c r="AG105" s="222">
        <f>IF($G105="F",0,(($Q105*$T105)/'Model Data Inputs'!$B$152)*'Model Data Inputs'!$B$153)</f>
        <v>0</v>
      </c>
      <c r="AH105" s="222">
        <f t="shared" si="11"/>
        <v>0</v>
      </c>
      <c r="AI105" s="223">
        <f>IF(OR($G105="F",$F105="M",$F105="H"),0,($AH105*'Model Data Inputs'!$B$154)-$AH105)</f>
        <v>0</v>
      </c>
      <c r="AJ105" s="222">
        <f>IF(OR($G105="F",$F105="E",$F105="H"),0,($AH105*'Model Data Inputs'!$B$155)-$AH105)</f>
        <v>0</v>
      </c>
      <c r="AK105" s="223">
        <f>IF(OR($G105="F",$F105="E",$F105="M"),0,($AH105*'Model Data Inputs'!$B$156)-$AH105)</f>
        <v>0</v>
      </c>
      <c r="AL105" s="223">
        <f>IF($G105="F",0,IF($M105&lt;'Model Data Inputs'!$B$158,$AH105*('Model Data Inputs'!$B$159-1),0))</f>
        <v>0</v>
      </c>
      <c r="AM105" s="222">
        <f>IF($G105="F",0,IF($M105&gt;'Model Data Inputs'!$B$160,$AH105*('Model Data Inputs'!$B$161-1),0))</f>
        <v>0</v>
      </c>
      <c r="AN105" s="222">
        <f>IF($G105="F",0,IF($P105&lt;'Model Data Inputs'!$B$162,SUM($AH105,$AI105,$AJ105,$AK105,$AL105,$AM105)*('Model Data Inputs'!$B$163-1),0))</f>
        <v>0</v>
      </c>
      <c r="AO105" s="222">
        <f t="shared" si="12"/>
        <v>0</v>
      </c>
      <c r="AP105" s="224">
        <f>$K105*'Model Data Inputs'!$B$166</f>
        <v>0</v>
      </c>
      <c r="AQ105" s="224">
        <f>($K105*'Model Data Inputs'!$B$145)*'Model Data Inputs'!$B$166</f>
        <v>0</v>
      </c>
      <c r="AR105" s="225">
        <f t="shared" si="13"/>
        <v>0</v>
      </c>
    </row>
    <row r="106" spans="1:44" x14ac:dyDescent="0.2">
      <c r="A106" s="227" t="str">
        <f>'School Level Inst. Resources'!A106</f>
        <v>0714000</v>
      </c>
      <c r="B106" s="227" t="str">
        <f>'School Level Inst. Resources'!B106</f>
        <v>Fremont #14</v>
      </c>
      <c r="C106" s="227" t="str">
        <f>'School Level Inst. Resources'!C106</f>
        <v>0714001</v>
      </c>
      <c r="D106" s="227" t="str">
        <f>'School Level Inst. Resources'!D106</f>
        <v>Wyoming Indian Elementary</v>
      </c>
      <c r="E106" s="228" t="str">
        <f>'School Level Inst. Resources'!E106</f>
        <v>P-5</v>
      </c>
      <c r="F106" s="229" t="str">
        <f>'School Level Inst. Resources'!H106</f>
        <v>E</v>
      </c>
      <c r="G106" s="229" t="s">
        <v>1158</v>
      </c>
      <c r="H106" s="207">
        <v>72641</v>
      </c>
      <c r="I106" s="207">
        <f>IF('SFD Allowable GSF Calculation'!$D$2=1,'SFD Allowable GSF Calculation'!$P106,'SFD Allowable GSF Calculation'!$X106)</f>
        <v>46880</v>
      </c>
      <c r="J106" s="194">
        <f>$I106*'Model Data Inputs'!$B$165</f>
        <v>53911.999999999993</v>
      </c>
      <c r="K106" s="194">
        <f>IF($L106&gt;='Model Data Inputs'!$B$164,$H106,MIN($H106,$J106))</f>
        <v>72641</v>
      </c>
      <c r="L106" s="208">
        <v>2016</v>
      </c>
      <c r="M106" s="196">
        <f>IF($L106&gt;0,'Model Data Inputs'!$B$157-$L106,"")</f>
        <v>1</v>
      </c>
      <c r="N106" s="209">
        <v>36</v>
      </c>
      <c r="O106" s="198">
        <f>'School Level Inst. Resources'!$L106</f>
        <v>314.57233333333329</v>
      </c>
      <c r="P106" s="198">
        <f>IF($G106="T",SUMIFS('School Level ADM'!$S$5:$S$359,'School Level ADM'!$A$5:$A$359,$A106),0)</f>
        <v>617.3413333333333</v>
      </c>
      <c r="Q106" s="199">
        <f t="shared" si="14"/>
        <v>0.50955981131993966</v>
      </c>
      <c r="R106" s="200">
        <f>SUM((('School Level Inst. Resources'!I106/'Model Data Inputs'!$B$8)*(1+'Model Data Inputs'!$B$9)),(SUM('School Level Inst. Resources'!J106:K106)/'Model Data Inputs'!$C$8)*(1+'Model Data Inputs'!$C$9),'School Level Inst. Resources'!K106/400)</f>
        <v>20.971488888888885</v>
      </c>
      <c r="S106" s="200">
        <f t="shared" si="8"/>
        <v>20.971488888888885</v>
      </c>
      <c r="T106" s="201">
        <f>IF($G106="T",VLOOKUP($A106,'Total O &amp; M Resources'!$A$5:$K$52,3),0)</f>
        <v>10029943.779999997</v>
      </c>
      <c r="U106" s="202">
        <f>IF($G106="F",0,$S106/'Model Data Inputs'!$B$140)</f>
        <v>1.6131914529914526</v>
      </c>
      <c r="V106" s="202">
        <f>IF($G106="F",0,$O106/'Model Data Inputs'!$B$141)</f>
        <v>0.96791487179487168</v>
      </c>
      <c r="W106" s="202">
        <f>IF($G106="F",0,$N106/'Model Data Inputs'!$B$142)</f>
        <v>2.7692307692307692</v>
      </c>
      <c r="X106" s="202">
        <f>IF($G106="F",0,$K106/'Model Data Inputs'!$B$143)</f>
        <v>4.0356111111111108</v>
      </c>
      <c r="Y106" s="202">
        <f t="shared" si="9"/>
        <v>2.3464870512820513</v>
      </c>
      <c r="Z106" s="202">
        <f>IF(OR($G106="F",$F106="E"),0,'Model Data Inputs'!$B$144)</f>
        <v>0</v>
      </c>
      <c r="AA106" s="202">
        <f>IF(AND($O106&lt;='Model Data Inputs'!$B$139,$F106="E"),0,IF(AND($O106&lt;='Model Data Inputs'!$B$139,$F106="M"),0,IF(AND($O106&lt;='Model Data Inputs'!$B$139,$F106="H"),0,IF(SUM($Y106:$Z106)&lt;1,1,SUM($Y106:$Z106)))))</f>
        <v>2.3464870512820513</v>
      </c>
      <c r="AB106" s="202">
        <f>($K106/'Model Data Inputs'!$B$143)*'Model Data Inputs'!$B$145</f>
        <v>0.40356111111111109</v>
      </c>
      <c r="AC106" s="202">
        <f t="shared" si="10"/>
        <v>2.7500481623931625</v>
      </c>
      <c r="AD106" s="202">
        <f>IF($G106="F",0,'Model Data Inputs'!$B$147)</f>
        <v>1.1000000000000001</v>
      </c>
      <c r="AE106" s="202">
        <f>IF($G106="F",0,($K106/'Model Data Inputs'!$B$148)*'Model Data Inputs'!$B$149)</f>
        <v>1.45282</v>
      </c>
      <c r="AF106" s="202">
        <f>IF($G106="F",0,($O106/'Model Data Inputs'!$B$150)*'Model Data Inputs'!$B$151)</f>
        <v>0.40894403333333329</v>
      </c>
      <c r="AG106" s="202">
        <f>IF($G106="F",0,(($Q106*$T106)/'Model Data Inputs'!$B$152)*'Model Data Inputs'!$B$153)</f>
        <v>1.2266055024207363</v>
      </c>
      <c r="AH106" s="202">
        <f t="shared" si="11"/>
        <v>1.0470923839385176</v>
      </c>
      <c r="AI106" s="203">
        <f>IF(OR($G106="F",$F106="M",$F106="H"),0,($AH106*'Model Data Inputs'!$B$154)-$AH106)</f>
        <v>-0.20941847678770342</v>
      </c>
      <c r="AJ106" s="202">
        <f>IF(OR($G106="F",$F106="E",$F106="H"),0,($AH106*'Model Data Inputs'!$B$155)-$AH106)</f>
        <v>0</v>
      </c>
      <c r="AK106" s="203">
        <f>IF(OR($G106="F",$F106="E",$F106="M"),0,($AH106*'Model Data Inputs'!$B$156)-$AH106)</f>
        <v>0</v>
      </c>
      <c r="AL106" s="203">
        <f>IF($G106="F",0,IF($M106&lt;'Model Data Inputs'!$B$158,$AH106*('Model Data Inputs'!$B$159-1),0))</f>
        <v>-5.2354619196925925E-2</v>
      </c>
      <c r="AM106" s="202">
        <f>IF($G106="F",0,IF($M106&gt;'Model Data Inputs'!$B$160,$AH106*('Model Data Inputs'!$B$161-1),0))</f>
        <v>0</v>
      </c>
      <c r="AN106" s="202">
        <f>IF($G106="F",0,IF($P106&lt;'Model Data Inputs'!$B$162,SUM($AH106,$AI106,$AJ106,$AK106,$AL106,$AM106)*('Model Data Inputs'!$B$163-1),0))</f>
        <v>7.8531928795388881E-2</v>
      </c>
      <c r="AO106" s="202">
        <f t="shared" si="12"/>
        <v>0.86385121674927701</v>
      </c>
      <c r="AP106" s="204">
        <f>$K106*'Model Data Inputs'!$B$166</f>
        <v>48669.47</v>
      </c>
      <c r="AQ106" s="204">
        <f>($K106*'Model Data Inputs'!$B$145)*'Model Data Inputs'!$B$166</f>
        <v>4866.9470000000001</v>
      </c>
      <c r="AR106" s="50">
        <f t="shared" si="13"/>
        <v>53536.417000000001</v>
      </c>
    </row>
    <row r="107" spans="1:44" x14ac:dyDescent="0.2">
      <c r="A107" s="227" t="str">
        <f>'School Level Inst. Resources'!A107</f>
        <v>0714000</v>
      </c>
      <c r="B107" s="227" t="str">
        <f>'School Level Inst. Resources'!B107</f>
        <v>Fremont #14</v>
      </c>
      <c r="C107" s="227" t="str">
        <f>'School Level Inst. Resources'!C107</f>
        <v>0714050</v>
      </c>
      <c r="D107" s="227" t="str">
        <f>'School Level Inst. Resources'!D107</f>
        <v>Wyoming Indian Middle School</v>
      </c>
      <c r="E107" s="228" t="str">
        <f>'School Level Inst. Resources'!E107</f>
        <v>6-8</v>
      </c>
      <c r="F107" s="229" t="str">
        <f>'School Level Inst. Resources'!H107</f>
        <v>M</v>
      </c>
      <c r="G107" s="229" t="s">
        <v>1158</v>
      </c>
      <c r="H107" s="207">
        <v>61099</v>
      </c>
      <c r="I107" s="207">
        <f>IF('SFD Allowable GSF Calculation'!$D$2=1,'SFD Allowable GSF Calculation'!$P107,'SFD Allowable GSF Calculation'!$X107)</f>
        <v>43712</v>
      </c>
      <c r="J107" s="194">
        <f>$I107*'Model Data Inputs'!$B$165</f>
        <v>50268.799999999996</v>
      </c>
      <c r="K107" s="194">
        <f>IF($L107&gt;='Model Data Inputs'!$B$164,$H107,MIN($H107,$J107))</f>
        <v>50268.799999999996</v>
      </c>
      <c r="L107" s="208">
        <v>1980</v>
      </c>
      <c r="M107" s="196">
        <f>IF($L107&gt;0,'Model Data Inputs'!$B$157-$L107,"")</f>
        <v>37</v>
      </c>
      <c r="N107" s="209">
        <v>25</v>
      </c>
      <c r="O107" s="198">
        <f>'School Level Inst. Resources'!$L107</f>
        <v>150.33266666666665</v>
      </c>
      <c r="P107" s="198">
        <f>IF($G107="T",SUMIFS('School Level ADM'!$S$5:$S$359,'School Level ADM'!$A$5:$A$359,$A107),0)</f>
        <v>617.3413333333333</v>
      </c>
      <c r="Q107" s="199">
        <f t="shared" si="14"/>
        <v>0.24351628272635775</v>
      </c>
      <c r="R107" s="200">
        <f>SUM((('School Level Inst. Resources'!I107/'Model Data Inputs'!$B$8)*(1+'Model Data Inputs'!$B$9)),(SUM('School Level Inst. Resources'!J107:K107)/'Model Data Inputs'!$C$8)*(1+'Model Data Inputs'!$C$9),'School Level Inst. Resources'!K107/400)</f>
        <v>8.7127584637681146</v>
      </c>
      <c r="S107" s="200">
        <f t="shared" si="8"/>
        <v>8.7127584637681146</v>
      </c>
      <c r="T107" s="201">
        <f>IF($G107="T",VLOOKUP($A107,'Total O &amp; M Resources'!$A$5:$K$52,3),0)</f>
        <v>10029943.779999997</v>
      </c>
      <c r="U107" s="202">
        <f>IF($G107="F",0,$S107/'Model Data Inputs'!$B$140)</f>
        <v>0.67021218952062422</v>
      </c>
      <c r="V107" s="202">
        <f>IF($G107="F",0,$O107/'Model Data Inputs'!$B$141)</f>
        <v>0.46256205128205125</v>
      </c>
      <c r="W107" s="202">
        <f>IF($G107="F",0,$N107/'Model Data Inputs'!$B$142)</f>
        <v>1.9230769230769231</v>
      </c>
      <c r="X107" s="202">
        <f>IF($G107="F",0,$K107/'Model Data Inputs'!$B$143)</f>
        <v>2.7927111111111107</v>
      </c>
      <c r="Y107" s="202">
        <f t="shared" si="9"/>
        <v>1.4621405687476772</v>
      </c>
      <c r="Z107" s="202">
        <f>IF(OR($G107="F",$F107="E"),0,'Model Data Inputs'!$B$144)</f>
        <v>0.5</v>
      </c>
      <c r="AA107" s="202">
        <f>IF(AND($O107&lt;='Model Data Inputs'!$B$139,$F107="E"),0,IF(AND($O107&lt;='Model Data Inputs'!$B$139,$F107="M"),0,IF(AND($O107&lt;='Model Data Inputs'!$B$139,$F107="H"),0,IF(SUM($Y107:$Z107)&lt;1,1,SUM($Y107:$Z107)))))</f>
        <v>1.9621405687476772</v>
      </c>
      <c r="AB107" s="202">
        <f>($K107/'Model Data Inputs'!$B$143)*'Model Data Inputs'!$B$145</f>
        <v>0.27927111111111108</v>
      </c>
      <c r="AC107" s="202">
        <f t="shared" si="10"/>
        <v>2.2414116798587882</v>
      </c>
      <c r="AD107" s="202">
        <f>IF($G107="F",0,'Model Data Inputs'!$B$147)</f>
        <v>1.1000000000000001</v>
      </c>
      <c r="AE107" s="202">
        <f>IF($G107="F",0,($K107/'Model Data Inputs'!$B$148)*'Model Data Inputs'!$B$149)</f>
        <v>1.0053759999999998</v>
      </c>
      <c r="AF107" s="202">
        <f>IF($G107="F",0,($O107/'Model Data Inputs'!$B$150)*'Model Data Inputs'!$B$151)</f>
        <v>0.19543246666666664</v>
      </c>
      <c r="AG107" s="202">
        <f>IF($G107="F",0,(($Q107*$T107)/'Model Data Inputs'!$B$152)*'Model Data Inputs'!$B$153)</f>
        <v>0.58618911006238861</v>
      </c>
      <c r="AH107" s="202">
        <f t="shared" si="11"/>
        <v>0.72174939418226369</v>
      </c>
      <c r="AI107" s="203">
        <f>IF(OR($G107="F",$F107="M",$F107="H"),0,($AH107*'Model Data Inputs'!$B$154)-$AH107)</f>
        <v>0</v>
      </c>
      <c r="AJ107" s="202">
        <f>IF(OR($G107="F",$F107="E",$F107="H"),0,($AH107*'Model Data Inputs'!$B$155)-$AH107)</f>
        <v>0</v>
      </c>
      <c r="AK107" s="203">
        <f>IF(OR($G107="F",$F107="E",$F107="M"),0,($AH107*'Model Data Inputs'!$B$156)-$AH107)</f>
        <v>0</v>
      </c>
      <c r="AL107" s="203">
        <f>IF($G107="F",0,IF($M107&lt;'Model Data Inputs'!$B$158,$AH107*('Model Data Inputs'!$B$159-1),0))</f>
        <v>0</v>
      </c>
      <c r="AM107" s="202">
        <f>IF($G107="F",0,IF($M107&gt;'Model Data Inputs'!$B$160,$AH107*('Model Data Inputs'!$B$161-1),0))</f>
        <v>7.2174939418226433E-2</v>
      </c>
      <c r="AN107" s="202">
        <f>IF($G107="F",0,IF($P107&lt;'Model Data Inputs'!$B$162,SUM($AH107,$AI107,$AJ107,$AK107,$AL107,$AM107)*('Model Data Inputs'!$B$163-1),0))</f>
        <v>7.9392433360049072E-2</v>
      </c>
      <c r="AO107" s="202">
        <f t="shared" si="12"/>
        <v>0.87331676696053917</v>
      </c>
      <c r="AP107" s="204">
        <f>$K107*'Model Data Inputs'!$B$166</f>
        <v>33680.095999999998</v>
      </c>
      <c r="AQ107" s="204">
        <f>($K107*'Model Data Inputs'!$B$145)*'Model Data Inputs'!$B$166</f>
        <v>3368.0096000000003</v>
      </c>
      <c r="AR107" s="50">
        <f t="shared" si="13"/>
        <v>37048.105599999995</v>
      </c>
    </row>
    <row r="108" spans="1:44" x14ac:dyDescent="0.2">
      <c r="A108" s="227" t="str">
        <f>'School Level Inst. Resources'!A108</f>
        <v>0714000</v>
      </c>
      <c r="B108" s="227" t="str">
        <f>'School Level Inst. Resources'!B108</f>
        <v>Fremont #14</v>
      </c>
      <c r="C108" s="227" t="str">
        <f>'School Level Inst. Resources'!C108</f>
        <v>0714055</v>
      </c>
      <c r="D108" s="227" t="str">
        <f>'School Level Inst. Resources'!D108</f>
        <v>Wyoming Indian High School</v>
      </c>
      <c r="E108" s="228" t="str">
        <f>'School Level Inst. Resources'!E108</f>
        <v>9-12</v>
      </c>
      <c r="F108" s="229" t="str">
        <f>'School Level Inst. Resources'!H108</f>
        <v>H</v>
      </c>
      <c r="G108" s="229" t="s">
        <v>1158</v>
      </c>
      <c r="H108" s="207">
        <v>116204</v>
      </c>
      <c r="I108" s="207">
        <f>IF('SFD Allowable GSF Calculation'!$D$2=1,'SFD Allowable GSF Calculation'!$P108,'SFD Allowable GSF Calculation'!$X108)</f>
        <v>53741</v>
      </c>
      <c r="J108" s="194">
        <f>$I108*'Model Data Inputs'!$B$165</f>
        <v>61802.149999999994</v>
      </c>
      <c r="K108" s="194">
        <f>IF($L108&gt;='Model Data Inputs'!$B$164,$H108,MIN($H108,$J108))</f>
        <v>61802.149999999994</v>
      </c>
      <c r="L108" s="208">
        <v>1989</v>
      </c>
      <c r="M108" s="196">
        <f>IF($L108&gt;0,'Model Data Inputs'!$B$157-$L108,"")</f>
        <v>28</v>
      </c>
      <c r="N108" s="209">
        <v>29</v>
      </c>
      <c r="O108" s="198">
        <f>'School Level Inst. Resources'!$L108</f>
        <v>152.43633333333332</v>
      </c>
      <c r="P108" s="198">
        <f>IF($G108="T",SUMIFS('School Level ADM'!$S$5:$S$359,'School Level ADM'!$A$5:$A$359,$A108),0)</f>
        <v>617.3413333333333</v>
      </c>
      <c r="Q108" s="199">
        <f t="shared" si="14"/>
        <v>0.24692390595370253</v>
      </c>
      <c r="R108" s="200">
        <f>SUM((('School Level Inst. Resources'!I108/'Model Data Inputs'!$B$8)*(1+'Model Data Inputs'!$B$9)),(SUM('School Level Inst. Resources'!J108:K108)/'Model Data Inputs'!$C$8)*(1+'Model Data Inputs'!$C$9),'School Level Inst. Resources'!K108/400)</f>
        <v>9.2157704999999996</v>
      </c>
      <c r="S108" s="200">
        <f t="shared" si="8"/>
        <v>9.2157704999999996</v>
      </c>
      <c r="T108" s="201">
        <f>IF($G108="T",VLOOKUP($A108,'Total O &amp; M Resources'!$A$5:$K$52,3),0)</f>
        <v>10029943.779999997</v>
      </c>
      <c r="U108" s="202">
        <f>IF($G108="F",0,$S108/'Model Data Inputs'!$B$140)</f>
        <v>0.70890542307692306</v>
      </c>
      <c r="V108" s="202">
        <f>IF($G108="F",0,$O108/'Model Data Inputs'!$B$141)</f>
        <v>0.46903487179487174</v>
      </c>
      <c r="W108" s="202">
        <f>IF($G108="F",0,$N108/'Model Data Inputs'!$B$142)</f>
        <v>2.2307692307692308</v>
      </c>
      <c r="X108" s="202">
        <f>IF($G108="F",0,$K108/'Model Data Inputs'!$B$143)</f>
        <v>3.4334527777777772</v>
      </c>
      <c r="Y108" s="202">
        <f t="shared" si="9"/>
        <v>1.7105405758547008</v>
      </c>
      <c r="Z108" s="202">
        <f>IF(OR($G108="F",$F108="E"),0,'Model Data Inputs'!$B$144)</f>
        <v>0.5</v>
      </c>
      <c r="AA108" s="202">
        <f>IF(AND($O108&lt;='Model Data Inputs'!$B$139,$F108="E"),0,IF(AND($O108&lt;='Model Data Inputs'!$B$139,$F108="M"),0,IF(AND($O108&lt;='Model Data Inputs'!$B$139,$F108="H"),0,IF(SUM($Y108:$Z108)&lt;1,1,SUM($Y108:$Z108)))))</f>
        <v>2.2105405758547008</v>
      </c>
      <c r="AB108" s="202">
        <f>($K108/'Model Data Inputs'!$B$143)*'Model Data Inputs'!$B$145</f>
        <v>0.34334527777777774</v>
      </c>
      <c r="AC108" s="202">
        <f t="shared" si="10"/>
        <v>2.5538858536324787</v>
      </c>
      <c r="AD108" s="202">
        <f>IF($G108="F",0,'Model Data Inputs'!$B$147)</f>
        <v>1.1000000000000001</v>
      </c>
      <c r="AE108" s="202">
        <f>IF($G108="F",0,($K108/'Model Data Inputs'!$B$148)*'Model Data Inputs'!$B$149)</f>
        <v>1.2360429999999998</v>
      </c>
      <c r="AF108" s="202">
        <f>IF($G108="F",0,($O108/'Model Data Inputs'!$B$150)*'Model Data Inputs'!$B$151)</f>
        <v>0.1981672333333333</v>
      </c>
      <c r="AG108" s="202">
        <f>IF($G108="F",0,(($Q108*$T108)/'Model Data Inputs'!$B$152)*'Model Data Inputs'!$B$153)</f>
        <v>0.59439189471687437</v>
      </c>
      <c r="AH108" s="202">
        <f t="shared" si="11"/>
        <v>0.78215053201255191</v>
      </c>
      <c r="AI108" s="203">
        <f>IF(OR($G108="F",$F108="M",$F108="H"),0,($AH108*'Model Data Inputs'!$B$154)-$AH108)</f>
        <v>0</v>
      </c>
      <c r="AJ108" s="202">
        <f>IF(OR($G108="F",$F108="E",$F108="H"),0,($AH108*'Model Data Inputs'!$B$155)-$AH108)</f>
        <v>0</v>
      </c>
      <c r="AK108" s="203">
        <f>IF(OR($G108="F",$F108="E",$F108="M"),0,($AH108*'Model Data Inputs'!$B$156)-$AH108)</f>
        <v>0.78215053201255191</v>
      </c>
      <c r="AL108" s="203">
        <f>IF($G108="F",0,IF($M108&lt;'Model Data Inputs'!$B$158,$AH108*('Model Data Inputs'!$B$159-1),0))</f>
        <v>0</v>
      </c>
      <c r="AM108" s="202">
        <f>IF($G108="F",0,IF($M108&gt;'Model Data Inputs'!$B$160,$AH108*('Model Data Inputs'!$B$161-1),0))</f>
        <v>0</v>
      </c>
      <c r="AN108" s="202">
        <f>IF($G108="F",0,IF($P108&lt;'Model Data Inputs'!$B$162,SUM($AH108,$AI108,$AJ108,$AK108,$AL108,$AM108)*('Model Data Inputs'!$B$163-1),0))</f>
        <v>0.15643010640251051</v>
      </c>
      <c r="AO108" s="202">
        <f t="shared" si="12"/>
        <v>1.7207311704276143</v>
      </c>
      <c r="AP108" s="204">
        <f>$K108*'Model Data Inputs'!$B$166</f>
        <v>41407.440499999997</v>
      </c>
      <c r="AQ108" s="204">
        <f>($K108*'Model Data Inputs'!$B$145)*'Model Data Inputs'!$B$166</f>
        <v>4140.7440500000002</v>
      </c>
      <c r="AR108" s="50">
        <f t="shared" si="13"/>
        <v>45548.184549999998</v>
      </c>
    </row>
    <row r="109" spans="1:44" s="226" customFormat="1" x14ac:dyDescent="0.2">
      <c r="A109" s="210" t="str">
        <f>'School Level Inst. Resources'!A109</f>
        <v>0721000</v>
      </c>
      <c r="B109" s="210" t="str">
        <f>'School Level Inst. Resources'!B109</f>
        <v>Fremont #21</v>
      </c>
      <c r="C109" s="210" t="str">
        <f>'School Level Inst. Resources'!C109</f>
        <v>0721001</v>
      </c>
      <c r="D109" s="210" t="str">
        <f>'School Level Inst. Resources'!D109</f>
        <v>Ft. Washakie Elementary</v>
      </c>
      <c r="E109" s="211" t="str">
        <f>'School Level Inst. Resources'!E109</f>
        <v>P-6</v>
      </c>
      <c r="F109" s="212" t="str">
        <f>'School Level Inst. Resources'!H109</f>
        <v>E</v>
      </c>
      <c r="G109" s="212" t="s">
        <v>1159</v>
      </c>
      <c r="H109" s="213">
        <v>0</v>
      </c>
      <c r="I109" s="213">
        <f>IF('SFD Allowable GSF Calculation'!$D$2=1,'SFD Allowable GSF Calculation'!$P109,'SFD Allowable GSF Calculation'!$X109)</f>
        <v>0</v>
      </c>
      <c r="J109" s="214">
        <f>$I109*'Model Data Inputs'!$B$165</f>
        <v>0</v>
      </c>
      <c r="K109" s="214">
        <f>IF($L109&gt;='Model Data Inputs'!$B$164,$H109,MIN($H109,$J109))</f>
        <v>0</v>
      </c>
      <c r="L109" s="233">
        <v>0</v>
      </c>
      <c r="M109" s="196" t="str">
        <f>IF($L109&gt;0,'Model Data Inputs'!$B$157-$L109,"")</f>
        <v/>
      </c>
      <c r="N109" s="216">
        <v>0</v>
      </c>
      <c r="O109" s="217">
        <v>0</v>
      </c>
      <c r="P109" s="218">
        <f>IF($G109="T",SUMIFS('School Level ADM'!$S$5:$S$359,'School Level ADM'!$A$5:$A$359,$A109),0)</f>
        <v>0</v>
      </c>
      <c r="Q109" s="219">
        <f t="shared" si="14"/>
        <v>0</v>
      </c>
      <c r="R109" s="220">
        <f>SUM((('School Level Inst. Resources'!I109/'Model Data Inputs'!$B$8)*(1+'Model Data Inputs'!$B$9)),(SUM('School Level Inst. Resources'!J109:K109)/'Model Data Inputs'!$C$8)*(1+'Model Data Inputs'!$C$9),'School Level Inst. Resources'!K109/400)</f>
        <v>20.356666666666666</v>
      </c>
      <c r="S109" s="220">
        <v>0</v>
      </c>
      <c r="T109" s="221">
        <f>IF($G109="T",VLOOKUP($A109,'Total O &amp; M Resources'!$A$5:$K$52,3),0)</f>
        <v>0</v>
      </c>
      <c r="U109" s="222">
        <f>IF($G109="F",0,$S109/'Model Data Inputs'!$B$140)</f>
        <v>0</v>
      </c>
      <c r="V109" s="222">
        <f>IF($G109="F",0,$O109/'Model Data Inputs'!$B$141)</f>
        <v>0</v>
      </c>
      <c r="W109" s="222">
        <f>IF($G109="F",0,$N109/'Model Data Inputs'!$B$142)</f>
        <v>0</v>
      </c>
      <c r="X109" s="222">
        <f>IF($G109="F",0,$K109/'Model Data Inputs'!$B$143)</f>
        <v>0</v>
      </c>
      <c r="Y109" s="222">
        <f t="shared" si="9"/>
        <v>0</v>
      </c>
      <c r="Z109" s="222">
        <f>IF(OR($G109="F",$F109="E"),0,'Model Data Inputs'!$B$144)</f>
        <v>0</v>
      </c>
      <c r="AA109" s="222">
        <f>IF(AND($O109&lt;='Model Data Inputs'!$B$139,$F109="E"),0,IF(AND($O109&lt;='Model Data Inputs'!$B$139,$F109="M"),0,IF(AND($O109&lt;='Model Data Inputs'!$B$139,$F109="H"),0,IF(SUM($Y109:$Z109)&lt;1,1,SUM($Y109:$Z109)))))</f>
        <v>0</v>
      </c>
      <c r="AB109" s="222">
        <f>($K109/'Model Data Inputs'!$B$143)*'Model Data Inputs'!$B$145</f>
        <v>0</v>
      </c>
      <c r="AC109" s="222">
        <f t="shared" si="10"/>
        <v>0</v>
      </c>
      <c r="AD109" s="222">
        <f>IF($G109="F",0,'Model Data Inputs'!$B$147)</f>
        <v>0</v>
      </c>
      <c r="AE109" s="222">
        <f>IF($G109="F",0,($K109/'Model Data Inputs'!$B$148)*'Model Data Inputs'!$B$149)</f>
        <v>0</v>
      </c>
      <c r="AF109" s="222">
        <f>IF($G109="F",0,($O109/'Model Data Inputs'!$B$150)*'Model Data Inputs'!$B$151)</f>
        <v>0</v>
      </c>
      <c r="AG109" s="222">
        <f>IF($G109="F",0,(($Q109*$T109)/'Model Data Inputs'!$B$152)*'Model Data Inputs'!$B$153)</f>
        <v>0</v>
      </c>
      <c r="AH109" s="222">
        <f t="shared" si="11"/>
        <v>0</v>
      </c>
      <c r="AI109" s="223">
        <f>IF(OR($G109="F",$F109="M",$F109="H"),0,($AH109*'Model Data Inputs'!$B$154)-$AH109)</f>
        <v>0</v>
      </c>
      <c r="AJ109" s="222">
        <f>IF(OR($G109="F",$F109="E",$F109="H"),0,($AH109*'Model Data Inputs'!$B$155)-$AH109)</f>
        <v>0</v>
      </c>
      <c r="AK109" s="223">
        <f>IF(OR($G109="F",$F109="E",$F109="M"),0,($AH109*'Model Data Inputs'!$B$156)-$AH109)</f>
        <v>0</v>
      </c>
      <c r="AL109" s="223">
        <f>IF($G109="F",0,IF($M109&lt;'Model Data Inputs'!$B$158,$AH109*('Model Data Inputs'!$B$159-1),0))</f>
        <v>0</v>
      </c>
      <c r="AM109" s="222">
        <f>IF($G109="F",0,IF($M109&gt;'Model Data Inputs'!$B$160,$AH109*('Model Data Inputs'!$B$161-1),0))</f>
        <v>0</v>
      </c>
      <c r="AN109" s="222">
        <f>IF($G109="F",0,IF($P109&lt;'Model Data Inputs'!$B$162,SUM($AH109,$AI109,$AJ109,$AK109,$AL109,$AM109)*('Model Data Inputs'!$B$163-1),0))</f>
        <v>0</v>
      </c>
      <c r="AO109" s="222">
        <f t="shared" si="12"/>
        <v>0</v>
      </c>
      <c r="AP109" s="224">
        <f>$K109*'Model Data Inputs'!$B$166</f>
        <v>0</v>
      </c>
      <c r="AQ109" s="224">
        <f>($K109*'Model Data Inputs'!$B$145)*'Model Data Inputs'!$B$166</f>
        <v>0</v>
      </c>
      <c r="AR109" s="225">
        <f t="shared" si="13"/>
        <v>0</v>
      </c>
    </row>
    <row r="110" spans="1:44" s="226" customFormat="1" x14ac:dyDescent="0.2">
      <c r="A110" s="210" t="str">
        <f>'School Level Inst. Resources'!A110</f>
        <v>0721000</v>
      </c>
      <c r="B110" s="210" t="str">
        <f>'School Level Inst. Resources'!B110</f>
        <v>Fremont #21</v>
      </c>
      <c r="C110" s="210" t="str">
        <f>'School Level Inst. Resources'!C110</f>
        <v>0721050</v>
      </c>
      <c r="D110" s="210" t="str">
        <f>'School Level Inst. Resources'!D110</f>
        <v>Ft. Washakie Middle School</v>
      </c>
      <c r="E110" s="211" t="str">
        <f>'School Level Inst. Resources'!E110</f>
        <v>7-8</v>
      </c>
      <c r="F110" s="212" t="str">
        <f>'School Level Inst. Resources'!H110</f>
        <v>M</v>
      </c>
      <c r="G110" s="212" t="s">
        <v>1158</v>
      </c>
      <c r="H110" s="213">
        <v>126973</v>
      </c>
      <c r="I110" s="213">
        <f>IF('SFD Allowable GSF Calculation'!$D$2=1,'SFD Allowable GSF Calculation'!$P110,'SFD Allowable GSF Calculation'!$X110)</f>
        <v>81840</v>
      </c>
      <c r="J110" s="214">
        <f>$I110*'Model Data Inputs'!$B$165</f>
        <v>94116</v>
      </c>
      <c r="K110" s="214">
        <f>IF($L110&gt;='Model Data Inputs'!$B$164,$H110,MIN($H110,$J110))</f>
        <v>126973</v>
      </c>
      <c r="L110" s="233">
        <v>2017</v>
      </c>
      <c r="M110" s="196">
        <f>IF($L110&gt;0,'Model Data Inputs'!$B$157-$L110,"")</f>
        <v>0</v>
      </c>
      <c r="N110" s="216">
        <v>44</v>
      </c>
      <c r="O110" s="218">
        <f>SUM('School Level Inst. Resources'!$L109,'School Level Inst. Resources'!$L110)</f>
        <v>407.79</v>
      </c>
      <c r="P110" s="218">
        <f>IF($G110="T",SUMIFS('School Level ADM'!$S$5:$S$359,'School Level ADM'!$A$5:$A$359,$A110),0)</f>
        <v>497.42500000000001</v>
      </c>
      <c r="Q110" s="219">
        <f t="shared" si="14"/>
        <v>0.81980198019801986</v>
      </c>
      <c r="R110" s="234">
        <f>SUM((('School Level Inst. Resources'!I110/'Model Data Inputs'!$B$8)*(1+'Model Data Inputs'!$B$9)),(SUM('School Level Inst. Resources'!J110:K110)/'Model Data Inputs'!$C$8)*(1+'Model Data Inputs'!$C$9),'School Level Inst. Resources'!K110/400)</f>
        <v>5.9370660869565217</v>
      </c>
      <c r="S110" s="234">
        <f>SUM(R109:R110)</f>
        <v>26.293732753623189</v>
      </c>
      <c r="T110" s="221">
        <f>IF($G110="T",VLOOKUP($A110,'Total O &amp; M Resources'!$A$5:$K$52,3),0)</f>
        <v>5997468.1899999985</v>
      </c>
      <c r="U110" s="222">
        <f>IF($G110="F",0,$S110/'Model Data Inputs'!$B$140)</f>
        <v>2.0225948272017837</v>
      </c>
      <c r="V110" s="222">
        <f>IF($G110="F",0,$O110/'Model Data Inputs'!$B$141)</f>
        <v>1.2547384615384616</v>
      </c>
      <c r="W110" s="222">
        <f>IF($G110="F",0,$N110/'Model Data Inputs'!$B$142)</f>
        <v>3.3846153846153846</v>
      </c>
      <c r="X110" s="222">
        <f>IF($G110="F",0,$K110/'Model Data Inputs'!$B$143)</f>
        <v>7.0540555555555553</v>
      </c>
      <c r="Y110" s="222">
        <f t="shared" si="9"/>
        <v>3.4290010572277962</v>
      </c>
      <c r="Z110" s="222">
        <f>IF(OR($G110="F",$F110="E"),0,'Model Data Inputs'!$B$144)</f>
        <v>0.5</v>
      </c>
      <c r="AA110" s="222">
        <f>IF(AND($O110&lt;='Model Data Inputs'!$B$139,$F110="E"),0,IF(AND($O110&lt;='Model Data Inputs'!$B$139,$F110="M"),0,IF(AND($O110&lt;='Model Data Inputs'!$B$139,$F110="H"),0,IF(SUM($Y110:$Z110)&lt;1,1,SUM($Y110:$Z110)))))</f>
        <v>3.9290010572277962</v>
      </c>
      <c r="AB110" s="222">
        <f>($K110/'Model Data Inputs'!$B$143)*'Model Data Inputs'!$B$145</f>
        <v>0.70540555555555562</v>
      </c>
      <c r="AC110" s="222">
        <f t="shared" si="10"/>
        <v>4.6344066127833514</v>
      </c>
      <c r="AD110" s="222">
        <f>IF($G110="F",0,'Model Data Inputs'!$B$147)</f>
        <v>1.1000000000000001</v>
      </c>
      <c r="AE110" s="222">
        <f>IF($G110="F",0,($K110/'Model Data Inputs'!$B$148)*'Model Data Inputs'!$B$149)</f>
        <v>2.5394600000000001</v>
      </c>
      <c r="AF110" s="222">
        <f>IF($G110="F",0,($O110/'Model Data Inputs'!$B$150)*'Model Data Inputs'!$B$151)</f>
        <v>0.53012700000000013</v>
      </c>
      <c r="AG110" s="222">
        <f>IF($G110="F",0,(($Q110*$T110)/'Model Data Inputs'!$B$152)*'Model Data Inputs'!$B$153)</f>
        <v>1.1800167116007918</v>
      </c>
      <c r="AH110" s="222">
        <f t="shared" si="11"/>
        <v>1.3374009279001979</v>
      </c>
      <c r="AI110" s="223">
        <f>IF(OR($G110="F",$F110="M",$F110="H"),0,($AH110*'Model Data Inputs'!$B$154)-$AH110)</f>
        <v>0</v>
      </c>
      <c r="AJ110" s="222">
        <f>IF(OR($G110="F",$F110="E",$F110="H"),0,($AH110*'Model Data Inputs'!$B$155)-$AH110)</f>
        <v>0</v>
      </c>
      <c r="AK110" s="223">
        <f>IF(OR($G110="F",$F110="E",$F110="M"),0,($AH110*'Model Data Inputs'!$B$156)-$AH110)</f>
        <v>0</v>
      </c>
      <c r="AL110" s="223">
        <f>IF($G110="F",0,IF($M110&lt;'Model Data Inputs'!$B$158,$AH110*('Model Data Inputs'!$B$159-1),0))</f>
        <v>-6.6870046395009958E-2</v>
      </c>
      <c r="AM110" s="222">
        <f>IF($G110="F",0,IF($M110&gt;'Model Data Inputs'!$B$160,$AH110*('Model Data Inputs'!$B$161-1),0))</f>
        <v>0</v>
      </c>
      <c r="AN110" s="222">
        <f>IF($G110="F",0,IF($P110&lt;'Model Data Inputs'!$B$162,SUM($AH110,$AI110,$AJ110,$AK110,$AL110,$AM110)*('Model Data Inputs'!$B$163-1),0))</f>
        <v>0.12705308815051891</v>
      </c>
      <c r="AO110" s="222">
        <f t="shared" si="12"/>
        <v>1.3975839696557069</v>
      </c>
      <c r="AP110" s="224">
        <f>$K110*'Model Data Inputs'!$B$166</f>
        <v>85071.91</v>
      </c>
      <c r="AQ110" s="224">
        <f>($K110*'Model Data Inputs'!$B$145)*'Model Data Inputs'!$B$166</f>
        <v>8507.1910000000007</v>
      </c>
      <c r="AR110" s="225">
        <f t="shared" si="13"/>
        <v>93579.10100000001</v>
      </c>
    </row>
    <row r="111" spans="1:44" x14ac:dyDescent="0.2">
      <c r="A111" s="227" t="str">
        <f>'School Level Inst. Resources'!A111</f>
        <v>0721000</v>
      </c>
      <c r="B111" s="227" t="str">
        <f>'School Level Inst. Resources'!B111</f>
        <v>Fremont #21</v>
      </c>
      <c r="C111" s="227" t="str">
        <f>'School Level Inst. Resources'!C111</f>
        <v>0721056</v>
      </c>
      <c r="D111" s="227" t="str">
        <f>'School Level Inst. Resources'!D111</f>
        <v>Ft. Washakie High School</v>
      </c>
      <c r="E111" s="228" t="str">
        <f>'School Level Inst. Resources'!E111</f>
        <v>9-12</v>
      </c>
      <c r="F111" s="229" t="str">
        <f>'School Level Inst. Resources'!H111</f>
        <v>H</v>
      </c>
      <c r="G111" s="229" t="s">
        <v>1158</v>
      </c>
      <c r="H111" s="207">
        <v>53536</v>
      </c>
      <c r="I111" s="207">
        <f>IF('SFD Allowable GSF Calculation'!$D$2=1,'SFD Allowable GSF Calculation'!$P111,'SFD Allowable GSF Calculation'!$X111)</f>
        <v>17065</v>
      </c>
      <c r="J111" s="194">
        <f>$I111*'Model Data Inputs'!$B$165</f>
        <v>19624.75</v>
      </c>
      <c r="K111" s="194">
        <f>IF($L111&gt;='Model Data Inputs'!$B$164,$H111,MIN($H111,$J111))</f>
        <v>53536</v>
      </c>
      <c r="L111" s="208">
        <v>2017</v>
      </c>
      <c r="M111" s="196">
        <f>IF($L111&gt;0,'Model Data Inputs'!$B$157-$L111,"")</f>
        <v>0</v>
      </c>
      <c r="N111" s="209">
        <v>25</v>
      </c>
      <c r="O111" s="198">
        <f>'School Level Inst. Resources'!$L111</f>
        <v>89.635000000000005</v>
      </c>
      <c r="P111" s="198">
        <f>IF($G111="T",SUMIFS('School Level ADM'!$S$5:$S$359,'School Level ADM'!$A$5:$A$359,$A111),0)</f>
        <v>497.42500000000001</v>
      </c>
      <c r="Q111" s="199">
        <f t="shared" si="14"/>
        <v>0.18019801980198019</v>
      </c>
      <c r="R111" s="200">
        <f>SUM((('School Level Inst. Resources'!I111/'Model Data Inputs'!$B$8)*(1+'Model Data Inputs'!$B$9)),(SUM('School Level Inst. Resources'!J111:K111)/'Model Data Inputs'!$C$8)*(1+'Model Data Inputs'!$C$9),'School Level Inst. Resources'!K111/400)</f>
        <v>5.4190203260869572</v>
      </c>
      <c r="S111" s="200">
        <f t="shared" si="8"/>
        <v>5.4190203260869572</v>
      </c>
      <c r="T111" s="201">
        <f>IF($G111="T",VLOOKUP($A111,'Total O &amp; M Resources'!$A$5:$K$52,3),0)</f>
        <v>5997468.1899999985</v>
      </c>
      <c r="U111" s="202">
        <f>IF($G111="F",0,$S111/'Model Data Inputs'!$B$140)</f>
        <v>0.41684771739130438</v>
      </c>
      <c r="V111" s="202">
        <f>IF($G111="F",0,$O111/'Model Data Inputs'!$B$141)</f>
        <v>0.27579999999999999</v>
      </c>
      <c r="W111" s="202">
        <f>IF($G111="F",0,$N111/'Model Data Inputs'!$B$142)</f>
        <v>1.9230769230769231</v>
      </c>
      <c r="X111" s="202">
        <f>IF($G111="F",0,$K111/'Model Data Inputs'!$B$143)</f>
        <v>2.9742222222222221</v>
      </c>
      <c r="Y111" s="202">
        <f t="shared" si="9"/>
        <v>1.3974867156726125</v>
      </c>
      <c r="Z111" s="202">
        <f>IF(OR($G111="F",$F111="E"),0,'Model Data Inputs'!$B$144)</f>
        <v>0.5</v>
      </c>
      <c r="AA111" s="202">
        <f>IF(AND($O111&lt;='Model Data Inputs'!$B$139,$F111="E"),0,IF(AND($O111&lt;='Model Data Inputs'!$B$139,$F111="M"),0,IF(AND($O111&lt;='Model Data Inputs'!$B$139,$F111="H"),0,IF(SUM($Y111:$Z111)&lt;1,1,SUM($Y111:$Z111)))))</f>
        <v>1.8974867156726125</v>
      </c>
      <c r="AB111" s="202">
        <f>($K111/'Model Data Inputs'!$B$143)*'Model Data Inputs'!$B$145</f>
        <v>0.2974222222222222</v>
      </c>
      <c r="AC111" s="202">
        <f t="shared" si="10"/>
        <v>2.1949089378948345</v>
      </c>
      <c r="AD111" s="202">
        <f>IF($G111="F",0,'Model Data Inputs'!$B$147)</f>
        <v>1.1000000000000001</v>
      </c>
      <c r="AE111" s="202">
        <f>IF($G111="F",0,($K111/'Model Data Inputs'!$B$148)*'Model Data Inputs'!$B$149)</f>
        <v>1.0707199999999999</v>
      </c>
      <c r="AF111" s="202">
        <f>IF($G111="F",0,($O111/'Model Data Inputs'!$B$150)*'Model Data Inputs'!$B$151)</f>
        <v>0.11652550000000002</v>
      </c>
      <c r="AG111" s="202">
        <f>IF($G111="F",0,(($Q111*$T111)/'Model Data Inputs'!$B$152)*'Model Data Inputs'!$B$153)</f>
        <v>0.25937565399920781</v>
      </c>
      <c r="AH111" s="202">
        <f t="shared" si="11"/>
        <v>0.63665528849980202</v>
      </c>
      <c r="AI111" s="203">
        <f>IF(OR($G111="F",$F111="M",$F111="H"),0,($AH111*'Model Data Inputs'!$B$154)-$AH111)</f>
        <v>0</v>
      </c>
      <c r="AJ111" s="202">
        <f>IF(OR($G111="F",$F111="E",$F111="H"),0,($AH111*'Model Data Inputs'!$B$155)-$AH111)</f>
        <v>0</v>
      </c>
      <c r="AK111" s="203">
        <f>IF(OR($G111="F",$F111="E",$F111="M"),0,($AH111*'Model Data Inputs'!$B$156)-$AH111)</f>
        <v>0.63665528849980202</v>
      </c>
      <c r="AL111" s="203">
        <f>IF($G111="F",0,IF($M111&lt;'Model Data Inputs'!$B$158,$AH111*('Model Data Inputs'!$B$159-1),0))</f>
        <v>-3.1832764424990126E-2</v>
      </c>
      <c r="AM111" s="202">
        <f>IF($G111="F",0,IF($M111&gt;'Model Data Inputs'!$B$160,$AH111*('Model Data Inputs'!$B$161-1),0))</f>
        <v>0</v>
      </c>
      <c r="AN111" s="202">
        <f>IF($G111="F",0,IF($P111&lt;'Model Data Inputs'!$B$162,SUM($AH111,$AI111,$AJ111,$AK111,$AL111,$AM111)*('Model Data Inputs'!$B$163-1),0))</f>
        <v>0.12414778125746151</v>
      </c>
      <c r="AO111" s="202">
        <f t="shared" si="12"/>
        <v>1.3656255938320756</v>
      </c>
      <c r="AP111" s="204">
        <f>$K111*'Model Data Inputs'!$B$166</f>
        <v>35869.120000000003</v>
      </c>
      <c r="AQ111" s="204">
        <f>($K111*'Model Data Inputs'!$B$145)*'Model Data Inputs'!$B$166</f>
        <v>3586.9120000000003</v>
      </c>
      <c r="AR111" s="50">
        <f t="shared" si="13"/>
        <v>39456.032000000007</v>
      </c>
    </row>
    <row r="112" spans="1:44" s="226" customFormat="1" x14ac:dyDescent="0.2">
      <c r="A112" s="210" t="str">
        <f>'School Level Inst. Resources'!A112</f>
        <v>0724000</v>
      </c>
      <c r="B112" s="210" t="str">
        <f>'School Level Inst. Resources'!B112</f>
        <v>Fremont #24</v>
      </c>
      <c r="C112" s="210" t="str">
        <f>'School Level Inst. Resources'!C112</f>
        <v>0724001</v>
      </c>
      <c r="D112" s="210" t="str">
        <f>'School Level Inst. Resources'!D112</f>
        <v>Shoshoni Elementary</v>
      </c>
      <c r="E112" s="211" t="str">
        <f>'School Level Inst. Resources'!E112</f>
        <v>P-6</v>
      </c>
      <c r="F112" s="212" t="str">
        <f>'School Level Inst. Resources'!H112</f>
        <v>E</v>
      </c>
      <c r="G112" s="212" t="s">
        <v>1159</v>
      </c>
      <c r="H112" s="213">
        <v>0</v>
      </c>
      <c r="I112" s="213">
        <f>IF('SFD Allowable GSF Calculation'!$D$2=1,'SFD Allowable GSF Calculation'!$P112,'SFD Allowable GSF Calculation'!$X112)</f>
        <v>0</v>
      </c>
      <c r="J112" s="214">
        <f>$I112*'Model Data Inputs'!$B$165</f>
        <v>0</v>
      </c>
      <c r="K112" s="214">
        <f>IF($L112&gt;='Model Data Inputs'!$B$164,$H112,MIN($H112,$J112))</f>
        <v>0</v>
      </c>
      <c r="L112" s="233">
        <v>0</v>
      </c>
      <c r="M112" s="196" t="str">
        <f>IF($L112&gt;0,'Model Data Inputs'!$B$157-$L112,"")</f>
        <v/>
      </c>
      <c r="N112" s="216">
        <v>0</v>
      </c>
      <c r="O112" s="217">
        <v>0</v>
      </c>
      <c r="P112" s="218">
        <f>IF($G112="T",SUMIFS('School Level ADM'!$S$5:$S$359,'School Level ADM'!$A$5:$A$359,$A112),0)</f>
        <v>0</v>
      </c>
      <c r="Q112" s="219">
        <f t="shared" si="14"/>
        <v>0</v>
      </c>
      <c r="R112" s="220">
        <f>SUM((('School Level Inst. Resources'!I112/'Model Data Inputs'!$B$8)*(1+'Model Data Inputs'!$B$9)),(SUM('School Level Inst. Resources'!J112:K112)/'Model Data Inputs'!$C$8)*(1+'Model Data Inputs'!$C$9),'School Level Inst. Resources'!K112/400)</f>
        <v>14.916333333333334</v>
      </c>
      <c r="S112" s="220">
        <v>0</v>
      </c>
      <c r="T112" s="221">
        <f>IF($G112="T",VLOOKUP($A112,'Total O &amp; M Resources'!$A$5:$K$52,3),0)</f>
        <v>0</v>
      </c>
      <c r="U112" s="222">
        <f>IF($G112="F",0,$S112/'Model Data Inputs'!$B$140)</f>
        <v>0</v>
      </c>
      <c r="V112" s="222">
        <f>IF($G112="F",0,$O112/'Model Data Inputs'!$B$141)</f>
        <v>0</v>
      </c>
      <c r="W112" s="222">
        <f>IF($G112="F",0,$N112/'Model Data Inputs'!$B$142)</f>
        <v>0</v>
      </c>
      <c r="X112" s="222">
        <f>IF($G112="F",0,$K112/'Model Data Inputs'!$B$143)</f>
        <v>0</v>
      </c>
      <c r="Y112" s="222">
        <f t="shared" si="9"/>
        <v>0</v>
      </c>
      <c r="Z112" s="222">
        <f>IF(OR($G112="F",$F112="E"),0,'Model Data Inputs'!$B$144)</f>
        <v>0</v>
      </c>
      <c r="AA112" s="222">
        <f>IF(AND($O112&lt;='Model Data Inputs'!$B$139,$F112="E"),0,IF(AND($O112&lt;='Model Data Inputs'!$B$139,$F112="M"),0,IF(AND($O112&lt;='Model Data Inputs'!$B$139,$F112="H"),0,IF(SUM($Y112:$Z112)&lt;1,1,SUM($Y112:$Z112)))))</f>
        <v>0</v>
      </c>
      <c r="AB112" s="222">
        <f>($K112/'Model Data Inputs'!$B$143)*'Model Data Inputs'!$B$145</f>
        <v>0</v>
      </c>
      <c r="AC112" s="222">
        <f t="shared" si="10"/>
        <v>0</v>
      </c>
      <c r="AD112" s="222">
        <f>IF($G112="F",0,'Model Data Inputs'!$B$147)</f>
        <v>0</v>
      </c>
      <c r="AE112" s="222">
        <f>IF($G112="F",0,($K112/'Model Data Inputs'!$B$148)*'Model Data Inputs'!$B$149)</f>
        <v>0</v>
      </c>
      <c r="AF112" s="222">
        <f>IF($G112="F",0,($O112/'Model Data Inputs'!$B$150)*'Model Data Inputs'!$B$151)</f>
        <v>0</v>
      </c>
      <c r="AG112" s="222">
        <f>IF($G112="F",0,(($Q112*$T112)/'Model Data Inputs'!$B$152)*'Model Data Inputs'!$B$153)</f>
        <v>0</v>
      </c>
      <c r="AH112" s="222">
        <f t="shared" si="11"/>
        <v>0</v>
      </c>
      <c r="AI112" s="223">
        <f>IF(OR($G112="F",$F112="M",$F112="H"),0,($AH112*'Model Data Inputs'!$B$154)-$AH112)</f>
        <v>0</v>
      </c>
      <c r="AJ112" s="222">
        <f>IF(OR($G112="F",$F112="E",$F112="H"),0,($AH112*'Model Data Inputs'!$B$155)-$AH112)</f>
        <v>0</v>
      </c>
      <c r="AK112" s="223">
        <f>IF(OR($G112="F",$F112="E",$F112="M"),0,($AH112*'Model Data Inputs'!$B$156)-$AH112)</f>
        <v>0</v>
      </c>
      <c r="AL112" s="223">
        <f>IF($G112="F",0,IF($M112&lt;'Model Data Inputs'!$B$158,$AH112*('Model Data Inputs'!$B$159-1),0))</f>
        <v>0</v>
      </c>
      <c r="AM112" s="222">
        <f>IF($G112="F",0,IF($M112&gt;'Model Data Inputs'!$B$160,$AH112*('Model Data Inputs'!$B$161-1),0))</f>
        <v>0</v>
      </c>
      <c r="AN112" s="222">
        <f>IF($G112="F",0,IF($P112&lt;'Model Data Inputs'!$B$162,SUM($AH112,$AI112,$AJ112,$AK112,$AL112,$AM112)*('Model Data Inputs'!$B$163-1),0))</f>
        <v>0</v>
      </c>
      <c r="AO112" s="222">
        <f t="shared" si="12"/>
        <v>0</v>
      </c>
      <c r="AP112" s="224">
        <f>$K112*'Model Data Inputs'!$B$166</f>
        <v>0</v>
      </c>
      <c r="AQ112" s="224">
        <f>($K112*'Model Data Inputs'!$B$145)*'Model Data Inputs'!$B$166</f>
        <v>0</v>
      </c>
      <c r="AR112" s="225">
        <f t="shared" si="13"/>
        <v>0</v>
      </c>
    </row>
    <row r="113" spans="1:44" s="226" customFormat="1" x14ac:dyDescent="0.2">
      <c r="A113" s="210" t="str">
        <f>'School Level Inst. Resources'!A113</f>
        <v>0724000</v>
      </c>
      <c r="B113" s="210" t="str">
        <f>'School Level Inst. Resources'!B113</f>
        <v>Fremont #24</v>
      </c>
      <c r="C113" s="210" t="str">
        <f>'School Level Inst. Resources'!C113</f>
        <v>0724050</v>
      </c>
      <c r="D113" s="210" t="str">
        <f>'School Level Inst. Resources'!D113</f>
        <v>Shoshoni Junior High School</v>
      </c>
      <c r="E113" s="211" t="str">
        <f>'School Level Inst. Resources'!E113</f>
        <v>7-8</v>
      </c>
      <c r="F113" s="212" t="str">
        <f>'School Level Inst. Resources'!H113</f>
        <v>M</v>
      </c>
      <c r="G113" s="212" t="s">
        <v>1159</v>
      </c>
      <c r="H113" s="213">
        <v>0</v>
      </c>
      <c r="I113" s="213">
        <f>IF('SFD Allowable GSF Calculation'!$D$2=1,'SFD Allowable GSF Calculation'!$P113,'SFD Allowable GSF Calculation'!$X113)</f>
        <v>0</v>
      </c>
      <c r="J113" s="214">
        <f>$I113*'Model Data Inputs'!$B$165</f>
        <v>0</v>
      </c>
      <c r="K113" s="214">
        <f>IF($L113&gt;='Model Data Inputs'!$B$164,$H113,MIN($H113,$J113))</f>
        <v>0</v>
      </c>
      <c r="L113" s="233">
        <v>0</v>
      </c>
      <c r="M113" s="196" t="str">
        <f>IF($L113&gt;0,'Model Data Inputs'!$B$157-$L113,"")</f>
        <v/>
      </c>
      <c r="N113" s="216">
        <v>0</v>
      </c>
      <c r="O113" s="217">
        <v>0</v>
      </c>
      <c r="P113" s="218">
        <f>IF($G113="T",SUMIFS('School Level ADM'!$S$5:$S$359,'School Level ADM'!$A$5:$A$359,$A113),0)</f>
        <v>0</v>
      </c>
      <c r="Q113" s="219">
        <f t="shared" si="14"/>
        <v>0</v>
      </c>
      <c r="R113" s="220">
        <f>SUM((('School Level Inst. Resources'!I113/'Model Data Inputs'!$B$8)*(1+'Model Data Inputs'!$B$9)),(SUM('School Level Inst. Resources'!J113:K113)/'Model Data Inputs'!$C$8)*(1+'Model Data Inputs'!$C$9),'School Level Inst. Resources'!K113/400)</f>
        <v>3.2584895217391305</v>
      </c>
      <c r="S113" s="220">
        <v>0</v>
      </c>
      <c r="T113" s="221">
        <f>IF($G113="T",VLOOKUP($A113,'Total O &amp; M Resources'!$A$5:$K$52,3),0)</f>
        <v>0</v>
      </c>
      <c r="U113" s="222">
        <f>IF($G113="F",0,$S113/'Model Data Inputs'!$B$140)</f>
        <v>0</v>
      </c>
      <c r="V113" s="222">
        <f>IF($G113="F",0,$O113/'Model Data Inputs'!$B$141)</f>
        <v>0</v>
      </c>
      <c r="W113" s="222">
        <f>IF($G113="F",0,$N113/'Model Data Inputs'!$B$142)</f>
        <v>0</v>
      </c>
      <c r="X113" s="222">
        <f>IF($G113="F",0,$K113/'Model Data Inputs'!$B$143)</f>
        <v>0</v>
      </c>
      <c r="Y113" s="222">
        <f t="shared" si="9"/>
        <v>0</v>
      </c>
      <c r="Z113" s="222">
        <f>IF(OR($G113="F",$F113="E"),0,'Model Data Inputs'!$B$144)</f>
        <v>0</v>
      </c>
      <c r="AA113" s="222">
        <f>IF(AND($O113&lt;='Model Data Inputs'!$B$139,$F113="E"),0,IF(AND($O113&lt;='Model Data Inputs'!$B$139,$F113="M"),0,IF(AND($O113&lt;='Model Data Inputs'!$B$139,$F113="H"),0,IF(SUM($Y113:$Z113)&lt;1,1,SUM($Y113:$Z113)))))</f>
        <v>0</v>
      </c>
      <c r="AB113" s="222">
        <f>($K113/'Model Data Inputs'!$B$143)*'Model Data Inputs'!$B$145</f>
        <v>0</v>
      </c>
      <c r="AC113" s="222">
        <f t="shared" si="10"/>
        <v>0</v>
      </c>
      <c r="AD113" s="222">
        <f>IF($G113="F",0,'Model Data Inputs'!$B$147)</f>
        <v>0</v>
      </c>
      <c r="AE113" s="222">
        <f>IF($G113="F",0,($K113/'Model Data Inputs'!$B$148)*'Model Data Inputs'!$B$149)</f>
        <v>0</v>
      </c>
      <c r="AF113" s="222">
        <f>IF($G113="F",0,($O113/'Model Data Inputs'!$B$150)*'Model Data Inputs'!$B$151)</f>
        <v>0</v>
      </c>
      <c r="AG113" s="222">
        <f>IF($G113="F",0,(($Q113*$T113)/'Model Data Inputs'!$B$152)*'Model Data Inputs'!$B$153)</f>
        <v>0</v>
      </c>
      <c r="AH113" s="222">
        <f t="shared" si="11"/>
        <v>0</v>
      </c>
      <c r="AI113" s="223">
        <f>IF(OR($G113="F",$F113="M",$F113="H"),0,($AH113*'Model Data Inputs'!$B$154)-$AH113)</f>
        <v>0</v>
      </c>
      <c r="AJ113" s="222">
        <f>IF(OR($G113="F",$F113="E",$F113="H"),0,($AH113*'Model Data Inputs'!$B$155)-$AH113)</f>
        <v>0</v>
      </c>
      <c r="AK113" s="223">
        <f>IF(OR($G113="F",$F113="E",$F113="M"),0,($AH113*'Model Data Inputs'!$B$156)-$AH113)</f>
        <v>0</v>
      </c>
      <c r="AL113" s="223">
        <f>IF($G113="F",0,IF($M113&lt;'Model Data Inputs'!$B$158,$AH113*('Model Data Inputs'!$B$159-1),0))</f>
        <v>0</v>
      </c>
      <c r="AM113" s="222">
        <f>IF($G113="F",0,IF($M113&gt;'Model Data Inputs'!$B$160,$AH113*('Model Data Inputs'!$B$161-1),0))</f>
        <v>0</v>
      </c>
      <c r="AN113" s="222">
        <f>IF($G113="F",0,IF($P113&lt;'Model Data Inputs'!$B$162,SUM($AH113,$AI113,$AJ113,$AK113,$AL113,$AM113)*('Model Data Inputs'!$B$163-1),0))</f>
        <v>0</v>
      </c>
      <c r="AO113" s="222">
        <f t="shared" si="12"/>
        <v>0</v>
      </c>
      <c r="AP113" s="224">
        <f>$K113*'Model Data Inputs'!$B$166</f>
        <v>0</v>
      </c>
      <c r="AQ113" s="224">
        <f>($K113*'Model Data Inputs'!$B$145)*'Model Data Inputs'!$B$166</f>
        <v>0</v>
      </c>
      <c r="AR113" s="225">
        <f t="shared" si="13"/>
        <v>0</v>
      </c>
    </row>
    <row r="114" spans="1:44" s="226" customFormat="1" x14ac:dyDescent="0.2">
      <c r="A114" s="210" t="str">
        <f>'School Level Inst. Resources'!A114</f>
        <v>0724000</v>
      </c>
      <c r="B114" s="210" t="str">
        <f>'School Level Inst. Resources'!B114</f>
        <v>Fremont #24</v>
      </c>
      <c r="C114" s="210" t="str">
        <f>'School Level Inst. Resources'!C114</f>
        <v>0724055</v>
      </c>
      <c r="D114" s="210" t="str">
        <f>'School Level Inst. Resources'!D114</f>
        <v>Shoshoni High School</v>
      </c>
      <c r="E114" s="211" t="str">
        <f>'School Level Inst. Resources'!E114</f>
        <v>9-12</v>
      </c>
      <c r="F114" s="212" t="str">
        <f>'School Level Inst. Resources'!H114</f>
        <v>H</v>
      </c>
      <c r="G114" s="212" t="s">
        <v>1158</v>
      </c>
      <c r="H114" s="213">
        <v>148631</v>
      </c>
      <c r="I114" s="213">
        <f>IF('SFD Allowable GSF Calculation'!$D$2=1,'SFD Allowable GSF Calculation'!$P114,'SFD Allowable GSF Calculation'!$X114)</f>
        <v>97939</v>
      </c>
      <c r="J114" s="214">
        <f>$I114*'Model Data Inputs'!$B$165</f>
        <v>112629.84999999999</v>
      </c>
      <c r="K114" s="214">
        <f>IF($L114&gt;='Model Data Inputs'!$B$164,$H114,MIN($H114,$J114))</f>
        <v>148631</v>
      </c>
      <c r="L114" s="233">
        <v>2016</v>
      </c>
      <c r="M114" s="196">
        <f>IF($L114&gt;0,'Model Data Inputs'!$B$157-$L114,"")</f>
        <v>1</v>
      </c>
      <c r="N114" s="216">
        <v>53</v>
      </c>
      <c r="O114" s="218">
        <f>SUM('School Level Inst. Resources'!$L112,'School Level Inst. Resources'!$L113,'School Level Inst. Resources'!$L114)</f>
        <v>388.52100000000002</v>
      </c>
      <c r="P114" s="218">
        <f>IF($G114="T",SUMIFS('School Level ADM'!$S$5:$S$359,'School Level ADM'!$A$5:$A$359,$A114),0)</f>
        <v>388.52100000000002</v>
      </c>
      <c r="Q114" s="219">
        <f t="shared" si="14"/>
        <v>1</v>
      </c>
      <c r="R114" s="234">
        <f>SUM((('School Level Inst. Resources'!I114/'Model Data Inputs'!$B$8)*(1+'Model Data Inputs'!$B$9)),(SUM('School Level Inst. Resources'!J114:K114)/'Model Data Inputs'!$C$8)*(1+'Model Data Inputs'!$C$9),'School Level Inst. Resources'!K114/400)</f>
        <v>6.5627368043478267</v>
      </c>
      <c r="S114" s="234">
        <f>SUM(R112:R114)</f>
        <v>24.737559659420292</v>
      </c>
      <c r="T114" s="221">
        <f>IF($G114="T",VLOOKUP($A114,'Total O &amp; M Resources'!$A$5:$K$52,3),0)</f>
        <v>3610727.43</v>
      </c>
      <c r="U114" s="222">
        <f>IF($G114="F",0,$S114/'Model Data Inputs'!$B$140)</f>
        <v>1.9028892045707917</v>
      </c>
      <c r="V114" s="222">
        <f>IF($G114="F",0,$O114/'Model Data Inputs'!$B$141)</f>
        <v>1.1954492307692308</v>
      </c>
      <c r="W114" s="222">
        <f>IF($G114="F",0,$N114/'Model Data Inputs'!$B$142)</f>
        <v>4.0769230769230766</v>
      </c>
      <c r="X114" s="222">
        <f>IF($G114="F",0,$K114/'Model Data Inputs'!$B$143)</f>
        <v>8.2572777777777784</v>
      </c>
      <c r="Y114" s="222">
        <f t="shared" si="9"/>
        <v>3.8581348225102197</v>
      </c>
      <c r="Z114" s="222">
        <f>IF(OR($G114="F",$F114="E"),0,'Model Data Inputs'!$B$144)</f>
        <v>0.5</v>
      </c>
      <c r="AA114" s="222">
        <f>IF(AND($O114&lt;='Model Data Inputs'!$B$139,$F114="E"),0,IF(AND($O114&lt;='Model Data Inputs'!$B$139,$F114="M"),0,IF(AND($O114&lt;='Model Data Inputs'!$B$139,$F114="H"),0,IF(SUM($Y114:$Z114)&lt;1,1,SUM($Y114:$Z114)))))</f>
        <v>4.3581348225102197</v>
      </c>
      <c r="AB114" s="222">
        <f>($K114/'Model Data Inputs'!$B$143)*'Model Data Inputs'!$B$145</f>
        <v>0.82572777777777784</v>
      </c>
      <c r="AC114" s="222">
        <f t="shared" si="10"/>
        <v>5.1838626002879975</v>
      </c>
      <c r="AD114" s="222">
        <f>IF($G114="F",0,'Model Data Inputs'!$B$147)</f>
        <v>1.1000000000000001</v>
      </c>
      <c r="AE114" s="222">
        <f>IF($G114="F",0,($K114/'Model Data Inputs'!$B$148)*'Model Data Inputs'!$B$149)</f>
        <v>2.97262</v>
      </c>
      <c r="AF114" s="222">
        <f>IF($G114="F",0,($O114/'Model Data Inputs'!$B$150)*'Model Data Inputs'!$B$151)</f>
        <v>0.50507730000000006</v>
      </c>
      <c r="AG114" s="222">
        <f>IF($G114="F",0,(($Q114*$T114)/'Model Data Inputs'!$B$152)*'Model Data Inputs'!$B$153)</f>
        <v>0.86657458320000003</v>
      </c>
      <c r="AH114" s="222">
        <f t="shared" si="11"/>
        <v>1.3610679708000002</v>
      </c>
      <c r="AI114" s="223">
        <f>IF(OR($G114="F",$F114="M",$F114="H"),0,($AH114*'Model Data Inputs'!$B$154)-$AH114)</f>
        <v>0</v>
      </c>
      <c r="AJ114" s="222">
        <f>IF(OR($G114="F",$F114="E",$F114="H"),0,($AH114*'Model Data Inputs'!$B$155)-$AH114)</f>
        <v>0</v>
      </c>
      <c r="AK114" s="223">
        <f>IF(OR($G114="F",$F114="E",$F114="M"),0,($AH114*'Model Data Inputs'!$B$156)-$AH114)</f>
        <v>1.3610679708000002</v>
      </c>
      <c r="AL114" s="223">
        <f>IF($G114="F",0,IF($M114&lt;'Model Data Inputs'!$B$158,$AH114*('Model Data Inputs'!$B$159-1),0))</f>
        <v>-6.8053398540000073E-2</v>
      </c>
      <c r="AM114" s="222">
        <f>IF($G114="F",0,IF($M114&gt;'Model Data Inputs'!$B$160,$AH114*('Model Data Inputs'!$B$161-1),0))</f>
        <v>0</v>
      </c>
      <c r="AN114" s="222">
        <f>IF($G114="F",0,IF($P114&lt;'Model Data Inputs'!$B$162,SUM($AH114,$AI114,$AJ114,$AK114,$AL114,$AM114)*('Model Data Inputs'!$B$163-1),0))</f>
        <v>0.26540825430600029</v>
      </c>
      <c r="AO114" s="222">
        <f t="shared" si="12"/>
        <v>2.9194907973660005</v>
      </c>
      <c r="AP114" s="224">
        <f>$K114*'Model Data Inputs'!$B$166</f>
        <v>99582.77</v>
      </c>
      <c r="AQ114" s="224">
        <f>($K114*'Model Data Inputs'!$B$145)*'Model Data Inputs'!$B$166</f>
        <v>9958.277</v>
      </c>
      <c r="AR114" s="225">
        <f t="shared" si="13"/>
        <v>109541.04700000001</v>
      </c>
    </row>
    <row r="115" spans="1:44" x14ac:dyDescent="0.2">
      <c r="A115" s="227" t="str">
        <f>'School Level Inst. Resources'!A115</f>
        <v>0725000</v>
      </c>
      <c r="B115" s="227" t="str">
        <f>'School Level Inst. Resources'!B115</f>
        <v>Fremont #25</v>
      </c>
      <c r="C115" s="227" t="str">
        <f>'School Level Inst. Resources'!C115</f>
        <v>0725002</v>
      </c>
      <c r="D115" s="227" t="str">
        <f>'School Level Inst. Resources'!D115</f>
        <v>Ashgrove Elementary</v>
      </c>
      <c r="E115" s="228" t="str">
        <f>'School Level Inst. Resources'!E115</f>
        <v>1-3</v>
      </c>
      <c r="F115" s="229" t="str">
        <f>'School Level Inst. Resources'!H115</f>
        <v>E</v>
      </c>
      <c r="G115" s="229" t="s">
        <v>1158</v>
      </c>
      <c r="H115" s="207">
        <v>34630</v>
      </c>
      <c r="I115" s="207">
        <f>IF('SFD Allowable GSF Calculation'!$D$2=1,'SFD Allowable GSF Calculation'!$P115,'SFD Allowable GSF Calculation'!$X115)</f>
        <v>32132</v>
      </c>
      <c r="J115" s="194">
        <f>$I115*'Model Data Inputs'!$B$165</f>
        <v>36951.799999999996</v>
      </c>
      <c r="K115" s="194">
        <f>IF($L115&gt;='Model Data Inputs'!$B$164,$H115,MIN($H115,$J115))</f>
        <v>34630</v>
      </c>
      <c r="L115" s="208">
        <v>1953</v>
      </c>
      <c r="M115" s="196">
        <f>IF($L115&gt;0,'Model Data Inputs'!$B$157-$L115,"")</f>
        <v>64</v>
      </c>
      <c r="N115" s="209">
        <v>19</v>
      </c>
      <c r="O115" s="198">
        <f>'School Level Inst. Resources'!$L115</f>
        <v>181.33333333333334</v>
      </c>
      <c r="P115" s="198">
        <f>IF($G115="T",SUMIFS('School Level ADM'!$S$5:$S$359,'School Level ADM'!$A$5:$A$359,$A115),0)</f>
        <v>2449.0836666666669</v>
      </c>
      <c r="Q115" s="199">
        <f t="shared" si="14"/>
        <v>7.4041297894954172E-2</v>
      </c>
      <c r="R115" s="200">
        <f>SUM((('School Level Inst. Resources'!I115/'Model Data Inputs'!$B$8)*(1+'Model Data Inputs'!$B$9)),(SUM('School Level Inst. Resources'!J115:K115)/'Model Data Inputs'!$C$8)*(1+'Model Data Inputs'!$C$9),'School Level Inst. Resources'!K115/400)</f>
        <v>12.088888888888889</v>
      </c>
      <c r="S115" s="200">
        <f t="shared" si="8"/>
        <v>12.088888888888889</v>
      </c>
      <c r="T115" s="201">
        <f>IF($G115="T",VLOOKUP($A115,'Total O &amp; M Resources'!$A$5:$K$52,3),0)</f>
        <v>20188521.479999993</v>
      </c>
      <c r="U115" s="202">
        <f>IF($G115="F",0,$S115/'Model Data Inputs'!$B$140)</f>
        <v>0.92991452991452994</v>
      </c>
      <c r="V115" s="202">
        <f>IF($G115="F",0,$O115/'Model Data Inputs'!$B$141)</f>
        <v>0.55794871794871803</v>
      </c>
      <c r="W115" s="202">
        <f>IF($G115="F",0,$N115/'Model Data Inputs'!$B$142)</f>
        <v>1.4615384615384615</v>
      </c>
      <c r="X115" s="202">
        <f>IF($G115="F",0,$K115/'Model Data Inputs'!$B$143)</f>
        <v>1.923888888888889</v>
      </c>
      <c r="Y115" s="202">
        <f t="shared" si="9"/>
        <v>1.2183226495726496</v>
      </c>
      <c r="Z115" s="202">
        <f>IF(OR($G115="F",$F115="E"),0,'Model Data Inputs'!$B$144)</f>
        <v>0</v>
      </c>
      <c r="AA115" s="202">
        <f>IF(AND($O115&lt;='Model Data Inputs'!$B$139,$F115="E"),0,IF(AND($O115&lt;='Model Data Inputs'!$B$139,$F115="M"),0,IF(AND($O115&lt;='Model Data Inputs'!$B$139,$F115="H"),0,IF(SUM($Y115:$Z115)&lt;1,1,SUM($Y115:$Z115)))))</f>
        <v>1.2183226495726496</v>
      </c>
      <c r="AB115" s="202">
        <f>($K115/'Model Data Inputs'!$B$143)*'Model Data Inputs'!$B$145</f>
        <v>0.19238888888888891</v>
      </c>
      <c r="AC115" s="202">
        <f t="shared" si="10"/>
        <v>1.4107115384615385</v>
      </c>
      <c r="AD115" s="202">
        <f>IF($G115="F",0,'Model Data Inputs'!$B$147)</f>
        <v>1.1000000000000001</v>
      </c>
      <c r="AE115" s="202">
        <f>IF($G115="F",0,($K115/'Model Data Inputs'!$B$148)*'Model Data Inputs'!$B$149)</f>
        <v>0.69259999999999999</v>
      </c>
      <c r="AF115" s="202">
        <f>IF($G115="F",0,($O115/'Model Data Inputs'!$B$150)*'Model Data Inputs'!$B$151)</f>
        <v>0.23573333333333335</v>
      </c>
      <c r="AG115" s="202">
        <f>IF($G115="F",0,(($Q115*$T115)/'Model Data Inputs'!$B$152)*'Model Data Inputs'!$B$153)</f>
        <v>0.35874823991024657</v>
      </c>
      <c r="AH115" s="202">
        <f t="shared" si="11"/>
        <v>0.59677039331089499</v>
      </c>
      <c r="AI115" s="203">
        <f>IF(OR($G115="F",$F115="M",$F115="H"),0,($AH115*'Model Data Inputs'!$B$154)-$AH115)</f>
        <v>-0.11935407866217895</v>
      </c>
      <c r="AJ115" s="202">
        <f>IF(OR($G115="F",$F115="E",$F115="H"),0,($AH115*'Model Data Inputs'!$B$155)-$AH115)</f>
        <v>0</v>
      </c>
      <c r="AK115" s="203">
        <f>IF(OR($G115="F",$F115="E",$F115="M"),0,($AH115*'Model Data Inputs'!$B$156)-$AH115)</f>
        <v>0</v>
      </c>
      <c r="AL115" s="203">
        <f>IF($G115="F",0,IF($M115&lt;'Model Data Inputs'!$B$158,$AH115*('Model Data Inputs'!$B$159-1),0))</f>
        <v>0</v>
      </c>
      <c r="AM115" s="202">
        <f>IF($G115="F",0,IF($M115&gt;'Model Data Inputs'!$B$160,$AH115*('Model Data Inputs'!$B$161-1),0))</f>
        <v>5.9677039331089553E-2</v>
      </c>
      <c r="AN115" s="202">
        <f>IF($G115="F",0,IF($P115&lt;'Model Data Inputs'!$B$162,SUM($AH115,$AI115,$AJ115,$AK115,$AL115,$AM115)*('Model Data Inputs'!$B$163-1),0))</f>
        <v>0</v>
      </c>
      <c r="AO115" s="202">
        <f t="shared" si="12"/>
        <v>0.53709335397980562</v>
      </c>
      <c r="AP115" s="204">
        <f>$K115*'Model Data Inputs'!$B$166</f>
        <v>23202.100000000002</v>
      </c>
      <c r="AQ115" s="204">
        <f>($K115*'Model Data Inputs'!$B$145)*'Model Data Inputs'!$B$166</f>
        <v>2320.21</v>
      </c>
      <c r="AR115" s="50">
        <f t="shared" si="13"/>
        <v>25522.31</v>
      </c>
    </row>
    <row r="116" spans="1:44" x14ac:dyDescent="0.2">
      <c r="A116" s="227" t="str">
        <f>'School Level Inst. Resources'!A116</f>
        <v>0725000</v>
      </c>
      <c r="B116" s="227" t="str">
        <f>'School Level Inst. Resources'!B116</f>
        <v>Fremont #25</v>
      </c>
      <c r="C116" s="227" t="str">
        <f>'School Level Inst. Resources'!C116</f>
        <v>0725007</v>
      </c>
      <c r="D116" s="227" t="str">
        <f>'School Level Inst. Resources'!D116</f>
        <v>Rendezvous Elementary</v>
      </c>
      <c r="E116" s="228" t="str">
        <f>'School Level Inst. Resources'!E116</f>
        <v>4-5</v>
      </c>
      <c r="F116" s="229" t="str">
        <f>'School Level Inst. Resources'!H116</f>
        <v>E</v>
      </c>
      <c r="G116" s="229" t="s">
        <v>1158</v>
      </c>
      <c r="H116" s="207">
        <v>83791</v>
      </c>
      <c r="I116" s="207">
        <f>IF('SFD Allowable GSF Calculation'!$D$2=1,'SFD Allowable GSF Calculation'!$P116,'SFD Allowable GSF Calculation'!$X116)</f>
        <v>52819</v>
      </c>
      <c r="J116" s="194">
        <f>$I116*'Model Data Inputs'!$B$165</f>
        <v>60741.85</v>
      </c>
      <c r="K116" s="194">
        <f>IF($L116&gt;='Model Data Inputs'!$B$164,$H116,MIN($H116,$J116))</f>
        <v>60741.85</v>
      </c>
      <c r="L116" s="208">
        <v>1959</v>
      </c>
      <c r="M116" s="196">
        <f>IF($L116&gt;0,'Model Data Inputs'!$B$157-$L116,"")</f>
        <v>58</v>
      </c>
      <c r="N116" s="209">
        <v>51</v>
      </c>
      <c r="O116" s="198">
        <f>'School Level Inst. Resources'!$L116</f>
        <v>388.2166666666667</v>
      </c>
      <c r="P116" s="198">
        <f>IF($G116="T",SUMIFS('School Level ADM'!$S$5:$S$359,'School Level ADM'!$A$5:$A$359,$A116),0)</f>
        <v>2449.0836666666669</v>
      </c>
      <c r="Q116" s="199">
        <f t="shared" si="14"/>
        <v>0.15851506910543822</v>
      </c>
      <c r="R116" s="200">
        <f>SUM((('School Level Inst. Resources'!I116/'Model Data Inputs'!$B$8)*(1+'Model Data Inputs'!$B$9)),(SUM('School Level Inst. Resources'!J116:K116)/'Model Data Inputs'!$C$8)*(1+'Model Data Inputs'!$C$9),'School Level Inst. Resources'!K116/400)</f>
        <v>25.88111111111111</v>
      </c>
      <c r="S116" s="200">
        <f t="shared" si="8"/>
        <v>25.88111111111111</v>
      </c>
      <c r="T116" s="201">
        <f>IF($G116="T",VLOOKUP($A116,'Total O &amp; M Resources'!$A$5:$K$52,3),0)</f>
        <v>20188521.479999993</v>
      </c>
      <c r="U116" s="202">
        <f>IF($G116="F",0,$S116/'Model Data Inputs'!$B$140)</f>
        <v>1.9908547008547008</v>
      </c>
      <c r="V116" s="202">
        <f>IF($G116="F",0,$O116/'Model Data Inputs'!$B$141)</f>
        <v>1.1945128205128206</v>
      </c>
      <c r="W116" s="202">
        <f>IF($G116="F",0,$N116/'Model Data Inputs'!$B$142)</f>
        <v>3.9230769230769229</v>
      </c>
      <c r="X116" s="202">
        <f>IF($G116="F",0,$K116/'Model Data Inputs'!$B$143)</f>
        <v>3.3745472222222221</v>
      </c>
      <c r="Y116" s="202">
        <f t="shared" si="9"/>
        <v>2.6207479166666667</v>
      </c>
      <c r="Z116" s="202">
        <f>IF(OR($G116="F",$F116="E"),0,'Model Data Inputs'!$B$144)</f>
        <v>0</v>
      </c>
      <c r="AA116" s="202">
        <f>IF(AND($O116&lt;='Model Data Inputs'!$B$139,$F116="E"),0,IF(AND($O116&lt;='Model Data Inputs'!$B$139,$F116="M"),0,IF(AND($O116&lt;='Model Data Inputs'!$B$139,$F116="H"),0,IF(SUM($Y116:$Z116)&lt;1,1,SUM($Y116:$Z116)))))</f>
        <v>2.6207479166666667</v>
      </c>
      <c r="AB116" s="202">
        <f>($K116/'Model Data Inputs'!$B$143)*'Model Data Inputs'!$B$145</f>
        <v>0.33745472222222223</v>
      </c>
      <c r="AC116" s="202">
        <f t="shared" si="10"/>
        <v>2.9582026388888889</v>
      </c>
      <c r="AD116" s="202">
        <f>IF($G116="F",0,'Model Data Inputs'!$B$147)</f>
        <v>1.1000000000000001</v>
      </c>
      <c r="AE116" s="202">
        <f>IF($G116="F",0,($K116/'Model Data Inputs'!$B$148)*'Model Data Inputs'!$B$149)</f>
        <v>1.2148369999999999</v>
      </c>
      <c r="AF116" s="202">
        <f>IF($G116="F",0,($O116/'Model Data Inputs'!$B$150)*'Model Data Inputs'!$B$151)</f>
        <v>0.5046816666666667</v>
      </c>
      <c r="AG116" s="202">
        <f>IF($G116="F",0,(($Q116*$T116)/'Model Data Inputs'!$B$152)*'Model Data Inputs'!$B$153)</f>
        <v>0.76804437060931741</v>
      </c>
      <c r="AH116" s="202">
        <f t="shared" si="11"/>
        <v>0.89689075931899587</v>
      </c>
      <c r="AI116" s="203">
        <f>IF(OR($G116="F",$F116="M",$F116="H"),0,($AH116*'Model Data Inputs'!$B$154)-$AH116)</f>
        <v>-0.17937815186379913</v>
      </c>
      <c r="AJ116" s="202">
        <f>IF(OR($G116="F",$F116="E",$F116="H"),0,($AH116*'Model Data Inputs'!$B$155)-$AH116)</f>
        <v>0</v>
      </c>
      <c r="AK116" s="203">
        <f>IF(OR($G116="F",$F116="E",$F116="M"),0,($AH116*'Model Data Inputs'!$B$156)-$AH116)</f>
        <v>0</v>
      </c>
      <c r="AL116" s="203">
        <f>IF($G116="F",0,IF($M116&lt;'Model Data Inputs'!$B$158,$AH116*('Model Data Inputs'!$B$159-1),0))</f>
        <v>0</v>
      </c>
      <c r="AM116" s="202">
        <f>IF($G116="F",0,IF($M116&gt;'Model Data Inputs'!$B$160,$AH116*('Model Data Inputs'!$B$161-1),0))</f>
        <v>8.9689075931899662E-2</v>
      </c>
      <c r="AN116" s="202">
        <f>IF($G116="F",0,IF($P116&lt;'Model Data Inputs'!$B$162,SUM($AH116,$AI116,$AJ116,$AK116,$AL116,$AM116)*('Model Data Inputs'!$B$163-1),0))</f>
        <v>0</v>
      </c>
      <c r="AO116" s="202">
        <f t="shared" si="12"/>
        <v>0.80720168338709641</v>
      </c>
      <c r="AP116" s="204">
        <f>$K116*'Model Data Inputs'!$B$166</f>
        <v>40697.039499999999</v>
      </c>
      <c r="AQ116" s="204">
        <f>($K116*'Model Data Inputs'!$B$145)*'Model Data Inputs'!$B$166</f>
        <v>4069.7039500000005</v>
      </c>
      <c r="AR116" s="50">
        <f t="shared" si="13"/>
        <v>44766.743450000002</v>
      </c>
    </row>
    <row r="117" spans="1:44" x14ac:dyDescent="0.2">
      <c r="A117" s="227" t="str">
        <f>'School Level Inst. Resources'!A117</f>
        <v>0725000</v>
      </c>
      <c r="B117" s="227" t="str">
        <f>'School Level Inst. Resources'!B117</f>
        <v>Fremont #25</v>
      </c>
      <c r="C117" s="227" t="str">
        <f>'School Level Inst. Resources'!C117</f>
        <v>0725008</v>
      </c>
      <c r="D117" s="227" t="str">
        <f>'School Level Inst. Resources'!D117</f>
        <v>Jackson Elementary</v>
      </c>
      <c r="E117" s="228" t="str">
        <f>'School Level Inst. Resources'!E117</f>
        <v>1-3</v>
      </c>
      <c r="F117" s="229" t="str">
        <f>'School Level Inst. Resources'!H117</f>
        <v>E</v>
      </c>
      <c r="G117" s="229" t="s">
        <v>1158</v>
      </c>
      <c r="H117" s="207">
        <v>32794</v>
      </c>
      <c r="I117" s="207">
        <f>IF('SFD Allowable GSF Calculation'!$D$2=1,'SFD Allowable GSF Calculation'!$P117,'SFD Allowable GSF Calculation'!$X117)</f>
        <v>31852</v>
      </c>
      <c r="J117" s="194">
        <f>$I117*'Model Data Inputs'!$B$165</f>
        <v>36629.799999999996</v>
      </c>
      <c r="K117" s="194">
        <f>IF($L117&gt;='Model Data Inputs'!$B$164,$H117,MIN($H117,$J117))</f>
        <v>32794</v>
      </c>
      <c r="L117" s="208">
        <v>1960</v>
      </c>
      <c r="M117" s="196">
        <f>IF($L117&gt;0,'Model Data Inputs'!$B$157-$L117,"")</f>
        <v>57</v>
      </c>
      <c r="N117" s="209">
        <v>9</v>
      </c>
      <c r="O117" s="198">
        <f>'School Level Inst. Resources'!$L117</f>
        <v>172.86700000000002</v>
      </c>
      <c r="P117" s="198">
        <f>IF($G117="T",SUMIFS('School Level ADM'!$S$5:$S$359,'School Level ADM'!$A$5:$A$359,$A117),0)</f>
        <v>2449.0836666666669</v>
      </c>
      <c r="Q117" s="199">
        <f t="shared" si="14"/>
        <v>7.0584358694156496E-2</v>
      </c>
      <c r="R117" s="200">
        <f>SUM((('School Level Inst. Resources'!I117/'Model Data Inputs'!$B$8)*(1+'Model Data Inputs'!$B$9)),(SUM('School Level Inst. Resources'!J117:K117)/'Model Data Inputs'!$C$8)*(1+'Model Data Inputs'!$C$9),'School Level Inst. Resources'!K117/400)</f>
        <v>11.524466666666669</v>
      </c>
      <c r="S117" s="200">
        <f t="shared" si="8"/>
        <v>11.524466666666669</v>
      </c>
      <c r="T117" s="201">
        <f>IF($G117="T",VLOOKUP($A117,'Total O &amp; M Resources'!$A$5:$K$52,3),0)</f>
        <v>20188521.479999993</v>
      </c>
      <c r="U117" s="202">
        <f>IF($G117="F",0,$S117/'Model Data Inputs'!$B$140)</f>
        <v>0.88649743589743601</v>
      </c>
      <c r="V117" s="202">
        <f>IF($G117="F",0,$O117/'Model Data Inputs'!$B$141)</f>
        <v>0.53189846153846154</v>
      </c>
      <c r="W117" s="202">
        <f>IF($G117="F",0,$N117/'Model Data Inputs'!$B$142)</f>
        <v>0.69230769230769229</v>
      </c>
      <c r="X117" s="202">
        <f>IF($G117="F",0,$K117/'Model Data Inputs'!$B$143)</f>
        <v>1.8218888888888889</v>
      </c>
      <c r="Y117" s="202">
        <f t="shared" si="9"/>
        <v>0.98314811965811977</v>
      </c>
      <c r="Z117" s="202">
        <f>IF(OR($G117="F",$F117="E"),0,'Model Data Inputs'!$B$144)</f>
        <v>0</v>
      </c>
      <c r="AA117" s="202">
        <f>IF(AND($O117&lt;='Model Data Inputs'!$B$139,$F117="E"),0,IF(AND($O117&lt;='Model Data Inputs'!$B$139,$F117="M"),0,IF(AND($O117&lt;='Model Data Inputs'!$B$139,$F117="H"),0,IF(SUM($Y117:$Z117)&lt;1,1,SUM($Y117:$Z117)))))</f>
        <v>1</v>
      </c>
      <c r="AB117" s="202">
        <f>($K117/'Model Data Inputs'!$B$143)*'Model Data Inputs'!$B$145</f>
        <v>0.1821888888888889</v>
      </c>
      <c r="AC117" s="202">
        <f t="shared" si="10"/>
        <v>1.182188888888889</v>
      </c>
      <c r="AD117" s="202">
        <f>IF($G117="F",0,'Model Data Inputs'!$B$147)</f>
        <v>1.1000000000000001</v>
      </c>
      <c r="AE117" s="202">
        <f>IF($G117="F",0,($K117/'Model Data Inputs'!$B$148)*'Model Data Inputs'!$B$149)</f>
        <v>0.65587999999999991</v>
      </c>
      <c r="AF117" s="202">
        <f>IF($G117="F",0,($O117/'Model Data Inputs'!$B$150)*'Model Data Inputs'!$B$151)</f>
        <v>0.22472710000000004</v>
      </c>
      <c r="AG117" s="202">
        <f>IF($G117="F",0,(($Q117*$T117)/'Model Data Inputs'!$B$152)*'Model Data Inputs'!$B$153)</f>
        <v>0.34199852199576064</v>
      </c>
      <c r="AH117" s="202">
        <f t="shared" si="11"/>
        <v>0.58065140549894012</v>
      </c>
      <c r="AI117" s="203">
        <f>IF(OR($G117="F",$F117="M",$F117="H"),0,($AH117*'Model Data Inputs'!$B$154)-$AH117)</f>
        <v>-0.11613028109978801</v>
      </c>
      <c r="AJ117" s="202">
        <f>IF(OR($G117="F",$F117="E",$F117="H"),0,($AH117*'Model Data Inputs'!$B$155)-$AH117)</f>
        <v>0</v>
      </c>
      <c r="AK117" s="203">
        <f>IF(OR($G117="F",$F117="E",$F117="M"),0,($AH117*'Model Data Inputs'!$B$156)-$AH117)</f>
        <v>0</v>
      </c>
      <c r="AL117" s="203">
        <f>IF($G117="F",0,IF($M117&lt;'Model Data Inputs'!$B$158,$AH117*('Model Data Inputs'!$B$159-1),0))</f>
        <v>0</v>
      </c>
      <c r="AM117" s="202">
        <f>IF($G117="F",0,IF($M117&gt;'Model Data Inputs'!$B$160,$AH117*('Model Data Inputs'!$B$161-1),0))</f>
        <v>5.8065140549894062E-2</v>
      </c>
      <c r="AN117" s="202">
        <f>IF($G117="F",0,IF($P117&lt;'Model Data Inputs'!$B$162,SUM($AH117,$AI117,$AJ117,$AK117,$AL117,$AM117)*('Model Data Inputs'!$B$163-1),0))</f>
        <v>0</v>
      </c>
      <c r="AO117" s="202">
        <f t="shared" si="12"/>
        <v>0.52258626494904614</v>
      </c>
      <c r="AP117" s="204">
        <f>$K117*'Model Data Inputs'!$B$166</f>
        <v>21971.98</v>
      </c>
      <c r="AQ117" s="204">
        <f>($K117*'Model Data Inputs'!$B$145)*'Model Data Inputs'!$B$166</f>
        <v>2197.1980000000003</v>
      </c>
      <c r="AR117" s="50">
        <f t="shared" si="13"/>
        <v>24169.178</v>
      </c>
    </row>
    <row r="118" spans="1:44" x14ac:dyDescent="0.2">
      <c r="A118" s="227" t="str">
        <f>'School Level Inst. Resources'!A118</f>
        <v>0725000</v>
      </c>
      <c r="B118" s="227" t="str">
        <f>'School Level Inst. Resources'!B118</f>
        <v>Fremont #25</v>
      </c>
      <c r="C118" s="227" t="str">
        <f>'School Level Inst. Resources'!C118</f>
        <v>0725009</v>
      </c>
      <c r="D118" s="227" t="str">
        <f>'School Level Inst. Resources'!D118</f>
        <v>Aspen Early Learning Center</v>
      </c>
      <c r="E118" s="228" t="str">
        <f>'School Level Inst. Resources'!E118</f>
        <v>K</v>
      </c>
      <c r="F118" s="229" t="str">
        <f>'School Level Inst. Resources'!H118</f>
        <v>E</v>
      </c>
      <c r="G118" s="229" t="s">
        <v>1158</v>
      </c>
      <c r="H118" s="207">
        <v>57299</v>
      </c>
      <c r="I118" s="207">
        <f>IF('SFD Allowable GSF Calculation'!$D$2=1,'SFD Allowable GSF Calculation'!$P118,'SFD Allowable GSF Calculation'!$X118)</f>
        <v>28643</v>
      </c>
      <c r="J118" s="194">
        <f>$I118*'Model Data Inputs'!$B$165</f>
        <v>32939.449999999997</v>
      </c>
      <c r="K118" s="194">
        <f>IF($L118&gt;='Model Data Inputs'!$B$164,$H118,MIN($H118,$J118))</f>
        <v>57299</v>
      </c>
      <c r="L118" s="208">
        <v>2009</v>
      </c>
      <c r="M118" s="196">
        <f>IF($L118&gt;0,'Model Data Inputs'!$B$157-$L118,"")</f>
        <v>8</v>
      </c>
      <c r="N118" s="209">
        <v>30</v>
      </c>
      <c r="O118" s="198">
        <f>'School Level Inst. Resources'!$L118</f>
        <v>207.23066666666668</v>
      </c>
      <c r="P118" s="198">
        <f>IF($G118="T",SUMIFS('School Level ADM'!$S$5:$S$359,'School Level ADM'!$A$5:$A$359,$A118),0)</f>
        <v>2449.0836666666669</v>
      </c>
      <c r="Q118" s="199">
        <f t="shared" si="14"/>
        <v>8.4615592961231348E-2</v>
      </c>
      <c r="R118" s="200">
        <f>SUM((('School Level Inst. Resources'!I118/'Model Data Inputs'!$B$8)*(1+'Model Data Inputs'!$B$9)),(SUM('School Level Inst. Resources'!J118:K118)/'Model Data Inputs'!$C$8)*(1+'Model Data Inputs'!$C$9),'School Level Inst. Resources'!K118/400)</f>
        <v>13.815377777777778</v>
      </c>
      <c r="S118" s="200">
        <f t="shared" si="8"/>
        <v>13.815377777777778</v>
      </c>
      <c r="T118" s="201">
        <f>IF($G118="T",VLOOKUP($A118,'Total O &amp; M Resources'!$A$5:$K$52,3),0)</f>
        <v>20188521.479999993</v>
      </c>
      <c r="U118" s="202">
        <f>IF($G118="F",0,$S118/'Model Data Inputs'!$B$140)</f>
        <v>1.0627213675213676</v>
      </c>
      <c r="V118" s="202">
        <f>IF($G118="F",0,$O118/'Model Data Inputs'!$B$141)</f>
        <v>0.63763282051282055</v>
      </c>
      <c r="W118" s="202">
        <f>IF($G118="F",0,$N118/'Model Data Inputs'!$B$142)</f>
        <v>2.3076923076923075</v>
      </c>
      <c r="X118" s="202">
        <f>IF($G118="F",0,$K118/'Model Data Inputs'!$B$143)</f>
        <v>3.1832777777777777</v>
      </c>
      <c r="Y118" s="202">
        <f t="shared" si="9"/>
        <v>1.7978310683760683</v>
      </c>
      <c r="Z118" s="202">
        <f>IF(OR($G118="F",$F118="E"),0,'Model Data Inputs'!$B$144)</f>
        <v>0</v>
      </c>
      <c r="AA118" s="202">
        <f>IF(AND($O118&lt;='Model Data Inputs'!$B$139,$F118="E"),0,IF(AND($O118&lt;='Model Data Inputs'!$B$139,$F118="M"),0,IF(AND($O118&lt;='Model Data Inputs'!$B$139,$F118="H"),0,IF(SUM($Y118:$Z118)&lt;1,1,SUM($Y118:$Z118)))))</f>
        <v>1.7978310683760683</v>
      </c>
      <c r="AB118" s="202">
        <f>($K118/'Model Data Inputs'!$B$143)*'Model Data Inputs'!$B$145</f>
        <v>0.31832777777777777</v>
      </c>
      <c r="AC118" s="202">
        <f t="shared" si="10"/>
        <v>2.1161588461538461</v>
      </c>
      <c r="AD118" s="202">
        <f>IF($G118="F",0,'Model Data Inputs'!$B$147)</f>
        <v>1.1000000000000001</v>
      </c>
      <c r="AE118" s="202">
        <f>IF($G118="F",0,($K118/'Model Data Inputs'!$B$148)*'Model Data Inputs'!$B$149)</f>
        <v>1.14598</v>
      </c>
      <c r="AF118" s="202">
        <f>IF($G118="F",0,($O118/'Model Data Inputs'!$B$150)*'Model Data Inputs'!$B$151)</f>
        <v>0.26939986666666671</v>
      </c>
      <c r="AG118" s="202">
        <f>IF($G118="F",0,(($Q118*$T118)/'Model Data Inputs'!$B$152)*'Model Data Inputs'!$B$153)</f>
        <v>0.40998329184978127</v>
      </c>
      <c r="AH118" s="202">
        <f t="shared" si="11"/>
        <v>0.73134078962911209</v>
      </c>
      <c r="AI118" s="203">
        <f>IF(OR($G118="F",$F118="M",$F118="H"),0,($AH118*'Model Data Inputs'!$B$154)-$AH118)</f>
        <v>-0.14626815792582237</v>
      </c>
      <c r="AJ118" s="202">
        <f>IF(OR($G118="F",$F118="E",$F118="H"),0,($AH118*'Model Data Inputs'!$B$155)-$AH118)</f>
        <v>0</v>
      </c>
      <c r="AK118" s="203">
        <f>IF(OR($G118="F",$F118="E",$F118="M"),0,($AH118*'Model Data Inputs'!$B$156)-$AH118)</f>
        <v>0</v>
      </c>
      <c r="AL118" s="203">
        <f>IF($G118="F",0,IF($M118&lt;'Model Data Inputs'!$B$158,$AH118*('Model Data Inputs'!$B$159-1),0))</f>
        <v>-3.6567039481455635E-2</v>
      </c>
      <c r="AM118" s="202">
        <f>IF($G118="F",0,IF($M118&gt;'Model Data Inputs'!$B$160,$AH118*('Model Data Inputs'!$B$161-1),0))</f>
        <v>0</v>
      </c>
      <c r="AN118" s="202">
        <f>IF($G118="F",0,IF($P118&lt;'Model Data Inputs'!$B$162,SUM($AH118,$AI118,$AJ118,$AK118,$AL118,$AM118)*('Model Data Inputs'!$B$163-1),0))</f>
        <v>0</v>
      </c>
      <c r="AO118" s="202">
        <f t="shared" si="12"/>
        <v>0.54850559222183404</v>
      </c>
      <c r="AP118" s="204">
        <f>$K118*'Model Data Inputs'!$B$166</f>
        <v>38390.33</v>
      </c>
      <c r="AQ118" s="204">
        <f>($K118*'Model Data Inputs'!$B$145)*'Model Data Inputs'!$B$166</f>
        <v>3839.0330000000008</v>
      </c>
      <c r="AR118" s="50">
        <f t="shared" si="13"/>
        <v>42229.363000000005</v>
      </c>
    </row>
    <row r="119" spans="1:44" s="243" customFormat="1" x14ac:dyDescent="0.2">
      <c r="A119" s="227" t="str">
        <f>'School Level Inst. Resources'!A119</f>
        <v>0725000</v>
      </c>
      <c r="B119" s="227" t="str">
        <f>'School Level Inst. Resources'!B119</f>
        <v>Fremont #25</v>
      </c>
      <c r="C119" s="227" t="str">
        <f>'School Level Inst. Resources'!C119</f>
        <v>0725010</v>
      </c>
      <c r="D119" s="227" t="str">
        <f>'School Level Inst. Resources'!D119</f>
        <v>Willow Creek Elementary</v>
      </c>
      <c r="E119" s="228" t="str">
        <f>'School Level Inst. Resources'!E119</f>
        <v>1-3</v>
      </c>
      <c r="F119" s="229" t="str">
        <f>'School Level Inst. Resources'!H119</f>
        <v>E</v>
      </c>
      <c r="G119" s="229" t="s">
        <v>1158</v>
      </c>
      <c r="H119" s="207">
        <v>53698</v>
      </c>
      <c r="I119" s="207">
        <f>IF('SFD Allowable GSF Calculation'!$D$2=1,'SFD Allowable GSF Calculation'!$P119,'SFD Allowable GSF Calculation'!$X119)</f>
        <v>37392</v>
      </c>
      <c r="J119" s="235">
        <f>$I119*'Model Data Inputs'!$B$165</f>
        <v>43000.799999999996</v>
      </c>
      <c r="K119" s="235">
        <f>IF($L119&gt;='Model Data Inputs'!$B$164,$H119,MIN($H119,$J119))</f>
        <v>53698</v>
      </c>
      <c r="L119" s="208">
        <v>2016</v>
      </c>
      <c r="M119" s="196">
        <f>IF($L119&gt;0,'Model Data Inputs'!$B$157-$L119,"")</f>
        <v>1</v>
      </c>
      <c r="N119" s="209">
        <v>22</v>
      </c>
      <c r="O119" s="236">
        <f>'School Level Inst. Resources'!$L119</f>
        <v>219.78399999999999</v>
      </c>
      <c r="P119" s="236">
        <f>IF($G119="T",SUMIFS('School Level ADM'!$S$5:$S$359,'School Level ADM'!$A$5:$A$359,$A119),0)</f>
        <v>2449.0836666666669</v>
      </c>
      <c r="Q119" s="237">
        <f t="shared" si="14"/>
        <v>8.9741319576532766E-2</v>
      </c>
      <c r="R119" s="238">
        <f>SUM((('School Level Inst. Resources'!I119/'Model Data Inputs'!$B$8)*(1+'Model Data Inputs'!$B$9)),(SUM('School Level Inst. Resources'!J119:K119)/'Model Data Inputs'!$C$8)*(1+'Model Data Inputs'!$C$9),'School Level Inst. Resources'!K119/400)</f>
        <v>14.652266666666664</v>
      </c>
      <c r="S119" s="238">
        <f t="shared" si="8"/>
        <v>14.652266666666664</v>
      </c>
      <c r="T119" s="239">
        <f>IF($G119="T",VLOOKUP($A119,'Total O &amp; M Resources'!$A$5:$K$52,3),0)</f>
        <v>20188521.479999993</v>
      </c>
      <c r="U119" s="240">
        <f>IF($G119="F",0,$S119/'Model Data Inputs'!$B$140)</f>
        <v>1.1270974358974357</v>
      </c>
      <c r="V119" s="240">
        <f>IF($G119="F",0,$O119/'Model Data Inputs'!$B$141)</f>
        <v>0.67625846153846148</v>
      </c>
      <c r="W119" s="240">
        <f>IF($G119="F",0,$N119/'Model Data Inputs'!$B$142)</f>
        <v>1.6923076923076923</v>
      </c>
      <c r="X119" s="240">
        <f>IF($G119="F",0,$K119/'Model Data Inputs'!$B$143)</f>
        <v>2.9832222222222224</v>
      </c>
      <c r="Y119" s="240">
        <f t="shared" si="9"/>
        <v>1.619721452991453</v>
      </c>
      <c r="Z119" s="240">
        <f>IF(OR($G119="F",$F119="E"),0,'Model Data Inputs'!$B$144)</f>
        <v>0</v>
      </c>
      <c r="AA119" s="240">
        <f>IF(AND($O119&lt;='Model Data Inputs'!$B$139,$F119="E"),0,IF(AND($O119&lt;='Model Data Inputs'!$B$139,$F119="M"),0,IF(AND($O119&lt;='Model Data Inputs'!$B$139,$F119="H"),0,IF(SUM($Y119:$Z119)&lt;1,1,SUM($Y119:$Z119)))))</f>
        <v>1.619721452991453</v>
      </c>
      <c r="AB119" s="240">
        <f>($K119/'Model Data Inputs'!$B$143)*'Model Data Inputs'!$B$145</f>
        <v>0.29832222222222227</v>
      </c>
      <c r="AC119" s="240">
        <f t="shared" si="10"/>
        <v>1.9180436752136751</v>
      </c>
      <c r="AD119" s="240">
        <f>IF($G119="F",0,'Model Data Inputs'!$B$147)</f>
        <v>1.1000000000000001</v>
      </c>
      <c r="AE119" s="240">
        <f>IF($G119="F",0,($K119/'Model Data Inputs'!$B$148)*'Model Data Inputs'!$B$149)</f>
        <v>1.07396</v>
      </c>
      <c r="AF119" s="240">
        <f>IF($G119="F",0,($O119/'Model Data Inputs'!$B$150)*'Model Data Inputs'!$B$151)</f>
        <v>0.28571920000000001</v>
      </c>
      <c r="AG119" s="240">
        <f>IF($G119="F",0,(($Q119*$T119)/'Model Data Inputs'!$B$152)*'Model Data Inputs'!$B$153)</f>
        <v>0.43481869389945016</v>
      </c>
      <c r="AH119" s="240">
        <f t="shared" si="11"/>
        <v>0.72362447347486258</v>
      </c>
      <c r="AI119" s="241">
        <f>IF(OR($G119="F",$F119="M",$F119="H"),0,($AH119*'Model Data Inputs'!$B$154)-$AH119)</f>
        <v>-0.14472489469497252</v>
      </c>
      <c r="AJ119" s="240">
        <f>IF(OR($G119="F",$F119="E",$F119="H"),0,($AH119*'Model Data Inputs'!$B$155)-$AH119)</f>
        <v>0</v>
      </c>
      <c r="AK119" s="241">
        <f>IF(OR($G119="F",$F119="E",$F119="M"),0,($AH119*'Model Data Inputs'!$B$156)-$AH119)</f>
        <v>0</v>
      </c>
      <c r="AL119" s="241">
        <f>IF($G119="F",0,IF($M119&lt;'Model Data Inputs'!$B$158,$AH119*('Model Data Inputs'!$B$159-1),0))</f>
        <v>-3.6181223673743164E-2</v>
      </c>
      <c r="AM119" s="240">
        <f>IF($G119="F",0,IF($M119&gt;'Model Data Inputs'!$B$160,$AH119*('Model Data Inputs'!$B$161-1),0))</f>
        <v>0</v>
      </c>
      <c r="AN119" s="240">
        <f>IF($G119="F",0,IF($P119&lt;'Model Data Inputs'!$B$162,SUM($AH119,$AI119,$AJ119,$AK119,$AL119,$AM119)*('Model Data Inputs'!$B$163-1),0))</f>
        <v>0</v>
      </c>
      <c r="AO119" s="240">
        <f t="shared" si="12"/>
        <v>0.54271835510614685</v>
      </c>
      <c r="AP119" s="242">
        <f>$K119*'Model Data Inputs'!$B$166</f>
        <v>35977.660000000003</v>
      </c>
      <c r="AQ119" s="242">
        <f>($K119*'Model Data Inputs'!$B$145)*'Model Data Inputs'!$B$166</f>
        <v>3597.7660000000005</v>
      </c>
      <c r="AR119" s="52">
        <f t="shared" si="13"/>
        <v>39575.426000000007</v>
      </c>
    </row>
    <row r="120" spans="1:44" x14ac:dyDescent="0.2">
      <c r="A120" s="227" t="str">
        <f>'School Level Inst. Resources'!A120</f>
        <v>0725000</v>
      </c>
      <c r="B120" s="227" t="str">
        <f>'School Level Inst. Resources'!B120</f>
        <v>Fremont #25</v>
      </c>
      <c r="C120" s="227" t="str">
        <f>'School Level Inst. Resources'!C120</f>
        <v>0725050</v>
      </c>
      <c r="D120" s="227" t="str">
        <f>'School Level Inst. Resources'!D120</f>
        <v>Riverton Middle School</v>
      </c>
      <c r="E120" s="228" t="str">
        <f>'School Level Inst. Resources'!E120</f>
        <v>6-8</v>
      </c>
      <c r="F120" s="229" t="str">
        <f>'School Level Inst. Resources'!H120</f>
        <v>M</v>
      </c>
      <c r="G120" s="229" t="s">
        <v>1158</v>
      </c>
      <c r="H120" s="207">
        <v>118133</v>
      </c>
      <c r="I120" s="244">
        <f>IF('SFD Allowable GSF Calculation'!$D$2=1,'SFD Allowable GSF Calculation'!$P120,'SFD Allowable GSF Calculation'!$X120)</f>
        <v>86277</v>
      </c>
      <c r="J120" s="194">
        <f>$I120*'Model Data Inputs'!$B$165</f>
        <v>99218.549999999988</v>
      </c>
      <c r="K120" s="194">
        <f>IF($L120&gt;='Model Data Inputs'!$B$164,$H120,MIN($H120,$J120))</f>
        <v>118133</v>
      </c>
      <c r="L120" s="208">
        <v>2002</v>
      </c>
      <c r="M120" s="196">
        <f>IF($L120&gt;0,'Model Data Inputs'!$B$157-$L120,"")</f>
        <v>15</v>
      </c>
      <c r="N120" s="209">
        <v>46</v>
      </c>
      <c r="O120" s="198">
        <f>'School Level Inst. Resources'!$L120</f>
        <v>544.75233333333335</v>
      </c>
      <c r="P120" s="198">
        <f>IF($G120="T",SUMIFS('School Level ADM'!$S$5:$S$359,'School Level ADM'!$A$5:$A$359,$A120),0)</f>
        <v>2449.0836666666669</v>
      </c>
      <c r="Q120" s="199">
        <f t="shared" si="14"/>
        <v>0.22243108340793039</v>
      </c>
      <c r="R120" s="200">
        <f>SUM((('School Level Inst. Resources'!I120/'Model Data Inputs'!$B$8)*(1+'Model Data Inputs'!$B$9)),(SUM('School Level Inst. Resources'!J120:K120)/'Model Data Inputs'!$C$8)*(1+'Model Data Inputs'!$C$9),'School Level Inst. Resources'!K120/400)</f>
        <v>31.571950449275363</v>
      </c>
      <c r="S120" s="200">
        <f t="shared" si="8"/>
        <v>31.571950449275363</v>
      </c>
      <c r="T120" s="201">
        <f>IF($G120="T",VLOOKUP($A120,'Total O &amp; M Resources'!$A$5:$K$52,3),0)</f>
        <v>20188521.479999993</v>
      </c>
      <c r="U120" s="202">
        <f>IF($G120="F",0,$S120/'Model Data Inputs'!$B$140)</f>
        <v>2.4286115730211817</v>
      </c>
      <c r="V120" s="202">
        <f>IF($G120="F",0,$O120/'Model Data Inputs'!$B$141)</f>
        <v>1.6761610256410258</v>
      </c>
      <c r="W120" s="202">
        <f>IF($G120="F",0,$N120/'Model Data Inputs'!$B$142)</f>
        <v>3.5384615384615383</v>
      </c>
      <c r="X120" s="202">
        <f>IF($G120="F",0,$K120/'Model Data Inputs'!$B$143)</f>
        <v>6.5629444444444447</v>
      </c>
      <c r="Y120" s="202">
        <f t="shared" si="9"/>
        <v>3.5515446453920476</v>
      </c>
      <c r="Z120" s="202">
        <f>IF(OR($G120="F",$F120="E"),0,'Model Data Inputs'!$B$144)</f>
        <v>0.5</v>
      </c>
      <c r="AA120" s="202">
        <f>IF(AND($O120&lt;='Model Data Inputs'!$B$139,$F120="E"),0,IF(AND($O120&lt;='Model Data Inputs'!$B$139,$F120="M"),0,IF(AND($O120&lt;='Model Data Inputs'!$B$139,$F120="H"),0,IF(SUM($Y120:$Z120)&lt;1,1,SUM($Y120:$Z120)))))</f>
        <v>4.0515446453920472</v>
      </c>
      <c r="AB120" s="202">
        <f>($K120/'Model Data Inputs'!$B$143)*'Model Data Inputs'!$B$145</f>
        <v>0.65629444444444451</v>
      </c>
      <c r="AC120" s="202">
        <f t="shared" si="10"/>
        <v>4.7078390898364919</v>
      </c>
      <c r="AD120" s="202">
        <f>IF($G120="F",0,'Model Data Inputs'!$B$147)</f>
        <v>1.1000000000000001</v>
      </c>
      <c r="AE120" s="202">
        <f>IF($G120="F",0,($K120/'Model Data Inputs'!$B$148)*'Model Data Inputs'!$B$149)</f>
        <v>2.36266</v>
      </c>
      <c r="AF120" s="202">
        <f>IF($G120="F",0,($O120/'Model Data Inputs'!$B$150)*'Model Data Inputs'!$B$151)</f>
        <v>0.7081780333333334</v>
      </c>
      <c r="AG120" s="202">
        <f>IF($G120="F",0,(($Q120*$T120)/'Model Data Inputs'!$B$152)*'Model Data Inputs'!$B$153)</f>
        <v>1.0777331292481616</v>
      </c>
      <c r="AH120" s="202">
        <f t="shared" si="11"/>
        <v>1.3121427906453738</v>
      </c>
      <c r="AI120" s="203">
        <f>IF(OR($G120="F",$F120="M",$F120="H"),0,($AH120*'Model Data Inputs'!$B$154)-$AH120)</f>
        <v>0</v>
      </c>
      <c r="AJ120" s="202">
        <f>IF(OR($G120="F",$F120="E",$F120="H"),0,($AH120*'Model Data Inputs'!$B$155)-$AH120)</f>
        <v>0</v>
      </c>
      <c r="AK120" s="203">
        <f>IF(OR($G120="F",$F120="E",$F120="M"),0,($AH120*'Model Data Inputs'!$B$156)-$AH120)</f>
        <v>0</v>
      </c>
      <c r="AL120" s="203">
        <f>IF($G120="F",0,IF($M120&lt;'Model Data Inputs'!$B$158,$AH120*('Model Data Inputs'!$B$159-1),0))</f>
        <v>0</v>
      </c>
      <c r="AM120" s="202">
        <f>IF($G120="F",0,IF($M120&gt;'Model Data Inputs'!$B$160,$AH120*('Model Data Inputs'!$B$161-1),0))</f>
        <v>0</v>
      </c>
      <c r="AN120" s="202">
        <f>IF($G120="F",0,IF($P120&lt;'Model Data Inputs'!$B$162,SUM($AH120,$AI120,$AJ120,$AK120,$AL120,$AM120)*('Model Data Inputs'!$B$163-1),0))</f>
        <v>0</v>
      </c>
      <c r="AO120" s="202">
        <f t="shared" si="12"/>
        <v>1.3121427906453738</v>
      </c>
      <c r="AP120" s="204">
        <f>$K120*'Model Data Inputs'!$B$166</f>
        <v>79149.11</v>
      </c>
      <c r="AQ120" s="204">
        <f>($K120*'Model Data Inputs'!$B$145)*'Model Data Inputs'!$B$166</f>
        <v>7914.911000000001</v>
      </c>
      <c r="AR120" s="50">
        <f t="shared" si="13"/>
        <v>87064.021000000008</v>
      </c>
    </row>
    <row r="121" spans="1:44" s="255" customFormat="1" x14ac:dyDescent="0.2">
      <c r="A121" s="227" t="str">
        <f>'School Level Inst. Resources'!A121</f>
        <v>0725000</v>
      </c>
      <c r="B121" s="227" t="str">
        <f>'School Level Inst. Resources'!B121</f>
        <v>Fremont #25</v>
      </c>
      <c r="C121" s="227" t="str">
        <f>'School Level Inst. Resources'!C121</f>
        <v>0725056</v>
      </c>
      <c r="D121" s="227" t="str">
        <f>'School Level Inst. Resources'!D121</f>
        <v>Riverton High School</v>
      </c>
      <c r="E121" s="228" t="str">
        <f>'School Level Inst. Resources'!E121</f>
        <v>9-12</v>
      </c>
      <c r="F121" s="245" t="str">
        <f>'School Level Inst. Resources'!H121</f>
        <v>H</v>
      </c>
      <c r="G121" s="245" t="s">
        <v>1158</v>
      </c>
      <c r="H121" s="207">
        <v>230305</v>
      </c>
      <c r="I121" s="207">
        <f>IF('SFD Allowable GSF Calculation'!$D$2=1,'SFD Allowable GSF Calculation'!$P121,'SFD Allowable GSF Calculation'!$X121)</f>
        <v>133470</v>
      </c>
      <c r="J121" s="246">
        <f>$I121*'Model Data Inputs'!$B$165</f>
        <v>153490.5</v>
      </c>
      <c r="K121" s="246">
        <f>IF($L121&gt;='Model Data Inputs'!$B$164,$H121,MIN($H121,$J121))</f>
        <v>153490.5</v>
      </c>
      <c r="L121" s="208">
        <v>1981</v>
      </c>
      <c r="M121" s="196">
        <f>IF($L121&gt;0,'Model Data Inputs'!$B$157-$L121,"")</f>
        <v>36</v>
      </c>
      <c r="N121" s="209">
        <v>75</v>
      </c>
      <c r="O121" s="247">
        <f>'School Level Inst. Resources'!$L121</f>
        <v>705.03400000000011</v>
      </c>
      <c r="P121" s="247">
        <f>IF($G121="T",SUMIFS('School Level ADM'!$S$5:$S$359,'School Level ADM'!$A$5:$A$359,$A121),0)</f>
        <v>2449.0836666666669</v>
      </c>
      <c r="Q121" s="248">
        <f t="shared" si="14"/>
        <v>0.28787664937539226</v>
      </c>
      <c r="R121" s="249">
        <f>SUM((('School Level Inst. Resources'!I121/'Model Data Inputs'!$B$8)*(1+'Model Data Inputs'!$B$9)),(SUM('School Level Inst. Resources'!J121:K121)/'Model Data Inputs'!$C$8)*(1+'Model Data Inputs'!$C$9),'School Level Inst. Resources'!K121/400)</f>
        <v>42.623903347826094</v>
      </c>
      <c r="S121" s="249">
        <f t="shared" si="8"/>
        <v>42.623903347826094</v>
      </c>
      <c r="T121" s="250">
        <f>IF($G121="T",VLOOKUP($A121,'Total O &amp; M Resources'!$A$5:$K$52,3),0)</f>
        <v>20188521.479999993</v>
      </c>
      <c r="U121" s="251">
        <f>IF($G121="F",0,$S121/'Model Data Inputs'!$B$140)</f>
        <v>3.2787617959866227</v>
      </c>
      <c r="V121" s="251">
        <f>IF($G121="F",0,$O121/'Model Data Inputs'!$B$141)</f>
        <v>2.1693353846153851</v>
      </c>
      <c r="W121" s="251">
        <f>IF($G121="F",0,$N121/'Model Data Inputs'!$B$142)</f>
        <v>5.7692307692307692</v>
      </c>
      <c r="X121" s="251">
        <f>IF($G121="F",0,$K121/'Model Data Inputs'!$B$143)</f>
        <v>8.5272500000000004</v>
      </c>
      <c r="Y121" s="251">
        <f t="shared" si="9"/>
        <v>4.9361444874581943</v>
      </c>
      <c r="Z121" s="251">
        <f>IF(OR($G121="F",$F121="E"),0,'Model Data Inputs'!$B$144)</f>
        <v>0.5</v>
      </c>
      <c r="AA121" s="251">
        <f>IF(AND($O121&lt;='Model Data Inputs'!$B$139,$F121="E"),0,IF(AND($O121&lt;='Model Data Inputs'!$B$139,$F121="M"),0,IF(AND($O121&lt;='Model Data Inputs'!$B$139,$F121="H"),0,IF(SUM($Y121:$Z121)&lt;1,1,SUM($Y121:$Z121)))))</f>
        <v>5.4361444874581943</v>
      </c>
      <c r="AB121" s="251">
        <f>($K121/'Model Data Inputs'!$B$143)*'Model Data Inputs'!$B$145</f>
        <v>0.85272500000000007</v>
      </c>
      <c r="AC121" s="251">
        <f t="shared" si="10"/>
        <v>6.2888694874581947</v>
      </c>
      <c r="AD121" s="251">
        <f>IF($G121="F",0,'Model Data Inputs'!$B$147)</f>
        <v>1.1000000000000001</v>
      </c>
      <c r="AE121" s="251">
        <f>IF($G121="F",0,($K121/'Model Data Inputs'!$B$148)*'Model Data Inputs'!$B$149)</f>
        <v>3.0698099999999999</v>
      </c>
      <c r="AF121" s="251">
        <f>IF($G121="F",0,($O121/'Model Data Inputs'!$B$150)*'Model Data Inputs'!$B$151)</f>
        <v>0.91654420000000025</v>
      </c>
      <c r="AG121" s="251">
        <f>IF($G121="F",0,(($Q121*$T121)/'Model Data Inputs'!$B$152)*'Model Data Inputs'!$B$153)</f>
        <v>1.3948329406813278</v>
      </c>
      <c r="AH121" s="251">
        <f t="shared" si="11"/>
        <v>1.620296785170332</v>
      </c>
      <c r="AI121" s="252">
        <f>IF(OR($G121="F",$F121="M",$F121="H"),0,($AH121*'Model Data Inputs'!$B$154)-$AH121)</f>
        <v>0</v>
      </c>
      <c r="AJ121" s="251">
        <f>IF(OR($G121="F",$F121="E",$F121="H"),0,($AH121*'Model Data Inputs'!$B$155)-$AH121)</f>
        <v>0</v>
      </c>
      <c r="AK121" s="252">
        <f>IF(OR($G121="F",$F121="E",$F121="M"),0,($AH121*'Model Data Inputs'!$B$156)-$AH121)</f>
        <v>1.620296785170332</v>
      </c>
      <c r="AL121" s="252">
        <f>IF($G121="F",0,IF($M121&lt;'Model Data Inputs'!$B$158,$AH121*('Model Data Inputs'!$B$159-1),0))</f>
        <v>0</v>
      </c>
      <c r="AM121" s="251">
        <f>IF($G121="F",0,IF($M121&gt;'Model Data Inputs'!$B$160,$AH121*('Model Data Inputs'!$B$161-1),0))</f>
        <v>0.16202967851703334</v>
      </c>
      <c r="AN121" s="251">
        <f>IF($G121="F",0,IF($P121&lt;'Model Data Inputs'!$B$162,SUM($AH121,$AI121,$AJ121,$AK121,$AL121,$AM121)*('Model Data Inputs'!$B$163-1),0))</f>
        <v>0</v>
      </c>
      <c r="AO121" s="251">
        <f t="shared" si="12"/>
        <v>3.4026232488576973</v>
      </c>
      <c r="AP121" s="253">
        <f>$K121*'Model Data Inputs'!$B$166</f>
        <v>102838.63500000001</v>
      </c>
      <c r="AQ121" s="253">
        <f>($K121*'Model Data Inputs'!$B$145)*'Model Data Inputs'!$B$166</f>
        <v>10283.863500000001</v>
      </c>
      <c r="AR121" s="254">
        <f t="shared" si="13"/>
        <v>113122.49850000002</v>
      </c>
    </row>
    <row r="122" spans="1:44" s="255" customFormat="1" x14ac:dyDescent="0.2">
      <c r="A122" s="227" t="str">
        <f>'School Level Inst. Resources'!A122</f>
        <v>0725000</v>
      </c>
      <c r="B122" s="227" t="str">
        <f>'School Level Inst. Resources'!B122</f>
        <v>Fremont #25</v>
      </c>
      <c r="C122" s="227" t="str">
        <f>'School Level Inst. Resources'!C122</f>
        <v>0725057</v>
      </c>
      <c r="D122" s="227" t="str">
        <f>'School Level Inst. Resources'!D122</f>
        <v>Frontier Academy</v>
      </c>
      <c r="E122" s="228" t="str">
        <f>'School Level Inst. Resources'!E122</f>
        <v>9-12</v>
      </c>
      <c r="F122" s="245" t="str">
        <f>'School Level Inst. Resources'!H122</f>
        <v>H</v>
      </c>
      <c r="G122" s="245" t="s">
        <v>1158</v>
      </c>
      <c r="H122" s="207">
        <v>64825</v>
      </c>
      <c r="I122" s="207">
        <f>IF('SFD Allowable GSF Calculation'!$D$2=1,'SFD Allowable GSF Calculation'!$P122,'SFD Allowable GSF Calculation'!$X122)</f>
        <v>11449</v>
      </c>
      <c r="J122" s="246">
        <f>$I122*'Model Data Inputs'!$B$165</f>
        <v>13166.349999999999</v>
      </c>
      <c r="K122" s="246">
        <f>IF($L122&gt;='Model Data Inputs'!$B$164,$H122,MIN($H122,$J122))</f>
        <v>13166.349999999999</v>
      </c>
      <c r="L122" s="208">
        <v>1949</v>
      </c>
      <c r="M122" s="196">
        <f>IF($L122&gt;0,'Model Data Inputs'!$B$157-$L122,"")</f>
        <v>68</v>
      </c>
      <c r="N122" s="209">
        <v>7</v>
      </c>
      <c r="O122" s="198">
        <f>'School Level Inst. Resources'!$L122</f>
        <v>29.865666666666662</v>
      </c>
      <c r="P122" s="247">
        <f>IF($G122="T",SUMIFS('School Level ADM'!$S$5:$S$359,'School Level ADM'!$A$5:$A$359,$A122),0)</f>
        <v>2449.0836666666669</v>
      </c>
      <c r="Q122" s="248">
        <f t="shared" si="14"/>
        <v>1.2194628984364353E-2</v>
      </c>
      <c r="R122" s="256">
        <f>SUM((('School Level Inst. Resources'!I122/'Model Data Inputs'!$B$8)*(1+'Model Data Inputs'!$B$9)),(SUM('School Level Inst. Resources'!J122:K122)/'Model Data Inputs'!$C$8)*(1+'Model Data Inputs'!$C$9),'School Level Inst. Resources'!K122/400)</f>
        <v>1.8055743260869563</v>
      </c>
      <c r="S122" s="256">
        <f t="shared" si="8"/>
        <v>1.8055743260869563</v>
      </c>
      <c r="T122" s="250">
        <f>IF($G122="T",VLOOKUP($A122,'Total O &amp; M Resources'!$A$5:$K$52,3),0)</f>
        <v>20188521.479999993</v>
      </c>
      <c r="U122" s="251">
        <f>IF($G122="F",0,$S122/'Model Data Inputs'!$B$140)</f>
        <v>0.13889033277591972</v>
      </c>
      <c r="V122" s="251">
        <f>IF($G122="F",0,$O122/'Model Data Inputs'!$B$141)</f>
        <v>9.1894358974358964E-2</v>
      </c>
      <c r="W122" s="251">
        <f>IF($G122="F",0,$N122/'Model Data Inputs'!$B$142)</f>
        <v>0.53846153846153844</v>
      </c>
      <c r="X122" s="251">
        <f>IF($G122="F",0,$K122/'Model Data Inputs'!$B$143)</f>
        <v>0.7314638888888888</v>
      </c>
      <c r="Y122" s="251">
        <f t="shared" si="9"/>
        <v>0.37517752977517649</v>
      </c>
      <c r="Z122" s="251">
        <f>IF(OR($G122="F",$F122="E"),0,'Model Data Inputs'!$B$144)</f>
        <v>0.5</v>
      </c>
      <c r="AA122" s="251">
        <f>IF(AND($O122&lt;='Model Data Inputs'!$B$139,$F122="E"),0,IF(AND($O122&lt;='Model Data Inputs'!$B$139,$F122="M"),0,IF(AND($O122&lt;='Model Data Inputs'!$B$139,$F122="H"),0,IF(SUM($Y122:$Z122)&lt;1,1,SUM($Y122:$Z122)))))</f>
        <v>0</v>
      </c>
      <c r="AB122" s="251">
        <f>($K122/'Model Data Inputs'!$B$143)*'Model Data Inputs'!$B$145</f>
        <v>7.3146388888888886E-2</v>
      </c>
      <c r="AC122" s="251">
        <f t="shared" si="10"/>
        <v>7.3146388888888886E-2</v>
      </c>
      <c r="AD122" s="251">
        <f>IF($G122="F",0,'Model Data Inputs'!$B$147)</f>
        <v>1.1000000000000001</v>
      </c>
      <c r="AE122" s="251">
        <f>IF($G122="F",0,($K122/'Model Data Inputs'!$B$148)*'Model Data Inputs'!$B$149)</f>
        <v>0.26332699999999992</v>
      </c>
      <c r="AF122" s="251">
        <f>IF($G122="F",0,($O122/'Model Data Inputs'!$B$150)*'Model Data Inputs'!$B$151)</f>
        <v>3.8825366666666659E-2</v>
      </c>
      <c r="AG122" s="251">
        <f>IF($G122="F",0,(($Q122*$T122)/'Model Data Inputs'!$B$152)*'Model Data Inputs'!$B$153)</f>
        <v>5.9085967005952852E-2</v>
      </c>
      <c r="AH122" s="251">
        <f t="shared" si="11"/>
        <v>0.36530958341815489</v>
      </c>
      <c r="AI122" s="252">
        <f>IF(OR($G122="F",$F122="M",$F122="H"),0,($AH122*'Model Data Inputs'!$B$154)-$AH122)</f>
        <v>0</v>
      </c>
      <c r="AJ122" s="251">
        <f>IF(OR($G122="F",$F122="E",$F122="H"),0,($AH122*'Model Data Inputs'!$B$155)-$AH122)</f>
        <v>0</v>
      </c>
      <c r="AK122" s="252">
        <f>IF(OR($G122="F",$F122="E",$F122="M"),0,($AH122*'Model Data Inputs'!$B$156)-$AH122)</f>
        <v>0.36530958341815489</v>
      </c>
      <c r="AL122" s="252">
        <f>IF($G122="F",0,IF($M122&lt;'Model Data Inputs'!$B$158,$AH122*('Model Data Inputs'!$B$159-1),0))</f>
        <v>0</v>
      </c>
      <c r="AM122" s="251">
        <f>IF($G122="F",0,IF($M122&gt;'Model Data Inputs'!$B$160,$AH122*('Model Data Inputs'!$B$161-1),0))</f>
        <v>3.6530958341815523E-2</v>
      </c>
      <c r="AN122" s="251">
        <f>IF($G122="F",0,IF($P122&lt;'Model Data Inputs'!$B$162,SUM($AH122,$AI122,$AJ122,$AK122,$AL122,$AM122)*('Model Data Inputs'!$B$163-1),0))</f>
        <v>0</v>
      </c>
      <c r="AO122" s="251">
        <f t="shared" si="12"/>
        <v>0.76715012517812531</v>
      </c>
      <c r="AP122" s="253">
        <f>$K122*'Model Data Inputs'!$B$166</f>
        <v>8821.4544999999998</v>
      </c>
      <c r="AQ122" s="253">
        <f>($K122*'Model Data Inputs'!$B$145)*'Model Data Inputs'!$B$166</f>
        <v>882.1454500000001</v>
      </c>
      <c r="AR122" s="254">
        <f t="shared" si="13"/>
        <v>9703.5999499999998</v>
      </c>
    </row>
    <row r="123" spans="1:44" x14ac:dyDescent="0.2">
      <c r="A123" s="227" t="str">
        <f>'School Level Inst. Resources'!A123</f>
        <v>0738000</v>
      </c>
      <c r="B123" s="227" t="str">
        <f>'School Level Inst. Resources'!B123</f>
        <v>Fremont #38</v>
      </c>
      <c r="C123" s="227" t="str">
        <f>'School Level Inst. Resources'!C123</f>
        <v>0738001</v>
      </c>
      <c r="D123" s="227" t="str">
        <f>'School Level Inst. Resources'!D123</f>
        <v>Arapahoe Elementary</v>
      </c>
      <c r="E123" s="228" t="str">
        <f>'School Level Inst. Resources'!E123</f>
        <v>P-8</v>
      </c>
      <c r="F123" s="229" t="str">
        <f>'School Level Inst. Resources'!H123</f>
        <v>M</v>
      </c>
      <c r="G123" s="229" t="s">
        <v>1158</v>
      </c>
      <c r="H123" s="207">
        <v>95901</v>
      </c>
      <c r="I123" s="244">
        <f>IF('SFD Allowable GSF Calculation'!$D$2=1,'SFD Allowable GSF Calculation'!$P123,'SFD Allowable GSF Calculation'!$X123)</f>
        <v>69798</v>
      </c>
      <c r="J123" s="194">
        <f>$I123*'Model Data Inputs'!$B$165</f>
        <v>80267.7</v>
      </c>
      <c r="K123" s="194">
        <f>IF($L123&gt;='Model Data Inputs'!$B$164,$H123,MIN($H123,$J123))</f>
        <v>95901</v>
      </c>
      <c r="L123" s="208">
        <v>2010</v>
      </c>
      <c r="M123" s="196">
        <f>IF($L123&gt;0,'Model Data Inputs'!$B$157-$L123,"")</f>
        <v>7</v>
      </c>
      <c r="N123" s="209">
        <v>47</v>
      </c>
      <c r="O123" s="198">
        <f>'School Level Inst. Resources'!$L123</f>
        <v>401.88</v>
      </c>
      <c r="P123" s="198">
        <f>IF($G123="T",SUMIFS('School Level ADM'!$S$5:$S$359,'School Level ADM'!$A$5:$A$359,$A123),0)</f>
        <v>437.34</v>
      </c>
      <c r="Q123" s="199">
        <f t="shared" si="14"/>
        <v>0.91891891891891897</v>
      </c>
      <c r="R123" s="200">
        <f>SUM((('School Level Inst. Resources'!I123/'Model Data Inputs'!$B$8)*(1+'Model Data Inputs'!$B$9)),(SUM('School Level Inst. Resources'!J123:K123)/'Model Data Inputs'!$C$8)*(1+'Model Data Inputs'!$C$9),'School Level Inst. Resources'!K123/400)</f>
        <v>25.7195634057971</v>
      </c>
      <c r="S123" s="200">
        <f t="shared" si="8"/>
        <v>25.7195634057971</v>
      </c>
      <c r="T123" s="201">
        <f>IF($G123="T",VLOOKUP($A123,'Total O &amp; M Resources'!$A$5:$K$52,3),0)</f>
        <v>6746860.9199999999</v>
      </c>
      <c r="U123" s="202">
        <f>IF($G123="F",0,$S123/'Model Data Inputs'!$B$140)</f>
        <v>1.9784279542920846</v>
      </c>
      <c r="V123" s="202">
        <f>IF($G123="F",0,$O123/'Model Data Inputs'!$B$141)</f>
        <v>1.2365538461538461</v>
      </c>
      <c r="W123" s="202">
        <f>IF($G123="F",0,$N123/'Model Data Inputs'!$B$142)</f>
        <v>3.6153846153846154</v>
      </c>
      <c r="X123" s="202">
        <f>IF($G123="F",0,$K123/'Model Data Inputs'!$B$143)</f>
        <v>5.3278333333333334</v>
      </c>
      <c r="Y123" s="202">
        <f t="shared" si="9"/>
        <v>3.0395499372909702</v>
      </c>
      <c r="Z123" s="202">
        <f>IF(OR($G123="F",$F123="E"),0,'Model Data Inputs'!$B$144)</f>
        <v>0.5</v>
      </c>
      <c r="AA123" s="202">
        <f>IF(AND($O123&lt;='Model Data Inputs'!$B$139,$F123="E"),0,IF(AND($O123&lt;='Model Data Inputs'!$B$139,$F123="M"),0,IF(AND($O123&lt;='Model Data Inputs'!$B$139,$F123="H"),0,IF(SUM($Y123:$Z123)&lt;1,1,SUM($Y123:$Z123)))))</f>
        <v>3.5395499372909702</v>
      </c>
      <c r="AB123" s="202">
        <f>($K123/'Model Data Inputs'!$B$143)*'Model Data Inputs'!$B$145</f>
        <v>0.53278333333333339</v>
      </c>
      <c r="AC123" s="202">
        <f t="shared" si="10"/>
        <v>4.0723332706243038</v>
      </c>
      <c r="AD123" s="202">
        <f>IF($G123="F",0,'Model Data Inputs'!$B$147)</f>
        <v>1.1000000000000001</v>
      </c>
      <c r="AE123" s="202">
        <f>IF($G123="F",0,($K123/'Model Data Inputs'!$B$148)*'Model Data Inputs'!$B$149)</f>
        <v>1.9180199999999998</v>
      </c>
      <c r="AF123" s="202">
        <f>IF($G123="F",0,($O123/'Model Data Inputs'!$B$150)*'Model Data Inputs'!$B$151)</f>
        <v>0.52244400000000002</v>
      </c>
      <c r="AG123" s="202">
        <f>IF($G123="F",0,(($Q123*$T123)/'Model Data Inputs'!$B$152)*'Model Data Inputs'!$B$153)</f>
        <v>1.4879563542486487</v>
      </c>
      <c r="AH123" s="202">
        <f t="shared" si="11"/>
        <v>1.2571050885621622</v>
      </c>
      <c r="AI123" s="203">
        <f>IF(OR($G123="F",$F123="M",$F123="H"),0,($AH123*'Model Data Inputs'!$B$154)-$AH123)</f>
        <v>0</v>
      </c>
      <c r="AJ123" s="202">
        <f>IF(OR($G123="F",$F123="E",$F123="H"),0,($AH123*'Model Data Inputs'!$B$155)-$AH123)</f>
        <v>0</v>
      </c>
      <c r="AK123" s="203">
        <f>IF(OR($G123="F",$F123="E",$F123="M"),0,($AH123*'Model Data Inputs'!$B$156)-$AH123)</f>
        <v>0</v>
      </c>
      <c r="AL123" s="203">
        <f>IF($G123="F",0,IF($M123&lt;'Model Data Inputs'!$B$158,$AH123*('Model Data Inputs'!$B$159-1),0))</f>
        <v>-6.2855254428108159E-2</v>
      </c>
      <c r="AM123" s="202">
        <f>IF($G123="F",0,IF($M123&gt;'Model Data Inputs'!$B$160,$AH123*('Model Data Inputs'!$B$161-1),0))</f>
        <v>0</v>
      </c>
      <c r="AN123" s="202">
        <f>IF($G123="F",0,IF($P123&lt;'Model Data Inputs'!$B$162,SUM($AH123,$AI123,$AJ123,$AK123,$AL123,$AM123)*('Model Data Inputs'!$B$163-1),0))</f>
        <v>0.1194249834134055</v>
      </c>
      <c r="AO123" s="202">
        <f t="shared" si="12"/>
        <v>1.3136748175474595</v>
      </c>
      <c r="AP123" s="204">
        <f>$K123*'Model Data Inputs'!$B$166</f>
        <v>64253.670000000006</v>
      </c>
      <c r="AQ123" s="204">
        <f>($K123*'Model Data Inputs'!$B$145)*'Model Data Inputs'!$B$166</f>
        <v>6425.3670000000002</v>
      </c>
      <c r="AR123" s="50">
        <f t="shared" si="13"/>
        <v>70679.037000000011</v>
      </c>
    </row>
    <row r="124" spans="1:44" x14ac:dyDescent="0.2">
      <c r="A124" s="227" t="str">
        <f>'School Level Inst. Resources'!A124</f>
        <v>0738000</v>
      </c>
      <c r="B124" s="227" t="str">
        <f>'School Level Inst. Resources'!B124</f>
        <v>Fremont #38</v>
      </c>
      <c r="C124" s="227" t="str">
        <f>'School Level Inst. Resources'!C124</f>
        <v>0738055</v>
      </c>
      <c r="D124" s="227" t="str">
        <f>'School Level Inst. Resources'!D124</f>
        <v>Arapaho Charter High School</v>
      </c>
      <c r="E124" s="228" t="str">
        <f>'School Level Inst. Resources'!E124</f>
        <v>9-12</v>
      </c>
      <c r="F124" s="229" t="str">
        <f>'School Level Inst. Resources'!H124</f>
        <v>H</v>
      </c>
      <c r="G124" s="229" t="s">
        <v>1158</v>
      </c>
      <c r="H124" s="207">
        <v>10150</v>
      </c>
      <c r="I124" s="244">
        <f>IF('SFD Allowable GSF Calculation'!$D$2=1,'SFD Allowable GSF Calculation'!$P124,'SFD Allowable GSF Calculation'!$X124)</f>
        <v>7146</v>
      </c>
      <c r="J124" s="194">
        <f>$I124*'Model Data Inputs'!$B$165</f>
        <v>8217.9</v>
      </c>
      <c r="K124" s="194">
        <f>IF($L124&gt;='Model Data Inputs'!$B$164,$H124,MIN($H124,$J124))</f>
        <v>10150</v>
      </c>
      <c r="L124" s="208">
        <v>2002</v>
      </c>
      <c r="M124" s="196">
        <f>IF($L124&gt;0,'Model Data Inputs'!$B$157-$L124,"")</f>
        <v>15</v>
      </c>
      <c r="N124" s="209">
        <v>3</v>
      </c>
      <c r="O124" s="198">
        <f>'School Level Inst. Resources'!$L124</f>
        <v>35.46</v>
      </c>
      <c r="P124" s="198">
        <f>IF($G124="T",SUMIFS('School Level ADM'!$S$5:$S$359,'School Level ADM'!$A$5:$A$359,$A124),0)</f>
        <v>437.34</v>
      </c>
      <c r="Q124" s="199">
        <f t="shared" si="14"/>
        <v>8.1081081081081086E-2</v>
      </c>
      <c r="R124" s="200">
        <f>SUM((('School Level Inst. Resources'!I124/'Model Data Inputs'!$B$8)*(1+'Model Data Inputs'!$B$9)),(SUM('School Level Inst. Resources'!J124:K124)/'Model Data Inputs'!$C$8)*(1+'Model Data Inputs'!$C$9),'School Level Inst. Resources'!K124/400)</f>
        <v>2.1437882608695653</v>
      </c>
      <c r="S124" s="200">
        <f t="shared" si="8"/>
        <v>2.1437882608695653</v>
      </c>
      <c r="T124" s="201">
        <f>IF($G124="T",VLOOKUP($A124,'Total O &amp; M Resources'!$A$5:$K$52,3),0)</f>
        <v>6746860.9199999999</v>
      </c>
      <c r="U124" s="202">
        <f>IF($G124="F",0,$S124/'Model Data Inputs'!$B$140)</f>
        <v>0.16490678929765887</v>
      </c>
      <c r="V124" s="202">
        <f>IF($G124="F",0,$O124/'Model Data Inputs'!$B$141)</f>
        <v>0.10910769230769231</v>
      </c>
      <c r="W124" s="202">
        <f>IF($G124="F",0,$N124/'Model Data Inputs'!$B$142)</f>
        <v>0.23076923076923078</v>
      </c>
      <c r="X124" s="202">
        <f>IF($G124="F",0,$K124/'Model Data Inputs'!$B$143)</f>
        <v>0.56388888888888888</v>
      </c>
      <c r="Y124" s="202">
        <f t="shared" si="9"/>
        <v>0.26716815031586771</v>
      </c>
      <c r="Z124" s="202">
        <f>IF(OR($G124="F",$F124="E"),0,'Model Data Inputs'!$B$144)</f>
        <v>0.5</v>
      </c>
      <c r="AA124" s="202">
        <f>IF(AND($O124&lt;='Model Data Inputs'!$B$139,$F124="E"),0,IF(AND($O124&lt;='Model Data Inputs'!$B$139,$F124="M"),0,IF(AND($O124&lt;='Model Data Inputs'!$B$139,$F124="H"),0,IF(SUM($Y124:$Z124)&lt;1,1,SUM($Y124:$Z124)))))</f>
        <v>0</v>
      </c>
      <c r="AB124" s="202">
        <f>($K124/'Model Data Inputs'!$B$143)*'Model Data Inputs'!$B$145</f>
        <v>5.6388888888888891E-2</v>
      </c>
      <c r="AC124" s="202">
        <f t="shared" si="10"/>
        <v>5.6388888888888891E-2</v>
      </c>
      <c r="AD124" s="202">
        <f>IF($G124="F",0,'Model Data Inputs'!$B$147)</f>
        <v>1.1000000000000001</v>
      </c>
      <c r="AE124" s="202">
        <f>IF($G124="F",0,($K124/'Model Data Inputs'!$B$148)*'Model Data Inputs'!$B$149)</f>
        <v>0.20299999999999999</v>
      </c>
      <c r="AF124" s="202">
        <f>IF($G124="F",0,($O124/'Model Data Inputs'!$B$150)*'Model Data Inputs'!$B$151)</f>
        <v>4.6098E-2</v>
      </c>
      <c r="AG124" s="202">
        <f>IF($G124="F",0,(($Q124*$T124)/'Model Data Inputs'!$B$152)*'Model Data Inputs'!$B$153)</f>
        <v>0.13129026655135137</v>
      </c>
      <c r="AH124" s="202">
        <f t="shared" si="11"/>
        <v>0.37009706663783787</v>
      </c>
      <c r="AI124" s="203">
        <f>IF(OR($G124="F",$F124="M",$F124="H"),0,($AH124*'Model Data Inputs'!$B$154)-$AH124)</f>
        <v>0</v>
      </c>
      <c r="AJ124" s="202">
        <f>IF(OR($G124="F",$F124="E",$F124="H"),0,($AH124*'Model Data Inputs'!$B$155)-$AH124)</f>
        <v>0</v>
      </c>
      <c r="AK124" s="203">
        <f>IF(OR($G124="F",$F124="E",$F124="M"),0,($AH124*'Model Data Inputs'!$B$156)-$AH124)</f>
        <v>0.37009706663783787</v>
      </c>
      <c r="AL124" s="203">
        <f>IF($G124="F",0,IF($M124&lt;'Model Data Inputs'!$B$158,$AH124*('Model Data Inputs'!$B$159-1),0))</f>
        <v>0</v>
      </c>
      <c r="AM124" s="202">
        <f>IF($G124="F",0,IF($M124&gt;'Model Data Inputs'!$B$160,$AH124*('Model Data Inputs'!$B$161-1),0))</f>
        <v>0</v>
      </c>
      <c r="AN124" s="202">
        <f>IF($G124="F",0,IF($P124&lt;'Model Data Inputs'!$B$162,SUM($AH124,$AI124,$AJ124,$AK124,$AL124,$AM124)*('Model Data Inputs'!$B$163-1),0))</f>
        <v>7.4019413327567646E-2</v>
      </c>
      <c r="AO124" s="202">
        <f t="shared" si="12"/>
        <v>0.81421354660324341</v>
      </c>
      <c r="AP124" s="204">
        <f>$K124*'Model Data Inputs'!$B$166</f>
        <v>6800.5</v>
      </c>
      <c r="AQ124" s="204">
        <f>($K124*'Model Data Inputs'!$B$145)*'Model Data Inputs'!$B$166</f>
        <v>680.05000000000007</v>
      </c>
      <c r="AR124" s="50">
        <f t="shared" si="13"/>
        <v>7480.55</v>
      </c>
    </row>
    <row r="125" spans="1:44" s="226" customFormat="1" x14ac:dyDescent="0.2">
      <c r="A125" s="210" t="str">
        <f>'School Level Inst. Resources'!A125</f>
        <v>0801000</v>
      </c>
      <c r="B125" s="210" t="str">
        <f>'School Level Inst. Resources'!B125</f>
        <v>Goshen #1</v>
      </c>
      <c r="C125" s="210" t="str">
        <f>'School Level Inst. Resources'!C125</f>
        <v>0801002</v>
      </c>
      <c r="D125" s="210" t="str">
        <f>'School Level Inst. Resources'!D125</f>
        <v>Southeast Elementary</v>
      </c>
      <c r="E125" s="211" t="str">
        <f>'School Level Inst. Resources'!E125</f>
        <v>K-6</v>
      </c>
      <c r="F125" s="212" t="str">
        <f>'School Level Inst. Resources'!H125</f>
        <v>E</v>
      </c>
      <c r="G125" s="212" t="s">
        <v>1159</v>
      </c>
      <c r="H125" s="213">
        <v>0</v>
      </c>
      <c r="I125" s="213">
        <f>IF('SFD Allowable GSF Calculation'!$D$2=1,'SFD Allowable GSF Calculation'!$P125,'SFD Allowable GSF Calculation'!$X125)</f>
        <v>0</v>
      </c>
      <c r="J125" s="214">
        <f>$I125*'Model Data Inputs'!$B$165</f>
        <v>0</v>
      </c>
      <c r="K125" s="214">
        <f>IF($L125&gt;='Model Data Inputs'!$B$164,$H125,MIN($H125,$J125))</f>
        <v>0</v>
      </c>
      <c r="L125" s="233">
        <v>0</v>
      </c>
      <c r="M125" s="196" t="str">
        <f>IF($L125&gt;0,'Model Data Inputs'!$B$157-$L125,"")</f>
        <v/>
      </c>
      <c r="N125" s="216">
        <v>0</v>
      </c>
      <c r="O125" s="217">
        <v>0</v>
      </c>
      <c r="P125" s="218">
        <f>IF($G125="T",SUMIFS('School Level ADM'!$S$5:$S$359,'School Level ADM'!$A$5:$A$359,$A125),0)</f>
        <v>0</v>
      </c>
      <c r="Q125" s="219">
        <f t="shared" si="14"/>
        <v>0</v>
      </c>
      <c r="R125" s="220">
        <f>SUM((('School Level Inst. Resources'!I125/'Model Data Inputs'!$B$8)*(1+'Model Data Inputs'!$B$9)),(SUM('School Level Inst. Resources'!J125:K125)/'Model Data Inputs'!$C$8)*(1+'Model Data Inputs'!$C$9),'School Level Inst. Resources'!K125/400)</f>
        <v>7.7671555555555551</v>
      </c>
      <c r="S125" s="220">
        <v>0</v>
      </c>
      <c r="T125" s="221">
        <f>IF($G125="T",VLOOKUP($A125,'Total O &amp; M Resources'!$A$5:$K$52,3),0)</f>
        <v>0</v>
      </c>
      <c r="U125" s="222">
        <f>IF($G125="F",0,$S125/'Model Data Inputs'!$B$140)</f>
        <v>0</v>
      </c>
      <c r="V125" s="222">
        <f>IF($G125="F",0,$O125/'Model Data Inputs'!$B$141)</f>
        <v>0</v>
      </c>
      <c r="W125" s="222">
        <f>IF($G125="F",0,$N125/'Model Data Inputs'!$B$142)</f>
        <v>0</v>
      </c>
      <c r="X125" s="222">
        <f>IF($G125="F",0,$K125/'Model Data Inputs'!$B$143)</f>
        <v>0</v>
      </c>
      <c r="Y125" s="222">
        <f t="shared" si="9"/>
        <v>0</v>
      </c>
      <c r="Z125" s="222">
        <f>IF(OR($G125="F",$F125="E"),0,'Model Data Inputs'!$B$144)</f>
        <v>0</v>
      </c>
      <c r="AA125" s="222">
        <f>IF(AND($O125&lt;='Model Data Inputs'!$B$139,$F125="E"),0,IF(AND($O125&lt;='Model Data Inputs'!$B$139,$F125="M"),0,IF(AND($O125&lt;='Model Data Inputs'!$B$139,$F125="H"),0,IF(SUM($Y125:$Z125)&lt;1,1,SUM($Y125:$Z125)))))</f>
        <v>0</v>
      </c>
      <c r="AB125" s="222">
        <f>($K125/'Model Data Inputs'!$B$143)*'Model Data Inputs'!$B$145</f>
        <v>0</v>
      </c>
      <c r="AC125" s="222">
        <f t="shared" si="10"/>
        <v>0</v>
      </c>
      <c r="AD125" s="222">
        <f>IF($G125="F",0,'Model Data Inputs'!$B$147)</f>
        <v>0</v>
      </c>
      <c r="AE125" s="222">
        <f>IF($G125="F",0,($K125/'Model Data Inputs'!$B$148)*'Model Data Inputs'!$B$149)</f>
        <v>0</v>
      </c>
      <c r="AF125" s="222">
        <f>IF($G125="F",0,($O125/'Model Data Inputs'!$B$150)*'Model Data Inputs'!$B$151)</f>
        <v>0</v>
      </c>
      <c r="AG125" s="222">
        <f>IF($G125="F",0,(($Q125*$T125)/'Model Data Inputs'!$B$152)*'Model Data Inputs'!$B$153)</f>
        <v>0</v>
      </c>
      <c r="AH125" s="222">
        <f t="shared" si="11"/>
        <v>0</v>
      </c>
      <c r="AI125" s="223">
        <f>IF(OR($G125="F",$F125="M",$F125="H"),0,($AH125*'Model Data Inputs'!$B$154)-$AH125)</f>
        <v>0</v>
      </c>
      <c r="AJ125" s="222">
        <f>IF(OR($G125="F",$F125="E",$F125="H"),0,($AH125*'Model Data Inputs'!$B$155)-$AH125)</f>
        <v>0</v>
      </c>
      <c r="AK125" s="223">
        <f>IF(OR($G125="F",$F125="E",$F125="M"),0,($AH125*'Model Data Inputs'!$B$156)-$AH125)</f>
        <v>0</v>
      </c>
      <c r="AL125" s="223">
        <f>IF($G125="F",0,IF($M125&lt;'Model Data Inputs'!$B$158,$AH125*('Model Data Inputs'!$B$159-1),0))</f>
        <v>0</v>
      </c>
      <c r="AM125" s="222">
        <f>IF($G125="F",0,IF($M125&gt;'Model Data Inputs'!$B$160,$AH125*('Model Data Inputs'!$B$161-1),0))</f>
        <v>0</v>
      </c>
      <c r="AN125" s="222">
        <f>IF($G125="F",0,IF($P125&lt;'Model Data Inputs'!$B$162,SUM($AH125,$AI125,$AJ125,$AK125,$AL125,$AM125)*('Model Data Inputs'!$B$163-1),0))</f>
        <v>0</v>
      </c>
      <c r="AO125" s="222">
        <f t="shared" si="12"/>
        <v>0</v>
      </c>
      <c r="AP125" s="224">
        <f>$K125*'Model Data Inputs'!$B$166</f>
        <v>0</v>
      </c>
      <c r="AQ125" s="224">
        <f>($K125*'Model Data Inputs'!$B$145)*'Model Data Inputs'!$B$166</f>
        <v>0</v>
      </c>
      <c r="AR125" s="225">
        <f t="shared" si="13"/>
        <v>0</v>
      </c>
    </row>
    <row r="126" spans="1:44" x14ac:dyDescent="0.2">
      <c r="A126" s="227" t="str">
        <f>'School Level Inst. Resources'!A126</f>
        <v>0801000</v>
      </c>
      <c r="B126" s="227" t="str">
        <f>'School Level Inst. Resources'!B126</f>
        <v>Goshen #1</v>
      </c>
      <c r="C126" s="227" t="str">
        <f>'School Level Inst. Resources'!C126</f>
        <v>0801004</v>
      </c>
      <c r="D126" s="227" t="str">
        <f>'School Level Inst. Resources'!D126</f>
        <v>La Grange Elementary</v>
      </c>
      <c r="E126" s="228" t="str">
        <f>'School Level Inst. Resources'!E126</f>
        <v>K-6</v>
      </c>
      <c r="F126" s="229" t="str">
        <f>'School Level Inst. Resources'!H126</f>
        <v>E</v>
      </c>
      <c r="G126" s="229" t="s">
        <v>1158</v>
      </c>
      <c r="H126" s="207">
        <v>30106</v>
      </c>
      <c r="I126" s="207">
        <f>IF('SFD Allowable GSF Calculation'!$D$2=1,'SFD Allowable GSF Calculation'!$P126,'SFD Allowable GSF Calculation'!$X126)</f>
        <v>5024</v>
      </c>
      <c r="J126" s="194">
        <f>$I126*'Model Data Inputs'!$B$165</f>
        <v>5777.5999999999995</v>
      </c>
      <c r="K126" s="194">
        <f>IF($L126&gt;='Model Data Inputs'!$B$164,$H126,MIN($H126,$J126))</f>
        <v>5777.5999999999995</v>
      </c>
      <c r="L126" s="208">
        <v>1977</v>
      </c>
      <c r="M126" s="196">
        <f>IF($L126&gt;0,'Model Data Inputs'!$B$157-$L126,"")</f>
        <v>40</v>
      </c>
      <c r="N126" s="209">
        <v>6</v>
      </c>
      <c r="O126" s="198">
        <f>'School Level Inst. Resources'!$L126</f>
        <v>22.725333333333332</v>
      </c>
      <c r="P126" s="198">
        <f>IF($G126="T",SUMIFS('School Level ADM'!$S$5:$S$359,'School Level ADM'!$A$5:$A$359,$A126),0)</f>
        <v>1703.5450000000001</v>
      </c>
      <c r="Q126" s="199">
        <f t="shared" si="14"/>
        <v>1.3340025261048773E-2</v>
      </c>
      <c r="R126" s="200">
        <f>SUM((('School Level Inst. Resources'!I126/'Model Data Inputs'!$B$8)*(1+'Model Data Inputs'!$B$9)),(SUM('School Level Inst. Resources'!J126:K126)/'Model Data Inputs'!$C$8)*(1+'Model Data Inputs'!$C$9),'School Level Inst. Resources'!K126/400)</f>
        <v>1.515022222222222</v>
      </c>
      <c r="S126" s="200">
        <f t="shared" si="8"/>
        <v>1.515022222222222</v>
      </c>
      <c r="T126" s="201">
        <f>IF($G126="T",VLOOKUP($A126,'Total O &amp; M Resources'!$A$5:$K$52,3),0)</f>
        <v>16306459.910000002</v>
      </c>
      <c r="U126" s="202">
        <f>IF($G126="F",0,$S126/'Model Data Inputs'!$B$140)</f>
        <v>0.11654017094017093</v>
      </c>
      <c r="V126" s="202">
        <f>IF($G126="F",0,$O126/'Model Data Inputs'!$B$141)</f>
        <v>6.9924102564102558E-2</v>
      </c>
      <c r="W126" s="202">
        <f>IF($G126="F",0,$N126/'Model Data Inputs'!$B$142)</f>
        <v>0.46153846153846156</v>
      </c>
      <c r="X126" s="202">
        <f>IF($G126="F",0,$K126/'Model Data Inputs'!$B$143)</f>
        <v>0.32097777777777775</v>
      </c>
      <c r="Y126" s="202">
        <f t="shared" si="9"/>
        <v>0.24224512820512822</v>
      </c>
      <c r="Z126" s="202">
        <f>IF(OR($G126="F",$F126="E"),0,'Model Data Inputs'!$B$144)</f>
        <v>0</v>
      </c>
      <c r="AA126" s="202">
        <f>IF(AND($O126&lt;='Model Data Inputs'!$B$139,$F126="E"),0,IF(AND($O126&lt;='Model Data Inputs'!$B$139,$F126="M"),0,IF(AND($O126&lt;='Model Data Inputs'!$B$139,$F126="H"),0,IF(SUM($Y126:$Z126)&lt;1,1,SUM($Y126:$Z126)))))</f>
        <v>0</v>
      </c>
      <c r="AB126" s="202">
        <f>($K126/'Model Data Inputs'!$B$143)*'Model Data Inputs'!$B$145</f>
        <v>3.2097777777777774E-2</v>
      </c>
      <c r="AC126" s="202">
        <f t="shared" si="10"/>
        <v>3.2097777777777774E-2</v>
      </c>
      <c r="AD126" s="202">
        <f>IF($G126="F",0,'Model Data Inputs'!$B$147)</f>
        <v>1.1000000000000001</v>
      </c>
      <c r="AE126" s="202">
        <f>IF($G126="F",0,($K126/'Model Data Inputs'!$B$148)*'Model Data Inputs'!$B$149)</f>
        <v>0.11555199999999999</v>
      </c>
      <c r="AF126" s="202">
        <f>IF($G126="F",0,($O126/'Model Data Inputs'!$B$150)*'Model Data Inputs'!$B$151)</f>
        <v>2.954293333333333E-2</v>
      </c>
      <c r="AG126" s="202">
        <f>IF($G126="F",0,(($Q126*$T126)/'Model Data Inputs'!$B$152)*'Model Data Inputs'!$B$153)</f>
        <v>5.2206860908242989E-2</v>
      </c>
      <c r="AH126" s="202">
        <f t="shared" si="11"/>
        <v>0.32432544856039408</v>
      </c>
      <c r="AI126" s="203">
        <f>IF(OR($G126="F",$F126="M",$F126="H"),0,($AH126*'Model Data Inputs'!$B$154)-$AH126)</f>
        <v>-6.4865089712078827E-2</v>
      </c>
      <c r="AJ126" s="202">
        <f>IF(OR($G126="F",$F126="E",$F126="H"),0,($AH126*'Model Data Inputs'!$B$155)-$AH126)</f>
        <v>0</v>
      </c>
      <c r="AK126" s="203">
        <f>IF(OR($G126="F",$F126="E",$F126="M"),0,($AH126*'Model Data Inputs'!$B$156)-$AH126)</f>
        <v>0</v>
      </c>
      <c r="AL126" s="203">
        <f>IF($G126="F",0,IF($M126&lt;'Model Data Inputs'!$B$158,$AH126*('Model Data Inputs'!$B$159-1),0))</f>
        <v>0</v>
      </c>
      <c r="AM126" s="202">
        <f>IF($G126="F",0,IF($M126&gt;'Model Data Inputs'!$B$160,$AH126*('Model Data Inputs'!$B$161-1),0))</f>
        <v>3.2432544856039434E-2</v>
      </c>
      <c r="AN126" s="202">
        <f>IF($G126="F",0,IF($P126&lt;'Model Data Inputs'!$B$162,SUM($AH126,$AI126,$AJ126,$AK126,$AL126,$AM126)*('Model Data Inputs'!$B$163-1),0))</f>
        <v>0</v>
      </c>
      <c r="AO126" s="202">
        <f t="shared" si="12"/>
        <v>0.29189290370435467</v>
      </c>
      <c r="AP126" s="204">
        <f>$K126*'Model Data Inputs'!$B$166</f>
        <v>3870.9919999999997</v>
      </c>
      <c r="AQ126" s="204">
        <f>($K126*'Model Data Inputs'!$B$145)*'Model Data Inputs'!$B$166</f>
        <v>387.0992</v>
      </c>
      <c r="AR126" s="50">
        <f t="shared" si="13"/>
        <v>4258.0911999999998</v>
      </c>
    </row>
    <row r="127" spans="1:44" x14ac:dyDescent="0.2">
      <c r="A127" s="227" t="str">
        <f>'School Level Inst. Resources'!A127</f>
        <v>0801000</v>
      </c>
      <c r="B127" s="227" t="str">
        <f>'School Level Inst. Resources'!B127</f>
        <v>Goshen #1</v>
      </c>
      <c r="C127" s="227" t="str">
        <f>'School Level Inst. Resources'!C127</f>
        <v>0801005</v>
      </c>
      <c r="D127" s="227" t="str">
        <f>'School Level Inst. Resources'!D127</f>
        <v>Lingle-Ft. Laramie Elementary</v>
      </c>
      <c r="E127" s="228" t="str">
        <f>'School Level Inst. Resources'!E127</f>
        <v>K-5</v>
      </c>
      <c r="F127" s="229" t="str">
        <f>'School Level Inst. Resources'!H127</f>
        <v>E</v>
      </c>
      <c r="G127" s="229" t="s">
        <v>1158</v>
      </c>
      <c r="H127" s="207">
        <v>30312</v>
      </c>
      <c r="I127" s="207">
        <f>IF('SFD Allowable GSF Calculation'!$D$2=1,'SFD Allowable GSF Calculation'!$P127,'SFD Allowable GSF Calculation'!$X127)</f>
        <v>24217</v>
      </c>
      <c r="J127" s="194">
        <f>$I127*'Model Data Inputs'!$B$165</f>
        <v>27849.55</v>
      </c>
      <c r="K127" s="194">
        <f>IF($L127&gt;='Model Data Inputs'!$B$164,$H127,MIN($H127,$J127))</f>
        <v>30312</v>
      </c>
      <c r="L127" s="208">
        <v>2016</v>
      </c>
      <c r="M127" s="196">
        <f>IF($L127&gt;0,'Model Data Inputs'!$B$157-$L127,"")</f>
        <v>1</v>
      </c>
      <c r="N127" s="209">
        <v>12</v>
      </c>
      <c r="O127" s="198">
        <f>'School Level Inst. Resources'!$L127</f>
        <v>131.87366666666668</v>
      </c>
      <c r="P127" s="198">
        <f>IF($G127="T",SUMIFS('School Level ADM'!$S$5:$S$359,'School Level ADM'!$A$5:$A$359,$A127),0)</f>
        <v>1703.5450000000001</v>
      </c>
      <c r="Q127" s="199">
        <f t="shared" si="14"/>
        <v>7.7411319728370356E-2</v>
      </c>
      <c r="R127" s="200">
        <f>SUM((('School Level Inst. Resources'!I127/'Model Data Inputs'!$B$8)*(1+'Model Data Inputs'!$B$9)),(SUM('School Level Inst. Resources'!J127:K127)/'Model Data Inputs'!$C$8)*(1+'Model Data Inputs'!$C$9),'School Level Inst. Resources'!K127/400)</f>
        <v>8.7915777777777784</v>
      </c>
      <c r="S127" s="200">
        <f t="shared" si="8"/>
        <v>8.7915777777777784</v>
      </c>
      <c r="T127" s="201">
        <f>IF($G127="T",VLOOKUP($A127,'Total O &amp; M Resources'!$A$5:$K$52,3),0)</f>
        <v>16306459.910000002</v>
      </c>
      <c r="U127" s="202">
        <f>IF($G127="F",0,$S127/'Model Data Inputs'!$B$140)</f>
        <v>0.6762752136752137</v>
      </c>
      <c r="V127" s="202">
        <f>IF($G127="F",0,$O127/'Model Data Inputs'!$B$141)</f>
        <v>0.40576512820512822</v>
      </c>
      <c r="W127" s="202">
        <f>IF($G127="F",0,$N127/'Model Data Inputs'!$B$142)</f>
        <v>0.92307692307692313</v>
      </c>
      <c r="X127" s="202">
        <f>IF($G127="F",0,$K127/'Model Data Inputs'!$B$143)</f>
        <v>1.6839999999999999</v>
      </c>
      <c r="Y127" s="202">
        <f t="shared" si="9"/>
        <v>0.92227931623931636</v>
      </c>
      <c r="Z127" s="202">
        <f>IF(OR($G127="F",$F127="E"),0,'Model Data Inputs'!$B$144)</f>
        <v>0</v>
      </c>
      <c r="AA127" s="202">
        <f>IF(AND($O127&lt;='Model Data Inputs'!$B$139,$F127="E"),0,IF(AND($O127&lt;='Model Data Inputs'!$B$139,$F127="M"),0,IF(AND($O127&lt;='Model Data Inputs'!$B$139,$F127="H"),0,IF(SUM($Y127:$Z127)&lt;1,1,SUM($Y127:$Z127)))))</f>
        <v>1</v>
      </c>
      <c r="AB127" s="202">
        <f>($K127/'Model Data Inputs'!$B$143)*'Model Data Inputs'!$B$145</f>
        <v>0.16839999999999999</v>
      </c>
      <c r="AC127" s="202">
        <f t="shared" si="10"/>
        <v>1.1684000000000001</v>
      </c>
      <c r="AD127" s="202">
        <f>IF($G127="F",0,'Model Data Inputs'!$B$147)</f>
        <v>1.1000000000000001</v>
      </c>
      <c r="AE127" s="202">
        <f>IF($G127="F",0,($K127/'Model Data Inputs'!$B$148)*'Model Data Inputs'!$B$149)</f>
        <v>0.60624</v>
      </c>
      <c r="AF127" s="202">
        <f>IF($G127="F",0,($O127/'Model Data Inputs'!$B$150)*'Model Data Inputs'!$B$151)</f>
        <v>0.17143576666666668</v>
      </c>
      <c r="AG127" s="202">
        <f>IF($G127="F",0,(($Q127*$T127)/'Model Data Inputs'!$B$152)*'Model Data Inputs'!$B$153)</f>
        <v>0.30295309961540723</v>
      </c>
      <c r="AH127" s="202">
        <f t="shared" si="11"/>
        <v>0.54515721657051852</v>
      </c>
      <c r="AI127" s="203">
        <f>IF(OR($G127="F",$F127="M",$F127="H"),0,($AH127*'Model Data Inputs'!$B$154)-$AH127)</f>
        <v>-0.10903144331410369</v>
      </c>
      <c r="AJ127" s="202">
        <f>IF(OR($G127="F",$F127="E",$F127="H"),0,($AH127*'Model Data Inputs'!$B$155)-$AH127)</f>
        <v>0</v>
      </c>
      <c r="AK127" s="203">
        <f>IF(OR($G127="F",$F127="E",$F127="M"),0,($AH127*'Model Data Inputs'!$B$156)-$AH127)</f>
        <v>0</v>
      </c>
      <c r="AL127" s="203">
        <f>IF($G127="F",0,IF($M127&lt;'Model Data Inputs'!$B$158,$AH127*('Model Data Inputs'!$B$159-1),0))</f>
        <v>-2.7257860828525951E-2</v>
      </c>
      <c r="AM127" s="202">
        <f>IF($G127="F",0,IF($M127&gt;'Model Data Inputs'!$B$160,$AH127*('Model Data Inputs'!$B$161-1),0))</f>
        <v>0</v>
      </c>
      <c r="AN127" s="202">
        <f>IF($G127="F",0,IF($P127&lt;'Model Data Inputs'!$B$162,SUM($AH127,$AI127,$AJ127,$AK127,$AL127,$AM127)*('Model Data Inputs'!$B$163-1),0))</f>
        <v>0</v>
      </c>
      <c r="AO127" s="202">
        <f t="shared" si="12"/>
        <v>0.40886791242788889</v>
      </c>
      <c r="AP127" s="204">
        <f>$K127*'Model Data Inputs'!$B$166</f>
        <v>20309.04</v>
      </c>
      <c r="AQ127" s="204">
        <f>($K127*'Model Data Inputs'!$B$145)*'Model Data Inputs'!$B$166</f>
        <v>2030.9040000000002</v>
      </c>
      <c r="AR127" s="50">
        <f t="shared" si="13"/>
        <v>22339.944</v>
      </c>
    </row>
    <row r="128" spans="1:44" x14ac:dyDescent="0.2">
      <c r="A128" s="227" t="str">
        <f>'School Level Inst. Resources'!A128</f>
        <v>0801000</v>
      </c>
      <c r="B128" s="227" t="str">
        <f>'School Level Inst. Resources'!B128</f>
        <v>Goshen #1</v>
      </c>
      <c r="C128" s="227" t="str">
        <f>'School Level Inst. Resources'!C128</f>
        <v>0801006</v>
      </c>
      <c r="D128" s="227" t="str">
        <f>'School Level Inst. Resources'!D128</f>
        <v>Trail Elementary</v>
      </c>
      <c r="E128" s="228" t="str">
        <f>'School Level Inst. Resources'!E128</f>
        <v>3-5</v>
      </c>
      <c r="F128" s="229" t="str">
        <f>'School Level Inst. Resources'!H128</f>
        <v>E</v>
      </c>
      <c r="G128" s="229" t="s">
        <v>1158</v>
      </c>
      <c r="H128" s="207">
        <v>50859</v>
      </c>
      <c r="I128" s="207">
        <f>IF('SFD Allowable GSF Calculation'!$D$2=1,'SFD Allowable GSF Calculation'!$P128,'SFD Allowable GSF Calculation'!$X128)</f>
        <v>40661</v>
      </c>
      <c r="J128" s="194">
        <f>$I128*'Model Data Inputs'!$B$165</f>
        <v>46760.149999999994</v>
      </c>
      <c r="K128" s="194">
        <f>IF($L128&gt;='Model Data Inputs'!$B$164,$H128,MIN($H128,$J128))</f>
        <v>46760.149999999994</v>
      </c>
      <c r="L128" s="208">
        <v>1987</v>
      </c>
      <c r="M128" s="196">
        <f>IF($L128&gt;0,'Model Data Inputs'!$B$157-$L128,"")</f>
        <v>30</v>
      </c>
      <c r="N128" s="209">
        <v>29</v>
      </c>
      <c r="O128" s="198">
        <f>'School Level Inst. Resources'!$L128</f>
        <v>263.73066666666671</v>
      </c>
      <c r="P128" s="198">
        <f>IF($G128="T",SUMIFS('School Level ADM'!$S$5:$S$359,'School Level ADM'!$A$5:$A$359,$A128),0)</f>
        <v>1703.5450000000001</v>
      </c>
      <c r="Q128" s="199">
        <f t="shared" si="14"/>
        <v>0.15481285593668889</v>
      </c>
      <c r="R128" s="200">
        <f>SUM((('School Level Inst. Resources'!I128/'Model Data Inputs'!$B$8)*(1+'Model Data Inputs'!$B$9)),(SUM('School Level Inst. Resources'!J128:K128)/'Model Data Inputs'!$C$8)*(1+'Model Data Inputs'!$C$9),'School Level Inst. Resources'!K128/400)</f>
        <v>17.582044444444445</v>
      </c>
      <c r="S128" s="200">
        <f t="shared" si="8"/>
        <v>17.582044444444445</v>
      </c>
      <c r="T128" s="201">
        <f>IF($G128="T",VLOOKUP($A128,'Total O &amp; M Resources'!$A$5:$K$52,3),0)</f>
        <v>16306459.910000002</v>
      </c>
      <c r="U128" s="202">
        <f>IF($G128="F",0,$S128/'Model Data Inputs'!$B$140)</f>
        <v>1.3524649572649574</v>
      </c>
      <c r="V128" s="202">
        <f>IF($G128="F",0,$O128/'Model Data Inputs'!$B$141)</f>
        <v>0.81147897435897454</v>
      </c>
      <c r="W128" s="202">
        <f>IF($G128="F",0,$N128/'Model Data Inputs'!$B$142)</f>
        <v>2.2307692307692308</v>
      </c>
      <c r="X128" s="202">
        <f>IF($G128="F",0,$K128/'Model Data Inputs'!$B$143)</f>
        <v>2.5977861111111107</v>
      </c>
      <c r="Y128" s="202">
        <f t="shared" si="9"/>
        <v>1.7481248183760685</v>
      </c>
      <c r="Z128" s="202">
        <f>IF(OR($G128="F",$F128="E"),0,'Model Data Inputs'!$B$144)</f>
        <v>0</v>
      </c>
      <c r="AA128" s="202">
        <f>IF(AND($O128&lt;='Model Data Inputs'!$B$139,$F128="E"),0,IF(AND($O128&lt;='Model Data Inputs'!$B$139,$F128="M"),0,IF(AND($O128&lt;='Model Data Inputs'!$B$139,$F128="H"),0,IF(SUM($Y128:$Z128)&lt;1,1,SUM($Y128:$Z128)))))</f>
        <v>1.7481248183760685</v>
      </c>
      <c r="AB128" s="202">
        <f>($K128/'Model Data Inputs'!$B$143)*'Model Data Inputs'!$B$145</f>
        <v>0.25977861111111106</v>
      </c>
      <c r="AC128" s="202">
        <f t="shared" si="10"/>
        <v>2.0079034294871794</v>
      </c>
      <c r="AD128" s="202">
        <f>IF($G128="F",0,'Model Data Inputs'!$B$147)</f>
        <v>1.1000000000000001</v>
      </c>
      <c r="AE128" s="202">
        <f>IF($G128="F",0,($K128/'Model Data Inputs'!$B$148)*'Model Data Inputs'!$B$149)</f>
        <v>0.93520299999999978</v>
      </c>
      <c r="AF128" s="202">
        <f>IF($G128="F",0,($O128/'Model Data Inputs'!$B$150)*'Model Data Inputs'!$B$151)</f>
        <v>0.34284986666666678</v>
      </c>
      <c r="AG128" s="202">
        <f>IF($G128="F",0,(($Q128*$T128)/'Model Data Inputs'!$B$152)*'Model Data Inputs'!$B$153)</f>
        <v>0.60586791093221359</v>
      </c>
      <c r="AH128" s="202">
        <f t="shared" si="11"/>
        <v>0.74598019439972008</v>
      </c>
      <c r="AI128" s="203">
        <f>IF(OR($G128="F",$F128="M",$F128="H"),0,($AH128*'Model Data Inputs'!$B$154)-$AH128)</f>
        <v>-0.14919603887994404</v>
      </c>
      <c r="AJ128" s="202">
        <f>IF(OR($G128="F",$F128="E",$F128="H"),0,($AH128*'Model Data Inputs'!$B$155)-$AH128)</f>
        <v>0</v>
      </c>
      <c r="AK128" s="203">
        <f>IF(OR($G128="F",$F128="E",$F128="M"),0,($AH128*'Model Data Inputs'!$B$156)-$AH128)</f>
        <v>0</v>
      </c>
      <c r="AL128" s="203">
        <f>IF($G128="F",0,IF($M128&lt;'Model Data Inputs'!$B$158,$AH128*('Model Data Inputs'!$B$159-1),0))</f>
        <v>0</v>
      </c>
      <c r="AM128" s="202">
        <f>IF($G128="F",0,IF($M128&gt;'Model Data Inputs'!$B$160,$AH128*('Model Data Inputs'!$B$161-1),0))</f>
        <v>0</v>
      </c>
      <c r="AN128" s="202">
        <f>IF($G128="F",0,IF($P128&lt;'Model Data Inputs'!$B$162,SUM($AH128,$AI128,$AJ128,$AK128,$AL128,$AM128)*('Model Data Inputs'!$B$163-1),0))</f>
        <v>0</v>
      </c>
      <c r="AO128" s="202">
        <f t="shared" si="12"/>
        <v>0.59678415551977604</v>
      </c>
      <c r="AP128" s="204">
        <f>$K128*'Model Data Inputs'!$B$166</f>
        <v>31329.300499999998</v>
      </c>
      <c r="AQ128" s="204">
        <f>($K128*'Model Data Inputs'!$B$145)*'Model Data Inputs'!$B$166</f>
        <v>3132.9300499999999</v>
      </c>
      <c r="AR128" s="50">
        <f t="shared" si="13"/>
        <v>34462.23055</v>
      </c>
    </row>
    <row r="129" spans="1:44" x14ac:dyDescent="0.2">
      <c r="A129" s="227" t="str">
        <f>'School Level Inst. Resources'!A129</f>
        <v>0801000</v>
      </c>
      <c r="B129" s="227" t="str">
        <f>'School Level Inst. Resources'!B129</f>
        <v>Goshen #1</v>
      </c>
      <c r="C129" s="227" t="str">
        <f>'School Level Inst. Resources'!C129</f>
        <v>0801007</v>
      </c>
      <c r="D129" s="227" t="str">
        <f>'School Level Inst. Resources'!D129</f>
        <v>Lincoln Elementary</v>
      </c>
      <c r="E129" s="228" t="str">
        <f>'School Level Inst. Resources'!E129</f>
        <v>K-2</v>
      </c>
      <c r="F129" s="229" t="str">
        <f>'School Level Inst. Resources'!H129</f>
        <v>E</v>
      </c>
      <c r="G129" s="229" t="s">
        <v>1158</v>
      </c>
      <c r="H129" s="207">
        <v>46503</v>
      </c>
      <c r="I129" s="207">
        <f>IF('SFD Allowable GSF Calculation'!$D$2=1,'SFD Allowable GSF Calculation'!$P129,'SFD Allowable GSF Calculation'!$X129)</f>
        <v>40621</v>
      </c>
      <c r="J129" s="194">
        <f>$I129*'Model Data Inputs'!$B$165</f>
        <v>46714.149999999994</v>
      </c>
      <c r="K129" s="194">
        <f>IF($L129&gt;='Model Data Inputs'!$B$164,$H129,MIN($H129,$J129))</f>
        <v>46503</v>
      </c>
      <c r="L129" s="208">
        <v>2006</v>
      </c>
      <c r="M129" s="196">
        <f>IF($L129&gt;0,'Model Data Inputs'!$B$157-$L129,"")</f>
        <v>11</v>
      </c>
      <c r="N129" s="209">
        <v>29</v>
      </c>
      <c r="O129" s="198">
        <f>'School Level Inst. Resources'!$L129</f>
        <v>262.44499999999999</v>
      </c>
      <c r="P129" s="198">
        <f>IF($G129="T",SUMIFS('School Level ADM'!$S$5:$S$359,'School Level ADM'!$A$5:$A$359,$A129),0)</f>
        <v>1703.5450000000001</v>
      </c>
      <c r="Q129" s="199">
        <f t="shared" si="14"/>
        <v>0.15405815519989197</v>
      </c>
      <c r="R129" s="200">
        <f>SUM((('School Level Inst. Resources'!I129/'Model Data Inputs'!$B$8)*(1+'Model Data Inputs'!$B$9)),(SUM('School Level Inst. Resources'!J129:K129)/'Model Data Inputs'!$C$8)*(1+'Model Data Inputs'!$C$9),'School Level Inst. Resources'!K129/400)</f>
        <v>17.496333333333332</v>
      </c>
      <c r="S129" s="200">
        <f t="shared" si="8"/>
        <v>17.496333333333332</v>
      </c>
      <c r="T129" s="201">
        <f>IF($G129="T",VLOOKUP($A129,'Total O &amp; M Resources'!$A$5:$K$52,3),0)</f>
        <v>16306459.910000002</v>
      </c>
      <c r="U129" s="202">
        <f>IF($G129="F",0,$S129/'Model Data Inputs'!$B$140)</f>
        <v>1.3458717948717949</v>
      </c>
      <c r="V129" s="202">
        <f>IF($G129="F",0,$O129/'Model Data Inputs'!$B$141)</f>
        <v>0.8075230769230769</v>
      </c>
      <c r="W129" s="202">
        <f>IF($G129="F",0,$N129/'Model Data Inputs'!$B$142)</f>
        <v>2.2307692307692308</v>
      </c>
      <c r="X129" s="202">
        <f>IF($G129="F",0,$K129/'Model Data Inputs'!$B$143)</f>
        <v>2.5834999999999999</v>
      </c>
      <c r="Y129" s="202">
        <f t="shared" si="9"/>
        <v>1.7419160256410258</v>
      </c>
      <c r="Z129" s="202">
        <f>IF(OR($G129="F",$F129="E"),0,'Model Data Inputs'!$B$144)</f>
        <v>0</v>
      </c>
      <c r="AA129" s="202">
        <f>IF(AND($O129&lt;='Model Data Inputs'!$B$139,$F129="E"),0,IF(AND($O129&lt;='Model Data Inputs'!$B$139,$F129="M"),0,IF(AND($O129&lt;='Model Data Inputs'!$B$139,$F129="H"),0,IF(SUM($Y129:$Z129)&lt;1,1,SUM($Y129:$Z129)))))</f>
        <v>1.7419160256410258</v>
      </c>
      <c r="AB129" s="202">
        <f>($K129/'Model Data Inputs'!$B$143)*'Model Data Inputs'!$B$145</f>
        <v>0.25835000000000002</v>
      </c>
      <c r="AC129" s="202">
        <f t="shared" si="10"/>
        <v>2.0002660256410256</v>
      </c>
      <c r="AD129" s="202">
        <f>IF($G129="F",0,'Model Data Inputs'!$B$147)</f>
        <v>1.1000000000000001</v>
      </c>
      <c r="AE129" s="202">
        <f>IF($G129="F",0,($K129/'Model Data Inputs'!$B$148)*'Model Data Inputs'!$B$149)</f>
        <v>0.93006</v>
      </c>
      <c r="AF129" s="202">
        <f>IF($G129="F",0,($O129/'Model Data Inputs'!$B$150)*'Model Data Inputs'!$B$151)</f>
        <v>0.3411785</v>
      </c>
      <c r="AG129" s="202">
        <f>IF($G129="F",0,(($Q129*$T129)/'Model Data Inputs'!$B$152)*'Model Data Inputs'!$B$153)</f>
        <v>0.6029143515781431</v>
      </c>
      <c r="AH129" s="202">
        <f t="shared" si="11"/>
        <v>0.74353821289453581</v>
      </c>
      <c r="AI129" s="203">
        <f>IF(OR($G129="F",$F129="M",$F129="H"),0,($AH129*'Model Data Inputs'!$B$154)-$AH129)</f>
        <v>-0.14870764257890712</v>
      </c>
      <c r="AJ129" s="202">
        <f>IF(OR($G129="F",$F129="E",$F129="H"),0,($AH129*'Model Data Inputs'!$B$155)-$AH129)</f>
        <v>0</v>
      </c>
      <c r="AK129" s="203">
        <f>IF(OR($G129="F",$F129="E",$F129="M"),0,($AH129*'Model Data Inputs'!$B$156)-$AH129)</f>
        <v>0</v>
      </c>
      <c r="AL129" s="203">
        <f>IF($G129="F",0,IF($M129&lt;'Model Data Inputs'!$B$158,$AH129*('Model Data Inputs'!$B$159-1),0))</f>
        <v>0</v>
      </c>
      <c r="AM129" s="202">
        <f>IF($G129="F",0,IF($M129&gt;'Model Data Inputs'!$B$160,$AH129*('Model Data Inputs'!$B$161-1),0))</f>
        <v>0</v>
      </c>
      <c r="AN129" s="202">
        <f>IF($G129="F",0,IF($P129&lt;'Model Data Inputs'!$B$162,SUM($AH129,$AI129,$AJ129,$AK129,$AL129,$AM129)*('Model Data Inputs'!$B$163-1),0))</f>
        <v>0</v>
      </c>
      <c r="AO129" s="202">
        <f t="shared" si="12"/>
        <v>0.59483057031562869</v>
      </c>
      <c r="AP129" s="204">
        <f>$K129*'Model Data Inputs'!$B$166</f>
        <v>31157.010000000002</v>
      </c>
      <c r="AQ129" s="204">
        <f>($K129*'Model Data Inputs'!$B$145)*'Model Data Inputs'!$B$166</f>
        <v>3115.7010000000005</v>
      </c>
      <c r="AR129" s="50">
        <f t="shared" si="13"/>
        <v>34272.711000000003</v>
      </c>
    </row>
    <row r="130" spans="1:44" s="226" customFormat="1" x14ac:dyDescent="0.2">
      <c r="A130" s="210" t="str">
        <f>'School Level Inst. Resources'!A130</f>
        <v>0801000</v>
      </c>
      <c r="B130" s="210" t="str">
        <f>'School Level Inst. Resources'!B130</f>
        <v>Goshen #1</v>
      </c>
      <c r="C130" s="210" t="str">
        <f>'School Level Inst. Resources'!C130</f>
        <v>0801050</v>
      </c>
      <c r="D130" s="210" t="str">
        <f>'School Level Inst. Resources'!D130</f>
        <v>Lingle-Ft. Laramie Middle School</v>
      </c>
      <c r="E130" s="211" t="str">
        <f>'School Level Inst. Resources'!E130</f>
        <v>6-8</v>
      </c>
      <c r="F130" s="212" t="str">
        <f>'School Level Inst. Resources'!H130</f>
        <v>M</v>
      </c>
      <c r="G130" s="212" t="s">
        <v>1159</v>
      </c>
      <c r="H130" s="213">
        <v>0</v>
      </c>
      <c r="I130" s="213">
        <f>IF('SFD Allowable GSF Calculation'!$D$2=1,'SFD Allowable GSF Calculation'!$P130,'SFD Allowable GSF Calculation'!$X130)</f>
        <v>0</v>
      </c>
      <c r="J130" s="214">
        <f>$I130*'Model Data Inputs'!$B$165</f>
        <v>0</v>
      </c>
      <c r="K130" s="214">
        <f>IF($L130&gt;='Model Data Inputs'!$B$164,$H130,MIN($H130,$J130))</f>
        <v>0</v>
      </c>
      <c r="L130" s="233">
        <v>0</v>
      </c>
      <c r="M130" s="196" t="str">
        <f>IF($L130&gt;0,'Model Data Inputs'!$B$157-$L130,"")</f>
        <v/>
      </c>
      <c r="N130" s="216">
        <v>0</v>
      </c>
      <c r="O130" s="217">
        <v>0</v>
      </c>
      <c r="P130" s="218">
        <f>IF($G130="T",SUMIFS('School Level ADM'!$S$5:$S$359,'School Level ADM'!$A$5:$A$359,$A130),0)</f>
        <v>0</v>
      </c>
      <c r="Q130" s="219">
        <f t="shared" si="14"/>
        <v>0</v>
      </c>
      <c r="R130" s="220">
        <f>SUM((('School Level Inst. Resources'!I130/'Model Data Inputs'!$B$8)*(1+'Model Data Inputs'!$B$9)),(SUM('School Level Inst. Resources'!J130:K130)/'Model Data Inputs'!$C$8)*(1+'Model Data Inputs'!$C$9),'School Level Inst. Resources'!K130/400)</f>
        <v>2.9627180724637689</v>
      </c>
      <c r="S130" s="220">
        <v>0</v>
      </c>
      <c r="T130" s="221">
        <f>IF($G130="T",VLOOKUP($A130,'Total O &amp; M Resources'!$A$5:$K$52,3),0)</f>
        <v>0</v>
      </c>
      <c r="U130" s="222">
        <f>IF($G130="F",0,$S130/'Model Data Inputs'!$B$140)</f>
        <v>0</v>
      </c>
      <c r="V130" s="222">
        <f>IF($G130="F",0,$O130/'Model Data Inputs'!$B$141)</f>
        <v>0</v>
      </c>
      <c r="W130" s="222">
        <f>IF($G130="F",0,$N130/'Model Data Inputs'!$B$142)</f>
        <v>0</v>
      </c>
      <c r="X130" s="222">
        <f>IF($G130="F",0,$K130/'Model Data Inputs'!$B$143)</f>
        <v>0</v>
      </c>
      <c r="Y130" s="222">
        <f t="shared" si="9"/>
        <v>0</v>
      </c>
      <c r="Z130" s="222">
        <f>IF(OR($G130="F",$F130="E"),0,'Model Data Inputs'!$B$144)</f>
        <v>0</v>
      </c>
      <c r="AA130" s="222">
        <f>IF(AND($O130&lt;='Model Data Inputs'!$B$139,$F130="E"),0,IF(AND($O130&lt;='Model Data Inputs'!$B$139,$F130="M"),0,IF(AND($O130&lt;='Model Data Inputs'!$B$139,$F130="H"),0,IF(SUM($Y130:$Z130)&lt;1,1,SUM($Y130:$Z130)))))</f>
        <v>0</v>
      </c>
      <c r="AB130" s="222">
        <f>($K130/'Model Data Inputs'!$B$143)*'Model Data Inputs'!$B$145</f>
        <v>0</v>
      </c>
      <c r="AC130" s="222">
        <f t="shared" si="10"/>
        <v>0</v>
      </c>
      <c r="AD130" s="222">
        <f>IF($G130="F",0,'Model Data Inputs'!$B$147)</f>
        <v>0</v>
      </c>
      <c r="AE130" s="222">
        <f>IF($G130="F",0,($K130/'Model Data Inputs'!$B$148)*'Model Data Inputs'!$B$149)</f>
        <v>0</v>
      </c>
      <c r="AF130" s="222">
        <f>IF($G130="F",0,($O130/'Model Data Inputs'!$B$150)*'Model Data Inputs'!$B$151)</f>
        <v>0</v>
      </c>
      <c r="AG130" s="222">
        <f>IF($G130="F",0,(($Q130*$T130)/'Model Data Inputs'!$B$152)*'Model Data Inputs'!$B$153)</f>
        <v>0</v>
      </c>
      <c r="AH130" s="222">
        <f t="shared" si="11"/>
        <v>0</v>
      </c>
      <c r="AI130" s="223">
        <f>IF(OR($G130="F",$F130="M",$F130="H"),0,($AH130*'Model Data Inputs'!$B$154)-$AH130)</f>
        <v>0</v>
      </c>
      <c r="AJ130" s="222">
        <f>IF(OR($G130="F",$F130="E",$F130="H"),0,($AH130*'Model Data Inputs'!$B$155)-$AH130)</f>
        <v>0</v>
      </c>
      <c r="AK130" s="223">
        <f>IF(OR($G130="F",$F130="E",$F130="M"),0,($AH130*'Model Data Inputs'!$B$156)-$AH130)</f>
        <v>0</v>
      </c>
      <c r="AL130" s="223">
        <f>IF($G130="F",0,IF($M130&lt;'Model Data Inputs'!$B$158,$AH130*('Model Data Inputs'!$B$159-1),0))</f>
        <v>0</v>
      </c>
      <c r="AM130" s="222">
        <f>IF($G130="F",0,IF($M130&gt;'Model Data Inputs'!$B$160,$AH130*('Model Data Inputs'!$B$161-1),0))</f>
        <v>0</v>
      </c>
      <c r="AN130" s="222">
        <f>IF($G130="F",0,IF($P130&lt;'Model Data Inputs'!$B$162,SUM($AH130,$AI130,$AJ130,$AK130,$AL130,$AM130)*('Model Data Inputs'!$B$163-1),0))</f>
        <v>0</v>
      </c>
      <c r="AO130" s="222">
        <f t="shared" si="12"/>
        <v>0</v>
      </c>
      <c r="AP130" s="224">
        <f>$K130*'Model Data Inputs'!$B$166</f>
        <v>0</v>
      </c>
      <c r="AQ130" s="224">
        <f>($K130*'Model Data Inputs'!$B$145)*'Model Data Inputs'!$B$166</f>
        <v>0</v>
      </c>
      <c r="AR130" s="225">
        <f t="shared" si="13"/>
        <v>0</v>
      </c>
    </row>
    <row r="131" spans="1:44" s="226" customFormat="1" x14ac:dyDescent="0.2">
      <c r="A131" s="210" t="str">
        <f>'School Level Inst. Resources'!A131</f>
        <v>0801000</v>
      </c>
      <c r="B131" s="210" t="str">
        <f>'School Level Inst. Resources'!B131</f>
        <v>Goshen #1</v>
      </c>
      <c r="C131" s="210" t="str">
        <f>'School Level Inst. Resources'!C131</f>
        <v>0801051</v>
      </c>
      <c r="D131" s="210" t="str">
        <f>'School Level Inst. Resources'!D131</f>
        <v>Southeast Junior High School</v>
      </c>
      <c r="E131" s="211" t="str">
        <f>'School Level Inst. Resources'!E131</f>
        <v>7-8</v>
      </c>
      <c r="F131" s="212" t="str">
        <f>'School Level Inst. Resources'!H131</f>
        <v>M</v>
      </c>
      <c r="G131" s="212" t="s">
        <v>1159</v>
      </c>
      <c r="H131" s="213">
        <v>0</v>
      </c>
      <c r="I131" s="213">
        <f>IF('SFD Allowable GSF Calculation'!$D$2=1,'SFD Allowable GSF Calculation'!$P131,'SFD Allowable GSF Calculation'!$X131)</f>
        <v>0</v>
      </c>
      <c r="J131" s="214">
        <f>$I131*'Model Data Inputs'!$B$165</f>
        <v>0</v>
      </c>
      <c r="K131" s="214">
        <f>IF($L131&gt;='Model Data Inputs'!$B$164,$H131,MIN($H131,$J131))</f>
        <v>0</v>
      </c>
      <c r="L131" s="233">
        <v>0</v>
      </c>
      <c r="M131" s="196" t="str">
        <f>IF($L131&gt;0,'Model Data Inputs'!$B$157-$L131,"")</f>
        <v/>
      </c>
      <c r="N131" s="216">
        <v>0</v>
      </c>
      <c r="O131" s="217">
        <v>0</v>
      </c>
      <c r="P131" s="218">
        <f>IF($G131="T",SUMIFS('School Level ADM'!$S$5:$S$359,'School Level ADM'!$A$5:$A$359,$A131),0)</f>
        <v>0</v>
      </c>
      <c r="Q131" s="219">
        <f t="shared" si="14"/>
        <v>0</v>
      </c>
      <c r="R131" s="220">
        <f>SUM((('School Level Inst. Resources'!I131/'Model Data Inputs'!$B$8)*(1+'Model Data Inputs'!$B$9)),(SUM('School Level Inst. Resources'!J131:K131)/'Model Data Inputs'!$C$8)*(1+'Model Data Inputs'!$C$9),'School Level Inst. Resources'!K131/400)</f>
        <v>2.5217848550724642</v>
      </c>
      <c r="S131" s="220">
        <v>0</v>
      </c>
      <c r="T131" s="221">
        <f>IF($G131="T",VLOOKUP($A131,'Total O &amp; M Resources'!$A$5:$K$52,3),0)</f>
        <v>0</v>
      </c>
      <c r="U131" s="222">
        <f>IF($G131="F",0,$S131/'Model Data Inputs'!$B$140)</f>
        <v>0</v>
      </c>
      <c r="V131" s="222">
        <f>IF($G131="F",0,$O131/'Model Data Inputs'!$B$141)</f>
        <v>0</v>
      </c>
      <c r="W131" s="222">
        <f>IF($G131="F",0,$N131/'Model Data Inputs'!$B$142)</f>
        <v>0</v>
      </c>
      <c r="X131" s="222">
        <f>IF($G131="F",0,$K131/'Model Data Inputs'!$B$143)</f>
        <v>0</v>
      </c>
      <c r="Y131" s="222">
        <f t="shared" si="9"/>
        <v>0</v>
      </c>
      <c r="Z131" s="222">
        <f>IF(OR($G131="F",$F131="E"),0,'Model Data Inputs'!$B$144)</f>
        <v>0</v>
      </c>
      <c r="AA131" s="222">
        <f>IF(AND($O131&lt;='Model Data Inputs'!$B$139,$F131="E"),0,IF(AND($O131&lt;='Model Data Inputs'!$B$139,$F131="M"),0,IF(AND($O131&lt;='Model Data Inputs'!$B$139,$F131="H"),0,IF(SUM($Y131:$Z131)&lt;1,1,SUM($Y131:$Z131)))))</f>
        <v>0</v>
      </c>
      <c r="AB131" s="222">
        <f>($K131/'Model Data Inputs'!$B$143)*'Model Data Inputs'!$B$145</f>
        <v>0</v>
      </c>
      <c r="AC131" s="222">
        <f t="shared" si="10"/>
        <v>0</v>
      </c>
      <c r="AD131" s="222">
        <f>IF($G131="F",0,'Model Data Inputs'!$B$147)</f>
        <v>0</v>
      </c>
      <c r="AE131" s="222">
        <f>IF($G131="F",0,($K131/'Model Data Inputs'!$B$148)*'Model Data Inputs'!$B$149)</f>
        <v>0</v>
      </c>
      <c r="AF131" s="222">
        <f>IF($G131="F",0,($O131/'Model Data Inputs'!$B$150)*'Model Data Inputs'!$B$151)</f>
        <v>0</v>
      </c>
      <c r="AG131" s="222">
        <f>IF($G131="F",0,(($Q131*$T131)/'Model Data Inputs'!$B$152)*'Model Data Inputs'!$B$153)</f>
        <v>0</v>
      </c>
      <c r="AH131" s="222">
        <f t="shared" si="11"/>
        <v>0</v>
      </c>
      <c r="AI131" s="223">
        <f>IF(OR($G131="F",$F131="M",$F131="H"),0,($AH131*'Model Data Inputs'!$B$154)-$AH131)</f>
        <v>0</v>
      </c>
      <c r="AJ131" s="222">
        <f>IF(OR($G131="F",$F131="E",$F131="H"),0,($AH131*'Model Data Inputs'!$B$155)-$AH131)</f>
        <v>0</v>
      </c>
      <c r="AK131" s="223">
        <f>IF(OR($G131="F",$F131="E",$F131="M"),0,($AH131*'Model Data Inputs'!$B$156)-$AH131)</f>
        <v>0</v>
      </c>
      <c r="AL131" s="223">
        <f>IF($G131="F",0,IF($M131&lt;'Model Data Inputs'!$B$158,$AH131*('Model Data Inputs'!$B$159-1),0))</f>
        <v>0</v>
      </c>
      <c r="AM131" s="222">
        <f>IF($G131="F",0,IF($M131&gt;'Model Data Inputs'!$B$160,$AH131*('Model Data Inputs'!$B$161-1),0))</f>
        <v>0</v>
      </c>
      <c r="AN131" s="222">
        <f>IF($G131="F",0,IF($P131&lt;'Model Data Inputs'!$B$162,SUM($AH131,$AI131,$AJ131,$AK131,$AL131,$AM131)*('Model Data Inputs'!$B$163-1),0))</f>
        <v>0</v>
      </c>
      <c r="AO131" s="222">
        <f t="shared" si="12"/>
        <v>0</v>
      </c>
      <c r="AP131" s="224">
        <f>$K131*'Model Data Inputs'!$B$166</f>
        <v>0</v>
      </c>
      <c r="AQ131" s="224">
        <f>($K131*'Model Data Inputs'!$B$145)*'Model Data Inputs'!$B$166</f>
        <v>0</v>
      </c>
      <c r="AR131" s="225">
        <f t="shared" si="13"/>
        <v>0</v>
      </c>
    </row>
    <row r="132" spans="1:44" x14ac:dyDescent="0.2">
      <c r="A132" s="227" t="str">
        <f>'School Level Inst. Resources'!A132</f>
        <v>0801000</v>
      </c>
      <c r="B132" s="227" t="str">
        <f>'School Level Inst. Resources'!B132</f>
        <v>Goshen #1</v>
      </c>
      <c r="C132" s="227" t="str">
        <f>'School Level Inst. Resources'!C132</f>
        <v>0801052</v>
      </c>
      <c r="D132" s="227" t="str">
        <f>'School Level Inst. Resources'!D132</f>
        <v>Torrington Middle School</v>
      </c>
      <c r="E132" s="228" t="str">
        <f>'School Level Inst. Resources'!E132</f>
        <v>6-8</v>
      </c>
      <c r="F132" s="229" t="str">
        <f>'School Level Inst. Resources'!H132</f>
        <v>M</v>
      </c>
      <c r="G132" s="229" t="s">
        <v>1158</v>
      </c>
      <c r="H132" s="207">
        <v>68851</v>
      </c>
      <c r="I132" s="207">
        <f>IF('SFD Allowable GSF Calculation'!$D$2=1,'SFD Allowable GSF Calculation'!$P132,'SFD Allowable GSF Calculation'!$X132)</f>
        <v>59503</v>
      </c>
      <c r="J132" s="194">
        <f>$I132*'Model Data Inputs'!$B$165</f>
        <v>68428.45</v>
      </c>
      <c r="K132" s="194">
        <f>IF($L132&gt;='Model Data Inputs'!$B$164,$H132,MIN($H132,$J132))</f>
        <v>68851</v>
      </c>
      <c r="L132" s="208">
        <v>2008</v>
      </c>
      <c r="M132" s="196">
        <f>IF($L132&gt;0,'Model Data Inputs'!$B$157-$L132,"")</f>
        <v>9</v>
      </c>
      <c r="N132" s="209">
        <v>33</v>
      </c>
      <c r="O132" s="198">
        <f>'School Level Inst. Resources'!$L132</f>
        <v>266.27499999999998</v>
      </c>
      <c r="P132" s="198">
        <f>IF($G132="T",SUMIFS('School Level ADM'!$S$5:$S$359,'School Level ADM'!$A$5:$A$359,$A132),0)</f>
        <v>1703.5450000000001</v>
      </c>
      <c r="Q132" s="199">
        <f t="shared" si="14"/>
        <v>0.15630640810779872</v>
      </c>
      <c r="R132" s="200">
        <f>SUM((('School Level Inst. Resources'!I132/'Model Data Inputs'!$B$8)*(1+'Model Data Inputs'!$B$9)),(SUM('School Level Inst. Resources'!J132:K132)/'Model Data Inputs'!$C$8)*(1+'Model Data Inputs'!$C$9),'School Level Inst. Resources'!K132/400)</f>
        <v>15.432372826086954</v>
      </c>
      <c r="S132" s="200">
        <f t="shared" si="8"/>
        <v>15.432372826086954</v>
      </c>
      <c r="T132" s="201">
        <f>IF($G132="T",VLOOKUP($A132,'Total O &amp; M Resources'!$A$5:$K$52,3),0)</f>
        <v>16306459.910000002</v>
      </c>
      <c r="U132" s="202">
        <f>IF($G132="F",0,$S132/'Model Data Inputs'!$B$140)</f>
        <v>1.1871056020066888</v>
      </c>
      <c r="V132" s="202">
        <f>IF($G132="F",0,$O132/'Model Data Inputs'!$B$141)</f>
        <v>0.81930769230769229</v>
      </c>
      <c r="W132" s="202">
        <f>IF($G132="F",0,$N132/'Model Data Inputs'!$B$142)</f>
        <v>2.5384615384615383</v>
      </c>
      <c r="X132" s="202">
        <f>IF($G132="F",0,$K132/'Model Data Inputs'!$B$143)</f>
        <v>3.8250555555555557</v>
      </c>
      <c r="Y132" s="202">
        <f t="shared" si="9"/>
        <v>2.0924825970828689</v>
      </c>
      <c r="Z132" s="202">
        <f>IF(OR($G132="F",$F132="E"),0,'Model Data Inputs'!$B$144)</f>
        <v>0.5</v>
      </c>
      <c r="AA132" s="202">
        <f>IF(AND($O132&lt;='Model Data Inputs'!$B$139,$F132="E"),0,IF(AND($O132&lt;='Model Data Inputs'!$B$139,$F132="M"),0,IF(AND($O132&lt;='Model Data Inputs'!$B$139,$F132="H"),0,IF(SUM($Y132:$Z132)&lt;1,1,SUM($Y132:$Z132)))))</f>
        <v>2.5924825970828689</v>
      </c>
      <c r="AB132" s="202">
        <f>($K132/'Model Data Inputs'!$B$143)*'Model Data Inputs'!$B$145</f>
        <v>0.3825055555555556</v>
      </c>
      <c r="AC132" s="202">
        <f t="shared" si="10"/>
        <v>2.9749881526384243</v>
      </c>
      <c r="AD132" s="202">
        <f>IF($G132="F",0,'Model Data Inputs'!$B$147)</f>
        <v>1.1000000000000001</v>
      </c>
      <c r="AE132" s="202">
        <f>IF($G132="F",0,($K132/'Model Data Inputs'!$B$148)*'Model Data Inputs'!$B$149)</f>
        <v>1.3770200000000001</v>
      </c>
      <c r="AF132" s="202">
        <f>IF($G132="F",0,($O132/'Model Data Inputs'!$B$150)*'Model Data Inputs'!$B$151)</f>
        <v>0.34615750000000001</v>
      </c>
      <c r="AG132" s="202">
        <f>IF($G132="F",0,(($Q132*$T132)/'Model Data Inputs'!$B$152)*'Model Data Inputs'!$B$153)</f>
        <v>0.61171300259662065</v>
      </c>
      <c r="AH132" s="202">
        <f t="shared" si="11"/>
        <v>0.85872262564915525</v>
      </c>
      <c r="AI132" s="203">
        <f>IF(OR($G132="F",$F132="M",$F132="H"),0,($AH132*'Model Data Inputs'!$B$154)-$AH132)</f>
        <v>0</v>
      </c>
      <c r="AJ132" s="202">
        <f>IF(OR($G132="F",$F132="E",$F132="H"),0,($AH132*'Model Data Inputs'!$B$155)-$AH132)</f>
        <v>0</v>
      </c>
      <c r="AK132" s="203">
        <f>IF(OR($G132="F",$F132="E",$F132="M"),0,($AH132*'Model Data Inputs'!$B$156)-$AH132)</f>
        <v>0</v>
      </c>
      <c r="AL132" s="203">
        <f>IF($G132="F",0,IF($M132&lt;'Model Data Inputs'!$B$158,$AH132*('Model Data Inputs'!$B$159-1),0))</f>
        <v>-4.2936131282457803E-2</v>
      </c>
      <c r="AM132" s="202">
        <f>IF($G132="F",0,IF($M132&gt;'Model Data Inputs'!$B$160,$AH132*('Model Data Inputs'!$B$161-1),0))</f>
        <v>0</v>
      </c>
      <c r="AN132" s="202">
        <f>IF($G132="F",0,IF($P132&lt;'Model Data Inputs'!$B$162,SUM($AH132,$AI132,$AJ132,$AK132,$AL132,$AM132)*('Model Data Inputs'!$B$163-1),0))</f>
        <v>0</v>
      </c>
      <c r="AO132" s="202">
        <f t="shared" si="12"/>
        <v>0.81578649436669748</v>
      </c>
      <c r="AP132" s="204">
        <f>$K132*'Model Data Inputs'!$B$166</f>
        <v>46130.170000000006</v>
      </c>
      <c r="AQ132" s="204">
        <f>($K132*'Model Data Inputs'!$B$145)*'Model Data Inputs'!$B$166</f>
        <v>4613.0170000000007</v>
      </c>
      <c r="AR132" s="50">
        <f t="shared" si="13"/>
        <v>50743.187000000005</v>
      </c>
    </row>
    <row r="133" spans="1:44" s="226" customFormat="1" x14ac:dyDescent="0.2">
      <c r="A133" s="210" t="str">
        <f>'School Level Inst. Resources'!A133</f>
        <v>0801000</v>
      </c>
      <c r="B133" s="210" t="str">
        <f>'School Level Inst. Resources'!B133</f>
        <v>Goshen #1</v>
      </c>
      <c r="C133" s="210" t="str">
        <f>'School Level Inst. Resources'!C133</f>
        <v>0801055</v>
      </c>
      <c r="D133" s="210" t="str">
        <f>'School Level Inst. Resources'!D133</f>
        <v>Southeast High School</v>
      </c>
      <c r="E133" s="211" t="str">
        <f>'School Level Inst. Resources'!E133</f>
        <v>9-12</v>
      </c>
      <c r="F133" s="212" t="str">
        <f>'School Level Inst. Resources'!H133</f>
        <v>H</v>
      </c>
      <c r="G133" s="212" t="s">
        <v>1158</v>
      </c>
      <c r="H133" s="213">
        <v>74204</v>
      </c>
      <c r="I133" s="213">
        <f>IF('SFD Allowable GSF Calculation'!$D$2=1,'SFD Allowable GSF Calculation'!$P133,'SFD Allowable GSF Calculation'!$X133)</f>
        <v>74653</v>
      </c>
      <c r="J133" s="214">
        <f>$I133*'Model Data Inputs'!$B$165</f>
        <v>85850.95</v>
      </c>
      <c r="K133" s="214">
        <f>IF($L133&gt;='Model Data Inputs'!$B$164,$H133,MIN($H133,$J133))</f>
        <v>74204</v>
      </c>
      <c r="L133" s="233">
        <v>1980</v>
      </c>
      <c r="M133" s="196">
        <f>IF($L133&gt;0,'Model Data Inputs'!$B$157-$L133,"")</f>
        <v>37</v>
      </c>
      <c r="N133" s="216">
        <v>32</v>
      </c>
      <c r="O133" s="218">
        <f>SUM('School Level Inst. Resources'!$L125,'School Level Inst. Resources'!$L131,'School Level Inst. Resources'!$L133)</f>
        <v>262.17833333333334</v>
      </c>
      <c r="P133" s="218">
        <f>IF($G133="T",SUMIFS('School Level ADM'!$S$5:$S$359,'School Level ADM'!$A$5:$A$359,$A133),0)</f>
        <v>1703.5450000000001</v>
      </c>
      <c r="Q133" s="219">
        <f t="shared" si="14"/>
        <v>0.15390161887906298</v>
      </c>
      <c r="R133" s="234">
        <f>SUM((('School Level Inst. Resources'!I133/'Model Data Inputs'!$B$8)*(1+'Model Data Inputs'!$B$9)),(SUM('School Level Inst. Resources'!J133:K133)/'Model Data Inputs'!$C$8)*(1+'Model Data Inputs'!$C$9),'School Level Inst. Resources'!K133/400)</f>
        <v>6.1761979565217384</v>
      </c>
      <c r="S133" s="234">
        <f>SUM(R125,R131,R133)</f>
        <v>16.465138367149756</v>
      </c>
      <c r="T133" s="221">
        <f>IF($G133="T",VLOOKUP($A133,'Total O &amp; M Resources'!$A$5:$K$52,3),0)</f>
        <v>16306459.910000002</v>
      </c>
      <c r="U133" s="222">
        <f>IF($G133="F",0,$S133/'Model Data Inputs'!$B$140)</f>
        <v>1.2665491051653659</v>
      </c>
      <c r="V133" s="222">
        <f>IF($G133="F",0,$O133/'Model Data Inputs'!$B$141)</f>
        <v>0.80670256410256413</v>
      </c>
      <c r="W133" s="222">
        <f>IF($G133="F",0,$N133/'Model Data Inputs'!$B$142)</f>
        <v>2.4615384615384617</v>
      </c>
      <c r="X133" s="222">
        <f>IF($G133="F",0,$K133/'Model Data Inputs'!$B$143)</f>
        <v>4.1224444444444446</v>
      </c>
      <c r="Y133" s="222">
        <f t="shared" si="9"/>
        <v>2.164308643812709</v>
      </c>
      <c r="Z133" s="222">
        <f>IF(OR($G133="F",$F133="E"),0,'Model Data Inputs'!$B$144)</f>
        <v>0.5</v>
      </c>
      <c r="AA133" s="222">
        <f>IF(AND($O133&lt;='Model Data Inputs'!$B$139,$F133="E"),0,IF(AND($O133&lt;='Model Data Inputs'!$B$139,$F133="M"),0,IF(AND($O133&lt;='Model Data Inputs'!$B$139,$F133="H"),0,IF(SUM($Y133:$Z133)&lt;1,1,SUM($Y133:$Z133)))))</f>
        <v>2.664308643812709</v>
      </c>
      <c r="AB133" s="222">
        <f>($K133/'Model Data Inputs'!$B$143)*'Model Data Inputs'!$B$145</f>
        <v>0.41224444444444447</v>
      </c>
      <c r="AC133" s="222">
        <f t="shared" si="10"/>
        <v>3.0765530882571537</v>
      </c>
      <c r="AD133" s="222">
        <f>IF($G133="F",0,'Model Data Inputs'!$B$147)</f>
        <v>1.1000000000000001</v>
      </c>
      <c r="AE133" s="222">
        <f>IF($G133="F",0,($K133/'Model Data Inputs'!$B$148)*'Model Data Inputs'!$B$149)</f>
        <v>1.4840799999999998</v>
      </c>
      <c r="AF133" s="222">
        <f>IF($G133="F",0,($O133/'Model Data Inputs'!$B$150)*'Model Data Inputs'!$B$151)</f>
        <v>0.34083183333333339</v>
      </c>
      <c r="AG133" s="222">
        <f>IF($G133="F",0,(($Q133*$T133)/'Model Data Inputs'!$B$152)*'Model Data Inputs'!$B$153)</f>
        <v>0.60230173880052951</v>
      </c>
      <c r="AH133" s="222">
        <f t="shared" si="11"/>
        <v>0.88180339303346578</v>
      </c>
      <c r="AI133" s="223">
        <f>IF(OR($G133="F",$F133="M",$F133="H"),0,($AH133*'Model Data Inputs'!$B$154)-$AH133)</f>
        <v>0</v>
      </c>
      <c r="AJ133" s="222">
        <f>IF(OR($G133="F",$F133="E",$F133="H"),0,($AH133*'Model Data Inputs'!$B$155)-$AH133)</f>
        <v>0</v>
      </c>
      <c r="AK133" s="223">
        <f>IF(OR($G133="F",$F133="E",$F133="M"),0,($AH133*'Model Data Inputs'!$B$156)-$AH133)</f>
        <v>0.88180339303346578</v>
      </c>
      <c r="AL133" s="223">
        <f>IF($G133="F",0,IF($M133&lt;'Model Data Inputs'!$B$158,$AH133*('Model Data Inputs'!$B$159-1),0))</f>
        <v>0</v>
      </c>
      <c r="AM133" s="222">
        <f>IF($G133="F",0,IF($M133&gt;'Model Data Inputs'!$B$160,$AH133*('Model Data Inputs'!$B$161-1),0))</f>
        <v>8.818033930334665E-2</v>
      </c>
      <c r="AN133" s="222">
        <f>IF($G133="F",0,IF($P133&lt;'Model Data Inputs'!$B$162,SUM($AH133,$AI133,$AJ133,$AK133,$AL133,$AM133)*('Model Data Inputs'!$B$163-1),0))</f>
        <v>0</v>
      </c>
      <c r="AO133" s="222">
        <f t="shared" si="12"/>
        <v>1.8517871253702782</v>
      </c>
      <c r="AP133" s="224">
        <f>$K133*'Model Data Inputs'!$B$166</f>
        <v>49716.68</v>
      </c>
      <c r="AQ133" s="224">
        <f>($K133*'Model Data Inputs'!$B$145)*'Model Data Inputs'!$B$166</f>
        <v>4971.6680000000006</v>
      </c>
      <c r="AR133" s="225">
        <f t="shared" si="13"/>
        <v>54688.347999999998</v>
      </c>
    </row>
    <row r="134" spans="1:44" s="226" customFormat="1" x14ac:dyDescent="0.2">
      <c r="A134" s="210" t="str">
        <f>'School Level Inst. Resources'!A134</f>
        <v>0801000</v>
      </c>
      <c r="B134" s="210" t="str">
        <f>'School Level Inst. Resources'!B134</f>
        <v>Goshen #1</v>
      </c>
      <c r="C134" s="210" t="str">
        <f>'School Level Inst. Resources'!C134</f>
        <v>0801058</v>
      </c>
      <c r="D134" s="210" t="str">
        <f>'School Level Inst. Resources'!D134</f>
        <v>Lingle-Ft. Laramie High School</v>
      </c>
      <c r="E134" s="211" t="str">
        <f>'School Level Inst. Resources'!E134</f>
        <v>9-12</v>
      </c>
      <c r="F134" s="212" t="str">
        <f>'School Level Inst. Resources'!H134</f>
        <v>H</v>
      </c>
      <c r="G134" s="212" t="s">
        <v>1158</v>
      </c>
      <c r="H134" s="213">
        <v>59619</v>
      </c>
      <c r="I134" s="257">
        <f>IF('SFD Allowable GSF Calculation'!$D$2=1,'SFD Allowable GSF Calculation'!$P134,'SFD Allowable GSF Calculation'!$X134)</f>
        <v>55625</v>
      </c>
      <c r="J134" s="214">
        <f>$I134*'Model Data Inputs'!$B$165</f>
        <v>63968.749999999993</v>
      </c>
      <c r="K134" s="214">
        <f>IF($L134&gt;='Model Data Inputs'!$B$164,$H134,MIN($H134,$J134))</f>
        <v>59619</v>
      </c>
      <c r="L134" s="233">
        <v>1964</v>
      </c>
      <c r="M134" s="196">
        <f>IF($L134&gt;0,'Model Data Inputs'!$B$157-$L134,"")</f>
        <v>53</v>
      </c>
      <c r="N134" s="216">
        <v>25</v>
      </c>
      <c r="O134" s="218">
        <f>SUM('School Level Inst. Resources'!$L130,'School Level Inst. Resources'!$L134)</f>
        <v>138.08100000000002</v>
      </c>
      <c r="P134" s="218">
        <f>IF($G134="T",SUMIFS('School Level ADM'!$S$5:$S$359,'School Level ADM'!$A$5:$A$359,$A134),0)</f>
        <v>1703.5450000000001</v>
      </c>
      <c r="Q134" s="219">
        <f t="shared" si="14"/>
        <v>8.1055093936467787E-2</v>
      </c>
      <c r="R134" s="234">
        <f>SUM((('School Level Inst. Resources'!I134/'Model Data Inputs'!$B$8)*(1+'Model Data Inputs'!$B$9)),(SUM('School Level Inst. Resources'!J134:K134)/'Model Data Inputs'!$C$8)*(1+'Model Data Inputs'!$C$9),'School Level Inst. Resources'!K134/400)</f>
        <v>5.2573797391304344</v>
      </c>
      <c r="S134" s="234">
        <f>SUM(R130,R134)</f>
        <v>8.2200978115942043</v>
      </c>
      <c r="T134" s="221">
        <f>IF($G134="T",VLOOKUP($A134,'Total O &amp; M Resources'!$A$5:$K$52,3),0)</f>
        <v>16306459.910000002</v>
      </c>
      <c r="U134" s="222">
        <f>IF($G134="F",0,$S134/'Model Data Inputs'!$B$140)</f>
        <v>0.63231521627647724</v>
      </c>
      <c r="V134" s="222">
        <f>IF($G134="F",0,$O134/'Model Data Inputs'!$B$141)</f>
        <v>0.42486461538461545</v>
      </c>
      <c r="W134" s="222">
        <f>IF($G134="F",0,$N134/'Model Data Inputs'!$B$142)</f>
        <v>1.9230769230769231</v>
      </c>
      <c r="X134" s="222">
        <f>IF($G134="F",0,$K134/'Model Data Inputs'!$B$143)</f>
        <v>3.3121666666666667</v>
      </c>
      <c r="Y134" s="222">
        <f t="shared" ref="Y134:Y197" si="15">AVERAGE(U134:X134)</f>
        <v>1.5731058553511708</v>
      </c>
      <c r="Z134" s="222">
        <f>IF(OR($G134="F",$F134="E"),0,'Model Data Inputs'!$B$144)</f>
        <v>0.5</v>
      </c>
      <c r="AA134" s="222">
        <f>IF(AND($O134&lt;='Model Data Inputs'!$B$139,$F134="E"),0,IF(AND($O134&lt;='Model Data Inputs'!$B$139,$F134="M"),0,IF(AND($O134&lt;='Model Data Inputs'!$B$139,$F134="H"),0,IF(SUM($Y134:$Z134)&lt;1,1,SUM($Y134:$Z134)))))</f>
        <v>2.0731058553511708</v>
      </c>
      <c r="AB134" s="222">
        <f>($K134/'Model Data Inputs'!$B$143)*'Model Data Inputs'!$B$145</f>
        <v>0.33121666666666671</v>
      </c>
      <c r="AC134" s="222">
        <f t="shared" ref="AC134:AC197" si="16">SUM(AA134:AB134)</f>
        <v>2.4043225220178375</v>
      </c>
      <c r="AD134" s="222">
        <f>IF($G134="F",0,'Model Data Inputs'!$B$147)</f>
        <v>1.1000000000000001</v>
      </c>
      <c r="AE134" s="222">
        <f>IF($G134="F",0,($K134/'Model Data Inputs'!$B$148)*'Model Data Inputs'!$B$149)</f>
        <v>1.19238</v>
      </c>
      <c r="AF134" s="222">
        <f>IF($G134="F",0,($O134/'Model Data Inputs'!$B$150)*'Model Data Inputs'!$B$151)</f>
        <v>0.17950530000000001</v>
      </c>
      <c r="AG134" s="222">
        <f>IF($G134="F",0,(($Q134*$T134)/'Model Data Inputs'!$B$152)*'Model Data Inputs'!$B$153)</f>
        <v>0.31721319354631111</v>
      </c>
      <c r="AH134" s="222">
        <f t="shared" ref="AH134:AH197" si="17">AVERAGE($AD134:$AG134)</f>
        <v>0.69727462338657786</v>
      </c>
      <c r="AI134" s="223">
        <f>IF(OR($G134="F",$F134="M",$F134="H"),0,($AH134*'Model Data Inputs'!$B$154)-$AH134)</f>
        <v>0</v>
      </c>
      <c r="AJ134" s="222">
        <f>IF(OR($G134="F",$F134="E",$F134="H"),0,($AH134*'Model Data Inputs'!$B$155)-$AH134)</f>
        <v>0</v>
      </c>
      <c r="AK134" s="223">
        <f>IF(OR($G134="F",$F134="E",$F134="M"),0,($AH134*'Model Data Inputs'!$B$156)-$AH134)</f>
        <v>0.69727462338657786</v>
      </c>
      <c r="AL134" s="223">
        <f>IF($G134="F",0,IF($M134&lt;'Model Data Inputs'!$B$158,$AH134*('Model Data Inputs'!$B$159-1),0))</f>
        <v>0</v>
      </c>
      <c r="AM134" s="222">
        <f>IF($G134="F",0,IF($M134&gt;'Model Data Inputs'!$B$160,$AH134*('Model Data Inputs'!$B$161-1),0))</f>
        <v>6.9727462338657842E-2</v>
      </c>
      <c r="AN134" s="222">
        <f>IF($G134="F",0,IF($P134&lt;'Model Data Inputs'!$B$162,SUM($AH134,$AI134,$AJ134,$AK134,$AL134,$AM134)*('Model Data Inputs'!$B$163-1),0))</f>
        <v>0</v>
      </c>
      <c r="AO134" s="222">
        <f t="shared" ref="AO134:AO197" si="18">SUM(AH134:AN134)</f>
        <v>1.4642767091118136</v>
      </c>
      <c r="AP134" s="224">
        <f>$K134*'Model Data Inputs'!$B$166</f>
        <v>39944.730000000003</v>
      </c>
      <c r="AQ134" s="224">
        <f>($K134*'Model Data Inputs'!$B$145)*'Model Data Inputs'!$B$166</f>
        <v>3994.4730000000004</v>
      </c>
      <c r="AR134" s="225">
        <f t="shared" ref="AR134:AR197" si="19">SUM(AP134:AQ134)</f>
        <v>43939.203000000001</v>
      </c>
    </row>
    <row r="135" spans="1:44" x14ac:dyDescent="0.2">
      <c r="A135" s="227" t="str">
        <f>'School Level Inst. Resources'!A135</f>
        <v>0801000</v>
      </c>
      <c r="B135" s="227" t="str">
        <f>'School Level Inst. Resources'!B135</f>
        <v>Goshen #1</v>
      </c>
      <c r="C135" s="227" t="str">
        <f>'School Level Inst. Resources'!C135</f>
        <v>0801059</v>
      </c>
      <c r="D135" s="227" t="str">
        <f>'School Level Inst. Resources'!D135</f>
        <v>Torrington High School</v>
      </c>
      <c r="E135" s="228" t="str">
        <f>'School Level Inst. Resources'!E135</f>
        <v>9-12</v>
      </c>
      <c r="F135" s="229" t="str">
        <f>'School Level Inst. Resources'!H135</f>
        <v>H</v>
      </c>
      <c r="G135" s="229" t="s">
        <v>1158</v>
      </c>
      <c r="H135" s="207">
        <v>118387</v>
      </c>
      <c r="I135" s="207">
        <f>IF('SFD Allowable GSF Calculation'!$D$2=1,'SFD Allowable GSF Calculation'!$P135,'SFD Allowable GSF Calculation'!$X135)</f>
        <v>86177</v>
      </c>
      <c r="J135" s="194">
        <f>$I135*'Model Data Inputs'!$B$165</f>
        <v>99103.549999999988</v>
      </c>
      <c r="K135" s="194">
        <f>IF($L135&gt;='Model Data Inputs'!$B$164,$H135,MIN($H135,$J135))</f>
        <v>99103.549999999988</v>
      </c>
      <c r="L135" s="208">
        <v>1981</v>
      </c>
      <c r="M135" s="196">
        <f>IF($L135&gt;0,'Model Data Inputs'!$B$157-$L135,"")</f>
        <v>36</v>
      </c>
      <c r="N135" s="209">
        <v>46</v>
      </c>
      <c r="O135" s="198">
        <f>'School Level Inst. Resources'!$L135</f>
        <v>356.23599999999999</v>
      </c>
      <c r="P135" s="198">
        <f>IF($G135="T",SUMIFS('School Level ADM'!$S$5:$S$359,'School Level ADM'!$A$5:$A$359,$A135),0)</f>
        <v>1703.5450000000001</v>
      </c>
      <c r="Q135" s="199">
        <f t="shared" ref="Q135:Q198" si="20">IF($G135="F",0,$O135/$P135)</f>
        <v>0.20911452295067051</v>
      </c>
      <c r="R135" s="200">
        <f>SUM((('School Level Inst. Resources'!I135/'Model Data Inputs'!$B$8)*(1+'Model Data Inputs'!$B$9)),(SUM('School Level Inst. Resources'!J135:K135)/'Model Data Inputs'!$C$8)*(1+'Model Data Inputs'!$C$9),'School Level Inst. Resources'!K135/400)</f>
        <v>21.536789478260868</v>
      </c>
      <c r="S135" s="200">
        <f t="shared" ref="S135:S198" si="21">R135</f>
        <v>21.536789478260868</v>
      </c>
      <c r="T135" s="201">
        <f>IF($G135="T",VLOOKUP($A135,'Total O &amp; M Resources'!$A$5:$K$52,3),0)</f>
        <v>16306459.910000002</v>
      </c>
      <c r="U135" s="202">
        <f>IF($G135="F",0,$S135/'Model Data Inputs'!$B$140)</f>
        <v>1.6566761137123744</v>
      </c>
      <c r="V135" s="202">
        <f>IF($G135="F",0,$O135/'Model Data Inputs'!$B$141)</f>
        <v>1.0961107692307692</v>
      </c>
      <c r="W135" s="202">
        <f>IF($G135="F",0,$N135/'Model Data Inputs'!$B$142)</f>
        <v>3.5384615384615383</v>
      </c>
      <c r="X135" s="202">
        <f>IF($G135="F",0,$K135/'Model Data Inputs'!$B$143)</f>
        <v>5.5057527777777775</v>
      </c>
      <c r="Y135" s="202">
        <f t="shared" si="15"/>
        <v>2.9492502997956151</v>
      </c>
      <c r="Z135" s="202">
        <f>IF(OR($G135="F",$F135="E"),0,'Model Data Inputs'!$B$144)</f>
        <v>0.5</v>
      </c>
      <c r="AA135" s="202">
        <f>IF(AND($O135&lt;='Model Data Inputs'!$B$139,$F135="E"),0,IF(AND($O135&lt;='Model Data Inputs'!$B$139,$F135="M"),0,IF(AND($O135&lt;='Model Data Inputs'!$B$139,$F135="H"),0,IF(SUM($Y135:$Z135)&lt;1,1,SUM($Y135:$Z135)))))</f>
        <v>3.4492502997956151</v>
      </c>
      <c r="AB135" s="202">
        <f>($K135/'Model Data Inputs'!$B$143)*'Model Data Inputs'!$B$145</f>
        <v>0.55057527777777782</v>
      </c>
      <c r="AC135" s="202">
        <f t="shared" si="16"/>
        <v>3.9998255775733931</v>
      </c>
      <c r="AD135" s="202">
        <f>IF($G135="F",0,'Model Data Inputs'!$B$147)</f>
        <v>1.1000000000000001</v>
      </c>
      <c r="AE135" s="202">
        <f>IF($G135="F",0,($K135/'Model Data Inputs'!$B$148)*'Model Data Inputs'!$B$149)</f>
        <v>1.9820709999999997</v>
      </c>
      <c r="AF135" s="202">
        <f>IF($G135="F",0,($O135/'Model Data Inputs'!$B$150)*'Model Data Inputs'!$B$151)</f>
        <v>0.46310679999999999</v>
      </c>
      <c r="AG135" s="202">
        <f>IF($G135="F",0,(($Q135*$T135)/'Model Data Inputs'!$B$152)*'Model Data Inputs'!$B$153)</f>
        <v>0.81838022042253211</v>
      </c>
      <c r="AH135" s="202">
        <f t="shared" si="17"/>
        <v>1.0908895051056331</v>
      </c>
      <c r="AI135" s="203">
        <f>IF(OR($G135="F",$F135="M",$F135="H"),0,($AH135*'Model Data Inputs'!$B$154)-$AH135)</f>
        <v>0</v>
      </c>
      <c r="AJ135" s="202">
        <f>IF(OR($G135="F",$F135="E",$F135="H"),0,($AH135*'Model Data Inputs'!$B$155)-$AH135)</f>
        <v>0</v>
      </c>
      <c r="AK135" s="203">
        <f>IF(OR($G135="F",$F135="E",$F135="M"),0,($AH135*'Model Data Inputs'!$B$156)-$AH135)</f>
        <v>1.0908895051056331</v>
      </c>
      <c r="AL135" s="203">
        <f>IF($G135="F",0,IF($M135&lt;'Model Data Inputs'!$B$158,$AH135*('Model Data Inputs'!$B$159-1),0))</f>
        <v>0</v>
      </c>
      <c r="AM135" s="202">
        <f>IF($G135="F",0,IF($M135&gt;'Model Data Inputs'!$B$160,$AH135*('Model Data Inputs'!$B$161-1),0))</f>
        <v>0.1090889505105634</v>
      </c>
      <c r="AN135" s="202">
        <f>IF($G135="F",0,IF($P135&lt;'Model Data Inputs'!$B$162,SUM($AH135,$AI135,$AJ135,$AK135,$AL135,$AM135)*('Model Data Inputs'!$B$163-1),0))</f>
        <v>0</v>
      </c>
      <c r="AO135" s="202">
        <f t="shared" si="18"/>
        <v>2.2908679607218296</v>
      </c>
      <c r="AP135" s="204">
        <f>$K135*'Model Data Inputs'!$B$166</f>
        <v>66399.378499999992</v>
      </c>
      <c r="AQ135" s="204">
        <f>($K135*'Model Data Inputs'!$B$145)*'Model Data Inputs'!$B$166</f>
        <v>6639.9378500000003</v>
      </c>
      <c r="AR135" s="50">
        <f t="shared" si="19"/>
        <v>73039.316349999994</v>
      </c>
    </row>
    <row r="136" spans="1:44" x14ac:dyDescent="0.2">
      <c r="A136" s="227" t="str">
        <f>'School Level Inst. Resources'!A136</f>
        <v>0901000</v>
      </c>
      <c r="B136" s="227" t="str">
        <f>'School Level Inst. Resources'!B136</f>
        <v>Hot Springs #1</v>
      </c>
      <c r="C136" s="227" t="str">
        <f>'School Level Inst. Resources'!C136</f>
        <v>0901004</v>
      </c>
      <c r="D136" s="227" t="str">
        <f>'School Level Inst. Resources'!D136</f>
        <v>Ralph Witters Elementary</v>
      </c>
      <c r="E136" s="228" t="str">
        <f>'School Level Inst. Resources'!E136</f>
        <v>P-4</v>
      </c>
      <c r="F136" s="229" t="str">
        <f>'School Level Inst. Resources'!H136</f>
        <v>E</v>
      </c>
      <c r="G136" s="229" t="s">
        <v>1158</v>
      </c>
      <c r="H136" s="207">
        <v>52783</v>
      </c>
      <c r="I136" s="207">
        <f>IF('SFD Allowable GSF Calculation'!$D$2=1,'SFD Allowable GSF Calculation'!$P136,'SFD Allowable GSF Calculation'!$X136)</f>
        <v>37821</v>
      </c>
      <c r="J136" s="194">
        <f>$I136*'Model Data Inputs'!$B$165</f>
        <v>43494.149999999994</v>
      </c>
      <c r="K136" s="194">
        <f>IF($L136&gt;='Model Data Inputs'!$B$164,$H136,MIN($H136,$J136))</f>
        <v>43494.149999999994</v>
      </c>
      <c r="L136" s="208">
        <v>1952</v>
      </c>
      <c r="M136" s="196">
        <f>IF($L136&gt;0,'Model Data Inputs'!$B$157-$L136,"")</f>
        <v>65</v>
      </c>
      <c r="N136" s="209">
        <v>27</v>
      </c>
      <c r="O136" s="198">
        <f>'School Level Inst. Resources'!$L136</f>
        <v>247.23500000000001</v>
      </c>
      <c r="P136" s="198">
        <f>IF($G136="T",SUMIFS('School Level ADM'!$S$5:$S$359,'School Level ADM'!$A$5:$A$359,$A136),0)</f>
        <v>662.90499999999997</v>
      </c>
      <c r="Q136" s="199">
        <f t="shared" si="20"/>
        <v>0.3729569093610699</v>
      </c>
      <c r="R136" s="200">
        <f>SUM((('School Level Inst. Resources'!I136/'Model Data Inputs'!$B$8)*(1+'Model Data Inputs'!$B$9)),(SUM('School Level Inst. Resources'!J136:K136)/'Model Data Inputs'!$C$8)*(1+'Model Data Inputs'!$C$9),'School Level Inst. Resources'!K136/400)</f>
        <v>16.482333333333333</v>
      </c>
      <c r="S136" s="200">
        <f t="shared" si="21"/>
        <v>16.482333333333333</v>
      </c>
      <c r="T136" s="201">
        <f>IF($G136="T",VLOOKUP($A136,'Total O &amp; M Resources'!$A$5:$K$52,3),0)</f>
        <v>7452789.5500000007</v>
      </c>
      <c r="U136" s="202">
        <f>IF($G136="F",0,$S136/'Model Data Inputs'!$B$140)</f>
        <v>1.2678717948717948</v>
      </c>
      <c r="V136" s="202">
        <f>IF($G136="F",0,$O136/'Model Data Inputs'!$B$141)</f>
        <v>0.76072307692307695</v>
      </c>
      <c r="W136" s="202">
        <f>IF($G136="F",0,$N136/'Model Data Inputs'!$B$142)</f>
        <v>2.0769230769230771</v>
      </c>
      <c r="X136" s="202">
        <f>IF($G136="F",0,$K136/'Model Data Inputs'!$B$143)</f>
        <v>2.4163416666666664</v>
      </c>
      <c r="Y136" s="202">
        <f t="shared" si="15"/>
        <v>1.6304649038461538</v>
      </c>
      <c r="Z136" s="202">
        <f>IF(OR($G136="F",$F136="E"),0,'Model Data Inputs'!$B$144)</f>
        <v>0</v>
      </c>
      <c r="AA136" s="202">
        <f>IF(AND($O136&lt;='Model Data Inputs'!$B$139,$F136="E"),0,IF(AND($O136&lt;='Model Data Inputs'!$B$139,$F136="M"),0,IF(AND($O136&lt;='Model Data Inputs'!$B$139,$F136="H"),0,IF(SUM($Y136:$Z136)&lt;1,1,SUM($Y136:$Z136)))))</f>
        <v>1.6304649038461538</v>
      </c>
      <c r="AB136" s="202">
        <f>($K136/'Model Data Inputs'!$B$143)*'Model Data Inputs'!$B$145</f>
        <v>0.24163416666666665</v>
      </c>
      <c r="AC136" s="202">
        <f t="shared" si="16"/>
        <v>1.8720990705128204</v>
      </c>
      <c r="AD136" s="202">
        <f>IF($G136="F",0,'Model Data Inputs'!$B$147)</f>
        <v>1.1000000000000001</v>
      </c>
      <c r="AE136" s="202">
        <f>IF($G136="F",0,($K136/'Model Data Inputs'!$B$148)*'Model Data Inputs'!$B$149)</f>
        <v>0.86988299999999985</v>
      </c>
      <c r="AF136" s="202">
        <f>IF($G136="F",0,($O136/'Model Data Inputs'!$B$150)*'Model Data Inputs'!$B$151)</f>
        <v>0.32140550000000001</v>
      </c>
      <c r="AG136" s="202">
        <f>IF($G136="F",0,(($Q136*$T136)/'Model Data Inputs'!$B$152)*'Model Data Inputs'!$B$153)</f>
        <v>0.66709664560475501</v>
      </c>
      <c r="AH136" s="202">
        <f t="shared" si="17"/>
        <v>0.73959628640118869</v>
      </c>
      <c r="AI136" s="203">
        <f>IF(OR($G136="F",$F136="M",$F136="H"),0,($AH136*'Model Data Inputs'!$B$154)-$AH136)</f>
        <v>-0.14791925728023769</v>
      </c>
      <c r="AJ136" s="202">
        <f>IF(OR($G136="F",$F136="E",$F136="H"),0,($AH136*'Model Data Inputs'!$B$155)-$AH136)</f>
        <v>0</v>
      </c>
      <c r="AK136" s="203">
        <f>IF(OR($G136="F",$F136="E",$F136="M"),0,($AH136*'Model Data Inputs'!$B$156)-$AH136)</f>
        <v>0</v>
      </c>
      <c r="AL136" s="203">
        <f>IF($G136="F",0,IF($M136&lt;'Model Data Inputs'!$B$158,$AH136*('Model Data Inputs'!$B$159-1),0))</f>
        <v>0</v>
      </c>
      <c r="AM136" s="202">
        <f>IF($G136="F",0,IF($M136&gt;'Model Data Inputs'!$B$160,$AH136*('Model Data Inputs'!$B$161-1),0))</f>
        <v>7.395962864011893E-2</v>
      </c>
      <c r="AN136" s="202">
        <f>IF($G136="F",0,IF($P136&lt;'Model Data Inputs'!$B$162,SUM($AH136,$AI136,$AJ136,$AK136,$AL136,$AM136)*('Model Data Inputs'!$B$163-1),0))</f>
        <v>6.6563665776107048E-2</v>
      </c>
      <c r="AO136" s="202">
        <f t="shared" si="18"/>
        <v>0.73220032353717701</v>
      </c>
      <c r="AP136" s="204">
        <f>$K136*'Model Data Inputs'!$B$166</f>
        <v>29141.080499999996</v>
      </c>
      <c r="AQ136" s="204">
        <f>($K136*'Model Data Inputs'!$B$145)*'Model Data Inputs'!$B$166</f>
        <v>2914.1080500000003</v>
      </c>
      <c r="AR136" s="50">
        <f t="shared" si="19"/>
        <v>32055.188549999995</v>
      </c>
    </row>
    <row r="137" spans="1:44" x14ac:dyDescent="0.2">
      <c r="A137" s="227" t="str">
        <f>'School Level Inst. Resources'!A137</f>
        <v>0901000</v>
      </c>
      <c r="B137" s="227" t="str">
        <f>'School Level Inst. Resources'!B137</f>
        <v>Hot Springs #1</v>
      </c>
      <c r="C137" s="227" t="str">
        <f>'School Level Inst. Resources'!C137</f>
        <v>0901050</v>
      </c>
      <c r="D137" s="227" t="str">
        <f>'School Level Inst. Resources'!D137</f>
        <v>Thermopolis Middle School</v>
      </c>
      <c r="E137" s="228" t="str">
        <f>'School Level Inst. Resources'!E137</f>
        <v>5-8</v>
      </c>
      <c r="F137" s="229" t="str">
        <f>'School Level Inst. Resources'!H137</f>
        <v>M</v>
      </c>
      <c r="G137" s="229" t="s">
        <v>1158</v>
      </c>
      <c r="H137" s="207">
        <v>82143</v>
      </c>
      <c r="I137" s="207">
        <f>IF('SFD Allowable GSF Calculation'!$D$2=1,'SFD Allowable GSF Calculation'!$P137,'SFD Allowable GSF Calculation'!$X137)</f>
        <v>51283</v>
      </c>
      <c r="J137" s="194">
        <f>$I137*'Model Data Inputs'!$B$165</f>
        <v>58975.45</v>
      </c>
      <c r="K137" s="194">
        <f>IF($L137&gt;='Model Data Inputs'!$B$164,$H137,MIN($H137,$J137))</f>
        <v>58975.45</v>
      </c>
      <c r="L137" s="208">
        <v>1997</v>
      </c>
      <c r="M137" s="196">
        <f>IF($L137&gt;0,'Model Data Inputs'!$B$157-$L137,"")</f>
        <v>20</v>
      </c>
      <c r="N137" s="209">
        <v>24</v>
      </c>
      <c r="O137" s="198">
        <f>'School Level Inst. Resources'!$L137</f>
        <v>213.745</v>
      </c>
      <c r="P137" s="198">
        <f>IF($G137="T",SUMIFS('School Level ADM'!$S$5:$S$359,'School Level ADM'!$A$5:$A$359,$A137),0)</f>
        <v>662.90499999999997</v>
      </c>
      <c r="Q137" s="199">
        <f t="shared" si="20"/>
        <v>0.32243684992570582</v>
      </c>
      <c r="R137" s="200">
        <f>SUM((('School Level Inst. Resources'!I137/'Model Data Inputs'!$B$8)*(1+'Model Data Inputs'!$B$9)),(SUM('School Level Inst. Resources'!J137:K137)/'Model Data Inputs'!$C$8)*(1+'Model Data Inputs'!$C$9),'School Level Inst. Resources'!K137/400)</f>
        <v>12.387916739130436</v>
      </c>
      <c r="S137" s="200">
        <f t="shared" si="21"/>
        <v>12.387916739130436</v>
      </c>
      <c r="T137" s="201">
        <f>IF($G137="T",VLOOKUP($A137,'Total O &amp; M Resources'!$A$5:$K$52,3),0)</f>
        <v>7452789.5500000007</v>
      </c>
      <c r="U137" s="202">
        <f>IF($G137="F",0,$S137/'Model Data Inputs'!$B$140)</f>
        <v>0.95291667224080279</v>
      </c>
      <c r="V137" s="202">
        <f>IF($G137="F",0,$O137/'Model Data Inputs'!$B$141)</f>
        <v>0.65767692307692305</v>
      </c>
      <c r="W137" s="202">
        <f>IF($G137="F",0,$N137/'Model Data Inputs'!$B$142)</f>
        <v>1.8461538461538463</v>
      </c>
      <c r="X137" s="202">
        <f>IF($G137="F",0,$K137/'Model Data Inputs'!$B$143)</f>
        <v>3.2764138888888885</v>
      </c>
      <c r="Y137" s="202">
        <f t="shared" si="15"/>
        <v>1.6832903325901152</v>
      </c>
      <c r="Z137" s="202">
        <f>IF(OR($G137="F",$F137="E"),0,'Model Data Inputs'!$B$144)</f>
        <v>0.5</v>
      </c>
      <c r="AA137" s="202">
        <f>IF(AND($O137&lt;='Model Data Inputs'!$B$139,$F137="E"),0,IF(AND($O137&lt;='Model Data Inputs'!$B$139,$F137="M"),0,IF(AND($O137&lt;='Model Data Inputs'!$B$139,$F137="H"),0,IF(SUM($Y137:$Z137)&lt;1,1,SUM($Y137:$Z137)))))</f>
        <v>2.183290332590115</v>
      </c>
      <c r="AB137" s="202">
        <f>($K137/'Model Data Inputs'!$B$143)*'Model Data Inputs'!$B$145</f>
        <v>0.32764138888888888</v>
      </c>
      <c r="AC137" s="202">
        <f t="shared" si="16"/>
        <v>2.5109317214790039</v>
      </c>
      <c r="AD137" s="202">
        <f>IF($G137="F",0,'Model Data Inputs'!$B$147)</f>
        <v>1.1000000000000001</v>
      </c>
      <c r="AE137" s="202">
        <f>IF($G137="F",0,($K137/'Model Data Inputs'!$B$148)*'Model Data Inputs'!$B$149)</f>
        <v>1.1795089999999999</v>
      </c>
      <c r="AF137" s="202">
        <f>IF($G137="F",0,($O137/'Model Data Inputs'!$B$150)*'Model Data Inputs'!$B$151)</f>
        <v>0.27786850000000002</v>
      </c>
      <c r="AG137" s="202">
        <f>IF($G137="F",0,(($Q137*$T137)/'Model Data Inputs'!$B$152)*'Model Data Inputs'!$B$153)</f>
        <v>0.5767329565586925</v>
      </c>
      <c r="AH137" s="202">
        <f t="shared" si="17"/>
        <v>0.78352761413967309</v>
      </c>
      <c r="AI137" s="203">
        <f>IF(OR($G137="F",$F137="M",$F137="H"),0,($AH137*'Model Data Inputs'!$B$154)-$AH137)</f>
        <v>0</v>
      </c>
      <c r="AJ137" s="202">
        <f>IF(OR($G137="F",$F137="E",$F137="H"),0,($AH137*'Model Data Inputs'!$B$155)-$AH137)</f>
        <v>0</v>
      </c>
      <c r="AK137" s="203">
        <f>IF(OR($G137="F",$F137="E",$F137="M"),0,($AH137*'Model Data Inputs'!$B$156)-$AH137)</f>
        <v>0</v>
      </c>
      <c r="AL137" s="203">
        <f>IF($G137="F",0,IF($M137&lt;'Model Data Inputs'!$B$158,$AH137*('Model Data Inputs'!$B$159-1),0))</f>
        <v>0</v>
      </c>
      <c r="AM137" s="202">
        <f>IF($G137="F",0,IF($M137&gt;'Model Data Inputs'!$B$160,$AH137*('Model Data Inputs'!$B$161-1),0))</f>
        <v>0</v>
      </c>
      <c r="AN137" s="202">
        <f>IF($G137="F",0,IF($P137&lt;'Model Data Inputs'!$B$162,SUM($AH137,$AI137,$AJ137,$AK137,$AL137,$AM137)*('Model Data Inputs'!$B$163-1),0))</f>
        <v>7.8352761413967381E-2</v>
      </c>
      <c r="AO137" s="202">
        <f t="shared" si="18"/>
        <v>0.8618803755536405</v>
      </c>
      <c r="AP137" s="204">
        <f>$K137*'Model Data Inputs'!$B$166</f>
        <v>39513.551500000001</v>
      </c>
      <c r="AQ137" s="204">
        <f>($K137*'Model Data Inputs'!$B$145)*'Model Data Inputs'!$B$166</f>
        <v>3951.3551500000003</v>
      </c>
      <c r="AR137" s="50">
        <f t="shared" si="19"/>
        <v>43464.906650000004</v>
      </c>
    </row>
    <row r="138" spans="1:44" x14ac:dyDescent="0.2">
      <c r="A138" s="227" t="str">
        <f>'School Level Inst. Resources'!A138</f>
        <v>0901000</v>
      </c>
      <c r="B138" s="227" t="str">
        <f>'School Level Inst. Resources'!B138</f>
        <v>Hot Springs #1</v>
      </c>
      <c r="C138" s="227" t="str">
        <f>'School Level Inst. Resources'!C138</f>
        <v>0901055</v>
      </c>
      <c r="D138" s="227" t="str">
        <f>'School Level Inst. Resources'!D138</f>
        <v>Hot Springs County High School</v>
      </c>
      <c r="E138" s="228" t="str">
        <f>'School Level Inst. Resources'!E138</f>
        <v>9-12</v>
      </c>
      <c r="F138" s="229" t="str">
        <f>'School Level Inst. Resources'!H138</f>
        <v>H</v>
      </c>
      <c r="G138" s="229" t="s">
        <v>1158</v>
      </c>
      <c r="H138" s="207">
        <v>161795</v>
      </c>
      <c r="I138" s="207">
        <f>IF('SFD Allowable GSF Calculation'!$D$2=1,'SFD Allowable GSF Calculation'!$P138,'SFD Allowable GSF Calculation'!$X138)</f>
        <v>67265</v>
      </c>
      <c r="J138" s="194">
        <f>$I138*'Model Data Inputs'!$B$165</f>
        <v>77354.75</v>
      </c>
      <c r="K138" s="194">
        <f>IF($L138&gt;='Model Data Inputs'!$B$164,$H138,MIN($H138,$J138))</f>
        <v>161795</v>
      </c>
      <c r="L138" s="208">
        <v>2006</v>
      </c>
      <c r="M138" s="196">
        <f>IF($L138&gt;0,'Model Data Inputs'!$B$157-$L138,"")</f>
        <v>11</v>
      </c>
      <c r="N138" s="209">
        <v>40</v>
      </c>
      <c r="O138" s="198">
        <f>'School Level Inst. Resources'!$L138</f>
        <v>201.92499999999998</v>
      </c>
      <c r="P138" s="198">
        <f>IF($G138="T",SUMIFS('School Level ADM'!$S$5:$S$359,'School Level ADM'!$A$5:$A$359,$A138),0)</f>
        <v>662.90499999999997</v>
      </c>
      <c r="Q138" s="199">
        <f t="shared" si="20"/>
        <v>0.30460624071322434</v>
      </c>
      <c r="R138" s="200">
        <f>SUM((('School Level Inst. Resources'!I138/'Model Data Inputs'!$B$8)*(1+'Model Data Inputs'!$B$9)),(SUM('School Level Inst. Resources'!J138:K138)/'Model Data Inputs'!$C$8)*(1+'Model Data Inputs'!$C$9),'School Level Inst. Resources'!K138/400)</f>
        <v>12.207683152173912</v>
      </c>
      <c r="S138" s="200">
        <f t="shared" si="21"/>
        <v>12.207683152173912</v>
      </c>
      <c r="T138" s="201">
        <f>IF($G138="T",VLOOKUP($A138,'Total O &amp; M Resources'!$A$5:$K$52,3),0)</f>
        <v>7452789.5500000007</v>
      </c>
      <c r="U138" s="202">
        <f>IF($G138="F",0,$S138/'Model Data Inputs'!$B$140)</f>
        <v>0.939052550167224</v>
      </c>
      <c r="V138" s="202">
        <f>IF($G138="F",0,$O138/'Model Data Inputs'!$B$141)</f>
        <v>0.62130769230769223</v>
      </c>
      <c r="W138" s="202">
        <f>IF($G138="F",0,$N138/'Model Data Inputs'!$B$142)</f>
        <v>3.0769230769230771</v>
      </c>
      <c r="X138" s="202">
        <f>IF($G138="F",0,$K138/'Model Data Inputs'!$B$143)</f>
        <v>8.988611111111112</v>
      </c>
      <c r="Y138" s="202">
        <f t="shared" si="15"/>
        <v>3.4064736076272766</v>
      </c>
      <c r="Z138" s="202">
        <f>IF(OR($G138="F",$F138="E"),0,'Model Data Inputs'!$B$144)</f>
        <v>0.5</v>
      </c>
      <c r="AA138" s="202">
        <f>IF(AND($O138&lt;='Model Data Inputs'!$B$139,$F138="E"),0,IF(AND($O138&lt;='Model Data Inputs'!$B$139,$F138="M"),0,IF(AND($O138&lt;='Model Data Inputs'!$B$139,$F138="H"),0,IF(SUM($Y138:$Z138)&lt;1,1,SUM($Y138:$Z138)))))</f>
        <v>3.9064736076272766</v>
      </c>
      <c r="AB138" s="202">
        <f>($K138/'Model Data Inputs'!$B$143)*'Model Data Inputs'!$B$145</f>
        <v>0.89886111111111122</v>
      </c>
      <c r="AC138" s="202">
        <f t="shared" si="16"/>
        <v>4.8053347187383881</v>
      </c>
      <c r="AD138" s="202">
        <f>IF($G138="F",0,'Model Data Inputs'!$B$147)</f>
        <v>1.1000000000000001</v>
      </c>
      <c r="AE138" s="202">
        <f>IF($G138="F",0,($K138/'Model Data Inputs'!$B$148)*'Model Data Inputs'!$B$149)</f>
        <v>3.2359</v>
      </c>
      <c r="AF138" s="202">
        <f>IF($G138="F",0,($O138/'Model Data Inputs'!$B$150)*'Model Data Inputs'!$B$151)</f>
        <v>0.26250250000000003</v>
      </c>
      <c r="AG138" s="202">
        <f>IF($G138="F",0,(($Q138*$T138)/'Model Data Inputs'!$B$152)*'Model Data Inputs'!$B$153)</f>
        <v>0.54483988983655274</v>
      </c>
      <c r="AH138" s="202">
        <f t="shared" si="17"/>
        <v>1.2858105974591383</v>
      </c>
      <c r="AI138" s="203">
        <f>IF(OR($G138="F",$F138="M",$F138="H"),0,($AH138*'Model Data Inputs'!$B$154)-$AH138)</f>
        <v>0</v>
      </c>
      <c r="AJ138" s="202">
        <f>IF(OR($G138="F",$F138="E",$F138="H"),0,($AH138*'Model Data Inputs'!$B$155)-$AH138)</f>
        <v>0</v>
      </c>
      <c r="AK138" s="203">
        <f>IF(OR($G138="F",$F138="E",$F138="M"),0,($AH138*'Model Data Inputs'!$B$156)-$AH138)</f>
        <v>1.2858105974591383</v>
      </c>
      <c r="AL138" s="203">
        <f>IF($G138="F",0,IF($M138&lt;'Model Data Inputs'!$B$158,$AH138*('Model Data Inputs'!$B$159-1),0))</f>
        <v>0</v>
      </c>
      <c r="AM138" s="202">
        <f>IF($G138="F",0,IF($M138&gt;'Model Data Inputs'!$B$160,$AH138*('Model Data Inputs'!$B$161-1),0))</f>
        <v>0</v>
      </c>
      <c r="AN138" s="202">
        <f>IF($G138="F",0,IF($P138&lt;'Model Data Inputs'!$B$162,SUM($AH138,$AI138,$AJ138,$AK138,$AL138,$AM138)*('Model Data Inputs'!$B$163-1),0))</f>
        <v>0.25716211949182788</v>
      </c>
      <c r="AO138" s="202">
        <f t="shared" si="18"/>
        <v>2.8287833144101047</v>
      </c>
      <c r="AP138" s="204">
        <f>$K138*'Model Data Inputs'!$B$166</f>
        <v>108402.65000000001</v>
      </c>
      <c r="AQ138" s="204">
        <f>($K138*'Model Data Inputs'!$B$145)*'Model Data Inputs'!$B$166</f>
        <v>10840.265000000001</v>
      </c>
      <c r="AR138" s="50">
        <f t="shared" si="19"/>
        <v>119242.91500000001</v>
      </c>
    </row>
    <row r="139" spans="1:44" x14ac:dyDescent="0.2">
      <c r="A139" s="227" t="str">
        <f>'School Level Inst. Resources'!A139</f>
        <v>1001000</v>
      </c>
      <c r="B139" s="227" t="str">
        <f>'School Level Inst. Resources'!B139</f>
        <v>Johnson #1</v>
      </c>
      <c r="C139" s="227" t="str">
        <f>'School Level Inst. Resources'!C139</f>
        <v>1001002</v>
      </c>
      <c r="D139" s="227" t="str">
        <f>'School Level Inst. Resources'!D139</f>
        <v>Cloud Peak Elementary</v>
      </c>
      <c r="E139" s="228" t="str">
        <f>'School Level Inst. Resources'!E139</f>
        <v>3-5</v>
      </c>
      <c r="F139" s="229" t="str">
        <f>'School Level Inst. Resources'!H139</f>
        <v>E</v>
      </c>
      <c r="G139" s="229" t="s">
        <v>1158</v>
      </c>
      <c r="H139" s="207">
        <v>58504</v>
      </c>
      <c r="I139" s="207">
        <f>IF('SFD Allowable GSF Calculation'!$D$2=1,'SFD Allowable GSF Calculation'!$P139,'SFD Allowable GSF Calculation'!$X139)</f>
        <v>42704</v>
      </c>
      <c r="J139" s="194">
        <f>$I139*'Model Data Inputs'!$B$165</f>
        <v>49109.599999999999</v>
      </c>
      <c r="K139" s="194">
        <f>IF($L139&gt;='Model Data Inputs'!$B$164,$H139,MIN($H139,$J139))</f>
        <v>58504</v>
      </c>
      <c r="L139" s="208">
        <v>2013</v>
      </c>
      <c r="M139" s="196">
        <f>IF($L139&gt;0,'Model Data Inputs'!$B$157-$L139,"")</f>
        <v>4</v>
      </c>
      <c r="N139" s="209">
        <v>29</v>
      </c>
      <c r="O139" s="198">
        <f>'School Level Inst. Resources'!$L139</f>
        <v>279.74</v>
      </c>
      <c r="P139" s="198">
        <f>IF($G139="T",SUMIFS('School Level ADM'!$S$5:$S$359,'School Level ADM'!$A$5:$A$359,$A139),0)</f>
        <v>1269.665</v>
      </c>
      <c r="Q139" s="199">
        <f t="shared" si="20"/>
        <v>0.22032583397982933</v>
      </c>
      <c r="R139" s="200">
        <f>SUM((('School Level Inst. Resources'!I139/'Model Data Inputs'!$B$8)*(1+'Model Data Inputs'!$B$9)),(SUM('School Level Inst. Resources'!J139:K139)/'Model Data Inputs'!$C$8)*(1+'Model Data Inputs'!$C$9),'School Level Inst. Resources'!K139/400)</f>
        <v>18.649333333333335</v>
      </c>
      <c r="S139" s="200">
        <f t="shared" si="21"/>
        <v>18.649333333333335</v>
      </c>
      <c r="T139" s="201">
        <f>IF($G139="T",VLOOKUP($A139,'Total O &amp; M Resources'!$A$5:$K$52,3),0)</f>
        <v>11761951.219999999</v>
      </c>
      <c r="U139" s="202">
        <f>IF($G139="F",0,$S139/'Model Data Inputs'!$B$140)</f>
        <v>1.4345641025641027</v>
      </c>
      <c r="V139" s="202">
        <f>IF($G139="F",0,$O139/'Model Data Inputs'!$B$141)</f>
        <v>0.86073846153846156</v>
      </c>
      <c r="W139" s="202">
        <f>IF($G139="F",0,$N139/'Model Data Inputs'!$B$142)</f>
        <v>2.2307692307692308</v>
      </c>
      <c r="X139" s="202">
        <f>IF($G139="F",0,$K139/'Model Data Inputs'!$B$143)</f>
        <v>3.2502222222222223</v>
      </c>
      <c r="Y139" s="202">
        <f t="shared" si="15"/>
        <v>1.9440735042735042</v>
      </c>
      <c r="Z139" s="202">
        <f>IF(OR($G139="F",$F139="E"),0,'Model Data Inputs'!$B$144)</f>
        <v>0</v>
      </c>
      <c r="AA139" s="202">
        <f>IF(AND($O139&lt;='Model Data Inputs'!$B$139,$F139="E"),0,IF(AND($O139&lt;='Model Data Inputs'!$B$139,$F139="M"),0,IF(AND($O139&lt;='Model Data Inputs'!$B$139,$F139="H"),0,IF(SUM($Y139:$Z139)&lt;1,1,SUM($Y139:$Z139)))))</f>
        <v>1.9440735042735042</v>
      </c>
      <c r="AB139" s="202">
        <f>($K139/'Model Data Inputs'!$B$143)*'Model Data Inputs'!$B$145</f>
        <v>0.32502222222222227</v>
      </c>
      <c r="AC139" s="202">
        <f t="shared" si="16"/>
        <v>2.2690957264957263</v>
      </c>
      <c r="AD139" s="202">
        <f>IF($G139="F",0,'Model Data Inputs'!$B$147)</f>
        <v>1.1000000000000001</v>
      </c>
      <c r="AE139" s="202">
        <f>IF($G139="F",0,($K139/'Model Data Inputs'!$B$148)*'Model Data Inputs'!$B$149)</f>
        <v>1.17008</v>
      </c>
      <c r="AF139" s="202">
        <f>IF($G139="F",0,($O139/'Model Data Inputs'!$B$150)*'Model Data Inputs'!$B$151)</f>
        <v>0.36366199999999999</v>
      </c>
      <c r="AG139" s="202">
        <f>IF($G139="F",0,(($Q139*$T139)/'Model Data Inputs'!$B$152)*'Model Data Inputs'!$B$153)</f>
        <v>0.62195081082637704</v>
      </c>
      <c r="AH139" s="202">
        <f t="shared" si="17"/>
        <v>0.81392320270659435</v>
      </c>
      <c r="AI139" s="203">
        <f>IF(OR($G139="F",$F139="M",$F139="H"),0,($AH139*'Model Data Inputs'!$B$154)-$AH139)</f>
        <v>-0.1627846405413188</v>
      </c>
      <c r="AJ139" s="202">
        <f>IF(OR($G139="F",$F139="E",$F139="H"),0,($AH139*'Model Data Inputs'!$B$155)-$AH139)</f>
        <v>0</v>
      </c>
      <c r="AK139" s="203">
        <f>IF(OR($G139="F",$F139="E",$F139="M"),0,($AH139*'Model Data Inputs'!$B$156)-$AH139)</f>
        <v>0</v>
      </c>
      <c r="AL139" s="203">
        <f>IF($G139="F",0,IF($M139&lt;'Model Data Inputs'!$B$158,$AH139*('Model Data Inputs'!$B$159-1),0))</f>
        <v>-4.0696160135329756E-2</v>
      </c>
      <c r="AM139" s="202">
        <f>IF($G139="F",0,IF($M139&gt;'Model Data Inputs'!$B$160,$AH139*('Model Data Inputs'!$B$161-1),0))</f>
        <v>0</v>
      </c>
      <c r="AN139" s="202">
        <f>IF($G139="F",0,IF($P139&lt;'Model Data Inputs'!$B$162,SUM($AH139,$AI139,$AJ139,$AK139,$AL139,$AM139)*('Model Data Inputs'!$B$163-1),0))</f>
        <v>0</v>
      </c>
      <c r="AO139" s="202">
        <f t="shared" si="18"/>
        <v>0.61044240202994582</v>
      </c>
      <c r="AP139" s="204">
        <f>$K139*'Model Data Inputs'!$B$166</f>
        <v>39197.68</v>
      </c>
      <c r="AQ139" s="204">
        <f>($K139*'Model Data Inputs'!$B$145)*'Model Data Inputs'!$B$166</f>
        <v>3919.7680000000005</v>
      </c>
      <c r="AR139" s="50">
        <f t="shared" si="19"/>
        <v>43117.448000000004</v>
      </c>
    </row>
    <row r="140" spans="1:44" x14ac:dyDescent="0.2">
      <c r="A140" s="227" t="str">
        <f>'School Level Inst. Resources'!A140</f>
        <v>1001000</v>
      </c>
      <c r="B140" s="227" t="str">
        <f>'School Level Inst. Resources'!B140</f>
        <v>Johnson #1</v>
      </c>
      <c r="C140" s="227" t="str">
        <f>'School Level Inst. Resources'!C140</f>
        <v>1001006</v>
      </c>
      <c r="D140" s="227" t="str">
        <f>'School Level Inst. Resources'!D140</f>
        <v>Meadowlark Elementary</v>
      </c>
      <c r="E140" s="228" t="str">
        <f>'School Level Inst. Resources'!E140</f>
        <v>K-2</v>
      </c>
      <c r="F140" s="229" t="str">
        <f>'School Level Inst. Resources'!H140</f>
        <v>E</v>
      </c>
      <c r="G140" s="229" t="s">
        <v>1158</v>
      </c>
      <c r="H140" s="207">
        <v>55499</v>
      </c>
      <c r="I140" s="207">
        <f>IF('SFD Allowable GSF Calculation'!$D$2=1,'SFD Allowable GSF Calculation'!$P140,'SFD Allowable GSF Calculation'!$X140)</f>
        <v>42230</v>
      </c>
      <c r="J140" s="194">
        <f>$I140*'Model Data Inputs'!$B$165</f>
        <v>48564.499999999993</v>
      </c>
      <c r="K140" s="194">
        <f>IF($L140&gt;='Model Data Inputs'!$B$164,$H140,MIN($H140,$J140))</f>
        <v>48564.499999999993</v>
      </c>
      <c r="L140" s="208">
        <v>1979</v>
      </c>
      <c r="M140" s="196">
        <f>IF($L140&gt;0,'Model Data Inputs'!$B$157-$L140,"")</f>
        <v>38</v>
      </c>
      <c r="N140" s="209">
        <v>34</v>
      </c>
      <c r="O140" s="198">
        <f>'School Level Inst. Resources'!$L140</f>
        <v>261.02499999999998</v>
      </c>
      <c r="P140" s="198">
        <f>IF($G140="T",SUMIFS('School Level ADM'!$S$5:$S$359,'School Level ADM'!$A$5:$A$359,$A140),0)</f>
        <v>1269.665</v>
      </c>
      <c r="Q140" s="199">
        <f t="shared" si="20"/>
        <v>0.2055857253685027</v>
      </c>
      <c r="R140" s="200">
        <f>SUM((('School Level Inst. Resources'!I140/'Model Data Inputs'!$B$8)*(1+'Model Data Inputs'!$B$9)),(SUM('School Level Inst. Resources'!J140:K140)/'Model Data Inputs'!$C$8)*(1+'Model Data Inputs'!$C$9),'School Level Inst. Resources'!K140/400)</f>
        <v>17.401666666666664</v>
      </c>
      <c r="S140" s="200">
        <f t="shared" si="21"/>
        <v>17.401666666666664</v>
      </c>
      <c r="T140" s="201">
        <f>IF($G140="T",VLOOKUP($A140,'Total O &amp; M Resources'!$A$5:$K$52,3),0)</f>
        <v>11761951.219999999</v>
      </c>
      <c r="U140" s="202">
        <f>IF($G140="F",0,$S140/'Model Data Inputs'!$B$140)</f>
        <v>1.3385897435897434</v>
      </c>
      <c r="V140" s="202">
        <f>IF($G140="F",0,$O140/'Model Data Inputs'!$B$141)</f>
        <v>0.80315384615384611</v>
      </c>
      <c r="W140" s="202">
        <f>IF($G140="F",0,$N140/'Model Data Inputs'!$B$142)</f>
        <v>2.6153846153846154</v>
      </c>
      <c r="X140" s="202">
        <f>IF($G140="F",0,$K140/'Model Data Inputs'!$B$143)</f>
        <v>2.6980277777777775</v>
      </c>
      <c r="Y140" s="202">
        <f t="shared" si="15"/>
        <v>1.8637889957264955</v>
      </c>
      <c r="Z140" s="202">
        <f>IF(OR($G140="F",$F140="E"),0,'Model Data Inputs'!$B$144)</f>
        <v>0</v>
      </c>
      <c r="AA140" s="202">
        <f>IF(AND($O140&lt;='Model Data Inputs'!$B$139,$F140="E"),0,IF(AND($O140&lt;='Model Data Inputs'!$B$139,$F140="M"),0,IF(AND($O140&lt;='Model Data Inputs'!$B$139,$F140="H"),0,IF(SUM($Y140:$Z140)&lt;1,1,SUM($Y140:$Z140)))))</f>
        <v>1.8637889957264955</v>
      </c>
      <c r="AB140" s="202">
        <f>($K140/'Model Data Inputs'!$B$143)*'Model Data Inputs'!$B$145</f>
        <v>0.26980277777777778</v>
      </c>
      <c r="AC140" s="202">
        <f t="shared" si="16"/>
        <v>2.1335917735042731</v>
      </c>
      <c r="AD140" s="202">
        <f>IF($G140="F",0,'Model Data Inputs'!$B$147)</f>
        <v>1.1000000000000001</v>
      </c>
      <c r="AE140" s="202">
        <f>IF($G140="F",0,($K140/'Model Data Inputs'!$B$148)*'Model Data Inputs'!$B$149)</f>
        <v>0.97128999999999976</v>
      </c>
      <c r="AF140" s="202">
        <f>IF($G140="F",0,($O140/'Model Data Inputs'!$B$150)*'Model Data Inputs'!$B$151)</f>
        <v>0.33933249999999993</v>
      </c>
      <c r="AG140" s="202">
        <f>IF($G140="F",0,(($Q140*$T140)/'Model Data Inputs'!$B$152)*'Model Data Inputs'!$B$153)</f>
        <v>0.58034142559503477</v>
      </c>
      <c r="AH140" s="202">
        <f t="shared" si="17"/>
        <v>0.74774098139875855</v>
      </c>
      <c r="AI140" s="203">
        <f>IF(OR($G140="F",$F140="M",$F140="H"),0,($AH140*'Model Data Inputs'!$B$154)-$AH140)</f>
        <v>-0.14954819627975169</v>
      </c>
      <c r="AJ140" s="202">
        <f>IF(OR($G140="F",$F140="E",$F140="H"),0,($AH140*'Model Data Inputs'!$B$155)-$AH140)</f>
        <v>0</v>
      </c>
      <c r="AK140" s="203">
        <f>IF(OR($G140="F",$F140="E",$F140="M"),0,($AH140*'Model Data Inputs'!$B$156)-$AH140)</f>
        <v>0</v>
      </c>
      <c r="AL140" s="203">
        <f>IF($G140="F",0,IF($M140&lt;'Model Data Inputs'!$B$158,$AH140*('Model Data Inputs'!$B$159-1),0))</f>
        <v>0</v>
      </c>
      <c r="AM140" s="202">
        <f>IF($G140="F",0,IF($M140&gt;'Model Data Inputs'!$B$160,$AH140*('Model Data Inputs'!$B$161-1),0))</f>
        <v>7.4774098139875927E-2</v>
      </c>
      <c r="AN140" s="202">
        <f>IF($G140="F",0,IF($P140&lt;'Model Data Inputs'!$B$162,SUM($AH140,$AI140,$AJ140,$AK140,$AL140,$AM140)*('Model Data Inputs'!$B$163-1),0))</f>
        <v>0</v>
      </c>
      <c r="AO140" s="202">
        <f t="shared" si="18"/>
        <v>0.67296688325888276</v>
      </c>
      <c r="AP140" s="204">
        <f>$K140*'Model Data Inputs'!$B$166</f>
        <v>32538.214999999997</v>
      </c>
      <c r="AQ140" s="204">
        <f>($K140*'Model Data Inputs'!$B$145)*'Model Data Inputs'!$B$166</f>
        <v>3253.8215</v>
      </c>
      <c r="AR140" s="50">
        <f t="shared" si="19"/>
        <v>35792.036499999995</v>
      </c>
    </row>
    <row r="141" spans="1:44" x14ac:dyDescent="0.2">
      <c r="A141" s="227" t="str">
        <f>'School Level Inst. Resources'!A141</f>
        <v>1001000</v>
      </c>
      <c r="B141" s="227" t="str">
        <f>'School Level Inst. Resources'!B141</f>
        <v>Johnson #1</v>
      </c>
      <c r="C141" s="227" t="str">
        <f>'School Level Inst. Resources'!C141</f>
        <v>1001049</v>
      </c>
      <c r="D141" s="227" t="str">
        <f>'School Level Inst. Resources'!D141</f>
        <v>Kaycee School</v>
      </c>
      <c r="E141" s="228" t="str">
        <f>'School Level Inst. Resources'!E141</f>
        <v>K-12</v>
      </c>
      <c r="F141" s="245" t="str">
        <f>'School Level Inst. Resources'!H141</f>
        <v>H</v>
      </c>
      <c r="G141" s="245" t="s">
        <v>1158</v>
      </c>
      <c r="H141" s="207">
        <v>69252</v>
      </c>
      <c r="I141" s="207">
        <f>IF('SFD Allowable GSF Calculation'!$D$2=1,'SFD Allowable GSF Calculation'!$P141,'SFD Allowable GSF Calculation'!$X141)</f>
        <v>55831</v>
      </c>
      <c r="J141" s="194">
        <f>$I141*'Model Data Inputs'!$B$165</f>
        <v>64205.649999999994</v>
      </c>
      <c r="K141" s="194">
        <f>IF($L141&gt;='Model Data Inputs'!$B$164,$H141,MIN($H141,$J141))</f>
        <v>69252</v>
      </c>
      <c r="L141" s="208">
        <v>2005</v>
      </c>
      <c r="M141" s="196">
        <f>IF($L141&gt;0,'Model Data Inputs'!$B$157-$L141,"")</f>
        <v>12</v>
      </c>
      <c r="N141" s="209">
        <v>27</v>
      </c>
      <c r="O141" s="198">
        <f>'School Level Inst. Resources'!$L141</f>
        <v>149.71999999999997</v>
      </c>
      <c r="P141" s="198">
        <f>IF($G141="T",SUMIFS('School Level ADM'!$S$5:$S$359,'School Level ADM'!$A$5:$A$359,$A141),0)</f>
        <v>1269.665</v>
      </c>
      <c r="Q141" s="199">
        <f t="shared" si="20"/>
        <v>0.11792086889061286</v>
      </c>
      <c r="R141" s="200">
        <f>SUM((('School Level Inst. Resources'!I141/'Model Data Inputs'!$B$8)*(1+'Model Data Inputs'!$B$9)),(SUM('School Level Inst. Resources'!J141:K141)/'Model Data Inputs'!$C$8)*(1+'Model Data Inputs'!$C$9),'School Level Inst. Resources'!K141/400)</f>
        <v>9.3029110144927518</v>
      </c>
      <c r="S141" s="200">
        <f t="shared" si="21"/>
        <v>9.3029110144927518</v>
      </c>
      <c r="T141" s="201">
        <f>IF($G141="T",VLOOKUP($A141,'Total O &amp; M Resources'!$A$5:$K$52,3),0)</f>
        <v>11761951.219999999</v>
      </c>
      <c r="U141" s="202">
        <f>IF($G141="F",0,$S141/'Model Data Inputs'!$B$140)</f>
        <v>0.7156085395763655</v>
      </c>
      <c r="V141" s="202">
        <f>IF($G141="F",0,$O141/'Model Data Inputs'!$B$141)</f>
        <v>0.46067692307692298</v>
      </c>
      <c r="W141" s="202">
        <f>IF($G141="F",0,$N141/'Model Data Inputs'!$B$142)</f>
        <v>2.0769230769230771</v>
      </c>
      <c r="X141" s="202">
        <f>IF($G141="F",0,$K141/'Model Data Inputs'!$B$143)</f>
        <v>3.8473333333333333</v>
      </c>
      <c r="Y141" s="202">
        <f t="shared" si="15"/>
        <v>1.7751354682274247</v>
      </c>
      <c r="Z141" s="202">
        <f>IF(OR($G141="F",$F141="E"),0,'Model Data Inputs'!$B$144)</f>
        <v>0.5</v>
      </c>
      <c r="AA141" s="202">
        <f>IF(AND($O141&lt;='Model Data Inputs'!$B$139,$F141="E"),0,IF(AND($O141&lt;='Model Data Inputs'!$B$139,$F141="M"),0,IF(AND($O141&lt;='Model Data Inputs'!$B$139,$F141="H"),0,IF(SUM($Y141:$Z141)&lt;1,1,SUM($Y141:$Z141)))))</f>
        <v>2.2751354682274245</v>
      </c>
      <c r="AB141" s="202">
        <f>($K141/'Model Data Inputs'!$B$143)*'Model Data Inputs'!$B$145</f>
        <v>0.38473333333333337</v>
      </c>
      <c r="AC141" s="202">
        <f t="shared" si="16"/>
        <v>2.6598688015607577</v>
      </c>
      <c r="AD141" s="202">
        <f>IF($G141="F",0,'Model Data Inputs'!$B$147)</f>
        <v>1.1000000000000001</v>
      </c>
      <c r="AE141" s="202">
        <f>IF($G141="F",0,($K141/'Model Data Inputs'!$B$148)*'Model Data Inputs'!$B$149)</f>
        <v>1.3850399999999998</v>
      </c>
      <c r="AF141" s="202">
        <f>IF($G141="F",0,($O141/'Model Data Inputs'!$B$150)*'Model Data Inputs'!$B$151)</f>
        <v>0.19463599999999995</v>
      </c>
      <c r="AG141" s="202">
        <f>IF($G141="F",0,(($Q141*$T141)/'Model Data Inputs'!$B$152)*'Model Data Inputs'!$B$153)</f>
        <v>0.33287508185073694</v>
      </c>
      <c r="AH141" s="202">
        <f t="shared" si="17"/>
        <v>0.75313777046268415</v>
      </c>
      <c r="AI141" s="203">
        <f>IF(OR($G141="F",$F141="M",$F141="H"),0,($AH141*'Model Data Inputs'!$B$154)-$AH141)</f>
        <v>0</v>
      </c>
      <c r="AJ141" s="202">
        <f>IF(OR($G141="F",$F141="E",$F141="H"),0,($AH141*'Model Data Inputs'!$B$155)-$AH141)</f>
        <v>0</v>
      </c>
      <c r="AK141" s="203">
        <f>IF(OR($G141="F",$F141="E",$F141="M"),0,($AH141*'Model Data Inputs'!$B$156)-$AH141)</f>
        <v>0.75313777046268415</v>
      </c>
      <c r="AL141" s="203">
        <f>IF($G141="F",0,IF($M141&lt;'Model Data Inputs'!$B$158,$AH141*('Model Data Inputs'!$B$159-1),0))</f>
        <v>0</v>
      </c>
      <c r="AM141" s="202">
        <f>IF($G141="F",0,IF($M141&gt;'Model Data Inputs'!$B$160,$AH141*('Model Data Inputs'!$B$161-1),0))</f>
        <v>0</v>
      </c>
      <c r="AN141" s="202">
        <f>IF($G141="F",0,IF($P141&lt;'Model Data Inputs'!$B$162,SUM($AH141,$AI141,$AJ141,$AK141,$AL141,$AM141)*('Model Data Inputs'!$B$163-1),0))</f>
        <v>0</v>
      </c>
      <c r="AO141" s="202">
        <f t="shared" si="18"/>
        <v>1.5062755409253683</v>
      </c>
      <c r="AP141" s="204">
        <f>$K141*'Model Data Inputs'!$B$166</f>
        <v>46398.840000000004</v>
      </c>
      <c r="AQ141" s="204">
        <f>($K141*'Model Data Inputs'!$B$145)*'Model Data Inputs'!$B$166</f>
        <v>4639.8840000000009</v>
      </c>
      <c r="AR141" s="50">
        <f t="shared" si="19"/>
        <v>51038.724000000002</v>
      </c>
    </row>
    <row r="142" spans="1:44" x14ac:dyDescent="0.2">
      <c r="A142" s="227" t="str">
        <f>'School Level Inst. Resources'!A142</f>
        <v>1001000</v>
      </c>
      <c r="B142" s="227" t="str">
        <f>'School Level Inst. Resources'!B142</f>
        <v>Johnson #1</v>
      </c>
      <c r="C142" s="227" t="str">
        <f>'School Level Inst. Resources'!C142</f>
        <v>1001050</v>
      </c>
      <c r="D142" s="227" t="str">
        <f>'School Level Inst. Resources'!D142</f>
        <v>Clear Creek Middle School</v>
      </c>
      <c r="E142" s="228" t="str">
        <f>'School Level Inst. Resources'!E142</f>
        <v>6-8</v>
      </c>
      <c r="F142" s="229" t="str">
        <f>'School Level Inst. Resources'!H142</f>
        <v>M</v>
      </c>
      <c r="G142" s="229" t="s">
        <v>1158</v>
      </c>
      <c r="H142" s="207">
        <v>69771</v>
      </c>
      <c r="I142" s="207">
        <f>IF('SFD Allowable GSF Calculation'!$D$2=1,'SFD Allowable GSF Calculation'!$P142,'SFD Allowable GSF Calculation'!$X142)</f>
        <v>57827</v>
      </c>
      <c r="J142" s="194">
        <f>$I142*'Model Data Inputs'!$B$165</f>
        <v>66501.049999999988</v>
      </c>
      <c r="K142" s="194">
        <f>IF($L142&gt;='Model Data Inputs'!$B$164,$H142,MIN($H142,$J142))</f>
        <v>69771</v>
      </c>
      <c r="L142" s="208">
        <v>2007</v>
      </c>
      <c r="M142" s="196">
        <f>IF($L142&gt;0,'Model Data Inputs'!$B$157-$L142,"")</f>
        <v>10</v>
      </c>
      <c r="N142" s="209">
        <v>32</v>
      </c>
      <c r="O142" s="198">
        <f>'School Level Inst. Resources'!$L142</f>
        <v>270.875</v>
      </c>
      <c r="P142" s="198">
        <f>IF($G142="T",SUMIFS('School Level ADM'!$S$5:$S$359,'School Level ADM'!$A$5:$A$359,$A142),0)</f>
        <v>1269.665</v>
      </c>
      <c r="Q142" s="199">
        <f t="shared" si="20"/>
        <v>0.21334367726920095</v>
      </c>
      <c r="R142" s="200">
        <f>SUM((('School Level Inst. Resources'!I142/'Model Data Inputs'!$B$8)*(1+'Model Data Inputs'!$B$9)),(SUM('School Level Inst. Resources'!J142:K142)/'Model Data Inputs'!$C$8)*(1+'Model Data Inputs'!$C$9),'School Level Inst. Resources'!K142/400)</f>
        <v>15.698972826086957</v>
      </c>
      <c r="S142" s="200">
        <f t="shared" si="21"/>
        <v>15.698972826086957</v>
      </c>
      <c r="T142" s="201">
        <f>IF($G142="T",VLOOKUP($A142,'Total O &amp; M Resources'!$A$5:$K$52,3),0)</f>
        <v>11761951.219999999</v>
      </c>
      <c r="U142" s="202">
        <f>IF($G142="F",0,$S142/'Model Data Inputs'!$B$140)</f>
        <v>1.2076132943143814</v>
      </c>
      <c r="V142" s="202">
        <f>IF($G142="F",0,$O142/'Model Data Inputs'!$B$141)</f>
        <v>0.83346153846153848</v>
      </c>
      <c r="W142" s="202">
        <f>IF($G142="F",0,$N142/'Model Data Inputs'!$B$142)</f>
        <v>2.4615384615384617</v>
      </c>
      <c r="X142" s="202">
        <f>IF($G142="F",0,$K142/'Model Data Inputs'!$B$143)</f>
        <v>3.8761666666666668</v>
      </c>
      <c r="Y142" s="202">
        <f t="shared" si="15"/>
        <v>2.0946949902452618</v>
      </c>
      <c r="Z142" s="202">
        <f>IF(OR($G142="F",$F142="E"),0,'Model Data Inputs'!$B$144)</f>
        <v>0.5</v>
      </c>
      <c r="AA142" s="202">
        <f>IF(AND($O142&lt;='Model Data Inputs'!$B$139,$F142="E"),0,IF(AND($O142&lt;='Model Data Inputs'!$B$139,$F142="M"),0,IF(AND($O142&lt;='Model Data Inputs'!$B$139,$F142="H"),0,IF(SUM($Y142:$Z142)&lt;1,1,SUM($Y142:$Z142)))))</f>
        <v>2.5946949902452618</v>
      </c>
      <c r="AB142" s="202">
        <f>($K142/'Model Data Inputs'!$B$143)*'Model Data Inputs'!$B$145</f>
        <v>0.38761666666666672</v>
      </c>
      <c r="AC142" s="202">
        <f t="shared" si="16"/>
        <v>2.9823116569119286</v>
      </c>
      <c r="AD142" s="202">
        <f>IF($G142="F",0,'Model Data Inputs'!$B$147)</f>
        <v>1.1000000000000001</v>
      </c>
      <c r="AE142" s="202">
        <f>IF($G142="F",0,($K142/'Model Data Inputs'!$B$148)*'Model Data Inputs'!$B$149)</f>
        <v>1.3954199999999999</v>
      </c>
      <c r="AF142" s="202">
        <f>IF($G142="F",0,($O142/'Model Data Inputs'!$B$150)*'Model Data Inputs'!$B$151)</f>
        <v>0.35213749999999999</v>
      </c>
      <c r="AG142" s="202">
        <f>IF($G142="F",0,(($Q142*$T142)/'Model Data Inputs'!$B$152)*'Model Data Inputs'!$B$153)</f>
        <v>0.60224110203258341</v>
      </c>
      <c r="AH142" s="202">
        <f t="shared" si="17"/>
        <v>0.86244965050814593</v>
      </c>
      <c r="AI142" s="203">
        <f>IF(OR($G142="F",$F142="M",$F142="H"),0,($AH142*'Model Data Inputs'!$B$154)-$AH142)</f>
        <v>0</v>
      </c>
      <c r="AJ142" s="202">
        <f>IF(OR($G142="F",$F142="E",$F142="H"),0,($AH142*'Model Data Inputs'!$B$155)-$AH142)</f>
        <v>0</v>
      </c>
      <c r="AK142" s="203">
        <f>IF(OR($G142="F",$F142="E",$F142="M"),0,($AH142*'Model Data Inputs'!$B$156)-$AH142)</f>
        <v>0</v>
      </c>
      <c r="AL142" s="203">
        <f>IF($G142="F",0,IF($M142&lt;'Model Data Inputs'!$B$158,$AH142*('Model Data Inputs'!$B$159-1),0))</f>
        <v>0</v>
      </c>
      <c r="AM142" s="202">
        <f>IF($G142="F",0,IF($M142&gt;'Model Data Inputs'!$B$160,$AH142*('Model Data Inputs'!$B$161-1),0))</f>
        <v>0</v>
      </c>
      <c r="AN142" s="202">
        <f>IF($G142="F",0,IF($P142&lt;'Model Data Inputs'!$B$162,SUM($AH142,$AI142,$AJ142,$AK142,$AL142,$AM142)*('Model Data Inputs'!$B$163-1),0))</f>
        <v>0</v>
      </c>
      <c r="AO142" s="202">
        <f t="shared" si="18"/>
        <v>0.86244965050814593</v>
      </c>
      <c r="AP142" s="204">
        <f>$K142*'Model Data Inputs'!$B$166</f>
        <v>46746.57</v>
      </c>
      <c r="AQ142" s="204">
        <f>($K142*'Model Data Inputs'!$B$145)*'Model Data Inputs'!$B$166</f>
        <v>4674.6570000000002</v>
      </c>
      <c r="AR142" s="50">
        <f t="shared" si="19"/>
        <v>51421.226999999999</v>
      </c>
    </row>
    <row r="143" spans="1:44" x14ac:dyDescent="0.2">
      <c r="A143" s="227" t="str">
        <f>'School Level Inst. Resources'!A143</f>
        <v>1001000</v>
      </c>
      <c r="B143" s="227" t="str">
        <f>'School Level Inst. Resources'!B143</f>
        <v>Johnson #1</v>
      </c>
      <c r="C143" s="227" t="str">
        <f>'School Level Inst. Resources'!C143</f>
        <v>1001055</v>
      </c>
      <c r="D143" s="227" t="str">
        <f>'School Level Inst. Resources'!D143</f>
        <v>Buffalo High School</v>
      </c>
      <c r="E143" s="228" t="str">
        <f>'School Level Inst. Resources'!E143</f>
        <v>9-12</v>
      </c>
      <c r="F143" s="229" t="str">
        <f>'School Level Inst. Resources'!H143</f>
        <v>H</v>
      </c>
      <c r="G143" s="229" t="s">
        <v>1158</v>
      </c>
      <c r="H143" s="207">
        <v>139244</v>
      </c>
      <c r="I143" s="207">
        <f>IF('SFD Allowable GSF Calculation'!$D$2=1,'SFD Allowable GSF Calculation'!$P143,'SFD Allowable GSF Calculation'!$X143)</f>
        <v>79563</v>
      </c>
      <c r="J143" s="194">
        <f>$I143*'Model Data Inputs'!$B$165</f>
        <v>91497.45</v>
      </c>
      <c r="K143" s="194">
        <f>IF($L143&gt;='Model Data Inputs'!$B$164,$H143,MIN($H143,$J143))</f>
        <v>139244</v>
      </c>
      <c r="L143" s="208">
        <v>2006</v>
      </c>
      <c r="M143" s="196">
        <f>IF($L143&gt;0,'Model Data Inputs'!$B$157-$L143,"")</f>
        <v>11</v>
      </c>
      <c r="N143" s="209">
        <v>35</v>
      </c>
      <c r="O143" s="198">
        <f>'School Level Inst. Resources'!$L143</f>
        <v>308.30500000000001</v>
      </c>
      <c r="P143" s="198">
        <f>IF($G143="T",SUMIFS('School Level ADM'!$S$5:$S$359,'School Level ADM'!$A$5:$A$359,$A143),0)</f>
        <v>1269.665</v>
      </c>
      <c r="Q143" s="199">
        <f t="shared" si="20"/>
        <v>0.24282389449185415</v>
      </c>
      <c r="R143" s="200">
        <f>SUM((('School Level Inst. Resources'!I143/'Model Data Inputs'!$B$8)*(1+'Model Data Inputs'!$B$9)),(SUM('School Level Inst. Resources'!J143:K143)/'Model Data Inputs'!$C$8)*(1+'Model Data Inputs'!$C$9),'School Level Inst. Resources'!K143/400)</f>
        <v>18.63904793478261</v>
      </c>
      <c r="S143" s="200">
        <f t="shared" si="21"/>
        <v>18.63904793478261</v>
      </c>
      <c r="T143" s="201">
        <f>IF($G143="T",VLOOKUP($A143,'Total O &amp; M Resources'!$A$5:$K$52,3),0)</f>
        <v>11761951.219999999</v>
      </c>
      <c r="U143" s="202">
        <f>IF($G143="F",0,$S143/'Model Data Inputs'!$B$140)</f>
        <v>1.4337729180602008</v>
      </c>
      <c r="V143" s="202">
        <f>IF($G143="F",0,$O143/'Model Data Inputs'!$B$141)</f>
        <v>0.94863076923076928</v>
      </c>
      <c r="W143" s="202">
        <f>IF($G143="F",0,$N143/'Model Data Inputs'!$B$142)</f>
        <v>2.6923076923076925</v>
      </c>
      <c r="X143" s="202">
        <f>IF($G143="F",0,$K143/'Model Data Inputs'!$B$143)</f>
        <v>7.7357777777777779</v>
      </c>
      <c r="Y143" s="202">
        <f t="shared" si="15"/>
        <v>3.2026222893441103</v>
      </c>
      <c r="Z143" s="202">
        <f>IF(OR($G143="F",$F143="E"),0,'Model Data Inputs'!$B$144)</f>
        <v>0.5</v>
      </c>
      <c r="AA143" s="202">
        <f>IF(AND($O143&lt;='Model Data Inputs'!$B$139,$F143="E"),0,IF(AND($O143&lt;='Model Data Inputs'!$B$139,$F143="M"),0,IF(AND($O143&lt;='Model Data Inputs'!$B$139,$F143="H"),0,IF(SUM($Y143:$Z143)&lt;1,1,SUM($Y143:$Z143)))))</f>
        <v>3.7026222893441103</v>
      </c>
      <c r="AB143" s="202">
        <f>($K143/'Model Data Inputs'!$B$143)*'Model Data Inputs'!$B$145</f>
        <v>0.77357777777777781</v>
      </c>
      <c r="AC143" s="202">
        <f t="shared" si="16"/>
        <v>4.476200067121888</v>
      </c>
      <c r="AD143" s="202">
        <f>IF($G143="F",0,'Model Data Inputs'!$B$147)</f>
        <v>1.1000000000000001</v>
      </c>
      <c r="AE143" s="202">
        <f>IF($G143="F",0,($K143/'Model Data Inputs'!$B$148)*'Model Data Inputs'!$B$149)</f>
        <v>2.7848800000000002</v>
      </c>
      <c r="AF143" s="202">
        <f>IF($G143="F",0,($O143/'Model Data Inputs'!$B$150)*'Model Data Inputs'!$B$151)</f>
        <v>0.4007965</v>
      </c>
      <c r="AG143" s="202">
        <f>IF($G143="F",0,(($Q143*$T143)/'Model Data Inputs'!$B$152)*'Model Data Inputs'!$B$153)</f>
        <v>0.68545987249526763</v>
      </c>
      <c r="AH143" s="202">
        <f t="shared" si="17"/>
        <v>1.242784093123817</v>
      </c>
      <c r="AI143" s="203">
        <f>IF(OR($G143="F",$F143="M",$F143="H"),0,($AH143*'Model Data Inputs'!$B$154)-$AH143)</f>
        <v>0</v>
      </c>
      <c r="AJ143" s="202">
        <f>IF(OR($G143="F",$F143="E",$F143="H"),0,($AH143*'Model Data Inputs'!$B$155)-$AH143)</f>
        <v>0</v>
      </c>
      <c r="AK143" s="203">
        <f>IF(OR($G143="F",$F143="E",$F143="M"),0,($AH143*'Model Data Inputs'!$B$156)-$AH143)</f>
        <v>1.242784093123817</v>
      </c>
      <c r="AL143" s="203">
        <f>IF($G143="F",0,IF($M143&lt;'Model Data Inputs'!$B$158,$AH143*('Model Data Inputs'!$B$159-1),0))</f>
        <v>0</v>
      </c>
      <c r="AM143" s="202">
        <f>IF($G143="F",0,IF($M143&gt;'Model Data Inputs'!$B$160,$AH143*('Model Data Inputs'!$B$161-1),0))</f>
        <v>0</v>
      </c>
      <c r="AN143" s="202">
        <f>IF($G143="F",0,IF($P143&lt;'Model Data Inputs'!$B$162,SUM($AH143,$AI143,$AJ143,$AK143,$AL143,$AM143)*('Model Data Inputs'!$B$163-1),0))</f>
        <v>0</v>
      </c>
      <c r="AO143" s="202">
        <f t="shared" si="18"/>
        <v>2.485568186247634</v>
      </c>
      <c r="AP143" s="204">
        <f>$K143*'Model Data Inputs'!$B$166</f>
        <v>93293.48000000001</v>
      </c>
      <c r="AQ143" s="204">
        <f>($K143*'Model Data Inputs'!$B$145)*'Model Data Inputs'!$B$166</f>
        <v>9329.3480000000018</v>
      </c>
      <c r="AR143" s="50">
        <f t="shared" si="19"/>
        <v>102622.82800000001</v>
      </c>
    </row>
    <row r="144" spans="1:44" x14ac:dyDescent="0.2">
      <c r="A144" s="227" t="str">
        <f>'School Level Inst. Resources'!A144</f>
        <v>1101000</v>
      </c>
      <c r="B144" s="227" t="str">
        <f>'School Level Inst. Resources'!B144</f>
        <v>Laramie #1</v>
      </c>
      <c r="C144" s="227" t="str">
        <f>'School Level Inst. Resources'!C144</f>
        <v>1101001</v>
      </c>
      <c r="D144" s="227" t="str">
        <f>'School Level Inst. Resources'!D144</f>
        <v>Alta Vista Elementary</v>
      </c>
      <c r="E144" s="228" t="str">
        <f>'School Level Inst. Resources'!E144</f>
        <v>P-6</v>
      </c>
      <c r="F144" s="229" t="str">
        <f>'School Level Inst. Resources'!H144</f>
        <v>E</v>
      </c>
      <c r="G144" s="229" t="s">
        <v>1158</v>
      </c>
      <c r="H144" s="207">
        <v>54490</v>
      </c>
      <c r="I144" s="207">
        <f>IF('SFD Allowable GSF Calculation'!$D$2=1,'SFD Allowable GSF Calculation'!$P144,'SFD Allowable GSF Calculation'!$X144)</f>
        <v>41460</v>
      </c>
      <c r="J144" s="194">
        <f>$I144*'Model Data Inputs'!$B$165</f>
        <v>47678.999999999993</v>
      </c>
      <c r="K144" s="194">
        <f>IF($L144&gt;='Model Data Inputs'!$B$164,$H144,MIN($H144,$J144))</f>
        <v>47678.999999999993</v>
      </c>
      <c r="L144" s="208">
        <v>1987</v>
      </c>
      <c r="M144" s="196">
        <f>IF($L144&gt;0,'Model Data Inputs'!$B$157-$L144,"")</f>
        <v>30</v>
      </c>
      <c r="N144" s="209">
        <v>29</v>
      </c>
      <c r="O144" s="198">
        <f>'School Level Inst. Resources'!$L144</f>
        <v>268.90500000000003</v>
      </c>
      <c r="P144" s="198">
        <f>IF($G144="T",SUMIFS('School Level ADM'!$S$5:$S$359,'School Level ADM'!$A$5:$A$359,$A144),0)</f>
        <v>13859.934999999998</v>
      </c>
      <c r="Q144" s="199">
        <f t="shared" si="20"/>
        <v>1.9401606140288543E-2</v>
      </c>
      <c r="R144" s="200">
        <f>SUM((('School Level Inst. Resources'!I144/'Model Data Inputs'!$B$8)*(1+'Model Data Inputs'!$B$9)),(SUM('School Level Inst. Resources'!J144:K144)/'Model Data Inputs'!$C$8)*(1+'Model Data Inputs'!$C$9),'School Level Inst. Resources'!K144/400)</f>
        <v>17.927000000000003</v>
      </c>
      <c r="S144" s="200">
        <f t="shared" si="21"/>
        <v>17.927000000000003</v>
      </c>
      <c r="T144" s="201">
        <f>IF($G144="T",VLOOKUP($A144,'Total O &amp; M Resources'!$A$5:$K$52,3),0)</f>
        <v>103951852.07000002</v>
      </c>
      <c r="U144" s="202">
        <f>IF($G144="F",0,$S144/'Model Data Inputs'!$B$140)</f>
        <v>1.3790000000000002</v>
      </c>
      <c r="V144" s="202">
        <f>IF($G144="F",0,$O144/'Model Data Inputs'!$B$141)</f>
        <v>0.82740000000000014</v>
      </c>
      <c r="W144" s="202">
        <f>IF($G144="F",0,$N144/'Model Data Inputs'!$B$142)</f>
        <v>2.2307692307692308</v>
      </c>
      <c r="X144" s="202">
        <f>IF($G144="F",0,$K144/'Model Data Inputs'!$B$143)</f>
        <v>2.6488333333333332</v>
      </c>
      <c r="Y144" s="202">
        <f t="shared" si="15"/>
        <v>1.7715006410256411</v>
      </c>
      <c r="Z144" s="202">
        <f>IF(OR($G144="F",$F144="E"),0,'Model Data Inputs'!$B$144)</f>
        <v>0</v>
      </c>
      <c r="AA144" s="202">
        <f>IF(AND($O144&lt;='Model Data Inputs'!$B$139,$F144="E"),0,IF(AND($O144&lt;='Model Data Inputs'!$B$139,$F144="M"),0,IF(AND($O144&lt;='Model Data Inputs'!$B$139,$F144="H"),0,IF(SUM($Y144:$Z144)&lt;1,1,SUM($Y144:$Z144)))))</f>
        <v>1.7715006410256411</v>
      </c>
      <c r="AB144" s="202">
        <f>($K144/'Model Data Inputs'!$B$143)*'Model Data Inputs'!$B$145</f>
        <v>0.2648833333333333</v>
      </c>
      <c r="AC144" s="202">
        <f t="shared" si="16"/>
        <v>2.0363839743589742</v>
      </c>
      <c r="AD144" s="202">
        <f>IF($G144="F",0,'Model Data Inputs'!$B$147)</f>
        <v>1.1000000000000001</v>
      </c>
      <c r="AE144" s="202">
        <f>IF($G144="F",0,($K144/'Model Data Inputs'!$B$148)*'Model Data Inputs'!$B$149)</f>
        <v>0.95357999999999976</v>
      </c>
      <c r="AF144" s="202">
        <f>IF($G144="F",0,($O144/'Model Data Inputs'!$B$150)*'Model Data Inputs'!$B$151)</f>
        <v>0.34957650000000001</v>
      </c>
      <c r="AG144" s="202">
        <f>IF($G144="F",0,(($Q144*$T144)/'Model Data Inputs'!$B$152)*'Model Data Inputs'!$B$153)</f>
        <v>0.48403989393976282</v>
      </c>
      <c r="AH144" s="202">
        <f t="shared" si="17"/>
        <v>0.72179909848494062</v>
      </c>
      <c r="AI144" s="203">
        <f>IF(OR($G144="F",$F144="M",$F144="H"),0,($AH144*'Model Data Inputs'!$B$154)-$AH144)</f>
        <v>-0.14435981969698808</v>
      </c>
      <c r="AJ144" s="202">
        <f>IF(OR($G144="F",$F144="E",$F144="H"),0,($AH144*'Model Data Inputs'!$B$155)-$AH144)</f>
        <v>0</v>
      </c>
      <c r="AK144" s="203">
        <f>IF(OR($G144="F",$F144="E",$F144="M"),0,($AH144*'Model Data Inputs'!$B$156)-$AH144)</f>
        <v>0</v>
      </c>
      <c r="AL144" s="203">
        <f>IF($G144="F",0,IF($M144&lt;'Model Data Inputs'!$B$158,$AH144*('Model Data Inputs'!$B$159-1),0))</f>
        <v>0</v>
      </c>
      <c r="AM144" s="202">
        <f>IF($G144="F",0,IF($M144&gt;'Model Data Inputs'!$B$160,$AH144*('Model Data Inputs'!$B$161-1),0))</f>
        <v>0</v>
      </c>
      <c r="AN144" s="202">
        <f>IF($G144="F",0,IF($P144&lt;'Model Data Inputs'!$B$162,SUM($AH144,$AI144,$AJ144,$AK144,$AL144,$AM144)*('Model Data Inputs'!$B$163-1),0))</f>
        <v>0</v>
      </c>
      <c r="AO144" s="202">
        <f t="shared" si="18"/>
        <v>0.57743927878795254</v>
      </c>
      <c r="AP144" s="204">
        <f>$K144*'Model Data Inputs'!$B$166</f>
        <v>31944.929999999997</v>
      </c>
      <c r="AQ144" s="204">
        <f>($K144*'Model Data Inputs'!$B$145)*'Model Data Inputs'!$B$166</f>
        <v>3194.4929999999999</v>
      </c>
      <c r="AR144" s="50">
        <f t="shared" si="19"/>
        <v>35139.422999999995</v>
      </c>
    </row>
    <row r="145" spans="1:44" x14ac:dyDescent="0.2">
      <c r="A145" s="227" t="str">
        <f>'School Level Inst. Resources'!A145</f>
        <v>1101000</v>
      </c>
      <c r="B145" s="227" t="str">
        <f>'School Level Inst. Resources'!B145</f>
        <v>Laramie #1</v>
      </c>
      <c r="C145" s="227" t="str">
        <f>'School Level Inst. Resources'!C145</f>
        <v>1101002</v>
      </c>
      <c r="D145" s="227" t="str">
        <f>'School Level Inst. Resources'!D145</f>
        <v>Arp Elementary</v>
      </c>
      <c r="E145" s="228" t="str">
        <f>'School Level Inst. Resources'!E145</f>
        <v>P-6</v>
      </c>
      <c r="F145" s="229" t="str">
        <f>'School Level Inst. Resources'!H145</f>
        <v>E</v>
      </c>
      <c r="G145" s="229" t="s">
        <v>1158</v>
      </c>
      <c r="H145" s="207">
        <v>38775</v>
      </c>
      <c r="I145" s="207">
        <f>IF('SFD Allowable GSF Calculation'!$D$2=1,'SFD Allowable GSF Calculation'!$P145,'SFD Allowable GSF Calculation'!$X145)</f>
        <v>50705</v>
      </c>
      <c r="J145" s="194">
        <f>$I145*'Model Data Inputs'!$B$165</f>
        <v>58310.749999999993</v>
      </c>
      <c r="K145" s="194">
        <f>IF($L145&gt;='Model Data Inputs'!$B$164,$H145,MIN($H145,$J145))</f>
        <v>38775</v>
      </c>
      <c r="L145" s="208">
        <v>1961</v>
      </c>
      <c r="M145" s="196">
        <f>IF($L145&gt;0,'Model Data Inputs'!$B$157-$L145,"")</f>
        <v>56</v>
      </c>
      <c r="N145" s="209">
        <v>28</v>
      </c>
      <c r="O145" s="198">
        <f>'School Level Inst. Resources'!$L145</f>
        <v>339.82500000000005</v>
      </c>
      <c r="P145" s="198">
        <f>IF($G145="T",SUMIFS('School Level ADM'!$S$5:$S$359,'School Level ADM'!$A$5:$A$359,$A145),0)</f>
        <v>13859.934999999998</v>
      </c>
      <c r="Q145" s="199">
        <f t="shared" si="20"/>
        <v>2.4518513254210797E-2</v>
      </c>
      <c r="R145" s="200">
        <f>SUM((('School Level Inst. Resources'!I145/'Model Data Inputs'!$B$8)*(1+'Model Data Inputs'!$B$9)),(SUM('School Level Inst. Resources'!J145:K145)/'Model Data Inputs'!$C$8)*(1+'Model Data Inputs'!$C$9),'School Level Inst. Resources'!K145/400)</f>
        <v>22.655000000000005</v>
      </c>
      <c r="S145" s="200">
        <f t="shared" si="21"/>
        <v>22.655000000000005</v>
      </c>
      <c r="T145" s="201">
        <f>IF($G145="T",VLOOKUP($A145,'Total O &amp; M Resources'!$A$5:$K$52,3),0)</f>
        <v>103951852.07000002</v>
      </c>
      <c r="U145" s="202">
        <f>IF($G145="F",0,$S145/'Model Data Inputs'!$B$140)</f>
        <v>1.742692307692308</v>
      </c>
      <c r="V145" s="202">
        <f>IF($G145="F",0,$O145/'Model Data Inputs'!$B$141)</f>
        <v>1.0456153846153848</v>
      </c>
      <c r="W145" s="202">
        <f>IF($G145="F",0,$N145/'Model Data Inputs'!$B$142)</f>
        <v>2.1538461538461537</v>
      </c>
      <c r="X145" s="202">
        <f>IF($G145="F",0,$K145/'Model Data Inputs'!$B$143)</f>
        <v>2.1541666666666668</v>
      </c>
      <c r="Y145" s="202">
        <f t="shared" si="15"/>
        <v>1.7740801282051284</v>
      </c>
      <c r="Z145" s="202">
        <f>IF(OR($G145="F",$F145="E"),0,'Model Data Inputs'!$B$144)</f>
        <v>0</v>
      </c>
      <c r="AA145" s="202">
        <f>IF(AND($O145&lt;='Model Data Inputs'!$B$139,$F145="E"),0,IF(AND($O145&lt;='Model Data Inputs'!$B$139,$F145="M"),0,IF(AND($O145&lt;='Model Data Inputs'!$B$139,$F145="H"),0,IF(SUM($Y145:$Z145)&lt;1,1,SUM($Y145:$Z145)))))</f>
        <v>1.7740801282051284</v>
      </c>
      <c r="AB145" s="202">
        <f>($K145/'Model Data Inputs'!$B$143)*'Model Data Inputs'!$B$145</f>
        <v>0.2154166666666667</v>
      </c>
      <c r="AC145" s="202">
        <f t="shared" si="16"/>
        <v>1.989496794871795</v>
      </c>
      <c r="AD145" s="202">
        <f>IF($G145="F",0,'Model Data Inputs'!$B$147)</f>
        <v>1.1000000000000001</v>
      </c>
      <c r="AE145" s="202">
        <f>IF($G145="F",0,($K145/'Model Data Inputs'!$B$148)*'Model Data Inputs'!$B$149)</f>
        <v>0.77549999999999997</v>
      </c>
      <c r="AF145" s="202">
        <f>IF($G145="F",0,($O145/'Model Data Inputs'!$B$150)*'Model Data Inputs'!$B$151)</f>
        <v>0.44177250000000007</v>
      </c>
      <c r="AG145" s="202">
        <f>IF($G145="F",0,(($Q145*$T145)/'Model Data Inputs'!$B$152)*'Model Data Inputs'!$B$153)</f>
        <v>0.61169876706673332</v>
      </c>
      <c r="AH145" s="202">
        <f t="shared" si="17"/>
        <v>0.73224281676668335</v>
      </c>
      <c r="AI145" s="203">
        <f>IF(OR($G145="F",$F145="M",$F145="H"),0,($AH145*'Model Data Inputs'!$B$154)-$AH145)</f>
        <v>-0.14644856335333667</v>
      </c>
      <c r="AJ145" s="202">
        <f>IF(OR($G145="F",$F145="E",$F145="H"),0,($AH145*'Model Data Inputs'!$B$155)-$AH145)</f>
        <v>0</v>
      </c>
      <c r="AK145" s="203">
        <f>IF(OR($G145="F",$F145="E",$F145="M"),0,($AH145*'Model Data Inputs'!$B$156)-$AH145)</f>
        <v>0</v>
      </c>
      <c r="AL145" s="203">
        <f>IF($G145="F",0,IF($M145&lt;'Model Data Inputs'!$B$158,$AH145*('Model Data Inputs'!$B$159-1),0))</f>
        <v>0</v>
      </c>
      <c r="AM145" s="202">
        <f>IF($G145="F",0,IF($M145&gt;'Model Data Inputs'!$B$160,$AH145*('Model Data Inputs'!$B$161-1),0))</f>
        <v>7.3224281676668404E-2</v>
      </c>
      <c r="AN145" s="202">
        <f>IF($G145="F",0,IF($P145&lt;'Model Data Inputs'!$B$162,SUM($AH145,$AI145,$AJ145,$AK145,$AL145,$AM145)*('Model Data Inputs'!$B$163-1),0))</f>
        <v>0</v>
      </c>
      <c r="AO145" s="202">
        <f t="shared" si="18"/>
        <v>0.65901853509001507</v>
      </c>
      <c r="AP145" s="204">
        <f>$K145*'Model Data Inputs'!$B$166</f>
        <v>25979.25</v>
      </c>
      <c r="AQ145" s="204">
        <f>($K145*'Model Data Inputs'!$B$145)*'Model Data Inputs'!$B$166</f>
        <v>2597.9250000000002</v>
      </c>
      <c r="AR145" s="50">
        <f t="shared" si="19"/>
        <v>28577.174999999999</v>
      </c>
    </row>
    <row r="146" spans="1:44" x14ac:dyDescent="0.2">
      <c r="A146" s="227" t="str">
        <f>'School Level Inst. Resources'!A146</f>
        <v>1101000</v>
      </c>
      <c r="B146" s="227" t="str">
        <f>'School Level Inst. Resources'!B146</f>
        <v>Laramie #1</v>
      </c>
      <c r="C146" s="227" t="str">
        <f>'School Level Inst. Resources'!C146</f>
        <v>1101003</v>
      </c>
      <c r="D146" s="227" t="str">
        <f>'School Level Inst. Resources'!D146</f>
        <v>Baggs Elementary</v>
      </c>
      <c r="E146" s="228" t="str">
        <f>'School Level Inst. Resources'!E146</f>
        <v>K-6</v>
      </c>
      <c r="F146" s="229" t="str">
        <f>'School Level Inst. Resources'!H146</f>
        <v>E</v>
      </c>
      <c r="G146" s="229" t="s">
        <v>1158</v>
      </c>
      <c r="H146" s="207">
        <v>50671</v>
      </c>
      <c r="I146" s="207">
        <f>IF('SFD Allowable GSF Calculation'!$D$2=1,'SFD Allowable GSF Calculation'!$P146,'SFD Allowable GSF Calculation'!$X146)</f>
        <v>48273</v>
      </c>
      <c r="J146" s="194">
        <f>$I146*'Model Data Inputs'!$B$165</f>
        <v>55513.95</v>
      </c>
      <c r="K146" s="194">
        <f>IF($L146&gt;='Model Data Inputs'!$B$164,$H146,MIN($H146,$J146))</f>
        <v>50671</v>
      </c>
      <c r="L146" s="208">
        <v>2008</v>
      </c>
      <c r="M146" s="196">
        <f>IF($L146&gt;0,'Model Data Inputs'!$B$157-$L146,"")</f>
        <v>9</v>
      </c>
      <c r="N146" s="209">
        <v>27</v>
      </c>
      <c r="O146" s="198">
        <f>'School Level Inst. Resources'!$L146</f>
        <v>306.33499999999998</v>
      </c>
      <c r="P146" s="198">
        <f>IF($G146="T",SUMIFS('School Level ADM'!$S$5:$S$359,'School Level ADM'!$A$5:$A$359,$A146),0)</f>
        <v>13859.934999999998</v>
      </c>
      <c r="Q146" s="199">
        <f t="shared" si="20"/>
        <v>2.2102196005969726E-2</v>
      </c>
      <c r="R146" s="200">
        <f>SUM((('School Level Inst. Resources'!I146/'Model Data Inputs'!$B$8)*(1+'Model Data Inputs'!$B$9)),(SUM('School Level Inst. Resources'!J146:K146)/'Model Data Inputs'!$C$8)*(1+'Model Data Inputs'!$C$9),'School Level Inst. Resources'!K146/400)</f>
        <v>20.422333333333331</v>
      </c>
      <c r="S146" s="200">
        <f t="shared" si="21"/>
        <v>20.422333333333331</v>
      </c>
      <c r="T146" s="201">
        <f>IF($G146="T",VLOOKUP($A146,'Total O &amp; M Resources'!$A$5:$K$52,3),0)</f>
        <v>103951852.07000002</v>
      </c>
      <c r="U146" s="202">
        <f>IF($G146="F",0,$S146/'Model Data Inputs'!$B$140)</f>
        <v>1.5709487179487178</v>
      </c>
      <c r="V146" s="202">
        <f>IF($G146="F",0,$O146/'Model Data Inputs'!$B$141)</f>
        <v>0.94256923076923071</v>
      </c>
      <c r="W146" s="202">
        <f>IF($G146="F",0,$N146/'Model Data Inputs'!$B$142)</f>
        <v>2.0769230769230771</v>
      </c>
      <c r="X146" s="202">
        <f>IF($G146="F",0,$K146/'Model Data Inputs'!$B$143)</f>
        <v>2.8150555555555554</v>
      </c>
      <c r="Y146" s="202">
        <f t="shared" si="15"/>
        <v>1.8513741452991452</v>
      </c>
      <c r="Z146" s="202">
        <f>IF(OR($G146="F",$F146="E"),0,'Model Data Inputs'!$B$144)</f>
        <v>0</v>
      </c>
      <c r="AA146" s="202">
        <f>IF(AND($O146&lt;='Model Data Inputs'!$B$139,$F146="E"),0,IF(AND($O146&lt;='Model Data Inputs'!$B$139,$F146="M"),0,IF(AND($O146&lt;='Model Data Inputs'!$B$139,$F146="H"),0,IF(SUM($Y146:$Z146)&lt;1,1,SUM($Y146:$Z146)))))</f>
        <v>1.8513741452991452</v>
      </c>
      <c r="AB146" s="202">
        <f>($K146/'Model Data Inputs'!$B$143)*'Model Data Inputs'!$B$145</f>
        <v>0.28150555555555556</v>
      </c>
      <c r="AC146" s="202">
        <f t="shared" si="16"/>
        <v>2.1328797008547009</v>
      </c>
      <c r="AD146" s="202">
        <f>IF($G146="F",0,'Model Data Inputs'!$B$147)</f>
        <v>1.1000000000000001</v>
      </c>
      <c r="AE146" s="202">
        <f>IF($G146="F",0,($K146/'Model Data Inputs'!$B$148)*'Model Data Inputs'!$B$149)</f>
        <v>1.01342</v>
      </c>
      <c r="AF146" s="202">
        <f>IF($G146="F",0,($O146/'Model Data Inputs'!$B$150)*'Model Data Inputs'!$B$151)</f>
        <v>0.39823549999999996</v>
      </c>
      <c r="AG146" s="202">
        <f>IF($G146="F",0,(($Q146*$T146)/'Model Data Inputs'!$B$152)*'Model Data Inputs'!$B$153)</f>
        <v>0.55141541031233043</v>
      </c>
      <c r="AH146" s="202">
        <f t="shared" si="17"/>
        <v>0.76576772757808254</v>
      </c>
      <c r="AI146" s="203">
        <f>IF(OR($G146="F",$F146="M",$F146="H"),0,($AH146*'Model Data Inputs'!$B$154)-$AH146)</f>
        <v>-0.15315354551561644</v>
      </c>
      <c r="AJ146" s="202">
        <f>IF(OR($G146="F",$F146="E",$F146="H"),0,($AH146*'Model Data Inputs'!$B$155)-$AH146)</f>
        <v>0</v>
      </c>
      <c r="AK146" s="203">
        <f>IF(OR($G146="F",$F146="E",$F146="M"),0,($AH146*'Model Data Inputs'!$B$156)-$AH146)</f>
        <v>0</v>
      </c>
      <c r="AL146" s="203">
        <f>IF($G146="F",0,IF($M146&lt;'Model Data Inputs'!$B$158,$AH146*('Model Data Inputs'!$B$159-1),0))</f>
        <v>-3.8288386378904159E-2</v>
      </c>
      <c r="AM146" s="202">
        <f>IF($G146="F",0,IF($M146&gt;'Model Data Inputs'!$B$160,$AH146*('Model Data Inputs'!$B$161-1),0))</f>
        <v>0</v>
      </c>
      <c r="AN146" s="202">
        <f>IF($G146="F",0,IF($P146&lt;'Model Data Inputs'!$B$162,SUM($AH146,$AI146,$AJ146,$AK146,$AL146,$AM146)*('Model Data Inputs'!$B$163-1),0))</f>
        <v>0</v>
      </c>
      <c r="AO146" s="202">
        <f t="shared" si="18"/>
        <v>0.5743257956835619</v>
      </c>
      <c r="AP146" s="204">
        <f>$K146*'Model Data Inputs'!$B$166</f>
        <v>33949.57</v>
      </c>
      <c r="AQ146" s="204">
        <f>($K146*'Model Data Inputs'!$B$145)*'Model Data Inputs'!$B$166</f>
        <v>3394.9570000000003</v>
      </c>
      <c r="AR146" s="50">
        <f t="shared" si="19"/>
        <v>37344.527000000002</v>
      </c>
    </row>
    <row r="147" spans="1:44" x14ac:dyDescent="0.2">
      <c r="A147" s="227" t="str">
        <f>'School Level Inst. Resources'!A147</f>
        <v>1101000</v>
      </c>
      <c r="B147" s="227" t="str">
        <f>'School Level Inst. Resources'!B147</f>
        <v>Laramie #1</v>
      </c>
      <c r="C147" s="227" t="str">
        <f>'School Level Inst. Resources'!C147</f>
        <v>1101004</v>
      </c>
      <c r="D147" s="227" t="str">
        <f>'School Level Inst. Resources'!D147</f>
        <v>Bain Elementary</v>
      </c>
      <c r="E147" s="228" t="str">
        <f>'School Level Inst. Resources'!E147</f>
        <v>K-6</v>
      </c>
      <c r="F147" s="229" t="str">
        <f>'School Level Inst. Resources'!H147</f>
        <v>E</v>
      </c>
      <c r="G147" s="229" t="s">
        <v>1158</v>
      </c>
      <c r="H147" s="207">
        <v>35909</v>
      </c>
      <c r="I147" s="207">
        <f>IF('SFD Allowable GSF Calculation'!$D$2=1,'SFD Allowable GSF Calculation'!$P147,'SFD Allowable GSF Calculation'!$X147)</f>
        <v>46132</v>
      </c>
      <c r="J147" s="194">
        <f>$I147*'Model Data Inputs'!$B$165</f>
        <v>53051.799999999996</v>
      </c>
      <c r="K147" s="194">
        <f>IF($L147&gt;='Model Data Inputs'!$B$164,$H147,MIN($H147,$J147))</f>
        <v>35909</v>
      </c>
      <c r="L147" s="208">
        <v>1961</v>
      </c>
      <c r="M147" s="196">
        <f>IF($L147&gt;0,'Model Data Inputs'!$B$157-$L147,"")</f>
        <v>56</v>
      </c>
      <c r="N147" s="209">
        <v>24</v>
      </c>
      <c r="O147" s="198">
        <f>'School Level Inst. Resources'!$L147</f>
        <v>302.39499999999998</v>
      </c>
      <c r="P147" s="198">
        <f>IF($G147="T",SUMIFS('School Level ADM'!$S$5:$S$359,'School Level ADM'!$A$5:$A$359,$A147),0)</f>
        <v>13859.934999999998</v>
      </c>
      <c r="Q147" s="199">
        <f t="shared" si="20"/>
        <v>2.1817923388529604E-2</v>
      </c>
      <c r="R147" s="200">
        <f>SUM((('School Level Inst. Resources'!I147/'Model Data Inputs'!$B$8)*(1+'Model Data Inputs'!$B$9)),(SUM('School Level Inst. Resources'!J147:K147)/'Model Data Inputs'!$C$8)*(1+'Model Data Inputs'!$C$9),'School Level Inst. Resources'!K147/400)</f>
        <v>20.159666666666666</v>
      </c>
      <c r="S147" s="200">
        <f t="shared" si="21"/>
        <v>20.159666666666666</v>
      </c>
      <c r="T147" s="201">
        <f>IF($G147="T",VLOOKUP($A147,'Total O &amp; M Resources'!$A$5:$K$52,3),0)</f>
        <v>103951852.07000002</v>
      </c>
      <c r="U147" s="202">
        <f>IF($G147="F",0,$S147/'Model Data Inputs'!$B$140)</f>
        <v>1.5507435897435897</v>
      </c>
      <c r="V147" s="202">
        <f>IF($G147="F",0,$O147/'Model Data Inputs'!$B$141)</f>
        <v>0.93044615384615381</v>
      </c>
      <c r="W147" s="202">
        <f>IF($G147="F",0,$N147/'Model Data Inputs'!$B$142)</f>
        <v>1.8461538461538463</v>
      </c>
      <c r="X147" s="202">
        <f>IF($G147="F",0,$K147/'Model Data Inputs'!$B$143)</f>
        <v>1.9949444444444444</v>
      </c>
      <c r="Y147" s="202">
        <f t="shared" si="15"/>
        <v>1.5805720085470085</v>
      </c>
      <c r="Z147" s="202">
        <f>IF(OR($G147="F",$F147="E"),0,'Model Data Inputs'!$B$144)</f>
        <v>0</v>
      </c>
      <c r="AA147" s="202">
        <f>IF(AND($O147&lt;='Model Data Inputs'!$B$139,$F147="E"),0,IF(AND($O147&lt;='Model Data Inputs'!$B$139,$F147="M"),0,IF(AND($O147&lt;='Model Data Inputs'!$B$139,$F147="H"),0,IF(SUM($Y147:$Z147)&lt;1,1,SUM($Y147:$Z147)))))</f>
        <v>1.5805720085470085</v>
      </c>
      <c r="AB147" s="202">
        <f>($K147/'Model Data Inputs'!$B$143)*'Model Data Inputs'!$B$145</f>
        <v>0.19949444444444445</v>
      </c>
      <c r="AC147" s="202">
        <f t="shared" si="16"/>
        <v>1.7800664529914529</v>
      </c>
      <c r="AD147" s="202">
        <f>IF($G147="F",0,'Model Data Inputs'!$B$147)</f>
        <v>1.1000000000000001</v>
      </c>
      <c r="AE147" s="202">
        <f>IF($G147="F",0,($K147/'Model Data Inputs'!$B$148)*'Model Data Inputs'!$B$149)</f>
        <v>0.71818000000000004</v>
      </c>
      <c r="AF147" s="202">
        <f>IF($G147="F",0,($O147/'Model Data Inputs'!$B$150)*'Model Data Inputs'!$B$151)</f>
        <v>0.39311349999999995</v>
      </c>
      <c r="AG147" s="202">
        <f>IF($G147="F",0,(($Q147*$T147)/'Model Data Inputs'!$B$152)*'Model Data Inputs'!$B$153)</f>
        <v>0.54432325069416554</v>
      </c>
      <c r="AH147" s="202">
        <f t="shared" si="17"/>
        <v>0.68890418767354134</v>
      </c>
      <c r="AI147" s="203">
        <f>IF(OR($G147="F",$F147="M",$F147="H"),0,($AH147*'Model Data Inputs'!$B$154)-$AH147)</f>
        <v>-0.13778083753470827</v>
      </c>
      <c r="AJ147" s="202">
        <f>IF(OR($G147="F",$F147="E",$F147="H"),0,($AH147*'Model Data Inputs'!$B$155)-$AH147)</f>
        <v>0</v>
      </c>
      <c r="AK147" s="203">
        <f>IF(OR($G147="F",$F147="E",$F147="M"),0,($AH147*'Model Data Inputs'!$B$156)-$AH147)</f>
        <v>0</v>
      </c>
      <c r="AL147" s="203">
        <f>IF($G147="F",0,IF($M147&lt;'Model Data Inputs'!$B$158,$AH147*('Model Data Inputs'!$B$159-1),0))</f>
        <v>0</v>
      </c>
      <c r="AM147" s="202">
        <f>IF($G147="F",0,IF($M147&gt;'Model Data Inputs'!$B$160,$AH147*('Model Data Inputs'!$B$161-1),0))</f>
        <v>6.8890418767354189E-2</v>
      </c>
      <c r="AN147" s="202">
        <f>IF($G147="F",0,IF($P147&lt;'Model Data Inputs'!$B$162,SUM($AH147,$AI147,$AJ147,$AK147,$AL147,$AM147)*('Model Data Inputs'!$B$163-1),0))</f>
        <v>0</v>
      </c>
      <c r="AO147" s="202">
        <f t="shared" si="18"/>
        <v>0.62001376890618731</v>
      </c>
      <c r="AP147" s="204">
        <f>$K147*'Model Data Inputs'!$B$166</f>
        <v>24059.030000000002</v>
      </c>
      <c r="AQ147" s="204">
        <f>($K147*'Model Data Inputs'!$B$145)*'Model Data Inputs'!$B$166</f>
        <v>2405.9030000000002</v>
      </c>
      <c r="AR147" s="50">
        <f t="shared" si="19"/>
        <v>26464.933000000005</v>
      </c>
    </row>
    <row r="148" spans="1:44" x14ac:dyDescent="0.2">
      <c r="A148" s="227" t="str">
        <f>'School Level Inst. Resources'!A148</f>
        <v>1101000</v>
      </c>
      <c r="B148" s="227" t="str">
        <f>'School Level Inst. Resources'!B148</f>
        <v>Laramie #1</v>
      </c>
      <c r="C148" s="227" t="str">
        <f>'School Level Inst. Resources'!C148</f>
        <v>1101005</v>
      </c>
      <c r="D148" s="227" t="str">
        <f>'School Level Inst. Resources'!D148</f>
        <v>Buffalo Ridge Elementary</v>
      </c>
      <c r="E148" s="228" t="str">
        <f>'School Level Inst. Resources'!E148</f>
        <v>K-4</v>
      </c>
      <c r="F148" s="229" t="str">
        <f>'School Level Inst. Resources'!H148</f>
        <v>E</v>
      </c>
      <c r="G148" s="229" t="s">
        <v>1158</v>
      </c>
      <c r="H148" s="207">
        <v>34490</v>
      </c>
      <c r="I148" s="207">
        <f>IF('SFD Allowable GSF Calculation'!$D$2=1,'SFD Allowable GSF Calculation'!$P148,'SFD Allowable GSF Calculation'!$X148)</f>
        <v>31116</v>
      </c>
      <c r="J148" s="194">
        <f>$I148*'Model Data Inputs'!$B$165</f>
        <v>35783.399999999994</v>
      </c>
      <c r="K148" s="194">
        <f>IF($L148&gt;='Model Data Inputs'!$B$164,$H148,MIN($H148,$J148))</f>
        <v>34490</v>
      </c>
      <c r="L148" s="208">
        <v>1959</v>
      </c>
      <c r="M148" s="196">
        <f>IF($L148&gt;0,'Model Data Inputs'!$B$157-$L148,"")</f>
        <v>58</v>
      </c>
      <c r="N148" s="209">
        <v>23</v>
      </c>
      <c r="O148" s="198">
        <f>'School Level Inst. Resources'!$L148</f>
        <v>178.28500000000003</v>
      </c>
      <c r="P148" s="198">
        <f>IF($G148="T",SUMIFS('School Level ADM'!$S$5:$S$359,'School Level ADM'!$A$5:$A$359,$A148),0)</f>
        <v>13859.934999999998</v>
      </c>
      <c r="Q148" s="199">
        <f t="shared" si="20"/>
        <v>1.2863335939165664E-2</v>
      </c>
      <c r="R148" s="200">
        <f>SUM((('School Level Inst. Resources'!I148/'Model Data Inputs'!$B$8)*(1+'Model Data Inputs'!$B$9)),(SUM('School Level Inst. Resources'!J148:K148)/'Model Data Inputs'!$C$8)*(1+'Model Data Inputs'!$C$9),'School Level Inst. Resources'!K148/400)</f>
        <v>11.885666666666669</v>
      </c>
      <c r="S148" s="200">
        <f t="shared" si="21"/>
        <v>11.885666666666669</v>
      </c>
      <c r="T148" s="201">
        <f>IF($G148="T",VLOOKUP($A148,'Total O &amp; M Resources'!$A$5:$K$52,3),0)</f>
        <v>103951852.07000002</v>
      </c>
      <c r="U148" s="202">
        <f>IF($G148="F",0,$S148/'Model Data Inputs'!$B$140)</f>
        <v>0.91428205128205142</v>
      </c>
      <c r="V148" s="202">
        <f>IF($G148="F",0,$O148/'Model Data Inputs'!$B$141)</f>
        <v>0.54856923076923081</v>
      </c>
      <c r="W148" s="202">
        <f>IF($G148="F",0,$N148/'Model Data Inputs'!$B$142)</f>
        <v>1.7692307692307692</v>
      </c>
      <c r="X148" s="202">
        <f>IF($G148="F",0,$K148/'Model Data Inputs'!$B$143)</f>
        <v>1.9161111111111111</v>
      </c>
      <c r="Y148" s="202">
        <f t="shared" si="15"/>
        <v>1.2870482905982907</v>
      </c>
      <c r="Z148" s="202">
        <f>IF(OR($G148="F",$F148="E"),0,'Model Data Inputs'!$B$144)</f>
        <v>0</v>
      </c>
      <c r="AA148" s="202">
        <f>IF(AND($O148&lt;='Model Data Inputs'!$B$139,$F148="E"),0,IF(AND($O148&lt;='Model Data Inputs'!$B$139,$F148="M"),0,IF(AND($O148&lt;='Model Data Inputs'!$B$139,$F148="H"),0,IF(SUM($Y148:$Z148)&lt;1,1,SUM($Y148:$Z148)))))</f>
        <v>1.2870482905982907</v>
      </c>
      <c r="AB148" s="202">
        <f>($K148/'Model Data Inputs'!$B$143)*'Model Data Inputs'!$B$145</f>
        <v>0.19161111111111112</v>
      </c>
      <c r="AC148" s="202">
        <f t="shared" si="16"/>
        <v>1.4786594017094019</v>
      </c>
      <c r="AD148" s="202">
        <f>IF($G148="F",0,'Model Data Inputs'!$B$147)</f>
        <v>1.1000000000000001</v>
      </c>
      <c r="AE148" s="202">
        <f>IF($G148="F",0,($K148/'Model Data Inputs'!$B$148)*'Model Data Inputs'!$B$149)</f>
        <v>0.68979999999999997</v>
      </c>
      <c r="AF148" s="202">
        <f>IF($G148="F",0,($O148/'Model Data Inputs'!$B$150)*'Model Data Inputs'!$B$151)</f>
        <v>0.23177050000000005</v>
      </c>
      <c r="AG148" s="202">
        <f>IF($G148="F",0,(($Q148*$T148)/'Model Data Inputs'!$B$152)*'Model Data Inputs'!$B$153)</f>
        <v>0.3209202227219673</v>
      </c>
      <c r="AH148" s="202">
        <f t="shared" si="17"/>
        <v>0.58562268068049184</v>
      </c>
      <c r="AI148" s="203">
        <f>IF(OR($G148="F",$F148="M",$F148="H"),0,($AH148*'Model Data Inputs'!$B$154)-$AH148)</f>
        <v>-0.11712453613609836</v>
      </c>
      <c r="AJ148" s="202">
        <f>IF(OR($G148="F",$F148="E",$F148="H"),0,($AH148*'Model Data Inputs'!$B$155)-$AH148)</f>
        <v>0</v>
      </c>
      <c r="AK148" s="203">
        <f>IF(OR($G148="F",$F148="E",$F148="M"),0,($AH148*'Model Data Inputs'!$B$156)-$AH148)</f>
        <v>0</v>
      </c>
      <c r="AL148" s="203">
        <f>IF($G148="F",0,IF($M148&lt;'Model Data Inputs'!$B$158,$AH148*('Model Data Inputs'!$B$159-1),0))</f>
        <v>0</v>
      </c>
      <c r="AM148" s="202">
        <f>IF($G148="F",0,IF($M148&gt;'Model Data Inputs'!$B$160,$AH148*('Model Data Inputs'!$B$161-1),0))</f>
        <v>5.8562268068049234E-2</v>
      </c>
      <c r="AN148" s="202">
        <f>IF($G148="F",0,IF($P148&lt;'Model Data Inputs'!$B$162,SUM($AH148,$AI148,$AJ148,$AK148,$AL148,$AM148)*('Model Data Inputs'!$B$163-1),0))</f>
        <v>0</v>
      </c>
      <c r="AO148" s="202">
        <f t="shared" si="18"/>
        <v>0.52706041261244274</v>
      </c>
      <c r="AP148" s="204">
        <f>$K148*'Model Data Inputs'!$B$166</f>
        <v>23108.300000000003</v>
      </c>
      <c r="AQ148" s="204">
        <f>($K148*'Model Data Inputs'!$B$145)*'Model Data Inputs'!$B$166</f>
        <v>2310.83</v>
      </c>
      <c r="AR148" s="50">
        <f t="shared" si="19"/>
        <v>25419.130000000005</v>
      </c>
    </row>
    <row r="149" spans="1:44" x14ac:dyDescent="0.2">
      <c r="A149" s="227" t="str">
        <f>'School Level Inst. Resources'!A149</f>
        <v>1101000</v>
      </c>
      <c r="B149" s="227" t="str">
        <f>'School Level Inst. Resources'!B149</f>
        <v>Laramie #1</v>
      </c>
      <c r="C149" s="227" t="str">
        <f>'School Level Inst. Resources'!C149</f>
        <v>1101007</v>
      </c>
      <c r="D149" s="227" t="str">
        <f>'School Level Inst. Resources'!D149</f>
        <v>Cole Elementary</v>
      </c>
      <c r="E149" s="228" t="str">
        <f>'School Level Inst. Resources'!E149</f>
        <v>P-6</v>
      </c>
      <c r="F149" s="229" t="str">
        <f>'School Level Inst. Resources'!H149</f>
        <v>E</v>
      </c>
      <c r="G149" s="229" t="s">
        <v>1158</v>
      </c>
      <c r="H149" s="207">
        <v>32558</v>
      </c>
      <c r="I149" s="207">
        <f>IF('SFD Allowable GSF Calculation'!$D$2=1,'SFD Allowable GSF Calculation'!$P149,'SFD Allowable GSF Calculation'!$X149)</f>
        <v>34838</v>
      </c>
      <c r="J149" s="194">
        <f>$I149*'Model Data Inputs'!$B$165</f>
        <v>40063.699999999997</v>
      </c>
      <c r="K149" s="194">
        <f>IF($L149&gt;='Model Data Inputs'!$B$164,$H149,MIN($H149,$J149))</f>
        <v>32558</v>
      </c>
      <c r="L149" s="208">
        <v>1949</v>
      </c>
      <c r="M149" s="196">
        <f>IF($L149&gt;0,'Model Data Inputs'!$B$157-$L149,"")</f>
        <v>68</v>
      </c>
      <c r="N149" s="209">
        <v>21</v>
      </c>
      <c r="O149" s="198">
        <f>'School Level Inst. Resources'!$L149</f>
        <v>200.94</v>
      </c>
      <c r="P149" s="198">
        <f>IF($G149="T",SUMIFS('School Level ADM'!$S$5:$S$359,'School Level ADM'!$A$5:$A$359,$A149),0)</f>
        <v>13859.934999999998</v>
      </c>
      <c r="Q149" s="199">
        <f t="shared" si="20"/>
        <v>1.4497903489446382E-2</v>
      </c>
      <c r="R149" s="200">
        <f>SUM((('School Level Inst. Resources'!I149/'Model Data Inputs'!$B$8)*(1+'Model Data Inputs'!$B$9)),(SUM('School Level Inst. Resources'!J149:K149)/'Model Data Inputs'!$C$8)*(1+'Model Data Inputs'!$C$9),'School Level Inst. Resources'!K149/400)</f>
        <v>13.396000000000001</v>
      </c>
      <c r="S149" s="200">
        <f t="shared" si="21"/>
        <v>13.396000000000001</v>
      </c>
      <c r="T149" s="201">
        <f>IF($G149="T",VLOOKUP($A149,'Total O &amp; M Resources'!$A$5:$K$52,3),0)</f>
        <v>103951852.07000002</v>
      </c>
      <c r="U149" s="202">
        <f>IF($G149="F",0,$S149/'Model Data Inputs'!$B$140)</f>
        <v>1.0304615384615385</v>
      </c>
      <c r="V149" s="202">
        <f>IF($G149="F",0,$O149/'Model Data Inputs'!$B$141)</f>
        <v>0.61827692307692306</v>
      </c>
      <c r="W149" s="202">
        <f>IF($G149="F",0,$N149/'Model Data Inputs'!$B$142)</f>
        <v>1.6153846153846154</v>
      </c>
      <c r="X149" s="202">
        <f>IF($G149="F",0,$K149/'Model Data Inputs'!$B$143)</f>
        <v>1.8087777777777778</v>
      </c>
      <c r="Y149" s="202">
        <f t="shared" si="15"/>
        <v>1.2682252136752137</v>
      </c>
      <c r="Z149" s="202">
        <f>IF(OR($G149="F",$F149="E"),0,'Model Data Inputs'!$B$144)</f>
        <v>0</v>
      </c>
      <c r="AA149" s="202">
        <f>IF(AND($O149&lt;='Model Data Inputs'!$B$139,$F149="E"),0,IF(AND($O149&lt;='Model Data Inputs'!$B$139,$F149="M"),0,IF(AND($O149&lt;='Model Data Inputs'!$B$139,$F149="H"),0,IF(SUM($Y149:$Z149)&lt;1,1,SUM($Y149:$Z149)))))</f>
        <v>1.2682252136752137</v>
      </c>
      <c r="AB149" s="202">
        <f>($K149/'Model Data Inputs'!$B$143)*'Model Data Inputs'!$B$145</f>
        <v>0.1808777777777778</v>
      </c>
      <c r="AC149" s="202">
        <f t="shared" si="16"/>
        <v>1.4491029914529916</v>
      </c>
      <c r="AD149" s="202">
        <f>IF($G149="F",0,'Model Data Inputs'!$B$147)</f>
        <v>1.1000000000000001</v>
      </c>
      <c r="AE149" s="202">
        <f>IF($G149="F",0,($K149/'Model Data Inputs'!$B$148)*'Model Data Inputs'!$B$149)</f>
        <v>0.65115999999999996</v>
      </c>
      <c r="AF149" s="202">
        <f>IF($G149="F",0,($O149/'Model Data Inputs'!$B$150)*'Model Data Inputs'!$B$151)</f>
        <v>0.26122200000000001</v>
      </c>
      <c r="AG149" s="202">
        <f>IF($G149="F",0,(($Q149*$T149)/'Model Data Inputs'!$B$152)*'Model Data Inputs'!$B$153)</f>
        <v>0.36170014052641614</v>
      </c>
      <c r="AH149" s="202">
        <f t="shared" si="17"/>
        <v>0.59352053513160408</v>
      </c>
      <c r="AI149" s="203">
        <f>IF(OR($G149="F",$F149="M",$F149="H"),0,($AH149*'Model Data Inputs'!$B$154)-$AH149)</f>
        <v>-0.11870410702632078</v>
      </c>
      <c r="AJ149" s="202">
        <f>IF(OR($G149="F",$F149="E",$F149="H"),0,($AH149*'Model Data Inputs'!$B$155)-$AH149)</f>
        <v>0</v>
      </c>
      <c r="AK149" s="203">
        <f>IF(OR($G149="F",$F149="E",$F149="M"),0,($AH149*'Model Data Inputs'!$B$156)-$AH149)</f>
        <v>0</v>
      </c>
      <c r="AL149" s="203">
        <f>IF($G149="F",0,IF($M149&lt;'Model Data Inputs'!$B$158,$AH149*('Model Data Inputs'!$B$159-1),0))</f>
        <v>0</v>
      </c>
      <c r="AM149" s="202">
        <f>IF($G149="F",0,IF($M149&gt;'Model Data Inputs'!$B$160,$AH149*('Model Data Inputs'!$B$161-1),0))</f>
        <v>5.935205351316046E-2</v>
      </c>
      <c r="AN149" s="202">
        <f>IF($G149="F",0,IF($P149&lt;'Model Data Inputs'!$B$162,SUM($AH149,$AI149,$AJ149,$AK149,$AL149,$AM149)*('Model Data Inputs'!$B$163-1),0))</f>
        <v>0</v>
      </c>
      <c r="AO149" s="202">
        <f t="shared" si="18"/>
        <v>0.53416848161844377</v>
      </c>
      <c r="AP149" s="204">
        <f>$K149*'Model Data Inputs'!$B$166</f>
        <v>21813.86</v>
      </c>
      <c r="AQ149" s="204">
        <f>($K149*'Model Data Inputs'!$B$145)*'Model Data Inputs'!$B$166</f>
        <v>2181.3860000000004</v>
      </c>
      <c r="AR149" s="50">
        <f t="shared" si="19"/>
        <v>23995.245999999999</v>
      </c>
    </row>
    <row r="150" spans="1:44" x14ac:dyDescent="0.2">
      <c r="A150" s="227" t="str">
        <f>'School Level Inst. Resources'!A150</f>
        <v>1101000</v>
      </c>
      <c r="B150" s="227" t="str">
        <f>'School Level Inst. Resources'!B150</f>
        <v>Laramie #1</v>
      </c>
      <c r="C150" s="227" t="str">
        <f>'School Level Inst. Resources'!C150</f>
        <v>1101009</v>
      </c>
      <c r="D150" s="227" t="str">
        <f>'School Level Inst. Resources'!D150</f>
        <v>Davis Elementary</v>
      </c>
      <c r="E150" s="228" t="str">
        <f>'School Level Inst. Resources'!E150</f>
        <v>K-6</v>
      </c>
      <c r="F150" s="229" t="str">
        <f>'School Level Inst. Resources'!H150</f>
        <v>E</v>
      </c>
      <c r="G150" s="229" t="s">
        <v>1158</v>
      </c>
      <c r="H150" s="207">
        <v>50587</v>
      </c>
      <c r="I150" s="207">
        <f>IF('SFD Allowable GSF Calculation'!$D$2=1,'SFD Allowable GSF Calculation'!$P150,'SFD Allowable GSF Calculation'!$X150)</f>
        <v>44687</v>
      </c>
      <c r="J150" s="194">
        <f>$I150*'Model Data Inputs'!$B$165</f>
        <v>51390.049999999996</v>
      </c>
      <c r="K150" s="194">
        <f>IF($L150&gt;='Model Data Inputs'!$B$164,$H150,MIN($H150,$J150))</f>
        <v>50587</v>
      </c>
      <c r="L150" s="208">
        <v>2015</v>
      </c>
      <c r="M150" s="196">
        <f>IF($L150&gt;0,'Model Data Inputs'!$B$157-$L150,"")</f>
        <v>2</v>
      </c>
      <c r="N150" s="209">
        <v>27</v>
      </c>
      <c r="O150" s="198">
        <f>'School Level Inst. Resources'!$L150</f>
        <v>353.61500000000001</v>
      </c>
      <c r="P150" s="198">
        <f>IF($G150="T",SUMIFS('School Level ADM'!$S$5:$S$359,'School Level ADM'!$A$5:$A$359,$A150),0)</f>
        <v>13859.934999999998</v>
      </c>
      <c r="Q150" s="199">
        <f t="shared" si="20"/>
        <v>2.5513467415251231E-2</v>
      </c>
      <c r="R150" s="200">
        <f>SUM((('School Level Inst. Resources'!I150/'Model Data Inputs'!$B$8)*(1+'Model Data Inputs'!$B$9)),(SUM('School Level Inst. Resources'!J150:K150)/'Model Data Inputs'!$C$8)*(1+'Model Data Inputs'!$C$9),'School Level Inst. Resources'!K150/400)</f>
        <v>23.574333333333332</v>
      </c>
      <c r="S150" s="200">
        <f t="shared" si="21"/>
        <v>23.574333333333332</v>
      </c>
      <c r="T150" s="201">
        <f>IF($G150="T",VLOOKUP($A150,'Total O &amp; M Resources'!$A$5:$K$52,3),0)</f>
        <v>103951852.07000002</v>
      </c>
      <c r="U150" s="202">
        <f>IF($G150="F",0,$S150/'Model Data Inputs'!$B$140)</f>
        <v>1.8134102564102563</v>
      </c>
      <c r="V150" s="202">
        <f>IF($G150="F",0,$O150/'Model Data Inputs'!$B$141)</f>
        <v>1.0880461538461539</v>
      </c>
      <c r="W150" s="202">
        <f>IF($G150="F",0,$N150/'Model Data Inputs'!$B$142)</f>
        <v>2.0769230769230771</v>
      </c>
      <c r="X150" s="202">
        <f>IF($G150="F",0,$K150/'Model Data Inputs'!$B$143)</f>
        <v>2.8103888888888888</v>
      </c>
      <c r="Y150" s="202">
        <f t="shared" si="15"/>
        <v>1.9471920940170939</v>
      </c>
      <c r="Z150" s="202">
        <f>IF(OR($G150="F",$F150="E"),0,'Model Data Inputs'!$B$144)</f>
        <v>0</v>
      </c>
      <c r="AA150" s="202">
        <f>IF(AND($O150&lt;='Model Data Inputs'!$B$139,$F150="E"),0,IF(AND($O150&lt;='Model Data Inputs'!$B$139,$F150="M"),0,IF(AND($O150&lt;='Model Data Inputs'!$B$139,$F150="H"),0,IF(SUM($Y150:$Z150)&lt;1,1,SUM($Y150:$Z150)))))</f>
        <v>1.9471920940170939</v>
      </c>
      <c r="AB150" s="202">
        <f>($K150/'Model Data Inputs'!$B$143)*'Model Data Inputs'!$B$145</f>
        <v>0.28103888888888889</v>
      </c>
      <c r="AC150" s="202">
        <f t="shared" si="16"/>
        <v>2.2282309829059828</v>
      </c>
      <c r="AD150" s="202">
        <f>IF($G150="F",0,'Model Data Inputs'!$B$147)</f>
        <v>1.1000000000000001</v>
      </c>
      <c r="AE150" s="202">
        <f>IF($G150="F",0,($K150/'Model Data Inputs'!$B$148)*'Model Data Inputs'!$B$149)</f>
        <v>1.0117399999999999</v>
      </c>
      <c r="AF150" s="202">
        <f>IF($G150="F",0,($O150/'Model Data Inputs'!$B$150)*'Model Data Inputs'!$B$151)</f>
        <v>0.45969950000000004</v>
      </c>
      <c r="AG150" s="202">
        <f>IF($G150="F",0,(($Q150*$T150)/'Model Data Inputs'!$B$152)*'Model Data Inputs'!$B$153)</f>
        <v>0.63652132573031084</v>
      </c>
      <c r="AH150" s="202">
        <f t="shared" si="17"/>
        <v>0.80199020643257779</v>
      </c>
      <c r="AI150" s="203">
        <f>IF(OR($G150="F",$F150="M",$F150="H"),0,($AH150*'Model Data Inputs'!$B$154)-$AH150)</f>
        <v>-0.16039804128651547</v>
      </c>
      <c r="AJ150" s="202">
        <f>IF(OR($G150="F",$F150="E",$F150="H"),0,($AH150*'Model Data Inputs'!$B$155)-$AH150)</f>
        <v>0</v>
      </c>
      <c r="AK150" s="203">
        <f>IF(OR($G150="F",$F150="E",$F150="M"),0,($AH150*'Model Data Inputs'!$B$156)-$AH150)</f>
        <v>0</v>
      </c>
      <c r="AL150" s="203">
        <f>IF($G150="F",0,IF($M150&lt;'Model Data Inputs'!$B$158,$AH150*('Model Data Inputs'!$B$159-1),0))</f>
        <v>-4.0099510321628923E-2</v>
      </c>
      <c r="AM150" s="202">
        <f>IF($G150="F",0,IF($M150&gt;'Model Data Inputs'!$B$160,$AH150*('Model Data Inputs'!$B$161-1),0))</f>
        <v>0</v>
      </c>
      <c r="AN150" s="202">
        <f>IF($G150="F",0,IF($P150&lt;'Model Data Inputs'!$B$162,SUM($AH150,$AI150,$AJ150,$AK150,$AL150,$AM150)*('Model Data Inputs'!$B$163-1),0))</f>
        <v>0</v>
      </c>
      <c r="AO150" s="202">
        <f t="shared" si="18"/>
        <v>0.60149265482443337</v>
      </c>
      <c r="AP150" s="204">
        <f>$K150*'Model Data Inputs'!$B$166</f>
        <v>33893.29</v>
      </c>
      <c r="AQ150" s="204">
        <f>($K150*'Model Data Inputs'!$B$145)*'Model Data Inputs'!$B$166</f>
        <v>3389.3290000000006</v>
      </c>
      <c r="AR150" s="50">
        <f t="shared" si="19"/>
        <v>37282.618999999999</v>
      </c>
    </row>
    <row r="151" spans="1:44" x14ac:dyDescent="0.2">
      <c r="A151" s="227" t="str">
        <f>'School Level Inst. Resources'!A151</f>
        <v>1101000</v>
      </c>
      <c r="B151" s="227" t="str">
        <f>'School Level Inst. Resources'!B151</f>
        <v>Laramie #1</v>
      </c>
      <c r="C151" s="227" t="str">
        <f>'School Level Inst. Resources'!C151</f>
        <v>1101010</v>
      </c>
      <c r="D151" s="227" t="str">
        <f>'School Level Inst. Resources'!D151</f>
        <v>Deming Elementary</v>
      </c>
      <c r="E151" s="228" t="str">
        <f>'School Level Inst. Resources'!E151</f>
        <v>K-3</v>
      </c>
      <c r="F151" s="229" t="str">
        <f>'School Level Inst. Resources'!H151</f>
        <v>E</v>
      </c>
      <c r="G151" s="229" t="s">
        <v>1158</v>
      </c>
      <c r="H151" s="207">
        <v>18099</v>
      </c>
      <c r="I151" s="207">
        <f>IF('SFD Allowable GSF Calculation'!$D$2=1,'SFD Allowable GSF Calculation'!$P151,'SFD Allowable GSF Calculation'!$X151)</f>
        <v>20920</v>
      </c>
      <c r="J151" s="194">
        <f>$I151*'Model Data Inputs'!$B$165</f>
        <v>24057.999999999996</v>
      </c>
      <c r="K151" s="194">
        <f>IF($L151&gt;='Model Data Inputs'!$B$164,$H151,MIN($H151,$J151))</f>
        <v>18099</v>
      </c>
      <c r="L151" s="208">
        <v>1945</v>
      </c>
      <c r="M151" s="196">
        <f>IF($L151&gt;0,'Model Data Inputs'!$B$157-$L151,"")</f>
        <v>72</v>
      </c>
      <c r="N151" s="209">
        <v>12</v>
      </c>
      <c r="O151" s="198">
        <f>'School Level Inst. Resources'!$L151</f>
        <v>105.39500000000001</v>
      </c>
      <c r="P151" s="198">
        <f>IF($G151="T",SUMIFS('School Level ADM'!$S$5:$S$359,'School Level ADM'!$A$5:$A$359,$A151),0)</f>
        <v>13859.934999999998</v>
      </c>
      <c r="Q151" s="199">
        <f t="shared" si="20"/>
        <v>7.6042925165233479E-3</v>
      </c>
      <c r="R151" s="200">
        <f>SUM((('School Level Inst. Resources'!I151/'Model Data Inputs'!$B$8)*(1+'Model Data Inputs'!$B$9)),(SUM('School Level Inst. Resources'!J151:K151)/'Model Data Inputs'!$C$8)*(1+'Model Data Inputs'!$C$9),'School Level Inst. Resources'!K151/400)</f>
        <v>7.0263333333333335</v>
      </c>
      <c r="S151" s="200">
        <f t="shared" si="21"/>
        <v>7.0263333333333335</v>
      </c>
      <c r="T151" s="201">
        <f>IF($G151="T",VLOOKUP($A151,'Total O &amp; M Resources'!$A$5:$K$52,3),0)</f>
        <v>103951852.07000002</v>
      </c>
      <c r="U151" s="202">
        <f>IF($G151="F",0,$S151/'Model Data Inputs'!$B$140)</f>
        <v>0.5404871794871795</v>
      </c>
      <c r="V151" s="202">
        <f>IF($G151="F",0,$O151/'Model Data Inputs'!$B$141)</f>
        <v>0.32429230769230771</v>
      </c>
      <c r="W151" s="202">
        <f>IF($G151="F",0,$N151/'Model Data Inputs'!$B$142)</f>
        <v>0.92307692307692313</v>
      </c>
      <c r="X151" s="202">
        <f>IF($G151="F",0,$K151/'Model Data Inputs'!$B$143)</f>
        <v>1.0055000000000001</v>
      </c>
      <c r="Y151" s="202">
        <f t="shared" si="15"/>
        <v>0.69833910256410259</v>
      </c>
      <c r="Z151" s="202">
        <f>IF(OR($G151="F",$F151="E"),0,'Model Data Inputs'!$B$144)</f>
        <v>0</v>
      </c>
      <c r="AA151" s="202">
        <f>IF(AND($O151&lt;='Model Data Inputs'!$B$139,$F151="E"),0,IF(AND($O151&lt;='Model Data Inputs'!$B$139,$F151="M"),0,IF(AND($O151&lt;='Model Data Inputs'!$B$139,$F151="H"),0,IF(SUM($Y151:$Z151)&lt;1,1,SUM($Y151:$Z151)))))</f>
        <v>1</v>
      </c>
      <c r="AB151" s="202">
        <f>($K151/'Model Data Inputs'!$B$143)*'Model Data Inputs'!$B$145</f>
        <v>0.10055000000000001</v>
      </c>
      <c r="AC151" s="202">
        <f t="shared" si="16"/>
        <v>1.1005499999999999</v>
      </c>
      <c r="AD151" s="202">
        <f>IF($G151="F",0,'Model Data Inputs'!$B$147)</f>
        <v>1.1000000000000001</v>
      </c>
      <c r="AE151" s="202">
        <f>IF($G151="F",0,($K151/'Model Data Inputs'!$B$148)*'Model Data Inputs'!$B$149)</f>
        <v>0.36197999999999997</v>
      </c>
      <c r="AF151" s="202">
        <f>IF($G151="F",0,($O151/'Model Data Inputs'!$B$150)*'Model Data Inputs'!$B$151)</f>
        <v>0.13701350000000004</v>
      </c>
      <c r="AG151" s="202">
        <f>IF($G151="F",0,(($Q151*$T151)/'Model Data Inputs'!$B$152)*'Model Data Inputs'!$B$153)</f>
        <v>0.18971526978591438</v>
      </c>
      <c r="AH151" s="202">
        <f t="shared" si="17"/>
        <v>0.44717719244647863</v>
      </c>
      <c r="AI151" s="203">
        <f>IF(OR($G151="F",$F151="M",$F151="H"),0,($AH151*'Model Data Inputs'!$B$154)-$AH151)</f>
        <v>-8.9435438489295693E-2</v>
      </c>
      <c r="AJ151" s="202">
        <f>IF(OR($G151="F",$F151="E",$F151="H"),0,($AH151*'Model Data Inputs'!$B$155)-$AH151)</f>
        <v>0</v>
      </c>
      <c r="AK151" s="203">
        <f>IF(OR($G151="F",$F151="E",$F151="M"),0,($AH151*'Model Data Inputs'!$B$156)-$AH151)</f>
        <v>0</v>
      </c>
      <c r="AL151" s="203">
        <f>IF($G151="F",0,IF($M151&lt;'Model Data Inputs'!$B$158,$AH151*('Model Data Inputs'!$B$159-1),0))</f>
        <v>0</v>
      </c>
      <c r="AM151" s="202">
        <f>IF($G151="F",0,IF($M151&gt;'Model Data Inputs'!$B$160,$AH151*('Model Data Inputs'!$B$161-1),0))</f>
        <v>4.4717719244647902E-2</v>
      </c>
      <c r="AN151" s="202">
        <f>IF($G151="F",0,IF($P151&lt;'Model Data Inputs'!$B$162,SUM($AH151,$AI151,$AJ151,$AK151,$AL151,$AM151)*('Model Data Inputs'!$B$163-1),0))</f>
        <v>0</v>
      </c>
      <c r="AO151" s="202">
        <f t="shared" si="18"/>
        <v>0.40245947320183084</v>
      </c>
      <c r="AP151" s="204">
        <f>$K151*'Model Data Inputs'!$B$166</f>
        <v>12126.33</v>
      </c>
      <c r="AQ151" s="204">
        <f>($K151*'Model Data Inputs'!$B$145)*'Model Data Inputs'!$B$166</f>
        <v>1212.633</v>
      </c>
      <c r="AR151" s="50">
        <f t="shared" si="19"/>
        <v>13338.963</v>
      </c>
    </row>
    <row r="152" spans="1:44" x14ac:dyDescent="0.2">
      <c r="A152" s="227" t="str">
        <f>'School Level Inst. Resources'!A152</f>
        <v>1101000</v>
      </c>
      <c r="B152" s="227" t="str">
        <f>'School Level Inst. Resources'!B152</f>
        <v>Laramie #1</v>
      </c>
      <c r="C152" s="227" t="str">
        <f>'School Level Inst. Resources'!C152</f>
        <v>1101011</v>
      </c>
      <c r="D152" s="227" t="str">
        <f>'School Level Inst. Resources'!D152</f>
        <v>Dildine Elementary</v>
      </c>
      <c r="E152" s="228" t="str">
        <f>'School Level Inst. Resources'!E152</f>
        <v>K-4</v>
      </c>
      <c r="F152" s="229" t="str">
        <f>'School Level Inst. Resources'!H152</f>
        <v>E</v>
      </c>
      <c r="G152" s="229" t="s">
        <v>1158</v>
      </c>
      <c r="H152" s="207">
        <v>53520</v>
      </c>
      <c r="I152" s="207">
        <f>IF('SFD Allowable GSF Calculation'!$D$2=1,'SFD Allowable GSF Calculation'!$P152,'SFD Allowable GSF Calculation'!$X152)</f>
        <v>49881</v>
      </c>
      <c r="J152" s="194">
        <f>$I152*'Model Data Inputs'!$B$165</f>
        <v>57363.149999999994</v>
      </c>
      <c r="K152" s="194">
        <f>IF($L152&gt;='Model Data Inputs'!$B$164,$H152,MIN($H152,$J152))</f>
        <v>53520</v>
      </c>
      <c r="L152" s="208">
        <v>1956</v>
      </c>
      <c r="M152" s="196">
        <f>IF($L152&gt;0,'Model Data Inputs'!$B$157-$L152,"")</f>
        <v>61</v>
      </c>
      <c r="N152" s="209">
        <v>30</v>
      </c>
      <c r="O152" s="198">
        <f>'School Level Inst. Resources'!$L152</f>
        <v>318.15500000000003</v>
      </c>
      <c r="P152" s="198">
        <f>IF($G152="T",SUMIFS('School Level ADM'!$S$5:$S$359,'School Level ADM'!$A$5:$A$359,$A152),0)</f>
        <v>13859.934999999998</v>
      </c>
      <c r="Q152" s="199">
        <f t="shared" si="20"/>
        <v>2.2955013858290105E-2</v>
      </c>
      <c r="R152" s="200">
        <f>SUM((('School Level Inst. Resources'!I152/'Model Data Inputs'!$B$8)*(1+'Model Data Inputs'!$B$9)),(SUM('School Level Inst. Resources'!J152:K152)/'Model Data Inputs'!$C$8)*(1+'Model Data Inputs'!$C$9),'School Level Inst. Resources'!K152/400)</f>
        <v>21.210333333333335</v>
      </c>
      <c r="S152" s="200">
        <f t="shared" si="21"/>
        <v>21.210333333333335</v>
      </c>
      <c r="T152" s="201">
        <f>IF($G152="T",VLOOKUP($A152,'Total O &amp; M Resources'!$A$5:$K$52,3),0)</f>
        <v>103951852.07000002</v>
      </c>
      <c r="U152" s="202">
        <f>IF($G152="F",0,$S152/'Model Data Inputs'!$B$140)</f>
        <v>1.6315641025641026</v>
      </c>
      <c r="V152" s="202">
        <f>IF($G152="F",0,$O152/'Model Data Inputs'!$B$141)</f>
        <v>0.97893846153846165</v>
      </c>
      <c r="W152" s="202">
        <f>IF($G152="F",0,$N152/'Model Data Inputs'!$B$142)</f>
        <v>2.3076923076923075</v>
      </c>
      <c r="X152" s="202">
        <f>IF($G152="F",0,$K152/'Model Data Inputs'!$B$143)</f>
        <v>2.9733333333333332</v>
      </c>
      <c r="Y152" s="202">
        <f t="shared" si="15"/>
        <v>1.9728820512820513</v>
      </c>
      <c r="Z152" s="202">
        <f>IF(OR($G152="F",$F152="E"),0,'Model Data Inputs'!$B$144)</f>
        <v>0</v>
      </c>
      <c r="AA152" s="202">
        <f>IF(AND($O152&lt;='Model Data Inputs'!$B$139,$F152="E"),0,IF(AND($O152&lt;='Model Data Inputs'!$B$139,$F152="M"),0,IF(AND($O152&lt;='Model Data Inputs'!$B$139,$F152="H"),0,IF(SUM($Y152:$Z152)&lt;1,1,SUM($Y152:$Z152)))))</f>
        <v>1.9728820512820513</v>
      </c>
      <c r="AB152" s="202">
        <f>($K152/'Model Data Inputs'!$B$143)*'Model Data Inputs'!$B$145</f>
        <v>0.29733333333333334</v>
      </c>
      <c r="AC152" s="202">
        <f t="shared" si="16"/>
        <v>2.2702153846153847</v>
      </c>
      <c r="AD152" s="202">
        <f>IF($G152="F",0,'Model Data Inputs'!$B$147)</f>
        <v>1.1000000000000001</v>
      </c>
      <c r="AE152" s="202">
        <f>IF($G152="F",0,($K152/'Model Data Inputs'!$B$148)*'Model Data Inputs'!$B$149)</f>
        <v>1.0704</v>
      </c>
      <c r="AF152" s="202">
        <f>IF($G152="F",0,($O152/'Model Data Inputs'!$B$150)*'Model Data Inputs'!$B$151)</f>
        <v>0.41360150000000007</v>
      </c>
      <c r="AG152" s="202">
        <f>IF($G152="F",0,(($Q152*$T152)/'Model Data Inputs'!$B$152)*'Model Data Inputs'!$B$153)</f>
        <v>0.57269188916682567</v>
      </c>
      <c r="AH152" s="202">
        <f t="shared" si="17"/>
        <v>0.78917334729170641</v>
      </c>
      <c r="AI152" s="203">
        <f>IF(OR($G152="F",$F152="M",$F152="H"),0,($AH152*'Model Data Inputs'!$B$154)-$AH152)</f>
        <v>-0.15783466945834124</v>
      </c>
      <c r="AJ152" s="202">
        <f>IF(OR($G152="F",$F152="E",$F152="H"),0,($AH152*'Model Data Inputs'!$B$155)-$AH152)</f>
        <v>0</v>
      </c>
      <c r="AK152" s="203">
        <f>IF(OR($G152="F",$F152="E",$F152="M"),0,($AH152*'Model Data Inputs'!$B$156)-$AH152)</f>
        <v>0</v>
      </c>
      <c r="AL152" s="203">
        <f>IF($G152="F",0,IF($M152&lt;'Model Data Inputs'!$B$158,$AH152*('Model Data Inputs'!$B$159-1),0))</f>
        <v>0</v>
      </c>
      <c r="AM152" s="202">
        <f>IF($G152="F",0,IF($M152&gt;'Model Data Inputs'!$B$160,$AH152*('Model Data Inputs'!$B$161-1),0))</f>
        <v>7.8917334729170716E-2</v>
      </c>
      <c r="AN152" s="202">
        <f>IF($G152="F",0,IF($P152&lt;'Model Data Inputs'!$B$162,SUM($AH152,$AI152,$AJ152,$AK152,$AL152,$AM152)*('Model Data Inputs'!$B$163-1),0))</f>
        <v>0</v>
      </c>
      <c r="AO152" s="202">
        <f t="shared" si="18"/>
        <v>0.7102560125625359</v>
      </c>
      <c r="AP152" s="204">
        <f>$K152*'Model Data Inputs'!$B$166</f>
        <v>35858.400000000001</v>
      </c>
      <c r="AQ152" s="204">
        <f>($K152*'Model Data Inputs'!$B$145)*'Model Data Inputs'!$B$166</f>
        <v>3585.84</v>
      </c>
      <c r="AR152" s="50">
        <f t="shared" si="19"/>
        <v>39444.240000000005</v>
      </c>
    </row>
    <row r="153" spans="1:44" x14ac:dyDescent="0.2">
      <c r="A153" s="227" t="str">
        <f>'School Level Inst. Resources'!A153</f>
        <v>1101000</v>
      </c>
      <c r="B153" s="227" t="str">
        <f>'School Level Inst. Resources'!B153</f>
        <v>Laramie #1</v>
      </c>
      <c r="C153" s="227" t="str">
        <f>'School Level Inst. Resources'!C153</f>
        <v>1101013</v>
      </c>
      <c r="D153" s="227" t="str">
        <f>'School Level Inst. Resources'!D153</f>
        <v>Fairview Elementary</v>
      </c>
      <c r="E153" s="228" t="str">
        <f>'School Level Inst. Resources'!E153</f>
        <v>3-6</v>
      </c>
      <c r="F153" s="229" t="str">
        <f>'School Level Inst. Resources'!H153</f>
        <v>E</v>
      </c>
      <c r="G153" s="229" t="s">
        <v>1158</v>
      </c>
      <c r="H153" s="207">
        <v>26028</v>
      </c>
      <c r="I153" s="207">
        <f>IF('SFD Allowable GSF Calculation'!$D$2=1,'SFD Allowable GSF Calculation'!$P153,'SFD Allowable GSF Calculation'!$X153)</f>
        <v>24810</v>
      </c>
      <c r="J153" s="194">
        <f>$I153*'Model Data Inputs'!$B$165</f>
        <v>28531.499999999996</v>
      </c>
      <c r="K153" s="194">
        <f>IF($L153&gt;='Model Data Inputs'!$B$164,$H153,MIN($H153,$J153))</f>
        <v>26028</v>
      </c>
      <c r="L153" s="208">
        <v>1956</v>
      </c>
      <c r="M153" s="196">
        <f>IF($L153&gt;0,'Model Data Inputs'!$B$157-$L153,"")</f>
        <v>61</v>
      </c>
      <c r="N153" s="209">
        <v>15</v>
      </c>
      <c r="O153" s="198">
        <f>'School Level Inst. Resources'!$L153</f>
        <v>129.035</v>
      </c>
      <c r="P153" s="198">
        <f>IF($G153="T",SUMIFS('School Level ADM'!$S$5:$S$359,'School Level ADM'!$A$5:$A$359,$A153),0)</f>
        <v>13859.934999999998</v>
      </c>
      <c r="Q153" s="199">
        <f t="shared" si="20"/>
        <v>9.3099282211640978E-3</v>
      </c>
      <c r="R153" s="200">
        <f>SUM((('School Level Inst. Resources'!I153/'Model Data Inputs'!$B$8)*(1+'Model Data Inputs'!$B$9)),(SUM('School Level Inst. Resources'!J153:K153)/'Model Data Inputs'!$C$8)*(1+'Model Data Inputs'!$C$9),'School Level Inst. Resources'!K153/400)</f>
        <v>8.6023333333333323</v>
      </c>
      <c r="S153" s="200">
        <f t="shared" si="21"/>
        <v>8.6023333333333323</v>
      </c>
      <c r="T153" s="201">
        <f>IF($G153="T",VLOOKUP($A153,'Total O &amp; M Resources'!$A$5:$K$52,3),0)</f>
        <v>103951852.07000002</v>
      </c>
      <c r="U153" s="202">
        <f>IF($G153="F",0,$S153/'Model Data Inputs'!$B$140)</f>
        <v>0.66171794871794865</v>
      </c>
      <c r="V153" s="202">
        <f>IF($G153="F",0,$O153/'Model Data Inputs'!$B$141)</f>
        <v>0.39703076923076924</v>
      </c>
      <c r="W153" s="202">
        <f>IF($G153="F",0,$N153/'Model Data Inputs'!$B$142)</f>
        <v>1.1538461538461537</v>
      </c>
      <c r="X153" s="202">
        <f>IF($G153="F",0,$K153/'Model Data Inputs'!$B$143)</f>
        <v>1.446</v>
      </c>
      <c r="Y153" s="202">
        <f t="shared" si="15"/>
        <v>0.91464871794871794</v>
      </c>
      <c r="Z153" s="202">
        <f>IF(OR($G153="F",$F153="E"),0,'Model Data Inputs'!$B$144)</f>
        <v>0</v>
      </c>
      <c r="AA153" s="202">
        <f>IF(AND($O153&lt;='Model Data Inputs'!$B$139,$F153="E"),0,IF(AND($O153&lt;='Model Data Inputs'!$B$139,$F153="M"),0,IF(AND($O153&lt;='Model Data Inputs'!$B$139,$F153="H"),0,IF(SUM($Y153:$Z153)&lt;1,1,SUM($Y153:$Z153)))))</f>
        <v>1</v>
      </c>
      <c r="AB153" s="202">
        <f>($K153/'Model Data Inputs'!$B$143)*'Model Data Inputs'!$B$145</f>
        <v>0.14460000000000001</v>
      </c>
      <c r="AC153" s="202">
        <f t="shared" si="16"/>
        <v>1.1446000000000001</v>
      </c>
      <c r="AD153" s="202">
        <f>IF($G153="F",0,'Model Data Inputs'!$B$147)</f>
        <v>1.1000000000000001</v>
      </c>
      <c r="AE153" s="202">
        <f>IF($G153="F",0,($K153/'Model Data Inputs'!$B$148)*'Model Data Inputs'!$B$149)</f>
        <v>0.52056000000000002</v>
      </c>
      <c r="AF153" s="202">
        <f>IF($G153="F",0,($O153/'Model Data Inputs'!$B$150)*'Model Data Inputs'!$B$151)</f>
        <v>0.16774549999999999</v>
      </c>
      <c r="AG153" s="202">
        <f>IF($G153="F",0,(($Q153*$T153)/'Model Data Inputs'!$B$152)*'Model Data Inputs'!$B$153)</f>
        <v>0.2322682274949045</v>
      </c>
      <c r="AH153" s="202">
        <f t="shared" si="17"/>
        <v>0.50514343187372623</v>
      </c>
      <c r="AI153" s="203">
        <f>IF(OR($G153="F",$F153="M",$F153="H"),0,($AH153*'Model Data Inputs'!$B$154)-$AH153)</f>
        <v>-0.10102868637474521</v>
      </c>
      <c r="AJ153" s="202">
        <f>IF(OR($G153="F",$F153="E",$F153="H"),0,($AH153*'Model Data Inputs'!$B$155)-$AH153)</f>
        <v>0</v>
      </c>
      <c r="AK153" s="203">
        <f>IF(OR($G153="F",$F153="E",$F153="M"),0,($AH153*'Model Data Inputs'!$B$156)-$AH153)</f>
        <v>0</v>
      </c>
      <c r="AL153" s="203">
        <f>IF($G153="F",0,IF($M153&lt;'Model Data Inputs'!$B$158,$AH153*('Model Data Inputs'!$B$159-1),0))</f>
        <v>0</v>
      </c>
      <c r="AM153" s="202">
        <f>IF($G153="F",0,IF($M153&gt;'Model Data Inputs'!$B$160,$AH153*('Model Data Inputs'!$B$161-1),0))</f>
        <v>5.0514343187372669E-2</v>
      </c>
      <c r="AN153" s="202">
        <f>IF($G153="F",0,IF($P153&lt;'Model Data Inputs'!$B$162,SUM($AH153,$AI153,$AJ153,$AK153,$AL153,$AM153)*('Model Data Inputs'!$B$163-1),0))</f>
        <v>0</v>
      </c>
      <c r="AO153" s="202">
        <f t="shared" si="18"/>
        <v>0.45462908868635371</v>
      </c>
      <c r="AP153" s="204">
        <f>$K153*'Model Data Inputs'!$B$166</f>
        <v>17438.760000000002</v>
      </c>
      <c r="AQ153" s="204">
        <f>($K153*'Model Data Inputs'!$B$145)*'Model Data Inputs'!$B$166</f>
        <v>1743.8760000000002</v>
      </c>
      <c r="AR153" s="50">
        <f t="shared" si="19"/>
        <v>19182.636000000002</v>
      </c>
    </row>
    <row r="154" spans="1:44" x14ac:dyDescent="0.2">
      <c r="A154" s="227" t="str">
        <f>'School Level Inst. Resources'!A154</f>
        <v>1101000</v>
      </c>
      <c r="B154" s="227" t="str">
        <f>'School Level Inst. Resources'!B154</f>
        <v>Laramie #1</v>
      </c>
      <c r="C154" s="227" t="str">
        <f>'School Level Inst. Resources'!C154</f>
        <v>1101014</v>
      </c>
      <c r="D154" s="227" t="str">
        <f>'School Level Inst. Resources'!D154</f>
        <v>Gilchrist Elementary</v>
      </c>
      <c r="E154" s="228" t="str">
        <f>'School Level Inst. Resources'!E154</f>
        <v>K-6</v>
      </c>
      <c r="F154" s="229" t="str">
        <f>'School Level Inst. Resources'!H154</f>
        <v>E</v>
      </c>
      <c r="G154" s="229" t="s">
        <v>1158</v>
      </c>
      <c r="H154" s="207">
        <v>25421</v>
      </c>
      <c r="I154" s="207">
        <f>IF('SFD Allowable GSF Calculation'!$D$2=1,'SFD Allowable GSF Calculation'!$P154,'SFD Allowable GSF Calculation'!$X154)</f>
        <v>19095</v>
      </c>
      <c r="J154" s="194">
        <f>$I154*'Model Data Inputs'!$B$165</f>
        <v>21959.25</v>
      </c>
      <c r="K154" s="194">
        <f>IF($L154&gt;='Model Data Inputs'!$B$164,$H154,MIN($H154,$J154))</f>
        <v>21959.25</v>
      </c>
      <c r="L154" s="208">
        <v>1984</v>
      </c>
      <c r="M154" s="196">
        <f>IF($L154&gt;0,'Model Data Inputs'!$B$157-$L154,"")</f>
        <v>33</v>
      </c>
      <c r="N154" s="209">
        <v>13</v>
      </c>
      <c r="O154" s="198">
        <f>'School Level Inst. Resources'!$L154</f>
        <v>96.53</v>
      </c>
      <c r="P154" s="198">
        <f>IF($G154="T",SUMIFS('School Level ADM'!$S$5:$S$359,'School Level ADM'!$A$5:$A$359,$A154),0)</f>
        <v>13859.934999999998</v>
      </c>
      <c r="Q154" s="199">
        <f t="shared" si="20"/>
        <v>6.9646791272830657E-3</v>
      </c>
      <c r="R154" s="200">
        <f>SUM((('School Level Inst. Resources'!I154/'Model Data Inputs'!$B$8)*(1+'Model Data Inputs'!$B$9)),(SUM('School Level Inst. Resources'!J154:K154)/'Model Data Inputs'!$C$8)*(1+'Model Data Inputs'!$C$9),'School Level Inst. Resources'!K154/400)</f>
        <v>6.4353333333333333</v>
      </c>
      <c r="S154" s="200">
        <f t="shared" si="21"/>
        <v>6.4353333333333333</v>
      </c>
      <c r="T154" s="201">
        <f>IF($G154="T",VLOOKUP($A154,'Total O &amp; M Resources'!$A$5:$K$52,3),0)</f>
        <v>103951852.07000002</v>
      </c>
      <c r="U154" s="202">
        <f>IF($G154="F",0,$S154/'Model Data Inputs'!$B$140)</f>
        <v>0.49502564102564101</v>
      </c>
      <c r="V154" s="202">
        <f>IF($G154="F",0,$O154/'Model Data Inputs'!$B$141)</f>
        <v>0.29701538461538463</v>
      </c>
      <c r="W154" s="202">
        <f>IF($G154="F",0,$N154/'Model Data Inputs'!$B$142)</f>
        <v>1</v>
      </c>
      <c r="X154" s="202">
        <f>IF($G154="F",0,$K154/'Model Data Inputs'!$B$143)</f>
        <v>1.2199583333333333</v>
      </c>
      <c r="Y154" s="202">
        <f t="shared" si="15"/>
        <v>0.75299983974358975</v>
      </c>
      <c r="Z154" s="202">
        <f>IF(OR($G154="F",$F154="E"),0,'Model Data Inputs'!$B$144)</f>
        <v>0</v>
      </c>
      <c r="AA154" s="202">
        <f>IF(AND($O154&lt;='Model Data Inputs'!$B$139,$F154="E"),0,IF(AND($O154&lt;='Model Data Inputs'!$B$139,$F154="M"),0,IF(AND($O154&lt;='Model Data Inputs'!$B$139,$F154="H"),0,IF(SUM($Y154:$Z154)&lt;1,1,SUM($Y154:$Z154)))))</f>
        <v>1</v>
      </c>
      <c r="AB154" s="202">
        <f>($K154/'Model Data Inputs'!$B$143)*'Model Data Inputs'!$B$145</f>
        <v>0.12199583333333333</v>
      </c>
      <c r="AC154" s="202">
        <f t="shared" si="16"/>
        <v>1.1219958333333333</v>
      </c>
      <c r="AD154" s="202">
        <f>IF($G154="F",0,'Model Data Inputs'!$B$147)</f>
        <v>1.1000000000000001</v>
      </c>
      <c r="AE154" s="202">
        <f>IF($G154="F",0,($K154/'Model Data Inputs'!$B$148)*'Model Data Inputs'!$B$149)</f>
        <v>0.43918499999999999</v>
      </c>
      <c r="AF154" s="202">
        <f>IF($G154="F",0,($O154/'Model Data Inputs'!$B$150)*'Model Data Inputs'!$B$151)</f>
        <v>0.12548900000000002</v>
      </c>
      <c r="AG154" s="202">
        <f>IF($G154="F",0,(($Q154*$T154)/'Model Data Inputs'!$B$152)*'Model Data Inputs'!$B$153)</f>
        <v>0.17375791064504306</v>
      </c>
      <c r="AH154" s="202">
        <f t="shared" si="17"/>
        <v>0.45960797766126077</v>
      </c>
      <c r="AI154" s="203">
        <f>IF(OR($G154="F",$F154="M",$F154="H"),0,($AH154*'Model Data Inputs'!$B$154)-$AH154)</f>
        <v>-9.1921595532252154E-2</v>
      </c>
      <c r="AJ154" s="202">
        <f>IF(OR($G154="F",$F154="E",$F154="H"),0,($AH154*'Model Data Inputs'!$B$155)-$AH154)</f>
        <v>0</v>
      </c>
      <c r="AK154" s="203">
        <f>IF(OR($G154="F",$F154="E",$F154="M"),0,($AH154*'Model Data Inputs'!$B$156)-$AH154)</f>
        <v>0</v>
      </c>
      <c r="AL154" s="203">
        <f>IF($G154="F",0,IF($M154&lt;'Model Data Inputs'!$B$158,$AH154*('Model Data Inputs'!$B$159-1),0))</f>
        <v>0</v>
      </c>
      <c r="AM154" s="202">
        <f>IF($G154="F",0,IF($M154&gt;'Model Data Inputs'!$B$160,$AH154*('Model Data Inputs'!$B$161-1),0))</f>
        <v>4.5960797766126119E-2</v>
      </c>
      <c r="AN154" s="202">
        <f>IF($G154="F",0,IF($P154&lt;'Model Data Inputs'!$B$162,SUM($AH154,$AI154,$AJ154,$AK154,$AL154,$AM154)*('Model Data Inputs'!$B$163-1),0))</f>
        <v>0</v>
      </c>
      <c r="AO154" s="202">
        <f t="shared" si="18"/>
        <v>0.41364717989513472</v>
      </c>
      <c r="AP154" s="204">
        <f>$K154*'Model Data Inputs'!$B$166</f>
        <v>14712.6975</v>
      </c>
      <c r="AQ154" s="204">
        <f>($K154*'Model Data Inputs'!$B$145)*'Model Data Inputs'!$B$166</f>
        <v>1471.2697500000002</v>
      </c>
      <c r="AR154" s="50">
        <f t="shared" si="19"/>
        <v>16183.96725</v>
      </c>
    </row>
    <row r="155" spans="1:44" x14ac:dyDescent="0.2">
      <c r="A155" s="227" t="str">
        <f>'School Level Inst. Resources'!A155</f>
        <v>1101000</v>
      </c>
      <c r="B155" s="227" t="str">
        <f>'School Level Inst. Resources'!B155</f>
        <v>Laramie #1</v>
      </c>
      <c r="C155" s="227" t="str">
        <f>'School Level Inst. Resources'!C155</f>
        <v>1101015</v>
      </c>
      <c r="D155" s="227" t="str">
        <f>'School Level Inst. Resources'!D155</f>
        <v>Goins Elementary</v>
      </c>
      <c r="E155" s="228" t="str">
        <f>'School Level Inst. Resources'!E155</f>
        <v>P-6</v>
      </c>
      <c r="F155" s="229" t="str">
        <f>'School Level Inst. Resources'!H155</f>
        <v>E</v>
      </c>
      <c r="G155" s="229" t="s">
        <v>1158</v>
      </c>
      <c r="H155" s="207">
        <v>53982</v>
      </c>
      <c r="I155" s="207">
        <f>IF('SFD Allowable GSF Calculation'!$D$2=1,'SFD Allowable GSF Calculation'!$P155,'SFD Allowable GSF Calculation'!$X155)</f>
        <v>49392</v>
      </c>
      <c r="J155" s="194">
        <f>$I155*'Model Data Inputs'!$B$165</f>
        <v>56800.799999999996</v>
      </c>
      <c r="K155" s="194">
        <f>IF($L155&gt;='Model Data Inputs'!$B$164,$H155,MIN($H155,$J155))</f>
        <v>53982</v>
      </c>
      <c r="L155" s="208">
        <v>2012</v>
      </c>
      <c r="M155" s="196">
        <f>IF($L155&gt;0,'Model Data Inputs'!$B$157-$L155,"")</f>
        <v>5</v>
      </c>
      <c r="N155" s="209">
        <v>31</v>
      </c>
      <c r="O155" s="198">
        <f>'School Level Inst. Resources'!$L155</f>
        <v>329.97500000000002</v>
      </c>
      <c r="P155" s="198">
        <f>IF($G155="T",SUMIFS('School Level ADM'!$S$5:$S$359,'School Level ADM'!$A$5:$A$359,$A155),0)</f>
        <v>13859.934999999998</v>
      </c>
      <c r="Q155" s="199">
        <f t="shared" si="20"/>
        <v>2.3807831710610482E-2</v>
      </c>
      <c r="R155" s="200">
        <f>SUM((('School Level Inst. Resources'!I155/'Model Data Inputs'!$B$8)*(1+'Model Data Inputs'!$B$9)),(SUM('School Level Inst. Resources'!J155:K155)/'Model Data Inputs'!$C$8)*(1+'Model Data Inputs'!$C$9),'School Level Inst. Resources'!K155/400)</f>
        <v>21.998333333333335</v>
      </c>
      <c r="S155" s="200">
        <f t="shared" si="21"/>
        <v>21.998333333333335</v>
      </c>
      <c r="T155" s="201">
        <f>IF($G155="T",VLOOKUP($A155,'Total O &amp; M Resources'!$A$5:$K$52,3),0)</f>
        <v>103951852.07000002</v>
      </c>
      <c r="U155" s="202">
        <f>IF($G155="F",0,$S155/'Model Data Inputs'!$B$140)</f>
        <v>1.6921794871794873</v>
      </c>
      <c r="V155" s="202">
        <f>IF($G155="F",0,$O155/'Model Data Inputs'!$B$141)</f>
        <v>1.0153076923076925</v>
      </c>
      <c r="W155" s="202">
        <f>IF($G155="F",0,$N155/'Model Data Inputs'!$B$142)</f>
        <v>2.3846153846153846</v>
      </c>
      <c r="X155" s="202">
        <f>IF($G155="F",0,$K155/'Model Data Inputs'!$B$143)</f>
        <v>2.9990000000000001</v>
      </c>
      <c r="Y155" s="202">
        <f t="shared" si="15"/>
        <v>2.0227756410256412</v>
      </c>
      <c r="Z155" s="202">
        <f>IF(OR($G155="F",$F155="E"),0,'Model Data Inputs'!$B$144)</f>
        <v>0</v>
      </c>
      <c r="AA155" s="202">
        <f>IF(AND($O155&lt;='Model Data Inputs'!$B$139,$F155="E"),0,IF(AND($O155&lt;='Model Data Inputs'!$B$139,$F155="M"),0,IF(AND($O155&lt;='Model Data Inputs'!$B$139,$F155="H"),0,IF(SUM($Y155:$Z155)&lt;1,1,SUM($Y155:$Z155)))))</f>
        <v>2.0227756410256412</v>
      </c>
      <c r="AB155" s="202">
        <f>($K155/'Model Data Inputs'!$B$143)*'Model Data Inputs'!$B$145</f>
        <v>0.29990000000000006</v>
      </c>
      <c r="AC155" s="202">
        <f t="shared" si="16"/>
        <v>2.3226756410256413</v>
      </c>
      <c r="AD155" s="202">
        <f>IF($G155="F",0,'Model Data Inputs'!$B$147)</f>
        <v>1.1000000000000001</v>
      </c>
      <c r="AE155" s="202">
        <f>IF($G155="F",0,($K155/'Model Data Inputs'!$B$148)*'Model Data Inputs'!$B$149)</f>
        <v>1.0796399999999999</v>
      </c>
      <c r="AF155" s="202">
        <f>IF($G155="F",0,($O155/'Model Data Inputs'!$B$150)*'Model Data Inputs'!$B$151)</f>
        <v>0.42896750000000006</v>
      </c>
      <c r="AG155" s="202">
        <f>IF($G155="F",0,(($Q155*$T155)/'Model Data Inputs'!$B$152)*'Model Data Inputs'!$B$153)</f>
        <v>0.59396836802132069</v>
      </c>
      <c r="AH155" s="202">
        <f t="shared" si="17"/>
        <v>0.80064396700533025</v>
      </c>
      <c r="AI155" s="203">
        <f>IF(OR($G155="F",$F155="M",$F155="H"),0,($AH155*'Model Data Inputs'!$B$154)-$AH155)</f>
        <v>-0.16012879340106601</v>
      </c>
      <c r="AJ155" s="202">
        <f>IF(OR($G155="F",$F155="E",$F155="H"),0,($AH155*'Model Data Inputs'!$B$155)-$AH155)</f>
        <v>0</v>
      </c>
      <c r="AK155" s="203">
        <f>IF(OR($G155="F",$F155="E",$F155="M"),0,($AH155*'Model Data Inputs'!$B$156)-$AH155)</f>
        <v>0</v>
      </c>
      <c r="AL155" s="203">
        <f>IF($G155="F",0,IF($M155&lt;'Model Data Inputs'!$B$158,$AH155*('Model Data Inputs'!$B$159-1),0))</f>
        <v>-4.003219835026655E-2</v>
      </c>
      <c r="AM155" s="202">
        <f>IF($G155="F",0,IF($M155&gt;'Model Data Inputs'!$B$160,$AH155*('Model Data Inputs'!$B$161-1),0))</f>
        <v>0</v>
      </c>
      <c r="AN155" s="202">
        <f>IF($G155="F",0,IF($P155&lt;'Model Data Inputs'!$B$162,SUM($AH155,$AI155,$AJ155,$AK155,$AL155,$AM155)*('Model Data Inputs'!$B$163-1),0))</f>
        <v>0</v>
      </c>
      <c r="AO155" s="202">
        <f t="shared" si="18"/>
        <v>0.60048297525399774</v>
      </c>
      <c r="AP155" s="204">
        <f>$K155*'Model Data Inputs'!$B$166</f>
        <v>36167.94</v>
      </c>
      <c r="AQ155" s="204">
        <f>($K155*'Model Data Inputs'!$B$145)*'Model Data Inputs'!$B$166</f>
        <v>3616.7940000000008</v>
      </c>
      <c r="AR155" s="50">
        <f t="shared" si="19"/>
        <v>39784.734000000004</v>
      </c>
    </row>
    <row r="156" spans="1:44" x14ac:dyDescent="0.2">
      <c r="A156" s="227" t="str">
        <f>'School Level Inst. Resources'!A156</f>
        <v>1101000</v>
      </c>
      <c r="B156" s="227" t="str">
        <f>'School Level Inst. Resources'!B156</f>
        <v>Laramie #1</v>
      </c>
      <c r="C156" s="227" t="str">
        <f>'School Level Inst. Resources'!C156</f>
        <v>1101016</v>
      </c>
      <c r="D156" s="227" t="str">
        <f>'School Level Inst. Resources'!D156</f>
        <v>Hebard Elementary</v>
      </c>
      <c r="E156" s="228" t="str">
        <f>'School Level Inst. Resources'!E156</f>
        <v>P-6</v>
      </c>
      <c r="F156" s="229" t="str">
        <f>'School Level Inst. Resources'!H156</f>
        <v>E</v>
      </c>
      <c r="G156" s="229" t="s">
        <v>1158</v>
      </c>
      <c r="H156" s="207">
        <v>32161</v>
      </c>
      <c r="I156" s="207">
        <f>IF('SFD Allowable GSF Calculation'!$D$2=1,'SFD Allowable GSF Calculation'!$P156,'SFD Allowable GSF Calculation'!$X156)</f>
        <v>28994</v>
      </c>
      <c r="J156" s="194">
        <f>$I156*'Model Data Inputs'!$B$165</f>
        <v>33343.1</v>
      </c>
      <c r="K156" s="194">
        <f>IF($L156&gt;='Model Data Inputs'!$B$164,$H156,MIN($H156,$J156))</f>
        <v>32161</v>
      </c>
      <c r="L156" s="208">
        <v>1945</v>
      </c>
      <c r="M156" s="196">
        <f>IF($L156&gt;0,'Model Data Inputs'!$B$157-$L156,"")</f>
        <v>72</v>
      </c>
      <c r="N156" s="209">
        <v>19</v>
      </c>
      <c r="O156" s="198">
        <f>'School Level Inst. Resources'!$L156</f>
        <v>141.84</v>
      </c>
      <c r="P156" s="198">
        <f>IF($G156="T",SUMIFS('School Level ADM'!$S$5:$S$359,'School Level ADM'!$A$5:$A$359,$A156),0)</f>
        <v>13859.934999999998</v>
      </c>
      <c r="Q156" s="199">
        <f t="shared" si="20"/>
        <v>1.0233814227844504E-2</v>
      </c>
      <c r="R156" s="200">
        <f>SUM((('School Level Inst. Resources'!I156/'Model Data Inputs'!$B$8)*(1+'Model Data Inputs'!$B$9)),(SUM('School Level Inst. Resources'!J156:K156)/'Model Data Inputs'!$C$8)*(1+'Model Data Inputs'!$C$9),'School Level Inst. Resources'!K156/400)</f>
        <v>9.4559999999999995</v>
      </c>
      <c r="S156" s="200">
        <f t="shared" si="21"/>
        <v>9.4559999999999995</v>
      </c>
      <c r="T156" s="201">
        <f>IF($G156="T",VLOOKUP($A156,'Total O &amp; M Resources'!$A$5:$K$52,3),0)</f>
        <v>103951852.07000002</v>
      </c>
      <c r="U156" s="202">
        <f>IF($G156="F",0,$S156/'Model Data Inputs'!$B$140)</f>
        <v>0.7273846153846153</v>
      </c>
      <c r="V156" s="202">
        <f>IF($G156="F",0,$O156/'Model Data Inputs'!$B$141)</f>
        <v>0.43643076923076923</v>
      </c>
      <c r="W156" s="202">
        <f>IF($G156="F",0,$N156/'Model Data Inputs'!$B$142)</f>
        <v>1.4615384615384615</v>
      </c>
      <c r="X156" s="202">
        <f>IF($G156="F",0,$K156/'Model Data Inputs'!$B$143)</f>
        <v>1.7867222222222223</v>
      </c>
      <c r="Y156" s="202">
        <f t="shared" si="15"/>
        <v>1.1030190170940171</v>
      </c>
      <c r="Z156" s="202">
        <f>IF(OR($G156="F",$F156="E"),0,'Model Data Inputs'!$B$144)</f>
        <v>0</v>
      </c>
      <c r="AA156" s="202">
        <f>IF(AND($O156&lt;='Model Data Inputs'!$B$139,$F156="E"),0,IF(AND($O156&lt;='Model Data Inputs'!$B$139,$F156="M"),0,IF(AND($O156&lt;='Model Data Inputs'!$B$139,$F156="H"),0,IF(SUM($Y156:$Z156)&lt;1,1,SUM($Y156:$Z156)))))</f>
        <v>1.1030190170940171</v>
      </c>
      <c r="AB156" s="202">
        <f>($K156/'Model Data Inputs'!$B$143)*'Model Data Inputs'!$B$145</f>
        <v>0.17867222222222223</v>
      </c>
      <c r="AC156" s="202">
        <f t="shared" si="16"/>
        <v>1.2816912393162392</v>
      </c>
      <c r="AD156" s="202">
        <f>IF($G156="F",0,'Model Data Inputs'!$B$147)</f>
        <v>1.1000000000000001</v>
      </c>
      <c r="AE156" s="202">
        <f>IF($G156="F",0,($K156/'Model Data Inputs'!$B$148)*'Model Data Inputs'!$B$149)</f>
        <v>0.64322000000000001</v>
      </c>
      <c r="AF156" s="202">
        <f>IF($G156="F",0,($O156/'Model Data Inputs'!$B$150)*'Model Data Inputs'!$B$151)</f>
        <v>0.184392</v>
      </c>
      <c r="AG156" s="202">
        <f>IF($G156="F",0,(($Q156*$T156)/'Model Data Inputs'!$B$152)*'Model Data Inputs'!$B$153)</f>
        <v>0.25531774625394082</v>
      </c>
      <c r="AH156" s="202">
        <f t="shared" si="17"/>
        <v>0.54573243656348513</v>
      </c>
      <c r="AI156" s="203">
        <f>IF(OR($G156="F",$F156="M",$F156="H"),0,($AH156*'Model Data Inputs'!$B$154)-$AH156)</f>
        <v>-0.10914648731269699</v>
      </c>
      <c r="AJ156" s="202">
        <f>IF(OR($G156="F",$F156="E",$F156="H"),0,($AH156*'Model Data Inputs'!$B$155)-$AH156)</f>
        <v>0</v>
      </c>
      <c r="AK156" s="203">
        <f>IF(OR($G156="F",$F156="E",$F156="M"),0,($AH156*'Model Data Inputs'!$B$156)-$AH156)</f>
        <v>0</v>
      </c>
      <c r="AL156" s="203">
        <f>IF($G156="F",0,IF($M156&lt;'Model Data Inputs'!$B$158,$AH156*('Model Data Inputs'!$B$159-1),0))</f>
        <v>0</v>
      </c>
      <c r="AM156" s="202">
        <f>IF($G156="F",0,IF($M156&gt;'Model Data Inputs'!$B$160,$AH156*('Model Data Inputs'!$B$161-1),0))</f>
        <v>5.4573243656348559E-2</v>
      </c>
      <c r="AN156" s="202">
        <f>IF($G156="F",0,IF($P156&lt;'Model Data Inputs'!$B$162,SUM($AH156,$AI156,$AJ156,$AK156,$AL156,$AM156)*('Model Data Inputs'!$B$163-1),0))</f>
        <v>0</v>
      </c>
      <c r="AO156" s="202">
        <f t="shared" si="18"/>
        <v>0.49115919290713672</v>
      </c>
      <c r="AP156" s="204">
        <f>$K156*'Model Data Inputs'!$B$166</f>
        <v>21547.870000000003</v>
      </c>
      <c r="AQ156" s="204">
        <f>($K156*'Model Data Inputs'!$B$145)*'Model Data Inputs'!$B$166</f>
        <v>2154.7870000000003</v>
      </c>
      <c r="AR156" s="50">
        <f t="shared" si="19"/>
        <v>23702.657000000003</v>
      </c>
    </row>
    <row r="157" spans="1:44" x14ac:dyDescent="0.2">
      <c r="A157" s="227" t="str">
        <f>'School Level Inst. Resources'!A157</f>
        <v>1101000</v>
      </c>
      <c r="B157" s="227" t="str">
        <f>'School Level Inst. Resources'!B157</f>
        <v>Laramie #1</v>
      </c>
      <c r="C157" s="227" t="str">
        <f>'School Level Inst. Resources'!C157</f>
        <v>1101017</v>
      </c>
      <c r="D157" s="227" t="str">
        <f>'School Level Inst. Resources'!D157</f>
        <v>Henderson Elementary</v>
      </c>
      <c r="E157" s="228" t="str">
        <f>'School Level Inst. Resources'!E157</f>
        <v>K-6</v>
      </c>
      <c r="F157" s="229" t="str">
        <f>'School Level Inst. Resources'!H157</f>
        <v>E</v>
      </c>
      <c r="G157" s="229" t="s">
        <v>1158</v>
      </c>
      <c r="H157" s="207">
        <v>38563</v>
      </c>
      <c r="I157" s="207">
        <f>IF('SFD Allowable GSF Calculation'!$D$2=1,'SFD Allowable GSF Calculation'!$P157,'SFD Allowable GSF Calculation'!$X157)</f>
        <v>43623</v>
      </c>
      <c r="J157" s="194">
        <f>$I157*'Model Data Inputs'!$B$165</f>
        <v>50166.45</v>
      </c>
      <c r="K157" s="194">
        <f>IF($L157&gt;='Model Data Inputs'!$B$164,$H157,MIN($H157,$J157))</f>
        <v>38563</v>
      </c>
      <c r="L157" s="208">
        <v>1950</v>
      </c>
      <c r="M157" s="196">
        <f>IF($L157&gt;0,'Model Data Inputs'!$B$157-$L157,"")</f>
        <v>67</v>
      </c>
      <c r="N157" s="209">
        <v>21</v>
      </c>
      <c r="O157" s="198">
        <f>'School Level Inst. Resources'!$L157</f>
        <v>279.74</v>
      </c>
      <c r="P157" s="198">
        <f>IF($G157="T",SUMIFS('School Level ADM'!$S$5:$S$359,'School Level ADM'!$A$5:$A$359,$A157),0)</f>
        <v>13859.934999999998</v>
      </c>
      <c r="Q157" s="199">
        <f t="shared" si="20"/>
        <v>2.0183355838248884E-2</v>
      </c>
      <c r="R157" s="200">
        <f>SUM((('School Level Inst. Resources'!I157/'Model Data Inputs'!$B$8)*(1+'Model Data Inputs'!$B$9)),(SUM('School Level Inst. Resources'!J157:K157)/'Model Data Inputs'!$C$8)*(1+'Model Data Inputs'!$C$9),'School Level Inst. Resources'!K157/400)</f>
        <v>18.649333333333335</v>
      </c>
      <c r="S157" s="200">
        <f t="shared" si="21"/>
        <v>18.649333333333335</v>
      </c>
      <c r="T157" s="201">
        <f>IF($G157="T",VLOOKUP($A157,'Total O &amp; M Resources'!$A$5:$K$52,3),0)</f>
        <v>103951852.07000002</v>
      </c>
      <c r="U157" s="202">
        <f>IF($G157="F",0,$S157/'Model Data Inputs'!$B$140)</f>
        <v>1.4345641025641027</v>
      </c>
      <c r="V157" s="202">
        <f>IF($G157="F",0,$O157/'Model Data Inputs'!$B$141)</f>
        <v>0.86073846153846156</v>
      </c>
      <c r="W157" s="202">
        <f>IF($G157="F",0,$N157/'Model Data Inputs'!$B$142)</f>
        <v>1.6153846153846154</v>
      </c>
      <c r="X157" s="202">
        <f>IF($G157="F",0,$K157/'Model Data Inputs'!$B$143)</f>
        <v>2.1423888888888887</v>
      </c>
      <c r="Y157" s="202">
        <f t="shared" si="15"/>
        <v>1.5132690170940171</v>
      </c>
      <c r="Z157" s="202">
        <f>IF(OR($G157="F",$F157="E"),0,'Model Data Inputs'!$B$144)</f>
        <v>0</v>
      </c>
      <c r="AA157" s="202">
        <f>IF(AND($O157&lt;='Model Data Inputs'!$B$139,$F157="E"),0,IF(AND($O157&lt;='Model Data Inputs'!$B$139,$F157="M"),0,IF(AND($O157&lt;='Model Data Inputs'!$B$139,$F157="H"),0,IF(SUM($Y157:$Z157)&lt;1,1,SUM($Y157:$Z157)))))</f>
        <v>1.5132690170940171</v>
      </c>
      <c r="AB157" s="202">
        <f>($K157/'Model Data Inputs'!$B$143)*'Model Data Inputs'!$B$145</f>
        <v>0.21423888888888887</v>
      </c>
      <c r="AC157" s="202">
        <f t="shared" si="16"/>
        <v>1.7275079059829059</v>
      </c>
      <c r="AD157" s="202">
        <f>IF($G157="F",0,'Model Data Inputs'!$B$147)</f>
        <v>1.1000000000000001</v>
      </c>
      <c r="AE157" s="202">
        <f>IF($G157="F",0,($K157/'Model Data Inputs'!$B$148)*'Model Data Inputs'!$B$149)</f>
        <v>0.77126000000000006</v>
      </c>
      <c r="AF157" s="202">
        <f>IF($G157="F",0,($O157/'Model Data Inputs'!$B$150)*'Model Data Inputs'!$B$151)</f>
        <v>0.36366199999999999</v>
      </c>
      <c r="AG157" s="202">
        <f>IF($G157="F",0,(($Q157*$T157)/'Model Data Inputs'!$B$152)*'Model Data Inputs'!$B$153)</f>
        <v>0.50354333288971653</v>
      </c>
      <c r="AH157" s="202">
        <f t="shared" si="17"/>
        <v>0.6846163332224291</v>
      </c>
      <c r="AI157" s="203">
        <f>IF(OR($G157="F",$F157="M",$F157="H"),0,($AH157*'Model Data Inputs'!$B$154)-$AH157)</f>
        <v>-0.13692326664448584</v>
      </c>
      <c r="AJ157" s="202">
        <f>IF(OR($G157="F",$F157="E",$F157="H"),0,($AH157*'Model Data Inputs'!$B$155)-$AH157)</f>
        <v>0</v>
      </c>
      <c r="AK157" s="203">
        <f>IF(OR($G157="F",$F157="E",$F157="M"),0,($AH157*'Model Data Inputs'!$B$156)-$AH157)</f>
        <v>0</v>
      </c>
      <c r="AL157" s="203">
        <f>IF($G157="F",0,IF($M157&lt;'Model Data Inputs'!$B$158,$AH157*('Model Data Inputs'!$B$159-1),0))</f>
        <v>0</v>
      </c>
      <c r="AM157" s="202">
        <f>IF($G157="F",0,IF($M157&gt;'Model Data Inputs'!$B$160,$AH157*('Model Data Inputs'!$B$161-1),0))</f>
        <v>6.8461633322242976E-2</v>
      </c>
      <c r="AN157" s="202">
        <f>IF($G157="F",0,IF($P157&lt;'Model Data Inputs'!$B$162,SUM($AH157,$AI157,$AJ157,$AK157,$AL157,$AM157)*('Model Data Inputs'!$B$163-1),0))</f>
        <v>0</v>
      </c>
      <c r="AO157" s="202">
        <f t="shared" si="18"/>
        <v>0.61615469990018623</v>
      </c>
      <c r="AP157" s="204">
        <f>$K157*'Model Data Inputs'!$B$166</f>
        <v>25837.210000000003</v>
      </c>
      <c r="AQ157" s="204">
        <f>($K157*'Model Data Inputs'!$B$145)*'Model Data Inputs'!$B$166</f>
        <v>2583.7210000000005</v>
      </c>
      <c r="AR157" s="50">
        <f t="shared" si="19"/>
        <v>28420.931000000004</v>
      </c>
    </row>
    <row r="158" spans="1:44" x14ac:dyDescent="0.2">
      <c r="A158" s="227" t="str">
        <f>'School Level Inst. Resources'!A158</f>
        <v>1101000</v>
      </c>
      <c r="B158" s="227" t="str">
        <f>'School Level Inst. Resources'!B158</f>
        <v>Laramie #1</v>
      </c>
      <c r="C158" s="227" t="str">
        <f>'School Level Inst. Resources'!C158</f>
        <v>1101018</v>
      </c>
      <c r="D158" s="227" t="str">
        <f>'School Level Inst. Resources'!D158</f>
        <v>Hobbs Elementary</v>
      </c>
      <c r="E158" s="228" t="str">
        <f>'School Level Inst. Resources'!E158</f>
        <v>K-6</v>
      </c>
      <c r="F158" s="229" t="str">
        <f>'School Level Inst. Resources'!H158</f>
        <v>E</v>
      </c>
      <c r="G158" s="229" t="s">
        <v>1158</v>
      </c>
      <c r="H158" s="207">
        <v>46233</v>
      </c>
      <c r="I158" s="207">
        <f>IF('SFD Allowable GSF Calculation'!$D$2=1,'SFD Allowable GSF Calculation'!$P158,'SFD Allowable GSF Calculation'!$X158)</f>
        <v>55793</v>
      </c>
      <c r="J158" s="194">
        <f>$I158*'Model Data Inputs'!$B$165</f>
        <v>64161.95</v>
      </c>
      <c r="K158" s="194">
        <f>IF($L158&gt;='Model Data Inputs'!$B$164,$H158,MIN($H158,$J158))</f>
        <v>46233</v>
      </c>
      <c r="L158" s="208">
        <v>1959</v>
      </c>
      <c r="M158" s="196">
        <f>IF($L158&gt;0,'Model Data Inputs'!$B$157-$L158,"")</f>
        <v>58</v>
      </c>
      <c r="N158" s="209">
        <v>33</v>
      </c>
      <c r="O158" s="198">
        <f>'School Level Inst. Resources'!$L158</f>
        <v>370.36</v>
      </c>
      <c r="P158" s="198">
        <f>IF($G158="T",SUMIFS('School Level ADM'!$S$5:$S$359,'School Level ADM'!$A$5:$A$359,$A158),0)</f>
        <v>13859.934999999998</v>
      </c>
      <c r="Q158" s="199">
        <f t="shared" si="20"/>
        <v>2.6721626039371765E-2</v>
      </c>
      <c r="R158" s="200">
        <f>SUM((('School Level Inst. Resources'!I158/'Model Data Inputs'!$B$8)*(1+'Model Data Inputs'!$B$9)),(SUM('School Level Inst. Resources'!J158:K158)/'Model Data Inputs'!$C$8)*(1+'Model Data Inputs'!$C$9),'School Level Inst. Resources'!K158/400)</f>
        <v>24.690666666666669</v>
      </c>
      <c r="S158" s="200">
        <f t="shared" si="21"/>
        <v>24.690666666666669</v>
      </c>
      <c r="T158" s="201">
        <f>IF($G158="T",VLOOKUP($A158,'Total O &amp; M Resources'!$A$5:$K$52,3),0)</f>
        <v>103951852.07000002</v>
      </c>
      <c r="U158" s="202">
        <f>IF($G158="F",0,$S158/'Model Data Inputs'!$B$140)</f>
        <v>1.8992820512820514</v>
      </c>
      <c r="V158" s="202">
        <f>IF($G158="F",0,$O158/'Model Data Inputs'!$B$141)</f>
        <v>1.1395692307692309</v>
      </c>
      <c r="W158" s="202">
        <f>IF($G158="F",0,$N158/'Model Data Inputs'!$B$142)</f>
        <v>2.5384615384615383</v>
      </c>
      <c r="X158" s="202">
        <f>IF($G158="F",0,$K158/'Model Data Inputs'!$B$143)</f>
        <v>2.5684999999999998</v>
      </c>
      <c r="Y158" s="202">
        <f t="shared" si="15"/>
        <v>2.0364532051282049</v>
      </c>
      <c r="Z158" s="202">
        <f>IF(OR($G158="F",$F158="E"),0,'Model Data Inputs'!$B$144)</f>
        <v>0</v>
      </c>
      <c r="AA158" s="202">
        <f>IF(AND($O158&lt;='Model Data Inputs'!$B$139,$F158="E"),0,IF(AND($O158&lt;='Model Data Inputs'!$B$139,$F158="M"),0,IF(AND($O158&lt;='Model Data Inputs'!$B$139,$F158="H"),0,IF(SUM($Y158:$Z158)&lt;1,1,SUM($Y158:$Z158)))))</f>
        <v>2.0364532051282049</v>
      </c>
      <c r="AB158" s="202">
        <f>($K158/'Model Data Inputs'!$B$143)*'Model Data Inputs'!$B$145</f>
        <v>0.25684999999999997</v>
      </c>
      <c r="AC158" s="202">
        <f t="shared" si="16"/>
        <v>2.293303205128205</v>
      </c>
      <c r="AD158" s="202">
        <f>IF($G158="F",0,'Model Data Inputs'!$B$147)</f>
        <v>1.1000000000000001</v>
      </c>
      <c r="AE158" s="202">
        <f>IF($G158="F",0,($K158/'Model Data Inputs'!$B$148)*'Model Data Inputs'!$B$149)</f>
        <v>0.92465999999999993</v>
      </c>
      <c r="AF158" s="202">
        <f>IF($G158="F",0,($O158/'Model Data Inputs'!$B$150)*'Model Data Inputs'!$B$151)</f>
        <v>0.48146800000000006</v>
      </c>
      <c r="AG158" s="202">
        <f>IF($G158="F",0,(($Q158*$T158)/'Model Data Inputs'!$B$152)*'Model Data Inputs'!$B$153)</f>
        <v>0.66666300410751222</v>
      </c>
      <c r="AH158" s="202">
        <f t="shared" si="17"/>
        <v>0.79319775102687806</v>
      </c>
      <c r="AI158" s="203">
        <f>IF(OR($G158="F",$F158="M",$F158="H"),0,($AH158*'Model Data Inputs'!$B$154)-$AH158)</f>
        <v>-0.15863955020537557</v>
      </c>
      <c r="AJ158" s="202">
        <f>IF(OR($G158="F",$F158="E",$F158="H"),0,($AH158*'Model Data Inputs'!$B$155)-$AH158)</f>
        <v>0</v>
      </c>
      <c r="AK158" s="203">
        <f>IF(OR($G158="F",$F158="E",$F158="M"),0,($AH158*'Model Data Inputs'!$B$156)-$AH158)</f>
        <v>0</v>
      </c>
      <c r="AL158" s="203">
        <f>IF($G158="F",0,IF($M158&lt;'Model Data Inputs'!$B$158,$AH158*('Model Data Inputs'!$B$159-1),0))</f>
        <v>0</v>
      </c>
      <c r="AM158" s="202">
        <f>IF($G158="F",0,IF($M158&gt;'Model Data Inputs'!$B$160,$AH158*('Model Data Inputs'!$B$161-1),0))</f>
        <v>7.9319775102687881E-2</v>
      </c>
      <c r="AN158" s="202">
        <f>IF($G158="F",0,IF($P158&lt;'Model Data Inputs'!$B$162,SUM($AH158,$AI158,$AJ158,$AK158,$AL158,$AM158)*('Model Data Inputs'!$B$163-1),0))</f>
        <v>0</v>
      </c>
      <c r="AO158" s="202">
        <f t="shared" si="18"/>
        <v>0.71387797592419033</v>
      </c>
      <c r="AP158" s="204">
        <f>$K158*'Model Data Inputs'!$B$166</f>
        <v>30976.11</v>
      </c>
      <c r="AQ158" s="204">
        <f>($K158*'Model Data Inputs'!$B$145)*'Model Data Inputs'!$B$166</f>
        <v>3097.6110000000003</v>
      </c>
      <c r="AR158" s="50">
        <f t="shared" si="19"/>
        <v>34073.720999999998</v>
      </c>
    </row>
    <row r="159" spans="1:44" x14ac:dyDescent="0.2">
      <c r="A159" s="227" t="str">
        <f>'School Level Inst. Resources'!A159</f>
        <v>1101000</v>
      </c>
      <c r="B159" s="227" t="str">
        <f>'School Level Inst. Resources'!B159</f>
        <v>Laramie #1</v>
      </c>
      <c r="C159" s="227" t="str">
        <f>'School Level Inst. Resources'!C159</f>
        <v>1101019</v>
      </c>
      <c r="D159" s="227" t="str">
        <f>'School Level Inst. Resources'!D159</f>
        <v>Clawson Elementary</v>
      </c>
      <c r="E159" s="228" t="str">
        <f>'School Level Inst. Resources'!E159</f>
        <v>K-6</v>
      </c>
      <c r="F159" s="229" t="str">
        <f>'School Level Inst. Resources'!H159</f>
        <v>E</v>
      </c>
      <c r="G159" s="229" t="s">
        <v>1158</v>
      </c>
      <c r="H159" s="207">
        <v>2774</v>
      </c>
      <c r="I159" s="207">
        <f>IF('SFD Allowable GSF Calculation'!$D$2=1,'SFD Allowable GSF Calculation'!$P159,'SFD Allowable GSF Calculation'!$X159)</f>
        <v>2915</v>
      </c>
      <c r="J159" s="194">
        <f>$I159*'Model Data Inputs'!$B$165</f>
        <v>3352.2499999999995</v>
      </c>
      <c r="K159" s="194">
        <f>IF($L159&gt;='Model Data Inputs'!$B$164,$H159,MIN($H159,$J159))</f>
        <v>2774</v>
      </c>
      <c r="L159" s="208">
        <v>1939</v>
      </c>
      <c r="M159" s="196">
        <f>IF($L159&gt;0,'Model Data Inputs'!$B$157-$L159,"")</f>
        <v>78</v>
      </c>
      <c r="N159" s="209">
        <v>2</v>
      </c>
      <c r="O159" s="198">
        <f>'School Level Inst. Resources'!$L159</f>
        <v>10.834999999999999</v>
      </c>
      <c r="P159" s="198">
        <f>IF($G159="T",SUMIFS('School Level ADM'!$S$5:$S$359,'School Level ADM'!$A$5:$A$359,$A159),0)</f>
        <v>13859.934999999998</v>
      </c>
      <c r="Q159" s="199">
        <f t="shared" si="20"/>
        <v>7.8174969796034402E-4</v>
      </c>
      <c r="R159" s="200">
        <f>SUM((('School Level Inst. Resources'!I159/'Model Data Inputs'!$B$8)*(1+'Model Data Inputs'!$B$9)),(SUM('School Level Inst. Resources'!J159:K159)/'Model Data Inputs'!$C$8)*(1+'Model Data Inputs'!$C$9),'School Level Inst. Resources'!K159/400)</f>
        <v>0.72233333333333327</v>
      </c>
      <c r="S159" s="200">
        <f t="shared" si="21"/>
        <v>0.72233333333333327</v>
      </c>
      <c r="T159" s="201">
        <f>IF($G159="T",VLOOKUP($A159,'Total O &amp; M Resources'!$A$5:$K$52,3),0)</f>
        <v>103951852.07000002</v>
      </c>
      <c r="U159" s="202">
        <f>IF($G159="F",0,$S159/'Model Data Inputs'!$B$140)</f>
        <v>5.556410256410256E-2</v>
      </c>
      <c r="V159" s="202">
        <f>IF($G159="F",0,$O159/'Model Data Inputs'!$B$141)</f>
        <v>3.3338461538461539E-2</v>
      </c>
      <c r="W159" s="202">
        <f>IF($G159="F",0,$N159/'Model Data Inputs'!$B$142)</f>
        <v>0.15384615384615385</v>
      </c>
      <c r="X159" s="202">
        <f>IF($G159="F",0,$K159/'Model Data Inputs'!$B$143)</f>
        <v>0.15411111111111112</v>
      </c>
      <c r="Y159" s="202">
        <f t="shared" si="15"/>
        <v>9.9214957264957271E-2</v>
      </c>
      <c r="Z159" s="202">
        <f>IF(OR($G159="F",$F159="E"),0,'Model Data Inputs'!$B$144)</f>
        <v>0</v>
      </c>
      <c r="AA159" s="202">
        <f>IF(AND($O159&lt;='Model Data Inputs'!$B$139,$F159="E"),0,IF(AND($O159&lt;='Model Data Inputs'!$B$139,$F159="M"),0,IF(AND($O159&lt;='Model Data Inputs'!$B$139,$F159="H"),0,IF(SUM($Y159:$Z159)&lt;1,1,SUM($Y159:$Z159)))))</f>
        <v>0</v>
      </c>
      <c r="AB159" s="202">
        <f>($K159/'Model Data Inputs'!$B$143)*'Model Data Inputs'!$B$145</f>
        <v>1.5411111111111112E-2</v>
      </c>
      <c r="AC159" s="202">
        <f t="shared" si="16"/>
        <v>1.5411111111111112E-2</v>
      </c>
      <c r="AD159" s="202">
        <f>IF($G159="F",0,'Model Data Inputs'!$B$147)</f>
        <v>1.1000000000000001</v>
      </c>
      <c r="AE159" s="202">
        <f>IF($G159="F",0,($K159/'Model Data Inputs'!$B$148)*'Model Data Inputs'!$B$149)</f>
        <v>5.5480000000000002E-2</v>
      </c>
      <c r="AF159" s="202">
        <f>IF($G159="F",0,($O159/'Model Data Inputs'!$B$150)*'Model Data Inputs'!$B$151)</f>
        <v>1.4085499999999999E-2</v>
      </c>
      <c r="AG159" s="202">
        <f>IF($G159="F",0,(($Q159*$T159)/'Model Data Inputs'!$B$152)*'Model Data Inputs'!$B$153)</f>
        <v>1.9503438949953808E-2</v>
      </c>
      <c r="AH159" s="202">
        <f t="shared" si="17"/>
        <v>0.29726723473748845</v>
      </c>
      <c r="AI159" s="203">
        <f>IF(OR($G159="F",$F159="M",$F159="H"),0,($AH159*'Model Data Inputs'!$B$154)-$AH159)</f>
        <v>-5.9453446947497685E-2</v>
      </c>
      <c r="AJ159" s="202">
        <f>IF(OR($G159="F",$F159="E",$F159="H"),0,($AH159*'Model Data Inputs'!$B$155)-$AH159)</f>
        <v>0</v>
      </c>
      <c r="AK159" s="203">
        <f>IF(OR($G159="F",$F159="E",$F159="M"),0,($AH159*'Model Data Inputs'!$B$156)-$AH159)</f>
        <v>0</v>
      </c>
      <c r="AL159" s="203">
        <f>IF($G159="F",0,IF($M159&lt;'Model Data Inputs'!$B$158,$AH159*('Model Data Inputs'!$B$159-1),0))</f>
        <v>0</v>
      </c>
      <c r="AM159" s="202">
        <f>IF($G159="F",0,IF($M159&gt;'Model Data Inputs'!$B$160,$AH159*('Model Data Inputs'!$B$161-1),0))</f>
        <v>2.972672347374887E-2</v>
      </c>
      <c r="AN159" s="202">
        <f>IF($G159="F",0,IF($P159&lt;'Model Data Inputs'!$B$162,SUM($AH159,$AI159,$AJ159,$AK159,$AL159,$AM159)*('Model Data Inputs'!$B$163-1),0))</f>
        <v>0</v>
      </c>
      <c r="AO159" s="202">
        <f t="shared" si="18"/>
        <v>0.26754051126373962</v>
      </c>
      <c r="AP159" s="204">
        <f>$K159*'Model Data Inputs'!$B$166</f>
        <v>1858.5800000000002</v>
      </c>
      <c r="AQ159" s="204">
        <f>($K159*'Model Data Inputs'!$B$145)*'Model Data Inputs'!$B$166</f>
        <v>185.85800000000003</v>
      </c>
      <c r="AR159" s="50">
        <f t="shared" si="19"/>
        <v>2044.4380000000001</v>
      </c>
    </row>
    <row r="160" spans="1:44" x14ac:dyDescent="0.2">
      <c r="A160" s="227" t="str">
        <f>'School Level Inst. Resources'!A160</f>
        <v>1101000</v>
      </c>
      <c r="B160" s="227" t="str">
        <f>'School Level Inst. Resources'!B160</f>
        <v>Laramie #1</v>
      </c>
      <c r="C160" s="227" t="str">
        <f>'School Level Inst. Resources'!C160</f>
        <v>1101020</v>
      </c>
      <c r="D160" s="227" t="str">
        <f>'School Level Inst. Resources'!D160</f>
        <v>Jessup Elementary</v>
      </c>
      <c r="E160" s="228" t="str">
        <f>'School Level Inst. Resources'!E160</f>
        <v>K-6</v>
      </c>
      <c r="F160" s="229" t="str">
        <f>'School Level Inst. Resources'!H160</f>
        <v>E</v>
      </c>
      <c r="G160" s="229" t="s">
        <v>1158</v>
      </c>
      <c r="H160" s="207">
        <v>32306</v>
      </c>
      <c r="I160" s="207">
        <f>IF('SFD Allowable GSF Calculation'!$D$2=1,'SFD Allowable GSF Calculation'!$P160,'SFD Allowable GSF Calculation'!$X160)</f>
        <v>39156</v>
      </c>
      <c r="J160" s="194">
        <f>$I160*'Model Data Inputs'!$B$165</f>
        <v>45029.399999999994</v>
      </c>
      <c r="K160" s="194">
        <f>IF($L160&gt;='Model Data Inputs'!$B$164,$H160,MIN($H160,$J160))</f>
        <v>32306</v>
      </c>
      <c r="L160" s="208">
        <v>1961</v>
      </c>
      <c r="M160" s="196">
        <f>IF($L160&gt;0,'Model Data Inputs'!$B$157-$L160,"")</f>
        <v>56</v>
      </c>
      <c r="N160" s="209">
        <v>21</v>
      </c>
      <c r="O160" s="198">
        <f>'School Level Inst. Resources'!$L160</f>
        <v>273.83</v>
      </c>
      <c r="P160" s="198">
        <f>IF($G160="T",SUMIFS('School Level ADM'!$S$5:$S$359,'School Level ADM'!$A$5:$A$359,$A160),0)</f>
        <v>13859.934999999998</v>
      </c>
      <c r="Q160" s="199">
        <f t="shared" si="20"/>
        <v>1.9756946912088694E-2</v>
      </c>
      <c r="R160" s="200">
        <f>SUM((('School Level Inst. Resources'!I160/'Model Data Inputs'!$B$8)*(1+'Model Data Inputs'!$B$9)),(SUM('School Level Inst. Resources'!J160:K160)/'Model Data Inputs'!$C$8)*(1+'Model Data Inputs'!$C$9),'School Level Inst. Resources'!K160/400)</f>
        <v>18.255333333333333</v>
      </c>
      <c r="S160" s="200">
        <f t="shared" si="21"/>
        <v>18.255333333333333</v>
      </c>
      <c r="T160" s="201">
        <f>IF($G160="T",VLOOKUP($A160,'Total O &amp; M Resources'!$A$5:$K$52,3),0)</f>
        <v>103951852.07000002</v>
      </c>
      <c r="U160" s="202">
        <f>IF($G160="F",0,$S160/'Model Data Inputs'!$B$140)</f>
        <v>1.4042564102564101</v>
      </c>
      <c r="V160" s="202">
        <f>IF($G160="F",0,$O160/'Model Data Inputs'!$B$141)</f>
        <v>0.8425538461538461</v>
      </c>
      <c r="W160" s="202">
        <f>IF($G160="F",0,$N160/'Model Data Inputs'!$B$142)</f>
        <v>1.6153846153846154</v>
      </c>
      <c r="X160" s="202">
        <f>IF($G160="F",0,$K160/'Model Data Inputs'!$B$143)</f>
        <v>1.7947777777777778</v>
      </c>
      <c r="Y160" s="202">
        <f t="shared" si="15"/>
        <v>1.4142431623931624</v>
      </c>
      <c r="Z160" s="202">
        <f>IF(OR($G160="F",$F160="E"),0,'Model Data Inputs'!$B$144)</f>
        <v>0</v>
      </c>
      <c r="AA160" s="202">
        <f>IF(AND($O160&lt;='Model Data Inputs'!$B$139,$F160="E"),0,IF(AND($O160&lt;='Model Data Inputs'!$B$139,$F160="M"),0,IF(AND($O160&lt;='Model Data Inputs'!$B$139,$F160="H"),0,IF(SUM($Y160:$Z160)&lt;1,1,SUM($Y160:$Z160)))))</f>
        <v>1.4142431623931624</v>
      </c>
      <c r="AB160" s="202">
        <f>($K160/'Model Data Inputs'!$B$143)*'Model Data Inputs'!$B$145</f>
        <v>0.17947777777777779</v>
      </c>
      <c r="AC160" s="202">
        <f t="shared" si="16"/>
        <v>1.5937209401709402</v>
      </c>
      <c r="AD160" s="202">
        <f>IF($G160="F",0,'Model Data Inputs'!$B$147)</f>
        <v>1.1000000000000001</v>
      </c>
      <c r="AE160" s="202">
        <f>IF($G160="F",0,($K160/'Model Data Inputs'!$B$148)*'Model Data Inputs'!$B$149)</f>
        <v>0.64611999999999992</v>
      </c>
      <c r="AF160" s="202">
        <f>IF($G160="F",0,($O160/'Model Data Inputs'!$B$150)*'Model Data Inputs'!$B$151)</f>
        <v>0.35597899999999999</v>
      </c>
      <c r="AG160" s="202">
        <f>IF($G160="F",0,(($Q160*$T160)/'Model Data Inputs'!$B$152)*'Model Data Inputs'!$B$153)</f>
        <v>0.49290509346246897</v>
      </c>
      <c r="AH160" s="202">
        <f t="shared" si="17"/>
        <v>0.64875102336561719</v>
      </c>
      <c r="AI160" s="203">
        <f>IF(OR($G160="F",$F160="M",$F160="H"),0,($AH160*'Model Data Inputs'!$B$154)-$AH160)</f>
        <v>-0.12975020467312337</v>
      </c>
      <c r="AJ160" s="202">
        <f>IF(OR($G160="F",$F160="E",$F160="H"),0,($AH160*'Model Data Inputs'!$B$155)-$AH160)</f>
        <v>0</v>
      </c>
      <c r="AK160" s="203">
        <f>IF(OR($G160="F",$F160="E",$F160="M"),0,($AH160*'Model Data Inputs'!$B$156)-$AH160)</f>
        <v>0</v>
      </c>
      <c r="AL160" s="203">
        <f>IF($G160="F",0,IF($M160&lt;'Model Data Inputs'!$B$158,$AH160*('Model Data Inputs'!$B$159-1),0))</f>
        <v>0</v>
      </c>
      <c r="AM160" s="202">
        <f>IF($G160="F",0,IF($M160&gt;'Model Data Inputs'!$B$160,$AH160*('Model Data Inputs'!$B$161-1),0))</f>
        <v>6.4875102336561782E-2</v>
      </c>
      <c r="AN160" s="202">
        <f>IF($G160="F",0,IF($P160&lt;'Model Data Inputs'!$B$162,SUM($AH160,$AI160,$AJ160,$AK160,$AL160,$AM160)*('Model Data Inputs'!$B$163-1),0))</f>
        <v>0</v>
      </c>
      <c r="AO160" s="202">
        <f t="shared" si="18"/>
        <v>0.58387592102905561</v>
      </c>
      <c r="AP160" s="204">
        <f>$K160*'Model Data Inputs'!$B$166</f>
        <v>21645.02</v>
      </c>
      <c r="AQ160" s="204">
        <f>($K160*'Model Data Inputs'!$B$145)*'Model Data Inputs'!$B$166</f>
        <v>2164.5020000000004</v>
      </c>
      <c r="AR160" s="50">
        <f t="shared" si="19"/>
        <v>23809.522000000001</v>
      </c>
    </row>
    <row r="161" spans="1:44" x14ac:dyDescent="0.2">
      <c r="A161" s="227" t="str">
        <f>'School Level Inst. Resources'!A161</f>
        <v>1101000</v>
      </c>
      <c r="B161" s="227" t="str">
        <f>'School Level Inst. Resources'!B161</f>
        <v>Laramie #1</v>
      </c>
      <c r="C161" s="227" t="str">
        <f>'School Level Inst. Resources'!C161</f>
        <v>1101021</v>
      </c>
      <c r="D161" s="227" t="str">
        <f>'School Level Inst. Resources'!D161</f>
        <v>Lebhart Elementary</v>
      </c>
      <c r="E161" s="228" t="str">
        <f>'School Level Inst. Resources'!E161</f>
        <v>K-2</v>
      </c>
      <c r="F161" s="229" t="str">
        <f>'School Level Inst. Resources'!H161</f>
        <v>E</v>
      </c>
      <c r="G161" s="229" t="s">
        <v>1158</v>
      </c>
      <c r="H161" s="207">
        <v>25807</v>
      </c>
      <c r="I161" s="207">
        <f>IF('SFD Allowable GSF Calculation'!$D$2=1,'SFD Allowable GSF Calculation'!$P161,'SFD Allowable GSF Calculation'!$X161)</f>
        <v>19361</v>
      </c>
      <c r="J161" s="194">
        <f>$I161*'Model Data Inputs'!$B$165</f>
        <v>22265.149999999998</v>
      </c>
      <c r="K161" s="194">
        <f>IF($L161&gt;='Model Data Inputs'!$B$164,$H161,MIN($H161,$J161))</f>
        <v>22265.149999999998</v>
      </c>
      <c r="L161" s="208">
        <v>1959</v>
      </c>
      <c r="M161" s="196">
        <f>IF($L161&gt;0,'Model Data Inputs'!$B$157-$L161,"")</f>
        <v>58</v>
      </c>
      <c r="N161" s="209">
        <v>14</v>
      </c>
      <c r="O161" s="198">
        <f>'School Level Inst. Resources'!$L161</f>
        <v>96.53</v>
      </c>
      <c r="P161" s="198">
        <f>IF($G161="T",SUMIFS('School Level ADM'!$S$5:$S$359,'School Level ADM'!$A$5:$A$359,$A161),0)</f>
        <v>13859.934999999998</v>
      </c>
      <c r="Q161" s="199">
        <f t="shared" si="20"/>
        <v>6.9646791272830657E-3</v>
      </c>
      <c r="R161" s="200">
        <f>SUM((('School Level Inst. Resources'!I161/'Model Data Inputs'!$B$8)*(1+'Model Data Inputs'!$B$9)),(SUM('School Level Inst. Resources'!J161:K161)/'Model Data Inputs'!$C$8)*(1+'Model Data Inputs'!$C$9),'School Level Inst. Resources'!K161/400)</f>
        <v>6.4353333333333333</v>
      </c>
      <c r="S161" s="200">
        <f t="shared" si="21"/>
        <v>6.4353333333333333</v>
      </c>
      <c r="T161" s="201">
        <f>IF($G161="T",VLOOKUP($A161,'Total O &amp; M Resources'!$A$5:$K$52,3),0)</f>
        <v>103951852.07000002</v>
      </c>
      <c r="U161" s="202">
        <f>IF($G161="F",0,$S161/'Model Data Inputs'!$B$140)</f>
        <v>0.49502564102564101</v>
      </c>
      <c r="V161" s="202">
        <f>IF($G161="F",0,$O161/'Model Data Inputs'!$B$141)</f>
        <v>0.29701538461538463</v>
      </c>
      <c r="W161" s="202">
        <f>IF($G161="F",0,$N161/'Model Data Inputs'!$B$142)</f>
        <v>1.0769230769230769</v>
      </c>
      <c r="X161" s="202">
        <f>IF($G161="F",0,$K161/'Model Data Inputs'!$B$143)</f>
        <v>1.2369527777777776</v>
      </c>
      <c r="Y161" s="202">
        <f t="shared" si="15"/>
        <v>0.77647922008546999</v>
      </c>
      <c r="Z161" s="202">
        <f>IF(OR($G161="F",$F161="E"),0,'Model Data Inputs'!$B$144)</f>
        <v>0</v>
      </c>
      <c r="AA161" s="202">
        <f>IF(AND($O161&lt;='Model Data Inputs'!$B$139,$F161="E"),0,IF(AND($O161&lt;='Model Data Inputs'!$B$139,$F161="M"),0,IF(AND($O161&lt;='Model Data Inputs'!$B$139,$F161="H"),0,IF(SUM($Y161:$Z161)&lt;1,1,SUM($Y161:$Z161)))))</f>
        <v>1</v>
      </c>
      <c r="AB161" s="202">
        <f>($K161/'Model Data Inputs'!$B$143)*'Model Data Inputs'!$B$145</f>
        <v>0.12369527777777777</v>
      </c>
      <c r="AC161" s="202">
        <f t="shared" si="16"/>
        <v>1.1236952777777778</v>
      </c>
      <c r="AD161" s="202">
        <f>IF($G161="F",0,'Model Data Inputs'!$B$147)</f>
        <v>1.1000000000000001</v>
      </c>
      <c r="AE161" s="202">
        <f>IF($G161="F",0,($K161/'Model Data Inputs'!$B$148)*'Model Data Inputs'!$B$149)</f>
        <v>0.44530299999999995</v>
      </c>
      <c r="AF161" s="202">
        <f>IF($G161="F",0,($O161/'Model Data Inputs'!$B$150)*'Model Data Inputs'!$B$151)</f>
        <v>0.12548900000000002</v>
      </c>
      <c r="AG161" s="202">
        <f>IF($G161="F",0,(($Q161*$T161)/'Model Data Inputs'!$B$152)*'Model Data Inputs'!$B$153)</f>
        <v>0.17375791064504306</v>
      </c>
      <c r="AH161" s="202">
        <f t="shared" si="17"/>
        <v>0.46113747766126079</v>
      </c>
      <c r="AI161" s="203">
        <f>IF(OR($G161="F",$F161="M",$F161="H"),0,($AH161*'Model Data Inputs'!$B$154)-$AH161)</f>
        <v>-9.2227495532252124E-2</v>
      </c>
      <c r="AJ161" s="202">
        <f>IF(OR($G161="F",$F161="E",$F161="H"),0,($AH161*'Model Data Inputs'!$B$155)-$AH161)</f>
        <v>0</v>
      </c>
      <c r="AK161" s="203">
        <f>IF(OR($G161="F",$F161="E",$F161="M"),0,($AH161*'Model Data Inputs'!$B$156)-$AH161)</f>
        <v>0</v>
      </c>
      <c r="AL161" s="203">
        <f>IF($G161="F",0,IF($M161&lt;'Model Data Inputs'!$B$158,$AH161*('Model Data Inputs'!$B$159-1),0))</f>
        <v>0</v>
      </c>
      <c r="AM161" s="202">
        <f>IF($G161="F",0,IF($M161&gt;'Model Data Inputs'!$B$160,$AH161*('Model Data Inputs'!$B$161-1),0))</f>
        <v>4.6113747766126117E-2</v>
      </c>
      <c r="AN161" s="202">
        <f>IF($G161="F",0,IF($P161&lt;'Model Data Inputs'!$B$162,SUM($AH161,$AI161,$AJ161,$AK161,$AL161,$AM161)*('Model Data Inputs'!$B$163-1),0))</f>
        <v>0</v>
      </c>
      <c r="AO161" s="202">
        <f t="shared" si="18"/>
        <v>0.41502372989513481</v>
      </c>
      <c r="AP161" s="204">
        <f>$K161*'Model Data Inputs'!$B$166</f>
        <v>14917.6505</v>
      </c>
      <c r="AQ161" s="204">
        <f>($K161*'Model Data Inputs'!$B$145)*'Model Data Inputs'!$B$166</f>
        <v>1491.76505</v>
      </c>
      <c r="AR161" s="50">
        <f t="shared" si="19"/>
        <v>16409.415549999998</v>
      </c>
    </row>
    <row r="162" spans="1:44" x14ac:dyDescent="0.2">
      <c r="A162" s="227" t="str">
        <f>'School Level Inst. Resources'!A162</f>
        <v>1101000</v>
      </c>
      <c r="B162" s="227" t="str">
        <f>'School Level Inst. Resources'!B162</f>
        <v>Laramie #1</v>
      </c>
      <c r="C162" s="227" t="str">
        <f>'School Level Inst. Resources'!C162</f>
        <v>1101022</v>
      </c>
      <c r="D162" s="227" t="str">
        <f>'School Level Inst. Resources'!D162</f>
        <v>Miller Elementary</v>
      </c>
      <c r="E162" s="228" t="str">
        <f>'School Level Inst. Resources'!E162</f>
        <v>4-6</v>
      </c>
      <c r="F162" s="229" t="str">
        <f>'School Level Inst. Resources'!H162</f>
        <v>E</v>
      </c>
      <c r="G162" s="229" t="s">
        <v>1158</v>
      </c>
      <c r="H162" s="207">
        <v>12777</v>
      </c>
      <c r="I162" s="207">
        <f>IF('SFD Allowable GSF Calculation'!$D$2=1,'SFD Allowable GSF Calculation'!$P162,'SFD Allowable GSF Calculation'!$X162)</f>
        <v>15775</v>
      </c>
      <c r="J162" s="194">
        <f>$I162*'Model Data Inputs'!$B$165</f>
        <v>18141.25</v>
      </c>
      <c r="K162" s="194">
        <f>IF($L162&gt;='Model Data Inputs'!$B$164,$H162,MIN($H162,$J162))</f>
        <v>12777</v>
      </c>
      <c r="L162" s="208">
        <v>1965</v>
      </c>
      <c r="M162" s="196">
        <f>IF($L162&gt;0,'Model Data Inputs'!$B$157-$L162,"")</f>
        <v>52</v>
      </c>
      <c r="N162" s="209">
        <v>6</v>
      </c>
      <c r="O162" s="198">
        <f>'School Level Inst. Resources'!$L162</f>
        <v>85.694999999999993</v>
      </c>
      <c r="P162" s="198">
        <f>IF($G162="T",SUMIFS('School Level ADM'!$S$5:$S$359,'School Level ADM'!$A$5:$A$359,$A162),0)</f>
        <v>13859.934999999998</v>
      </c>
      <c r="Q162" s="199">
        <f t="shared" si="20"/>
        <v>6.1829294293227208E-3</v>
      </c>
      <c r="R162" s="200">
        <f>SUM((('School Level Inst. Resources'!I162/'Model Data Inputs'!$B$8)*(1+'Model Data Inputs'!$B$9)),(SUM('School Level Inst. Resources'!J162:K162)/'Model Data Inputs'!$C$8)*(1+'Model Data Inputs'!$C$9),'School Level Inst. Resources'!K162/400)</f>
        <v>5.7130000000000001</v>
      </c>
      <c r="S162" s="200">
        <f t="shared" si="21"/>
        <v>5.7130000000000001</v>
      </c>
      <c r="T162" s="201">
        <f>IF($G162="T",VLOOKUP($A162,'Total O &amp; M Resources'!$A$5:$K$52,3),0)</f>
        <v>103951852.07000002</v>
      </c>
      <c r="U162" s="202">
        <f>IF($G162="F",0,$S162/'Model Data Inputs'!$B$140)</f>
        <v>0.43946153846153846</v>
      </c>
      <c r="V162" s="202">
        <f>IF($G162="F",0,$O162/'Model Data Inputs'!$B$141)</f>
        <v>0.26367692307692303</v>
      </c>
      <c r="W162" s="202">
        <f>IF($G162="F",0,$N162/'Model Data Inputs'!$B$142)</f>
        <v>0.46153846153846156</v>
      </c>
      <c r="X162" s="202">
        <f>IF($G162="F",0,$K162/'Model Data Inputs'!$B$143)</f>
        <v>0.70983333333333332</v>
      </c>
      <c r="Y162" s="202">
        <f t="shared" si="15"/>
        <v>0.46862756410256406</v>
      </c>
      <c r="Z162" s="202">
        <f>IF(OR($G162="F",$F162="E"),0,'Model Data Inputs'!$B$144)</f>
        <v>0</v>
      </c>
      <c r="AA162" s="202">
        <f>IF(AND($O162&lt;='Model Data Inputs'!$B$139,$F162="E"),0,IF(AND($O162&lt;='Model Data Inputs'!$B$139,$F162="M"),0,IF(AND($O162&lt;='Model Data Inputs'!$B$139,$F162="H"),0,IF(SUM($Y162:$Z162)&lt;1,1,SUM($Y162:$Z162)))))</f>
        <v>1</v>
      </c>
      <c r="AB162" s="202">
        <f>($K162/'Model Data Inputs'!$B$143)*'Model Data Inputs'!$B$145</f>
        <v>7.0983333333333329E-2</v>
      </c>
      <c r="AC162" s="202">
        <f t="shared" si="16"/>
        <v>1.0709833333333334</v>
      </c>
      <c r="AD162" s="202">
        <f>IF($G162="F",0,'Model Data Inputs'!$B$147)</f>
        <v>1.1000000000000001</v>
      </c>
      <c r="AE162" s="202">
        <f>IF($G162="F",0,($K162/'Model Data Inputs'!$B$148)*'Model Data Inputs'!$B$149)</f>
        <v>0.25553999999999999</v>
      </c>
      <c r="AF162" s="202">
        <f>IF($G162="F",0,($O162/'Model Data Inputs'!$B$150)*'Model Data Inputs'!$B$151)</f>
        <v>0.11140349999999999</v>
      </c>
      <c r="AG162" s="202">
        <f>IF($G162="F",0,(($Q162*$T162)/'Model Data Inputs'!$B$152)*'Model Data Inputs'!$B$153)</f>
        <v>0.15425447169508921</v>
      </c>
      <c r="AH162" s="202">
        <f t="shared" si="17"/>
        <v>0.40529949292377232</v>
      </c>
      <c r="AI162" s="203">
        <f>IF(OR($G162="F",$F162="M",$F162="H"),0,($AH162*'Model Data Inputs'!$B$154)-$AH162)</f>
        <v>-8.1059898584754431E-2</v>
      </c>
      <c r="AJ162" s="202">
        <f>IF(OR($G162="F",$F162="E",$F162="H"),0,($AH162*'Model Data Inputs'!$B$155)-$AH162)</f>
        <v>0</v>
      </c>
      <c r="AK162" s="203">
        <f>IF(OR($G162="F",$F162="E",$F162="M"),0,($AH162*'Model Data Inputs'!$B$156)-$AH162)</f>
        <v>0</v>
      </c>
      <c r="AL162" s="203">
        <f>IF($G162="F",0,IF($M162&lt;'Model Data Inputs'!$B$158,$AH162*('Model Data Inputs'!$B$159-1),0))</f>
        <v>0</v>
      </c>
      <c r="AM162" s="202">
        <f>IF($G162="F",0,IF($M162&gt;'Model Data Inputs'!$B$160,$AH162*('Model Data Inputs'!$B$161-1),0))</f>
        <v>4.0529949292377271E-2</v>
      </c>
      <c r="AN162" s="202">
        <f>IF($G162="F",0,IF($P162&lt;'Model Data Inputs'!$B$162,SUM($AH162,$AI162,$AJ162,$AK162,$AL162,$AM162)*('Model Data Inputs'!$B$163-1),0))</f>
        <v>0</v>
      </c>
      <c r="AO162" s="202">
        <f t="shared" si="18"/>
        <v>0.36476954363139513</v>
      </c>
      <c r="AP162" s="204">
        <f>$K162*'Model Data Inputs'!$B$166</f>
        <v>8560.59</v>
      </c>
      <c r="AQ162" s="204">
        <f>($K162*'Model Data Inputs'!$B$145)*'Model Data Inputs'!$B$166</f>
        <v>856.05900000000008</v>
      </c>
      <c r="AR162" s="50">
        <f t="shared" si="19"/>
        <v>9416.6489999999994</v>
      </c>
    </row>
    <row r="163" spans="1:44" x14ac:dyDescent="0.2">
      <c r="A163" s="227" t="str">
        <f>'School Level Inst. Resources'!A163</f>
        <v>1101000</v>
      </c>
      <c r="B163" s="227" t="str">
        <f>'School Level Inst. Resources'!B163</f>
        <v>Laramie #1</v>
      </c>
      <c r="C163" s="227" t="str">
        <f>'School Level Inst. Resources'!C163</f>
        <v>1101023</v>
      </c>
      <c r="D163" s="227" t="str">
        <f>'School Level Inst. Resources'!D163</f>
        <v>Pioneer Park Elementary</v>
      </c>
      <c r="E163" s="228" t="str">
        <f>'School Level Inst. Resources'!E163</f>
        <v>K-6</v>
      </c>
      <c r="F163" s="229" t="str">
        <f>'School Level Inst. Resources'!H163</f>
        <v>E</v>
      </c>
      <c r="G163" s="229" t="s">
        <v>1158</v>
      </c>
      <c r="H163" s="207">
        <v>52314</v>
      </c>
      <c r="I163" s="207">
        <f>IF('SFD Allowable GSF Calculation'!$D$2=1,'SFD Allowable GSF Calculation'!$P163,'SFD Allowable GSF Calculation'!$X163)</f>
        <v>42737</v>
      </c>
      <c r="J163" s="194">
        <f>$I163*'Model Data Inputs'!$B$165</f>
        <v>49147.549999999996</v>
      </c>
      <c r="K163" s="194">
        <f>IF($L163&gt;='Model Data Inputs'!$B$164,$H163,MIN($H163,$J163))</f>
        <v>49147.549999999996</v>
      </c>
      <c r="L163" s="208">
        <v>1955</v>
      </c>
      <c r="M163" s="196">
        <f>IF($L163&gt;0,'Model Data Inputs'!$B$157-$L163,"")</f>
        <v>62</v>
      </c>
      <c r="N163" s="209">
        <v>33</v>
      </c>
      <c r="O163" s="198">
        <f>'School Level Inst. Resources'!$L163</f>
        <v>339.82500000000005</v>
      </c>
      <c r="P163" s="198">
        <f>IF($G163="T",SUMIFS('School Level ADM'!$S$5:$S$359,'School Level ADM'!$A$5:$A$359,$A163),0)</f>
        <v>13859.934999999998</v>
      </c>
      <c r="Q163" s="199">
        <f t="shared" si="20"/>
        <v>2.4518513254210797E-2</v>
      </c>
      <c r="R163" s="200">
        <f>SUM((('School Level Inst. Resources'!I163/'Model Data Inputs'!$B$8)*(1+'Model Data Inputs'!$B$9)),(SUM('School Level Inst. Resources'!J163:K163)/'Model Data Inputs'!$C$8)*(1+'Model Data Inputs'!$C$9),'School Level Inst. Resources'!K163/400)</f>
        <v>22.655000000000005</v>
      </c>
      <c r="S163" s="200">
        <f t="shared" si="21"/>
        <v>22.655000000000005</v>
      </c>
      <c r="T163" s="201">
        <f>IF($G163="T",VLOOKUP($A163,'Total O &amp; M Resources'!$A$5:$K$52,3),0)</f>
        <v>103951852.07000002</v>
      </c>
      <c r="U163" s="202">
        <f>IF($G163="F",0,$S163/'Model Data Inputs'!$B$140)</f>
        <v>1.742692307692308</v>
      </c>
      <c r="V163" s="202">
        <f>IF($G163="F",0,$O163/'Model Data Inputs'!$B$141)</f>
        <v>1.0456153846153848</v>
      </c>
      <c r="W163" s="202">
        <f>IF($G163="F",0,$N163/'Model Data Inputs'!$B$142)</f>
        <v>2.5384615384615383</v>
      </c>
      <c r="X163" s="202">
        <f>IF($G163="F",0,$K163/'Model Data Inputs'!$B$143)</f>
        <v>2.7304194444444443</v>
      </c>
      <c r="Y163" s="202">
        <f t="shared" si="15"/>
        <v>2.0142971688034188</v>
      </c>
      <c r="Z163" s="202">
        <f>IF(OR($G163="F",$F163="E"),0,'Model Data Inputs'!$B$144)</f>
        <v>0</v>
      </c>
      <c r="AA163" s="202">
        <f>IF(AND($O163&lt;='Model Data Inputs'!$B$139,$F163="E"),0,IF(AND($O163&lt;='Model Data Inputs'!$B$139,$F163="M"),0,IF(AND($O163&lt;='Model Data Inputs'!$B$139,$F163="H"),0,IF(SUM($Y163:$Z163)&lt;1,1,SUM($Y163:$Z163)))))</f>
        <v>2.0142971688034188</v>
      </c>
      <c r="AB163" s="202">
        <f>($K163/'Model Data Inputs'!$B$143)*'Model Data Inputs'!$B$145</f>
        <v>0.27304194444444446</v>
      </c>
      <c r="AC163" s="202">
        <f t="shared" si="16"/>
        <v>2.2873391132478633</v>
      </c>
      <c r="AD163" s="202">
        <f>IF($G163="F",0,'Model Data Inputs'!$B$147)</f>
        <v>1.1000000000000001</v>
      </c>
      <c r="AE163" s="202">
        <f>IF($G163="F",0,($K163/'Model Data Inputs'!$B$148)*'Model Data Inputs'!$B$149)</f>
        <v>0.9829509999999998</v>
      </c>
      <c r="AF163" s="202">
        <f>IF($G163="F",0,($O163/'Model Data Inputs'!$B$150)*'Model Data Inputs'!$B$151)</f>
        <v>0.44177250000000007</v>
      </c>
      <c r="AG163" s="202">
        <f>IF($G163="F",0,(($Q163*$T163)/'Model Data Inputs'!$B$152)*'Model Data Inputs'!$B$153)</f>
        <v>0.61169876706673332</v>
      </c>
      <c r="AH163" s="202">
        <f t="shared" si="17"/>
        <v>0.7841055667666833</v>
      </c>
      <c r="AI163" s="203">
        <f>IF(OR($G163="F",$F163="M",$F163="H"),0,($AH163*'Model Data Inputs'!$B$154)-$AH163)</f>
        <v>-0.15682111335333659</v>
      </c>
      <c r="AJ163" s="202">
        <f>IF(OR($G163="F",$F163="E",$F163="H"),0,($AH163*'Model Data Inputs'!$B$155)-$AH163)</f>
        <v>0</v>
      </c>
      <c r="AK163" s="203">
        <f>IF(OR($G163="F",$F163="E",$F163="M"),0,($AH163*'Model Data Inputs'!$B$156)-$AH163)</f>
        <v>0</v>
      </c>
      <c r="AL163" s="203">
        <f>IF($G163="F",0,IF($M163&lt;'Model Data Inputs'!$B$158,$AH163*('Model Data Inputs'!$B$159-1),0))</f>
        <v>0</v>
      </c>
      <c r="AM163" s="202">
        <f>IF($G163="F",0,IF($M163&gt;'Model Data Inputs'!$B$160,$AH163*('Model Data Inputs'!$B$161-1),0))</f>
        <v>7.8410556676668394E-2</v>
      </c>
      <c r="AN163" s="202">
        <f>IF($G163="F",0,IF($P163&lt;'Model Data Inputs'!$B$162,SUM($AH163,$AI163,$AJ163,$AK163,$AL163,$AM163)*('Model Data Inputs'!$B$163-1),0))</f>
        <v>0</v>
      </c>
      <c r="AO163" s="202">
        <f t="shared" si="18"/>
        <v>0.70569501009001512</v>
      </c>
      <c r="AP163" s="204">
        <f>$K163*'Model Data Inputs'!$B$166</f>
        <v>32928.858500000002</v>
      </c>
      <c r="AQ163" s="204">
        <f>($K163*'Model Data Inputs'!$B$145)*'Model Data Inputs'!$B$166</f>
        <v>3292.8858500000001</v>
      </c>
      <c r="AR163" s="50">
        <f t="shared" si="19"/>
        <v>36221.744350000001</v>
      </c>
    </row>
    <row r="164" spans="1:44" x14ac:dyDescent="0.2">
      <c r="A164" s="227" t="str">
        <f>'School Level Inst. Resources'!A164</f>
        <v>1101000</v>
      </c>
      <c r="B164" s="227" t="str">
        <f>'School Level Inst. Resources'!B164</f>
        <v>Laramie #1</v>
      </c>
      <c r="C164" s="227" t="str">
        <f>'School Level Inst. Resources'!C164</f>
        <v>1101024</v>
      </c>
      <c r="D164" s="227" t="str">
        <f>'School Level Inst. Resources'!D164</f>
        <v>Rossman Elementary</v>
      </c>
      <c r="E164" s="228" t="str">
        <f>'School Level Inst. Resources'!E164</f>
        <v>K-6</v>
      </c>
      <c r="F164" s="229" t="str">
        <f>'School Level Inst. Resources'!H164</f>
        <v>E</v>
      </c>
      <c r="G164" s="229" t="s">
        <v>1158</v>
      </c>
      <c r="H164" s="207">
        <v>48473</v>
      </c>
      <c r="I164" s="207">
        <f>IF('SFD Allowable GSF Calculation'!$D$2=1,'SFD Allowable GSF Calculation'!$P164,'SFD Allowable GSF Calculation'!$X164)</f>
        <v>49656</v>
      </c>
      <c r="J164" s="194">
        <f>$I164*'Model Data Inputs'!$B$165</f>
        <v>57104.399999999994</v>
      </c>
      <c r="K164" s="194">
        <f>IF($L164&gt;='Model Data Inputs'!$B$164,$H164,MIN($H164,$J164))</f>
        <v>48473</v>
      </c>
      <c r="L164" s="208">
        <v>2009</v>
      </c>
      <c r="M164" s="196">
        <f>IF($L164&gt;0,'Model Data Inputs'!$B$157-$L164,"")</f>
        <v>8</v>
      </c>
      <c r="N164" s="209">
        <v>26</v>
      </c>
      <c r="O164" s="198">
        <f>'School Level Inst. Resources'!$L164</f>
        <v>356.56999999999994</v>
      </c>
      <c r="P164" s="198">
        <f>IF($G164="T",SUMIFS('School Level ADM'!$S$5:$S$359,'School Level ADM'!$A$5:$A$359,$A164),0)</f>
        <v>13859.934999999998</v>
      </c>
      <c r="Q164" s="199">
        <f t="shared" si="20"/>
        <v>2.572667187833132E-2</v>
      </c>
      <c r="R164" s="200">
        <f>SUM((('School Level Inst. Resources'!I164/'Model Data Inputs'!$B$8)*(1+'Model Data Inputs'!$B$9)),(SUM('School Level Inst. Resources'!J164:K164)/'Model Data Inputs'!$C$8)*(1+'Model Data Inputs'!$C$9),'School Level Inst. Resources'!K164/400)</f>
        <v>23.771333333333327</v>
      </c>
      <c r="S164" s="200">
        <f t="shared" si="21"/>
        <v>23.771333333333327</v>
      </c>
      <c r="T164" s="201">
        <f>IF($G164="T",VLOOKUP($A164,'Total O &amp; M Resources'!$A$5:$K$52,3),0)</f>
        <v>103951852.07000002</v>
      </c>
      <c r="U164" s="202">
        <f>IF($G164="F",0,$S164/'Model Data Inputs'!$B$140)</f>
        <v>1.8285641025641022</v>
      </c>
      <c r="V164" s="202">
        <f>IF($G164="F",0,$O164/'Model Data Inputs'!$B$141)</f>
        <v>1.0971384615384614</v>
      </c>
      <c r="W164" s="202">
        <f>IF($G164="F",0,$N164/'Model Data Inputs'!$B$142)</f>
        <v>2</v>
      </c>
      <c r="X164" s="202">
        <f>IF($G164="F",0,$K164/'Model Data Inputs'!$B$143)</f>
        <v>2.6929444444444446</v>
      </c>
      <c r="Y164" s="202">
        <f t="shared" si="15"/>
        <v>1.9046617521367519</v>
      </c>
      <c r="Z164" s="202">
        <f>IF(OR($G164="F",$F164="E"),0,'Model Data Inputs'!$B$144)</f>
        <v>0</v>
      </c>
      <c r="AA164" s="202">
        <f>IF(AND($O164&lt;='Model Data Inputs'!$B$139,$F164="E"),0,IF(AND($O164&lt;='Model Data Inputs'!$B$139,$F164="M"),0,IF(AND($O164&lt;='Model Data Inputs'!$B$139,$F164="H"),0,IF(SUM($Y164:$Z164)&lt;1,1,SUM($Y164:$Z164)))))</f>
        <v>1.9046617521367519</v>
      </c>
      <c r="AB164" s="202">
        <f>($K164/'Model Data Inputs'!$B$143)*'Model Data Inputs'!$B$145</f>
        <v>0.26929444444444445</v>
      </c>
      <c r="AC164" s="202">
        <f t="shared" si="16"/>
        <v>2.1739561965811962</v>
      </c>
      <c r="AD164" s="202">
        <f>IF($G164="F",0,'Model Data Inputs'!$B$147)</f>
        <v>1.1000000000000001</v>
      </c>
      <c r="AE164" s="202">
        <f>IF($G164="F",0,($K164/'Model Data Inputs'!$B$148)*'Model Data Inputs'!$B$149)</f>
        <v>0.96945999999999988</v>
      </c>
      <c r="AF164" s="202">
        <f>IF($G164="F",0,($O164/'Model Data Inputs'!$B$150)*'Model Data Inputs'!$B$151)</f>
        <v>0.46354099999999993</v>
      </c>
      <c r="AG164" s="202">
        <f>IF($G164="F",0,(($Q164*$T164)/'Model Data Inputs'!$B$152)*'Model Data Inputs'!$B$153)</f>
        <v>0.64184044544393459</v>
      </c>
      <c r="AH164" s="202">
        <f t="shared" si="17"/>
        <v>0.7937103613609835</v>
      </c>
      <c r="AI164" s="203">
        <f>IF(OR($G164="F",$F164="M",$F164="H"),0,($AH164*'Model Data Inputs'!$B$154)-$AH164)</f>
        <v>-0.15874207227219661</v>
      </c>
      <c r="AJ164" s="202">
        <f>IF(OR($G164="F",$F164="E",$F164="H"),0,($AH164*'Model Data Inputs'!$B$155)-$AH164)</f>
        <v>0</v>
      </c>
      <c r="AK164" s="203">
        <f>IF(OR($G164="F",$F164="E",$F164="M"),0,($AH164*'Model Data Inputs'!$B$156)-$AH164)</f>
        <v>0</v>
      </c>
      <c r="AL164" s="203">
        <f>IF($G164="F",0,IF($M164&lt;'Model Data Inputs'!$B$158,$AH164*('Model Data Inputs'!$B$159-1),0))</f>
        <v>-3.9685518068049208E-2</v>
      </c>
      <c r="AM164" s="202">
        <f>IF($G164="F",0,IF($M164&gt;'Model Data Inputs'!$B$160,$AH164*('Model Data Inputs'!$B$161-1),0))</f>
        <v>0</v>
      </c>
      <c r="AN164" s="202">
        <f>IF($G164="F",0,IF($P164&lt;'Model Data Inputs'!$B$162,SUM($AH164,$AI164,$AJ164,$AK164,$AL164,$AM164)*('Model Data Inputs'!$B$163-1),0))</f>
        <v>0</v>
      </c>
      <c r="AO164" s="202">
        <f t="shared" si="18"/>
        <v>0.59528277102073768</v>
      </c>
      <c r="AP164" s="204">
        <f>$K164*'Model Data Inputs'!$B$166</f>
        <v>32476.910000000003</v>
      </c>
      <c r="AQ164" s="204">
        <f>($K164*'Model Data Inputs'!$B$145)*'Model Data Inputs'!$B$166</f>
        <v>3247.6910000000003</v>
      </c>
      <c r="AR164" s="50">
        <f t="shared" si="19"/>
        <v>35724.601000000002</v>
      </c>
    </row>
    <row r="165" spans="1:44" x14ac:dyDescent="0.2">
      <c r="A165" s="227" t="str">
        <f>'School Level Inst. Resources'!A165</f>
        <v>1101000</v>
      </c>
      <c r="B165" s="227" t="str">
        <f>'School Level Inst. Resources'!B165</f>
        <v>Laramie #1</v>
      </c>
      <c r="C165" s="227" t="str">
        <f>'School Level Inst. Resources'!C165</f>
        <v>1101025</v>
      </c>
      <c r="D165" s="227" t="str">
        <f>'School Level Inst. Resources'!D165</f>
        <v>Willadsen Elementary</v>
      </c>
      <c r="E165" s="228" t="str">
        <f>'School Level Inst. Resources'!E165</f>
        <v>K-6</v>
      </c>
      <c r="F165" s="229" t="str">
        <f>'School Level Inst. Resources'!H165</f>
        <v>E</v>
      </c>
      <c r="G165" s="229" t="s">
        <v>1158</v>
      </c>
      <c r="H165" s="207">
        <v>4764</v>
      </c>
      <c r="I165" s="207">
        <f>IF('SFD Allowable GSF Calculation'!$D$2=1,'SFD Allowable GSF Calculation'!$P165,'SFD Allowable GSF Calculation'!$X165)</f>
        <v>2915</v>
      </c>
      <c r="J165" s="194">
        <f>$I165*'Model Data Inputs'!$B$165</f>
        <v>3352.2499999999995</v>
      </c>
      <c r="K165" s="194">
        <f>IF($L165&gt;='Model Data Inputs'!$B$164,$H165,MIN($H165,$J165))</f>
        <v>3352.2499999999995</v>
      </c>
      <c r="L165" s="208">
        <v>1959</v>
      </c>
      <c r="M165" s="196">
        <f>IF($L165&gt;0,'Model Data Inputs'!$B$157-$L165,"")</f>
        <v>58</v>
      </c>
      <c r="N165" s="209">
        <v>3</v>
      </c>
      <c r="O165" s="198">
        <f>'School Level Inst. Resources'!$L165</f>
        <v>1.97</v>
      </c>
      <c r="P165" s="198">
        <f>IF($G165="T",SUMIFS('School Level ADM'!$S$5:$S$359,'School Level ADM'!$A$5:$A$359,$A165),0)</f>
        <v>13859.934999999998</v>
      </c>
      <c r="Q165" s="199">
        <f t="shared" si="20"/>
        <v>1.4213630872006257E-4</v>
      </c>
      <c r="R165" s="200">
        <f>SUM((('School Level Inst. Resources'!I165/'Model Data Inputs'!$B$8)*(1+'Model Data Inputs'!$B$9)),(SUM('School Level Inst. Resources'!J165:K165)/'Model Data Inputs'!$C$8)*(1+'Model Data Inputs'!$C$9),'School Level Inst. Resources'!K165/400)</f>
        <v>0.13133333333333333</v>
      </c>
      <c r="S165" s="200">
        <f t="shared" si="21"/>
        <v>0.13133333333333333</v>
      </c>
      <c r="T165" s="201">
        <f>IF($G165="T",VLOOKUP($A165,'Total O &amp; M Resources'!$A$5:$K$52,3),0)</f>
        <v>103951852.07000002</v>
      </c>
      <c r="U165" s="202">
        <f>IF($G165="F",0,$S165/'Model Data Inputs'!$B$140)</f>
        <v>1.0102564102564103E-2</v>
      </c>
      <c r="V165" s="202">
        <f>IF($G165="F",0,$O165/'Model Data Inputs'!$B$141)</f>
        <v>6.0615384615384611E-3</v>
      </c>
      <c r="W165" s="202">
        <f>IF($G165="F",0,$N165/'Model Data Inputs'!$B$142)</f>
        <v>0.23076923076923078</v>
      </c>
      <c r="X165" s="202">
        <f>IF($G165="F",0,$K165/'Model Data Inputs'!$B$143)</f>
        <v>0.18623611111111107</v>
      </c>
      <c r="Y165" s="202">
        <f t="shared" si="15"/>
        <v>0.1082923611111111</v>
      </c>
      <c r="Z165" s="202">
        <f>IF(OR($G165="F",$F165="E"),0,'Model Data Inputs'!$B$144)</f>
        <v>0</v>
      </c>
      <c r="AA165" s="202">
        <f>IF(AND($O165&lt;='Model Data Inputs'!$B$139,$F165="E"),0,IF(AND($O165&lt;='Model Data Inputs'!$B$139,$F165="M"),0,IF(AND($O165&lt;='Model Data Inputs'!$B$139,$F165="H"),0,IF(SUM($Y165:$Z165)&lt;1,1,SUM($Y165:$Z165)))))</f>
        <v>0</v>
      </c>
      <c r="AB165" s="202">
        <f>($K165/'Model Data Inputs'!$B$143)*'Model Data Inputs'!$B$145</f>
        <v>1.8623611111111108E-2</v>
      </c>
      <c r="AC165" s="202">
        <f t="shared" si="16"/>
        <v>1.8623611111111108E-2</v>
      </c>
      <c r="AD165" s="202">
        <f>IF($G165="F",0,'Model Data Inputs'!$B$147)</f>
        <v>1.1000000000000001</v>
      </c>
      <c r="AE165" s="202">
        <f>IF($G165="F",0,($K165/'Model Data Inputs'!$B$148)*'Model Data Inputs'!$B$149)</f>
        <v>6.7044999999999993E-2</v>
      </c>
      <c r="AF165" s="202">
        <f>IF($G165="F",0,($O165/'Model Data Inputs'!$B$150)*'Model Data Inputs'!$B$151)</f>
        <v>2.5609999999999999E-3</v>
      </c>
      <c r="AG165" s="202">
        <f>IF($G165="F",0,(($Q165*$T165)/'Model Data Inputs'!$B$152)*'Model Data Inputs'!$B$153)</f>
        <v>3.5460798090825116E-3</v>
      </c>
      <c r="AH165" s="202">
        <f t="shared" si="17"/>
        <v>0.29328801995227066</v>
      </c>
      <c r="AI165" s="203">
        <f>IF(OR($G165="F",$F165="M",$F165="H"),0,($AH165*'Model Data Inputs'!$B$154)-$AH165)</f>
        <v>-5.865760399045411E-2</v>
      </c>
      <c r="AJ165" s="202">
        <f>IF(OR($G165="F",$F165="E",$F165="H"),0,($AH165*'Model Data Inputs'!$B$155)-$AH165)</f>
        <v>0</v>
      </c>
      <c r="AK165" s="203">
        <f>IF(OR($G165="F",$F165="E",$F165="M"),0,($AH165*'Model Data Inputs'!$B$156)-$AH165)</f>
        <v>0</v>
      </c>
      <c r="AL165" s="203">
        <f>IF($G165="F",0,IF($M165&lt;'Model Data Inputs'!$B$158,$AH165*('Model Data Inputs'!$B$159-1),0))</f>
        <v>0</v>
      </c>
      <c r="AM165" s="202">
        <f>IF($G165="F",0,IF($M165&gt;'Model Data Inputs'!$B$160,$AH165*('Model Data Inputs'!$B$161-1),0))</f>
        <v>2.9328801995227093E-2</v>
      </c>
      <c r="AN165" s="202">
        <f>IF($G165="F",0,IF($P165&lt;'Model Data Inputs'!$B$162,SUM($AH165,$AI165,$AJ165,$AK165,$AL165,$AM165)*('Model Data Inputs'!$B$163-1),0))</f>
        <v>0</v>
      </c>
      <c r="AO165" s="202">
        <f t="shared" si="18"/>
        <v>0.26395921795704363</v>
      </c>
      <c r="AP165" s="204">
        <f>$K165*'Model Data Inputs'!$B$166</f>
        <v>2246.0074999999997</v>
      </c>
      <c r="AQ165" s="204">
        <f>($K165*'Model Data Inputs'!$B$145)*'Model Data Inputs'!$B$166</f>
        <v>224.60074999999998</v>
      </c>
      <c r="AR165" s="50">
        <f t="shared" si="19"/>
        <v>2470.6082499999998</v>
      </c>
    </row>
    <row r="166" spans="1:44" x14ac:dyDescent="0.2">
      <c r="A166" s="227" t="str">
        <f>'School Level Inst. Resources'!A166</f>
        <v>1101000</v>
      </c>
      <c r="B166" s="227" t="str">
        <f>'School Level Inst. Resources'!B166</f>
        <v>Laramie #1</v>
      </c>
      <c r="C166" s="227" t="str">
        <f>'School Level Inst. Resources'!C166</f>
        <v>1101026</v>
      </c>
      <c r="D166" s="227" t="str">
        <f>'School Level Inst. Resources'!D166</f>
        <v>Anderson Elementary</v>
      </c>
      <c r="E166" s="228" t="str">
        <f>'School Level Inst. Resources'!E166</f>
        <v>K-4</v>
      </c>
      <c r="F166" s="229" t="str">
        <f>'School Level Inst. Resources'!H166</f>
        <v>E</v>
      </c>
      <c r="G166" s="229" t="s">
        <v>1158</v>
      </c>
      <c r="H166" s="207">
        <v>54474</v>
      </c>
      <c r="I166" s="207">
        <f>IF('SFD Allowable GSF Calculation'!$D$2=1,'SFD Allowable GSF Calculation'!$P166,'SFD Allowable GSF Calculation'!$X166)</f>
        <v>42841</v>
      </c>
      <c r="J166" s="194">
        <f>$I166*'Model Data Inputs'!$B$165</f>
        <v>49267.149999999994</v>
      </c>
      <c r="K166" s="194">
        <f>IF($L166&gt;='Model Data Inputs'!$B$164,$H166,MIN($H166,$J166))</f>
        <v>49267.149999999994</v>
      </c>
      <c r="L166" s="208">
        <v>1983</v>
      </c>
      <c r="M166" s="196">
        <f>IF($L166&gt;0,'Model Data Inputs'!$B$157-$L166,"")</f>
        <v>34</v>
      </c>
      <c r="N166" s="209">
        <v>28</v>
      </c>
      <c r="O166" s="198">
        <f>'School Level Inst. Resources'!$L166</f>
        <v>328.99</v>
      </c>
      <c r="P166" s="198">
        <f>IF($G166="T",SUMIFS('School Level ADM'!$S$5:$S$359,'School Level ADM'!$A$5:$A$359,$A166),0)</f>
        <v>13859.934999999998</v>
      </c>
      <c r="Q166" s="199">
        <f t="shared" si="20"/>
        <v>2.3736763556250449E-2</v>
      </c>
      <c r="R166" s="200">
        <f>SUM((('School Level Inst. Resources'!I166/'Model Data Inputs'!$B$8)*(1+'Model Data Inputs'!$B$9)),(SUM('School Level Inst. Resources'!J166:K166)/'Model Data Inputs'!$C$8)*(1+'Model Data Inputs'!$C$9),'School Level Inst. Resources'!K166/400)</f>
        <v>21.932666666666666</v>
      </c>
      <c r="S166" s="200">
        <f t="shared" si="21"/>
        <v>21.932666666666666</v>
      </c>
      <c r="T166" s="201">
        <f>IF($G166="T",VLOOKUP($A166,'Total O &amp; M Resources'!$A$5:$K$52,3),0)</f>
        <v>103951852.07000002</v>
      </c>
      <c r="U166" s="202">
        <f>IF($G166="F",0,$S166/'Model Data Inputs'!$B$140)</f>
        <v>1.687128205128205</v>
      </c>
      <c r="V166" s="202">
        <f>IF($G166="F",0,$O166/'Model Data Inputs'!$B$141)</f>
        <v>1.0122769230769231</v>
      </c>
      <c r="W166" s="202">
        <f>IF($G166="F",0,$N166/'Model Data Inputs'!$B$142)</f>
        <v>2.1538461538461537</v>
      </c>
      <c r="X166" s="202">
        <f>IF($G166="F",0,$K166/'Model Data Inputs'!$B$143)</f>
        <v>2.7370638888888887</v>
      </c>
      <c r="Y166" s="202">
        <f t="shared" si="15"/>
        <v>1.8975787927350427</v>
      </c>
      <c r="Z166" s="202">
        <f>IF(OR($G166="F",$F166="E"),0,'Model Data Inputs'!$B$144)</f>
        <v>0</v>
      </c>
      <c r="AA166" s="202">
        <f>IF(AND($O166&lt;='Model Data Inputs'!$B$139,$F166="E"),0,IF(AND($O166&lt;='Model Data Inputs'!$B$139,$F166="M"),0,IF(AND($O166&lt;='Model Data Inputs'!$B$139,$F166="H"),0,IF(SUM($Y166:$Z166)&lt;1,1,SUM($Y166:$Z166)))))</f>
        <v>1.8975787927350427</v>
      </c>
      <c r="AB166" s="202">
        <f>($K166/'Model Data Inputs'!$B$143)*'Model Data Inputs'!$B$145</f>
        <v>0.27370638888888887</v>
      </c>
      <c r="AC166" s="202">
        <f t="shared" si="16"/>
        <v>2.1712851816239316</v>
      </c>
      <c r="AD166" s="202">
        <f>IF($G166="F",0,'Model Data Inputs'!$B$147)</f>
        <v>1.1000000000000001</v>
      </c>
      <c r="AE166" s="202">
        <f>IF($G166="F",0,($K166/'Model Data Inputs'!$B$148)*'Model Data Inputs'!$B$149)</f>
        <v>0.98534299999999986</v>
      </c>
      <c r="AF166" s="202">
        <f>IF($G166="F",0,($O166/'Model Data Inputs'!$B$150)*'Model Data Inputs'!$B$151)</f>
        <v>0.42768700000000004</v>
      </c>
      <c r="AG166" s="202">
        <f>IF($G166="F",0,(($Q166*$T166)/'Model Data Inputs'!$B$152)*'Model Data Inputs'!$B$153)</f>
        <v>0.59219532811677944</v>
      </c>
      <c r="AH166" s="202">
        <f t="shared" si="17"/>
        <v>0.77630633202919486</v>
      </c>
      <c r="AI166" s="203">
        <f>IF(OR($G166="F",$F166="M",$F166="H"),0,($AH166*'Model Data Inputs'!$B$154)-$AH166)</f>
        <v>-0.15526126640583893</v>
      </c>
      <c r="AJ166" s="202">
        <f>IF(OR($G166="F",$F166="E",$F166="H"),0,($AH166*'Model Data Inputs'!$B$155)-$AH166)</f>
        <v>0</v>
      </c>
      <c r="AK166" s="203">
        <f>IF(OR($G166="F",$F166="E",$F166="M"),0,($AH166*'Model Data Inputs'!$B$156)-$AH166)</f>
        <v>0</v>
      </c>
      <c r="AL166" s="203">
        <f>IF($G166="F",0,IF($M166&lt;'Model Data Inputs'!$B$158,$AH166*('Model Data Inputs'!$B$159-1),0))</f>
        <v>0</v>
      </c>
      <c r="AM166" s="202">
        <f>IF($G166="F",0,IF($M166&gt;'Model Data Inputs'!$B$160,$AH166*('Model Data Inputs'!$B$161-1),0))</f>
        <v>7.7630633202919561E-2</v>
      </c>
      <c r="AN166" s="202">
        <f>IF($G166="F",0,IF($P166&lt;'Model Data Inputs'!$B$162,SUM($AH166,$AI166,$AJ166,$AK166,$AL166,$AM166)*('Model Data Inputs'!$B$163-1),0))</f>
        <v>0</v>
      </c>
      <c r="AO166" s="202">
        <f t="shared" si="18"/>
        <v>0.69867569882627545</v>
      </c>
      <c r="AP166" s="204">
        <f>$K166*'Model Data Inputs'!$B$166</f>
        <v>33008.9905</v>
      </c>
      <c r="AQ166" s="204">
        <f>($K166*'Model Data Inputs'!$B$145)*'Model Data Inputs'!$B$166</f>
        <v>3300.8990500000004</v>
      </c>
      <c r="AR166" s="50">
        <f t="shared" si="19"/>
        <v>36309.88955</v>
      </c>
    </row>
    <row r="167" spans="1:44" x14ac:dyDescent="0.2">
      <c r="A167" s="227" t="str">
        <f>'School Level Inst. Resources'!A167</f>
        <v>1101000</v>
      </c>
      <c r="B167" s="227" t="str">
        <f>'School Level Inst. Resources'!B167</f>
        <v>Laramie #1</v>
      </c>
      <c r="C167" s="227" t="str">
        <f>'School Level Inst. Resources'!C167</f>
        <v>1101027</v>
      </c>
      <c r="D167" s="227" t="str">
        <f>'School Level Inst. Resources'!D167</f>
        <v>Afflerbach Elementary</v>
      </c>
      <c r="E167" s="228" t="str">
        <f>'School Level Inst. Resources'!E167</f>
        <v>K-6</v>
      </c>
      <c r="F167" s="229" t="str">
        <f>'School Level Inst. Resources'!H167</f>
        <v>E</v>
      </c>
      <c r="G167" s="229" t="s">
        <v>1158</v>
      </c>
      <c r="H167" s="207">
        <v>61349</v>
      </c>
      <c r="I167" s="207">
        <f>IF('SFD Allowable GSF Calculation'!$D$2=1,'SFD Allowable GSF Calculation'!$P167,'SFD Allowable GSF Calculation'!$X167)</f>
        <v>59843</v>
      </c>
      <c r="J167" s="194">
        <f>$I167*'Model Data Inputs'!$B$165</f>
        <v>68819.45</v>
      </c>
      <c r="K167" s="194">
        <f>IF($L167&gt;='Model Data Inputs'!$B$164,$H167,MIN($H167,$J167))</f>
        <v>61349</v>
      </c>
      <c r="L167" s="208">
        <v>1986</v>
      </c>
      <c r="M167" s="196">
        <f>IF($L167&gt;0,'Model Data Inputs'!$B$157-$L167,"")</f>
        <v>31</v>
      </c>
      <c r="N167" s="209">
        <v>37</v>
      </c>
      <c r="O167" s="198">
        <f>'School Level Inst. Resources'!$L167</f>
        <v>388.09000000000003</v>
      </c>
      <c r="P167" s="198">
        <f>IF($G167="T",SUMIFS('School Level ADM'!$S$5:$S$359,'School Level ADM'!$A$5:$A$359,$A167),0)</f>
        <v>13859.934999999998</v>
      </c>
      <c r="Q167" s="199">
        <f t="shared" si="20"/>
        <v>2.8000852817852327E-2</v>
      </c>
      <c r="R167" s="200">
        <f>SUM((('School Level Inst. Resources'!I167/'Model Data Inputs'!$B$8)*(1+'Model Data Inputs'!$B$9)),(SUM('School Level Inst. Resources'!J167:K167)/'Model Data Inputs'!$C$8)*(1+'Model Data Inputs'!$C$9),'School Level Inst. Resources'!K167/400)</f>
        <v>25.872666666666667</v>
      </c>
      <c r="S167" s="200">
        <f t="shared" si="21"/>
        <v>25.872666666666667</v>
      </c>
      <c r="T167" s="201">
        <f>IF($G167="T",VLOOKUP($A167,'Total O &amp; M Resources'!$A$5:$K$52,3),0)</f>
        <v>103951852.07000002</v>
      </c>
      <c r="U167" s="202">
        <f>IF($G167="F",0,$S167/'Model Data Inputs'!$B$140)</f>
        <v>1.9902051282051283</v>
      </c>
      <c r="V167" s="202">
        <f>IF($G167="F",0,$O167/'Model Data Inputs'!$B$141)</f>
        <v>1.1941230769230771</v>
      </c>
      <c r="W167" s="202">
        <f>IF($G167="F",0,$N167/'Model Data Inputs'!$B$142)</f>
        <v>2.8461538461538463</v>
      </c>
      <c r="X167" s="202">
        <f>IF($G167="F",0,$K167/'Model Data Inputs'!$B$143)</f>
        <v>3.4082777777777777</v>
      </c>
      <c r="Y167" s="202">
        <f t="shared" si="15"/>
        <v>2.3596899572649574</v>
      </c>
      <c r="Z167" s="202">
        <f>IF(OR($G167="F",$F167="E"),0,'Model Data Inputs'!$B$144)</f>
        <v>0</v>
      </c>
      <c r="AA167" s="202">
        <f>IF(AND($O167&lt;='Model Data Inputs'!$B$139,$F167="E"),0,IF(AND($O167&lt;='Model Data Inputs'!$B$139,$F167="M"),0,IF(AND($O167&lt;='Model Data Inputs'!$B$139,$F167="H"),0,IF(SUM($Y167:$Z167)&lt;1,1,SUM($Y167:$Z167)))))</f>
        <v>2.3596899572649574</v>
      </c>
      <c r="AB167" s="202">
        <f>($K167/'Model Data Inputs'!$B$143)*'Model Data Inputs'!$B$145</f>
        <v>0.34082777777777779</v>
      </c>
      <c r="AC167" s="202">
        <f t="shared" si="16"/>
        <v>2.7005177350427352</v>
      </c>
      <c r="AD167" s="202">
        <f>IF($G167="F",0,'Model Data Inputs'!$B$147)</f>
        <v>1.1000000000000001</v>
      </c>
      <c r="AE167" s="202">
        <f>IF($G167="F",0,($K167/'Model Data Inputs'!$B$148)*'Model Data Inputs'!$B$149)</f>
        <v>1.22698</v>
      </c>
      <c r="AF167" s="202">
        <f>IF($G167="F",0,($O167/'Model Data Inputs'!$B$150)*'Model Data Inputs'!$B$151)</f>
        <v>0.5045170000000001</v>
      </c>
      <c r="AG167" s="202">
        <f>IF($G167="F",0,(($Q167*$T167)/'Model Data Inputs'!$B$152)*'Model Data Inputs'!$B$153)</f>
        <v>0.69857772238925475</v>
      </c>
      <c r="AH167" s="202">
        <f t="shared" si="17"/>
        <v>0.88251868059731364</v>
      </c>
      <c r="AI167" s="203">
        <f>IF(OR($G167="F",$F167="M",$F167="H"),0,($AH167*'Model Data Inputs'!$B$154)-$AH167)</f>
        <v>-0.17650373611946268</v>
      </c>
      <c r="AJ167" s="202">
        <f>IF(OR($G167="F",$F167="E",$F167="H"),0,($AH167*'Model Data Inputs'!$B$155)-$AH167)</f>
        <v>0</v>
      </c>
      <c r="AK167" s="203">
        <f>IF(OR($G167="F",$F167="E",$F167="M"),0,($AH167*'Model Data Inputs'!$B$156)-$AH167)</f>
        <v>0</v>
      </c>
      <c r="AL167" s="203">
        <f>IF($G167="F",0,IF($M167&lt;'Model Data Inputs'!$B$158,$AH167*('Model Data Inputs'!$B$159-1),0))</f>
        <v>0</v>
      </c>
      <c r="AM167" s="202">
        <f>IF($G167="F",0,IF($M167&gt;'Model Data Inputs'!$B$160,$AH167*('Model Data Inputs'!$B$161-1),0))</f>
        <v>8.8251868059731439E-2</v>
      </c>
      <c r="AN167" s="202">
        <f>IF($G167="F",0,IF($P167&lt;'Model Data Inputs'!$B$162,SUM($AH167,$AI167,$AJ167,$AK167,$AL167,$AM167)*('Model Data Inputs'!$B$163-1),0))</f>
        <v>0</v>
      </c>
      <c r="AO167" s="202">
        <f t="shared" si="18"/>
        <v>0.79426681253758236</v>
      </c>
      <c r="AP167" s="204">
        <f>$K167*'Model Data Inputs'!$B$166</f>
        <v>41103.83</v>
      </c>
      <c r="AQ167" s="204">
        <f>($K167*'Model Data Inputs'!$B$145)*'Model Data Inputs'!$B$166</f>
        <v>4110.3830000000007</v>
      </c>
      <c r="AR167" s="50">
        <f t="shared" si="19"/>
        <v>45214.213000000003</v>
      </c>
    </row>
    <row r="168" spans="1:44" x14ac:dyDescent="0.2">
      <c r="A168" s="227" t="str">
        <f>'School Level Inst. Resources'!A168</f>
        <v>1101000</v>
      </c>
      <c r="B168" s="227" t="str">
        <f>'School Level Inst. Resources'!B168</f>
        <v>Laramie #1</v>
      </c>
      <c r="C168" s="227" t="str">
        <f>'School Level Inst. Resources'!C168</f>
        <v>1101028</v>
      </c>
      <c r="D168" s="227" t="str">
        <f>'School Level Inst. Resources'!D168</f>
        <v>Freedom Elementary</v>
      </c>
      <c r="E168" s="228" t="str">
        <f>'School Level Inst. Resources'!E168</f>
        <v>K-6</v>
      </c>
      <c r="F168" s="229" t="str">
        <f>'School Level Inst. Resources'!H168</f>
        <v>E</v>
      </c>
      <c r="G168" s="229" t="s">
        <v>1158</v>
      </c>
      <c r="H168" s="207">
        <f>45979+7357</f>
        <v>53336</v>
      </c>
      <c r="I168" s="207">
        <f>IF('SFD Allowable GSF Calculation'!$D$2=1,'SFD Allowable GSF Calculation'!$P168,'SFD Allowable GSF Calculation'!$X168)</f>
        <v>46464</v>
      </c>
      <c r="J168" s="194">
        <f>$I168*'Model Data Inputs'!$B$165</f>
        <v>53433.599999999999</v>
      </c>
      <c r="K168" s="194">
        <f>IF($L168&gt;='Model Data Inputs'!$B$164,$H168,MIN($H168,$J168))</f>
        <v>53336</v>
      </c>
      <c r="L168" s="208">
        <v>2005</v>
      </c>
      <c r="M168" s="196">
        <f>IF($L168&gt;0,'Model Data Inputs'!$B$157-$L168,"")</f>
        <v>12</v>
      </c>
      <c r="N168" s="209">
        <v>25</v>
      </c>
      <c r="O168" s="198">
        <f>'School Level Inst. Resources'!$L168</f>
        <v>333.91499999999996</v>
      </c>
      <c r="P168" s="198">
        <f>IF($G168="T",SUMIFS('School Level ADM'!$S$5:$S$359,'School Level ADM'!$A$5:$A$359,$A168),0)</f>
        <v>13859.934999999998</v>
      </c>
      <c r="Q168" s="199">
        <f t="shared" si="20"/>
        <v>2.4092104328050604E-2</v>
      </c>
      <c r="R168" s="200">
        <f>SUM((('School Level Inst. Resources'!I168/'Model Data Inputs'!$B$8)*(1+'Model Data Inputs'!$B$9)),(SUM('School Level Inst. Resources'!J168:K168)/'Model Data Inputs'!$C$8)*(1+'Model Data Inputs'!$C$9),'School Level Inst. Resources'!K168/400)</f>
        <v>22.260999999999996</v>
      </c>
      <c r="S168" s="200">
        <f t="shared" si="21"/>
        <v>22.260999999999996</v>
      </c>
      <c r="T168" s="201">
        <f>IF($G168="T",VLOOKUP($A168,'Total O &amp; M Resources'!$A$5:$K$52,3),0)</f>
        <v>103951852.07000002</v>
      </c>
      <c r="U168" s="202">
        <f>IF($G168="F",0,$S168/'Model Data Inputs'!$B$140)</f>
        <v>1.7123846153846149</v>
      </c>
      <c r="V168" s="202">
        <f>IF($G168="F",0,$O168/'Model Data Inputs'!$B$141)</f>
        <v>1.0274307692307691</v>
      </c>
      <c r="W168" s="202">
        <f>IF($G168="F",0,$N168/'Model Data Inputs'!$B$142)</f>
        <v>1.9230769230769231</v>
      </c>
      <c r="X168" s="202">
        <f>IF($G168="F",0,$K168/'Model Data Inputs'!$B$143)</f>
        <v>2.963111111111111</v>
      </c>
      <c r="Y168" s="202">
        <f t="shared" si="15"/>
        <v>1.9065008547008546</v>
      </c>
      <c r="Z168" s="202">
        <f>IF(OR($G168="F",$F168="E"),0,'Model Data Inputs'!$B$144)</f>
        <v>0</v>
      </c>
      <c r="AA168" s="202">
        <f>IF(AND($O168&lt;='Model Data Inputs'!$B$139,$F168="E"),0,IF(AND($O168&lt;='Model Data Inputs'!$B$139,$F168="M"),0,IF(AND($O168&lt;='Model Data Inputs'!$B$139,$F168="H"),0,IF(SUM($Y168:$Z168)&lt;1,1,SUM($Y168:$Z168)))))</f>
        <v>1.9065008547008546</v>
      </c>
      <c r="AB168" s="202">
        <f>($K168/'Model Data Inputs'!$B$143)*'Model Data Inputs'!$B$145</f>
        <v>0.29631111111111114</v>
      </c>
      <c r="AC168" s="202">
        <f t="shared" si="16"/>
        <v>2.2028119658119656</v>
      </c>
      <c r="AD168" s="202">
        <f>IF($G168="F",0,'Model Data Inputs'!$B$147)</f>
        <v>1.1000000000000001</v>
      </c>
      <c r="AE168" s="202">
        <f>IF($G168="F",0,($K168/'Model Data Inputs'!$B$148)*'Model Data Inputs'!$B$149)</f>
        <v>1.0667199999999999</v>
      </c>
      <c r="AF168" s="202">
        <f>IF($G168="F",0,($O168/'Model Data Inputs'!$B$150)*'Model Data Inputs'!$B$151)</f>
        <v>0.43408949999999996</v>
      </c>
      <c r="AG168" s="202">
        <f>IF($G168="F",0,(($Q168*$T168)/'Model Data Inputs'!$B$152)*'Model Data Inputs'!$B$153)</f>
        <v>0.60106052763948559</v>
      </c>
      <c r="AH168" s="202">
        <f t="shared" si="17"/>
        <v>0.80046750690987123</v>
      </c>
      <c r="AI168" s="203">
        <f>IF(OR($G168="F",$F168="M",$F168="H"),0,($AH168*'Model Data Inputs'!$B$154)-$AH168)</f>
        <v>-0.1600935013819742</v>
      </c>
      <c r="AJ168" s="202">
        <f>IF(OR($G168="F",$F168="E",$F168="H"),0,($AH168*'Model Data Inputs'!$B$155)-$AH168)</f>
        <v>0</v>
      </c>
      <c r="AK168" s="203">
        <f>IF(OR($G168="F",$F168="E",$F168="M"),0,($AH168*'Model Data Inputs'!$B$156)-$AH168)</f>
        <v>0</v>
      </c>
      <c r="AL168" s="203">
        <f>IF($G168="F",0,IF($M168&lt;'Model Data Inputs'!$B$158,$AH168*('Model Data Inputs'!$B$159-1),0))</f>
        <v>0</v>
      </c>
      <c r="AM168" s="202">
        <f>IF($G168="F",0,IF($M168&gt;'Model Data Inputs'!$B$160,$AH168*('Model Data Inputs'!$B$161-1),0))</f>
        <v>0</v>
      </c>
      <c r="AN168" s="202">
        <f>IF($G168="F",0,IF($P168&lt;'Model Data Inputs'!$B$162,SUM($AH168,$AI168,$AJ168,$AK168,$AL168,$AM168)*('Model Data Inputs'!$B$163-1),0))</f>
        <v>0</v>
      </c>
      <c r="AO168" s="202">
        <f t="shared" si="18"/>
        <v>0.64037400552789703</v>
      </c>
      <c r="AP168" s="204">
        <f>$K168*'Model Data Inputs'!$B$166</f>
        <v>35735.120000000003</v>
      </c>
      <c r="AQ168" s="204">
        <f>($K168*'Model Data Inputs'!$B$145)*'Model Data Inputs'!$B$166</f>
        <v>3573.5120000000006</v>
      </c>
      <c r="AR168" s="50">
        <f t="shared" si="19"/>
        <v>39308.632000000005</v>
      </c>
    </row>
    <row r="169" spans="1:44" x14ac:dyDescent="0.2">
      <c r="A169" s="227" t="str">
        <f>'School Level Inst. Resources'!A169</f>
        <v>1101000</v>
      </c>
      <c r="B169" s="227" t="str">
        <f>'School Level Inst. Resources'!B169</f>
        <v>Laramie #1</v>
      </c>
      <c r="C169" s="227" t="str">
        <f>'School Level Inst. Resources'!C169</f>
        <v>1101029</v>
      </c>
      <c r="D169" s="227" t="str">
        <f>'School Level Inst. Resources'!D169</f>
        <v>Sunrise Elementary</v>
      </c>
      <c r="E169" s="228" t="str">
        <f>'School Level Inst. Resources'!E169</f>
        <v>K-6</v>
      </c>
      <c r="F169" s="229" t="str">
        <f>'School Level Inst. Resources'!H169</f>
        <v>E</v>
      </c>
      <c r="G169" s="229" t="s">
        <v>1158</v>
      </c>
      <c r="H169" s="207">
        <v>51654</v>
      </c>
      <c r="I169" s="207">
        <f>IF('SFD Allowable GSF Calculation'!$D$2=1,'SFD Allowable GSF Calculation'!$P169,'SFD Allowable GSF Calculation'!$X169)</f>
        <v>51462</v>
      </c>
      <c r="J169" s="194">
        <f>$I169*'Model Data Inputs'!$B$165</f>
        <v>59181.299999999996</v>
      </c>
      <c r="K169" s="194">
        <f>IF($L169&gt;='Model Data Inputs'!$B$164,$H169,MIN($H169,$J169))</f>
        <v>51654</v>
      </c>
      <c r="L169" s="208">
        <v>2007</v>
      </c>
      <c r="M169" s="196">
        <f>IF($L169&gt;0,'Model Data Inputs'!$B$157-$L169,"")</f>
        <v>10</v>
      </c>
      <c r="N169" s="209">
        <v>30</v>
      </c>
      <c r="O169" s="198">
        <f>'School Level Inst. Resources'!$L169</f>
        <v>353.61500000000001</v>
      </c>
      <c r="P169" s="198">
        <f>IF($G169="T",SUMIFS('School Level ADM'!$S$5:$S$359,'School Level ADM'!$A$5:$A$359,$A169),0)</f>
        <v>13859.934999999998</v>
      </c>
      <c r="Q169" s="199">
        <f t="shared" si="20"/>
        <v>2.5513467415251231E-2</v>
      </c>
      <c r="R169" s="200">
        <f>SUM((('School Level Inst. Resources'!I169/'Model Data Inputs'!$B$8)*(1+'Model Data Inputs'!$B$9)),(SUM('School Level Inst. Resources'!J169:K169)/'Model Data Inputs'!$C$8)*(1+'Model Data Inputs'!$C$9),'School Level Inst. Resources'!K169/400)</f>
        <v>23.574333333333332</v>
      </c>
      <c r="S169" s="200">
        <f t="shared" si="21"/>
        <v>23.574333333333332</v>
      </c>
      <c r="T169" s="201">
        <f>IF($G169="T",VLOOKUP($A169,'Total O &amp; M Resources'!$A$5:$K$52,3),0)</f>
        <v>103951852.07000002</v>
      </c>
      <c r="U169" s="202">
        <f>IF($G169="F",0,$S169/'Model Data Inputs'!$B$140)</f>
        <v>1.8134102564102563</v>
      </c>
      <c r="V169" s="202">
        <f>IF($G169="F",0,$O169/'Model Data Inputs'!$B$141)</f>
        <v>1.0880461538461539</v>
      </c>
      <c r="W169" s="202">
        <f>IF($G169="F",0,$N169/'Model Data Inputs'!$B$142)</f>
        <v>2.3076923076923075</v>
      </c>
      <c r="X169" s="202">
        <f>IF($G169="F",0,$K169/'Model Data Inputs'!$B$143)</f>
        <v>2.8696666666666668</v>
      </c>
      <c r="Y169" s="202">
        <f t="shared" si="15"/>
        <v>2.0197038461538463</v>
      </c>
      <c r="Z169" s="202">
        <f>IF(OR($G169="F",$F169="E"),0,'Model Data Inputs'!$B$144)</f>
        <v>0</v>
      </c>
      <c r="AA169" s="202">
        <f>IF(AND($O169&lt;='Model Data Inputs'!$B$139,$F169="E"),0,IF(AND($O169&lt;='Model Data Inputs'!$B$139,$F169="M"),0,IF(AND($O169&lt;='Model Data Inputs'!$B$139,$F169="H"),0,IF(SUM($Y169:$Z169)&lt;1,1,SUM($Y169:$Z169)))))</f>
        <v>2.0197038461538463</v>
      </c>
      <c r="AB169" s="202">
        <f>($K169/'Model Data Inputs'!$B$143)*'Model Data Inputs'!$B$145</f>
        <v>0.2869666666666667</v>
      </c>
      <c r="AC169" s="202">
        <f t="shared" si="16"/>
        <v>2.3066705128205132</v>
      </c>
      <c r="AD169" s="202">
        <f>IF($G169="F",0,'Model Data Inputs'!$B$147)</f>
        <v>1.1000000000000001</v>
      </c>
      <c r="AE169" s="202">
        <f>IF($G169="F",0,($K169/'Model Data Inputs'!$B$148)*'Model Data Inputs'!$B$149)</f>
        <v>1.03308</v>
      </c>
      <c r="AF169" s="202">
        <f>IF($G169="F",0,($O169/'Model Data Inputs'!$B$150)*'Model Data Inputs'!$B$151)</f>
        <v>0.45969950000000004</v>
      </c>
      <c r="AG169" s="202">
        <f>IF($G169="F",0,(($Q169*$T169)/'Model Data Inputs'!$B$152)*'Model Data Inputs'!$B$153)</f>
        <v>0.63652132573031084</v>
      </c>
      <c r="AH169" s="202">
        <f t="shared" si="17"/>
        <v>0.80732520643257777</v>
      </c>
      <c r="AI169" s="203">
        <f>IF(OR($G169="F",$F169="M",$F169="H"),0,($AH169*'Model Data Inputs'!$B$154)-$AH169)</f>
        <v>-0.16146504128651551</v>
      </c>
      <c r="AJ169" s="202">
        <f>IF(OR($G169="F",$F169="E",$F169="H"),0,($AH169*'Model Data Inputs'!$B$155)-$AH169)</f>
        <v>0</v>
      </c>
      <c r="AK169" s="203">
        <f>IF(OR($G169="F",$F169="E",$F169="M"),0,($AH169*'Model Data Inputs'!$B$156)-$AH169)</f>
        <v>0</v>
      </c>
      <c r="AL169" s="203">
        <f>IF($G169="F",0,IF($M169&lt;'Model Data Inputs'!$B$158,$AH169*('Model Data Inputs'!$B$159-1),0))</f>
        <v>0</v>
      </c>
      <c r="AM169" s="202">
        <f>IF($G169="F",0,IF($M169&gt;'Model Data Inputs'!$B$160,$AH169*('Model Data Inputs'!$B$161-1),0))</f>
        <v>0</v>
      </c>
      <c r="AN169" s="202">
        <f>IF($G169="F",0,IF($P169&lt;'Model Data Inputs'!$B$162,SUM($AH169,$AI169,$AJ169,$AK169,$AL169,$AM169)*('Model Data Inputs'!$B$163-1),0))</f>
        <v>0</v>
      </c>
      <c r="AO169" s="202">
        <f t="shared" si="18"/>
        <v>0.64586016514606226</v>
      </c>
      <c r="AP169" s="204">
        <f>$K169*'Model Data Inputs'!$B$166</f>
        <v>34608.18</v>
      </c>
      <c r="AQ169" s="204">
        <f>($K169*'Model Data Inputs'!$B$145)*'Model Data Inputs'!$B$166</f>
        <v>3460.8180000000007</v>
      </c>
      <c r="AR169" s="50">
        <f t="shared" si="19"/>
        <v>38068.998</v>
      </c>
    </row>
    <row r="170" spans="1:44" x14ac:dyDescent="0.2">
      <c r="A170" s="227" t="str">
        <f>'School Level Inst. Resources'!A170</f>
        <v>1101000</v>
      </c>
      <c r="B170" s="227" t="str">
        <f>'School Level Inst. Resources'!B170</f>
        <v>Laramie #1</v>
      </c>
      <c r="C170" s="227" t="str">
        <f>'School Level Inst. Resources'!C170</f>
        <v>1101030</v>
      </c>
      <c r="D170" s="227" t="str">
        <f>'School Level Inst. Resources'!D170</f>
        <v>Saddle Ridge Elementary</v>
      </c>
      <c r="E170" s="228" t="str">
        <f>'School Level Inst. Resources'!E170</f>
        <v>K-6</v>
      </c>
      <c r="F170" s="229" t="str">
        <f>'School Level Inst. Resources'!H170</f>
        <v>E</v>
      </c>
      <c r="G170" s="229" t="s">
        <v>1158</v>
      </c>
      <c r="H170" s="207">
        <v>53081</v>
      </c>
      <c r="I170" s="207">
        <f>IF('SFD Allowable GSF Calculation'!$D$2=1,'SFD Allowable GSF Calculation'!$P170,'SFD Allowable GSF Calculation'!$X170)</f>
        <v>55082</v>
      </c>
      <c r="J170" s="194">
        <f>$I170*'Model Data Inputs'!$B$165</f>
        <v>63344.299999999996</v>
      </c>
      <c r="K170" s="194">
        <f>IF($L170&gt;='Model Data Inputs'!$B$164,$H170,MIN($H170,$J170))</f>
        <v>53081</v>
      </c>
      <c r="L170" s="208">
        <v>2009</v>
      </c>
      <c r="M170" s="196">
        <f>IF($L170&gt;0,'Model Data Inputs'!$B$157-$L170,"")</f>
        <v>8</v>
      </c>
      <c r="N170" s="209">
        <v>31</v>
      </c>
      <c r="O170" s="198">
        <f>'School Level Inst. Resources'!$L170</f>
        <v>361.495</v>
      </c>
      <c r="P170" s="198">
        <f>IF($G170="T",SUMIFS('School Level ADM'!$S$5:$S$359,'School Level ADM'!$A$5:$A$359,$A170),0)</f>
        <v>13859.934999999998</v>
      </c>
      <c r="Q170" s="199">
        <f t="shared" si="20"/>
        <v>2.6082012650131482E-2</v>
      </c>
      <c r="R170" s="200">
        <f>SUM((('School Level Inst. Resources'!I170/'Model Data Inputs'!$B$8)*(1+'Model Data Inputs'!$B$9)),(SUM('School Level Inst. Resources'!J170:K170)/'Model Data Inputs'!$C$8)*(1+'Model Data Inputs'!$C$9),'School Level Inst. Resources'!K170/400)</f>
        <v>24.099666666666668</v>
      </c>
      <c r="S170" s="200">
        <f t="shared" si="21"/>
        <v>24.099666666666668</v>
      </c>
      <c r="T170" s="201">
        <f>IF($G170="T",VLOOKUP($A170,'Total O &amp; M Resources'!$A$5:$K$52,3),0)</f>
        <v>103951852.07000002</v>
      </c>
      <c r="U170" s="202">
        <f>IF($G170="F",0,$S170/'Model Data Inputs'!$B$140)</f>
        <v>1.853820512820513</v>
      </c>
      <c r="V170" s="202">
        <f>IF($G170="F",0,$O170/'Model Data Inputs'!$B$141)</f>
        <v>1.1122923076923077</v>
      </c>
      <c r="W170" s="202">
        <f>IF($G170="F",0,$N170/'Model Data Inputs'!$B$142)</f>
        <v>2.3846153846153846</v>
      </c>
      <c r="X170" s="202">
        <f>IF($G170="F",0,$K170/'Model Data Inputs'!$B$143)</f>
        <v>2.9489444444444444</v>
      </c>
      <c r="Y170" s="202">
        <f t="shared" si="15"/>
        <v>2.0749181623931623</v>
      </c>
      <c r="Z170" s="202">
        <f>IF(OR($G170="F",$F170="E"),0,'Model Data Inputs'!$B$144)</f>
        <v>0</v>
      </c>
      <c r="AA170" s="202">
        <f>IF(AND($O170&lt;='Model Data Inputs'!$B$139,$F170="E"),0,IF(AND($O170&lt;='Model Data Inputs'!$B$139,$F170="M"),0,IF(AND($O170&lt;='Model Data Inputs'!$B$139,$F170="H"),0,IF(SUM($Y170:$Z170)&lt;1,1,SUM($Y170:$Z170)))))</f>
        <v>2.0749181623931623</v>
      </c>
      <c r="AB170" s="202">
        <f>($K170/'Model Data Inputs'!$B$143)*'Model Data Inputs'!$B$145</f>
        <v>0.29489444444444446</v>
      </c>
      <c r="AC170" s="202">
        <f t="shared" si="16"/>
        <v>2.3698126068376069</v>
      </c>
      <c r="AD170" s="202">
        <f>IF($G170="F",0,'Model Data Inputs'!$B$147)</f>
        <v>1.1000000000000001</v>
      </c>
      <c r="AE170" s="202">
        <f>IF($G170="F",0,($K170/'Model Data Inputs'!$B$148)*'Model Data Inputs'!$B$149)</f>
        <v>1.06162</v>
      </c>
      <c r="AF170" s="202">
        <f>IF($G170="F",0,($O170/'Model Data Inputs'!$B$150)*'Model Data Inputs'!$B$151)</f>
        <v>0.46994350000000001</v>
      </c>
      <c r="AG170" s="202">
        <f>IF($G170="F",0,(($Q170*$T170)/'Model Data Inputs'!$B$152)*'Model Data Inputs'!$B$153)</f>
        <v>0.65070564496664074</v>
      </c>
      <c r="AH170" s="202">
        <f t="shared" si="17"/>
        <v>0.8205672862416602</v>
      </c>
      <c r="AI170" s="203">
        <f>IF(OR($G170="F",$F170="M",$F170="H"),0,($AH170*'Model Data Inputs'!$B$154)-$AH170)</f>
        <v>-0.16411345724833204</v>
      </c>
      <c r="AJ170" s="202">
        <f>IF(OR($G170="F",$F170="E",$F170="H"),0,($AH170*'Model Data Inputs'!$B$155)-$AH170)</f>
        <v>0</v>
      </c>
      <c r="AK170" s="203">
        <f>IF(OR($G170="F",$F170="E",$F170="M"),0,($AH170*'Model Data Inputs'!$B$156)-$AH170)</f>
        <v>0</v>
      </c>
      <c r="AL170" s="203">
        <f>IF($G170="F",0,IF($M170&lt;'Model Data Inputs'!$B$158,$AH170*('Model Data Inputs'!$B$159-1),0))</f>
        <v>-4.1028364312083045E-2</v>
      </c>
      <c r="AM170" s="202">
        <f>IF($G170="F",0,IF($M170&gt;'Model Data Inputs'!$B$160,$AH170*('Model Data Inputs'!$B$161-1),0))</f>
        <v>0</v>
      </c>
      <c r="AN170" s="202">
        <f>IF($G170="F",0,IF($P170&lt;'Model Data Inputs'!$B$162,SUM($AH170,$AI170,$AJ170,$AK170,$AL170,$AM170)*('Model Data Inputs'!$B$163-1),0))</f>
        <v>0</v>
      </c>
      <c r="AO170" s="202">
        <f t="shared" si="18"/>
        <v>0.61542546468124515</v>
      </c>
      <c r="AP170" s="204">
        <f>$K170*'Model Data Inputs'!$B$166</f>
        <v>35564.270000000004</v>
      </c>
      <c r="AQ170" s="204">
        <f>($K170*'Model Data Inputs'!$B$145)*'Model Data Inputs'!$B$166</f>
        <v>3556.4270000000006</v>
      </c>
      <c r="AR170" s="50">
        <f t="shared" si="19"/>
        <v>39120.697000000007</v>
      </c>
    </row>
    <row r="171" spans="1:44" x14ac:dyDescent="0.2">
      <c r="A171" s="227" t="str">
        <f>'School Level Inst. Resources'!A171</f>
        <v>1101000</v>
      </c>
      <c r="B171" s="227" t="str">
        <f>'School Level Inst. Resources'!B171</f>
        <v>Laramie #1</v>
      </c>
      <c r="C171" s="227" t="str">
        <f>'School Level Inst. Resources'!C171</f>
        <v>1101031</v>
      </c>
      <c r="D171" s="227" t="str">
        <f>'School Level Inst. Resources'!D171</f>
        <v>Prairie Wind Elementary</v>
      </c>
      <c r="E171" s="228" t="str">
        <f>'School Level Inst. Resources'!E171</f>
        <v>K-6</v>
      </c>
      <c r="F171" s="229" t="str">
        <f>'School Level Inst. Resources'!H171</f>
        <v>E</v>
      </c>
      <c r="G171" s="229" t="s">
        <v>1158</v>
      </c>
      <c r="H171" s="207">
        <v>71001</v>
      </c>
      <c r="I171" s="207">
        <f>IF('SFD Allowable GSF Calculation'!$D$2=1,'SFD Allowable GSF Calculation'!$P171,'SFD Allowable GSF Calculation'!$X171)</f>
        <v>59075</v>
      </c>
      <c r="J171" s="194">
        <f>$I171*'Model Data Inputs'!$B$165</f>
        <v>67936.25</v>
      </c>
      <c r="K171" s="194">
        <f>IF($L171&gt;='Model Data Inputs'!$B$164,$H171,MIN($H171,$J171))</f>
        <v>71001</v>
      </c>
      <c r="L171" s="208">
        <v>2015</v>
      </c>
      <c r="M171" s="196">
        <f>IF($L171&gt;0,'Model Data Inputs'!$B$157-$L171,"")</f>
        <v>2</v>
      </c>
      <c r="N171" s="209">
        <v>37</v>
      </c>
      <c r="O171" s="198">
        <f>'School Level Inst. Resources'!$L171</f>
        <v>450.14499999999998</v>
      </c>
      <c r="P171" s="198">
        <f>IF($G171="T",SUMIFS('School Level ADM'!$S$5:$S$359,'School Level ADM'!$A$5:$A$359,$A171),0)</f>
        <v>13859.934999999998</v>
      </c>
      <c r="Q171" s="199">
        <f t="shared" si="20"/>
        <v>3.2478146542534295E-2</v>
      </c>
      <c r="R171" s="200">
        <f>SUM((('School Level Inst. Resources'!I171/'Model Data Inputs'!$B$8)*(1+'Model Data Inputs'!$B$9)),(SUM('School Level Inst. Resources'!J171:K171)/'Model Data Inputs'!$C$8)*(1+'Model Data Inputs'!$C$9),'School Level Inst. Resources'!K171/400)</f>
        <v>30.009666666666664</v>
      </c>
      <c r="S171" s="200">
        <f t="shared" si="21"/>
        <v>30.009666666666664</v>
      </c>
      <c r="T171" s="201">
        <f>IF($G171="T",VLOOKUP($A171,'Total O &amp; M Resources'!$A$5:$K$52,3),0)</f>
        <v>103951852.07000002</v>
      </c>
      <c r="U171" s="202">
        <f>IF($G171="F",0,$S171/'Model Data Inputs'!$B$140)</f>
        <v>2.3084358974358974</v>
      </c>
      <c r="V171" s="202">
        <f>IF($G171="F",0,$O171/'Model Data Inputs'!$B$141)</f>
        <v>1.3850615384615383</v>
      </c>
      <c r="W171" s="202">
        <f>IF($G171="F",0,$N171/'Model Data Inputs'!$B$142)</f>
        <v>2.8461538461538463</v>
      </c>
      <c r="X171" s="202">
        <f>IF($G171="F",0,$K171/'Model Data Inputs'!$B$143)</f>
        <v>3.9445000000000001</v>
      </c>
      <c r="Y171" s="202">
        <f t="shared" si="15"/>
        <v>2.6210378205128206</v>
      </c>
      <c r="Z171" s="202">
        <f>IF(OR($G171="F",$F171="E"),0,'Model Data Inputs'!$B$144)</f>
        <v>0</v>
      </c>
      <c r="AA171" s="202">
        <f>IF(AND($O171&lt;='Model Data Inputs'!$B$139,$F171="E"),0,IF(AND($O171&lt;='Model Data Inputs'!$B$139,$F171="M"),0,IF(AND($O171&lt;='Model Data Inputs'!$B$139,$F171="H"),0,IF(SUM($Y171:$Z171)&lt;1,1,SUM($Y171:$Z171)))))</f>
        <v>2.6210378205128206</v>
      </c>
      <c r="AB171" s="202">
        <f>($K171/'Model Data Inputs'!$B$143)*'Model Data Inputs'!$B$145</f>
        <v>0.39445000000000002</v>
      </c>
      <c r="AC171" s="202">
        <f t="shared" si="16"/>
        <v>3.0154878205128206</v>
      </c>
      <c r="AD171" s="202">
        <f>IF($G171="F",0,'Model Data Inputs'!$B$147)</f>
        <v>1.1000000000000001</v>
      </c>
      <c r="AE171" s="202">
        <f>IF($G171="F",0,($K171/'Model Data Inputs'!$B$148)*'Model Data Inputs'!$B$149)</f>
        <v>1.4200199999999998</v>
      </c>
      <c r="AF171" s="202">
        <f>IF($G171="F",0,($O171/'Model Data Inputs'!$B$150)*'Model Data Inputs'!$B$151)</f>
        <v>0.5851885</v>
      </c>
      <c r="AG171" s="202">
        <f>IF($G171="F",0,(($Q171*$T171)/'Model Data Inputs'!$B$152)*'Model Data Inputs'!$B$153)</f>
        <v>0.81027923637535382</v>
      </c>
      <c r="AH171" s="202">
        <f t="shared" si="17"/>
        <v>0.97887193409383844</v>
      </c>
      <c r="AI171" s="203">
        <f>IF(OR($G171="F",$F171="M",$F171="H"),0,($AH171*'Model Data Inputs'!$B$154)-$AH171)</f>
        <v>-0.19577438681876769</v>
      </c>
      <c r="AJ171" s="202">
        <f>IF(OR($G171="F",$F171="E",$F171="H"),0,($AH171*'Model Data Inputs'!$B$155)-$AH171)</f>
        <v>0</v>
      </c>
      <c r="AK171" s="203">
        <f>IF(OR($G171="F",$F171="E",$F171="M"),0,($AH171*'Model Data Inputs'!$B$156)-$AH171)</f>
        <v>0</v>
      </c>
      <c r="AL171" s="203">
        <f>IF($G171="F",0,IF($M171&lt;'Model Data Inputs'!$B$158,$AH171*('Model Data Inputs'!$B$159-1),0))</f>
        <v>-4.8943596704691963E-2</v>
      </c>
      <c r="AM171" s="202">
        <f>IF($G171="F",0,IF($M171&gt;'Model Data Inputs'!$B$160,$AH171*('Model Data Inputs'!$B$161-1),0))</f>
        <v>0</v>
      </c>
      <c r="AN171" s="202">
        <f>IF($G171="F",0,IF($P171&lt;'Model Data Inputs'!$B$162,SUM($AH171,$AI171,$AJ171,$AK171,$AL171,$AM171)*('Model Data Inputs'!$B$163-1),0))</f>
        <v>0</v>
      </c>
      <c r="AO171" s="202">
        <f t="shared" si="18"/>
        <v>0.7341539505703788</v>
      </c>
      <c r="AP171" s="204">
        <f>$K171*'Model Data Inputs'!$B$166</f>
        <v>47570.670000000006</v>
      </c>
      <c r="AQ171" s="204">
        <f>($K171*'Model Data Inputs'!$B$145)*'Model Data Inputs'!$B$166</f>
        <v>4757.0670000000009</v>
      </c>
      <c r="AR171" s="50">
        <f t="shared" si="19"/>
        <v>52327.737000000008</v>
      </c>
    </row>
    <row r="172" spans="1:44" s="243" customFormat="1" x14ac:dyDescent="0.2">
      <c r="A172" s="227" t="str">
        <f>'School Level Inst. Resources'!A172</f>
        <v>1101000</v>
      </c>
      <c r="B172" s="227" t="str">
        <f>'School Level Inst. Resources'!B172</f>
        <v>Laramie #1</v>
      </c>
      <c r="C172" s="227" t="str">
        <f>'School Level Inst. Resources'!C172</f>
        <v>1101032</v>
      </c>
      <c r="D172" s="227" t="str">
        <f>'School Level Inst. Resources'!D172</f>
        <v>Meadowlark Elementary</v>
      </c>
      <c r="E172" s="228" t="str">
        <f>'School Level Inst. Resources'!E172</f>
        <v>5-6</v>
      </c>
      <c r="F172" s="229" t="str">
        <f>'School Level Inst. Resources'!H172</f>
        <v>E</v>
      </c>
      <c r="G172" s="229" t="s">
        <v>1158</v>
      </c>
      <c r="H172" s="207">
        <v>73510</v>
      </c>
      <c r="I172" s="207">
        <f>IF('SFD Allowable GSF Calculation'!$D$2=1,'SFD Allowable GSF Calculation'!$P172,'SFD Allowable GSF Calculation'!$X172)</f>
        <v>60338</v>
      </c>
      <c r="J172" s="235">
        <f>$I172*'Model Data Inputs'!$B$165</f>
        <v>69388.7</v>
      </c>
      <c r="K172" s="235">
        <f>IF($L172&gt;='Model Data Inputs'!$B$164,$H172,MIN($H172,$J172))</f>
        <v>73510</v>
      </c>
      <c r="L172" s="208">
        <v>2016</v>
      </c>
      <c r="M172" s="196">
        <f>IF($L172&gt;0,'Model Data Inputs'!$B$157-$L172,"")</f>
        <v>1</v>
      </c>
      <c r="N172" s="209">
        <v>37</v>
      </c>
      <c r="O172" s="236">
        <f>'School Level Inst. Resources'!$L172</f>
        <v>521.06500000000005</v>
      </c>
      <c r="P172" s="236">
        <f>IF($G172="T",SUMIFS('School Level ADM'!$S$5:$S$359,'School Level ADM'!$A$5:$A$359,$A172),0)</f>
        <v>13859.934999999998</v>
      </c>
      <c r="Q172" s="237">
        <f t="shared" si="20"/>
        <v>3.7595053656456552E-2</v>
      </c>
      <c r="R172" s="238">
        <f>SUM((('School Level Inst. Resources'!I172/'Model Data Inputs'!$B$8)*(1+'Model Data Inputs'!$B$9)),(SUM('School Level Inst. Resources'!J172:K172)/'Model Data Inputs'!$C$8)*(1+'Model Data Inputs'!$C$9),'School Level Inst. Resources'!K172/400)</f>
        <v>34.737666666666669</v>
      </c>
      <c r="S172" s="238">
        <f t="shared" si="21"/>
        <v>34.737666666666669</v>
      </c>
      <c r="T172" s="239">
        <f>IF($G172="T",VLOOKUP($A172,'Total O &amp; M Resources'!$A$5:$K$52,3),0)</f>
        <v>103951852.07000002</v>
      </c>
      <c r="U172" s="240">
        <f>IF($G172="F",0,$S172/'Model Data Inputs'!$B$140)</f>
        <v>2.6721282051282054</v>
      </c>
      <c r="V172" s="240">
        <f>IF($G172="F",0,$O172/'Model Data Inputs'!$B$141)</f>
        <v>1.6032769230769233</v>
      </c>
      <c r="W172" s="240">
        <f>IF($G172="F",0,$N172/'Model Data Inputs'!$B$142)</f>
        <v>2.8461538461538463</v>
      </c>
      <c r="X172" s="240">
        <f>IF($G172="F",0,$K172/'Model Data Inputs'!$B$143)</f>
        <v>4.0838888888888887</v>
      </c>
      <c r="Y172" s="240">
        <f t="shared" si="15"/>
        <v>2.8013619658119655</v>
      </c>
      <c r="Z172" s="240">
        <f>IF(OR($G172="F",$F172="E"),0,'Model Data Inputs'!$B$144)</f>
        <v>0</v>
      </c>
      <c r="AA172" s="240">
        <f>IF(AND($O172&lt;='Model Data Inputs'!$B$139,$F172="E"),0,IF(AND($O172&lt;='Model Data Inputs'!$B$139,$F172="M"),0,IF(AND($O172&lt;='Model Data Inputs'!$B$139,$F172="H"),0,IF(SUM($Y172:$Z172)&lt;1,1,SUM($Y172:$Z172)))))</f>
        <v>2.8013619658119655</v>
      </c>
      <c r="AB172" s="240">
        <f>($K172/'Model Data Inputs'!$B$143)*'Model Data Inputs'!$B$145</f>
        <v>0.40838888888888891</v>
      </c>
      <c r="AC172" s="240">
        <f t="shared" si="16"/>
        <v>3.2097508547008546</v>
      </c>
      <c r="AD172" s="240">
        <f>IF($G172="F",0,'Model Data Inputs'!$B$147)</f>
        <v>1.1000000000000001</v>
      </c>
      <c r="AE172" s="240">
        <f>IF($G172="F",0,($K172/'Model Data Inputs'!$B$148)*'Model Data Inputs'!$B$149)</f>
        <v>1.4702</v>
      </c>
      <c r="AF172" s="240">
        <f>IF($G172="F",0,($O172/'Model Data Inputs'!$B$150)*'Model Data Inputs'!$B$151)</f>
        <v>0.67738450000000006</v>
      </c>
      <c r="AG172" s="240">
        <f>IF($G172="F",0,(($Q172*$T172)/'Model Data Inputs'!$B$152)*'Model Data Inputs'!$B$153)</f>
        <v>0.93793810950232448</v>
      </c>
      <c r="AH172" s="240">
        <f t="shared" si="17"/>
        <v>1.0463806523755812</v>
      </c>
      <c r="AI172" s="241">
        <f>IF(OR($G172="F",$F172="M",$F172="H"),0,($AH172*'Model Data Inputs'!$B$154)-$AH172)</f>
        <v>-0.20927613047511617</v>
      </c>
      <c r="AJ172" s="240">
        <f>IF(OR($G172="F",$F172="E",$F172="H"),0,($AH172*'Model Data Inputs'!$B$155)-$AH172)</f>
        <v>0</v>
      </c>
      <c r="AK172" s="241">
        <f>IF(OR($G172="F",$F172="E",$F172="M"),0,($AH172*'Model Data Inputs'!$B$156)-$AH172)</f>
        <v>0</v>
      </c>
      <c r="AL172" s="241">
        <f>IF($G172="F",0,IF($M172&lt;'Model Data Inputs'!$B$158,$AH172*('Model Data Inputs'!$B$159-1),0))</f>
        <v>-5.2319032618779106E-2</v>
      </c>
      <c r="AM172" s="240">
        <f>IF($G172="F",0,IF($M172&gt;'Model Data Inputs'!$B$160,$AH172*('Model Data Inputs'!$B$161-1),0))</f>
        <v>0</v>
      </c>
      <c r="AN172" s="240">
        <f>IF($G172="F",0,IF($P172&lt;'Model Data Inputs'!$B$162,SUM($AH172,$AI172,$AJ172,$AK172,$AL172,$AM172)*('Model Data Inputs'!$B$163-1),0))</f>
        <v>0</v>
      </c>
      <c r="AO172" s="240">
        <f t="shared" si="18"/>
        <v>0.7847854892816859</v>
      </c>
      <c r="AP172" s="242">
        <f>$K172*'Model Data Inputs'!$B$166</f>
        <v>49251.700000000004</v>
      </c>
      <c r="AQ172" s="242">
        <f>($K172*'Model Data Inputs'!$B$145)*'Model Data Inputs'!$B$166</f>
        <v>4925.17</v>
      </c>
      <c r="AR172" s="52">
        <f t="shared" si="19"/>
        <v>54176.87</v>
      </c>
    </row>
    <row r="173" spans="1:44" s="243" customFormat="1" x14ac:dyDescent="0.2">
      <c r="A173" s="210" t="str">
        <f>'School Level Inst. Resources'!A173</f>
        <v>1101000</v>
      </c>
      <c r="B173" s="210" t="str">
        <f>'School Level Inst. Resources'!B173</f>
        <v>Laramie #1</v>
      </c>
      <c r="C173" s="210" t="str">
        <f>'School Level Inst. Resources'!C173</f>
        <v>1101040</v>
      </c>
      <c r="D173" s="210" t="str">
        <f>'School Level Inst. Resources'!D173</f>
        <v>PODER Academy</v>
      </c>
      <c r="E173" s="211" t="str">
        <f>'School Level Inst. Resources'!E173</f>
        <v>K-5</v>
      </c>
      <c r="F173" s="212" t="str">
        <f>'School Level Inst. Resources'!H173</f>
        <v>E</v>
      </c>
      <c r="G173" s="212" t="s">
        <v>1159</v>
      </c>
      <c r="H173" s="213">
        <v>0</v>
      </c>
      <c r="I173" s="213">
        <f>IF('SFD Allowable GSF Calculation'!$D$2=1,'SFD Allowable GSF Calculation'!$P173,'SFD Allowable GSF Calculation'!$X173)</f>
        <v>0</v>
      </c>
      <c r="J173" s="258">
        <f>$I173*'Model Data Inputs'!$B$165</f>
        <v>0</v>
      </c>
      <c r="K173" s="258">
        <f>IF($L173&gt;='Model Data Inputs'!$B$164,$H173,MIN($H173,$J173))</f>
        <v>0</v>
      </c>
      <c r="L173" s="233">
        <v>0</v>
      </c>
      <c r="M173" s="259" t="str">
        <f>IF($L173&gt;0,'Model Data Inputs'!$B$157-$L173,"")</f>
        <v/>
      </c>
      <c r="N173" s="216">
        <v>0</v>
      </c>
      <c r="O173" s="260">
        <v>0</v>
      </c>
      <c r="P173" s="260">
        <f>IF($G173="T",SUMIFS('School Level ADM'!$S$5:$S$359,'School Level ADM'!$A$5:$A$359,$A173),0)</f>
        <v>0</v>
      </c>
      <c r="Q173" s="261">
        <f t="shared" si="20"/>
        <v>0</v>
      </c>
      <c r="R173" s="262">
        <f>SUM((('School Level Inst. Resources'!I173/'Model Data Inputs'!$B$8)*(1+'Model Data Inputs'!$B$9)),(SUM('School Level Inst. Resources'!J173:K173)/'Model Data Inputs'!$C$8)*(1+'Model Data Inputs'!$C$9),'School Level Inst. Resources'!K173/400)</f>
        <v>11.426</v>
      </c>
      <c r="S173" s="262">
        <v>0</v>
      </c>
      <c r="T173" s="263">
        <f>IF($G173="T",VLOOKUP($A173,'Total O &amp; M Resources'!$A$5:$K$52,3),0)</f>
        <v>0</v>
      </c>
      <c r="U173" s="264">
        <f>IF($G173="F",0,$S173/'Model Data Inputs'!$B$140)</f>
        <v>0</v>
      </c>
      <c r="V173" s="264">
        <f>IF($G173="F",0,$O173/'Model Data Inputs'!$B$141)</f>
        <v>0</v>
      </c>
      <c r="W173" s="264">
        <f>IF($G173="F",0,$N173/'Model Data Inputs'!$B$142)</f>
        <v>0</v>
      </c>
      <c r="X173" s="264">
        <f>IF($G173="F",0,$K173/'Model Data Inputs'!$B$143)</f>
        <v>0</v>
      </c>
      <c r="Y173" s="264">
        <f t="shared" si="15"/>
        <v>0</v>
      </c>
      <c r="Z173" s="264">
        <f>IF(OR($G173="F",$F173="E"),0,'Model Data Inputs'!$B$144)</f>
        <v>0</v>
      </c>
      <c r="AA173" s="264">
        <f>IF(AND($O173&lt;='Model Data Inputs'!$B$139,$F173="E"),0,IF(AND($O173&lt;='Model Data Inputs'!$B$139,$F173="M"),0,IF(AND($O173&lt;='Model Data Inputs'!$B$139,$F173="H"),0,IF(SUM($Y173:$Z173)&lt;1,1,SUM($Y173:$Z173)))))</f>
        <v>0</v>
      </c>
      <c r="AB173" s="264">
        <f>($K173/'Model Data Inputs'!$B$143)*'Model Data Inputs'!$B$145</f>
        <v>0</v>
      </c>
      <c r="AC173" s="264">
        <f t="shared" si="16"/>
        <v>0</v>
      </c>
      <c r="AD173" s="264">
        <f>IF($G173="F",0,'Model Data Inputs'!$B$147)</f>
        <v>0</v>
      </c>
      <c r="AE173" s="264">
        <f>IF($G173="F",0,($K173/'Model Data Inputs'!$B$148)*'Model Data Inputs'!$B$149)</f>
        <v>0</v>
      </c>
      <c r="AF173" s="264">
        <f>IF($G173="F",0,($O173/'Model Data Inputs'!$B$150)*'Model Data Inputs'!$B$151)</f>
        <v>0</v>
      </c>
      <c r="AG173" s="264">
        <f>IF($G173="F",0,(($Q173*$T173)/'Model Data Inputs'!$B$152)*'Model Data Inputs'!$B$153)</f>
        <v>0</v>
      </c>
      <c r="AH173" s="264">
        <f t="shared" si="17"/>
        <v>0</v>
      </c>
      <c r="AI173" s="265">
        <f>IF(OR($G173="F",$F173="M",$F173="H"),0,($AH173*'Model Data Inputs'!$B$154)-$AH173)</f>
        <v>0</v>
      </c>
      <c r="AJ173" s="264">
        <f>IF(OR($G173="F",$F173="E",$F173="H"),0,($AH173*'Model Data Inputs'!$B$155)-$AH173)</f>
        <v>0</v>
      </c>
      <c r="AK173" s="265">
        <f>IF(OR($G173="F",$F173="E",$F173="M"),0,($AH173*'Model Data Inputs'!$B$156)-$AH173)</f>
        <v>0</v>
      </c>
      <c r="AL173" s="265">
        <f>IF($G173="F",0,IF($M173&lt;'Model Data Inputs'!$B$158,$AH173*('Model Data Inputs'!$B$159-1),0))</f>
        <v>0</v>
      </c>
      <c r="AM173" s="264">
        <f>IF($G173="F",0,IF($M173&gt;'Model Data Inputs'!$B$160,$AH173*('Model Data Inputs'!$B$161-1),0))</f>
        <v>0</v>
      </c>
      <c r="AN173" s="264">
        <f>IF($G173="F",0,IF($P173&lt;'Model Data Inputs'!$B$162,SUM($AH173,$AI173,$AJ173,$AK173,$AL173,$AM173)*('Model Data Inputs'!$B$163-1),0))</f>
        <v>0</v>
      </c>
      <c r="AO173" s="264">
        <f t="shared" si="18"/>
        <v>0</v>
      </c>
      <c r="AP173" s="266">
        <f>$K173*'Model Data Inputs'!$B$166</f>
        <v>0</v>
      </c>
      <c r="AQ173" s="266">
        <f>($K173*'Model Data Inputs'!$B$145)*'Model Data Inputs'!$B$166</f>
        <v>0</v>
      </c>
      <c r="AR173" s="267">
        <f t="shared" si="19"/>
        <v>0</v>
      </c>
    </row>
    <row r="174" spans="1:44" s="243" customFormat="1" x14ac:dyDescent="0.2">
      <c r="A174" s="210" t="str">
        <f>'School Level Inst. Resources'!A174</f>
        <v>1101000</v>
      </c>
      <c r="B174" s="210" t="str">
        <f>'School Level Inst. Resources'!B174</f>
        <v>Laramie #1</v>
      </c>
      <c r="C174" s="210" t="str">
        <f>'School Level Inst. Resources'!C174</f>
        <v>1101045</v>
      </c>
      <c r="D174" s="210" t="str">
        <f>'School Level Inst. Resources'!D174</f>
        <v>PODER Secondary School</v>
      </c>
      <c r="E174" s="211" t="str">
        <f>'School Level Inst. Resources'!E174</f>
        <v>6-9</v>
      </c>
      <c r="F174" s="212" t="str">
        <f>'School Level Inst. Resources'!H174</f>
        <v>M</v>
      </c>
      <c r="G174" s="212" t="s">
        <v>1158</v>
      </c>
      <c r="H174" s="213">
        <v>30466</v>
      </c>
      <c r="I174" s="213">
        <f>IF('SFD Allowable GSF Calculation'!$D$2=1,'SFD Allowable GSF Calculation'!$P174,'SFD Allowable GSF Calculation'!$X174)</f>
        <v>49358</v>
      </c>
      <c r="J174" s="258">
        <f>$I174*'Model Data Inputs'!$B$165</f>
        <v>56761.7</v>
      </c>
      <c r="K174" s="258">
        <f>IF($L174&gt;='Model Data Inputs'!$B$164,$H174,MIN($H174,$J174))</f>
        <v>30466</v>
      </c>
      <c r="L174" s="233">
        <v>1940</v>
      </c>
      <c r="M174" s="259">
        <f>IF($L174&gt;0,'Model Data Inputs'!$B$157-$L174,"")</f>
        <v>77</v>
      </c>
      <c r="N174" s="216">
        <v>11</v>
      </c>
      <c r="O174" s="260">
        <f>SUM('School Level Inst. Resources'!$L173,'School Level Inst. Resources'!$L174)</f>
        <v>245.26499999999999</v>
      </c>
      <c r="P174" s="260">
        <f>IF($G174="T",SUMIFS('School Level ADM'!$S$5:$S$359,'School Level ADM'!$A$5:$A$359,$A174),0)</f>
        <v>13859.934999999998</v>
      </c>
      <c r="Q174" s="261">
        <f t="shared" si="20"/>
        <v>1.7695970435647787E-2</v>
      </c>
      <c r="R174" s="262">
        <f>SUM((('School Level Inst. Resources'!I174/'Model Data Inputs'!$B$8)*(1+'Model Data Inputs'!$B$9)),(SUM('School Level Inst. Resources'!J174:K174)/'Model Data Inputs'!$C$8)*(1+'Model Data Inputs'!$C$9),'School Level Inst. Resources'!K174/400)</f>
        <v>4.2815380434782604</v>
      </c>
      <c r="S174" s="262">
        <f>SUM(R173:R174)</f>
        <v>15.707538043478261</v>
      </c>
      <c r="T174" s="263">
        <f>IF($G174="T",VLOOKUP($A174,'Total O &amp; M Resources'!$A$5:$K$52,3),0)</f>
        <v>103951852.07000002</v>
      </c>
      <c r="U174" s="264">
        <f>IF($G174="F",0,$S174/'Model Data Inputs'!$B$140)</f>
        <v>1.2082721571906354</v>
      </c>
      <c r="V174" s="264">
        <f>IF($G174="F",0,$O174/'Model Data Inputs'!$B$141)</f>
        <v>0.75466153846153838</v>
      </c>
      <c r="W174" s="264">
        <f>IF($G174="F",0,$N174/'Model Data Inputs'!$B$142)</f>
        <v>0.84615384615384615</v>
      </c>
      <c r="X174" s="264">
        <f>IF($G174="F",0,$K174/'Model Data Inputs'!$B$143)</f>
        <v>1.6925555555555556</v>
      </c>
      <c r="Y174" s="264">
        <f t="shared" si="15"/>
        <v>1.1254107743403938</v>
      </c>
      <c r="Z174" s="264">
        <f>IF(OR($G174="F",$F174="E"),0,'Model Data Inputs'!$B$144)</f>
        <v>0.5</v>
      </c>
      <c r="AA174" s="264">
        <f>IF(AND($O174&lt;='Model Data Inputs'!$B$139,$F174="E"),0,IF(AND($O174&lt;='Model Data Inputs'!$B$139,$F174="M"),0,IF(AND($O174&lt;='Model Data Inputs'!$B$139,$F174="H"),0,IF(SUM($Y174:$Z174)&lt;1,1,SUM($Y174:$Z174)))))</f>
        <v>1.6254107743403938</v>
      </c>
      <c r="AB174" s="264">
        <f>($K174/'Model Data Inputs'!$B$143)*'Model Data Inputs'!$B$145</f>
        <v>0.16925555555555558</v>
      </c>
      <c r="AC174" s="264">
        <f t="shared" si="16"/>
        <v>1.7946663298959493</v>
      </c>
      <c r="AD174" s="264">
        <f>IF($G174="F",0,'Model Data Inputs'!$B$147)</f>
        <v>1.1000000000000001</v>
      </c>
      <c r="AE174" s="264">
        <f>IF($G174="F",0,($K174/'Model Data Inputs'!$B$148)*'Model Data Inputs'!$B$149)</f>
        <v>0.60931999999999997</v>
      </c>
      <c r="AF174" s="264">
        <f>IF($G174="F",0,($O174/'Model Data Inputs'!$B$150)*'Model Data Inputs'!$B$151)</f>
        <v>0.31884449999999998</v>
      </c>
      <c r="AG174" s="264">
        <f>IF($G174="F",0,(($Q174*$T174)/'Model Data Inputs'!$B$152)*'Model Data Inputs'!$B$153)</f>
        <v>0.44148693623077262</v>
      </c>
      <c r="AH174" s="264">
        <f t="shared" si="17"/>
        <v>0.61741285905769316</v>
      </c>
      <c r="AI174" s="265">
        <f>IF(OR($G174="F",$F174="M",$F174="H"),0,($AH174*'Model Data Inputs'!$B$154)-$AH174)</f>
        <v>0</v>
      </c>
      <c r="AJ174" s="264">
        <f>IF(OR($G174="F",$F174="E",$F174="H"),0,($AH174*'Model Data Inputs'!$B$155)-$AH174)</f>
        <v>0</v>
      </c>
      <c r="AK174" s="265">
        <f>IF(OR($G174="F",$F174="E",$F174="M"),0,($AH174*'Model Data Inputs'!$B$156)-$AH174)</f>
        <v>0</v>
      </c>
      <c r="AL174" s="265">
        <f>IF($G174="F",0,IF($M174&lt;'Model Data Inputs'!$B$158,$AH174*('Model Data Inputs'!$B$159-1),0))</f>
        <v>0</v>
      </c>
      <c r="AM174" s="264">
        <f>IF($G174="F",0,IF($M174&gt;'Model Data Inputs'!$B$160,$AH174*('Model Data Inputs'!$B$161-1),0))</f>
        <v>6.1741285905769369E-2</v>
      </c>
      <c r="AN174" s="264">
        <f>IF($G174="F",0,IF($P174&lt;'Model Data Inputs'!$B$162,SUM($AH174,$AI174,$AJ174,$AK174,$AL174,$AM174)*('Model Data Inputs'!$B$163-1),0))</f>
        <v>0</v>
      </c>
      <c r="AO174" s="264">
        <f t="shared" si="18"/>
        <v>0.67915414496346249</v>
      </c>
      <c r="AP174" s="266">
        <f>$K174*'Model Data Inputs'!$B$166</f>
        <v>20412.22</v>
      </c>
      <c r="AQ174" s="266">
        <f>($K174*'Model Data Inputs'!$B$145)*'Model Data Inputs'!$B$166</f>
        <v>2041.2220000000004</v>
      </c>
      <c r="AR174" s="267">
        <f t="shared" si="19"/>
        <v>22453.442000000003</v>
      </c>
    </row>
    <row r="175" spans="1:44" x14ac:dyDescent="0.2">
      <c r="A175" s="227" t="str">
        <f>'School Level Inst. Resources'!A175</f>
        <v>1101000</v>
      </c>
      <c r="B175" s="227" t="str">
        <f>'School Level Inst. Resources'!B175</f>
        <v>Laramie #1</v>
      </c>
      <c r="C175" s="227" t="str">
        <f>'School Level Inst. Resources'!C175</f>
        <v>1101050</v>
      </c>
      <c r="D175" s="227" t="str">
        <f>'School Level Inst. Resources'!D175</f>
        <v>Carey Junior High School</v>
      </c>
      <c r="E175" s="228" t="str">
        <f>'School Level Inst. Resources'!E175</f>
        <v>7-8</v>
      </c>
      <c r="F175" s="229" t="str">
        <f>'School Level Inst. Resources'!H175</f>
        <v>M</v>
      </c>
      <c r="G175" s="229" t="s">
        <v>1158</v>
      </c>
      <c r="H175" s="207">
        <v>181365</v>
      </c>
      <c r="I175" s="207">
        <f>IF('SFD Allowable GSF Calculation'!$D$2=1,'SFD Allowable GSF Calculation'!$P175,'SFD Allowable GSF Calculation'!$X175)</f>
        <v>108858</v>
      </c>
      <c r="J175" s="194">
        <f>$I175*'Model Data Inputs'!$B$165</f>
        <v>125186.7</v>
      </c>
      <c r="K175" s="194">
        <f>IF($L175&gt;='Model Data Inputs'!$B$164,$H175,MIN($H175,$J175))</f>
        <v>125186.7</v>
      </c>
      <c r="L175" s="208">
        <v>1953</v>
      </c>
      <c r="M175" s="196">
        <f>IF($L175&gt;0,'Model Data Inputs'!$B$157-$L175,"")</f>
        <v>64</v>
      </c>
      <c r="N175" s="209">
        <v>60</v>
      </c>
      <c r="O175" s="198">
        <f>'School Level Inst. Resources'!$L175</f>
        <v>711.17</v>
      </c>
      <c r="P175" s="198">
        <f>IF($G175="T",SUMIFS('School Level ADM'!$S$5:$S$359,'School Level ADM'!$A$5:$A$359,$A175),0)</f>
        <v>13859.934999999998</v>
      </c>
      <c r="Q175" s="199">
        <f t="shared" si="20"/>
        <v>5.1311207447942583E-2</v>
      </c>
      <c r="R175" s="200">
        <f>SUM((('School Level Inst. Resources'!I175/'Model Data Inputs'!$B$8)*(1+'Model Data Inputs'!$B$9)),(SUM('School Level Inst. Resources'!J175:K175)/'Model Data Inputs'!$C$8)*(1+'Model Data Inputs'!$C$9),'School Level Inst. Resources'!K175/400)</f>
        <v>41.216939565217388</v>
      </c>
      <c r="S175" s="200">
        <f t="shared" si="21"/>
        <v>41.216939565217388</v>
      </c>
      <c r="T175" s="201">
        <f>IF($G175="T",VLOOKUP($A175,'Total O &amp; M Resources'!$A$5:$K$52,3),0)</f>
        <v>103951852.07000002</v>
      </c>
      <c r="U175" s="202">
        <f>IF($G175="F",0,$S175/'Model Data Inputs'!$B$140)</f>
        <v>3.1705338127090297</v>
      </c>
      <c r="V175" s="202">
        <f>IF($G175="F",0,$O175/'Model Data Inputs'!$B$141)</f>
        <v>2.1882153846153845</v>
      </c>
      <c r="W175" s="202">
        <f>IF($G175="F",0,$N175/'Model Data Inputs'!$B$142)</f>
        <v>4.615384615384615</v>
      </c>
      <c r="X175" s="202">
        <f>IF($G175="F",0,$K175/'Model Data Inputs'!$B$143)</f>
        <v>6.9548166666666669</v>
      </c>
      <c r="Y175" s="202">
        <f t="shared" si="15"/>
        <v>4.2322376198439242</v>
      </c>
      <c r="Z175" s="202">
        <f>IF(OR($G175="F",$F175="E"),0,'Model Data Inputs'!$B$144)</f>
        <v>0.5</v>
      </c>
      <c r="AA175" s="202">
        <f>IF(AND($O175&lt;='Model Data Inputs'!$B$139,$F175="E"),0,IF(AND($O175&lt;='Model Data Inputs'!$B$139,$F175="M"),0,IF(AND($O175&lt;='Model Data Inputs'!$B$139,$F175="H"),0,IF(SUM($Y175:$Z175)&lt;1,1,SUM($Y175:$Z175)))))</f>
        <v>4.7322376198439242</v>
      </c>
      <c r="AB175" s="202">
        <f>($K175/'Model Data Inputs'!$B$143)*'Model Data Inputs'!$B$145</f>
        <v>0.69548166666666678</v>
      </c>
      <c r="AC175" s="202">
        <f t="shared" si="16"/>
        <v>5.427719286510591</v>
      </c>
      <c r="AD175" s="202">
        <f>IF($G175="F",0,'Model Data Inputs'!$B$147)</f>
        <v>1.1000000000000001</v>
      </c>
      <c r="AE175" s="202">
        <f>IF($G175="F",0,($K175/'Model Data Inputs'!$B$148)*'Model Data Inputs'!$B$149)</f>
        <v>2.5037339999999997</v>
      </c>
      <c r="AF175" s="202">
        <f>IF($G175="F",0,($O175/'Model Data Inputs'!$B$150)*'Model Data Inputs'!$B$151)</f>
        <v>0.92452100000000004</v>
      </c>
      <c r="AG175" s="202">
        <f>IF($G175="F",0,(($Q175*$T175)/'Model Data Inputs'!$B$152)*'Model Data Inputs'!$B$153)</f>
        <v>1.2801348110787865</v>
      </c>
      <c r="AH175" s="202">
        <f t="shared" si="17"/>
        <v>1.4520974527696966</v>
      </c>
      <c r="AI175" s="203">
        <f>IF(OR($G175="F",$F175="M",$F175="H"),0,($AH175*'Model Data Inputs'!$B$154)-$AH175)</f>
        <v>0</v>
      </c>
      <c r="AJ175" s="202">
        <f>IF(OR($G175="F",$F175="E",$F175="H"),0,($AH175*'Model Data Inputs'!$B$155)-$AH175)</f>
        <v>0</v>
      </c>
      <c r="AK175" s="203">
        <f>IF(OR($G175="F",$F175="E",$F175="M"),0,($AH175*'Model Data Inputs'!$B$156)-$AH175)</f>
        <v>0</v>
      </c>
      <c r="AL175" s="203">
        <f>IF($G175="F",0,IF($M175&lt;'Model Data Inputs'!$B$158,$AH175*('Model Data Inputs'!$B$159-1),0))</f>
        <v>0</v>
      </c>
      <c r="AM175" s="202">
        <f>IF($G175="F",0,IF($M175&gt;'Model Data Inputs'!$B$160,$AH175*('Model Data Inputs'!$B$161-1),0))</f>
        <v>0.14520974527696978</v>
      </c>
      <c r="AN175" s="202">
        <f>IF($G175="F",0,IF($P175&lt;'Model Data Inputs'!$B$162,SUM($AH175,$AI175,$AJ175,$AK175,$AL175,$AM175)*('Model Data Inputs'!$B$163-1),0))</f>
        <v>0</v>
      </c>
      <c r="AO175" s="202">
        <f t="shared" si="18"/>
        <v>1.5973071980466664</v>
      </c>
      <c r="AP175" s="204">
        <f>$K175*'Model Data Inputs'!$B$166</f>
        <v>83875.089000000007</v>
      </c>
      <c r="AQ175" s="204">
        <f>($K175*'Model Data Inputs'!$B$145)*'Model Data Inputs'!$B$166</f>
        <v>8387.5089000000007</v>
      </c>
      <c r="AR175" s="50">
        <f t="shared" si="19"/>
        <v>92262.597900000008</v>
      </c>
    </row>
    <row r="176" spans="1:44" x14ac:dyDescent="0.2">
      <c r="A176" s="227" t="str">
        <f>'School Level Inst. Resources'!A176</f>
        <v>1101000</v>
      </c>
      <c r="B176" s="227" t="str">
        <f>'School Level Inst. Resources'!B176</f>
        <v>Laramie #1</v>
      </c>
      <c r="C176" s="227" t="str">
        <f>'School Level Inst. Resources'!C176</f>
        <v>1101051</v>
      </c>
      <c r="D176" s="227" t="str">
        <f>'School Level Inst. Resources'!D176</f>
        <v>Johnson Junior High School</v>
      </c>
      <c r="E176" s="228" t="str">
        <f>'School Level Inst. Resources'!E176</f>
        <v>7-8</v>
      </c>
      <c r="F176" s="245" t="str">
        <f>'School Level Inst. Resources'!H176</f>
        <v>M</v>
      </c>
      <c r="G176" s="245" t="s">
        <v>1158</v>
      </c>
      <c r="H176" s="207">
        <v>133620</v>
      </c>
      <c r="I176" s="207">
        <f>IF('SFD Allowable GSF Calculation'!$D$2=1,'SFD Allowable GSF Calculation'!$P176,'SFD Allowable GSF Calculation'!$X176)</f>
        <v>106230</v>
      </c>
      <c r="J176" s="194">
        <f>$I176*'Model Data Inputs'!$B$165</f>
        <v>122164.49999999999</v>
      </c>
      <c r="K176" s="194">
        <f>IF($L176&gt;='Model Data Inputs'!$B$164,$H176,MIN($H176,$J176))</f>
        <v>122164.49999999999</v>
      </c>
      <c r="L176" s="208">
        <v>1983</v>
      </c>
      <c r="M176" s="196">
        <f>IF($L176&gt;0,'Model Data Inputs'!$B$157-$L176,"")</f>
        <v>34</v>
      </c>
      <c r="N176" s="209">
        <v>62</v>
      </c>
      <c r="O176" s="198">
        <f>'School Level Inst. Resources'!$L176</f>
        <v>688.51499999999999</v>
      </c>
      <c r="P176" s="198">
        <f>IF($G176="T",SUMIFS('School Level ADM'!$S$5:$S$359,'School Level ADM'!$A$5:$A$359,$A176),0)</f>
        <v>13859.934999999998</v>
      </c>
      <c r="Q176" s="199">
        <f t="shared" si="20"/>
        <v>4.9676639897661863E-2</v>
      </c>
      <c r="R176" s="200">
        <f>SUM((('School Level Inst. Resources'!I176/'Model Data Inputs'!$B$8)*(1+'Model Data Inputs'!$B$9)),(SUM('School Level Inst. Resources'!J176:K176)/'Model Data Inputs'!$C$8)*(1+'Model Data Inputs'!$C$9),'School Level Inst. Resources'!K176/400)</f>
        <v>39.903934565217391</v>
      </c>
      <c r="S176" s="200">
        <f t="shared" si="21"/>
        <v>39.903934565217391</v>
      </c>
      <c r="T176" s="201">
        <f>IF($G176="T",VLOOKUP($A176,'Total O &amp; M Resources'!$A$5:$K$52,3),0)</f>
        <v>103951852.07000002</v>
      </c>
      <c r="U176" s="202">
        <f>IF($G176="F",0,$S176/'Model Data Inputs'!$B$140)</f>
        <v>3.0695334280936453</v>
      </c>
      <c r="V176" s="202">
        <f>IF($G176="F",0,$O176/'Model Data Inputs'!$B$141)</f>
        <v>2.1185076923076922</v>
      </c>
      <c r="W176" s="202">
        <f>IF($G176="F",0,$N176/'Model Data Inputs'!$B$142)</f>
        <v>4.7692307692307692</v>
      </c>
      <c r="X176" s="202">
        <f>IF($G176="F",0,$K176/'Model Data Inputs'!$B$143)</f>
        <v>6.7869166666666656</v>
      </c>
      <c r="Y176" s="202">
        <f t="shared" si="15"/>
        <v>4.1860471390746934</v>
      </c>
      <c r="Z176" s="202">
        <f>IF(OR($G176="F",$F176="E"),0,'Model Data Inputs'!$B$144)</f>
        <v>0.5</v>
      </c>
      <c r="AA176" s="202">
        <f>IF(AND($O176&lt;='Model Data Inputs'!$B$139,$F176="E"),0,IF(AND($O176&lt;='Model Data Inputs'!$B$139,$F176="M"),0,IF(AND($O176&lt;='Model Data Inputs'!$B$139,$F176="H"),0,IF(SUM($Y176:$Z176)&lt;1,1,SUM($Y176:$Z176)))))</f>
        <v>4.6860471390746934</v>
      </c>
      <c r="AB176" s="202">
        <f>($K176/'Model Data Inputs'!$B$143)*'Model Data Inputs'!$B$145</f>
        <v>0.67869166666666658</v>
      </c>
      <c r="AC176" s="202">
        <f t="shared" si="16"/>
        <v>5.3647388057413599</v>
      </c>
      <c r="AD176" s="202">
        <f>IF($G176="F",0,'Model Data Inputs'!$B$147)</f>
        <v>1.1000000000000001</v>
      </c>
      <c r="AE176" s="202">
        <f>IF($G176="F",0,($K176/'Model Data Inputs'!$B$148)*'Model Data Inputs'!$B$149)</f>
        <v>2.4432899999999997</v>
      </c>
      <c r="AF176" s="202">
        <f>IF($G176="F",0,($O176/'Model Data Inputs'!$B$150)*'Model Data Inputs'!$B$151)</f>
        <v>0.89506949999999996</v>
      </c>
      <c r="AG176" s="202">
        <f>IF($G176="F",0,(($Q176*$T176)/'Model Data Inputs'!$B$152)*'Model Data Inputs'!$B$153)</f>
        <v>1.2393548932743375</v>
      </c>
      <c r="AH176" s="202">
        <f t="shared" si="17"/>
        <v>1.4194285983185844</v>
      </c>
      <c r="AI176" s="203">
        <f>IF(OR($G176="F",$F176="M",$F176="H"),0,($AH176*'Model Data Inputs'!$B$154)-$AH176)</f>
        <v>0</v>
      </c>
      <c r="AJ176" s="202">
        <f>IF(OR($G176="F",$F176="E",$F176="H"),0,($AH176*'Model Data Inputs'!$B$155)-$AH176)</f>
        <v>0</v>
      </c>
      <c r="AK176" s="203">
        <f>IF(OR($G176="F",$F176="E",$F176="M"),0,($AH176*'Model Data Inputs'!$B$156)-$AH176)</f>
        <v>0</v>
      </c>
      <c r="AL176" s="203">
        <f>IF($G176="F",0,IF($M176&lt;'Model Data Inputs'!$B$158,$AH176*('Model Data Inputs'!$B$159-1),0))</f>
        <v>0</v>
      </c>
      <c r="AM176" s="202">
        <f>IF($G176="F",0,IF($M176&gt;'Model Data Inputs'!$B$160,$AH176*('Model Data Inputs'!$B$161-1),0))</f>
        <v>0.14194285983185856</v>
      </c>
      <c r="AN176" s="202">
        <f>IF($G176="F",0,IF($P176&lt;'Model Data Inputs'!$B$162,SUM($AH176,$AI176,$AJ176,$AK176,$AL176,$AM176)*('Model Data Inputs'!$B$163-1),0))</f>
        <v>0</v>
      </c>
      <c r="AO176" s="202">
        <f t="shared" si="18"/>
        <v>1.561371458150443</v>
      </c>
      <c r="AP176" s="204">
        <f>$K176*'Model Data Inputs'!$B$166</f>
        <v>81850.214999999997</v>
      </c>
      <c r="AQ176" s="204">
        <f>($K176*'Model Data Inputs'!$B$145)*'Model Data Inputs'!$B$166</f>
        <v>8185.0214999999998</v>
      </c>
      <c r="AR176" s="50">
        <f t="shared" si="19"/>
        <v>90035.236499999999</v>
      </c>
    </row>
    <row r="177" spans="1:44" x14ac:dyDescent="0.2">
      <c r="A177" s="227" t="str">
        <f>'School Level Inst. Resources'!A177</f>
        <v>1101000</v>
      </c>
      <c r="B177" s="227" t="str">
        <f>'School Level Inst. Resources'!B177</f>
        <v>Laramie #1</v>
      </c>
      <c r="C177" s="227" t="str">
        <f>'School Level Inst. Resources'!C177</f>
        <v>1101052</v>
      </c>
      <c r="D177" s="227" t="str">
        <f>'School Level Inst. Resources'!D177</f>
        <v>McCormick Junior High School</v>
      </c>
      <c r="E177" s="228" t="str">
        <f>'School Level Inst. Resources'!E177</f>
        <v>7-8</v>
      </c>
      <c r="F177" s="229" t="str">
        <f>'School Level Inst. Resources'!H177</f>
        <v>M</v>
      </c>
      <c r="G177" s="229" t="s">
        <v>1158</v>
      </c>
      <c r="H177" s="207">
        <v>150844</v>
      </c>
      <c r="I177" s="207">
        <f>IF('SFD Allowable GSF Calculation'!$D$2=1,'SFD Allowable GSF Calculation'!$P177,'SFD Allowable GSF Calculation'!$X177)</f>
        <v>105746</v>
      </c>
      <c r="J177" s="194">
        <f>$I177*'Model Data Inputs'!$B$165</f>
        <v>121607.9</v>
      </c>
      <c r="K177" s="194">
        <f>IF($L177&gt;='Model Data Inputs'!$B$164,$H177,MIN($H177,$J177))</f>
        <v>121607.9</v>
      </c>
      <c r="L177" s="208">
        <v>1975</v>
      </c>
      <c r="M177" s="196">
        <f>IF($L177&gt;0,'Model Data Inputs'!$B$157-$L177,"")</f>
        <v>42</v>
      </c>
      <c r="N177" s="209">
        <v>67</v>
      </c>
      <c r="O177" s="198">
        <f>'School Level Inst. Resources'!$L177</f>
        <v>685.56</v>
      </c>
      <c r="P177" s="198">
        <f>IF($G177="T",SUMIFS('School Level ADM'!$S$5:$S$359,'School Level ADM'!$A$5:$A$359,$A177),0)</f>
        <v>13859.934999999998</v>
      </c>
      <c r="Q177" s="199">
        <f t="shared" si="20"/>
        <v>4.9463435434581766E-2</v>
      </c>
      <c r="R177" s="200">
        <f>SUM((('School Level Inst. Resources'!I177/'Model Data Inputs'!$B$8)*(1+'Model Data Inputs'!$B$9)),(SUM('School Level Inst. Resources'!J177:K177)/'Model Data Inputs'!$C$8)*(1+'Model Data Inputs'!$C$9),'School Level Inst. Resources'!K177/400)</f>
        <v>39.732673043478258</v>
      </c>
      <c r="S177" s="200">
        <f t="shared" si="21"/>
        <v>39.732673043478258</v>
      </c>
      <c r="T177" s="201">
        <f>IF($G177="T",VLOOKUP($A177,'Total O &amp; M Resources'!$A$5:$K$52,3),0)</f>
        <v>103951852.07000002</v>
      </c>
      <c r="U177" s="202">
        <f>IF($G177="F",0,$S177/'Model Data Inputs'!$B$140)</f>
        <v>3.0563594648829429</v>
      </c>
      <c r="V177" s="202">
        <f>IF($G177="F",0,$O177/'Model Data Inputs'!$B$141)</f>
        <v>2.1094153846153842</v>
      </c>
      <c r="W177" s="202">
        <f>IF($G177="F",0,$N177/'Model Data Inputs'!$B$142)</f>
        <v>5.1538461538461542</v>
      </c>
      <c r="X177" s="202">
        <f>IF($G177="F",0,$K177/'Model Data Inputs'!$B$143)</f>
        <v>6.7559944444444442</v>
      </c>
      <c r="Y177" s="202">
        <f t="shared" si="15"/>
        <v>4.2689038619472308</v>
      </c>
      <c r="Z177" s="202">
        <f>IF(OR($G177="F",$F177="E"),0,'Model Data Inputs'!$B$144)</f>
        <v>0.5</v>
      </c>
      <c r="AA177" s="202">
        <f>IF(AND($O177&lt;='Model Data Inputs'!$B$139,$F177="E"),0,IF(AND($O177&lt;='Model Data Inputs'!$B$139,$F177="M"),0,IF(AND($O177&lt;='Model Data Inputs'!$B$139,$F177="H"),0,IF(SUM($Y177:$Z177)&lt;1,1,SUM($Y177:$Z177)))))</f>
        <v>4.7689038619472308</v>
      </c>
      <c r="AB177" s="202">
        <f>($K177/'Model Data Inputs'!$B$143)*'Model Data Inputs'!$B$145</f>
        <v>0.67559944444444442</v>
      </c>
      <c r="AC177" s="202">
        <f t="shared" si="16"/>
        <v>5.4445033063916757</v>
      </c>
      <c r="AD177" s="202">
        <f>IF($G177="F",0,'Model Data Inputs'!$B$147)</f>
        <v>1.1000000000000001</v>
      </c>
      <c r="AE177" s="202">
        <f>IF($G177="F",0,($K177/'Model Data Inputs'!$B$148)*'Model Data Inputs'!$B$149)</f>
        <v>2.4321579999999998</v>
      </c>
      <c r="AF177" s="202">
        <f>IF($G177="F",0,($O177/'Model Data Inputs'!$B$150)*'Model Data Inputs'!$B$151)</f>
        <v>0.89122799999999991</v>
      </c>
      <c r="AG177" s="202">
        <f>IF($G177="F",0,(($Q177*$T177)/'Model Data Inputs'!$B$152)*'Model Data Inputs'!$B$153)</f>
        <v>1.2340357735607137</v>
      </c>
      <c r="AH177" s="202">
        <f t="shared" si="17"/>
        <v>1.4143554433901784</v>
      </c>
      <c r="AI177" s="203">
        <f>IF(OR($G177="F",$F177="M",$F177="H"),0,($AH177*'Model Data Inputs'!$B$154)-$AH177)</f>
        <v>0</v>
      </c>
      <c r="AJ177" s="202">
        <f>IF(OR($G177="F",$F177="E",$F177="H"),0,($AH177*'Model Data Inputs'!$B$155)-$AH177)</f>
        <v>0</v>
      </c>
      <c r="AK177" s="203">
        <f>IF(OR($G177="F",$F177="E",$F177="M"),0,($AH177*'Model Data Inputs'!$B$156)-$AH177)</f>
        <v>0</v>
      </c>
      <c r="AL177" s="203">
        <f>IF($G177="F",0,IF($M177&lt;'Model Data Inputs'!$B$158,$AH177*('Model Data Inputs'!$B$159-1),0))</f>
        <v>0</v>
      </c>
      <c r="AM177" s="202">
        <f>IF($G177="F",0,IF($M177&gt;'Model Data Inputs'!$B$160,$AH177*('Model Data Inputs'!$B$161-1),0))</f>
        <v>0.14143554433901798</v>
      </c>
      <c r="AN177" s="202">
        <f>IF($G177="F",0,IF($P177&lt;'Model Data Inputs'!$B$162,SUM($AH177,$AI177,$AJ177,$AK177,$AL177,$AM177)*('Model Data Inputs'!$B$163-1),0))</f>
        <v>0</v>
      </c>
      <c r="AO177" s="202">
        <f t="shared" si="18"/>
        <v>1.5557909877291964</v>
      </c>
      <c r="AP177" s="204">
        <f>$K177*'Model Data Inputs'!$B$166</f>
        <v>81477.293000000005</v>
      </c>
      <c r="AQ177" s="204">
        <f>($K177*'Model Data Inputs'!$B$145)*'Model Data Inputs'!$B$166</f>
        <v>8147.7293000000009</v>
      </c>
      <c r="AR177" s="50">
        <f t="shared" si="19"/>
        <v>89625.022300000011</v>
      </c>
    </row>
    <row r="178" spans="1:44" x14ac:dyDescent="0.2">
      <c r="A178" s="227" t="str">
        <f>'School Level Inst. Resources'!A178</f>
        <v>1101000</v>
      </c>
      <c r="B178" s="227" t="str">
        <f>'School Level Inst. Resources'!B178</f>
        <v>Laramie #1</v>
      </c>
      <c r="C178" s="227" t="str">
        <f>'School Level Inst. Resources'!C178</f>
        <v>1101055</v>
      </c>
      <c r="D178" s="227" t="str">
        <f>'School Level Inst. Resources'!D178</f>
        <v>Central High School</v>
      </c>
      <c r="E178" s="228" t="str">
        <f>'School Level Inst. Resources'!E178</f>
        <v>9-12</v>
      </c>
      <c r="F178" s="229" t="str">
        <f>'School Level Inst. Resources'!H178</f>
        <v>H</v>
      </c>
      <c r="G178" s="229" t="s">
        <v>1158</v>
      </c>
      <c r="H178" s="207">
        <v>254522</v>
      </c>
      <c r="I178" s="207">
        <f>IF('SFD Allowable GSF Calculation'!$D$2=1,'SFD Allowable GSF Calculation'!$P178,'SFD Allowable GSF Calculation'!$X178)</f>
        <v>191558</v>
      </c>
      <c r="J178" s="194">
        <f>$I178*'Model Data Inputs'!$B$165</f>
        <v>220291.69999999998</v>
      </c>
      <c r="K178" s="194">
        <f>IF($L178&gt;='Model Data Inputs'!$B$164,$H178,MIN($H178,$J178))</f>
        <v>220291.69999999998</v>
      </c>
      <c r="L178" s="208">
        <v>1977</v>
      </c>
      <c r="M178" s="196">
        <f>IF($L178&gt;0,'Model Data Inputs'!$B$157-$L178,"")</f>
        <v>40</v>
      </c>
      <c r="N178" s="209">
        <v>91</v>
      </c>
      <c r="O178" s="198">
        <f>'School Level Inst. Resources'!$L178</f>
        <v>1156.3900000000001</v>
      </c>
      <c r="P178" s="198">
        <f>IF($G178="T",SUMIFS('School Level ADM'!$S$5:$S$359,'School Level ADM'!$A$5:$A$359,$A178),0)</f>
        <v>13859.934999999998</v>
      </c>
      <c r="Q178" s="199">
        <f t="shared" si="20"/>
        <v>8.3434013218676731E-2</v>
      </c>
      <c r="R178" s="200">
        <f>SUM((('School Level Inst. Resources'!I178/'Model Data Inputs'!$B$8)*(1+'Model Data Inputs'!$B$9)),(SUM('School Level Inst. Resources'!J178:K178)/'Model Data Inputs'!$C$8)*(1+'Model Data Inputs'!$C$9),'School Level Inst. Resources'!K178/400)</f>
        <v>69.911317173913034</v>
      </c>
      <c r="S178" s="200">
        <f t="shared" si="21"/>
        <v>69.911317173913034</v>
      </c>
      <c r="T178" s="201">
        <f>IF($G178="T",VLOOKUP($A178,'Total O &amp; M Resources'!$A$5:$K$52,3),0)</f>
        <v>103951852.07000002</v>
      </c>
      <c r="U178" s="202">
        <f>IF($G178="F",0,$S178/'Model Data Inputs'!$B$140)</f>
        <v>5.3777936287625412</v>
      </c>
      <c r="V178" s="202">
        <f>IF($G178="F",0,$O178/'Model Data Inputs'!$B$141)</f>
        <v>3.5581230769230774</v>
      </c>
      <c r="W178" s="202">
        <f>IF($G178="F",0,$N178/'Model Data Inputs'!$B$142)</f>
        <v>7</v>
      </c>
      <c r="X178" s="202">
        <f>IF($G178="F",0,$K178/'Model Data Inputs'!$B$143)</f>
        <v>12.238427777777776</v>
      </c>
      <c r="Y178" s="202">
        <f t="shared" si="15"/>
        <v>7.0435861208658483</v>
      </c>
      <c r="Z178" s="202">
        <f>IF(OR($G178="F",$F178="E"),0,'Model Data Inputs'!$B$144)</f>
        <v>0.5</v>
      </c>
      <c r="AA178" s="202">
        <f>IF(AND($O178&lt;='Model Data Inputs'!$B$139,$F178="E"),0,IF(AND($O178&lt;='Model Data Inputs'!$B$139,$F178="M"),0,IF(AND($O178&lt;='Model Data Inputs'!$B$139,$F178="H"),0,IF(SUM($Y178:$Z178)&lt;1,1,SUM($Y178:$Z178)))))</f>
        <v>7.5435861208658483</v>
      </c>
      <c r="AB178" s="202">
        <f>($K178/'Model Data Inputs'!$B$143)*'Model Data Inputs'!$B$145</f>
        <v>1.2238427777777776</v>
      </c>
      <c r="AC178" s="202">
        <f t="shared" si="16"/>
        <v>8.767428898643626</v>
      </c>
      <c r="AD178" s="202">
        <f>IF($G178="F",0,'Model Data Inputs'!$B$147)</f>
        <v>1.1000000000000001</v>
      </c>
      <c r="AE178" s="202">
        <f>IF($G178="F",0,($K178/'Model Data Inputs'!$B$148)*'Model Data Inputs'!$B$149)</f>
        <v>4.4058339999999996</v>
      </c>
      <c r="AF178" s="202">
        <f>IF($G178="F",0,($O178/'Model Data Inputs'!$B$150)*'Model Data Inputs'!$B$151)</f>
        <v>1.5033070000000002</v>
      </c>
      <c r="AG178" s="202">
        <f>IF($G178="F",0,(($Q178*$T178)/'Model Data Inputs'!$B$152)*'Model Data Inputs'!$B$153)</f>
        <v>2.0815488479314346</v>
      </c>
      <c r="AH178" s="202">
        <f t="shared" si="17"/>
        <v>2.2726724619828587</v>
      </c>
      <c r="AI178" s="203">
        <f>IF(OR($G178="F",$F178="M",$F178="H"),0,($AH178*'Model Data Inputs'!$B$154)-$AH178)</f>
        <v>0</v>
      </c>
      <c r="AJ178" s="202">
        <f>IF(OR($G178="F",$F178="E",$F178="H"),0,($AH178*'Model Data Inputs'!$B$155)-$AH178)</f>
        <v>0</v>
      </c>
      <c r="AK178" s="203">
        <f>IF(OR($G178="F",$F178="E",$F178="M"),0,($AH178*'Model Data Inputs'!$B$156)-$AH178)</f>
        <v>2.2726724619828587</v>
      </c>
      <c r="AL178" s="203">
        <f>IF($G178="F",0,IF($M178&lt;'Model Data Inputs'!$B$158,$AH178*('Model Data Inputs'!$B$159-1),0))</f>
        <v>0</v>
      </c>
      <c r="AM178" s="202">
        <f>IF($G178="F",0,IF($M178&gt;'Model Data Inputs'!$B$160,$AH178*('Model Data Inputs'!$B$161-1),0))</f>
        <v>0.22726724619828606</v>
      </c>
      <c r="AN178" s="202">
        <f>IF($G178="F",0,IF($P178&lt;'Model Data Inputs'!$B$162,SUM($AH178,$AI178,$AJ178,$AK178,$AL178,$AM178)*('Model Data Inputs'!$B$163-1),0))</f>
        <v>0</v>
      </c>
      <c r="AO178" s="202">
        <f t="shared" si="18"/>
        <v>4.7726121701640034</v>
      </c>
      <c r="AP178" s="204">
        <f>$K178*'Model Data Inputs'!$B$166</f>
        <v>147595.43899999998</v>
      </c>
      <c r="AQ178" s="204">
        <f>($K178*'Model Data Inputs'!$B$145)*'Model Data Inputs'!$B$166</f>
        <v>14759.543900000001</v>
      </c>
      <c r="AR178" s="50">
        <f t="shared" si="19"/>
        <v>162354.98289999997</v>
      </c>
    </row>
    <row r="179" spans="1:44" x14ac:dyDescent="0.2">
      <c r="A179" s="227" t="str">
        <f>'School Level Inst. Resources'!A179</f>
        <v>1101000</v>
      </c>
      <c r="B179" s="227" t="str">
        <f>'School Level Inst. Resources'!B179</f>
        <v>Laramie #1</v>
      </c>
      <c r="C179" s="227" t="str">
        <f>'School Level Inst. Resources'!C179</f>
        <v>1101056</v>
      </c>
      <c r="D179" s="227" t="str">
        <f>'School Level Inst. Resources'!D179</f>
        <v>East High School</v>
      </c>
      <c r="E179" s="228" t="str">
        <f>'School Level Inst. Resources'!E179</f>
        <v>9-12</v>
      </c>
      <c r="F179" s="229" t="str">
        <f>'School Level Inst. Resources'!H179</f>
        <v>H</v>
      </c>
      <c r="G179" s="229" t="s">
        <v>1158</v>
      </c>
      <c r="H179" s="207">
        <v>297104</v>
      </c>
      <c r="I179" s="207">
        <f>IF('SFD Allowable GSF Calculation'!$D$2=1,'SFD Allowable GSF Calculation'!$P179,'SFD Allowable GSF Calculation'!$X179)</f>
        <v>237023</v>
      </c>
      <c r="J179" s="194">
        <f>$I179*'Model Data Inputs'!$B$165</f>
        <v>272576.44999999995</v>
      </c>
      <c r="K179" s="194">
        <f>IF($L179&gt;='Model Data Inputs'!$B$164,$H179,MIN($H179,$J179))</f>
        <v>272576.44999999995</v>
      </c>
      <c r="L179" s="208">
        <v>1961</v>
      </c>
      <c r="M179" s="196">
        <f>IF($L179&gt;0,'Model Data Inputs'!$B$157-$L179,"")</f>
        <v>56</v>
      </c>
      <c r="N179" s="209">
        <v>85</v>
      </c>
      <c r="O179" s="198">
        <f>'School Level Inst. Resources'!$L179</f>
        <v>1422.34</v>
      </c>
      <c r="P179" s="198">
        <f>IF($G179="T",SUMIFS('School Level ADM'!$S$5:$S$359,'School Level ADM'!$A$5:$A$359,$A179),0)</f>
        <v>13859.934999999998</v>
      </c>
      <c r="Q179" s="199">
        <f t="shared" si="20"/>
        <v>0.10262241489588517</v>
      </c>
      <c r="R179" s="200">
        <f>SUM((('School Level Inst. Resources'!I179/'Model Data Inputs'!$B$8)*(1+'Model Data Inputs'!$B$9)),(SUM('School Level Inst. Resources'!J179:K179)/'Model Data Inputs'!$C$8)*(1+'Model Data Inputs'!$C$9),'School Level Inst. Resources'!K179/400)</f>
        <v>85.989729130434782</v>
      </c>
      <c r="S179" s="200">
        <f t="shared" si="21"/>
        <v>85.989729130434782</v>
      </c>
      <c r="T179" s="201">
        <f>IF($G179="T",VLOOKUP($A179,'Total O &amp; M Resources'!$A$5:$K$52,3),0)</f>
        <v>103951852.07000002</v>
      </c>
      <c r="U179" s="202">
        <f>IF($G179="F",0,$S179/'Model Data Inputs'!$B$140)</f>
        <v>6.6145945484949831</v>
      </c>
      <c r="V179" s="202">
        <f>IF($G179="F",0,$O179/'Model Data Inputs'!$B$141)</f>
        <v>4.3764307692307689</v>
      </c>
      <c r="W179" s="202">
        <f>IF($G179="F",0,$N179/'Model Data Inputs'!$B$142)</f>
        <v>6.5384615384615383</v>
      </c>
      <c r="X179" s="202">
        <f>IF($G179="F",0,$K179/'Model Data Inputs'!$B$143)</f>
        <v>15.143136111111108</v>
      </c>
      <c r="Y179" s="202">
        <f t="shared" si="15"/>
        <v>8.1681557418245987</v>
      </c>
      <c r="Z179" s="202">
        <f>IF(OR($G179="F",$F179="E"),0,'Model Data Inputs'!$B$144)</f>
        <v>0.5</v>
      </c>
      <c r="AA179" s="202">
        <f>IF(AND($O179&lt;='Model Data Inputs'!$B$139,$F179="E"),0,IF(AND($O179&lt;='Model Data Inputs'!$B$139,$F179="M"),0,IF(AND($O179&lt;='Model Data Inputs'!$B$139,$F179="H"),0,IF(SUM($Y179:$Z179)&lt;1,1,SUM($Y179:$Z179)))))</f>
        <v>8.6681557418245987</v>
      </c>
      <c r="AB179" s="202">
        <f>($K179/'Model Data Inputs'!$B$143)*'Model Data Inputs'!$B$145</f>
        <v>1.5143136111111108</v>
      </c>
      <c r="AC179" s="202">
        <f t="shared" si="16"/>
        <v>10.18246935293571</v>
      </c>
      <c r="AD179" s="202">
        <f>IF($G179="F",0,'Model Data Inputs'!$B$147)</f>
        <v>1.1000000000000001</v>
      </c>
      <c r="AE179" s="202">
        <f>IF($G179="F",0,($K179/'Model Data Inputs'!$B$148)*'Model Data Inputs'!$B$149)</f>
        <v>5.451528999999999</v>
      </c>
      <c r="AF179" s="202">
        <f>IF($G179="F",0,($O179/'Model Data Inputs'!$B$150)*'Model Data Inputs'!$B$151)</f>
        <v>1.8490420000000001</v>
      </c>
      <c r="AG179" s="202">
        <f>IF($G179="F",0,(($Q179*$T179)/'Model Data Inputs'!$B$152)*'Model Data Inputs'!$B$153)</f>
        <v>2.5602696221575729</v>
      </c>
      <c r="AH179" s="202">
        <f t="shared" si="17"/>
        <v>2.7402101555393932</v>
      </c>
      <c r="AI179" s="203">
        <f>IF(OR($G179="F",$F179="M",$F179="H"),0,($AH179*'Model Data Inputs'!$B$154)-$AH179)</f>
        <v>0</v>
      </c>
      <c r="AJ179" s="202">
        <f>IF(OR($G179="F",$F179="E",$F179="H"),0,($AH179*'Model Data Inputs'!$B$155)-$AH179)</f>
        <v>0</v>
      </c>
      <c r="AK179" s="203">
        <f>IF(OR($G179="F",$F179="E",$F179="M"),0,($AH179*'Model Data Inputs'!$B$156)-$AH179)</f>
        <v>2.7402101555393932</v>
      </c>
      <c r="AL179" s="203">
        <f>IF($G179="F",0,IF($M179&lt;'Model Data Inputs'!$B$158,$AH179*('Model Data Inputs'!$B$159-1),0))</f>
        <v>0</v>
      </c>
      <c r="AM179" s="202">
        <f>IF($G179="F",0,IF($M179&gt;'Model Data Inputs'!$B$160,$AH179*('Model Data Inputs'!$B$161-1),0))</f>
        <v>0.27402101555393954</v>
      </c>
      <c r="AN179" s="202">
        <f>IF($G179="F",0,IF($P179&lt;'Model Data Inputs'!$B$162,SUM($AH179,$AI179,$AJ179,$AK179,$AL179,$AM179)*('Model Data Inputs'!$B$163-1),0))</f>
        <v>0</v>
      </c>
      <c r="AO179" s="202">
        <f t="shared" si="18"/>
        <v>5.7544413266327261</v>
      </c>
      <c r="AP179" s="204">
        <f>$K179*'Model Data Inputs'!$B$166</f>
        <v>182626.22149999999</v>
      </c>
      <c r="AQ179" s="204">
        <f>($K179*'Model Data Inputs'!$B$145)*'Model Data Inputs'!$B$166</f>
        <v>18262.622149999999</v>
      </c>
      <c r="AR179" s="50">
        <f t="shared" si="19"/>
        <v>200888.84365</v>
      </c>
    </row>
    <row r="180" spans="1:44" x14ac:dyDescent="0.2">
      <c r="A180" s="227" t="str">
        <f>'School Level Inst. Resources'!A180</f>
        <v>1101000</v>
      </c>
      <c r="B180" s="227" t="str">
        <f>'School Level Inst. Resources'!B180</f>
        <v>Laramie #1</v>
      </c>
      <c r="C180" s="227" t="str">
        <f>'School Level Inst. Resources'!C180</f>
        <v>1101057</v>
      </c>
      <c r="D180" s="227" t="str">
        <f>'School Level Inst. Resources'!D180</f>
        <v>Triumph High School</v>
      </c>
      <c r="E180" s="228" t="str">
        <f>'School Level Inst. Resources'!E180</f>
        <v>9-12</v>
      </c>
      <c r="F180" s="229" t="str">
        <f>'School Level Inst. Resources'!H180</f>
        <v>H</v>
      </c>
      <c r="G180" s="229" t="s">
        <v>1158</v>
      </c>
      <c r="H180" s="207">
        <v>66599</v>
      </c>
      <c r="I180" s="207">
        <f>IF('SFD Allowable GSF Calculation'!$D$2=1,'SFD Allowable GSF Calculation'!$P180,'SFD Allowable GSF Calculation'!$X180)</f>
        <v>61634</v>
      </c>
      <c r="J180" s="194">
        <f>$I180*'Model Data Inputs'!$B$165</f>
        <v>70879.099999999991</v>
      </c>
      <c r="K180" s="194">
        <f>IF($L180&gt;='Model Data Inputs'!$B$164,$H180,MIN($H180,$J180))</f>
        <v>66599</v>
      </c>
      <c r="L180" s="208">
        <v>2008</v>
      </c>
      <c r="M180" s="196">
        <f>IF($L180&gt;0,'Model Data Inputs'!$B$157-$L180,"")</f>
        <v>9</v>
      </c>
      <c r="N180" s="209">
        <v>28</v>
      </c>
      <c r="O180" s="198">
        <f>'School Level Inst. Resources'!$L180</f>
        <v>202.91000000000003</v>
      </c>
      <c r="P180" s="198">
        <f>IF($G180="T",SUMIFS('School Level ADM'!$S$5:$S$359,'School Level ADM'!$A$5:$A$359,$A180),0)</f>
        <v>13859.934999999998</v>
      </c>
      <c r="Q180" s="199">
        <f t="shared" si="20"/>
        <v>1.4640039798166447E-2</v>
      </c>
      <c r="R180" s="200">
        <f>SUM((('School Level Inst. Resources'!I180/'Model Data Inputs'!$B$8)*(1+'Model Data Inputs'!$B$9)),(SUM('School Level Inst. Resources'!J180:K180)/'Model Data Inputs'!$C$8)*(1+'Model Data Inputs'!$C$9),'School Level Inst. Resources'!K180/400)</f>
        <v>12.267232826086959</v>
      </c>
      <c r="S180" s="200">
        <f t="shared" si="21"/>
        <v>12.267232826086959</v>
      </c>
      <c r="T180" s="201">
        <f>IF($G180="T",VLOOKUP($A180,'Total O &amp; M Resources'!$A$5:$K$52,3),0)</f>
        <v>103951852.07000002</v>
      </c>
      <c r="U180" s="202">
        <f>IF($G180="F",0,$S180/'Model Data Inputs'!$B$140)</f>
        <v>0.94363329431438148</v>
      </c>
      <c r="V180" s="202">
        <f>IF($G180="F",0,$O180/'Model Data Inputs'!$B$141)</f>
        <v>0.62433846153846162</v>
      </c>
      <c r="W180" s="202">
        <f>IF($G180="F",0,$N180/'Model Data Inputs'!$B$142)</f>
        <v>2.1538461538461537</v>
      </c>
      <c r="X180" s="202">
        <f>IF($G180="F",0,$K180/'Model Data Inputs'!$B$143)</f>
        <v>3.6999444444444443</v>
      </c>
      <c r="Y180" s="202">
        <f t="shared" si="15"/>
        <v>1.8554405885358602</v>
      </c>
      <c r="Z180" s="202">
        <f>IF(OR($G180="F",$F180="E"),0,'Model Data Inputs'!$B$144)</f>
        <v>0.5</v>
      </c>
      <c r="AA180" s="202">
        <f>IF(AND($O180&lt;='Model Data Inputs'!$B$139,$F180="E"),0,IF(AND($O180&lt;='Model Data Inputs'!$B$139,$F180="M"),0,IF(AND($O180&lt;='Model Data Inputs'!$B$139,$F180="H"),0,IF(SUM($Y180:$Z180)&lt;1,1,SUM($Y180:$Z180)))))</f>
        <v>2.3554405885358602</v>
      </c>
      <c r="AB180" s="202">
        <f>($K180/'Model Data Inputs'!$B$143)*'Model Data Inputs'!$B$145</f>
        <v>0.36999444444444446</v>
      </c>
      <c r="AC180" s="202">
        <f t="shared" si="16"/>
        <v>2.7254350329803048</v>
      </c>
      <c r="AD180" s="202">
        <f>IF($G180="F",0,'Model Data Inputs'!$B$147)</f>
        <v>1.1000000000000001</v>
      </c>
      <c r="AE180" s="202">
        <f>IF($G180="F",0,($K180/'Model Data Inputs'!$B$148)*'Model Data Inputs'!$B$149)</f>
        <v>1.3319799999999999</v>
      </c>
      <c r="AF180" s="202">
        <f>IF($G180="F",0,($O180/'Model Data Inputs'!$B$150)*'Model Data Inputs'!$B$151)</f>
        <v>0.26378300000000005</v>
      </c>
      <c r="AG180" s="202">
        <f>IF($G180="F",0,(($Q180*$T180)/'Model Data Inputs'!$B$152)*'Model Data Inputs'!$B$153)</f>
        <v>0.36524622033549875</v>
      </c>
      <c r="AH180" s="202">
        <f t="shared" si="17"/>
        <v>0.76525230508387476</v>
      </c>
      <c r="AI180" s="203">
        <f>IF(OR($G180="F",$F180="M",$F180="H"),0,($AH180*'Model Data Inputs'!$B$154)-$AH180)</f>
        <v>0</v>
      </c>
      <c r="AJ180" s="202">
        <f>IF(OR($G180="F",$F180="E",$F180="H"),0,($AH180*'Model Data Inputs'!$B$155)-$AH180)</f>
        <v>0</v>
      </c>
      <c r="AK180" s="203">
        <f>IF(OR($G180="F",$F180="E",$F180="M"),0,($AH180*'Model Data Inputs'!$B$156)-$AH180)</f>
        <v>0.76525230508387476</v>
      </c>
      <c r="AL180" s="203">
        <f>IF($G180="F",0,IF($M180&lt;'Model Data Inputs'!$B$158,$AH180*('Model Data Inputs'!$B$159-1),0))</f>
        <v>-3.826261525419377E-2</v>
      </c>
      <c r="AM180" s="202">
        <f>IF($G180="F",0,IF($M180&gt;'Model Data Inputs'!$B$160,$AH180*('Model Data Inputs'!$B$161-1),0))</f>
        <v>0</v>
      </c>
      <c r="AN180" s="202">
        <f>IF($G180="F",0,IF($P180&lt;'Model Data Inputs'!$B$162,SUM($AH180,$AI180,$AJ180,$AK180,$AL180,$AM180)*('Model Data Inputs'!$B$163-1),0))</f>
        <v>0</v>
      </c>
      <c r="AO180" s="202">
        <f t="shared" si="18"/>
        <v>1.4922419949135557</v>
      </c>
      <c r="AP180" s="204">
        <f>$K180*'Model Data Inputs'!$B$166</f>
        <v>44621.33</v>
      </c>
      <c r="AQ180" s="204">
        <f>($K180*'Model Data Inputs'!$B$145)*'Model Data Inputs'!$B$166</f>
        <v>4462.1330000000007</v>
      </c>
      <c r="AR180" s="50">
        <f t="shared" si="19"/>
        <v>49083.463000000003</v>
      </c>
    </row>
    <row r="181" spans="1:44" x14ac:dyDescent="0.2">
      <c r="A181" s="227" t="str">
        <f>'School Level Inst. Resources'!A181</f>
        <v>1101000</v>
      </c>
      <c r="B181" s="227" t="str">
        <f>'School Level Inst. Resources'!B181</f>
        <v>Laramie #1</v>
      </c>
      <c r="C181" s="227" t="str">
        <f>'School Level Inst. Resources'!C181</f>
        <v>1101058</v>
      </c>
      <c r="D181" s="227" t="str">
        <f>'School Level Inst. Resources'!D181</f>
        <v>South High School</v>
      </c>
      <c r="E181" s="228" t="str">
        <f>'School Level Inst. Resources'!E181</f>
        <v>9-12</v>
      </c>
      <c r="F181" s="229" t="str">
        <f>'School Level Inst. Resources'!H181</f>
        <v>H</v>
      </c>
      <c r="G181" s="229" t="s">
        <v>1158</v>
      </c>
      <c r="H181" s="207">
        <v>234890</v>
      </c>
      <c r="I181" s="207">
        <f>IF('SFD Allowable GSF Calculation'!$D$2=1,'SFD Allowable GSF Calculation'!$P181,'SFD Allowable GSF Calculation'!$X181)</f>
        <v>187309</v>
      </c>
      <c r="J181" s="194">
        <f>$I181*'Model Data Inputs'!$B$165</f>
        <v>215405.34999999998</v>
      </c>
      <c r="K181" s="194">
        <f>IF($L181&gt;='Model Data Inputs'!$B$164,$H181,MIN($H181,$J181))</f>
        <v>234890</v>
      </c>
      <c r="L181" s="208">
        <v>2010</v>
      </c>
      <c r="M181" s="196">
        <f>IF($L181&gt;0,'Model Data Inputs'!$B$157-$L181,"")</f>
        <v>7</v>
      </c>
      <c r="N181" s="209">
        <v>88</v>
      </c>
      <c r="O181" s="198">
        <f>'School Level Inst. Resources'!$L181</f>
        <v>1123.885</v>
      </c>
      <c r="P181" s="198">
        <f>IF($G181="T",SUMIFS('School Level ADM'!$S$5:$S$359,'School Level ADM'!$A$5:$A$359,$A181),0)</f>
        <v>13859.934999999998</v>
      </c>
      <c r="Q181" s="199">
        <f t="shared" si="20"/>
        <v>8.1088764124795695E-2</v>
      </c>
      <c r="R181" s="200">
        <f>SUM((('School Level Inst. Resources'!I181/'Model Data Inputs'!$B$8)*(1+'Model Data Inputs'!$B$9)),(SUM('School Level Inst. Resources'!J181:K181)/'Model Data Inputs'!$C$8)*(1+'Model Data Inputs'!$C$9),'School Level Inst. Resources'!K181/400)</f>
        <v>67.946177934782611</v>
      </c>
      <c r="S181" s="200">
        <f t="shared" si="21"/>
        <v>67.946177934782611</v>
      </c>
      <c r="T181" s="201">
        <f>IF($G181="T",VLOOKUP($A181,'Total O &amp; M Resources'!$A$5:$K$52,3),0)</f>
        <v>103951852.07000002</v>
      </c>
      <c r="U181" s="202">
        <f>IF($G181="F",0,$S181/'Model Data Inputs'!$B$140)</f>
        <v>5.2266290719063546</v>
      </c>
      <c r="V181" s="202">
        <f>IF($G181="F",0,$O181/'Model Data Inputs'!$B$141)</f>
        <v>3.4581076923076921</v>
      </c>
      <c r="W181" s="202">
        <f>IF($G181="F",0,$N181/'Model Data Inputs'!$B$142)</f>
        <v>6.7692307692307692</v>
      </c>
      <c r="X181" s="202">
        <f>IF($G181="F",0,$K181/'Model Data Inputs'!$B$143)</f>
        <v>13.049444444444445</v>
      </c>
      <c r="Y181" s="202">
        <f t="shared" si="15"/>
        <v>7.1258529944723161</v>
      </c>
      <c r="Z181" s="202">
        <f>IF(OR($G181="F",$F181="E"),0,'Model Data Inputs'!$B$144)</f>
        <v>0.5</v>
      </c>
      <c r="AA181" s="202">
        <f>IF(AND($O181&lt;='Model Data Inputs'!$B$139,$F181="E"),0,IF(AND($O181&lt;='Model Data Inputs'!$B$139,$F181="M"),0,IF(AND($O181&lt;='Model Data Inputs'!$B$139,$F181="H"),0,IF(SUM($Y181:$Z181)&lt;1,1,SUM($Y181:$Z181)))))</f>
        <v>7.6258529944723161</v>
      </c>
      <c r="AB181" s="202">
        <f>($K181/'Model Data Inputs'!$B$143)*'Model Data Inputs'!$B$145</f>
        <v>1.3049444444444447</v>
      </c>
      <c r="AC181" s="202">
        <f t="shared" si="16"/>
        <v>8.9307974389167608</v>
      </c>
      <c r="AD181" s="202">
        <f>IF($G181="F",0,'Model Data Inputs'!$B$147)</f>
        <v>1.1000000000000001</v>
      </c>
      <c r="AE181" s="202">
        <f>IF($G181="F",0,($K181/'Model Data Inputs'!$B$148)*'Model Data Inputs'!$B$149)</f>
        <v>4.6978</v>
      </c>
      <c r="AF181" s="202">
        <f>IF($G181="F",0,($O181/'Model Data Inputs'!$B$150)*'Model Data Inputs'!$B$151)</f>
        <v>1.4610505</v>
      </c>
      <c r="AG181" s="202">
        <f>IF($G181="F",0,(($Q181*$T181)/'Model Data Inputs'!$B$152)*'Model Data Inputs'!$B$153)</f>
        <v>2.0230385310815726</v>
      </c>
      <c r="AH181" s="202">
        <f t="shared" si="17"/>
        <v>2.3204722577703931</v>
      </c>
      <c r="AI181" s="203">
        <f>IF(OR($G181="F",$F181="M",$F181="H"),0,($AH181*'Model Data Inputs'!$B$154)-$AH181)</f>
        <v>0</v>
      </c>
      <c r="AJ181" s="202">
        <f>IF(OR($G181="F",$F181="E",$F181="H"),0,($AH181*'Model Data Inputs'!$B$155)-$AH181)</f>
        <v>0</v>
      </c>
      <c r="AK181" s="203">
        <f>IF(OR($G181="F",$F181="E",$F181="M"),0,($AH181*'Model Data Inputs'!$B$156)-$AH181)</f>
        <v>2.3204722577703931</v>
      </c>
      <c r="AL181" s="203">
        <f>IF($G181="F",0,IF($M181&lt;'Model Data Inputs'!$B$158,$AH181*('Model Data Inputs'!$B$159-1),0))</f>
        <v>-0.11602361288851976</v>
      </c>
      <c r="AM181" s="202">
        <f>IF($G181="F",0,IF($M181&gt;'Model Data Inputs'!$B$160,$AH181*('Model Data Inputs'!$B$161-1),0))</f>
        <v>0</v>
      </c>
      <c r="AN181" s="202">
        <f>IF($G181="F",0,IF($P181&lt;'Model Data Inputs'!$B$162,SUM($AH181,$AI181,$AJ181,$AK181,$AL181,$AM181)*('Model Data Inputs'!$B$163-1),0))</f>
        <v>0</v>
      </c>
      <c r="AO181" s="202">
        <f t="shared" si="18"/>
        <v>4.5249209026522665</v>
      </c>
      <c r="AP181" s="204">
        <f>$K181*'Model Data Inputs'!$B$166</f>
        <v>157376.30000000002</v>
      </c>
      <c r="AQ181" s="204">
        <f>($K181*'Model Data Inputs'!$B$145)*'Model Data Inputs'!$B$166</f>
        <v>15737.630000000001</v>
      </c>
      <c r="AR181" s="50">
        <f t="shared" si="19"/>
        <v>173113.93000000002</v>
      </c>
    </row>
    <row r="182" spans="1:44" x14ac:dyDescent="0.2">
      <c r="A182" s="227" t="str">
        <f>'School Level Inst. Resources'!A182</f>
        <v>1102000</v>
      </c>
      <c r="B182" s="227" t="str">
        <f>'School Level Inst. Resources'!B182</f>
        <v>Laramie #2</v>
      </c>
      <c r="C182" s="227" t="str">
        <f>'School Level Inst. Resources'!C182</f>
        <v>1102001</v>
      </c>
      <c r="D182" s="227" t="str">
        <f>'School Level Inst. Resources'!D182</f>
        <v>Albin Elementary</v>
      </c>
      <c r="E182" s="228" t="str">
        <f>'School Level Inst. Resources'!E182</f>
        <v>K-6</v>
      </c>
      <c r="F182" s="229" t="str">
        <f>'School Level Inst. Resources'!H182</f>
        <v>E</v>
      </c>
      <c r="G182" s="229" t="s">
        <v>1158</v>
      </c>
      <c r="H182" s="207">
        <v>15425</v>
      </c>
      <c r="I182" s="207">
        <f>IF('SFD Allowable GSF Calculation'!$D$2=1,'SFD Allowable GSF Calculation'!$P182,'SFD Allowable GSF Calculation'!$X182)</f>
        <v>10477</v>
      </c>
      <c r="J182" s="194">
        <f>$I182*'Model Data Inputs'!$B$165</f>
        <v>12048.55</v>
      </c>
      <c r="K182" s="194">
        <f>IF($L182&gt;='Model Data Inputs'!$B$164,$H182,MIN($H182,$J182))</f>
        <v>12048.55</v>
      </c>
      <c r="L182" s="208">
        <v>1996</v>
      </c>
      <c r="M182" s="196">
        <f>IF($L182&gt;0,'Model Data Inputs'!$B$157-$L182,"")</f>
        <v>21</v>
      </c>
      <c r="N182" s="209">
        <v>14</v>
      </c>
      <c r="O182" s="198">
        <f>'School Level Inst. Resources'!$L182</f>
        <v>48.265000000000001</v>
      </c>
      <c r="P182" s="198">
        <f>IF($G182="T",SUMIFS('School Level ADM'!$S$5:$S$359,'School Level ADM'!$A$5:$A$359,$A182),0)</f>
        <v>1035.2350000000001</v>
      </c>
      <c r="Q182" s="199">
        <f t="shared" si="20"/>
        <v>4.6622264509990477E-2</v>
      </c>
      <c r="R182" s="200">
        <f>SUM((('School Level Inst. Resources'!I182/'Model Data Inputs'!$B$8)*(1+'Model Data Inputs'!$B$9)),(SUM('School Level Inst. Resources'!J182:K182)/'Model Data Inputs'!$C$8)*(1+'Model Data Inputs'!$C$9),'School Level Inst. Resources'!K182/400)</f>
        <v>3.2176666666666667</v>
      </c>
      <c r="S182" s="200">
        <f t="shared" si="21"/>
        <v>3.2176666666666667</v>
      </c>
      <c r="T182" s="201">
        <f>IF($G182="T",VLOOKUP($A182,'Total O &amp; M Resources'!$A$5:$K$52,3),0)</f>
        <v>10092882.539999999</v>
      </c>
      <c r="U182" s="202">
        <f>IF($G182="F",0,$S182/'Model Data Inputs'!$B$140)</f>
        <v>0.2475128205128205</v>
      </c>
      <c r="V182" s="202">
        <f>IF($G182="F",0,$O182/'Model Data Inputs'!$B$141)</f>
        <v>0.14850769230769231</v>
      </c>
      <c r="W182" s="202">
        <f>IF($G182="F",0,$N182/'Model Data Inputs'!$B$142)</f>
        <v>1.0769230769230769</v>
      </c>
      <c r="X182" s="202">
        <f>IF($G182="F",0,$K182/'Model Data Inputs'!$B$143)</f>
        <v>0.66936388888888887</v>
      </c>
      <c r="Y182" s="202">
        <f t="shared" si="15"/>
        <v>0.53557686965811957</v>
      </c>
      <c r="Z182" s="202">
        <f>IF(OR($G182="F",$F182="E"),0,'Model Data Inputs'!$B$144)</f>
        <v>0</v>
      </c>
      <c r="AA182" s="202">
        <f>IF(AND($O182&lt;='Model Data Inputs'!$B$139,$F182="E"),0,IF(AND($O182&lt;='Model Data Inputs'!$B$139,$F182="M"),0,IF(AND($O182&lt;='Model Data Inputs'!$B$139,$F182="H"),0,IF(SUM($Y182:$Z182)&lt;1,1,SUM($Y182:$Z182)))))</f>
        <v>0</v>
      </c>
      <c r="AB182" s="202">
        <f>($K182/'Model Data Inputs'!$B$143)*'Model Data Inputs'!$B$145</f>
        <v>6.6936388888888892E-2</v>
      </c>
      <c r="AC182" s="202">
        <f t="shared" si="16"/>
        <v>6.6936388888888892E-2</v>
      </c>
      <c r="AD182" s="202">
        <f>IF($G182="F",0,'Model Data Inputs'!$B$147)</f>
        <v>1.1000000000000001</v>
      </c>
      <c r="AE182" s="202">
        <f>IF($G182="F",0,($K182/'Model Data Inputs'!$B$148)*'Model Data Inputs'!$B$149)</f>
        <v>0.24097099999999996</v>
      </c>
      <c r="AF182" s="202">
        <f>IF($G182="F",0,($O182/'Model Data Inputs'!$B$150)*'Model Data Inputs'!$B$151)</f>
        <v>6.2744500000000009E-2</v>
      </c>
      <c r="AG182" s="202">
        <f>IF($G182="F",0,(($Q182*$T182)/'Model Data Inputs'!$B$152)*'Model Data Inputs'!$B$153)</f>
        <v>0.11293272946755467</v>
      </c>
      <c r="AH182" s="202">
        <f t="shared" si="17"/>
        <v>0.37916205736688868</v>
      </c>
      <c r="AI182" s="203">
        <f>IF(OR($G182="F",$F182="M",$F182="H"),0,($AH182*'Model Data Inputs'!$B$154)-$AH182)</f>
        <v>-7.5832411473377714E-2</v>
      </c>
      <c r="AJ182" s="202">
        <f>IF(OR($G182="F",$F182="E",$F182="H"),0,($AH182*'Model Data Inputs'!$B$155)-$AH182)</f>
        <v>0</v>
      </c>
      <c r="AK182" s="203">
        <f>IF(OR($G182="F",$F182="E",$F182="M"),0,($AH182*'Model Data Inputs'!$B$156)-$AH182)</f>
        <v>0</v>
      </c>
      <c r="AL182" s="203">
        <f>IF($G182="F",0,IF($M182&lt;'Model Data Inputs'!$B$158,$AH182*('Model Data Inputs'!$B$159-1),0))</f>
        <v>0</v>
      </c>
      <c r="AM182" s="202">
        <f>IF($G182="F",0,IF($M182&gt;'Model Data Inputs'!$B$160,$AH182*('Model Data Inputs'!$B$161-1),0))</f>
        <v>0</v>
      </c>
      <c r="AN182" s="202">
        <f>IF($G182="F",0,IF($P182&lt;'Model Data Inputs'!$B$162,SUM($AH182,$AI182,$AJ182,$AK182,$AL182,$AM182)*('Model Data Inputs'!$B$163-1),0))</f>
        <v>0</v>
      </c>
      <c r="AO182" s="202">
        <f t="shared" si="18"/>
        <v>0.30332964589351097</v>
      </c>
      <c r="AP182" s="204">
        <f>$K182*'Model Data Inputs'!$B$166</f>
        <v>8072.5285000000003</v>
      </c>
      <c r="AQ182" s="204">
        <f>($K182*'Model Data Inputs'!$B$145)*'Model Data Inputs'!$B$166</f>
        <v>807.25285000000008</v>
      </c>
      <c r="AR182" s="50">
        <f t="shared" si="19"/>
        <v>8879.7813500000011</v>
      </c>
    </row>
    <row r="183" spans="1:44" x14ac:dyDescent="0.2">
      <c r="A183" s="227" t="str">
        <f>'School Level Inst. Resources'!A183</f>
        <v>1102000</v>
      </c>
      <c r="B183" s="227" t="str">
        <f>'School Level Inst. Resources'!B183</f>
        <v>Laramie #2</v>
      </c>
      <c r="C183" s="227" t="str">
        <f>'School Level Inst. Resources'!C183</f>
        <v>1102002</v>
      </c>
      <c r="D183" s="227" t="str">
        <f>'School Level Inst. Resources'!D183</f>
        <v>Carpenter Elementary</v>
      </c>
      <c r="E183" s="228" t="str">
        <f>'School Level Inst. Resources'!E183</f>
        <v>K-6</v>
      </c>
      <c r="F183" s="229" t="str">
        <f>'School Level Inst. Resources'!H183</f>
        <v>E</v>
      </c>
      <c r="G183" s="229" t="s">
        <v>1158</v>
      </c>
      <c r="H183" s="268">
        <v>28521</v>
      </c>
      <c r="I183" s="207">
        <f>IF('SFD Allowable GSF Calculation'!$D$2=1,'SFD Allowable GSF Calculation'!$P183,'SFD Allowable GSF Calculation'!$X183)</f>
        <v>18279</v>
      </c>
      <c r="J183" s="194">
        <f>$I183*'Model Data Inputs'!$B$165</f>
        <v>21020.85</v>
      </c>
      <c r="K183" s="194">
        <f>IF($L183&gt;='Model Data Inputs'!$B$164,$H183,MIN($H183,$J183))</f>
        <v>21020.85</v>
      </c>
      <c r="L183" s="208">
        <v>1996</v>
      </c>
      <c r="M183" s="196">
        <f>IF($L183&gt;0,'Model Data Inputs'!$B$157-$L183,"")</f>
        <v>21</v>
      </c>
      <c r="N183" s="209">
        <v>13</v>
      </c>
      <c r="O183" s="198">
        <f>'School Level Inst. Resources'!$L183</f>
        <v>105.39500000000001</v>
      </c>
      <c r="P183" s="198">
        <f>IF($G183="T",SUMIFS('School Level ADM'!$S$5:$S$359,'School Level ADM'!$A$5:$A$359,$A183),0)</f>
        <v>1035.2350000000001</v>
      </c>
      <c r="Q183" s="199">
        <f t="shared" si="20"/>
        <v>0.10180780209324453</v>
      </c>
      <c r="R183" s="200">
        <f>SUM((('School Level Inst. Resources'!I183/'Model Data Inputs'!$B$8)*(1+'Model Data Inputs'!$B$9)),(SUM('School Level Inst. Resources'!J183:K183)/'Model Data Inputs'!$C$8)*(1+'Model Data Inputs'!$C$9),'School Level Inst. Resources'!K183/400)</f>
        <v>7.0263333333333335</v>
      </c>
      <c r="S183" s="200">
        <f t="shared" si="21"/>
        <v>7.0263333333333335</v>
      </c>
      <c r="T183" s="201">
        <f>IF($G183="T",VLOOKUP($A183,'Total O &amp; M Resources'!$A$5:$K$52,3),0)</f>
        <v>10092882.539999999</v>
      </c>
      <c r="U183" s="202">
        <f>IF($G183="F",0,$S183/'Model Data Inputs'!$B$140)</f>
        <v>0.5404871794871795</v>
      </c>
      <c r="V183" s="202">
        <f>IF($G183="F",0,$O183/'Model Data Inputs'!$B$141)</f>
        <v>0.32429230769230771</v>
      </c>
      <c r="W183" s="202">
        <f>IF($G183="F",0,$N183/'Model Data Inputs'!$B$142)</f>
        <v>1</v>
      </c>
      <c r="X183" s="202">
        <f>IF($G183="F",0,$K183/'Model Data Inputs'!$B$143)</f>
        <v>1.1678249999999999</v>
      </c>
      <c r="Y183" s="202">
        <f t="shared" si="15"/>
        <v>0.75815112179487176</v>
      </c>
      <c r="Z183" s="202">
        <f>IF(OR($G183="F",$F183="E"),0,'Model Data Inputs'!$B$144)</f>
        <v>0</v>
      </c>
      <c r="AA183" s="202">
        <f>IF(AND($O183&lt;='Model Data Inputs'!$B$139,$F183="E"),0,IF(AND($O183&lt;='Model Data Inputs'!$B$139,$F183="M"),0,IF(AND($O183&lt;='Model Data Inputs'!$B$139,$F183="H"),0,IF(SUM($Y183:$Z183)&lt;1,1,SUM($Y183:$Z183)))))</f>
        <v>1</v>
      </c>
      <c r="AB183" s="202">
        <f>($K183/'Model Data Inputs'!$B$143)*'Model Data Inputs'!$B$145</f>
        <v>0.1167825</v>
      </c>
      <c r="AC183" s="202">
        <f t="shared" si="16"/>
        <v>1.1167825</v>
      </c>
      <c r="AD183" s="202">
        <f>IF($G183="F",0,'Model Data Inputs'!$B$147)</f>
        <v>1.1000000000000001</v>
      </c>
      <c r="AE183" s="202">
        <f>IF($G183="F",0,($K183/'Model Data Inputs'!$B$148)*'Model Data Inputs'!$B$149)</f>
        <v>0.42041699999999999</v>
      </c>
      <c r="AF183" s="202">
        <f>IF($G183="F",0,($O183/'Model Data Inputs'!$B$150)*'Model Data Inputs'!$B$151)</f>
        <v>0.13701350000000004</v>
      </c>
      <c r="AG183" s="202">
        <f>IF($G183="F",0,(($Q183*$T183)/'Model Data Inputs'!$B$152)*'Model Data Inputs'!$B$153)</f>
        <v>0.24660820516384394</v>
      </c>
      <c r="AH183" s="202">
        <f t="shared" si="17"/>
        <v>0.47600967629096103</v>
      </c>
      <c r="AI183" s="203">
        <f>IF(OR($G183="F",$F183="M",$F183="H"),0,($AH183*'Model Data Inputs'!$B$154)-$AH183)</f>
        <v>-9.5201935258192205E-2</v>
      </c>
      <c r="AJ183" s="202">
        <f>IF(OR($G183="F",$F183="E",$F183="H"),0,($AH183*'Model Data Inputs'!$B$155)-$AH183)</f>
        <v>0</v>
      </c>
      <c r="AK183" s="203">
        <f>IF(OR($G183="F",$F183="E",$F183="M"),0,($AH183*'Model Data Inputs'!$B$156)-$AH183)</f>
        <v>0</v>
      </c>
      <c r="AL183" s="203">
        <f>IF($G183="F",0,IF($M183&lt;'Model Data Inputs'!$B$158,$AH183*('Model Data Inputs'!$B$159-1),0))</f>
        <v>0</v>
      </c>
      <c r="AM183" s="202">
        <f>IF($G183="F",0,IF($M183&gt;'Model Data Inputs'!$B$160,$AH183*('Model Data Inputs'!$B$161-1),0))</f>
        <v>0</v>
      </c>
      <c r="AN183" s="202">
        <f>IF($G183="F",0,IF($P183&lt;'Model Data Inputs'!$B$162,SUM($AH183,$AI183,$AJ183,$AK183,$AL183,$AM183)*('Model Data Inputs'!$B$163-1),0))</f>
        <v>0</v>
      </c>
      <c r="AO183" s="202">
        <f t="shared" si="18"/>
        <v>0.38080774103276882</v>
      </c>
      <c r="AP183" s="204">
        <f>$K183*'Model Data Inputs'!$B$166</f>
        <v>14083.969499999999</v>
      </c>
      <c r="AQ183" s="204">
        <f>($K183*'Model Data Inputs'!$B$145)*'Model Data Inputs'!$B$166</f>
        <v>1408.3969500000001</v>
      </c>
      <c r="AR183" s="50">
        <f t="shared" si="19"/>
        <v>15492.36645</v>
      </c>
    </row>
    <row r="184" spans="1:44" x14ac:dyDescent="0.2">
      <c r="A184" s="227" t="str">
        <f>'School Level Inst. Resources'!A184</f>
        <v>1102000</v>
      </c>
      <c r="B184" s="227" t="str">
        <f>'School Level Inst. Resources'!B184</f>
        <v>Laramie #2</v>
      </c>
      <c r="C184" s="227" t="str">
        <f>'School Level Inst. Resources'!C184</f>
        <v>1102004</v>
      </c>
      <c r="D184" s="227" t="str">
        <f>'School Level Inst. Resources'!D184</f>
        <v>Pine Bluffs Elementary</v>
      </c>
      <c r="E184" s="228" t="str">
        <f>'School Level Inst. Resources'!E184</f>
        <v>K-6</v>
      </c>
      <c r="F184" s="229" t="str">
        <f>'School Level Inst. Resources'!H184</f>
        <v>E</v>
      </c>
      <c r="G184" s="229" t="s">
        <v>1158</v>
      </c>
      <c r="H184" s="207">
        <v>30721</v>
      </c>
      <c r="I184" s="207">
        <f>IF('SFD Allowable GSF Calculation'!$D$2=1,'SFD Allowable GSF Calculation'!$P184,'SFD Allowable GSF Calculation'!$X184)</f>
        <v>25479</v>
      </c>
      <c r="J184" s="194">
        <f>$I184*'Model Data Inputs'!$B$165</f>
        <v>29300.85</v>
      </c>
      <c r="K184" s="194">
        <f>IF($L184&gt;='Model Data Inputs'!$B$164,$H184,MIN($H184,$J184))</f>
        <v>30721</v>
      </c>
      <c r="L184" s="208">
        <v>2017</v>
      </c>
      <c r="M184" s="196">
        <f>IF($L184&gt;0,'Model Data Inputs'!$B$157-$L184,"")</f>
        <v>0</v>
      </c>
      <c r="N184" s="209">
        <v>14</v>
      </c>
      <c r="O184" s="198">
        <f>'School Level Inst. Resources'!$L184</f>
        <v>150.70500000000001</v>
      </c>
      <c r="P184" s="198">
        <f>IF($G184="T",SUMIFS('School Level ADM'!$S$5:$S$359,'School Level ADM'!$A$5:$A$359,$A184),0)</f>
        <v>1035.2350000000001</v>
      </c>
      <c r="Q184" s="199">
        <f t="shared" si="20"/>
        <v>0.1455756422454805</v>
      </c>
      <c r="R184" s="200">
        <f>SUM((('School Level Inst. Resources'!I184/'Model Data Inputs'!$B$8)*(1+'Model Data Inputs'!$B$9)),(SUM('School Level Inst. Resources'!J184:K184)/'Model Data Inputs'!$C$8)*(1+'Model Data Inputs'!$C$9),'School Level Inst. Resources'!K184/400)</f>
        <v>10.047000000000001</v>
      </c>
      <c r="S184" s="200">
        <f t="shared" si="21"/>
        <v>10.047000000000001</v>
      </c>
      <c r="T184" s="201">
        <f>IF($G184="T",VLOOKUP($A184,'Total O &amp; M Resources'!$A$5:$K$52,3),0)</f>
        <v>10092882.539999999</v>
      </c>
      <c r="U184" s="202">
        <f>IF($G184="F",0,$S184/'Model Data Inputs'!$B$140)</f>
        <v>0.77284615384615385</v>
      </c>
      <c r="V184" s="202">
        <f>IF($G184="F",0,$O184/'Model Data Inputs'!$B$141)</f>
        <v>0.46370769230769232</v>
      </c>
      <c r="W184" s="202">
        <f>IF($G184="F",0,$N184/'Model Data Inputs'!$B$142)</f>
        <v>1.0769230769230769</v>
      </c>
      <c r="X184" s="202">
        <f>IF($G184="F",0,$K184/'Model Data Inputs'!$B$143)</f>
        <v>1.7067222222222223</v>
      </c>
      <c r="Y184" s="202">
        <f t="shared" si="15"/>
        <v>1.0050497863247863</v>
      </c>
      <c r="Z184" s="202">
        <f>IF(OR($G184="F",$F184="E"),0,'Model Data Inputs'!$B$144)</f>
        <v>0</v>
      </c>
      <c r="AA184" s="202">
        <f>IF(AND($O184&lt;='Model Data Inputs'!$B$139,$F184="E"),0,IF(AND($O184&lt;='Model Data Inputs'!$B$139,$F184="M"),0,IF(AND($O184&lt;='Model Data Inputs'!$B$139,$F184="H"),0,IF(SUM($Y184:$Z184)&lt;1,1,SUM($Y184:$Z184)))))</f>
        <v>1.0050497863247863</v>
      </c>
      <c r="AB184" s="202">
        <f>($K184/'Model Data Inputs'!$B$143)*'Model Data Inputs'!$B$145</f>
        <v>0.17067222222222223</v>
      </c>
      <c r="AC184" s="202">
        <f t="shared" si="16"/>
        <v>1.1757220085470084</v>
      </c>
      <c r="AD184" s="202">
        <f>IF($G184="F",0,'Model Data Inputs'!$B$147)</f>
        <v>1.1000000000000001</v>
      </c>
      <c r="AE184" s="202">
        <f>IF($G184="F",0,($K184/'Model Data Inputs'!$B$148)*'Model Data Inputs'!$B$149)</f>
        <v>0.61441999999999997</v>
      </c>
      <c r="AF184" s="202">
        <f>IF($G184="F",0,($O184/'Model Data Inputs'!$B$150)*'Model Data Inputs'!$B$151)</f>
        <v>0.19591650000000002</v>
      </c>
      <c r="AG184" s="202">
        <f>IF($G184="F",0,(($Q184*$T184)/'Model Data Inputs'!$B$152)*'Model Data Inputs'!$B$153)</f>
        <v>0.35262668588848711</v>
      </c>
      <c r="AH184" s="202">
        <f t="shared" si="17"/>
        <v>0.56574079647212183</v>
      </c>
      <c r="AI184" s="203">
        <f>IF(OR($G184="F",$F184="M",$F184="H"),0,($AH184*'Model Data Inputs'!$B$154)-$AH184)</f>
        <v>-0.11314815929442434</v>
      </c>
      <c r="AJ184" s="202">
        <f>IF(OR($G184="F",$F184="E",$F184="H"),0,($AH184*'Model Data Inputs'!$B$155)-$AH184)</f>
        <v>0</v>
      </c>
      <c r="AK184" s="203">
        <f>IF(OR($G184="F",$F184="E",$F184="M"),0,($AH184*'Model Data Inputs'!$B$156)-$AH184)</f>
        <v>0</v>
      </c>
      <c r="AL184" s="203">
        <f>IF($G184="F",0,IF($M184&lt;'Model Data Inputs'!$B$158,$AH184*('Model Data Inputs'!$B$159-1),0))</f>
        <v>-2.8287039823606117E-2</v>
      </c>
      <c r="AM184" s="202">
        <f>IF($G184="F",0,IF($M184&gt;'Model Data Inputs'!$B$160,$AH184*('Model Data Inputs'!$B$161-1),0))</f>
        <v>0</v>
      </c>
      <c r="AN184" s="202">
        <f>IF($G184="F",0,IF($P184&lt;'Model Data Inputs'!$B$162,SUM($AH184,$AI184,$AJ184,$AK184,$AL184,$AM184)*('Model Data Inputs'!$B$163-1),0))</f>
        <v>0</v>
      </c>
      <c r="AO184" s="202">
        <f t="shared" si="18"/>
        <v>0.42430559735409135</v>
      </c>
      <c r="AP184" s="204">
        <f>$K184*'Model Data Inputs'!$B$166</f>
        <v>20583.07</v>
      </c>
      <c r="AQ184" s="204">
        <f>($K184*'Model Data Inputs'!$B$145)*'Model Data Inputs'!$B$166</f>
        <v>2058.3070000000002</v>
      </c>
      <c r="AR184" s="50">
        <f t="shared" si="19"/>
        <v>22641.377</v>
      </c>
    </row>
    <row r="185" spans="1:44" x14ac:dyDescent="0.2">
      <c r="A185" s="227" t="str">
        <f>'School Level Inst. Resources'!A185</f>
        <v>1102000</v>
      </c>
      <c r="B185" s="227" t="str">
        <f>'School Level Inst. Resources'!B185</f>
        <v>Laramie #2</v>
      </c>
      <c r="C185" s="227" t="str">
        <f>'School Level Inst. Resources'!C185</f>
        <v>1102005</v>
      </c>
      <c r="D185" s="227" t="str">
        <f>'School Level Inst. Resources'!D185</f>
        <v>Burns Elementary</v>
      </c>
      <c r="E185" s="228" t="str">
        <f>'School Level Inst. Resources'!E185</f>
        <v>K-6</v>
      </c>
      <c r="F185" s="229" t="str">
        <f>'School Level Inst. Resources'!H185</f>
        <v>E</v>
      </c>
      <c r="G185" s="229" t="s">
        <v>1158</v>
      </c>
      <c r="H185" s="207">
        <v>56943</v>
      </c>
      <c r="I185" s="207">
        <f>IF('SFD Allowable GSF Calculation'!$D$2=1,'SFD Allowable GSF Calculation'!$P185,'SFD Allowable GSF Calculation'!$X185)</f>
        <v>40229</v>
      </c>
      <c r="J185" s="194">
        <f>$I185*'Model Data Inputs'!$B$165</f>
        <v>46263.35</v>
      </c>
      <c r="K185" s="194">
        <f>IF($L185&gt;='Model Data Inputs'!$B$164,$H185,MIN($H185,$J185))</f>
        <v>56943</v>
      </c>
      <c r="L185" s="208">
        <v>2009</v>
      </c>
      <c r="M185" s="196">
        <f>IF($L185&gt;0,'Model Data Inputs'!$B$157-$L185,"")</f>
        <v>8</v>
      </c>
      <c r="N185" s="209">
        <v>26</v>
      </c>
      <c r="O185" s="198">
        <f>'School Level Inst. Resources'!$L185</f>
        <v>261.02499999999998</v>
      </c>
      <c r="P185" s="198">
        <f>IF($G185="T",SUMIFS('School Level ADM'!$S$5:$S$359,'School Level ADM'!$A$5:$A$359,$A185),0)</f>
        <v>1035.2350000000001</v>
      </c>
      <c r="Q185" s="199">
        <f t="shared" si="20"/>
        <v>0.25214081826831586</v>
      </c>
      <c r="R185" s="200">
        <f>SUM((('School Level Inst. Resources'!I185/'Model Data Inputs'!$B$8)*(1+'Model Data Inputs'!$B$9)),(SUM('School Level Inst. Resources'!J185:K185)/'Model Data Inputs'!$C$8)*(1+'Model Data Inputs'!$C$9),'School Level Inst. Resources'!K185/400)</f>
        <v>17.401666666666664</v>
      </c>
      <c r="S185" s="200">
        <f t="shared" si="21"/>
        <v>17.401666666666664</v>
      </c>
      <c r="T185" s="201">
        <f>IF($G185="T",VLOOKUP($A185,'Total O &amp; M Resources'!$A$5:$K$52,3),0)</f>
        <v>10092882.539999999</v>
      </c>
      <c r="U185" s="202">
        <f>IF($G185="F",0,$S185/'Model Data Inputs'!$B$140)</f>
        <v>1.3385897435897434</v>
      </c>
      <c r="V185" s="202">
        <f>IF($G185="F",0,$O185/'Model Data Inputs'!$B$141)</f>
        <v>0.80315384615384611</v>
      </c>
      <c r="W185" s="202">
        <f>IF($G185="F",0,$N185/'Model Data Inputs'!$B$142)</f>
        <v>2</v>
      </c>
      <c r="X185" s="202">
        <f>IF($G185="F",0,$K185/'Model Data Inputs'!$B$143)</f>
        <v>3.1635</v>
      </c>
      <c r="Y185" s="202">
        <f t="shared" si="15"/>
        <v>1.8263108974358973</v>
      </c>
      <c r="Z185" s="202">
        <f>IF(OR($G185="F",$F185="E"),0,'Model Data Inputs'!$B$144)</f>
        <v>0</v>
      </c>
      <c r="AA185" s="202">
        <f>IF(AND($O185&lt;='Model Data Inputs'!$B$139,$F185="E"),0,IF(AND($O185&lt;='Model Data Inputs'!$B$139,$F185="M"),0,IF(AND($O185&lt;='Model Data Inputs'!$B$139,$F185="H"),0,IF(SUM($Y185:$Z185)&lt;1,1,SUM($Y185:$Z185)))))</f>
        <v>1.8263108974358973</v>
      </c>
      <c r="AB185" s="202">
        <f>($K185/'Model Data Inputs'!$B$143)*'Model Data Inputs'!$B$145</f>
        <v>0.31635000000000002</v>
      </c>
      <c r="AC185" s="202">
        <f t="shared" si="16"/>
        <v>2.1426608974358974</v>
      </c>
      <c r="AD185" s="202">
        <f>IF($G185="F",0,'Model Data Inputs'!$B$147)</f>
        <v>1.1000000000000001</v>
      </c>
      <c r="AE185" s="202">
        <f>IF($G185="F",0,($K185/'Model Data Inputs'!$B$148)*'Model Data Inputs'!$B$149)</f>
        <v>1.13886</v>
      </c>
      <c r="AF185" s="202">
        <f>IF($G185="F",0,($O185/'Model Data Inputs'!$B$150)*'Model Data Inputs'!$B$151)</f>
        <v>0.33933249999999993</v>
      </c>
      <c r="AG185" s="202">
        <f>IF($G185="F",0,(($Q185*$T185)/'Model Data Inputs'!$B$152)*'Model Data Inputs'!$B$153)</f>
        <v>0.61075863895718341</v>
      </c>
      <c r="AH185" s="202">
        <f t="shared" si="17"/>
        <v>0.79723778473929574</v>
      </c>
      <c r="AI185" s="203">
        <f>IF(OR($G185="F",$F185="M",$F185="H"),0,($AH185*'Model Data Inputs'!$B$154)-$AH185)</f>
        <v>-0.15944755694785906</v>
      </c>
      <c r="AJ185" s="202">
        <f>IF(OR($G185="F",$F185="E",$F185="H"),0,($AH185*'Model Data Inputs'!$B$155)-$AH185)</f>
        <v>0</v>
      </c>
      <c r="AK185" s="203">
        <f>IF(OR($G185="F",$F185="E",$F185="M"),0,($AH185*'Model Data Inputs'!$B$156)-$AH185)</f>
        <v>0</v>
      </c>
      <c r="AL185" s="203">
        <f>IF($G185="F",0,IF($M185&lt;'Model Data Inputs'!$B$158,$AH185*('Model Data Inputs'!$B$159-1),0))</f>
        <v>-3.986188923696482E-2</v>
      </c>
      <c r="AM185" s="202">
        <f>IF($G185="F",0,IF($M185&gt;'Model Data Inputs'!$B$160,$AH185*('Model Data Inputs'!$B$161-1),0))</f>
        <v>0</v>
      </c>
      <c r="AN185" s="202">
        <f>IF($G185="F",0,IF($P185&lt;'Model Data Inputs'!$B$162,SUM($AH185,$AI185,$AJ185,$AK185,$AL185,$AM185)*('Model Data Inputs'!$B$163-1),0))</f>
        <v>0</v>
      </c>
      <c r="AO185" s="202">
        <f t="shared" si="18"/>
        <v>0.59792833855447181</v>
      </c>
      <c r="AP185" s="204">
        <f>$K185*'Model Data Inputs'!$B$166</f>
        <v>38151.810000000005</v>
      </c>
      <c r="AQ185" s="204">
        <f>($K185*'Model Data Inputs'!$B$145)*'Model Data Inputs'!$B$166</f>
        <v>3815.1810000000005</v>
      </c>
      <c r="AR185" s="50">
        <f t="shared" si="19"/>
        <v>41966.991000000009</v>
      </c>
    </row>
    <row r="186" spans="1:44" x14ac:dyDescent="0.2">
      <c r="A186" s="227" t="str">
        <f>'School Level Inst. Resources'!A186</f>
        <v>1102000</v>
      </c>
      <c r="B186" s="227" t="str">
        <f>'School Level Inst. Resources'!B186</f>
        <v>Laramie #2</v>
      </c>
      <c r="C186" s="227" t="str">
        <f>'School Level Inst. Resources'!C186</f>
        <v>1102056</v>
      </c>
      <c r="D186" s="227" t="str">
        <f>'School Level Inst. Resources'!D186</f>
        <v>Burns Jr &amp; Sr High School</v>
      </c>
      <c r="E186" s="228" t="str">
        <f>'School Level Inst. Resources'!E186</f>
        <v>7-12</v>
      </c>
      <c r="F186" s="229" t="str">
        <f>'School Level Inst. Resources'!H186</f>
        <v>H</v>
      </c>
      <c r="G186" s="229" t="s">
        <v>1158</v>
      </c>
      <c r="H186" s="207">
        <v>80824</v>
      </c>
      <c r="I186" s="207">
        <f>IF('SFD Allowable GSF Calculation'!$D$2=1,'SFD Allowable GSF Calculation'!$P186,'SFD Allowable GSF Calculation'!$X186)</f>
        <v>76765</v>
      </c>
      <c r="J186" s="194">
        <f>$I186*'Model Data Inputs'!$B$165</f>
        <v>88279.75</v>
      </c>
      <c r="K186" s="194">
        <f>IF($L186&gt;='Model Data Inputs'!$B$164,$H186,MIN($H186,$J186))</f>
        <v>80824</v>
      </c>
      <c r="L186" s="208">
        <v>1997</v>
      </c>
      <c r="M186" s="196">
        <f>IF($L186&gt;0,'Model Data Inputs'!$B$157-$L186,"")</f>
        <v>20</v>
      </c>
      <c r="N186" s="209">
        <v>30</v>
      </c>
      <c r="O186" s="198">
        <f>'School Level Inst. Resources'!$L186</f>
        <v>291.56</v>
      </c>
      <c r="P186" s="198">
        <f>IF($G186="T",SUMIFS('School Level ADM'!$S$5:$S$359,'School Level ADM'!$A$5:$A$359,$A186),0)</f>
        <v>1035.2350000000001</v>
      </c>
      <c r="Q186" s="199">
        <f t="shared" si="20"/>
        <v>0.28163653663177923</v>
      </c>
      <c r="R186" s="200">
        <f>SUM((('School Level Inst. Resources'!I186/'Model Data Inputs'!$B$8)*(1+'Model Data Inputs'!$B$9)),(SUM('School Level Inst. Resources'!J186:K186)/'Model Data Inputs'!$C$8)*(1+'Model Data Inputs'!$C$9),'School Level Inst. Resources'!K186/400)</f>
        <v>17.328740978260868</v>
      </c>
      <c r="S186" s="200">
        <f t="shared" si="21"/>
        <v>17.328740978260868</v>
      </c>
      <c r="T186" s="201">
        <f>IF($G186="T",VLOOKUP($A186,'Total O &amp; M Resources'!$A$5:$K$52,3),0)</f>
        <v>10092882.539999999</v>
      </c>
      <c r="U186" s="202">
        <f>IF($G186="F",0,$S186/'Model Data Inputs'!$B$140)</f>
        <v>1.3329800752508361</v>
      </c>
      <c r="V186" s="202">
        <f>IF($G186="F",0,$O186/'Model Data Inputs'!$B$141)</f>
        <v>0.89710769230769227</v>
      </c>
      <c r="W186" s="202">
        <f>IF($G186="F",0,$N186/'Model Data Inputs'!$B$142)</f>
        <v>2.3076923076923075</v>
      </c>
      <c r="X186" s="202">
        <f>IF($G186="F",0,$K186/'Model Data Inputs'!$B$143)</f>
        <v>4.4902222222222221</v>
      </c>
      <c r="Y186" s="202">
        <f t="shared" si="15"/>
        <v>2.2570005743682646</v>
      </c>
      <c r="Z186" s="202">
        <f>IF(OR($G186="F",$F186="E"),0,'Model Data Inputs'!$B$144)</f>
        <v>0.5</v>
      </c>
      <c r="AA186" s="202">
        <f>IF(AND($O186&lt;='Model Data Inputs'!$B$139,$F186="E"),0,IF(AND($O186&lt;='Model Data Inputs'!$B$139,$F186="M"),0,IF(AND($O186&lt;='Model Data Inputs'!$B$139,$F186="H"),0,IF(SUM($Y186:$Z186)&lt;1,1,SUM($Y186:$Z186)))))</f>
        <v>2.7570005743682646</v>
      </c>
      <c r="AB186" s="202">
        <f>($K186/'Model Data Inputs'!$B$143)*'Model Data Inputs'!$B$145</f>
        <v>0.44902222222222221</v>
      </c>
      <c r="AC186" s="202">
        <f t="shared" si="16"/>
        <v>3.2060227965904868</v>
      </c>
      <c r="AD186" s="202">
        <f>IF($G186="F",0,'Model Data Inputs'!$B$147)</f>
        <v>1.1000000000000001</v>
      </c>
      <c r="AE186" s="202">
        <f>IF($G186="F",0,($K186/'Model Data Inputs'!$B$148)*'Model Data Inputs'!$B$149)</f>
        <v>1.6164799999999999</v>
      </c>
      <c r="AF186" s="202">
        <f>IF($G186="F",0,($O186/'Model Data Inputs'!$B$150)*'Model Data Inputs'!$B$151)</f>
        <v>0.37902799999999998</v>
      </c>
      <c r="AG186" s="202">
        <f>IF($G186="F",0,(($Q186*$T186)/'Model Data Inputs'!$B$152)*'Model Data Inputs'!$B$153)</f>
        <v>0.68220587596726912</v>
      </c>
      <c r="AH186" s="202">
        <f t="shared" si="17"/>
        <v>0.9444284689918172</v>
      </c>
      <c r="AI186" s="203">
        <f>IF(OR($G186="F",$F186="M",$F186="H"),0,($AH186*'Model Data Inputs'!$B$154)-$AH186)</f>
        <v>0</v>
      </c>
      <c r="AJ186" s="202">
        <f>IF(OR($G186="F",$F186="E",$F186="H"),0,($AH186*'Model Data Inputs'!$B$155)-$AH186)</f>
        <v>0</v>
      </c>
      <c r="AK186" s="203">
        <f>IF(OR($G186="F",$F186="E",$F186="M"),0,($AH186*'Model Data Inputs'!$B$156)-$AH186)</f>
        <v>0.9444284689918172</v>
      </c>
      <c r="AL186" s="203">
        <f>IF($G186="F",0,IF($M186&lt;'Model Data Inputs'!$B$158,$AH186*('Model Data Inputs'!$B$159-1),0))</f>
        <v>0</v>
      </c>
      <c r="AM186" s="202">
        <f>IF($G186="F",0,IF($M186&gt;'Model Data Inputs'!$B$160,$AH186*('Model Data Inputs'!$B$161-1),0))</f>
        <v>0</v>
      </c>
      <c r="AN186" s="202">
        <f>IF($G186="F",0,IF($P186&lt;'Model Data Inputs'!$B$162,SUM($AH186,$AI186,$AJ186,$AK186,$AL186,$AM186)*('Model Data Inputs'!$B$163-1),0))</f>
        <v>0</v>
      </c>
      <c r="AO186" s="202">
        <f t="shared" si="18"/>
        <v>1.8888569379836344</v>
      </c>
      <c r="AP186" s="204">
        <f>$K186*'Model Data Inputs'!$B$166</f>
        <v>54152.08</v>
      </c>
      <c r="AQ186" s="204">
        <f>($K186*'Model Data Inputs'!$B$145)*'Model Data Inputs'!$B$166</f>
        <v>5415.2080000000005</v>
      </c>
      <c r="AR186" s="50">
        <f t="shared" si="19"/>
        <v>59567.288</v>
      </c>
    </row>
    <row r="187" spans="1:44" x14ac:dyDescent="0.2">
      <c r="A187" s="227" t="str">
        <f>'School Level Inst. Resources'!A187</f>
        <v>1102000</v>
      </c>
      <c r="B187" s="227" t="str">
        <f>'School Level Inst. Resources'!B187</f>
        <v>Laramie #2</v>
      </c>
      <c r="C187" s="227" t="str">
        <f>'School Level Inst. Resources'!C187</f>
        <v>1102057</v>
      </c>
      <c r="D187" s="227" t="str">
        <f>'School Level Inst. Resources'!D187</f>
        <v>Pine Bluffs Jr &amp; Sr High School</v>
      </c>
      <c r="E187" s="228" t="str">
        <f>'School Level Inst. Resources'!E187</f>
        <v>7-12</v>
      </c>
      <c r="F187" s="229" t="str">
        <f>'School Level Inst. Resources'!H187</f>
        <v>H</v>
      </c>
      <c r="G187" s="229" t="s">
        <v>1158</v>
      </c>
      <c r="H187" s="207">
        <v>75748</v>
      </c>
      <c r="I187" s="207">
        <f>IF('SFD Allowable GSF Calculation'!$D$2=1,'SFD Allowable GSF Calculation'!$P187,'SFD Allowable GSF Calculation'!$X187)</f>
        <v>60427</v>
      </c>
      <c r="J187" s="194">
        <f>$I187*'Model Data Inputs'!$B$165</f>
        <v>69491.049999999988</v>
      </c>
      <c r="K187" s="194">
        <f>IF($L187&gt;='Model Data Inputs'!$B$164,$H187,MIN($H187,$J187))</f>
        <v>69491.049999999988</v>
      </c>
      <c r="L187" s="208">
        <v>1997</v>
      </c>
      <c r="M187" s="196">
        <f>IF($L187&gt;0,'Model Data Inputs'!$B$157-$L187,"")</f>
        <v>20</v>
      </c>
      <c r="N187" s="209">
        <v>27</v>
      </c>
      <c r="O187" s="198">
        <f>'School Level Inst. Resources'!$L187</f>
        <v>178.285</v>
      </c>
      <c r="P187" s="198">
        <f>IF($G187="T",SUMIFS('School Level ADM'!$S$5:$S$359,'School Level ADM'!$A$5:$A$359,$A187),0)</f>
        <v>1035.2350000000001</v>
      </c>
      <c r="Q187" s="199">
        <f t="shared" si="20"/>
        <v>0.17221693625118931</v>
      </c>
      <c r="R187" s="200">
        <f>SUM((('School Level Inst. Resources'!I187/'Model Data Inputs'!$B$8)*(1+'Model Data Inputs'!$B$9)),(SUM('School Level Inst. Resources'!J187:K187)/'Model Data Inputs'!$C$8)*(1+'Model Data Inputs'!$C$9),'School Level Inst. Resources'!K187/400)</f>
        <v>10.638128478260869</v>
      </c>
      <c r="S187" s="200">
        <f t="shared" si="21"/>
        <v>10.638128478260869</v>
      </c>
      <c r="T187" s="201">
        <f>IF($G187="T",VLOOKUP($A187,'Total O &amp; M Resources'!$A$5:$K$52,3),0)</f>
        <v>10092882.539999999</v>
      </c>
      <c r="U187" s="202">
        <f>IF($G187="F",0,$S187/'Model Data Inputs'!$B$140)</f>
        <v>0.81831757525083604</v>
      </c>
      <c r="V187" s="202">
        <f>IF($G187="F",0,$O187/'Model Data Inputs'!$B$141)</f>
        <v>0.54856923076923081</v>
      </c>
      <c r="W187" s="202">
        <f>IF($G187="F",0,$N187/'Model Data Inputs'!$B$142)</f>
        <v>2.0769230769230771</v>
      </c>
      <c r="X187" s="202">
        <f>IF($G187="F",0,$K187/'Model Data Inputs'!$B$143)</f>
        <v>3.8606138888888881</v>
      </c>
      <c r="Y187" s="202">
        <f t="shared" si="15"/>
        <v>1.826105942958008</v>
      </c>
      <c r="Z187" s="202">
        <f>IF(OR($G187="F",$F187="E"),0,'Model Data Inputs'!$B$144)</f>
        <v>0.5</v>
      </c>
      <c r="AA187" s="202">
        <f>IF(AND($O187&lt;='Model Data Inputs'!$B$139,$F187="E"),0,IF(AND($O187&lt;='Model Data Inputs'!$B$139,$F187="M"),0,IF(AND($O187&lt;='Model Data Inputs'!$B$139,$F187="H"),0,IF(SUM($Y187:$Z187)&lt;1,1,SUM($Y187:$Z187)))))</f>
        <v>2.3261059429580078</v>
      </c>
      <c r="AB187" s="202">
        <f>($K187/'Model Data Inputs'!$B$143)*'Model Data Inputs'!$B$145</f>
        <v>0.38606138888888886</v>
      </c>
      <c r="AC187" s="202">
        <f t="shared" si="16"/>
        <v>2.7121673318468966</v>
      </c>
      <c r="AD187" s="202">
        <f>IF($G187="F",0,'Model Data Inputs'!$B$147)</f>
        <v>1.1000000000000001</v>
      </c>
      <c r="AE187" s="202">
        <f>IF($G187="F",0,($K187/'Model Data Inputs'!$B$148)*'Model Data Inputs'!$B$149)</f>
        <v>1.3898209999999998</v>
      </c>
      <c r="AF187" s="202">
        <f>IF($G187="F",0,($O187/'Model Data Inputs'!$B$150)*'Model Data Inputs'!$B$151)</f>
        <v>0.23177050000000002</v>
      </c>
      <c r="AG187" s="202">
        <f>IF($G187="F",0,(($Q187*$T187)/'Model Data Inputs'!$B$152)*'Model Data Inputs'!$B$153)</f>
        <v>0.41715967415566119</v>
      </c>
      <c r="AH187" s="202">
        <f t="shared" si="17"/>
        <v>0.78468779353891538</v>
      </c>
      <c r="AI187" s="203">
        <f>IF(OR($G187="F",$F187="M",$F187="H"),0,($AH187*'Model Data Inputs'!$B$154)-$AH187)</f>
        <v>0</v>
      </c>
      <c r="AJ187" s="202">
        <f>IF(OR($G187="F",$F187="E",$F187="H"),0,($AH187*'Model Data Inputs'!$B$155)-$AH187)</f>
        <v>0</v>
      </c>
      <c r="AK187" s="203">
        <f>IF(OR($G187="F",$F187="E",$F187="M"),0,($AH187*'Model Data Inputs'!$B$156)-$AH187)</f>
        <v>0.78468779353891538</v>
      </c>
      <c r="AL187" s="203">
        <f>IF($G187="F",0,IF($M187&lt;'Model Data Inputs'!$B$158,$AH187*('Model Data Inputs'!$B$159-1),0))</f>
        <v>0</v>
      </c>
      <c r="AM187" s="202">
        <f>IF($G187="F",0,IF($M187&gt;'Model Data Inputs'!$B$160,$AH187*('Model Data Inputs'!$B$161-1),0))</f>
        <v>0</v>
      </c>
      <c r="AN187" s="202">
        <f>IF($G187="F",0,IF($P187&lt;'Model Data Inputs'!$B$162,SUM($AH187,$AI187,$AJ187,$AK187,$AL187,$AM187)*('Model Data Inputs'!$B$163-1),0))</f>
        <v>0</v>
      </c>
      <c r="AO187" s="202">
        <f t="shared" si="18"/>
        <v>1.5693755870778308</v>
      </c>
      <c r="AP187" s="204">
        <f>$K187*'Model Data Inputs'!$B$166</f>
        <v>46559.003499999992</v>
      </c>
      <c r="AQ187" s="204">
        <f>($K187*'Model Data Inputs'!$B$145)*'Model Data Inputs'!$B$166</f>
        <v>4655.9003499999999</v>
      </c>
      <c r="AR187" s="50">
        <f t="shared" si="19"/>
        <v>51214.903849999988</v>
      </c>
    </row>
    <row r="188" spans="1:44" x14ac:dyDescent="0.2">
      <c r="A188" s="227" t="str">
        <f>'School Level Inst. Resources'!A188</f>
        <v>1201000</v>
      </c>
      <c r="B188" s="227" t="str">
        <f>'School Level Inst. Resources'!B188</f>
        <v>Lincoln #1</v>
      </c>
      <c r="C188" s="227" t="str">
        <f>'School Level Inst. Resources'!C188</f>
        <v>1201004</v>
      </c>
      <c r="D188" s="227" t="str">
        <f>'School Level Inst. Resources'!D188</f>
        <v>Kemmerer Elementary</v>
      </c>
      <c r="E188" s="228" t="str">
        <f>'School Level Inst. Resources'!E188</f>
        <v>K-2</v>
      </c>
      <c r="F188" s="229" t="str">
        <f>'School Level Inst. Resources'!H188</f>
        <v>E</v>
      </c>
      <c r="G188" s="229" t="s">
        <v>1158</v>
      </c>
      <c r="H188" s="207">
        <v>39249</v>
      </c>
      <c r="I188" s="207">
        <f>IF('SFD Allowable GSF Calculation'!$D$2=1,'SFD Allowable GSF Calculation'!$P188,'SFD Allowable GSF Calculation'!$X188)</f>
        <v>27211</v>
      </c>
      <c r="J188" s="194">
        <f>$I188*'Model Data Inputs'!$B$165</f>
        <v>31292.649999999998</v>
      </c>
      <c r="K188" s="194">
        <f>IF($L188&gt;='Model Data Inputs'!$B$164,$H188,MIN($H188,$J188))</f>
        <v>31292.649999999998</v>
      </c>
      <c r="L188" s="208">
        <v>1972</v>
      </c>
      <c r="M188" s="196">
        <f>IF($L188&gt;0,'Model Data Inputs'!$B$157-$L188,"")</f>
        <v>45</v>
      </c>
      <c r="N188" s="209">
        <v>16</v>
      </c>
      <c r="O188" s="198">
        <f>'School Level Inst. Resources'!$L188</f>
        <v>145.78</v>
      </c>
      <c r="P188" s="198">
        <f>IF($G188="T",SUMIFS('School Level ADM'!$S$5:$S$359,'School Level ADM'!$A$5:$A$359,$A188),0)</f>
        <v>603.80499999999995</v>
      </c>
      <c r="Q188" s="199">
        <f t="shared" si="20"/>
        <v>0.24143556280587278</v>
      </c>
      <c r="R188" s="200">
        <f>SUM((('School Level Inst. Resources'!I188/'Model Data Inputs'!$B$8)*(1+'Model Data Inputs'!$B$9)),(SUM('School Level Inst. Resources'!J188:K188)/'Model Data Inputs'!$C$8)*(1+'Model Data Inputs'!$C$9),'School Level Inst. Resources'!K188/400)</f>
        <v>9.7186666666666657</v>
      </c>
      <c r="S188" s="200">
        <f t="shared" si="21"/>
        <v>9.7186666666666657</v>
      </c>
      <c r="T188" s="201">
        <f>IF($G188="T",VLOOKUP($A188,'Total O &amp; M Resources'!$A$5:$K$52,3),0)</f>
        <v>7383118.8600000013</v>
      </c>
      <c r="U188" s="202">
        <f>IF($G188="F",0,$S188/'Model Data Inputs'!$B$140)</f>
        <v>0.74758974358974351</v>
      </c>
      <c r="V188" s="202">
        <f>IF($G188="F",0,$O188/'Model Data Inputs'!$B$141)</f>
        <v>0.44855384615384614</v>
      </c>
      <c r="W188" s="202">
        <f>IF($G188="F",0,$N188/'Model Data Inputs'!$B$142)</f>
        <v>1.2307692307692308</v>
      </c>
      <c r="X188" s="202">
        <f>IF($G188="F",0,$K188/'Model Data Inputs'!$B$143)</f>
        <v>1.7384805555555554</v>
      </c>
      <c r="Y188" s="202">
        <f t="shared" si="15"/>
        <v>1.0413483440170941</v>
      </c>
      <c r="Z188" s="202">
        <f>IF(OR($G188="F",$F188="E"),0,'Model Data Inputs'!$B$144)</f>
        <v>0</v>
      </c>
      <c r="AA188" s="202">
        <f>IF(AND($O188&lt;='Model Data Inputs'!$B$139,$F188="E"),0,IF(AND($O188&lt;='Model Data Inputs'!$B$139,$F188="M"),0,IF(AND($O188&lt;='Model Data Inputs'!$B$139,$F188="H"),0,IF(SUM($Y188:$Z188)&lt;1,1,SUM($Y188:$Z188)))))</f>
        <v>1.0413483440170941</v>
      </c>
      <c r="AB188" s="202">
        <f>($K188/'Model Data Inputs'!$B$143)*'Model Data Inputs'!$B$145</f>
        <v>0.17384805555555555</v>
      </c>
      <c r="AC188" s="202">
        <f t="shared" si="16"/>
        <v>1.2151963995726496</v>
      </c>
      <c r="AD188" s="202">
        <f>IF($G188="F",0,'Model Data Inputs'!$B$147)</f>
        <v>1.1000000000000001</v>
      </c>
      <c r="AE188" s="202">
        <f>IF($G188="F",0,($K188/'Model Data Inputs'!$B$148)*'Model Data Inputs'!$B$149)</f>
        <v>0.62585299999999988</v>
      </c>
      <c r="AF188" s="202">
        <f>IF($G188="F",0,($O188/'Model Data Inputs'!$B$150)*'Model Data Inputs'!$B$151)</f>
        <v>0.18951399999999999</v>
      </c>
      <c r="AG188" s="202">
        <f>IF($G188="F",0,(($Q188*$T188)/'Model Data Inputs'!$B$152)*'Model Data Inputs'!$B$153)</f>
        <v>0.42781138973442095</v>
      </c>
      <c r="AH188" s="202">
        <f t="shared" si="17"/>
        <v>0.58579459743360518</v>
      </c>
      <c r="AI188" s="203">
        <f>IF(OR($G188="F",$F188="M",$F188="H"),0,($AH188*'Model Data Inputs'!$B$154)-$AH188)</f>
        <v>-0.11715891948672102</v>
      </c>
      <c r="AJ188" s="202">
        <f>IF(OR($G188="F",$F188="E",$F188="H"),0,($AH188*'Model Data Inputs'!$B$155)-$AH188)</f>
        <v>0</v>
      </c>
      <c r="AK188" s="203">
        <f>IF(OR($G188="F",$F188="E",$F188="M"),0,($AH188*'Model Data Inputs'!$B$156)-$AH188)</f>
        <v>0</v>
      </c>
      <c r="AL188" s="203">
        <f>IF($G188="F",0,IF($M188&lt;'Model Data Inputs'!$B$158,$AH188*('Model Data Inputs'!$B$159-1),0))</f>
        <v>0</v>
      </c>
      <c r="AM188" s="202">
        <f>IF($G188="F",0,IF($M188&gt;'Model Data Inputs'!$B$160,$AH188*('Model Data Inputs'!$B$161-1),0))</f>
        <v>5.8579459743360568E-2</v>
      </c>
      <c r="AN188" s="202">
        <f>IF($G188="F",0,IF($P188&lt;'Model Data Inputs'!$B$162,SUM($AH188,$AI188,$AJ188,$AK188,$AL188,$AM188)*('Model Data Inputs'!$B$163-1),0))</f>
        <v>5.2721513769024522E-2</v>
      </c>
      <c r="AO188" s="202">
        <f t="shared" si="18"/>
        <v>0.57993665145926931</v>
      </c>
      <c r="AP188" s="204">
        <f>$K188*'Model Data Inputs'!$B$166</f>
        <v>20966.075499999999</v>
      </c>
      <c r="AQ188" s="204">
        <f>($K188*'Model Data Inputs'!$B$145)*'Model Data Inputs'!$B$166</f>
        <v>2096.6075500000002</v>
      </c>
      <c r="AR188" s="50">
        <f t="shared" si="19"/>
        <v>23062.68305</v>
      </c>
    </row>
    <row r="189" spans="1:44" x14ac:dyDescent="0.2">
      <c r="A189" s="227" t="str">
        <f>'School Level Inst. Resources'!A189</f>
        <v>1201000</v>
      </c>
      <c r="B189" s="227" t="str">
        <f>'School Level Inst. Resources'!B189</f>
        <v>Lincoln #1</v>
      </c>
      <c r="C189" s="227" t="str">
        <f>'School Level Inst. Resources'!C189</f>
        <v>1201051</v>
      </c>
      <c r="D189" s="227" t="str">
        <f>'School Level Inst. Resources'!D189</f>
        <v>Canyon Elementary School</v>
      </c>
      <c r="E189" s="228" t="str">
        <f>'School Level Inst. Resources'!E189</f>
        <v>3-6</v>
      </c>
      <c r="F189" s="229" t="str">
        <f>'School Level Inst. Resources'!H189</f>
        <v>E</v>
      </c>
      <c r="G189" s="229" t="s">
        <v>1158</v>
      </c>
      <c r="H189" s="207">
        <v>77431</v>
      </c>
      <c r="I189" s="207">
        <f>IF('SFD Allowable GSF Calculation'!$D$2=1,'SFD Allowable GSF Calculation'!$P189,'SFD Allowable GSF Calculation'!$X189)</f>
        <v>31816</v>
      </c>
      <c r="J189" s="194">
        <f>$I189*'Model Data Inputs'!$B$165</f>
        <v>36588.399999999994</v>
      </c>
      <c r="K189" s="194">
        <f>IF($L189&gt;='Model Data Inputs'!$B$164,$H189,MIN($H189,$J189))</f>
        <v>36588.399999999994</v>
      </c>
      <c r="L189" s="208">
        <v>1983</v>
      </c>
      <c r="M189" s="196">
        <f>IF($L189&gt;0,'Model Data Inputs'!$B$157-$L189,"")</f>
        <v>34</v>
      </c>
      <c r="N189" s="209">
        <v>28</v>
      </c>
      <c r="O189" s="198">
        <f>'School Level Inst. Resources'!$L189</f>
        <v>197</v>
      </c>
      <c r="P189" s="198">
        <f>IF($G189="T",SUMIFS('School Level ADM'!$S$5:$S$359,'School Level ADM'!$A$5:$A$359,$A189),0)</f>
        <v>603.80499999999995</v>
      </c>
      <c r="Q189" s="199">
        <f t="shared" si="20"/>
        <v>0.32626427406199021</v>
      </c>
      <c r="R189" s="200">
        <f>SUM((('School Level Inst. Resources'!I189/'Model Data Inputs'!$B$8)*(1+'Model Data Inputs'!$B$9)),(SUM('School Level Inst. Resources'!J189:K189)/'Model Data Inputs'!$C$8)*(1+'Model Data Inputs'!$C$9),'School Level Inst. Resources'!K189/400)</f>
        <v>13.133333333333333</v>
      </c>
      <c r="S189" s="200">
        <f t="shared" si="21"/>
        <v>13.133333333333333</v>
      </c>
      <c r="T189" s="201">
        <f>IF($G189="T",VLOOKUP($A189,'Total O &amp; M Resources'!$A$5:$K$52,3),0)</f>
        <v>7383118.8600000013</v>
      </c>
      <c r="U189" s="202">
        <f>IF($G189="F",0,$S189/'Model Data Inputs'!$B$140)</f>
        <v>1.0102564102564102</v>
      </c>
      <c r="V189" s="202">
        <f>IF($G189="F",0,$O189/'Model Data Inputs'!$B$141)</f>
        <v>0.60615384615384615</v>
      </c>
      <c r="W189" s="202">
        <f>IF($G189="F",0,$N189/'Model Data Inputs'!$B$142)</f>
        <v>2.1538461538461537</v>
      </c>
      <c r="X189" s="202">
        <f>IF($G189="F",0,$K189/'Model Data Inputs'!$B$143)</f>
        <v>2.0326888888888885</v>
      </c>
      <c r="Y189" s="202">
        <f t="shared" si="15"/>
        <v>1.4507363247863245</v>
      </c>
      <c r="Z189" s="202">
        <f>IF(OR($G189="F",$F189="E"),0,'Model Data Inputs'!$B$144)</f>
        <v>0</v>
      </c>
      <c r="AA189" s="202">
        <f>IF(AND($O189&lt;='Model Data Inputs'!$B$139,$F189="E"),0,IF(AND($O189&lt;='Model Data Inputs'!$B$139,$F189="M"),0,IF(AND($O189&lt;='Model Data Inputs'!$B$139,$F189="H"),0,IF(SUM($Y189:$Z189)&lt;1,1,SUM($Y189:$Z189)))))</f>
        <v>1.4507363247863245</v>
      </c>
      <c r="AB189" s="202">
        <f>($K189/'Model Data Inputs'!$B$143)*'Model Data Inputs'!$B$145</f>
        <v>0.20326888888888886</v>
      </c>
      <c r="AC189" s="202">
        <f t="shared" si="16"/>
        <v>1.6540052136752135</v>
      </c>
      <c r="AD189" s="202">
        <f>IF($G189="F",0,'Model Data Inputs'!$B$147)</f>
        <v>1.1000000000000001</v>
      </c>
      <c r="AE189" s="202">
        <f>IF($G189="F",0,($K189/'Model Data Inputs'!$B$148)*'Model Data Inputs'!$B$149)</f>
        <v>0.73176799999999986</v>
      </c>
      <c r="AF189" s="202">
        <f>IF($G189="F",0,($O189/'Model Data Inputs'!$B$150)*'Model Data Inputs'!$B$151)</f>
        <v>0.25609999999999999</v>
      </c>
      <c r="AG189" s="202">
        <f>IF($G189="F",0,(($Q189*$T189)/'Model Data Inputs'!$B$152)*'Model Data Inputs'!$B$153)</f>
        <v>0.57812349964110943</v>
      </c>
      <c r="AH189" s="202">
        <f t="shared" si="17"/>
        <v>0.66649787491027734</v>
      </c>
      <c r="AI189" s="203">
        <f>IF(OR($G189="F",$F189="M",$F189="H"),0,($AH189*'Model Data Inputs'!$B$154)-$AH189)</f>
        <v>-0.13329957498205547</v>
      </c>
      <c r="AJ189" s="202">
        <f>IF(OR($G189="F",$F189="E",$F189="H"),0,($AH189*'Model Data Inputs'!$B$155)-$AH189)</f>
        <v>0</v>
      </c>
      <c r="AK189" s="203">
        <f>IF(OR($G189="F",$F189="E",$F189="M"),0,($AH189*'Model Data Inputs'!$B$156)-$AH189)</f>
        <v>0</v>
      </c>
      <c r="AL189" s="203">
        <f>IF($G189="F",0,IF($M189&lt;'Model Data Inputs'!$B$158,$AH189*('Model Data Inputs'!$B$159-1),0))</f>
        <v>0</v>
      </c>
      <c r="AM189" s="202">
        <f>IF($G189="F",0,IF($M189&gt;'Model Data Inputs'!$B$160,$AH189*('Model Data Inputs'!$B$161-1),0))</f>
        <v>6.664978749102779E-2</v>
      </c>
      <c r="AN189" s="202">
        <f>IF($G189="F",0,IF($P189&lt;'Model Data Inputs'!$B$162,SUM($AH189,$AI189,$AJ189,$AK189,$AL189,$AM189)*('Model Data Inputs'!$B$163-1),0))</f>
        <v>5.9984808741925022E-2</v>
      </c>
      <c r="AO189" s="202">
        <f t="shared" si="18"/>
        <v>0.65983289616117469</v>
      </c>
      <c r="AP189" s="204">
        <f>$K189*'Model Data Inputs'!$B$166</f>
        <v>24514.227999999999</v>
      </c>
      <c r="AQ189" s="204">
        <f>($K189*'Model Data Inputs'!$B$145)*'Model Data Inputs'!$B$166</f>
        <v>2451.4227999999998</v>
      </c>
      <c r="AR189" s="50">
        <f t="shared" si="19"/>
        <v>26965.650799999999</v>
      </c>
    </row>
    <row r="190" spans="1:44" x14ac:dyDescent="0.2">
      <c r="A190" s="227" t="str">
        <f>'School Level Inst. Resources'!A190</f>
        <v>1201000</v>
      </c>
      <c r="B190" s="227" t="str">
        <f>'School Level Inst. Resources'!B190</f>
        <v>Lincoln #1</v>
      </c>
      <c r="C190" s="227" t="str">
        <f>'School Level Inst. Resources'!C190</f>
        <v>1201056</v>
      </c>
      <c r="D190" s="227" t="str">
        <f>'School Level Inst. Resources'!D190</f>
        <v>New Frontier High School</v>
      </c>
      <c r="E190" s="228" t="str">
        <f>'School Level Inst. Resources'!E190</f>
        <v>7-12</v>
      </c>
      <c r="F190" s="229" t="str">
        <f>'School Level Inst. Resources'!H190</f>
        <v>H</v>
      </c>
      <c r="G190" s="229" t="s">
        <v>1158</v>
      </c>
      <c r="H190" s="207">
        <v>3536</v>
      </c>
      <c r="I190" s="207">
        <f>IF('SFD Allowable GSF Calculation'!$D$2=1,'SFD Allowable GSF Calculation'!$P190,'SFD Allowable GSF Calculation'!$X190)</f>
        <v>11843</v>
      </c>
      <c r="J190" s="194">
        <f>$I190*'Model Data Inputs'!$B$165</f>
        <v>13619.449999999999</v>
      </c>
      <c r="K190" s="194">
        <f>IF($L190&gt;='Model Data Inputs'!$B$164,$H190,MIN($H190,$J190))</f>
        <v>3536</v>
      </c>
      <c r="L190" s="208">
        <v>1980</v>
      </c>
      <c r="M190" s="196">
        <f>IF($L190&gt;0,'Model Data Inputs'!$B$157-$L190,"")</f>
        <v>37</v>
      </c>
      <c r="N190" s="209">
        <v>4</v>
      </c>
      <c r="O190" s="198">
        <f>'School Level Inst. Resources'!$L190</f>
        <v>16.745000000000001</v>
      </c>
      <c r="P190" s="198">
        <f>IF($G190="T",SUMIFS('School Level ADM'!$S$5:$S$359,'School Level ADM'!$A$5:$A$359,$A190),0)</f>
        <v>603.80499999999995</v>
      </c>
      <c r="Q190" s="199">
        <f t="shared" si="20"/>
        <v>2.7732463295269173E-2</v>
      </c>
      <c r="R190" s="200">
        <f>SUM((('School Level Inst. Resources'!I190/'Model Data Inputs'!$B$8)*(1+'Model Data Inputs'!$B$9)),(SUM('School Level Inst. Resources'!J190:K190)/'Model Data Inputs'!$C$8)*(1+'Model Data Inputs'!$C$9),'School Level Inst. Resources'!K190/400)</f>
        <v>1.012344456521739</v>
      </c>
      <c r="S190" s="200">
        <f t="shared" si="21"/>
        <v>1.012344456521739</v>
      </c>
      <c r="T190" s="201">
        <f>IF($G190="T",VLOOKUP($A190,'Total O &amp; M Resources'!$A$5:$K$52,3),0)</f>
        <v>7383118.8600000013</v>
      </c>
      <c r="U190" s="202">
        <f>IF($G190="F",0,$S190/'Model Data Inputs'!$B$140)</f>
        <v>7.7872650501672233E-2</v>
      </c>
      <c r="V190" s="202">
        <f>IF($G190="F",0,$O190/'Model Data Inputs'!$B$141)</f>
        <v>5.1523076923076928E-2</v>
      </c>
      <c r="W190" s="202">
        <f>IF($G190="F",0,$N190/'Model Data Inputs'!$B$142)</f>
        <v>0.30769230769230771</v>
      </c>
      <c r="X190" s="202">
        <f>IF($G190="F",0,$K190/'Model Data Inputs'!$B$143)</f>
        <v>0.19644444444444445</v>
      </c>
      <c r="Y190" s="202">
        <f t="shared" si="15"/>
        <v>0.15838311989037532</v>
      </c>
      <c r="Z190" s="202">
        <f>IF(OR($G190="F",$F190="E"),0,'Model Data Inputs'!$B$144)</f>
        <v>0.5</v>
      </c>
      <c r="AA190" s="202">
        <f>IF(AND($O190&lt;='Model Data Inputs'!$B$139,$F190="E"),0,IF(AND($O190&lt;='Model Data Inputs'!$B$139,$F190="M"),0,IF(AND($O190&lt;='Model Data Inputs'!$B$139,$F190="H"),0,IF(SUM($Y190:$Z190)&lt;1,1,SUM($Y190:$Z190)))))</f>
        <v>0</v>
      </c>
      <c r="AB190" s="202">
        <f>($K190/'Model Data Inputs'!$B$143)*'Model Data Inputs'!$B$145</f>
        <v>1.9644444444444447E-2</v>
      </c>
      <c r="AC190" s="202">
        <f t="shared" si="16"/>
        <v>1.9644444444444447E-2</v>
      </c>
      <c r="AD190" s="202">
        <f>IF($G190="F",0,'Model Data Inputs'!$B$147)</f>
        <v>1.1000000000000001</v>
      </c>
      <c r="AE190" s="202">
        <f>IF($G190="F",0,($K190/'Model Data Inputs'!$B$148)*'Model Data Inputs'!$B$149)</f>
        <v>7.0719999999999991E-2</v>
      </c>
      <c r="AF190" s="202">
        <f>IF($G190="F",0,($O190/'Model Data Inputs'!$B$150)*'Model Data Inputs'!$B$151)</f>
        <v>2.17685E-2</v>
      </c>
      <c r="AG190" s="202">
        <f>IF($G190="F",0,(($Q190*$T190)/'Model Data Inputs'!$B$152)*'Model Data Inputs'!$B$153)</f>
        <v>4.9140497469494303E-2</v>
      </c>
      <c r="AH190" s="202">
        <f t="shared" si="17"/>
        <v>0.31040724936737357</v>
      </c>
      <c r="AI190" s="203">
        <f>IF(OR($G190="F",$F190="M",$F190="H"),0,($AH190*'Model Data Inputs'!$B$154)-$AH190)</f>
        <v>0</v>
      </c>
      <c r="AJ190" s="202">
        <f>IF(OR($G190="F",$F190="E",$F190="H"),0,($AH190*'Model Data Inputs'!$B$155)-$AH190)</f>
        <v>0</v>
      </c>
      <c r="AK190" s="203">
        <f>IF(OR($G190="F",$F190="E",$F190="M"),0,($AH190*'Model Data Inputs'!$B$156)-$AH190)</f>
        <v>0.31040724936737357</v>
      </c>
      <c r="AL190" s="203">
        <f>IF($G190="F",0,IF($M190&lt;'Model Data Inputs'!$B$158,$AH190*('Model Data Inputs'!$B$159-1),0))</f>
        <v>0</v>
      </c>
      <c r="AM190" s="202">
        <f>IF($G190="F",0,IF($M190&gt;'Model Data Inputs'!$B$160,$AH190*('Model Data Inputs'!$B$161-1),0))</f>
        <v>3.1040724936737384E-2</v>
      </c>
      <c r="AN190" s="202">
        <f>IF($G190="F",0,IF($P190&lt;'Model Data Inputs'!$B$162,SUM($AH190,$AI190,$AJ190,$AK190,$AL190,$AM190)*('Model Data Inputs'!$B$163-1),0))</f>
        <v>6.5185522367148516E-2</v>
      </c>
      <c r="AO190" s="202">
        <f t="shared" si="18"/>
        <v>0.71704074603863299</v>
      </c>
      <c r="AP190" s="204">
        <f>$K190*'Model Data Inputs'!$B$166</f>
        <v>2369.1200000000003</v>
      </c>
      <c r="AQ190" s="204">
        <f>($K190*'Model Data Inputs'!$B$145)*'Model Data Inputs'!$B$166</f>
        <v>236.91200000000003</v>
      </c>
      <c r="AR190" s="50">
        <f t="shared" si="19"/>
        <v>2606.0320000000002</v>
      </c>
    </row>
    <row r="191" spans="1:44" x14ac:dyDescent="0.2">
      <c r="A191" s="227" t="str">
        <f>'School Level Inst. Resources'!A191</f>
        <v>1201000</v>
      </c>
      <c r="B191" s="227" t="str">
        <f>'School Level Inst. Resources'!B191</f>
        <v>Lincoln #1</v>
      </c>
      <c r="C191" s="227" t="str">
        <f>'School Level Inst. Resources'!C191</f>
        <v>1201057</v>
      </c>
      <c r="D191" s="227" t="str">
        <f>'School Level Inst. Resources'!D191</f>
        <v>Kemmerer Junior Senior High School</v>
      </c>
      <c r="E191" s="228" t="str">
        <f>'School Level Inst. Resources'!E191</f>
        <v>7-12</v>
      </c>
      <c r="F191" s="229" t="str">
        <f>'School Level Inst. Resources'!H191</f>
        <v>H</v>
      </c>
      <c r="G191" s="229" t="s">
        <v>1158</v>
      </c>
      <c r="H191" s="207">
        <v>147955</v>
      </c>
      <c r="I191" s="207">
        <f>IF('SFD Allowable GSF Calculation'!$D$2=1,'SFD Allowable GSF Calculation'!$P191,'SFD Allowable GSF Calculation'!$X191)</f>
        <v>70498</v>
      </c>
      <c r="J191" s="194">
        <f>$I191*'Model Data Inputs'!$B$165</f>
        <v>81072.7</v>
      </c>
      <c r="K191" s="194">
        <f>IF($L191&gt;='Model Data Inputs'!$B$164,$H191,MIN($H191,$J191))</f>
        <v>81072.7</v>
      </c>
      <c r="L191" s="208">
        <v>1958</v>
      </c>
      <c r="M191" s="196">
        <f>IF($L191&gt;0,'Model Data Inputs'!$B$157-$L191,"")</f>
        <v>59</v>
      </c>
      <c r="N191" s="209">
        <v>39</v>
      </c>
      <c r="O191" s="198">
        <f>'School Level Inst. Resources'!$L191</f>
        <v>244.28</v>
      </c>
      <c r="P191" s="198">
        <f>IF($G191="T",SUMIFS('School Level ADM'!$S$5:$S$359,'School Level ADM'!$A$5:$A$359,$A191),0)</f>
        <v>603.80499999999995</v>
      </c>
      <c r="Q191" s="199">
        <f t="shared" si="20"/>
        <v>0.40456769983686791</v>
      </c>
      <c r="R191" s="200">
        <f>SUM((('School Level Inst. Resources'!I191/'Model Data Inputs'!$B$8)*(1+'Model Data Inputs'!$B$9)),(SUM('School Level Inst. Resources'!J191:K191)/'Model Data Inputs'!$C$8)*(1+'Model Data Inputs'!$C$9),'School Level Inst. Resources'!K191/400)</f>
        <v>14.509756630434783</v>
      </c>
      <c r="S191" s="200">
        <f t="shared" si="21"/>
        <v>14.509756630434783</v>
      </c>
      <c r="T191" s="201">
        <f>IF($G191="T",VLOOKUP($A191,'Total O &amp; M Resources'!$A$5:$K$52,3),0)</f>
        <v>7383118.8600000013</v>
      </c>
      <c r="U191" s="202">
        <f>IF($G191="F",0,$S191/'Model Data Inputs'!$B$140)</f>
        <v>1.1161351254180603</v>
      </c>
      <c r="V191" s="202">
        <f>IF($G191="F",0,$O191/'Model Data Inputs'!$B$141)</f>
        <v>0.75163076923076921</v>
      </c>
      <c r="W191" s="202">
        <f>IF($G191="F",0,$N191/'Model Data Inputs'!$B$142)</f>
        <v>3</v>
      </c>
      <c r="X191" s="202">
        <f>IF($G191="F",0,$K191/'Model Data Inputs'!$B$143)</f>
        <v>4.5040388888888891</v>
      </c>
      <c r="Y191" s="202">
        <f t="shared" si="15"/>
        <v>2.3429511958844298</v>
      </c>
      <c r="Z191" s="202">
        <f>IF(OR($G191="F",$F191="E"),0,'Model Data Inputs'!$B$144)</f>
        <v>0.5</v>
      </c>
      <c r="AA191" s="202">
        <f>IF(AND($O191&lt;='Model Data Inputs'!$B$139,$F191="E"),0,IF(AND($O191&lt;='Model Data Inputs'!$B$139,$F191="M"),0,IF(AND($O191&lt;='Model Data Inputs'!$B$139,$F191="H"),0,IF(SUM($Y191:$Z191)&lt;1,1,SUM($Y191:$Z191)))))</f>
        <v>2.8429511958844298</v>
      </c>
      <c r="AB191" s="202">
        <f>($K191/'Model Data Inputs'!$B$143)*'Model Data Inputs'!$B$145</f>
        <v>0.45040388888888894</v>
      </c>
      <c r="AC191" s="202">
        <f t="shared" si="16"/>
        <v>3.2933550847733186</v>
      </c>
      <c r="AD191" s="202">
        <f>IF($G191="F",0,'Model Data Inputs'!$B$147)</f>
        <v>1.1000000000000001</v>
      </c>
      <c r="AE191" s="202">
        <f>IF($G191="F",0,($K191/'Model Data Inputs'!$B$148)*'Model Data Inputs'!$B$149)</f>
        <v>1.621454</v>
      </c>
      <c r="AF191" s="202">
        <f>IF($G191="F",0,($O191/'Model Data Inputs'!$B$150)*'Model Data Inputs'!$B$151)</f>
        <v>0.31756400000000001</v>
      </c>
      <c r="AG191" s="202">
        <f>IF($G191="F",0,(($Q191*$T191)/'Model Data Inputs'!$B$152)*'Model Data Inputs'!$B$153)</f>
        <v>0.71687313955497567</v>
      </c>
      <c r="AH191" s="202">
        <f t="shared" si="17"/>
        <v>0.93897278488874392</v>
      </c>
      <c r="AI191" s="203">
        <f>IF(OR($G191="F",$F191="M",$F191="H"),0,($AH191*'Model Data Inputs'!$B$154)-$AH191)</f>
        <v>0</v>
      </c>
      <c r="AJ191" s="202">
        <f>IF(OR($G191="F",$F191="E",$F191="H"),0,($AH191*'Model Data Inputs'!$B$155)-$AH191)</f>
        <v>0</v>
      </c>
      <c r="AK191" s="203">
        <f>IF(OR($G191="F",$F191="E",$F191="M"),0,($AH191*'Model Data Inputs'!$B$156)-$AH191)</f>
        <v>0.93897278488874392</v>
      </c>
      <c r="AL191" s="203">
        <f>IF($G191="F",0,IF($M191&lt;'Model Data Inputs'!$B$158,$AH191*('Model Data Inputs'!$B$159-1),0))</f>
        <v>0</v>
      </c>
      <c r="AM191" s="202">
        <f>IF($G191="F",0,IF($M191&gt;'Model Data Inputs'!$B$160,$AH191*('Model Data Inputs'!$B$161-1),0))</f>
        <v>9.3897278488874469E-2</v>
      </c>
      <c r="AN191" s="202">
        <f>IF($G191="F",0,IF($P191&lt;'Model Data Inputs'!$B$162,SUM($AH191,$AI191,$AJ191,$AK191,$AL191,$AM191)*('Model Data Inputs'!$B$163-1),0))</f>
        <v>0.19718428482663641</v>
      </c>
      <c r="AO191" s="202">
        <f t="shared" si="18"/>
        <v>2.1690271330929987</v>
      </c>
      <c r="AP191" s="204">
        <f>$K191*'Model Data Inputs'!$B$166</f>
        <v>54318.709000000003</v>
      </c>
      <c r="AQ191" s="204">
        <f>($K191*'Model Data Inputs'!$B$145)*'Model Data Inputs'!$B$166</f>
        <v>5431.8709000000008</v>
      </c>
      <c r="AR191" s="50">
        <f t="shared" si="19"/>
        <v>59750.579900000004</v>
      </c>
    </row>
    <row r="192" spans="1:44" x14ac:dyDescent="0.2">
      <c r="A192" s="227" t="str">
        <f>'School Level Inst. Resources'!A192</f>
        <v>1202000</v>
      </c>
      <c r="B192" s="227" t="str">
        <f>'School Level Inst. Resources'!B192</f>
        <v>Lincoln #2</v>
      </c>
      <c r="C192" s="227" t="str">
        <f>'School Level Inst. Resources'!C192</f>
        <v>1202001</v>
      </c>
      <c r="D192" s="227" t="str">
        <f>'School Level Inst. Resources'!D192</f>
        <v>Afton Elementary</v>
      </c>
      <c r="E192" s="228" t="str">
        <f>'School Level Inst. Resources'!E192</f>
        <v>K-3</v>
      </c>
      <c r="F192" s="229" t="str">
        <f>'School Level Inst. Resources'!H192</f>
        <v>E</v>
      </c>
      <c r="G192" s="229" t="s">
        <v>1158</v>
      </c>
      <c r="H192" s="207">
        <v>62588</v>
      </c>
      <c r="I192" s="207">
        <f>IF('SFD Allowable GSF Calculation'!$D$2=1,'SFD Allowable GSF Calculation'!$P192,'SFD Allowable GSF Calculation'!$X192)</f>
        <v>58704</v>
      </c>
      <c r="J192" s="194">
        <f>$I192*'Model Data Inputs'!$B$165</f>
        <v>67509.599999999991</v>
      </c>
      <c r="K192" s="194">
        <f>IF($L192&gt;='Model Data Inputs'!$B$164,$H192,MIN($H192,$J192))</f>
        <v>62588</v>
      </c>
      <c r="L192" s="208">
        <v>2011</v>
      </c>
      <c r="M192" s="196">
        <f>IF($L192&gt;0,'Model Data Inputs'!$B$157-$L192,"")</f>
        <v>6</v>
      </c>
      <c r="N192" s="209">
        <v>42</v>
      </c>
      <c r="O192" s="198">
        <f>'School Level Inst. Resources'!$L192</f>
        <v>452.11500000000001</v>
      </c>
      <c r="P192" s="198">
        <f>IF($G192="T",SUMIFS('School Level ADM'!$S$5:$S$359,'School Level ADM'!$A$5:$A$359,$A192),0)</f>
        <v>2839.7550000000006</v>
      </c>
      <c r="Q192" s="199">
        <f t="shared" si="20"/>
        <v>0.15920915712799164</v>
      </c>
      <c r="R192" s="200">
        <f>SUM((('School Level Inst. Resources'!I192/'Model Data Inputs'!$B$8)*(1+'Model Data Inputs'!$B$9)),(SUM('School Level Inst. Resources'!J192:K192)/'Model Data Inputs'!$C$8)*(1+'Model Data Inputs'!$C$9),'School Level Inst. Resources'!K192/400)</f>
        <v>30.140999999999998</v>
      </c>
      <c r="S192" s="200">
        <f t="shared" si="21"/>
        <v>30.140999999999998</v>
      </c>
      <c r="T192" s="201">
        <f>IF($G192="T",VLOOKUP($A192,'Total O &amp; M Resources'!$A$5:$K$52,3),0)</f>
        <v>21352195.02</v>
      </c>
      <c r="U192" s="202">
        <f>IF($G192="F",0,$S192/'Model Data Inputs'!$B$140)</f>
        <v>2.3185384615384614</v>
      </c>
      <c r="V192" s="202">
        <f>IF($G192="F",0,$O192/'Model Data Inputs'!$B$141)</f>
        <v>1.3911230769230769</v>
      </c>
      <c r="W192" s="202">
        <f>IF($G192="F",0,$N192/'Model Data Inputs'!$B$142)</f>
        <v>3.2307692307692308</v>
      </c>
      <c r="X192" s="202">
        <f>IF($G192="F",0,$K192/'Model Data Inputs'!$B$143)</f>
        <v>3.4771111111111113</v>
      </c>
      <c r="Y192" s="202">
        <f t="shared" si="15"/>
        <v>2.6043854700854698</v>
      </c>
      <c r="Z192" s="202">
        <f>IF(OR($G192="F",$F192="E"),0,'Model Data Inputs'!$B$144)</f>
        <v>0</v>
      </c>
      <c r="AA192" s="202">
        <f>IF(AND($O192&lt;='Model Data Inputs'!$B$139,$F192="E"),0,IF(AND($O192&lt;='Model Data Inputs'!$B$139,$F192="M"),0,IF(AND($O192&lt;='Model Data Inputs'!$B$139,$F192="H"),0,IF(SUM($Y192:$Z192)&lt;1,1,SUM($Y192:$Z192)))))</f>
        <v>2.6043854700854698</v>
      </c>
      <c r="AB192" s="202">
        <f>($K192/'Model Data Inputs'!$B$143)*'Model Data Inputs'!$B$145</f>
        <v>0.34771111111111114</v>
      </c>
      <c r="AC192" s="202">
        <f t="shared" si="16"/>
        <v>2.9520965811965811</v>
      </c>
      <c r="AD192" s="202">
        <f>IF($G192="F",0,'Model Data Inputs'!$B$147)</f>
        <v>1.1000000000000001</v>
      </c>
      <c r="AE192" s="202">
        <f>IF($G192="F",0,($K192/'Model Data Inputs'!$B$148)*'Model Data Inputs'!$B$149)</f>
        <v>1.2517599999999998</v>
      </c>
      <c r="AF192" s="202">
        <f>IF($G192="F",0,($O192/'Model Data Inputs'!$B$150)*'Model Data Inputs'!$B$151)</f>
        <v>0.58774950000000004</v>
      </c>
      <c r="AG192" s="202">
        <f>IF($G192="F",0,(($Q192*$T192)/'Model Data Inputs'!$B$152)*'Model Data Inputs'!$B$153)</f>
        <v>0.8158715932720082</v>
      </c>
      <c r="AH192" s="202">
        <f t="shared" si="17"/>
        <v>0.93884527331800194</v>
      </c>
      <c r="AI192" s="203">
        <f>IF(OR($G192="F",$F192="M",$F192="H"),0,($AH192*'Model Data Inputs'!$B$154)-$AH192)</f>
        <v>-0.18776905466360039</v>
      </c>
      <c r="AJ192" s="202">
        <f>IF(OR($G192="F",$F192="E",$F192="H"),0,($AH192*'Model Data Inputs'!$B$155)-$AH192)</f>
        <v>0</v>
      </c>
      <c r="AK192" s="203">
        <f>IF(OR($G192="F",$F192="E",$F192="M"),0,($AH192*'Model Data Inputs'!$B$156)-$AH192)</f>
        <v>0</v>
      </c>
      <c r="AL192" s="203">
        <f>IF($G192="F",0,IF($M192&lt;'Model Data Inputs'!$B$158,$AH192*('Model Data Inputs'!$B$159-1),0))</f>
        <v>-4.6942263665900139E-2</v>
      </c>
      <c r="AM192" s="202">
        <f>IF($G192="F",0,IF($M192&gt;'Model Data Inputs'!$B$160,$AH192*('Model Data Inputs'!$B$161-1),0))</f>
        <v>0</v>
      </c>
      <c r="AN192" s="202">
        <f>IF($G192="F",0,IF($P192&lt;'Model Data Inputs'!$B$162,SUM($AH192,$AI192,$AJ192,$AK192,$AL192,$AM192)*('Model Data Inputs'!$B$163-1),0))</f>
        <v>0</v>
      </c>
      <c r="AO192" s="202">
        <f t="shared" si="18"/>
        <v>0.7041339549885014</v>
      </c>
      <c r="AP192" s="204">
        <f>$K192*'Model Data Inputs'!$B$166</f>
        <v>41933.96</v>
      </c>
      <c r="AQ192" s="204">
        <f>($K192*'Model Data Inputs'!$B$145)*'Model Data Inputs'!$B$166</f>
        <v>4193.3960000000006</v>
      </c>
      <c r="AR192" s="50">
        <f t="shared" si="19"/>
        <v>46127.356</v>
      </c>
    </row>
    <row r="193" spans="1:44" x14ac:dyDescent="0.2">
      <c r="A193" s="227" t="str">
        <f>'School Level Inst. Resources'!A193</f>
        <v>1202000</v>
      </c>
      <c r="B193" s="227" t="str">
        <f>'School Level Inst. Resources'!B193</f>
        <v>Lincoln #2</v>
      </c>
      <c r="C193" s="227" t="str">
        <f>'School Level Inst. Resources'!C193</f>
        <v>1202002</v>
      </c>
      <c r="D193" s="227" t="str">
        <f>'School Level Inst. Resources'!D193</f>
        <v>Cokeville Elementary</v>
      </c>
      <c r="E193" s="228" t="str">
        <f>'School Level Inst. Resources'!E193</f>
        <v>K-6</v>
      </c>
      <c r="F193" s="229" t="str">
        <f>'School Level Inst. Resources'!H193</f>
        <v>E</v>
      </c>
      <c r="G193" s="229" t="s">
        <v>1158</v>
      </c>
      <c r="H193" s="207">
        <v>29317</v>
      </c>
      <c r="I193" s="207">
        <f>IF('SFD Allowable GSF Calculation'!$D$2=1,'SFD Allowable GSF Calculation'!$P193,'SFD Allowable GSF Calculation'!$X193)</f>
        <v>23363</v>
      </c>
      <c r="J193" s="194">
        <f>$I193*'Model Data Inputs'!$B$165</f>
        <v>26867.449999999997</v>
      </c>
      <c r="K193" s="194">
        <f>IF($L193&gt;='Model Data Inputs'!$B$164,$H193,MIN($H193,$J193))</f>
        <v>26867.449999999997</v>
      </c>
      <c r="L193" s="208">
        <v>1984</v>
      </c>
      <c r="M193" s="196">
        <f>IF($L193&gt;0,'Model Data Inputs'!$B$157-$L193,"")</f>
        <v>33</v>
      </c>
      <c r="N193" s="209">
        <v>15</v>
      </c>
      <c r="O193" s="198">
        <f>'School Level Inst. Resources'!$L193</f>
        <v>127.06500000000001</v>
      </c>
      <c r="P193" s="198">
        <f>IF($G193="T",SUMIFS('School Level ADM'!$S$5:$S$359,'School Level ADM'!$A$5:$A$359,$A193),0)</f>
        <v>2839.7550000000006</v>
      </c>
      <c r="Q193" s="199">
        <f t="shared" si="20"/>
        <v>4.4745057232049947E-2</v>
      </c>
      <c r="R193" s="200">
        <f>SUM((('School Level Inst. Resources'!I193/'Model Data Inputs'!$B$8)*(1+'Model Data Inputs'!$B$9)),(SUM('School Level Inst. Resources'!J193:K193)/'Model Data Inputs'!$C$8)*(1+'Model Data Inputs'!$C$9),'School Level Inst. Resources'!K193/400)</f>
        <v>8.4710000000000001</v>
      </c>
      <c r="S193" s="200">
        <f t="shared" si="21"/>
        <v>8.4710000000000001</v>
      </c>
      <c r="T193" s="201">
        <f>IF($G193="T",VLOOKUP($A193,'Total O &amp; M Resources'!$A$5:$K$52,3),0)</f>
        <v>21352195.02</v>
      </c>
      <c r="U193" s="202">
        <f>IF($G193="F",0,$S193/'Model Data Inputs'!$B$140)</f>
        <v>0.6516153846153846</v>
      </c>
      <c r="V193" s="202">
        <f>IF($G193="F",0,$O193/'Model Data Inputs'!$B$141)</f>
        <v>0.39096923076923079</v>
      </c>
      <c r="W193" s="202">
        <f>IF($G193="F",0,$N193/'Model Data Inputs'!$B$142)</f>
        <v>1.1538461538461537</v>
      </c>
      <c r="X193" s="202">
        <f>IF($G193="F",0,$K193/'Model Data Inputs'!$B$143)</f>
        <v>1.4926361111111111</v>
      </c>
      <c r="Y193" s="202">
        <f t="shared" si="15"/>
        <v>0.92226672008547006</v>
      </c>
      <c r="Z193" s="202">
        <f>IF(OR($G193="F",$F193="E"),0,'Model Data Inputs'!$B$144)</f>
        <v>0</v>
      </c>
      <c r="AA193" s="202">
        <f>IF(AND($O193&lt;='Model Data Inputs'!$B$139,$F193="E"),0,IF(AND($O193&lt;='Model Data Inputs'!$B$139,$F193="M"),0,IF(AND($O193&lt;='Model Data Inputs'!$B$139,$F193="H"),0,IF(SUM($Y193:$Z193)&lt;1,1,SUM($Y193:$Z193)))))</f>
        <v>1</v>
      </c>
      <c r="AB193" s="202">
        <f>($K193/'Model Data Inputs'!$B$143)*'Model Data Inputs'!$B$145</f>
        <v>0.14926361111111111</v>
      </c>
      <c r="AC193" s="202">
        <f t="shared" si="16"/>
        <v>1.1492636111111112</v>
      </c>
      <c r="AD193" s="202">
        <f>IF($G193="F",0,'Model Data Inputs'!$B$147)</f>
        <v>1.1000000000000001</v>
      </c>
      <c r="AE193" s="202">
        <f>IF($G193="F",0,($K193/'Model Data Inputs'!$B$148)*'Model Data Inputs'!$B$149)</f>
        <v>0.53734899999999997</v>
      </c>
      <c r="AF193" s="202">
        <f>IF($G193="F",0,($O193/'Model Data Inputs'!$B$150)*'Model Data Inputs'!$B$151)</f>
        <v>0.16518450000000001</v>
      </c>
      <c r="AG193" s="202">
        <f>IF($G193="F",0,(($Q193*$T193)/'Model Data Inputs'!$B$152)*'Model Data Inputs'!$B$153)</f>
        <v>0.22929724516795003</v>
      </c>
      <c r="AH193" s="202">
        <f t="shared" si="17"/>
        <v>0.50795768629198745</v>
      </c>
      <c r="AI193" s="203">
        <f>IF(OR($G193="F",$F193="M",$F193="H"),0,($AH193*'Model Data Inputs'!$B$154)-$AH193)</f>
        <v>-0.10159153725839748</v>
      </c>
      <c r="AJ193" s="202">
        <f>IF(OR($G193="F",$F193="E",$F193="H"),0,($AH193*'Model Data Inputs'!$B$155)-$AH193)</f>
        <v>0</v>
      </c>
      <c r="AK193" s="203">
        <f>IF(OR($G193="F",$F193="E",$F193="M"),0,($AH193*'Model Data Inputs'!$B$156)-$AH193)</f>
        <v>0</v>
      </c>
      <c r="AL193" s="203">
        <f>IF($G193="F",0,IF($M193&lt;'Model Data Inputs'!$B$158,$AH193*('Model Data Inputs'!$B$159-1),0))</f>
        <v>0</v>
      </c>
      <c r="AM193" s="202">
        <f>IF($G193="F",0,IF($M193&gt;'Model Data Inputs'!$B$160,$AH193*('Model Data Inputs'!$B$161-1),0))</f>
        <v>5.0795768629198788E-2</v>
      </c>
      <c r="AN193" s="202">
        <f>IF($G193="F",0,IF($P193&lt;'Model Data Inputs'!$B$162,SUM($AH193,$AI193,$AJ193,$AK193,$AL193,$AM193)*('Model Data Inputs'!$B$163-1),0))</f>
        <v>0</v>
      </c>
      <c r="AO193" s="202">
        <f t="shared" si="18"/>
        <v>0.45716191766278874</v>
      </c>
      <c r="AP193" s="204">
        <f>$K193*'Model Data Inputs'!$B$166</f>
        <v>18001.191500000001</v>
      </c>
      <c r="AQ193" s="204">
        <f>($K193*'Model Data Inputs'!$B$145)*'Model Data Inputs'!$B$166</f>
        <v>1800.11915</v>
      </c>
      <c r="AR193" s="50">
        <f t="shared" si="19"/>
        <v>19801.310649999999</v>
      </c>
    </row>
    <row r="194" spans="1:44" x14ac:dyDescent="0.2">
      <c r="A194" s="227" t="str">
        <f>'School Level Inst. Resources'!A194</f>
        <v>1202000</v>
      </c>
      <c r="B194" s="227" t="str">
        <f>'School Level Inst. Resources'!B194</f>
        <v>Lincoln #2</v>
      </c>
      <c r="C194" s="227" t="str">
        <f>'School Level Inst. Resources'!C194</f>
        <v>1202003</v>
      </c>
      <c r="D194" s="227" t="str">
        <f>'School Level Inst. Resources'!D194</f>
        <v>Thayne Elementary</v>
      </c>
      <c r="E194" s="228" t="str">
        <f>'School Level Inst. Resources'!E194</f>
        <v>K-3</v>
      </c>
      <c r="F194" s="229" t="str">
        <f>'School Level Inst. Resources'!H194</f>
        <v>E</v>
      </c>
      <c r="G194" s="229" t="s">
        <v>1158</v>
      </c>
      <c r="H194" s="207">
        <v>72363</v>
      </c>
      <c r="I194" s="207">
        <f>IF('SFD Allowable GSF Calculation'!$D$2=1,'SFD Allowable GSF Calculation'!$P194,'SFD Allowable GSF Calculation'!$X194)</f>
        <v>52236</v>
      </c>
      <c r="J194" s="194">
        <f>$I194*'Model Data Inputs'!$B$165</f>
        <v>60071.399999999994</v>
      </c>
      <c r="K194" s="194">
        <f>IF($L194&gt;='Model Data Inputs'!$B$164,$H194,MIN($H194,$J194))</f>
        <v>72363</v>
      </c>
      <c r="L194" s="208">
        <v>2009</v>
      </c>
      <c r="M194" s="196">
        <f>IF($L194&gt;0,'Model Data Inputs'!$B$157-$L194,"")</f>
        <v>8</v>
      </c>
      <c r="N194" s="209">
        <v>35</v>
      </c>
      <c r="O194" s="198">
        <f>'School Level Inst. Resources'!$L194</f>
        <v>365.435</v>
      </c>
      <c r="P194" s="198">
        <f>IF($G194="T",SUMIFS('School Level ADM'!$S$5:$S$359,'School Level ADM'!$A$5:$A$359,$A194),0)</f>
        <v>2839.7550000000006</v>
      </c>
      <c r="Q194" s="199">
        <f t="shared" si="20"/>
        <v>0.12868539715574051</v>
      </c>
      <c r="R194" s="200">
        <f>SUM((('School Level Inst. Resources'!I194/'Model Data Inputs'!$B$8)*(1+'Model Data Inputs'!$B$9)),(SUM('School Level Inst. Resources'!J194:K194)/'Model Data Inputs'!$C$8)*(1+'Model Data Inputs'!$C$9),'School Level Inst. Resources'!K194/400)</f>
        <v>24.362333333333332</v>
      </c>
      <c r="S194" s="200">
        <f t="shared" si="21"/>
        <v>24.362333333333332</v>
      </c>
      <c r="T194" s="201">
        <f>IF($G194="T",VLOOKUP($A194,'Total O &amp; M Resources'!$A$5:$K$52,3),0)</f>
        <v>21352195.02</v>
      </c>
      <c r="U194" s="202">
        <f>IF($G194="F",0,$S194/'Model Data Inputs'!$B$140)</f>
        <v>1.8740256410256408</v>
      </c>
      <c r="V194" s="202">
        <f>IF($G194="F",0,$O194/'Model Data Inputs'!$B$141)</f>
        <v>1.1244153846153846</v>
      </c>
      <c r="W194" s="202">
        <f>IF($G194="F",0,$N194/'Model Data Inputs'!$B$142)</f>
        <v>2.6923076923076925</v>
      </c>
      <c r="X194" s="202">
        <f>IF($G194="F",0,$K194/'Model Data Inputs'!$B$143)</f>
        <v>4.0201666666666664</v>
      </c>
      <c r="Y194" s="202">
        <f t="shared" si="15"/>
        <v>2.4277288461538462</v>
      </c>
      <c r="Z194" s="202">
        <f>IF(OR($G194="F",$F194="E"),0,'Model Data Inputs'!$B$144)</f>
        <v>0</v>
      </c>
      <c r="AA194" s="202">
        <f>IF(AND($O194&lt;='Model Data Inputs'!$B$139,$F194="E"),0,IF(AND($O194&lt;='Model Data Inputs'!$B$139,$F194="M"),0,IF(AND($O194&lt;='Model Data Inputs'!$B$139,$F194="H"),0,IF(SUM($Y194:$Z194)&lt;1,1,SUM($Y194:$Z194)))))</f>
        <v>2.4277288461538462</v>
      </c>
      <c r="AB194" s="202">
        <f>($K194/'Model Data Inputs'!$B$143)*'Model Data Inputs'!$B$145</f>
        <v>0.40201666666666669</v>
      </c>
      <c r="AC194" s="202">
        <f t="shared" si="16"/>
        <v>2.8297455128205131</v>
      </c>
      <c r="AD194" s="202">
        <f>IF($G194="F",0,'Model Data Inputs'!$B$147)</f>
        <v>1.1000000000000001</v>
      </c>
      <c r="AE194" s="202">
        <f>IF($G194="F",0,($K194/'Model Data Inputs'!$B$148)*'Model Data Inputs'!$B$149)</f>
        <v>1.44726</v>
      </c>
      <c r="AF194" s="202">
        <f>IF($G194="F",0,($O194/'Model Data Inputs'!$B$150)*'Model Data Inputs'!$B$151)</f>
        <v>0.47506550000000003</v>
      </c>
      <c r="AG194" s="202">
        <f>IF($G194="F",0,(($Q194*$T194)/'Model Data Inputs'!$B$152)*'Model Data Inputs'!$B$153)</f>
        <v>0.6594517671109259</v>
      </c>
      <c r="AH194" s="202">
        <f t="shared" si="17"/>
        <v>0.92044431677773142</v>
      </c>
      <c r="AI194" s="203">
        <f>IF(OR($G194="F",$F194="M",$F194="H"),0,($AH194*'Model Data Inputs'!$B$154)-$AH194)</f>
        <v>-0.1840888633555462</v>
      </c>
      <c r="AJ194" s="202">
        <f>IF(OR($G194="F",$F194="E",$F194="H"),0,($AH194*'Model Data Inputs'!$B$155)-$AH194)</f>
        <v>0</v>
      </c>
      <c r="AK194" s="203">
        <f>IF(OR($G194="F",$F194="E",$F194="M"),0,($AH194*'Model Data Inputs'!$B$156)-$AH194)</f>
        <v>0</v>
      </c>
      <c r="AL194" s="203">
        <f>IF($G194="F",0,IF($M194&lt;'Model Data Inputs'!$B$158,$AH194*('Model Data Inputs'!$B$159-1),0))</f>
        <v>-4.6022215838886611E-2</v>
      </c>
      <c r="AM194" s="202">
        <f>IF($G194="F",0,IF($M194&gt;'Model Data Inputs'!$B$160,$AH194*('Model Data Inputs'!$B$161-1),0))</f>
        <v>0</v>
      </c>
      <c r="AN194" s="202">
        <f>IF($G194="F",0,IF($P194&lt;'Model Data Inputs'!$B$162,SUM($AH194,$AI194,$AJ194,$AK194,$AL194,$AM194)*('Model Data Inputs'!$B$163-1),0))</f>
        <v>0</v>
      </c>
      <c r="AO194" s="202">
        <f t="shared" si="18"/>
        <v>0.69033323758329856</v>
      </c>
      <c r="AP194" s="204">
        <f>$K194*'Model Data Inputs'!$B$166</f>
        <v>48483.210000000006</v>
      </c>
      <c r="AQ194" s="204">
        <f>($K194*'Model Data Inputs'!$B$145)*'Model Data Inputs'!$B$166</f>
        <v>4848.3210000000008</v>
      </c>
      <c r="AR194" s="50">
        <f t="shared" si="19"/>
        <v>53331.53100000001</v>
      </c>
    </row>
    <row r="195" spans="1:44" x14ac:dyDescent="0.2">
      <c r="A195" s="227" t="str">
        <f>'School Level Inst. Resources'!A195</f>
        <v>1202000</v>
      </c>
      <c r="B195" s="227" t="str">
        <f>'School Level Inst. Resources'!B195</f>
        <v>Lincoln #2</v>
      </c>
      <c r="C195" s="227" t="str">
        <f>'School Level Inst. Resources'!C195</f>
        <v>1202004</v>
      </c>
      <c r="D195" s="227" t="str">
        <f>'School Level Inst. Resources'!D195</f>
        <v>Etna Elementary</v>
      </c>
      <c r="E195" s="228" t="str">
        <f>'School Level Inst. Resources'!E195</f>
        <v>4-6</v>
      </c>
      <c r="F195" s="229" t="str">
        <f>'School Level Inst. Resources'!H195</f>
        <v>E</v>
      </c>
      <c r="G195" s="229" t="s">
        <v>1158</v>
      </c>
      <c r="H195" s="207">
        <v>55390</v>
      </c>
      <c r="I195" s="207">
        <f>IF('SFD Allowable GSF Calculation'!$D$2=1,'SFD Allowable GSF Calculation'!$P195,'SFD Allowable GSF Calculation'!$X195)</f>
        <v>42524</v>
      </c>
      <c r="J195" s="194">
        <f>$I195*'Model Data Inputs'!$B$165</f>
        <v>48902.6</v>
      </c>
      <c r="K195" s="194">
        <f>IF($L195&gt;='Model Data Inputs'!$B$164,$H195,MIN($H195,$J195))</f>
        <v>55390</v>
      </c>
      <c r="L195" s="208">
        <v>2009</v>
      </c>
      <c r="M195" s="196">
        <f>IF($L195&gt;0,'Model Data Inputs'!$B$157-$L195,"")</f>
        <v>8</v>
      </c>
      <c r="N195" s="209">
        <v>29</v>
      </c>
      <c r="O195" s="198">
        <f>'School Level Inst. Resources'!$L195</f>
        <v>267.92</v>
      </c>
      <c r="P195" s="198">
        <f>IF($G195="T",SUMIFS('School Level ADM'!$S$5:$S$359,'School Level ADM'!$A$5:$A$359,$A195),0)</f>
        <v>2839.7550000000006</v>
      </c>
      <c r="Q195" s="199">
        <f t="shared" si="20"/>
        <v>9.4346167186958013E-2</v>
      </c>
      <c r="R195" s="200">
        <f>SUM((('School Level Inst. Resources'!I195/'Model Data Inputs'!$B$8)*(1+'Model Data Inputs'!$B$9)),(SUM('School Level Inst. Resources'!J195:K195)/'Model Data Inputs'!$C$8)*(1+'Model Data Inputs'!$C$9),'School Level Inst. Resources'!K195/400)</f>
        <v>17.861333333333334</v>
      </c>
      <c r="S195" s="200">
        <f t="shared" si="21"/>
        <v>17.861333333333334</v>
      </c>
      <c r="T195" s="201">
        <f>IF($G195="T",VLOOKUP($A195,'Total O &amp; M Resources'!$A$5:$K$52,3),0)</f>
        <v>21352195.02</v>
      </c>
      <c r="U195" s="202">
        <f>IF($G195="F",0,$S195/'Model Data Inputs'!$B$140)</f>
        <v>1.373948717948718</v>
      </c>
      <c r="V195" s="202">
        <f>IF($G195="F",0,$O195/'Model Data Inputs'!$B$141)</f>
        <v>0.82436923076923085</v>
      </c>
      <c r="W195" s="202">
        <f>IF($G195="F",0,$N195/'Model Data Inputs'!$B$142)</f>
        <v>2.2307692307692308</v>
      </c>
      <c r="X195" s="202">
        <f>IF($G195="F",0,$K195/'Model Data Inputs'!$B$143)</f>
        <v>3.0772222222222223</v>
      </c>
      <c r="Y195" s="202">
        <f t="shared" si="15"/>
        <v>1.8765773504273504</v>
      </c>
      <c r="Z195" s="202">
        <f>IF(OR($G195="F",$F195="E"),0,'Model Data Inputs'!$B$144)</f>
        <v>0</v>
      </c>
      <c r="AA195" s="202">
        <f>IF(AND($O195&lt;='Model Data Inputs'!$B$139,$F195="E"),0,IF(AND($O195&lt;='Model Data Inputs'!$B$139,$F195="M"),0,IF(AND($O195&lt;='Model Data Inputs'!$B$139,$F195="H"),0,IF(SUM($Y195:$Z195)&lt;1,1,SUM($Y195:$Z195)))))</f>
        <v>1.8765773504273504</v>
      </c>
      <c r="AB195" s="202">
        <f>($K195/'Model Data Inputs'!$B$143)*'Model Data Inputs'!$B$145</f>
        <v>0.30772222222222223</v>
      </c>
      <c r="AC195" s="202">
        <f t="shared" si="16"/>
        <v>2.1842995726495724</v>
      </c>
      <c r="AD195" s="202">
        <f>IF($G195="F",0,'Model Data Inputs'!$B$147)</f>
        <v>1.1000000000000001</v>
      </c>
      <c r="AE195" s="202">
        <f>IF($G195="F",0,($K195/'Model Data Inputs'!$B$148)*'Model Data Inputs'!$B$149)</f>
        <v>1.1077999999999999</v>
      </c>
      <c r="AF195" s="202">
        <f>IF($G195="F",0,($O195/'Model Data Inputs'!$B$150)*'Model Data Inputs'!$B$151)</f>
        <v>0.34829599999999999</v>
      </c>
      <c r="AG195" s="202">
        <f>IF($G195="F",0,(($Q195*$T195)/'Model Data Inputs'!$B$152)*'Model Data Inputs'!$B$153)</f>
        <v>0.48347946267970848</v>
      </c>
      <c r="AH195" s="202">
        <f t="shared" si="17"/>
        <v>0.759893865669927</v>
      </c>
      <c r="AI195" s="203">
        <f>IF(OR($G195="F",$F195="M",$F195="H"),0,($AH195*'Model Data Inputs'!$B$154)-$AH195)</f>
        <v>-0.15197877313398533</v>
      </c>
      <c r="AJ195" s="202">
        <f>IF(OR($G195="F",$F195="E",$F195="H"),0,($AH195*'Model Data Inputs'!$B$155)-$AH195)</f>
        <v>0</v>
      </c>
      <c r="AK195" s="203">
        <f>IF(OR($G195="F",$F195="E",$F195="M"),0,($AH195*'Model Data Inputs'!$B$156)-$AH195)</f>
        <v>0</v>
      </c>
      <c r="AL195" s="203">
        <f>IF($G195="F",0,IF($M195&lt;'Model Data Inputs'!$B$158,$AH195*('Model Data Inputs'!$B$159-1),0))</f>
        <v>-3.7994693283496382E-2</v>
      </c>
      <c r="AM195" s="202">
        <f>IF($G195="F",0,IF($M195&gt;'Model Data Inputs'!$B$160,$AH195*('Model Data Inputs'!$B$161-1),0))</f>
        <v>0</v>
      </c>
      <c r="AN195" s="202">
        <f>IF($G195="F",0,IF($P195&lt;'Model Data Inputs'!$B$162,SUM($AH195,$AI195,$AJ195,$AK195,$AL195,$AM195)*('Model Data Inputs'!$B$163-1),0))</f>
        <v>0</v>
      </c>
      <c r="AO195" s="202">
        <f t="shared" si="18"/>
        <v>0.56992039925244531</v>
      </c>
      <c r="AP195" s="204">
        <f>$K195*'Model Data Inputs'!$B$166</f>
        <v>37111.300000000003</v>
      </c>
      <c r="AQ195" s="204">
        <f>($K195*'Model Data Inputs'!$B$145)*'Model Data Inputs'!$B$166</f>
        <v>3711.13</v>
      </c>
      <c r="AR195" s="50">
        <f t="shared" si="19"/>
        <v>40822.43</v>
      </c>
    </row>
    <row r="196" spans="1:44" x14ac:dyDescent="0.2">
      <c r="A196" s="227" t="str">
        <f>'School Level Inst. Resources'!A196</f>
        <v>1202000</v>
      </c>
      <c r="B196" s="227" t="str">
        <f>'School Level Inst. Resources'!B196</f>
        <v>Lincoln #2</v>
      </c>
      <c r="C196" s="227" t="str">
        <f>'School Level Inst. Resources'!C196</f>
        <v>1202005</v>
      </c>
      <c r="D196" s="227" t="str">
        <f>'School Level Inst. Resources'!D196</f>
        <v>Osmond Elementary</v>
      </c>
      <c r="E196" s="228" t="str">
        <f>'School Level Inst. Resources'!E196</f>
        <v>4-6</v>
      </c>
      <c r="F196" s="229" t="str">
        <f>'School Level Inst. Resources'!H196</f>
        <v>E</v>
      </c>
      <c r="G196" s="229" t="s">
        <v>1158</v>
      </c>
      <c r="H196" s="207">
        <v>47357</v>
      </c>
      <c r="I196" s="207">
        <f>IF('SFD Allowable GSF Calculation'!$D$2=1,'SFD Allowable GSF Calculation'!$P196,'SFD Allowable GSF Calculation'!$X196)</f>
        <v>49144</v>
      </c>
      <c r="J196" s="194">
        <f>$I196*'Model Data Inputs'!$B$165</f>
        <v>56515.6</v>
      </c>
      <c r="K196" s="194">
        <f>IF($L196&gt;='Model Data Inputs'!$B$164,$H196,MIN($H196,$J196))</f>
        <v>47357</v>
      </c>
      <c r="L196" s="208">
        <v>1981</v>
      </c>
      <c r="M196" s="196">
        <f>IF($L196&gt;0,'Model Data Inputs'!$B$157-$L196,"")</f>
        <v>36</v>
      </c>
      <c r="N196" s="209">
        <v>32</v>
      </c>
      <c r="O196" s="198">
        <f>'School Level Inst. Resources'!$L196</f>
        <v>354.6</v>
      </c>
      <c r="P196" s="198">
        <f>IF($G196="T",SUMIFS('School Level ADM'!$S$5:$S$359,'School Level ADM'!$A$5:$A$359,$A196),0)</f>
        <v>2839.7550000000006</v>
      </c>
      <c r="Q196" s="199">
        <f t="shared" si="20"/>
        <v>0.12486992715920914</v>
      </c>
      <c r="R196" s="200">
        <f>SUM((('School Level Inst. Resources'!I196/'Model Data Inputs'!$B$8)*(1+'Model Data Inputs'!$B$9)),(SUM('School Level Inst. Resources'!J196:K196)/'Model Data Inputs'!$C$8)*(1+'Model Data Inputs'!$C$9),'School Level Inst. Resources'!K196/400)</f>
        <v>23.640000000000004</v>
      </c>
      <c r="S196" s="200">
        <f t="shared" si="21"/>
        <v>23.640000000000004</v>
      </c>
      <c r="T196" s="201">
        <f>IF($G196="T",VLOOKUP($A196,'Total O &amp; M Resources'!$A$5:$K$52,3),0)</f>
        <v>21352195.02</v>
      </c>
      <c r="U196" s="202">
        <f>IF($G196="F",0,$S196/'Model Data Inputs'!$B$140)</f>
        <v>1.8184615384615388</v>
      </c>
      <c r="V196" s="202">
        <f>IF($G196="F",0,$O196/'Model Data Inputs'!$B$141)</f>
        <v>1.0910769230769231</v>
      </c>
      <c r="W196" s="202">
        <f>IF($G196="F",0,$N196/'Model Data Inputs'!$B$142)</f>
        <v>2.4615384615384617</v>
      </c>
      <c r="X196" s="202">
        <f>IF($G196="F",0,$K196/'Model Data Inputs'!$B$143)</f>
        <v>2.6309444444444443</v>
      </c>
      <c r="Y196" s="202">
        <f t="shared" si="15"/>
        <v>2.0005053418803422</v>
      </c>
      <c r="Z196" s="202">
        <f>IF(OR($G196="F",$F196="E"),0,'Model Data Inputs'!$B$144)</f>
        <v>0</v>
      </c>
      <c r="AA196" s="202">
        <f>IF(AND($O196&lt;='Model Data Inputs'!$B$139,$F196="E"),0,IF(AND($O196&lt;='Model Data Inputs'!$B$139,$F196="M"),0,IF(AND($O196&lt;='Model Data Inputs'!$B$139,$F196="H"),0,IF(SUM($Y196:$Z196)&lt;1,1,SUM($Y196:$Z196)))))</f>
        <v>2.0005053418803422</v>
      </c>
      <c r="AB196" s="202">
        <f>($K196/'Model Data Inputs'!$B$143)*'Model Data Inputs'!$B$145</f>
        <v>0.26309444444444446</v>
      </c>
      <c r="AC196" s="202">
        <f t="shared" si="16"/>
        <v>2.2635997863247868</v>
      </c>
      <c r="AD196" s="202">
        <f>IF($G196="F",0,'Model Data Inputs'!$B$147)</f>
        <v>1.1000000000000001</v>
      </c>
      <c r="AE196" s="202">
        <f>IF($G196="F",0,($K196/'Model Data Inputs'!$B$148)*'Model Data Inputs'!$B$149)</f>
        <v>0.94713999999999998</v>
      </c>
      <c r="AF196" s="202">
        <f>IF($G196="F",0,($O196/'Model Data Inputs'!$B$150)*'Model Data Inputs'!$B$151)</f>
        <v>0.46098000000000006</v>
      </c>
      <c r="AG196" s="202">
        <f>IF($G196="F",0,(($Q196*$T196)/'Model Data Inputs'!$B$152)*'Model Data Inputs'!$B$153)</f>
        <v>0.63989928884079073</v>
      </c>
      <c r="AH196" s="202">
        <f t="shared" si="17"/>
        <v>0.78700482221019774</v>
      </c>
      <c r="AI196" s="203">
        <f>IF(OR($G196="F",$F196="M",$F196="H"),0,($AH196*'Model Data Inputs'!$B$154)-$AH196)</f>
        <v>-0.15740096444203955</v>
      </c>
      <c r="AJ196" s="202">
        <f>IF(OR($G196="F",$F196="E",$F196="H"),0,($AH196*'Model Data Inputs'!$B$155)-$AH196)</f>
        <v>0</v>
      </c>
      <c r="AK196" s="203">
        <f>IF(OR($G196="F",$F196="E",$F196="M"),0,($AH196*'Model Data Inputs'!$B$156)-$AH196)</f>
        <v>0</v>
      </c>
      <c r="AL196" s="203">
        <f>IF($G196="F",0,IF($M196&lt;'Model Data Inputs'!$B$158,$AH196*('Model Data Inputs'!$B$159-1),0))</f>
        <v>0</v>
      </c>
      <c r="AM196" s="202">
        <f>IF($G196="F",0,IF($M196&gt;'Model Data Inputs'!$B$160,$AH196*('Model Data Inputs'!$B$161-1),0))</f>
        <v>7.8700482221019843E-2</v>
      </c>
      <c r="AN196" s="202">
        <f>IF($G196="F",0,IF($P196&lt;'Model Data Inputs'!$B$162,SUM($AH196,$AI196,$AJ196,$AK196,$AL196,$AM196)*('Model Data Inputs'!$B$163-1),0))</f>
        <v>0</v>
      </c>
      <c r="AO196" s="202">
        <f t="shared" si="18"/>
        <v>0.70830433998917808</v>
      </c>
      <c r="AP196" s="204">
        <f>$K196*'Model Data Inputs'!$B$166</f>
        <v>31729.190000000002</v>
      </c>
      <c r="AQ196" s="204">
        <f>($K196*'Model Data Inputs'!$B$145)*'Model Data Inputs'!$B$166</f>
        <v>3172.9189999999999</v>
      </c>
      <c r="AR196" s="50">
        <f t="shared" si="19"/>
        <v>34902.109000000004</v>
      </c>
    </row>
    <row r="197" spans="1:44" x14ac:dyDescent="0.2">
      <c r="A197" s="227" t="str">
        <f>'School Level Inst. Resources'!A197</f>
        <v>1202000</v>
      </c>
      <c r="B197" s="227" t="str">
        <f>'School Level Inst. Resources'!B197</f>
        <v>Lincoln #2</v>
      </c>
      <c r="C197" s="227" t="str">
        <f>'School Level Inst. Resources'!C197</f>
        <v>1202051</v>
      </c>
      <c r="D197" s="227" t="str">
        <f>'School Level Inst. Resources'!D197</f>
        <v>Star Valley Middle School</v>
      </c>
      <c r="E197" s="228" t="str">
        <f>'School Level Inst. Resources'!E197</f>
        <v>7-8</v>
      </c>
      <c r="F197" s="229" t="str">
        <f>'School Level Inst. Resources'!H197</f>
        <v>M</v>
      </c>
      <c r="G197" s="229" t="s">
        <v>1158</v>
      </c>
      <c r="H197" s="207">
        <v>79399</v>
      </c>
      <c r="I197" s="207">
        <f>IF('SFD Allowable GSF Calculation'!$D$2=1,'SFD Allowable GSF Calculation'!$P197,'SFD Allowable GSF Calculation'!$X197)</f>
        <v>72806</v>
      </c>
      <c r="J197" s="194">
        <f>$I197*'Model Data Inputs'!$B$165</f>
        <v>83726.899999999994</v>
      </c>
      <c r="K197" s="194">
        <f>IF($L197&gt;='Model Data Inputs'!$B$164,$H197,MIN($H197,$J197))</f>
        <v>79399</v>
      </c>
      <c r="L197" s="208">
        <v>1984</v>
      </c>
      <c r="M197" s="196">
        <f>IF($L197&gt;0,'Model Data Inputs'!$B$157-$L197,"")</f>
        <v>33</v>
      </c>
      <c r="N197" s="209">
        <v>37</v>
      </c>
      <c r="O197" s="198">
        <f>'School Level Inst. Resources'!$L197</f>
        <v>397.94</v>
      </c>
      <c r="P197" s="198">
        <f>IF($G197="T",SUMIFS('School Level ADM'!$S$5:$S$359,'School Level ADM'!$A$5:$A$359,$A197),0)</f>
        <v>2839.7550000000006</v>
      </c>
      <c r="Q197" s="199">
        <f t="shared" si="20"/>
        <v>0.14013180714533469</v>
      </c>
      <c r="R197" s="200">
        <f>SUM((('School Level Inst. Resources'!I197/'Model Data Inputs'!$B$8)*(1+'Model Data Inputs'!$B$9)),(SUM('School Level Inst. Resources'!J197:K197)/'Model Data Inputs'!$C$8)*(1+'Model Data Inputs'!$C$9),'School Level Inst. Resources'!K197/400)</f>
        <v>23.063218260869565</v>
      </c>
      <c r="S197" s="200">
        <f t="shared" si="21"/>
        <v>23.063218260869565</v>
      </c>
      <c r="T197" s="201">
        <f>IF($G197="T",VLOOKUP($A197,'Total O &amp; M Resources'!$A$5:$K$52,3),0)</f>
        <v>21352195.02</v>
      </c>
      <c r="U197" s="202">
        <f>IF($G197="F",0,$S197/'Model Data Inputs'!$B$140)</f>
        <v>1.7740937123745819</v>
      </c>
      <c r="V197" s="202">
        <f>IF($G197="F",0,$O197/'Model Data Inputs'!$B$141)</f>
        <v>1.2244307692307692</v>
      </c>
      <c r="W197" s="202">
        <f>IF($G197="F",0,$N197/'Model Data Inputs'!$B$142)</f>
        <v>2.8461538461538463</v>
      </c>
      <c r="X197" s="202">
        <f>IF($G197="F",0,$K197/'Model Data Inputs'!$B$143)</f>
        <v>4.4110555555555555</v>
      </c>
      <c r="Y197" s="202">
        <f t="shared" si="15"/>
        <v>2.5639334708286885</v>
      </c>
      <c r="Z197" s="202">
        <f>IF(OR($G197="F",$F197="E"),0,'Model Data Inputs'!$B$144)</f>
        <v>0.5</v>
      </c>
      <c r="AA197" s="202">
        <f>IF(AND($O197&lt;='Model Data Inputs'!$B$139,$F197="E"),0,IF(AND($O197&lt;='Model Data Inputs'!$B$139,$F197="M"),0,IF(AND($O197&lt;='Model Data Inputs'!$B$139,$F197="H"),0,IF(SUM($Y197:$Z197)&lt;1,1,SUM($Y197:$Z197)))))</f>
        <v>3.0639334708286885</v>
      </c>
      <c r="AB197" s="202">
        <f>($K197/'Model Data Inputs'!$B$143)*'Model Data Inputs'!$B$145</f>
        <v>0.44110555555555558</v>
      </c>
      <c r="AC197" s="202">
        <f t="shared" si="16"/>
        <v>3.5050390263842441</v>
      </c>
      <c r="AD197" s="202">
        <f>IF($G197="F",0,'Model Data Inputs'!$B$147)</f>
        <v>1.1000000000000001</v>
      </c>
      <c r="AE197" s="202">
        <f>IF($G197="F",0,($K197/'Model Data Inputs'!$B$148)*'Model Data Inputs'!$B$149)</f>
        <v>1.5879799999999999</v>
      </c>
      <c r="AF197" s="202">
        <f>IF($G197="F",0,($O197/'Model Data Inputs'!$B$150)*'Model Data Inputs'!$B$151)</f>
        <v>0.51732200000000006</v>
      </c>
      <c r="AG197" s="202">
        <f>IF($G197="F",0,(($Q197*$T197)/'Model Data Inputs'!$B$152)*'Model Data Inputs'!$B$153)</f>
        <v>0.71810920192133176</v>
      </c>
      <c r="AH197" s="202">
        <f t="shared" si="17"/>
        <v>0.98085280048033296</v>
      </c>
      <c r="AI197" s="203">
        <f>IF(OR($G197="F",$F197="M",$F197="H"),0,($AH197*'Model Data Inputs'!$B$154)-$AH197)</f>
        <v>0</v>
      </c>
      <c r="AJ197" s="202">
        <f>IF(OR($G197="F",$F197="E",$F197="H"),0,($AH197*'Model Data Inputs'!$B$155)-$AH197)</f>
        <v>0</v>
      </c>
      <c r="AK197" s="203">
        <f>IF(OR($G197="F",$F197="E",$F197="M"),0,($AH197*'Model Data Inputs'!$B$156)-$AH197)</f>
        <v>0</v>
      </c>
      <c r="AL197" s="203">
        <f>IF($G197="F",0,IF($M197&lt;'Model Data Inputs'!$B$158,$AH197*('Model Data Inputs'!$B$159-1),0))</f>
        <v>0</v>
      </c>
      <c r="AM197" s="202">
        <f>IF($G197="F",0,IF($M197&gt;'Model Data Inputs'!$B$160,$AH197*('Model Data Inputs'!$B$161-1),0))</f>
        <v>9.808528004803338E-2</v>
      </c>
      <c r="AN197" s="202">
        <f>IF($G197="F",0,IF($P197&lt;'Model Data Inputs'!$B$162,SUM($AH197,$AI197,$AJ197,$AK197,$AL197,$AM197)*('Model Data Inputs'!$B$163-1),0))</f>
        <v>0</v>
      </c>
      <c r="AO197" s="202">
        <f t="shared" si="18"/>
        <v>1.0789380805283664</v>
      </c>
      <c r="AP197" s="204">
        <f>$K197*'Model Data Inputs'!$B$166</f>
        <v>53197.33</v>
      </c>
      <c r="AQ197" s="204">
        <f>($K197*'Model Data Inputs'!$B$145)*'Model Data Inputs'!$B$166</f>
        <v>5319.7330000000011</v>
      </c>
      <c r="AR197" s="50">
        <f t="shared" si="19"/>
        <v>58517.063000000002</v>
      </c>
    </row>
    <row r="198" spans="1:44" x14ac:dyDescent="0.2">
      <c r="A198" s="227" t="str">
        <f>'School Level Inst. Resources'!A198</f>
        <v>1202000</v>
      </c>
      <c r="B198" s="227" t="str">
        <f>'School Level Inst. Resources'!B198</f>
        <v>Lincoln #2</v>
      </c>
      <c r="C198" s="227" t="str">
        <f>'School Level Inst. Resources'!C198</f>
        <v>1202055</v>
      </c>
      <c r="D198" s="227" t="str">
        <f>'School Level Inst. Resources'!D198</f>
        <v>Cokeville High School</v>
      </c>
      <c r="E198" s="228" t="str">
        <f>'School Level Inst. Resources'!E198</f>
        <v>7-12</v>
      </c>
      <c r="F198" s="229" t="str">
        <f>'School Level Inst. Resources'!H198</f>
        <v>H</v>
      </c>
      <c r="G198" s="229" t="s">
        <v>1158</v>
      </c>
      <c r="H198" s="207">
        <v>98286</v>
      </c>
      <c r="I198" s="207">
        <f>IF('SFD Allowable GSF Calculation'!$D$2=1,'SFD Allowable GSF Calculation'!$P198,'SFD Allowable GSF Calculation'!$X198)</f>
        <v>50393</v>
      </c>
      <c r="J198" s="194">
        <f>$I198*'Model Data Inputs'!$B$165</f>
        <v>57951.95</v>
      </c>
      <c r="K198" s="194">
        <f>IF($L198&gt;='Model Data Inputs'!$B$164,$H198,MIN($H198,$J198))</f>
        <v>57951.95</v>
      </c>
      <c r="L198" s="208">
        <v>1967</v>
      </c>
      <c r="M198" s="196">
        <f>IF($L198&gt;0,'Model Data Inputs'!$B$157-$L198,"")</f>
        <v>50</v>
      </c>
      <c r="N198" s="209">
        <v>22</v>
      </c>
      <c r="O198" s="198">
        <f>'School Level Inst. Resources'!$L198</f>
        <v>116.23</v>
      </c>
      <c r="P198" s="198">
        <f>IF($G198="T",SUMIFS('School Level ADM'!$S$5:$S$359,'School Level ADM'!$A$5:$A$359,$A198),0)</f>
        <v>2839.7550000000006</v>
      </c>
      <c r="Q198" s="199">
        <f t="shared" si="20"/>
        <v>4.0929587235518552E-2</v>
      </c>
      <c r="R198" s="200">
        <f>SUM((('School Level Inst. Resources'!I198/'Model Data Inputs'!$B$8)*(1+'Model Data Inputs'!$B$9)),(SUM('School Level Inst. Resources'!J198:K198)/'Model Data Inputs'!$C$8)*(1+'Model Data Inputs'!$C$9),'School Level Inst. Resources'!K198/400)</f>
        <v>6.93328652173913</v>
      </c>
      <c r="S198" s="200">
        <f t="shared" si="21"/>
        <v>6.93328652173913</v>
      </c>
      <c r="T198" s="201">
        <f>IF($G198="T",VLOOKUP($A198,'Total O &amp; M Resources'!$A$5:$K$52,3),0)</f>
        <v>21352195.02</v>
      </c>
      <c r="U198" s="202">
        <f>IF($G198="F",0,$S198/'Model Data Inputs'!$B$140)</f>
        <v>0.53332973244147153</v>
      </c>
      <c r="V198" s="202">
        <f>IF($G198="F",0,$O198/'Model Data Inputs'!$B$141)</f>
        <v>0.35763076923076925</v>
      </c>
      <c r="W198" s="202">
        <f>IF($G198="F",0,$N198/'Model Data Inputs'!$B$142)</f>
        <v>1.6923076923076923</v>
      </c>
      <c r="X198" s="202">
        <f>IF($G198="F",0,$K198/'Model Data Inputs'!$B$143)</f>
        <v>3.2195527777777775</v>
      </c>
      <c r="Y198" s="202">
        <f t="shared" ref="Y198:Y261" si="22">AVERAGE(U198:X198)</f>
        <v>1.4507052429394276</v>
      </c>
      <c r="Z198" s="202">
        <f>IF(OR($G198="F",$F198="E"),0,'Model Data Inputs'!$B$144)</f>
        <v>0.5</v>
      </c>
      <c r="AA198" s="202">
        <f>IF(AND($O198&lt;='Model Data Inputs'!$B$139,$F198="E"),0,IF(AND($O198&lt;='Model Data Inputs'!$B$139,$F198="M"),0,IF(AND($O198&lt;='Model Data Inputs'!$B$139,$F198="H"),0,IF(SUM($Y198:$Z198)&lt;1,1,SUM($Y198:$Z198)))))</f>
        <v>1.9507052429394276</v>
      </c>
      <c r="AB198" s="202">
        <f>($K198/'Model Data Inputs'!$B$143)*'Model Data Inputs'!$B$145</f>
        <v>0.32195527777777777</v>
      </c>
      <c r="AC198" s="202">
        <f t="shared" ref="AC198:AC261" si="23">SUM(AA198:AB198)</f>
        <v>2.2726605207172055</v>
      </c>
      <c r="AD198" s="202">
        <f>IF($G198="F",0,'Model Data Inputs'!$B$147)</f>
        <v>1.1000000000000001</v>
      </c>
      <c r="AE198" s="202">
        <f>IF($G198="F",0,($K198/'Model Data Inputs'!$B$148)*'Model Data Inputs'!$B$149)</f>
        <v>1.1590389999999999</v>
      </c>
      <c r="AF198" s="202">
        <f>IF($G198="F",0,($O198/'Model Data Inputs'!$B$150)*'Model Data Inputs'!$B$151)</f>
        <v>0.15109900000000001</v>
      </c>
      <c r="AG198" s="202">
        <f>IF($G198="F",0,(($Q198*$T198)/'Model Data Inputs'!$B$152)*'Model Data Inputs'!$B$153)</f>
        <v>0.20974476689781471</v>
      </c>
      <c r="AH198" s="202">
        <f t="shared" ref="AH198:AH261" si="24">AVERAGE($AD198:$AG198)</f>
        <v>0.65497069172445366</v>
      </c>
      <c r="AI198" s="203">
        <f>IF(OR($G198="F",$F198="M",$F198="H"),0,($AH198*'Model Data Inputs'!$B$154)-$AH198)</f>
        <v>0</v>
      </c>
      <c r="AJ198" s="202">
        <f>IF(OR($G198="F",$F198="E",$F198="H"),0,($AH198*'Model Data Inputs'!$B$155)-$AH198)</f>
        <v>0</v>
      </c>
      <c r="AK198" s="203">
        <f>IF(OR($G198="F",$F198="E",$F198="M"),0,($AH198*'Model Data Inputs'!$B$156)-$AH198)</f>
        <v>0.65497069172445366</v>
      </c>
      <c r="AL198" s="203">
        <f>IF($G198="F",0,IF($M198&lt;'Model Data Inputs'!$B$158,$AH198*('Model Data Inputs'!$B$159-1),0))</f>
        <v>0</v>
      </c>
      <c r="AM198" s="202">
        <f>IF($G198="F",0,IF($M198&gt;'Model Data Inputs'!$B$160,$AH198*('Model Data Inputs'!$B$161-1),0))</f>
        <v>6.5497069172445424E-2</v>
      </c>
      <c r="AN198" s="202">
        <f>IF($G198="F",0,IF($P198&lt;'Model Data Inputs'!$B$162,SUM($AH198,$AI198,$AJ198,$AK198,$AL198,$AM198)*('Model Data Inputs'!$B$163-1),0))</f>
        <v>0</v>
      </c>
      <c r="AO198" s="202">
        <f t="shared" ref="AO198:AO261" si="25">SUM(AH198:AN198)</f>
        <v>1.3754384526213528</v>
      </c>
      <c r="AP198" s="204">
        <f>$K198*'Model Data Inputs'!$B$166</f>
        <v>38827.806499999999</v>
      </c>
      <c r="AQ198" s="204">
        <f>($K198*'Model Data Inputs'!$B$145)*'Model Data Inputs'!$B$166</f>
        <v>3882.7806500000002</v>
      </c>
      <c r="AR198" s="50">
        <f t="shared" ref="AR198:AR261" si="26">SUM(AP198:AQ198)</f>
        <v>42710.587149999999</v>
      </c>
    </row>
    <row r="199" spans="1:44" x14ac:dyDescent="0.2">
      <c r="A199" s="227" t="str">
        <f>'School Level Inst. Resources'!A199</f>
        <v>1202000</v>
      </c>
      <c r="B199" s="227" t="str">
        <f>'School Level Inst. Resources'!B199</f>
        <v>Lincoln #2</v>
      </c>
      <c r="C199" s="227" t="str">
        <f>'School Level Inst. Resources'!C199</f>
        <v>1202056</v>
      </c>
      <c r="D199" s="227" t="str">
        <f>'School Level Inst. Resources'!D199</f>
        <v>Star Valley High School</v>
      </c>
      <c r="E199" s="228" t="str">
        <f>'School Level Inst. Resources'!E199</f>
        <v>9-12</v>
      </c>
      <c r="F199" s="229" t="str">
        <f>'School Level Inst. Resources'!H199</f>
        <v>H</v>
      </c>
      <c r="G199" s="229" t="s">
        <v>1158</v>
      </c>
      <c r="H199" s="207">
        <v>224833</v>
      </c>
      <c r="I199" s="207">
        <f>IF('SFD Allowable GSF Calculation'!$D$2=1,'SFD Allowable GSF Calculation'!$P199,'SFD Allowable GSF Calculation'!$X199)</f>
        <v>138189</v>
      </c>
      <c r="J199" s="194">
        <f>$I199*'Model Data Inputs'!$B$165</f>
        <v>158917.34999999998</v>
      </c>
      <c r="K199" s="194">
        <f>IF($L199&gt;='Model Data Inputs'!$B$164,$H199,MIN($H199,$J199))</f>
        <v>158917.34999999998</v>
      </c>
      <c r="L199" s="208">
        <v>1998</v>
      </c>
      <c r="M199" s="196">
        <f>IF($L199&gt;0,'Model Data Inputs'!$B$157-$L199,"")</f>
        <v>19</v>
      </c>
      <c r="N199" s="209">
        <v>70</v>
      </c>
      <c r="O199" s="198">
        <f>'School Level Inst. Resources'!$L199</f>
        <v>716.09500000000003</v>
      </c>
      <c r="P199" s="198">
        <f>IF($G199="T",SUMIFS('School Level ADM'!$S$5:$S$359,'School Level ADM'!$A$5:$A$359,$A199),0)</f>
        <v>2839.7550000000006</v>
      </c>
      <c r="Q199" s="199">
        <f t="shared" ref="Q199:Q262" si="27">IF($G199="F",0,$O199/$P199)</f>
        <v>0.25216788067984736</v>
      </c>
      <c r="R199" s="200">
        <f>SUM((('School Level Inst. Resources'!I199/'Model Data Inputs'!$B$8)*(1+'Model Data Inputs'!$B$9)),(SUM('School Level Inst. Resources'!J199:K199)/'Model Data Inputs'!$C$8)*(1+'Model Data Inputs'!$C$9),'School Level Inst. Resources'!K199/400)</f>
        <v>43.292612934782611</v>
      </c>
      <c r="S199" s="200">
        <f t="shared" ref="S199:S258" si="28">R199</f>
        <v>43.292612934782611</v>
      </c>
      <c r="T199" s="201">
        <f>IF($G199="T",VLOOKUP($A199,'Total O &amp; M Resources'!$A$5:$K$52,3),0)</f>
        <v>21352195.02</v>
      </c>
      <c r="U199" s="202">
        <f>IF($G199="F",0,$S199/'Model Data Inputs'!$B$140)</f>
        <v>3.3302009949832776</v>
      </c>
      <c r="V199" s="202">
        <f>IF($G199="F",0,$O199/'Model Data Inputs'!$B$141)</f>
        <v>2.2033692307692307</v>
      </c>
      <c r="W199" s="202">
        <f>IF($G199="F",0,$N199/'Model Data Inputs'!$B$142)</f>
        <v>5.384615384615385</v>
      </c>
      <c r="X199" s="202">
        <f>IF($G199="F",0,$K199/'Model Data Inputs'!$B$143)</f>
        <v>8.8287416666666658</v>
      </c>
      <c r="Y199" s="202">
        <f t="shared" si="22"/>
        <v>4.9367318192586396</v>
      </c>
      <c r="Z199" s="202">
        <f>IF(OR($G199="F",$F199="E"),0,'Model Data Inputs'!$B$144)</f>
        <v>0.5</v>
      </c>
      <c r="AA199" s="202">
        <f>IF(AND($O199&lt;='Model Data Inputs'!$B$139,$F199="E"),0,IF(AND($O199&lt;='Model Data Inputs'!$B$139,$F199="M"),0,IF(AND($O199&lt;='Model Data Inputs'!$B$139,$F199="H"),0,IF(SUM($Y199:$Z199)&lt;1,1,SUM($Y199:$Z199)))))</f>
        <v>5.4367318192586396</v>
      </c>
      <c r="AB199" s="202">
        <f>($K199/'Model Data Inputs'!$B$143)*'Model Data Inputs'!$B$145</f>
        <v>0.88287416666666663</v>
      </c>
      <c r="AC199" s="202">
        <f t="shared" si="23"/>
        <v>6.319605985925306</v>
      </c>
      <c r="AD199" s="202">
        <f>IF($G199="F",0,'Model Data Inputs'!$B$147)</f>
        <v>1.1000000000000001</v>
      </c>
      <c r="AE199" s="202">
        <f>IF($G199="F",0,($K199/'Model Data Inputs'!$B$148)*'Model Data Inputs'!$B$149)</f>
        <v>3.1783469999999996</v>
      </c>
      <c r="AF199" s="202">
        <f>IF($G199="F",0,($O199/'Model Data Inputs'!$B$150)*'Model Data Inputs'!$B$151)</f>
        <v>0.93092350000000013</v>
      </c>
      <c r="AG199" s="202">
        <f>IF($G199="F",0,(($Q199*$T199)/'Model Data Inputs'!$B$152)*'Model Data Inputs'!$B$153)</f>
        <v>1.2922410638534858</v>
      </c>
      <c r="AH199" s="202">
        <f t="shared" si="24"/>
        <v>1.6253778909633716</v>
      </c>
      <c r="AI199" s="203">
        <f>IF(OR($G199="F",$F199="M",$F199="H"),0,($AH199*'Model Data Inputs'!$B$154)-$AH199)</f>
        <v>0</v>
      </c>
      <c r="AJ199" s="202">
        <f>IF(OR($G199="F",$F199="E",$F199="H"),0,($AH199*'Model Data Inputs'!$B$155)-$AH199)</f>
        <v>0</v>
      </c>
      <c r="AK199" s="203">
        <f>IF(OR($G199="F",$F199="E",$F199="M"),0,($AH199*'Model Data Inputs'!$B$156)-$AH199)</f>
        <v>1.6253778909633716</v>
      </c>
      <c r="AL199" s="203">
        <f>IF($G199="F",0,IF($M199&lt;'Model Data Inputs'!$B$158,$AH199*('Model Data Inputs'!$B$159-1),0))</f>
        <v>0</v>
      </c>
      <c r="AM199" s="202">
        <f>IF($G199="F",0,IF($M199&gt;'Model Data Inputs'!$B$160,$AH199*('Model Data Inputs'!$B$161-1),0))</f>
        <v>0</v>
      </c>
      <c r="AN199" s="202">
        <f>IF($G199="F",0,IF($P199&lt;'Model Data Inputs'!$B$162,SUM($AH199,$AI199,$AJ199,$AK199,$AL199,$AM199)*('Model Data Inputs'!$B$163-1),0))</f>
        <v>0</v>
      </c>
      <c r="AO199" s="202">
        <f t="shared" si="25"/>
        <v>3.2507557819267432</v>
      </c>
      <c r="AP199" s="204">
        <f>$K199*'Model Data Inputs'!$B$166</f>
        <v>106474.62449999999</v>
      </c>
      <c r="AQ199" s="204">
        <f>($K199*'Model Data Inputs'!$B$145)*'Model Data Inputs'!$B$166</f>
        <v>10647.462449999999</v>
      </c>
      <c r="AR199" s="50">
        <f t="shared" si="26"/>
        <v>117122.08695</v>
      </c>
    </row>
    <row r="200" spans="1:44" x14ac:dyDescent="0.2">
      <c r="A200" s="227" t="str">
        <f>'School Level Inst. Resources'!A200</f>
        <v>1202000</v>
      </c>
      <c r="B200" s="227" t="str">
        <f>'School Level Inst. Resources'!B200</f>
        <v>Lincoln #2</v>
      </c>
      <c r="C200" s="227" t="str">
        <f>'School Level Inst. Resources'!C200</f>
        <v>1202057</v>
      </c>
      <c r="D200" s="227" t="str">
        <f>'School Level Inst. Resources'!D200</f>
        <v>Swift Creek High School</v>
      </c>
      <c r="E200" s="228" t="str">
        <f>'School Level Inst. Resources'!E200</f>
        <v>9-12</v>
      </c>
      <c r="F200" s="229" t="str">
        <f>'School Level Inst. Resources'!H200</f>
        <v>H</v>
      </c>
      <c r="G200" s="229" t="s">
        <v>1158</v>
      </c>
      <c r="H200" s="207">
        <v>32464</v>
      </c>
      <c r="I200" s="207">
        <f>IF('SFD Allowable GSF Calculation'!$D$2=1,'SFD Allowable GSF Calculation'!$P200,'SFD Allowable GSF Calculation'!$X200)</f>
        <v>14509</v>
      </c>
      <c r="J200" s="194">
        <f>$I200*'Model Data Inputs'!$B$165</f>
        <v>16685.349999999999</v>
      </c>
      <c r="K200" s="194">
        <f>IF($L200&gt;='Model Data Inputs'!$B$164,$H200,MIN($H200,$J200))</f>
        <v>16685.349999999999</v>
      </c>
      <c r="L200" s="208">
        <v>1972</v>
      </c>
      <c r="M200" s="196">
        <f>IF($L200&gt;0,'Model Data Inputs'!$B$157-$L200,"")</f>
        <v>45</v>
      </c>
      <c r="N200" s="209">
        <v>14</v>
      </c>
      <c r="O200" s="198">
        <f>'School Level Inst. Resources'!$L200</f>
        <v>42.354999999999997</v>
      </c>
      <c r="P200" s="198">
        <f>IF($G200="T",SUMIFS('School Level ADM'!$S$5:$S$359,'School Level ADM'!$A$5:$A$359,$A200),0)</f>
        <v>2839.7550000000006</v>
      </c>
      <c r="Q200" s="199">
        <f t="shared" si="27"/>
        <v>1.4915019077349979E-2</v>
      </c>
      <c r="R200" s="200">
        <f>SUM((('School Level Inst. Resources'!I200/'Model Data Inputs'!$B$8)*(1+'Model Data Inputs'!$B$9)),(SUM('School Level Inst. Resources'!J200:K200)/'Model Data Inputs'!$C$8)*(1+'Model Data Inputs'!$C$9),'School Level Inst. Resources'!K200/400)</f>
        <v>2.5606359782608692</v>
      </c>
      <c r="S200" s="200">
        <f t="shared" si="28"/>
        <v>2.5606359782608692</v>
      </c>
      <c r="T200" s="201">
        <f>IF($G200="T",VLOOKUP($A200,'Total O &amp; M Resources'!$A$5:$K$52,3),0)</f>
        <v>21352195.02</v>
      </c>
      <c r="U200" s="202">
        <f>IF($G200="F",0,$S200/'Model Data Inputs'!$B$140)</f>
        <v>0.19697199832775916</v>
      </c>
      <c r="V200" s="202">
        <f>IF($G200="F",0,$O200/'Model Data Inputs'!$B$141)</f>
        <v>0.1303230769230769</v>
      </c>
      <c r="W200" s="202">
        <f>IF($G200="F",0,$N200/'Model Data Inputs'!$B$142)</f>
        <v>1.0769230769230769</v>
      </c>
      <c r="X200" s="202">
        <f>IF($G200="F",0,$K200/'Model Data Inputs'!$B$143)</f>
        <v>0.92696388888888881</v>
      </c>
      <c r="Y200" s="202">
        <f t="shared" si="22"/>
        <v>0.58279551026570042</v>
      </c>
      <c r="Z200" s="202">
        <f>IF(OR($G200="F",$F200="E"),0,'Model Data Inputs'!$B$144)</f>
        <v>0.5</v>
      </c>
      <c r="AA200" s="202">
        <f>IF(AND($O200&lt;='Model Data Inputs'!$B$139,$F200="E"),0,IF(AND($O200&lt;='Model Data Inputs'!$B$139,$F200="M"),0,IF(AND($O200&lt;='Model Data Inputs'!$B$139,$F200="H"),0,IF(SUM($Y200:$Z200)&lt;1,1,SUM($Y200:$Z200)))))</f>
        <v>0</v>
      </c>
      <c r="AB200" s="202">
        <f>($K200/'Model Data Inputs'!$B$143)*'Model Data Inputs'!$B$145</f>
        <v>9.2696388888888884E-2</v>
      </c>
      <c r="AC200" s="202">
        <f t="shared" si="23"/>
        <v>9.2696388888888884E-2</v>
      </c>
      <c r="AD200" s="202">
        <f>IF($G200="F",0,'Model Data Inputs'!$B$147)</f>
        <v>1.1000000000000001</v>
      </c>
      <c r="AE200" s="202">
        <f>IF($G200="F",0,($K200/'Model Data Inputs'!$B$148)*'Model Data Inputs'!$B$149)</f>
        <v>0.33370699999999998</v>
      </c>
      <c r="AF200" s="202">
        <f>IF($G200="F",0,($O200/'Model Data Inputs'!$B$150)*'Model Data Inputs'!$B$151)</f>
        <v>5.5061499999999999E-2</v>
      </c>
      <c r="AG200" s="202">
        <f>IF($G200="F",0,(($Q200*$T200)/'Model Data Inputs'!$B$152)*'Model Data Inputs'!$B$153)</f>
        <v>7.6432415055983319E-2</v>
      </c>
      <c r="AH200" s="202">
        <f t="shared" si="24"/>
        <v>0.39130022876399589</v>
      </c>
      <c r="AI200" s="203">
        <f>IF(OR($G200="F",$F200="M",$F200="H"),0,($AH200*'Model Data Inputs'!$B$154)-$AH200)</f>
        <v>0</v>
      </c>
      <c r="AJ200" s="202">
        <f>IF(OR($G200="F",$F200="E",$F200="H"),0,($AH200*'Model Data Inputs'!$B$155)-$AH200)</f>
        <v>0</v>
      </c>
      <c r="AK200" s="203">
        <f>IF(OR($G200="F",$F200="E",$F200="M"),0,($AH200*'Model Data Inputs'!$B$156)-$AH200)</f>
        <v>0.39130022876399589</v>
      </c>
      <c r="AL200" s="203">
        <f>IF($G200="F",0,IF($M200&lt;'Model Data Inputs'!$B$158,$AH200*('Model Data Inputs'!$B$159-1),0))</f>
        <v>0</v>
      </c>
      <c r="AM200" s="202">
        <f>IF($G200="F",0,IF($M200&gt;'Model Data Inputs'!$B$160,$AH200*('Model Data Inputs'!$B$161-1),0))</f>
        <v>3.9130022876399627E-2</v>
      </c>
      <c r="AN200" s="202">
        <f>IF($G200="F",0,IF($P200&lt;'Model Data Inputs'!$B$162,SUM($AH200,$AI200,$AJ200,$AK200,$AL200,$AM200)*('Model Data Inputs'!$B$163-1),0))</f>
        <v>0</v>
      </c>
      <c r="AO200" s="202">
        <f t="shared" si="25"/>
        <v>0.82173048040439145</v>
      </c>
      <c r="AP200" s="204">
        <f>$K200*'Model Data Inputs'!$B$166</f>
        <v>11179.184499999999</v>
      </c>
      <c r="AQ200" s="204">
        <f>($K200*'Model Data Inputs'!$B$145)*'Model Data Inputs'!$B$166</f>
        <v>1117.9184499999999</v>
      </c>
      <c r="AR200" s="50">
        <f t="shared" si="26"/>
        <v>12297.102949999999</v>
      </c>
    </row>
    <row r="201" spans="1:44" x14ac:dyDescent="0.2">
      <c r="A201" s="227" t="str">
        <f>'School Level Inst. Resources'!A201</f>
        <v>1301000</v>
      </c>
      <c r="B201" s="227" t="str">
        <f>'School Level Inst. Resources'!B201</f>
        <v>Natrona #1</v>
      </c>
      <c r="C201" s="227" t="str">
        <f>'School Level Inst. Resources'!C201</f>
        <v>1301001</v>
      </c>
      <c r="D201" s="227" t="str">
        <f>'School Level Inst. Resources'!D201</f>
        <v>Alcova Elementary</v>
      </c>
      <c r="E201" s="228" t="str">
        <f>'School Level Inst. Resources'!E201</f>
        <v>K-6</v>
      </c>
      <c r="F201" s="229" t="str">
        <f>'School Level Inst. Resources'!H201</f>
        <v>E</v>
      </c>
      <c r="G201" s="229" t="s">
        <v>1158</v>
      </c>
      <c r="H201" s="207">
        <v>12289</v>
      </c>
      <c r="I201" s="207">
        <f>IF('SFD Allowable GSF Calculation'!$D$2=1,'SFD Allowable GSF Calculation'!$P201,'SFD Allowable GSF Calculation'!$X201)</f>
        <v>2915</v>
      </c>
      <c r="J201" s="194">
        <f>$I201*'Model Data Inputs'!$B$165</f>
        <v>3352.2499999999995</v>
      </c>
      <c r="K201" s="194">
        <f>IF($L201&gt;='Model Data Inputs'!$B$164,$H201,MIN($H201,$J201))</f>
        <v>3352.2499999999995</v>
      </c>
      <c r="L201" s="208">
        <v>1963</v>
      </c>
      <c r="M201" s="196">
        <f>IF($L201&gt;0,'Model Data Inputs'!$B$157-$L201,"")</f>
        <v>54</v>
      </c>
      <c r="N201" s="209">
        <v>3</v>
      </c>
      <c r="O201" s="198">
        <f>'School Level Inst. Resources'!$L201</f>
        <v>4.1306666666666665</v>
      </c>
      <c r="P201" s="198">
        <f>IF($G201="T",SUMIFS('School Level ADM'!$S$5:$S$359,'School Level ADM'!$A$5:$A$359,$A201),0)</f>
        <v>12798.258666666667</v>
      </c>
      <c r="Q201" s="199">
        <f t="shared" si="27"/>
        <v>3.2275224108613108E-4</v>
      </c>
      <c r="R201" s="200">
        <f>SUM((('School Level Inst. Resources'!I201/'Model Data Inputs'!$B$8)*(1+'Model Data Inputs'!$B$9)),(SUM('School Level Inst. Resources'!J201:K201)/'Model Data Inputs'!$C$8)*(1+'Model Data Inputs'!$C$9),'School Level Inst. Resources'!K201/400)</f>
        <v>0.27537777777777778</v>
      </c>
      <c r="S201" s="200">
        <f t="shared" si="28"/>
        <v>0.27537777777777778</v>
      </c>
      <c r="T201" s="201">
        <f>IF($G201="T",VLOOKUP($A201,'Total O &amp; M Resources'!$A$5:$K$52,3),0)</f>
        <v>90531635.030000046</v>
      </c>
      <c r="U201" s="202">
        <f>IF($G201="F",0,$S201/'Model Data Inputs'!$B$140)</f>
        <v>2.1182905982905984E-2</v>
      </c>
      <c r="V201" s="202">
        <f>IF($G201="F",0,$O201/'Model Data Inputs'!$B$141)</f>
        <v>1.270974358974359E-2</v>
      </c>
      <c r="W201" s="202">
        <f>IF($G201="F",0,$N201/'Model Data Inputs'!$B$142)</f>
        <v>0.23076923076923078</v>
      </c>
      <c r="X201" s="202">
        <f>IF($G201="F",0,$K201/'Model Data Inputs'!$B$143)</f>
        <v>0.18623611111111107</v>
      </c>
      <c r="Y201" s="202">
        <f t="shared" si="22"/>
        <v>0.11272449786324787</v>
      </c>
      <c r="Z201" s="202">
        <f>IF(OR($G201="F",$F201="E"),0,'Model Data Inputs'!$B$144)</f>
        <v>0</v>
      </c>
      <c r="AA201" s="202">
        <f>IF(AND($O201&lt;='Model Data Inputs'!$B$139,$F201="E"),0,IF(AND($O201&lt;='Model Data Inputs'!$B$139,$F201="M"),0,IF(AND($O201&lt;='Model Data Inputs'!$B$139,$F201="H"),0,IF(SUM($Y201:$Z201)&lt;1,1,SUM($Y201:$Z201)))))</f>
        <v>0</v>
      </c>
      <c r="AB201" s="202">
        <f>($K201/'Model Data Inputs'!$B$143)*'Model Data Inputs'!$B$145</f>
        <v>1.8623611111111108E-2</v>
      </c>
      <c r="AC201" s="202">
        <f t="shared" si="23"/>
        <v>1.8623611111111108E-2</v>
      </c>
      <c r="AD201" s="202">
        <f>IF($G201="F",0,'Model Data Inputs'!$B$147)</f>
        <v>1.1000000000000001</v>
      </c>
      <c r="AE201" s="202">
        <f>IF($G201="F",0,($K201/'Model Data Inputs'!$B$148)*'Model Data Inputs'!$B$149)</f>
        <v>6.7044999999999993E-2</v>
      </c>
      <c r="AF201" s="202">
        <f>IF($G201="F",0,($O201/'Model Data Inputs'!$B$150)*'Model Data Inputs'!$B$151)</f>
        <v>5.3698666666666664E-3</v>
      </c>
      <c r="AG201" s="202">
        <f>IF($G201="F",0,(($Q201*$T201)/'Model Data Inputs'!$B$152)*'Model Data Inputs'!$B$153)</f>
        <v>7.012629142829809E-3</v>
      </c>
      <c r="AH201" s="202">
        <f t="shared" si="24"/>
        <v>0.29485687395237414</v>
      </c>
      <c r="AI201" s="203">
        <f>IF(OR($G201="F",$F201="M",$F201="H"),0,($AH201*'Model Data Inputs'!$B$154)-$AH201)</f>
        <v>-5.8971374790474818E-2</v>
      </c>
      <c r="AJ201" s="202">
        <f>IF(OR($G201="F",$F201="E",$F201="H"),0,($AH201*'Model Data Inputs'!$B$155)-$AH201)</f>
        <v>0</v>
      </c>
      <c r="AK201" s="203">
        <f>IF(OR($G201="F",$F201="E",$F201="M"),0,($AH201*'Model Data Inputs'!$B$156)-$AH201)</f>
        <v>0</v>
      </c>
      <c r="AL201" s="203">
        <f>IF($G201="F",0,IF($M201&lt;'Model Data Inputs'!$B$158,$AH201*('Model Data Inputs'!$B$159-1),0))</f>
        <v>0</v>
      </c>
      <c r="AM201" s="202">
        <f>IF($G201="F",0,IF($M201&gt;'Model Data Inputs'!$B$160,$AH201*('Model Data Inputs'!$B$161-1),0))</f>
        <v>2.948568739523744E-2</v>
      </c>
      <c r="AN201" s="202">
        <f>IF($G201="F",0,IF($P201&lt;'Model Data Inputs'!$B$162,SUM($AH201,$AI201,$AJ201,$AK201,$AL201,$AM201)*('Model Data Inputs'!$B$163-1),0))</f>
        <v>0</v>
      </c>
      <c r="AO201" s="202">
        <f t="shared" si="25"/>
        <v>0.26537118655713676</v>
      </c>
      <c r="AP201" s="204">
        <f>$K201*'Model Data Inputs'!$B$166</f>
        <v>2246.0074999999997</v>
      </c>
      <c r="AQ201" s="204">
        <f>($K201*'Model Data Inputs'!$B$145)*'Model Data Inputs'!$B$166</f>
        <v>224.60074999999998</v>
      </c>
      <c r="AR201" s="50">
        <f t="shared" si="26"/>
        <v>2470.6082499999998</v>
      </c>
    </row>
    <row r="202" spans="1:44" x14ac:dyDescent="0.2">
      <c r="A202" s="227" t="str">
        <f>'School Level Inst. Resources'!A202</f>
        <v>1301000</v>
      </c>
      <c r="B202" s="227" t="str">
        <f>'School Level Inst. Resources'!B202</f>
        <v>Natrona #1</v>
      </c>
      <c r="C202" s="227" t="str">
        <f>'School Level Inst. Resources'!C202</f>
        <v>1301002</v>
      </c>
      <c r="D202" s="227" t="str">
        <f>'School Level Inst. Resources'!D202</f>
        <v>Crest Hill Elementary</v>
      </c>
      <c r="E202" s="228" t="str">
        <f>'School Level Inst. Resources'!E202</f>
        <v>K-5</v>
      </c>
      <c r="F202" s="229" t="str">
        <f>'School Level Inst. Resources'!H202</f>
        <v>E</v>
      </c>
      <c r="G202" s="229" t="s">
        <v>1158</v>
      </c>
      <c r="H202" s="207">
        <v>49574</v>
      </c>
      <c r="I202" s="207">
        <f>IF('SFD Allowable GSF Calculation'!$D$2=1,'SFD Allowable GSF Calculation'!$P202,'SFD Allowable GSF Calculation'!$X202)</f>
        <v>47976</v>
      </c>
      <c r="J202" s="194">
        <f>$I202*'Model Data Inputs'!$B$165</f>
        <v>55172.399999999994</v>
      </c>
      <c r="K202" s="194">
        <f>IF($L202&gt;='Model Data Inputs'!$B$164,$H202,MIN($H202,$J202))</f>
        <v>49574</v>
      </c>
      <c r="L202" s="208">
        <v>1959</v>
      </c>
      <c r="M202" s="196">
        <f>IF($L202&gt;0,'Model Data Inputs'!$B$157-$L202,"")</f>
        <v>58</v>
      </c>
      <c r="N202" s="209">
        <v>30</v>
      </c>
      <c r="O202" s="198">
        <f>'School Level Inst. Resources'!$L202</f>
        <v>334.51854385964913</v>
      </c>
      <c r="P202" s="198">
        <f>IF($G202="T",SUMIFS('School Level ADM'!$S$5:$S$359,'School Level ADM'!$A$5:$A$359,$A202),0)</f>
        <v>12798.258666666667</v>
      </c>
      <c r="Q202" s="199">
        <f t="shared" si="27"/>
        <v>2.6137817071232486E-2</v>
      </c>
      <c r="R202" s="200">
        <f>SUM((('School Level Inst. Resources'!I202/'Model Data Inputs'!$B$8)*(1+'Model Data Inputs'!$B$9)),(SUM('School Level Inst. Resources'!J202:K202)/'Model Data Inputs'!$C$8)*(1+'Model Data Inputs'!$C$9),'School Level Inst. Resources'!K202/400)</f>
        <v>22.301236257309942</v>
      </c>
      <c r="S202" s="200">
        <f t="shared" si="28"/>
        <v>22.301236257309942</v>
      </c>
      <c r="T202" s="201">
        <f>IF($G202="T",VLOOKUP($A202,'Total O &amp; M Resources'!$A$5:$K$52,3),0)</f>
        <v>90531635.030000046</v>
      </c>
      <c r="U202" s="202">
        <f>IF($G202="F",0,$S202/'Model Data Inputs'!$B$140)</f>
        <v>1.7154797121007648</v>
      </c>
      <c r="V202" s="202">
        <f>IF($G202="F",0,$O202/'Model Data Inputs'!$B$141)</f>
        <v>1.0292878272604589</v>
      </c>
      <c r="W202" s="202">
        <f>IF($G202="F",0,$N202/'Model Data Inputs'!$B$142)</f>
        <v>2.3076923076923075</v>
      </c>
      <c r="X202" s="202">
        <f>IF($G202="F",0,$K202/'Model Data Inputs'!$B$143)</f>
        <v>2.754111111111111</v>
      </c>
      <c r="Y202" s="202">
        <f t="shared" si="22"/>
        <v>1.9516427395411604</v>
      </c>
      <c r="Z202" s="202">
        <f>IF(OR($G202="F",$F202="E"),0,'Model Data Inputs'!$B$144)</f>
        <v>0</v>
      </c>
      <c r="AA202" s="202">
        <f>IF(AND($O202&lt;='Model Data Inputs'!$B$139,$F202="E"),0,IF(AND($O202&lt;='Model Data Inputs'!$B$139,$F202="M"),0,IF(AND($O202&lt;='Model Data Inputs'!$B$139,$F202="H"),0,IF(SUM($Y202:$Z202)&lt;1,1,SUM($Y202:$Z202)))))</f>
        <v>1.9516427395411604</v>
      </c>
      <c r="AB202" s="202">
        <f>($K202/'Model Data Inputs'!$B$143)*'Model Data Inputs'!$B$145</f>
        <v>0.27541111111111111</v>
      </c>
      <c r="AC202" s="202">
        <f t="shared" si="23"/>
        <v>2.2270538506522715</v>
      </c>
      <c r="AD202" s="202">
        <f>IF($G202="F",0,'Model Data Inputs'!$B$147)</f>
        <v>1.1000000000000001</v>
      </c>
      <c r="AE202" s="202">
        <f>IF($G202="F",0,($K202/'Model Data Inputs'!$B$148)*'Model Data Inputs'!$B$149)</f>
        <v>0.99148000000000003</v>
      </c>
      <c r="AF202" s="202">
        <f>IF($G202="F",0,($O202/'Model Data Inputs'!$B$150)*'Model Data Inputs'!$B$151)</f>
        <v>0.43487410701754386</v>
      </c>
      <c r="AG202" s="202">
        <f>IF($G202="F",0,(($Q202*$T202)/'Model Data Inputs'!$B$152)*'Model Data Inputs'!$B$153)</f>
        <v>0.56791183573769366</v>
      </c>
      <c r="AH202" s="202">
        <f t="shared" si="24"/>
        <v>0.77356648568880948</v>
      </c>
      <c r="AI202" s="203">
        <f>IF(OR($G202="F",$F202="M",$F202="H"),0,($AH202*'Model Data Inputs'!$B$154)-$AH202)</f>
        <v>-0.15471329713776183</v>
      </c>
      <c r="AJ202" s="202">
        <f>IF(OR($G202="F",$F202="E",$F202="H"),0,($AH202*'Model Data Inputs'!$B$155)-$AH202)</f>
        <v>0</v>
      </c>
      <c r="AK202" s="203">
        <f>IF(OR($G202="F",$F202="E",$F202="M"),0,($AH202*'Model Data Inputs'!$B$156)-$AH202)</f>
        <v>0</v>
      </c>
      <c r="AL202" s="203">
        <f>IF($G202="F",0,IF($M202&lt;'Model Data Inputs'!$B$158,$AH202*('Model Data Inputs'!$B$159-1),0))</f>
        <v>0</v>
      </c>
      <c r="AM202" s="202">
        <f>IF($G202="F",0,IF($M202&gt;'Model Data Inputs'!$B$160,$AH202*('Model Data Inputs'!$B$161-1),0))</f>
        <v>7.7356648568881012E-2</v>
      </c>
      <c r="AN202" s="202">
        <f>IF($G202="F",0,IF($P202&lt;'Model Data Inputs'!$B$162,SUM($AH202,$AI202,$AJ202,$AK202,$AL202,$AM202)*('Model Data Inputs'!$B$163-1),0))</f>
        <v>0</v>
      </c>
      <c r="AO202" s="202">
        <f t="shared" si="25"/>
        <v>0.69620983711992868</v>
      </c>
      <c r="AP202" s="204">
        <f>$K202*'Model Data Inputs'!$B$166</f>
        <v>33214.58</v>
      </c>
      <c r="AQ202" s="204">
        <f>($K202*'Model Data Inputs'!$B$145)*'Model Data Inputs'!$B$166</f>
        <v>3321.4580000000005</v>
      </c>
      <c r="AR202" s="50">
        <f t="shared" si="26"/>
        <v>36536.038</v>
      </c>
    </row>
    <row r="203" spans="1:44" x14ac:dyDescent="0.2">
      <c r="A203" s="227" t="str">
        <f>'School Level Inst. Resources'!A203</f>
        <v>1301000</v>
      </c>
      <c r="B203" s="227" t="str">
        <f>'School Level Inst. Resources'!B203</f>
        <v>Natrona #1</v>
      </c>
      <c r="C203" s="227" t="str">
        <f>'School Level Inst. Resources'!C203</f>
        <v>1301003</v>
      </c>
      <c r="D203" s="227" t="str">
        <f>'School Level Inst. Resources'!D203</f>
        <v>Evansville Elementary</v>
      </c>
      <c r="E203" s="228" t="str">
        <f>'School Level Inst. Resources'!E203</f>
        <v>P-5</v>
      </c>
      <c r="F203" s="229" t="str">
        <f>'School Level Inst. Resources'!H203</f>
        <v>E</v>
      </c>
      <c r="G203" s="229" t="s">
        <v>1158</v>
      </c>
      <c r="H203" s="207">
        <v>40193</v>
      </c>
      <c r="I203" s="207">
        <f>IF('SFD Allowable GSF Calculation'!$D$2=1,'SFD Allowable GSF Calculation'!$P203,'SFD Allowable GSF Calculation'!$X203)</f>
        <v>42895</v>
      </c>
      <c r="J203" s="194">
        <f>$I203*'Model Data Inputs'!$B$165</f>
        <v>49329.249999999993</v>
      </c>
      <c r="K203" s="194">
        <f>IF($L203&gt;='Model Data Inputs'!$B$164,$H203,MIN($H203,$J203))</f>
        <v>40193</v>
      </c>
      <c r="L203" s="208">
        <v>1972</v>
      </c>
      <c r="M203" s="196">
        <f>IF($L203&gt;0,'Model Data Inputs'!$B$157-$L203,"")</f>
        <v>45</v>
      </c>
      <c r="N203" s="209">
        <v>27</v>
      </c>
      <c r="O203" s="198">
        <f>'School Level Inst. Resources'!$L203</f>
        <v>279.23787719298247</v>
      </c>
      <c r="P203" s="198">
        <f>IF($G203="T",SUMIFS('School Level ADM'!$S$5:$S$359,'School Level ADM'!$A$5:$A$359,$A203),0)</f>
        <v>12798.258666666667</v>
      </c>
      <c r="Q203" s="199">
        <f t="shared" si="27"/>
        <v>2.181842737092534E-2</v>
      </c>
      <c r="R203" s="200">
        <f>SUM((('School Level Inst. Resources'!I203/'Model Data Inputs'!$B$8)*(1+'Model Data Inputs'!$B$9)),(SUM('School Level Inst. Resources'!J203:K203)/'Model Data Inputs'!$C$8)*(1+'Model Data Inputs'!$C$9),'School Level Inst. Resources'!K203/400)</f>
        <v>18.615858479532164</v>
      </c>
      <c r="S203" s="200">
        <f t="shared" si="28"/>
        <v>18.615858479532164</v>
      </c>
      <c r="T203" s="201">
        <f>IF($G203="T",VLOOKUP($A203,'Total O &amp; M Resources'!$A$5:$K$52,3),0)</f>
        <v>90531635.030000046</v>
      </c>
      <c r="U203" s="202">
        <f>IF($G203="F",0,$S203/'Model Data Inputs'!$B$140)</f>
        <v>1.4319891138101666</v>
      </c>
      <c r="V203" s="202">
        <f>IF($G203="F",0,$O203/'Model Data Inputs'!$B$141)</f>
        <v>0.85919346828609988</v>
      </c>
      <c r="W203" s="202">
        <f>IF($G203="F",0,$N203/'Model Data Inputs'!$B$142)</f>
        <v>2.0769230769230771</v>
      </c>
      <c r="X203" s="202">
        <f>IF($G203="F",0,$K203/'Model Data Inputs'!$B$143)</f>
        <v>2.2329444444444446</v>
      </c>
      <c r="Y203" s="202">
        <f t="shared" si="22"/>
        <v>1.6502625258659471</v>
      </c>
      <c r="Z203" s="202">
        <f>IF(OR($G203="F",$F203="E"),0,'Model Data Inputs'!$B$144)</f>
        <v>0</v>
      </c>
      <c r="AA203" s="202">
        <f>IF(AND($O203&lt;='Model Data Inputs'!$B$139,$F203="E"),0,IF(AND($O203&lt;='Model Data Inputs'!$B$139,$F203="M"),0,IF(AND($O203&lt;='Model Data Inputs'!$B$139,$F203="H"),0,IF(SUM($Y203:$Z203)&lt;1,1,SUM($Y203:$Z203)))))</f>
        <v>1.6502625258659471</v>
      </c>
      <c r="AB203" s="202">
        <f>($K203/'Model Data Inputs'!$B$143)*'Model Data Inputs'!$B$145</f>
        <v>0.22329444444444446</v>
      </c>
      <c r="AC203" s="202">
        <f t="shared" si="23"/>
        <v>1.8735569703103916</v>
      </c>
      <c r="AD203" s="202">
        <f>IF($G203="F",0,'Model Data Inputs'!$B$147)</f>
        <v>1.1000000000000001</v>
      </c>
      <c r="AE203" s="202">
        <f>IF($G203="F",0,($K203/'Model Data Inputs'!$B$148)*'Model Data Inputs'!$B$149)</f>
        <v>0.80386000000000002</v>
      </c>
      <c r="AF203" s="202">
        <f>IF($G203="F",0,($O203/'Model Data Inputs'!$B$150)*'Model Data Inputs'!$B$151)</f>
        <v>0.36300924035087723</v>
      </c>
      <c r="AG203" s="202">
        <f>IF($G203="F",0,(($Q203*$T203)/'Model Data Inputs'!$B$152)*'Model Data Inputs'!$B$153)</f>
        <v>0.47406189688156236</v>
      </c>
      <c r="AH203" s="202">
        <f t="shared" si="24"/>
        <v>0.68523278430810985</v>
      </c>
      <c r="AI203" s="203">
        <f>IF(OR($G203="F",$F203="M",$F203="H"),0,($AH203*'Model Data Inputs'!$B$154)-$AH203)</f>
        <v>-0.13704655686162193</v>
      </c>
      <c r="AJ203" s="202">
        <f>IF(OR($G203="F",$F203="E",$F203="H"),0,($AH203*'Model Data Inputs'!$B$155)-$AH203)</f>
        <v>0</v>
      </c>
      <c r="AK203" s="203">
        <f>IF(OR($G203="F",$F203="E",$F203="M"),0,($AH203*'Model Data Inputs'!$B$156)-$AH203)</f>
        <v>0</v>
      </c>
      <c r="AL203" s="203">
        <f>IF($G203="F",0,IF($M203&lt;'Model Data Inputs'!$B$158,$AH203*('Model Data Inputs'!$B$159-1),0))</f>
        <v>0</v>
      </c>
      <c r="AM203" s="202">
        <f>IF($G203="F",0,IF($M203&gt;'Model Data Inputs'!$B$160,$AH203*('Model Data Inputs'!$B$161-1),0))</f>
        <v>6.8523278430811047E-2</v>
      </c>
      <c r="AN203" s="202">
        <f>IF($G203="F",0,IF($P203&lt;'Model Data Inputs'!$B$162,SUM($AH203,$AI203,$AJ203,$AK203,$AL203,$AM203)*('Model Data Inputs'!$B$163-1),0))</f>
        <v>0</v>
      </c>
      <c r="AO203" s="202">
        <f t="shared" si="25"/>
        <v>0.616709505877299</v>
      </c>
      <c r="AP203" s="204">
        <f>$K203*'Model Data Inputs'!$B$166</f>
        <v>26929.31</v>
      </c>
      <c r="AQ203" s="204">
        <f>($K203*'Model Data Inputs'!$B$145)*'Model Data Inputs'!$B$166</f>
        <v>2692.9310000000005</v>
      </c>
      <c r="AR203" s="50">
        <f t="shared" si="26"/>
        <v>29622.241000000002</v>
      </c>
    </row>
    <row r="204" spans="1:44" x14ac:dyDescent="0.2">
      <c r="A204" s="227" t="str">
        <f>'School Level Inst. Resources'!A204</f>
        <v>1301000</v>
      </c>
      <c r="B204" s="227" t="str">
        <f>'School Level Inst. Resources'!B204</f>
        <v>Natrona #1</v>
      </c>
      <c r="C204" s="227" t="str">
        <f>'School Level Inst. Resources'!C204</f>
        <v>1301005</v>
      </c>
      <c r="D204" s="227" t="str">
        <f>'School Level Inst. Resources'!D204</f>
        <v>Cottonwood Elementary</v>
      </c>
      <c r="E204" s="228" t="str">
        <f>'School Level Inst. Resources'!E204</f>
        <v>P-5</v>
      </c>
      <c r="F204" s="229" t="str">
        <f>'School Level Inst. Resources'!H204</f>
        <v>E</v>
      </c>
      <c r="G204" s="229" t="s">
        <v>1158</v>
      </c>
      <c r="H204" s="207">
        <v>60191</v>
      </c>
      <c r="I204" s="207">
        <f>IF('SFD Allowable GSF Calculation'!$D$2=1,'SFD Allowable GSF Calculation'!$P204,'SFD Allowable GSF Calculation'!$X204)</f>
        <v>46231</v>
      </c>
      <c r="J204" s="194">
        <f>$I204*'Model Data Inputs'!$B$165</f>
        <v>53165.649999999994</v>
      </c>
      <c r="K204" s="194">
        <f>IF($L204&gt;='Model Data Inputs'!$B$164,$H204,MIN($H204,$J204))</f>
        <v>60191</v>
      </c>
      <c r="L204" s="208">
        <v>2009</v>
      </c>
      <c r="M204" s="196">
        <f>IF($L204&gt;0,'Model Data Inputs'!$B$157-$L204,"")</f>
        <v>8</v>
      </c>
      <c r="N204" s="209">
        <v>30</v>
      </c>
      <c r="O204" s="198">
        <f>'School Level Inst. Resources'!$L204</f>
        <v>322.65621052631582</v>
      </c>
      <c r="P204" s="198">
        <f>IF($G204="T",SUMIFS('School Level ADM'!$S$5:$S$359,'School Level ADM'!$A$5:$A$359,$A204),0)</f>
        <v>12798.258666666667</v>
      </c>
      <c r="Q204" s="199">
        <f t="shared" si="27"/>
        <v>2.5210946186505878E-2</v>
      </c>
      <c r="R204" s="200">
        <f>SUM((('School Level Inst. Resources'!I204/'Model Data Inputs'!$B$8)*(1+'Model Data Inputs'!$B$9)),(SUM('School Level Inst. Resources'!J204:K204)/'Model Data Inputs'!$C$8)*(1+'Model Data Inputs'!$C$9),'School Level Inst. Resources'!K204/400)</f>
        <v>21.51041403508772</v>
      </c>
      <c r="S204" s="200">
        <f t="shared" si="28"/>
        <v>21.51041403508772</v>
      </c>
      <c r="T204" s="201">
        <f>IF($G204="T",VLOOKUP($A204,'Total O &amp; M Resources'!$A$5:$K$52,3),0)</f>
        <v>90531635.030000046</v>
      </c>
      <c r="U204" s="202">
        <f>IF($G204="F",0,$S204/'Model Data Inputs'!$B$140)</f>
        <v>1.6546472334682862</v>
      </c>
      <c r="V204" s="202">
        <f>IF($G204="F",0,$O204/'Model Data Inputs'!$B$141)</f>
        <v>0.99278834008097172</v>
      </c>
      <c r="W204" s="202">
        <f>IF($G204="F",0,$N204/'Model Data Inputs'!$B$142)</f>
        <v>2.3076923076923075</v>
      </c>
      <c r="X204" s="202">
        <f>IF($G204="F",0,$K204/'Model Data Inputs'!$B$143)</f>
        <v>3.3439444444444444</v>
      </c>
      <c r="Y204" s="202">
        <f t="shared" si="22"/>
        <v>2.0747680814215026</v>
      </c>
      <c r="Z204" s="202">
        <f>IF(OR($G204="F",$F204="E"),0,'Model Data Inputs'!$B$144)</f>
        <v>0</v>
      </c>
      <c r="AA204" s="202">
        <f>IF(AND($O204&lt;='Model Data Inputs'!$B$139,$F204="E"),0,IF(AND($O204&lt;='Model Data Inputs'!$B$139,$F204="M"),0,IF(AND($O204&lt;='Model Data Inputs'!$B$139,$F204="H"),0,IF(SUM($Y204:$Z204)&lt;1,1,SUM($Y204:$Z204)))))</f>
        <v>2.0747680814215026</v>
      </c>
      <c r="AB204" s="202">
        <f>($K204/'Model Data Inputs'!$B$143)*'Model Data Inputs'!$B$145</f>
        <v>0.33439444444444444</v>
      </c>
      <c r="AC204" s="202">
        <f t="shared" si="23"/>
        <v>2.409162525865947</v>
      </c>
      <c r="AD204" s="202">
        <f>IF($G204="F",0,'Model Data Inputs'!$B$147)</f>
        <v>1.1000000000000001</v>
      </c>
      <c r="AE204" s="202">
        <f>IF($G204="F",0,($K204/'Model Data Inputs'!$B$148)*'Model Data Inputs'!$B$149)</f>
        <v>1.2038199999999999</v>
      </c>
      <c r="AF204" s="202">
        <f>IF($G204="F",0,($O204/'Model Data Inputs'!$B$150)*'Model Data Inputs'!$B$151)</f>
        <v>0.41945307368421059</v>
      </c>
      <c r="AG204" s="202">
        <f>IF($G204="F",0,(($Q204*$T204)/'Model Data Inputs'!$B$152)*'Model Data Inputs'!$B$153)</f>
        <v>0.54777316294025324</v>
      </c>
      <c r="AH204" s="202">
        <f t="shared" si="24"/>
        <v>0.81776155915611592</v>
      </c>
      <c r="AI204" s="203">
        <f>IF(OR($G204="F",$F204="M",$F204="H"),0,($AH204*'Model Data Inputs'!$B$154)-$AH204)</f>
        <v>-0.1635523118312231</v>
      </c>
      <c r="AJ204" s="202">
        <f>IF(OR($G204="F",$F204="E",$F204="H"),0,($AH204*'Model Data Inputs'!$B$155)-$AH204)</f>
        <v>0</v>
      </c>
      <c r="AK204" s="203">
        <f>IF(OR($G204="F",$F204="E",$F204="M"),0,($AH204*'Model Data Inputs'!$B$156)-$AH204)</f>
        <v>0</v>
      </c>
      <c r="AL204" s="203">
        <f>IF($G204="F",0,IF($M204&lt;'Model Data Inputs'!$B$158,$AH204*('Model Data Inputs'!$B$159-1),0))</f>
        <v>-4.088807795780583E-2</v>
      </c>
      <c r="AM204" s="202">
        <f>IF($G204="F",0,IF($M204&gt;'Model Data Inputs'!$B$160,$AH204*('Model Data Inputs'!$B$161-1),0))</f>
        <v>0</v>
      </c>
      <c r="AN204" s="202">
        <f>IF($G204="F",0,IF($P204&lt;'Model Data Inputs'!$B$162,SUM($AH204,$AI204,$AJ204,$AK204,$AL204,$AM204)*('Model Data Inputs'!$B$163-1),0))</f>
        <v>0</v>
      </c>
      <c r="AO204" s="202">
        <f t="shared" si="25"/>
        <v>0.61332116936708703</v>
      </c>
      <c r="AP204" s="204">
        <f>$K204*'Model Data Inputs'!$B$166</f>
        <v>40327.97</v>
      </c>
      <c r="AQ204" s="204">
        <f>($K204*'Model Data Inputs'!$B$145)*'Model Data Inputs'!$B$166</f>
        <v>4032.7970000000005</v>
      </c>
      <c r="AR204" s="50">
        <f t="shared" si="26"/>
        <v>44360.767</v>
      </c>
    </row>
    <row r="205" spans="1:44" x14ac:dyDescent="0.2">
      <c r="A205" s="227" t="str">
        <f>'School Level Inst. Resources'!A205</f>
        <v>1301000</v>
      </c>
      <c r="B205" s="227" t="str">
        <f>'School Level Inst. Resources'!B205</f>
        <v>Natrona #1</v>
      </c>
      <c r="C205" s="227" t="str">
        <f>'School Level Inst. Resources'!C205</f>
        <v>1301006</v>
      </c>
      <c r="D205" s="227" t="str">
        <f>'School Level Inst. Resources'!D205</f>
        <v>Ft. Caspar Academy</v>
      </c>
      <c r="E205" s="228" t="str">
        <f>'School Level Inst. Resources'!E205</f>
        <v>K-6</v>
      </c>
      <c r="F205" s="229" t="str">
        <f>'School Level Inst. Resources'!H205</f>
        <v>E</v>
      </c>
      <c r="G205" s="229" t="s">
        <v>1158</v>
      </c>
      <c r="H205" s="207">
        <v>61782</v>
      </c>
      <c r="I205" s="207">
        <f>IF('SFD Allowable GSF Calculation'!$D$2=1,'SFD Allowable GSF Calculation'!$P205,'SFD Allowable GSF Calculation'!$X205)</f>
        <v>57468</v>
      </c>
      <c r="J205" s="194">
        <f>$I205*'Model Data Inputs'!$B$165</f>
        <v>66088.2</v>
      </c>
      <c r="K205" s="194">
        <f>IF($L205&gt;='Model Data Inputs'!$B$164,$H205,MIN($H205,$J205))</f>
        <v>61782</v>
      </c>
      <c r="L205" s="208">
        <v>2006</v>
      </c>
      <c r="M205" s="196">
        <f>IF($L205&gt;0,'Model Data Inputs'!$B$157-$L205,"")</f>
        <v>11</v>
      </c>
      <c r="N205" s="209">
        <v>32</v>
      </c>
      <c r="O205" s="198">
        <f>'School Level Inst. Resources'!$L205</f>
        <v>435.82887719298242</v>
      </c>
      <c r="P205" s="198">
        <f>IF($G205="T",SUMIFS('School Level ADM'!$S$5:$S$359,'School Level ADM'!$A$5:$A$359,$A205),0)</f>
        <v>12798.258666666667</v>
      </c>
      <c r="Q205" s="199">
        <f t="shared" si="27"/>
        <v>3.4053763761480137E-2</v>
      </c>
      <c r="R205" s="200">
        <f>SUM((('School Level Inst. Resources'!I205/'Model Data Inputs'!$B$8)*(1+'Model Data Inputs'!$B$9)),(SUM('School Level Inst. Resources'!J205:K205)/'Model Data Inputs'!$C$8)*(1+'Model Data Inputs'!$C$9),'School Level Inst. Resources'!K205/400)</f>
        <v>29.055258479532156</v>
      </c>
      <c r="S205" s="200">
        <f t="shared" si="28"/>
        <v>29.055258479532156</v>
      </c>
      <c r="T205" s="201">
        <f>IF($G205="T",VLOOKUP($A205,'Total O &amp; M Resources'!$A$5:$K$52,3),0)</f>
        <v>90531635.030000046</v>
      </c>
      <c r="U205" s="202">
        <f>IF($G205="F",0,$S205/'Model Data Inputs'!$B$140)</f>
        <v>2.2350198830409349</v>
      </c>
      <c r="V205" s="202">
        <f>IF($G205="F",0,$O205/'Model Data Inputs'!$B$141)</f>
        <v>1.3410119298245613</v>
      </c>
      <c r="W205" s="202">
        <f>IF($G205="F",0,$N205/'Model Data Inputs'!$B$142)</f>
        <v>2.4615384615384617</v>
      </c>
      <c r="X205" s="202">
        <f>IF($G205="F",0,$K205/'Model Data Inputs'!$B$143)</f>
        <v>3.4323333333333332</v>
      </c>
      <c r="Y205" s="202">
        <f t="shared" si="22"/>
        <v>2.3674759019343226</v>
      </c>
      <c r="Z205" s="202">
        <f>IF(OR($G205="F",$F205="E"),0,'Model Data Inputs'!$B$144)</f>
        <v>0</v>
      </c>
      <c r="AA205" s="202">
        <f>IF(AND($O205&lt;='Model Data Inputs'!$B$139,$F205="E"),0,IF(AND($O205&lt;='Model Data Inputs'!$B$139,$F205="M"),0,IF(AND($O205&lt;='Model Data Inputs'!$B$139,$F205="H"),0,IF(SUM($Y205:$Z205)&lt;1,1,SUM($Y205:$Z205)))))</f>
        <v>2.3674759019343226</v>
      </c>
      <c r="AB205" s="202">
        <f>($K205/'Model Data Inputs'!$B$143)*'Model Data Inputs'!$B$145</f>
        <v>0.34323333333333333</v>
      </c>
      <c r="AC205" s="202">
        <f t="shared" si="23"/>
        <v>2.7107092352676561</v>
      </c>
      <c r="AD205" s="202">
        <f>IF($G205="F",0,'Model Data Inputs'!$B$147)</f>
        <v>1.1000000000000001</v>
      </c>
      <c r="AE205" s="202">
        <f>IF($G205="F",0,($K205/'Model Data Inputs'!$B$148)*'Model Data Inputs'!$B$149)</f>
        <v>1.2356400000000001</v>
      </c>
      <c r="AF205" s="202">
        <f>IF($G205="F",0,($O205/'Model Data Inputs'!$B$150)*'Model Data Inputs'!$B$151)</f>
        <v>0.56657754035087715</v>
      </c>
      <c r="AG205" s="202">
        <f>IF($G205="F",0,(($Q205*$T205)/'Model Data Inputs'!$B$152)*'Model Data Inputs'!$B$153)</f>
        <v>0.73990629894051863</v>
      </c>
      <c r="AH205" s="202">
        <f t="shared" si="24"/>
        <v>0.91053095982284893</v>
      </c>
      <c r="AI205" s="203">
        <f>IF(OR($G205="F",$F205="M",$F205="H"),0,($AH205*'Model Data Inputs'!$B$154)-$AH205)</f>
        <v>-0.18210619196456979</v>
      </c>
      <c r="AJ205" s="202">
        <f>IF(OR($G205="F",$F205="E",$F205="H"),0,($AH205*'Model Data Inputs'!$B$155)-$AH205)</f>
        <v>0</v>
      </c>
      <c r="AK205" s="203">
        <f>IF(OR($G205="F",$F205="E",$F205="M"),0,($AH205*'Model Data Inputs'!$B$156)-$AH205)</f>
        <v>0</v>
      </c>
      <c r="AL205" s="203">
        <f>IF($G205="F",0,IF($M205&lt;'Model Data Inputs'!$B$158,$AH205*('Model Data Inputs'!$B$159-1),0))</f>
        <v>0</v>
      </c>
      <c r="AM205" s="202">
        <f>IF($G205="F",0,IF($M205&gt;'Model Data Inputs'!$B$160,$AH205*('Model Data Inputs'!$B$161-1),0))</f>
        <v>0</v>
      </c>
      <c r="AN205" s="202">
        <f>IF($G205="F",0,IF($P205&lt;'Model Data Inputs'!$B$162,SUM($AH205,$AI205,$AJ205,$AK205,$AL205,$AM205)*('Model Data Inputs'!$B$163-1),0))</f>
        <v>0</v>
      </c>
      <c r="AO205" s="202">
        <f t="shared" si="25"/>
        <v>0.72842476785827914</v>
      </c>
      <c r="AP205" s="204">
        <f>$K205*'Model Data Inputs'!$B$166</f>
        <v>41393.94</v>
      </c>
      <c r="AQ205" s="204">
        <f>($K205*'Model Data Inputs'!$B$145)*'Model Data Inputs'!$B$166</f>
        <v>4139.3940000000011</v>
      </c>
      <c r="AR205" s="50">
        <f t="shared" si="26"/>
        <v>45533.334000000003</v>
      </c>
    </row>
    <row r="206" spans="1:44" x14ac:dyDescent="0.2">
      <c r="A206" s="227" t="str">
        <f>'School Level Inst. Resources'!A206</f>
        <v>1301000</v>
      </c>
      <c r="B206" s="227" t="str">
        <f>'School Level Inst. Resources'!B206</f>
        <v>Natrona #1</v>
      </c>
      <c r="C206" s="227" t="str">
        <f>'School Level Inst. Resources'!C206</f>
        <v>1301009</v>
      </c>
      <c r="D206" s="227" t="str">
        <f>'School Level Inst. Resources'!D206</f>
        <v>Sagewood Elementary</v>
      </c>
      <c r="E206" s="228" t="str">
        <f>'School Level Inst. Resources'!E206</f>
        <v>K-5</v>
      </c>
      <c r="F206" s="229" t="str">
        <f>'School Level Inst. Resources'!H206</f>
        <v>E</v>
      </c>
      <c r="G206" s="229" t="s">
        <v>1158</v>
      </c>
      <c r="H206" s="207">
        <v>38621</v>
      </c>
      <c r="I206" s="207">
        <f>IF('SFD Allowable GSF Calculation'!$D$2=1,'SFD Allowable GSF Calculation'!$P206,'SFD Allowable GSF Calculation'!$X206)</f>
        <v>46270</v>
      </c>
      <c r="J206" s="194">
        <f>$I206*'Model Data Inputs'!$B$165</f>
        <v>53210.499999999993</v>
      </c>
      <c r="K206" s="194">
        <f>IF($L206&gt;='Model Data Inputs'!$B$164,$H206,MIN($H206,$J206))</f>
        <v>38621</v>
      </c>
      <c r="L206" s="208">
        <v>1984</v>
      </c>
      <c r="M206" s="196">
        <f>IF($L206&gt;0,'Model Data Inputs'!$B$157-$L206,"")</f>
        <v>33</v>
      </c>
      <c r="N206" s="209">
        <v>21</v>
      </c>
      <c r="O206" s="198">
        <f>'School Level Inst. Resources'!$L206</f>
        <v>311.96321052631578</v>
      </c>
      <c r="P206" s="198">
        <f>IF($G206="T",SUMIFS('School Level ADM'!$S$5:$S$359,'School Level ADM'!$A$5:$A$359,$A206),0)</f>
        <v>12798.258666666667</v>
      </c>
      <c r="Q206" s="199">
        <f t="shared" si="27"/>
        <v>2.4375441898109976E-2</v>
      </c>
      <c r="R206" s="200">
        <f>SUM((('School Level Inst. Resources'!I206/'Model Data Inputs'!$B$8)*(1+'Model Data Inputs'!$B$9)),(SUM('School Level Inst. Resources'!J206:K206)/'Model Data Inputs'!$C$8)*(1+'Model Data Inputs'!$C$9),'School Level Inst. Resources'!K206/400)</f>
        <v>20.79754736842105</v>
      </c>
      <c r="S206" s="200">
        <f t="shared" si="28"/>
        <v>20.79754736842105</v>
      </c>
      <c r="T206" s="201">
        <f>IF($G206="T",VLOOKUP($A206,'Total O &amp; M Resources'!$A$5:$K$52,3),0)</f>
        <v>90531635.030000046</v>
      </c>
      <c r="U206" s="202">
        <f>IF($G206="F",0,$S206/'Model Data Inputs'!$B$140)</f>
        <v>1.5998113360323885</v>
      </c>
      <c r="V206" s="202">
        <f>IF($G206="F",0,$O206/'Model Data Inputs'!$B$141)</f>
        <v>0.95988680161943318</v>
      </c>
      <c r="W206" s="202">
        <f>IF($G206="F",0,$N206/'Model Data Inputs'!$B$142)</f>
        <v>1.6153846153846154</v>
      </c>
      <c r="X206" s="202">
        <f>IF($G206="F",0,$K206/'Model Data Inputs'!$B$143)</f>
        <v>2.1456111111111111</v>
      </c>
      <c r="Y206" s="202">
        <f t="shared" si="22"/>
        <v>1.5801734660368869</v>
      </c>
      <c r="Z206" s="202">
        <f>IF(OR($G206="F",$F206="E"),0,'Model Data Inputs'!$B$144)</f>
        <v>0</v>
      </c>
      <c r="AA206" s="202">
        <f>IF(AND($O206&lt;='Model Data Inputs'!$B$139,$F206="E"),0,IF(AND($O206&lt;='Model Data Inputs'!$B$139,$F206="M"),0,IF(AND($O206&lt;='Model Data Inputs'!$B$139,$F206="H"),0,IF(SUM($Y206:$Z206)&lt;1,1,SUM($Y206:$Z206)))))</f>
        <v>1.5801734660368869</v>
      </c>
      <c r="AB206" s="202">
        <f>($K206/'Model Data Inputs'!$B$143)*'Model Data Inputs'!$B$145</f>
        <v>0.21456111111111112</v>
      </c>
      <c r="AC206" s="202">
        <f t="shared" si="23"/>
        <v>1.7947345771479981</v>
      </c>
      <c r="AD206" s="202">
        <f>IF($G206="F",0,'Model Data Inputs'!$B$147)</f>
        <v>1.1000000000000001</v>
      </c>
      <c r="AE206" s="202">
        <f>IF($G206="F",0,($K206/'Model Data Inputs'!$B$148)*'Model Data Inputs'!$B$149)</f>
        <v>0.77242</v>
      </c>
      <c r="AF206" s="202">
        <f>IF($G206="F",0,($O206/'Model Data Inputs'!$B$150)*'Model Data Inputs'!$B$151)</f>
        <v>0.40555217368421048</v>
      </c>
      <c r="AG206" s="202">
        <f>IF($G206="F",0,(($Q206*$T206)/'Model Data Inputs'!$B$152)*'Model Data Inputs'!$B$153)</f>
        <v>0.52961966630751933</v>
      </c>
      <c r="AH206" s="202">
        <f t="shared" si="24"/>
        <v>0.70189795999793236</v>
      </c>
      <c r="AI206" s="203">
        <f>IF(OR($G206="F",$F206="M",$F206="H"),0,($AH206*'Model Data Inputs'!$B$154)-$AH206)</f>
        <v>-0.14037959199958649</v>
      </c>
      <c r="AJ206" s="202">
        <f>IF(OR($G206="F",$F206="E",$F206="H"),0,($AH206*'Model Data Inputs'!$B$155)-$AH206)</f>
        <v>0</v>
      </c>
      <c r="AK206" s="203">
        <f>IF(OR($G206="F",$F206="E",$F206="M"),0,($AH206*'Model Data Inputs'!$B$156)-$AH206)</f>
        <v>0</v>
      </c>
      <c r="AL206" s="203">
        <f>IF($G206="F",0,IF($M206&lt;'Model Data Inputs'!$B$158,$AH206*('Model Data Inputs'!$B$159-1),0))</f>
        <v>0</v>
      </c>
      <c r="AM206" s="202">
        <f>IF($G206="F",0,IF($M206&gt;'Model Data Inputs'!$B$160,$AH206*('Model Data Inputs'!$B$161-1),0))</f>
        <v>7.0189795999793303E-2</v>
      </c>
      <c r="AN206" s="202">
        <f>IF($G206="F",0,IF($P206&lt;'Model Data Inputs'!$B$162,SUM($AH206,$AI206,$AJ206,$AK206,$AL206,$AM206)*('Model Data Inputs'!$B$163-1),0))</f>
        <v>0</v>
      </c>
      <c r="AO206" s="202">
        <f t="shared" si="25"/>
        <v>0.63170816399813923</v>
      </c>
      <c r="AP206" s="204">
        <f>$K206*'Model Data Inputs'!$B$166</f>
        <v>25876.070000000003</v>
      </c>
      <c r="AQ206" s="204">
        <f>($K206*'Model Data Inputs'!$B$145)*'Model Data Inputs'!$B$166</f>
        <v>2587.6070000000004</v>
      </c>
      <c r="AR206" s="50">
        <f t="shared" si="26"/>
        <v>28463.677000000003</v>
      </c>
    </row>
    <row r="207" spans="1:44" x14ac:dyDescent="0.2">
      <c r="A207" s="227" t="str">
        <f>'School Level Inst. Resources'!A207</f>
        <v>1301000</v>
      </c>
      <c r="B207" s="227" t="str">
        <f>'School Level Inst. Resources'!B207</f>
        <v>Natrona #1</v>
      </c>
      <c r="C207" s="227" t="str">
        <f>'School Level Inst. Resources'!C207</f>
        <v>1301011</v>
      </c>
      <c r="D207" s="227" t="str">
        <f>'School Level Inst. Resources'!D207</f>
        <v>Manor Heights Elementary</v>
      </c>
      <c r="E207" s="228" t="str">
        <f>'School Level Inst. Resources'!E207</f>
        <v>K-6</v>
      </c>
      <c r="F207" s="229" t="str">
        <f>'School Level Inst. Resources'!H207</f>
        <v>E</v>
      </c>
      <c r="G207" s="229" t="s">
        <v>1158</v>
      </c>
      <c r="H207" s="207">
        <v>44900</v>
      </c>
      <c r="I207" s="207">
        <f>IF('SFD Allowable GSF Calculation'!$D$2=1,'SFD Allowable GSF Calculation'!$P207,'SFD Allowable GSF Calculation'!$X207)</f>
        <v>46752</v>
      </c>
      <c r="J207" s="194">
        <f>$I207*'Model Data Inputs'!$B$165</f>
        <v>53764.799999999996</v>
      </c>
      <c r="K207" s="194">
        <f>IF($L207&gt;='Model Data Inputs'!$B$164,$H207,MIN($H207,$J207))</f>
        <v>44900</v>
      </c>
      <c r="L207" s="208">
        <v>1968</v>
      </c>
      <c r="M207" s="196">
        <f>IF($L207&gt;0,'Model Data Inputs'!$B$157-$L207,"")</f>
        <v>49</v>
      </c>
      <c r="N207" s="209">
        <v>24</v>
      </c>
      <c r="O207" s="198">
        <f>'School Level Inst. Resources'!$L207</f>
        <v>317.44854385964913</v>
      </c>
      <c r="P207" s="198">
        <f>IF($G207="T",SUMIFS('School Level ADM'!$S$5:$S$359,'School Level ADM'!$A$5:$A$359,$A207),0)</f>
        <v>12798.258666666667</v>
      </c>
      <c r="Q207" s="199">
        <f t="shared" si="27"/>
        <v>2.4804041872231456E-2</v>
      </c>
      <c r="R207" s="200">
        <f>SUM((('School Level Inst. Resources'!I207/'Model Data Inputs'!$B$8)*(1+'Model Data Inputs'!$B$9)),(SUM('School Level Inst. Resources'!J207:K207)/'Model Data Inputs'!$C$8)*(1+'Model Data Inputs'!$C$9),'School Level Inst. Resources'!K207/400)</f>
        <v>21.163236257309944</v>
      </c>
      <c r="S207" s="200">
        <f t="shared" si="28"/>
        <v>21.163236257309944</v>
      </c>
      <c r="T207" s="201">
        <f>IF($G207="T",VLOOKUP($A207,'Total O &amp; M Resources'!$A$5:$K$52,3),0)</f>
        <v>90531635.030000046</v>
      </c>
      <c r="U207" s="202">
        <f>IF($G207="F",0,$S207/'Model Data Inputs'!$B$140)</f>
        <v>1.6279412505623034</v>
      </c>
      <c r="V207" s="202">
        <f>IF($G207="F",0,$O207/'Model Data Inputs'!$B$141)</f>
        <v>0.97676475033738197</v>
      </c>
      <c r="W207" s="202">
        <f>IF($G207="F",0,$N207/'Model Data Inputs'!$B$142)</f>
        <v>1.8461538461538463</v>
      </c>
      <c r="X207" s="202">
        <f>IF($G207="F",0,$K207/'Model Data Inputs'!$B$143)</f>
        <v>2.4944444444444445</v>
      </c>
      <c r="Y207" s="202">
        <f t="shared" si="22"/>
        <v>1.736326072874494</v>
      </c>
      <c r="Z207" s="202">
        <f>IF(OR($G207="F",$F207="E"),0,'Model Data Inputs'!$B$144)</f>
        <v>0</v>
      </c>
      <c r="AA207" s="202">
        <f>IF(AND($O207&lt;='Model Data Inputs'!$B$139,$F207="E"),0,IF(AND($O207&lt;='Model Data Inputs'!$B$139,$F207="M"),0,IF(AND($O207&lt;='Model Data Inputs'!$B$139,$F207="H"),0,IF(SUM($Y207:$Z207)&lt;1,1,SUM($Y207:$Z207)))))</f>
        <v>1.736326072874494</v>
      </c>
      <c r="AB207" s="202">
        <f>($K207/'Model Data Inputs'!$B$143)*'Model Data Inputs'!$B$145</f>
        <v>0.24944444444444447</v>
      </c>
      <c r="AC207" s="202">
        <f t="shared" si="23"/>
        <v>1.9857705173189384</v>
      </c>
      <c r="AD207" s="202">
        <f>IF($G207="F",0,'Model Data Inputs'!$B$147)</f>
        <v>1.1000000000000001</v>
      </c>
      <c r="AE207" s="202">
        <f>IF($G207="F",0,($K207/'Model Data Inputs'!$B$148)*'Model Data Inputs'!$B$149)</f>
        <v>0.89799999999999991</v>
      </c>
      <c r="AF207" s="202">
        <f>IF($G207="F",0,($O207/'Model Data Inputs'!$B$150)*'Model Data Inputs'!$B$151)</f>
        <v>0.4126831070175439</v>
      </c>
      <c r="AG207" s="202">
        <f>IF($G207="F",0,(($Q207*$T207)/'Model Data Inputs'!$B$152)*'Model Data Inputs'!$B$153)</f>
        <v>0.53893211185096734</v>
      </c>
      <c r="AH207" s="202">
        <f t="shared" si="24"/>
        <v>0.73740380471712785</v>
      </c>
      <c r="AI207" s="203">
        <f>IF(OR($G207="F",$F207="M",$F207="H"),0,($AH207*'Model Data Inputs'!$B$154)-$AH207)</f>
        <v>-0.14748076094342555</v>
      </c>
      <c r="AJ207" s="202">
        <f>IF(OR($G207="F",$F207="E",$F207="H"),0,($AH207*'Model Data Inputs'!$B$155)-$AH207)</f>
        <v>0</v>
      </c>
      <c r="AK207" s="203">
        <f>IF(OR($G207="F",$F207="E",$F207="M"),0,($AH207*'Model Data Inputs'!$B$156)-$AH207)</f>
        <v>0</v>
      </c>
      <c r="AL207" s="203">
        <f>IF($G207="F",0,IF($M207&lt;'Model Data Inputs'!$B$158,$AH207*('Model Data Inputs'!$B$159-1),0))</f>
        <v>0</v>
      </c>
      <c r="AM207" s="202">
        <f>IF($G207="F",0,IF($M207&gt;'Model Data Inputs'!$B$160,$AH207*('Model Data Inputs'!$B$161-1),0))</f>
        <v>7.3740380471712857E-2</v>
      </c>
      <c r="AN207" s="202">
        <f>IF($G207="F",0,IF($P207&lt;'Model Data Inputs'!$B$162,SUM($AH207,$AI207,$AJ207,$AK207,$AL207,$AM207)*('Model Data Inputs'!$B$163-1),0))</f>
        <v>0</v>
      </c>
      <c r="AO207" s="202">
        <f t="shared" si="25"/>
        <v>0.66366342424541513</v>
      </c>
      <c r="AP207" s="204">
        <f>$K207*'Model Data Inputs'!$B$166</f>
        <v>30083</v>
      </c>
      <c r="AQ207" s="204">
        <f>($K207*'Model Data Inputs'!$B$145)*'Model Data Inputs'!$B$166</f>
        <v>3008.3</v>
      </c>
      <c r="AR207" s="50">
        <f t="shared" si="26"/>
        <v>33091.300000000003</v>
      </c>
    </row>
    <row r="208" spans="1:44" x14ac:dyDescent="0.2">
      <c r="A208" s="227" t="str">
        <f>'School Level Inst. Resources'!A208</f>
        <v>1301000</v>
      </c>
      <c r="B208" s="227" t="str">
        <f>'School Level Inst. Resources'!B208</f>
        <v>Natrona #1</v>
      </c>
      <c r="C208" s="227" t="str">
        <f>'School Level Inst. Resources'!C208</f>
        <v>1301014</v>
      </c>
      <c r="D208" s="227" t="str">
        <f>'School Level Inst. Resources'!D208</f>
        <v>Journey Elementary</v>
      </c>
      <c r="E208" s="228" t="str">
        <f>'School Level Inst. Resources'!E208</f>
        <v>P-5</v>
      </c>
      <c r="F208" s="229" t="str">
        <f>'School Level Inst. Resources'!H208</f>
        <v>E</v>
      </c>
      <c r="G208" s="229" t="s">
        <v>1158</v>
      </c>
      <c r="H208" s="207">
        <v>53211</v>
      </c>
      <c r="I208" s="207">
        <f>IF('SFD Allowable GSF Calculation'!$D$2=1,'SFD Allowable GSF Calculation'!$P208,'SFD Allowable GSF Calculation'!$X208)</f>
        <v>32681</v>
      </c>
      <c r="J208" s="194">
        <f>$I208*'Model Data Inputs'!$B$165</f>
        <v>37583.149999999994</v>
      </c>
      <c r="K208" s="194">
        <f>IF($L208&gt;='Model Data Inputs'!$B$164,$H208,MIN($H208,$J208))</f>
        <v>53211</v>
      </c>
      <c r="L208" s="208">
        <v>2017</v>
      </c>
      <c r="M208" s="196">
        <f>IF($L208&gt;0,'Model Data Inputs'!$B$157-$L208,"")</f>
        <v>0</v>
      </c>
      <c r="N208" s="209">
        <v>24</v>
      </c>
      <c r="O208" s="198">
        <f>'School Level Inst. Resources'!$L208</f>
        <v>222.67387719298245</v>
      </c>
      <c r="P208" s="198">
        <f>IF($G208="T",SUMIFS('School Level ADM'!$S$5:$S$359,'School Level ADM'!$A$5:$A$359,$A208),0)</f>
        <v>12798.258666666667</v>
      </c>
      <c r="Q208" s="199">
        <f t="shared" si="27"/>
        <v>1.7398763612501537E-2</v>
      </c>
      <c r="R208" s="200">
        <f>SUM((('School Level Inst. Resources'!I208/'Model Data Inputs'!$B$8)*(1+'Model Data Inputs'!$B$9)),(SUM('School Level Inst. Resources'!J208:K208)/'Model Data Inputs'!$C$8)*(1+'Model Data Inputs'!$C$9),'School Level Inst. Resources'!K208/400)</f>
        <v>14.844925146198829</v>
      </c>
      <c r="S208" s="200">
        <f t="shared" si="28"/>
        <v>14.844925146198829</v>
      </c>
      <c r="T208" s="201">
        <f>IF($G208="T",VLOOKUP($A208,'Total O &amp; M Resources'!$A$5:$K$52,3),0)</f>
        <v>90531635.030000046</v>
      </c>
      <c r="U208" s="202">
        <f>IF($G208="F",0,$S208/'Model Data Inputs'!$B$140)</f>
        <v>1.1419173189383716</v>
      </c>
      <c r="V208" s="202">
        <f>IF($G208="F",0,$O208/'Model Data Inputs'!$B$141)</f>
        <v>0.68515039136302291</v>
      </c>
      <c r="W208" s="202">
        <f>IF($G208="F",0,$N208/'Model Data Inputs'!$B$142)</f>
        <v>1.8461538461538463</v>
      </c>
      <c r="X208" s="202">
        <f>IF($G208="F",0,$K208/'Model Data Inputs'!$B$143)</f>
        <v>2.9561666666666668</v>
      </c>
      <c r="Y208" s="202">
        <f t="shared" si="22"/>
        <v>1.6573470557804768</v>
      </c>
      <c r="Z208" s="202">
        <f>IF(OR($G208="F",$F208="E"),0,'Model Data Inputs'!$B$144)</f>
        <v>0</v>
      </c>
      <c r="AA208" s="202">
        <f>IF(AND($O208&lt;='Model Data Inputs'!$B$139,$F208="E"),0,IF(AND($O208&lt;='Model Data Inputs'!$B$139,$F208="M"),0,IF(AND($O208&lt;='Model Data Inputs'!$B$139,$F208="H"),0,IF(SUM($Y208:$Z208)&lt;1,1,SUM($Y208:$Z208)))))</f>
        <v>1.6573470557804768</v>
      </c>
      <c r="AB208" s="202">
        <f>($K208/'Model Data Inputs'!$B$143)*'Model Data Inputs'!$B$145</f>
        <v>0.29561666666666669</v>
      </c>
      <c r="AC208" s="202">
        <f t="shared" si="23"/>
        <v>1.9529637224471434</v>
      </c>
      <c r="AD208" s="202">
        <f>IF($G208="F",0,'Model Data Inputs'!$B$147)</f>
        <v>1.1000000000000001</v>
      </c>
      <c r="AE208" s="202">
        <f>IF($G208="F",0,($K208/'Model Data Inputs'!$B$148)*'Model Data Inputs'!$B$149)</f>
        <v>1.0642199999999999</v>
      </c>
      <c r="AF208" s="202">
        <f>IF($G208="F",0,($O208/'Model Data Inputs'!$B$150)*'Model Data Inputs'!$B$151)</f>
        <v>0.28947604035087721</v>
      </c>
      <c r="AG208" s="202">
        <f>IF($G208="F",0,(($Q208*$T208)/'Model Data Inputs'!$B$152)*'Model Data Inputs'!$B$153)</f>
        <v>0.37803324416165623</v>
      </c>
      <c r="AH208" s="202">
        <f t="shared" si="24"/>
        <v>0.70793232112813342</v>
      </c>
      <c r="AI208" s="203">
        <f>IF(OR($G208="F",$F208="M",$F208="H"),0,($AH208*'Model Data Inputs'!$B$154)-$AH208)</f>
        <v>-0.14158646422562671</v>
      </c>
      <c r="AJ208" s="202">
        <f>IF(OR($G208="F",$F208="E",$F208="H"),0,($AH208*'Model Data Inputs'!$B$155)-$AH208)</f>
        <v>0</v>
      </c>
      <c r="AK208" s="203">
        <f>IF(OR($G208="F",$F208="E",$F208="M"),0,($AH208*'Model Data Inputs'!$B$156)-$AH208)</f>
        <v>0</v>
      </c>
      <c r="AL208" s="203">
        <f>IF($G208="F",0,IF($M208&lt;'Model Data Inputs'!$B$158,$AH208*('Model Data Inputs'!$B$159-1),0))</f>
        <v>-3.5396616056406704E-2</v>
      </c>
      <c r="AM208" s="202">
        <f>IF($G208="F",0,IF($M208&gt;'Model Data Inputs'!$B$160,$AH208*('Model Data Inputs'!$B$161-1),0))</f>
        <v>0</v>
      </c>
      <c r="AN208" s="202">
        <f>IF($G208="F",0,IF($P208&lt;'Model Data Inputs'!$B$162,SUM($AH208,$AI208,$AJ208,$AK208,$AL208,$AM208)*('Model Data Inputs'!$B$163-1),0))</f>
        <v>0</v>
      </c>
      <c r="AO208" s="202">
        <f t="shared" si="25"/>
        <v>0.53094924084610007</v>
      </c>
      <c r="AP208" s="204">
        <f>$K208*'Model Data Inputs'!$B$166</f>
        <v>35651.370000000003</v>
      </c>
      <c r="AQ208" s="204">
        <f>($K208*'Model Data Inputs'!$B$145)*'Model Data Inputs'!$B$166</f>
        <v>3565.1370000000006</v>
      </c>
      <c r="AR208" s="50">
        <f t="shared" si="26"/>
        <v>39216.507000000005</v>
      </c>
    </row>
    <row r="209" spans="1:44" x14ac:dyDescent="0.2">
      <c r="A209" s="227" t="str">
        <f>'School Level Inst. Resources'!A209</f>
        <v>1301000</v>
      </c>
      <c r="B209" s="227" t="str">
        <f>'School Level Inst. Resources'!B209</f>
        <v>Natrona #1</v>
      </c>
      <c r="C209" s="227" t="str">
        <f>'School Level Inst. Resources'!C209</f>
        <v>1301015</v>
      </c>
      <c r="D209" s="227" t="str">
        <f>'School Level Inst. Resources'!D209</f>
        <v>Mountain View Elementary</v>
      </c>
      <c r="E209" s="228" t="str">
        <f>'School Level Inst. Resources'!E209</f>
        <v>P-5</v>
      </c>
      <c r="F209" s="229" t="str">
        <f>'School Level Inst. Resources'!H209</f>
        <v>E</v>
      </c>
      <c r="G209" s="229" t="s">
        <v>1158</v>
      </c>
      <c r="H209" s="207">
        <v>47403</v>
      </c>
      <c r="I209" s="207">
        <f>IF('SFD Allowable GSF Calculation'!$D$2=1,'SFD Allowable GSF Calculation'!$P209,'SFD Allowable GSF Calculation'!$X209)</f>
        <v>29902</v>
      </c>
      <c r="J209" s="194">
        <f>$I209*'Model Data Inputs'!$B$165</f>
        <v>34387.299999999996</v>
      </c>
      <c r="K209" s="194">
        <f>IF($L209&gt;='Model Data Inputs'!$B$164,$H209,MIN($H209,$J209))</f>
        <v>34387.299999999996</v>
      </c>
      <c r="L209" s="208">
        <v>1959</v>
      </c>
      <c r="M209" s="196">
        <f>IF($L209&gt;0,'Model Data Inputs'!$B$157-$L209,"")</f>
        <v>58</v>
      </c>
      <c r="N209" s="209">
        <v>24</v>
      </c>
      <c r="O209" s="198">
        <f>'School Level Inst. Resources'!$L209</f>
        <v>170.60321052631579</v>
      </c>
      <c r="P209" s="198">
        <f>IF($G209="T",SUMIFS('School Level ADM'!$S$5:$S$359,'School Level ADM'!$A$5:$A$359,$A209),0)</f>
        <v>12798.258666666667</v>
      </c>
      <c r="Q209" s="199">
        <f t="shared" si="27"/>
        <v>1.3330189283535536E-2</v>
      </c>
      <c r="R209" s="200">
        <f>SUM((('School Level Inst. Resources'!I209/'Model Data Inputs'!$B$8)*(1+'Model Data Inputs'!$B$9)),(SUM('School Level Inst. Resources'!J209:K209)/'Model Data Inputs'!$C$8)*(1+'Model Data Inputs'!$C$9),'School Level Inst. Resources'!K209/400)</f>
        <v>11.373547368421052</v>
      </c>
      <c r="S209" s="200">
        <f t="shared" si="28"/>
        <v>11.373547368421052</v>
      </c>
      <c r="T209" s="201">
        <f>IF($G209="T",VLOOKUP($A209,'Total O &amp; M Resources'!$A$5:$K$52,3),0)</f>
        <v>90531635.030000046</v>
      </c>
      <c r="U209" s="202">
        <f>IF($G209="F",0,$S209/'Model Data Inputs'!$B$140)</f>
        <v>0.87488825910931167</v>
      </c>
      <c r="V209" s="202">
        <f>IF($G209="F",0,$O209/'Model Data Inputs'!$B$141)</f>
        <v>0.52493295546558705</v>
      </c>
      <c r="W209" s="202">
        <f>IF($G209="F",0,$N209/'Model Data Inputs'!$B$142)</f>
        <v>1.8461538461538463</v>
      </c>
      <c r="X209" s="202">
        <f>IF($G209="F",0,$K209/'Model Data Inputs'!$B$143)</f>
        <v>1.9104055555555552</v>
      </c>
      <c r="Y209" s="202">
        <f t="shared" si="22"/>
        <v>1.2890951540710751</v>
      </c>
      <c r="Z209" s="202">
        <f>IF(OR($G209="F",$F209="E"),0,'Model Data Inputs'!$B$144)</f>
        <v>0</v>
      </c>
      <c r="AA209" s="202">
        <f>IF(AND($O209&lt;='Model Data Inputs'!$B$139,$F209="E"),0,IF(AND($O209&lt;='Model Data Inputs'!$B$139,$F209="M"),0,IF(AND($O209&lt;='Model Data Inputs'!$B$139,$F209="H"),0,IF(SUM($Y209:$Z209)&lt;1,1,SUM($Y209:$Z209)))))</f>
        <v>1.2890951540710751</v>
      </c>
      <c r="AB209" s="202">
        <f>($K209/'Model Data Inputs'!$B$143)*'Model Data Inputs'!$B$145</f>
        <v>0.19104055555555555</v>
      </c>
      <c r="AC209" s="202">
        <f t="shared" si="23"/>
        <v>1.4801357096266305</v>
      </c>
      <c r="AD209" s="202">
        <f>IF($G209="F",0,'Model Data Inputs'!$B$147)</f>
        <v>1.1000000000000001</v>
      </c>
      <c r="AE209" s="202">
        <f>IF($G209="F",0,($K209/'Model Data Inputs'!$B$148)*'Model Data Inputs'!$B$149)</f>
        <v>0.68774599999999997</v>
      </c>
      <c r="AF209" s="202">
        <f>IF($G209="F",0,($O209/'Model Data Inputs'!$B$150)*'Model Data Inputs'!$B$151)</f>
        <v>0.22178417368421055</v>
      </c>
      <c r="AG209" s="202">
        <f>IF($G209="F",0,(($Q209*$T209)/'Model Data Inputs'!$B$152)*'Model Data Inputs'!$B$153)</f>
        <v>0.28963291946348563</v>
      </c>
      <c r="AH209" s="202">
        <f t="shared" si="24"/>
        <v>0.57479077328692407</v>
      </c>
      <c r="AI209" s="203">
        <f>IF(OR($G209="F",$F209="M",$F209="H"),0,($AH209*'Model Data Inputs'!$B$154)-$AH209)</f>
        <v>-0.11495815465738479</v>
      </c>
      <c r="AJ209" s="202">
        <f>IF(OR($G209="F",$F209="E",$F209="H"),0,($AH209*'Model Data Inputs'!$B$155)-$AH209)</f>
        <v>0</v>
      </c>
      <c r="AK209" s="203">
        <f>IF(OR($G209="F",$F209="E",$F209="M"),0,($AH209*'Model Data Inputs'!$B$156)-$AH209)</f>
        <v>0</v>
      </c>
      <c r="AL209" s="203">
        <f>IF($G209="F",0,IF($M209&lt;'Model Data Inputs'!$B$158,$AH209*('Model Data Inputs'!$B$159-1),0))</f>
        <v>0</v>
      </c>
      <c r="AM209" s="202">
        <f>IF($G209="F",0,IF($M209&gt;'Model Data Inputs'!$B$160,$AH209*('Model Data Inputs'!$B$161-1),0))</f>
        <v>5.7479077328692459E-2</v>
      </c>
      <c r="AN209" s="202">
        <f>IF($G209="F",0,IF($P209&lt;'Model Data Inputs'!$B$162,SUM($AH209,$AI209,$AJ209,$AK209,$AL209,$AM209)*('Model Data Inputs'!$B$163-1),0))</f>
        <v>0</v>
      </c>
      <c r="AO209" s="202">
        <f t="shared" si="25"/>
        <v>0.51731169595823179</v>
      </c>
      <c r="AP209" s="204">
        <f>$K209*'Model Data Inputs'!$B$166</f>
        <v>23039.490999999998</v>
      </c>
      <c r="AQ209" s="204">
        <f>($K209*'Model Data Inputs'!$B$145)*'Model Data Inputs'!$B$166</f>
        <v>2303.9490999999998</v>
      </c>
      <c r="AR209" s="50">
        <f t="shared" si="26"/>
        <v>25343.4401</v>
      </c>
    </row>
    <row r="210" spans="1:44" x14ac:dyDescent="0.2">
      <c r="A210" s="227" t="str">
        <f>'School Level Inst. Resources'!A210</f>
        <v>1301000</v>
      </c>
      <c r="B210" s="227" t="str">
        <f>'School Level Inst. Resources'!B210</f>
        <v>Natrona #1</v>
      </c>
      <c r="C210" s="227" t="str">
        <f>'School Level Inst. Resources'!C210</f>
        <v>1301016</v>
      </c>
      <c r="D210" s="227" t="str">
        <f>'School Level Inst. Resources'!D210</f>
        <v>Lincoln Elementary School</v>
      </c>
      <c r="E210" s="228" t="str">
        <f>'School Level Inst. Resources'!E210</f>
        <v>P-5</v>
      </c>
      <c r="F210" s="229" t="str">
        <f>'School Level Inst. Resources'!H210</f>
        <v>E</v>
      </c>
      <c r="G210" s="229" t="s">
        <v>1158</v>
      </c>
      <c r="H210" s="207">
        <v>55909</v>
      </c>
      <c r="I210" s="207">
        <f>IF('SFD Allowable GSF Calculation'!$D$2=1,'SFD Allowable GSF Calculation'!$P210,'SFD Allowable GSF Calculation'!$X210)</f>
        <v>44508</v>
      </c>
      <c r="J210" s="194">
        <f>$I210*'Model Data Inputs'!$B$165</f>
        <v>51184.2</v>
      </c>
      <c r="K210" s="194">
        <f>IF($L210&gt;='Model Data Inputs'!$B$164,$H210,MIN($H210,$J210))</f>
        <v>55909</v>
      </c>
      <c r="L210" s="208">
        <v>2015</v>
      </c>
      <c r="M210" s="196">
        <f>IF($L210&gt;0,'Model Data Inputs'!$B$157-$L210,"")</f>
        <v>2</v>
      </c>
      <c r="N210" s="209">
        <v>39</v>
      </c>
      <c r="O210" s="198">
        <f>'School Level Inst. Resources'!$L210</f>
        <v>305.54554385964911</v>
      </c>
      <c r="P210" s="198">
        <f>IF($G210="T",SUMIFS('School Level ADM'!$S$5:$S$359,'School Level ADM'!$A$5:$A$359,$A210),0)</f>
        <v>12798.258666666667</v>
      </c>
      <c r="Q210" s="199">
        <f t="shared" si="27"/>
        <v>2.3873993471896993E-2</v>
      </c>
      <c r="R210" s="200">
        <f>SUM((('School Level Inst. Resources'!I210/'Model Data Inputs'!$B$8)*(1+'Model Data Inputs'!$B$9)),(SUM('School Level Inst. Resources'!J210:K210)/'Model Data Inputs'!$C$8)*(1+'Model Data Inputs'!$C$9),'School Level Inst. Resources'!K210/400)</f>
        <v>20.369702923976607</v>
      </c>
      <c r="S210" s="200">
        <f t="shared" si="28"/>
        <v>20.369702923976607</v>
      </c>
      <c r="T210" s="201">
        <f>IF($G210="T",VLOOKUP($A210,'Total O &amp; M Resources'!$A$5:$K$52,3),0)</f>
        <v>90531635.030000046</v>
      </c>
      <c r="U210" s="202">
        <f>IF($G210="F",0,$S210/'Model Data Inputs'!$B$140)</f>
        <v>1.5669002249212776</v>
      </c>
      <c r="V210" s="202">
        <f>IF($G210="F",0,$O210/'Model Data Inputs'!$B$141)</f>
        <v>0.94014013495276649</v>
      </c>
      <c r="W210" s="202">
        <f>IF($G210="F",0,$N210/'Model Data Inputs'!$B$142)</f>
        <v>3</v>
      </c>
      <c r="X210" s="202">
        <f>IF($G210="F",0,$K210/'Model Data Inputs'!$B$143)</f>
        <v>3.1060555555555553</v>
      </c>
      <c r="Y210" s="202">
        <f t="shared" si="22"/>
        <v>2.1532739788574</v>
      </c>
      <c r="Z210" s="202">
        <f>IF(OR($G210="F",$F210="E"),0,'Model Data Inputs'!$B$144)</f>
        <v>0</v>
      </c>
      <c r="AA210" s="202">
        <f>IF(AND($O210&lt;='Model Data Inputs'!$B$139,$F210="E"),0,IF(AND($O210&lt;='Model Data Inputs'!$B$139,$F210="M"),0,IF(AND($O210&lt;='Model Data Inputs'!$B$139,$F210="H"),0,IF(SUM($Y210:$Z210)&lt;1,1,SUM($Y210:$Z210)))))</f>
        <v>2.1532739788574</v>
      </c>
      <c r="AB210" s="202">
        <f>($K210/'Model Data Inputs'!$B$143)*'Model Data Inputs'!$B$145</f>
        <v>0.31060555555555558</v>
      </c>
      <c r="AC210" s="202">
        <f t="shared" si="23"/>
        <v>2.4638795344129556</v>
      </c>
      <c r="AD210" s="202">
        <f>IF($G210="F",0,'Model Data Inputs'!$B$147)</f>
        <v>1.1000000000000001</v>
      </c>
      <c r="AE210" s="202">
        <f>IF($G210="F",0,($K210/'Model Data Inputs'!$B$148)*'Model Data Inputs'!$B$149)</f>
        <v>1.11818</v>
      </c>
      <c r="AF210" s="202">
        <f>IF($G210="F",0,($O210/'Model Data Inputs'!$B$150)*'Model Data Inputs'!$B$151)</f>
        <v>0.39720920701754386</v>
      </c>
      <c r="AG210" s="202">
        <f>IF($G210="F",0,(($Q210*$T210)/'Model Data Inputs'!$B$152)*'Model Data Inputs'!$B$153)</f>
        <v>0.51872439928953173</v>
      </c>
      <c r="AH210" s="202">
        <f t="shared" si="24"/>
        <v>0.78352840157676895</v>
      </c>
      <c r="AI210" s="203">
        <f>IF(OR($G210="F",$F210="M",$F210="H"),0,($AH210*'Model Data Inputs'!$B$154)-$AH210)</f>
        <v>-0.1567056803153537</v>
      </c>
      <c r="AJ210" s="202">
        <f>IF(OR($G210="F",$F210="E",$F210="H"),0,($AH210*'Model Data Inputs'!$B$155)-$AH210)</f>
        <v>0</v>
      </c>
      <c r="AK210" s="203">
        <f>IF(OR($G210="F",$F210="E",$F210="M"),0,($AH210*'Model Data Inputs'!$B$156)-$AH210)</f>
        <v>0</v>
      </c>
      <c r="AL210" s="203">
        <f>IF($G210="F",0,IF($M210&lt;'Model Data Inputs'!$B$158,$AH210*('Model Data Inputs'!$B$159-1),0))</f>
        <v>-3.9176420078838481E-2</v>
      </c>
      <c r="AM210" s="202">
        <f>IF($G210="F",0,IF($M210&gt;'Model Data Inputs'!$B$160,$AH210*('Model Data Inputs'!$B$161-1),0))</f>
        <v>0</v>
      </c>
      <c r="AN210" s="202">
        <f>IF($G210="F",0,IF($P210&lt;'Model Data Inputs'!$B$162,SUM($AH210,$AI210,$AJ210,$AK210,$AL210,$AM210)*('Model Data Inputs'!$B$163-1),0))</f>
        <v>0</v>
      </c>
      <c r="AO210" s="202">
        <f t="shared" si="25"/>
        <v>0.58764630118257677</v>
      </c>
      <c r="AP210" s="204">
        <f>$K210*'Model Data Inputs'!$B$166</f>
        <v>37459.03</v>
      </c>
      <c r="AQ210" s="204">
        <f>($K210*'Model Data Inputs'!$B$145)*'Model Data Inputs'!$B$166</f>
        <v>3745.9030000000007</v>
      </c>
      <c r="AR210" s="50">
        <f t="shared" si="26"/>
        <v>41204.932999999997</v>
      </c>
    </row>
    <row r="211" spans="1:44" x14ac:dyDescent="0.2">
      <c r="A211" s="227" t="str">
        <f>'School Level Inst. Resources'!A211</f>
        <v>1301000</v>
      </c>
      <c r="B211" s="227" t="str">
        <f>'School Level Inst. Resources'!B211</f>
        <v>Natrona #1</v>
      </c>
      <c r="C211" s="227" t="str">
        <f>'School Level Inst. Resources'!C211</f>
        <v>1301017</v>
      </c>
      <c r="D211" s="227" t="str">
        <f>'School Level Inst. Resources'!D211</f>
        <v>Paradise Valley Elementary</v>
      </c>
      <c r="E211" s="228" t="str">
        <f>'School Level Inst. Resources'!E211</f>
        <v>P-6</v>
      </c>
      <c r="F211" s="229" t="str">
        <f>'School Level Inst. Resources'!H211</f>
        <v>E</v>
      </c>
      <c r="G211" s="229" t="s">
        <v>1158</v>
      </c>
      <c r="H211" s="207">
        <v>51924</v>
      </c>
      <c r="I211" s="207">
        <f>IF('SFD Allowable GSF Calculation'!$D$2=1,'SFD Allowable GSF Calculation'!$P211,'SFD Allowable GSF Calculation'!$X211)</f>
        <v>56132</v>
      </c>
      <c r="J211" s="194">
        <f>$I211*'Model Data Inputs'!$B$165</f>
        <v>64551.799999999996</v>
      </c>
      <c r="K211" s="194">
        <f>IF($L211&gt;='Model Data Inputs'!$B$164,$H211,MIN($H211,$J211))</f>
        <v>51924</v>
      </c>
      <c r="L211" s="208">
        <v>1964</v>
      </c>
      <c r="M211" s="196">
        <f>IF($L211&gt;0,'Model Data Inputs'!$B$157-$L211,"")</f>
        <v>53</v>
      </c>
      <c r="N211" s="209">
        <v>33</v>
      </c>
      <c r="O211" s="198">
        <f>'School Level Inst. Resources'!$L211</f>
        <v>414.83521052631579</v>
      </c>
      <c r="P211" s="198">
        <f>IF($G211="T",SUMIFS('School Level ADM'!$S$5:$S$359,'School Level ADM'!$A$5:$A$359,$A211),0)</f>
        <v>12798.258666666667</v>
      </c>
      <c r="Q211" s="199">
        <f t="shared" si="27"/>
        <v>3.2413410396741144E-2</v>
      </c>
      <c r="R211" s="200">
        <f>SUM((('School Level Inst. Resources'!I211/'Model Data Inputs'!$B$8)*(1+'Model Data Inputs'!$B$9)),(SUM('School Level Inst. Resources'!J211:K211)/'Model Data Inputs'!$C$8)*(1+'Model Data Inputs'!$C$9),'School Level Inst. Resources'!K211/400)</f>
        <v>27.655680701754385</v>
      </c>
      <c r="S211" s="200">
        <f t="shared" si="28"/>
        <v>27.655680701754385</v>
      </c>
      <c r="T211" s="201">
        <f>IF($G211="T",VLOOKUP($A211,'Total O &amp; M Resources'!$A$5:$K$52,3),0)</f>
        <v>90531635.030000046</v>
      </c>
      <c r="U211" s="202">
        <f>IF($G211="F",0,$S211/'Model Data Inputs'!$B$140)</f>
        <v>2.1273600539811066</v>
      </c>
      <c r="V211" s="202">
        <f>IF($G211="F",0,$O211/'Model Data Inputs'!$B$141)</f>
        <v>1.276416032388664</v>
      </c>
      <c r="W211" s="202">
        <f>IF($G211="F",0,$N211/'Model Data Inputs'!$B$142)</f>
        <v>2.5384615384615383</v>
      </c>
      <c r="X211" s="202">
        <f>IF($G211="F",0,$K211/'Model Data Inputs'!$B$143)</f>
        <v>2.8846666666666665</v>
      </c>
      <c r="Y211" s="202">
        <f t="shared" si="22"/>
        <v>2.2067260728744937</v>
      </c>
      <c r="Z211" s="202">
        <f>IF(OR($G211="F",$F211="E"),0,'Model Data Inputs'!$B$144)</f>
        <v>0</v>
      </c>
      <c r="AA211" s="202">
        <f>IF(AND($O211&lt;='Model Data Inputs'!$B$139,$F211="E"),0,IF(AND($O211&lt;='Model Data Inputs'!$B$139,$F211="M"),0,IF(AND($O211&lt;='Model Data Inputs'!$B$139,$F211="H"),0,IF(SUM($Y211:$Z211)&lt;1,1,SUM($Y211:$Z211)))))</f>
        <v>2.2067260728744937</v>
      </c>
      <c r="AB211" s="202">
        <f>($K211/'Model Data Inputs'!$B$143)*'Model Data Inputs'!$B$145</f>
        <v>0.28846666666666665</v>
      </c>
      <c r="AC211" s="202">
        <f t="shared" si="23"/>
        <v>2.4951927395411602</v>
      </c>
      <c r="AD211" s="202">
        <f>IF($G211="F",0,'Model Data Inputs'!$B$147)</f>
        <v>1.1000000000000001</v>
      </c>
      <c r="AE211" s="202">
        <f>IF($G211="F",0,($K211/'Model Data Inputs'!$B$148)*'Model Data Inputs'!$B$149)</f>
        <v>1.0384799999999998</v>
      </c>
      <c r="AF211" s="202">
        <f>IF($G211="F",0,($O211/'Model Data Inputs'!$B$150)*'Model Data Inputs'!$B$151)</f>
        <v>0.53928577368421049</v>
      </c>
      <c r="AG211" s="202">
        <f>IF($G211="F",0,(($Q211*$T211)/'Model Data Inputs'!$B$152)*'Model Data Inputs'!$B$153)</f>
        <v>0.70426536962769082</v>
      </c>
      <c r="AH211" s="202">
        <f t="shared" si="24"/>
        <v>0.84550778582797537</v>
      </c>
      <c r="AI211" s="203">
        <f>IF(OR($G211="F",$F211="M",$F211="H"),0,($AH211*'Model Data Inputs'!$B$154)-$AH211)</f>
        <v>-0.16910155716559505</v>
      </c>
      <c r="AJ211" s="202">
        <f>IF(OR($G211="F",$F211="E",$F211="H"),0,($AH211*'Model Data Inputs'!$B$155)-$AH211)</f>
        <v>0</v>
      </c>
      <c r="AK211" s="203">
        <f>IF(OR($G211="F",$F211="E",$F211="M"),0,($AH211*'Model Data Inputs'!$B$156)-$AH211)</f>
        <v>0</v>
      </c>
      <c r="AL211" s="203">
        <f>IF($G211="F",0,IF($M211&lt;'Model Data Inputs'!$B$158,$AH211*('Model Data Inputs'!$B$159-1),0))</f>
        <v>0</v>
      </c>
      <c r="AM211" s="202">
        <f>IF($G211="F",0,IF($M211&gt;'Model Data Inputs'!$B$160,$AH211*('Model Data Inputs'!$B$161-1),0))</f>
        <v>8.4550778582797609E-2</v>
      </c>
      <c r="AN211" s="202">
        <f>IF($G211="F",0,IF($P211&lt;'Model Data Inputs'!$B$162,SUM($AH211,$AI211,$AJ211,$AK211,$AL211,$AM211)*('Model Data Inputs'!$B$163-1),0))</f>
        <v>0</v>
      </c>
      <c r="AO211" s="202">
        <f t="shared" si="25"/>
        <v>0.7609570072451779</v>
      </c>
      <c r="AP211" s="204">
        <f>$K211*'Model Data Inputs'!$B$166</f>
        <v>34789.08</v>
      </c>
      <c r="AQ211" s="204">
        <f>($K211*'Model Data Inputs'!$B$145)*'Model Data Inputs'!$B$166</f>
        <v>3478.9080000000004</v>
      </c>
      <c r="AR211" s="50">
        <f t="shared" si="26"/>
        <v>38267.988000000005</v>
      </c>
    </row>
    <row r="212" spans="1:44" x14ac:dyDescent="0.2">
      <c r="A212" s="227" t="str">
        <f>'School Level Inst. Resources'!A212</f>
        <v>1301000</v>
      </c>
      <c r="B212" s="227" t="str">
        <f>'School Level Inst. Resources'!B212</f>
        <v>Natrona #1</v>
      </c>
      <c r="C212" s="227" t="str">
        <f>'School Level Inst. Resources'!C212</f>
        <v>1301018</v>
      </c>
      <c r="D212" s="227" t="str">
        <f>'School Level Inst. Resources'!D212</f>
        <v>Park Elementary</v>
      </c>
      <c r="E212" s="228" t="str">
        <f>'School Level Inst. Resources'!E212</f>
        <v>K-6</v>
      </c>
      <c r="F212" s="229" t="str">
        <f>'School Level Inst. Resources'!H212</f>
        <v>E</v>
      </c>
      <c r="G212" s="229" t="s">
        <v>1158</v>
      </c>
      <c r="H212" s="207">
        <v>32302</v>
      </c>
      <c r="I212" s="207">
        <f>IF('SFD Allowable GSF Calculation'!$D$2=1,'SFD Allowable GSF Calculation'!$P212,'SFD Allowable GSF Calculation'!$X212)</f>
        <v>47082</v>
      </c>
      <c r="J212" s="194">
        <f>$I212*'Model Data Inputs'!$B$165</f>
        <v>54144.299999999996</v>
      </c>
      <c r="K212" s="194">
        <f>IF($L212&gt;='Model Data Inputs'!$B$164,$H212,MIN($H212,$J212))</f>
        <v>32302</v>
      </c>
      <c r="L212" s="208">
        <v>1956</v>
      </c>
      <c r="M212" s="196">
        <f>IF($L212&gt;0,'Model Data Inputs'!$B$157-$L212,"")</f>
        <v>61</v>
      </c>
      <c r="N212" s="209">
        <v>25</v>
      </c>
      <c r="O212" s="198">
        <f>'School Level Inst. Resources'!$L212</f>
        <v>323.44854385964913</v>
      </c>
      <c r="P212" s="198">
        <f>IF($G212="T",SUMIFS('School Level ADM'!$S$5:$S$359,'School Level ADM'!$A$5:$A$359,$A212),0)</f>
        <v>12798.258666666667</v>
      </c>
      <c r="Q212" s="199">
        <f t="shared" si="27"/>
        <v>2.5272855650439199E-2</v>
      </c>
      <c r="R212" s="200">
        <f>SUM((('School Level Inst. Resources'!I212/'Model Data Inputs'!$B$8)*(1+'Model Data Inputs'!$B$9)),(SUM('School Level Inst. Resources'!J212:K212)/'Model Data Inputs'!$C$8)*(1+'Model Data Inputs'!$C$9),'School Level Inst. Resources'!K212/400)</f>
        <v>21.563236257309942</v>
      </c>
      <c r="S212" s="200">
        <f t="shared" si="28"/>
        <v>21.563236257309942</v>
      </c>
      <c r="T212" s="201">
        <f>IF($G212="T",VLOOKUP($A212,'Total O &amp; M Resources'!$A$5:$K$52,3),0)</f>
        <v>90531635.030000046</v>
      </c>
      <c r="U212" s="202">
        <f>IF($G212="F",0,$S212/'Model Data Inputs'!$B$140)</f>
        <v>1.6587104813315341</v>
      </c>
      <c r="V212" s="202">
        <f>IF($G212="F",0,$O212/'Model Data Inputs'!$B$141)</f>
        <v>0.99522628879892039</v>
      </c>
      <c r="W212" s="202">
        <f>IF($G212="F",0,$N212/'Model Data Inputs'!$B$142)</f>
        <v>1.9230769230769231</v>
      </c>
      <c r="X212" s="202">
        <f>IF($G212="F",0,$K212/'Model Data Inputs'!$B$143)</f>
        <v>1.7945555555555555</v>
      </c>
      <c r="Y212" s="202">
        <f t="shared" si="22"/>
        <v>1.5928923121907332</v>
      </c>
      <c r="Z212" s="202">
        <f>IF(OR($G212="F",$F212="E"),0,'Model Data Inputs'!$B$144)</f>
        <v>0</v>
      </c>
      <c r="AA212" s="202">
        <f>IF(AND($O212&lt;='Model Data Inputs'!$B$139,$F212="E"),0,IF(AND($O212&lt;='Model Data Inputs'!$B$139,$F212="M"),0,IF(AND($O212&lt;='Model Data Inputs'!$B$139,$F212="H"),0,IF(SUM($Y212:$Z212)&lt;1,1,SUM($Y212:$Z212)))))</f>
        <v>1.5928923121907332</v>
      </c>
      <c r="AB212" s="202">
        <f>($K212/'Model Data Inputs'!$B$143)*'Model Data Inputs'!$B$145</f>
        <v>0.17945555555555556</v>
      </c>
      <c r="AC212" s="202">
        <f t="shared" si="23"/>
        <v>1.7723478677462887</v>
      </c>
      <c r="AD212" s="202">
        <f>IF($G212="F",0,'Model Data Inputs'!$B$147)</f>
        <v>1.1000000000000001</v>
      </c>
      <c r="AE212" s="202">
        <f>IF($G212="F",0,($K212/'Model Data Inputs'!$B$148)*'Model Data Inputs'!$B$149)</f>
        <v>0.64603999999999995</v>
      </c>
      <c r="AF212" s="202">
        <f>IF($G212="F",0,($O212/'Model Data Inputs'!$B$150)*'Model Data Inputs'!$B$151)</f>
        <v>0.42048310701754393</v>
      </c>
      <c r="AG212" s="202">
        <f>IF($G212="F",0,(($Q212*$T212)/'Model Data Inputs'!$B$152)*'Model Data Inputs'!$B$153)</f>
        <v>0.5491183065387446</v>
      </c>
      <c r="AH212" s="202">
        <f t="shared" si="24"/>
        <v>0.67891035338907213</v>
      </c>
      <c r="AI212" s="203">
        <f>IF(OR($G212="F",$F212="M",$F212="H"),0,($AH212*'Model Data Inputs'!$B$154)-$AH212)</f>
        <v>-0.13578207067781445</v>
      </c>
      <c r="AJ212" s="202">
        <f>IF(OR($G212="F",$F212="E",$F212="H"),0,($AH212*'Model Data Inputs'!$B$155)-$AH212)</f>
        <v>0</v>
      </c>
      <c r="AK212" s="203">
        <f>IF(OR($G212="F",$F212="E",$F212="M"),0,($AH212*'Model Data Inputs'!$B$156)-$AH212)</f>
        <v>0</v>
      </c>
      <c r="AL212" s="203">
        <f>IF($G212="F",0,IF($M212&lt;'Model Data Inputs'!$B$158,$AH212*('Model Data Inputs'!$B$159-1),0))</f>
        <v>0</v>
      </c>
      <c r="AM212" s="202">
        <f>IF($G212="F",0,IF($M212&gt;'Model Data Inputs'!$B$160,$AH212*('Model Data Inputs'!$B$161-1),0))</f>
        <v>6.789103533890728E-2</v>
      </c>
      <c r="AN212" s="202">
        <f>IF($G212="F",0,IF($P212&lt;'Model Data Inputs'!$B$162,SUM($AH212,$AI212,$AJ212,$AK212,$AL212,$AM212)*('Model Data Inputs'!$B$163-1),0))</f>
        <v>0</v>
      </c>
      <c r="AO212" s="202">
        <f t="shared" si="25"/>
        <v>0.61101931805016496</v>
      </c>
      <c r="AP212" s="204">
        <f>$K212*'Model Data Inputs'!$B$166</f>
        <v>21642.34</v>
      </c>
      <c r="AQ212" s="204">
        <f>($K212*'Model Data Inputs'!$B$145)*'Model Data Inputs'!$B$166</f>
        <v>2164.2340000000004</v>
      </c>
      <c r="AR212" s="50">
        <f t="shared" si="26"/>
        <v>23806.574000000001</v>
      </c>
    </row>
    <row r="213" spans="1:44" x14ac:dyDescent="0.2">
      <c r="A213" s="227" t="str">
        <f>'School Level Inst. Resources'!A213</f>
        <v>1301000</v>
      </c>
      <c r="B213" s="227" t="str">
        <f>'School Level Inst. Resources'!B213</f>
        <v>Natrona #1</v>
      </c>
      <c r="C213" s="227" t="str">
        <f>'School Level Inst. Resources'!C213</f>
        <v>1301019</v>
      </c>
      <c r="D213" s="227" t="str">
        <f>'School Level Inst. Resources'!D213</f>
        <v>Pineview Elementary</v>
      </c>
      <c r="E213" s="228" t="str">
        <f>'School Level Inst. Resources'!E213</f>
        <v>P-6</v>
      </c>
      <c r="F213" s="229" t="str">
        <f>'School Level Inst. Resources'!H213</f>
        <v>E</v>
      </c>
      <c r="G213" s="229" t="s">
        <v>1158</v>
      </c>
      <c r="H213" s="207">
        <v>29023</v>
      </c>
      <c r="I213" s="207">
        <f>IF('SFD Allowable GSF Calculation'!$D$2=1,'SFD Allowable GSF Calculation'!$P213,'SFD Allowable GSF Calculation'!$X213)</f>
        <v>41968</v>
      </c>
      <c r="J213" s="194">
        <f>$I213*'Model Data Inputs'!$B$165</f>
        <v>48263.199999999997</v>
      </c>
      <c r="K213" s="194">
        <f>IF($L213&gt;='Model Data Inputs'!$B$164,$H213,MIN($H213,$J213))</f>
        <v>29023</v>
      </c>
      <c r="L213" s="208">
        <v>1955</v>
      </c>
      <c r="M213" s="196">
        <f>IF($L213&gt;0,'Model Data Inputs'!$B$157-$L213,"")</f>
        <v>62</v>
      </c>
      <c r="N213" s="209">
        <v>23</v>
      </c>
      <c r="O213" s="198">
        <f>'School Level Inst. Resources'!$L213</f>
        <v>272.34887719298246</v>
      </c>
      <c r="P213" s="198">
        <f>IF($G213="T",SUMIFS('School Level ADM'!$S$5:$S$359,'School Level ADM'!$A$5:$A$359,$A213),0)</f>
        <v>12798.258666666667</v>
      </c>
      <c r="Q213" s="199">
        <f t="shared" si="27"/>
        <v>2.1280151017913151E-2</v>
      </c>
      <c r="R213" s="200">
        <f>SUM((('School Level Inst. Resources'!I213/'Model Data Inputs'!$B$8)*(1+'Model Data Inputs'!$B$9)),(SUM('School Level Inst. Resources'!J213:K213)/'Model Data Inputs'!$C$8)*(1+'Model Data Inputs'!$C$9),'School Level Inst. Resources'!K213/400)</f>
        <v>18.156591812865496</v>
      </c>
      <c r="S213" s="200">
        <f t="shared" si="28"/>
        <v>18.156591812865496</v>
      </c>
      <c r="T213" s="201">
        <f>IF($G213="T",VLOOKUP($A213,'Total O &amp; M Resources'!$A$5:$K$52,3),0)</f>
        <v>90531635.030000046</v>
      </c>
      <c r="U213" s="202">
        <f>IF($G213="F",0,$S213/'Model Data Inputs'!$B$140)</f>
        <v>1.3966609086819612</v>
      </c>
      <c r="V213" s="202">
        <f>IF($G213="F",0,$O213/'Model Data Inputs'!$B$141)</f>
        <v>0.83799654520917677</v>
      </c>
      <c r="W213" s="202">
        <f>IF($G213="F",0,$N213/'Model Data Inputs'!$B$142)</f>
        <v>1.7692307692307692</v>
      </c>
      <c r="X213" s="202">
        <f>IF($G213="F",0,$K213/'Model Data Inputs'!$B$143)</f>
        <v>1.6123888888888889</v>
      </c>
      <c r="Y213" s="202">
        <f t="shared" si="22"/>
        <v>1.4040692780026989</v>
      </c>
      <c r="Z213" s="202">
        <f>IF(OR($G213="F",$F213="E"),0,'Model Data Inputs'!$B$144)</f>
        <v>0</v>
      </c>
      <c r="AA213" s="202">
        <f>IF(AND($O213&lt;='Model Data Inputs'!$B$139,$F213="E"),0,IF(AND($O213&lt;='Model Data Inputs'!$B$139,$F213="M"),0,IF(AND($O213&lt;='Model Data Inputs'!$B$139,$F213="H"),0,IF(SUM($Y213:$Z213)&lt;1,1,SUM($Y213:$Z213)))))</f>
        <v>1.4040692780026989</v>
      </c>
      <c r="AB213" s="202">
        <f>($K213/'Model Data Inputs'!$B$143)*'Model Data Inputs'!$B$145</f>
        <v>0.1612388888888889</v>
      </c>
      <c r="AC213" s="202">
        <f t="shared" si="23"/>
        <v>1.5653081668915878</v>
      </c>
      <c r="AD213" s="202">
        <f>IF($G213="F",0,'Model Data Inputs'!$B$147)</f>
        <v>1.1000000000000001</v>
      </c>
      <c r="AE213" s="202">
        <f>IF($G213="F",0,($K213/'Model Data Inputs'!$B$148)*'Model Data Inputs'!$B$149)</f>
        <v>0.58045999999999998</v>
      </c>
      <c r="AF213" s="202">
        <f>IF($G213="F",0,($O213/'Model Data Inputs'!$B$150)*'Model Data Inputs'!$B$151)</f>
        <v>0.35405354035087722</v>
      </c>
      <c r="AG213" s="202">
        <f>IF($G213="F",0,(($Q213*$T213)/'Model Data Inputs'!$B$152)*'Model Data Inputs'!$B$153)</f>
        <v>0.46236644768087937</v>
      </c>
      <c r="AH213" s="202">
        <f t="shared" si="24"/>
        <v>0.62421999700793918</v>
      </c>
      <c r="AI213" s="203">
        <f>IF(OR($G213="F",$F213="M",$F213="H"),0,($AH213*'Model Data Inputs'!$B$154)-$AH213)</f>
        <v>-0.1248439994015878</v>
      </c>
      <c r="AJ213" s="202">
        <f>IF(OR($G213="F",$F213="E",$F213="H"),0,($AH213*'Model Data Inputs'!$B$155)-$AH213)</f>
        <v>0</v>
      </c>
      <c r="AK213" s="203">
        <f>IF(OR($G213="F",$F213="E",$F213="M"),0,($AH213*'Model Data Inputs'!$B$156)-$AH213)</f>
        <v>0</v>
      </c>
      <c r="AL213" s="203">
        <f>IF($G213="F",0,IF($M213&lt;'Model Data Inputs'!$B$158,$AH213*('Model Data Inputs'!$B$159-1),0))</f>
        <v>0</v>
      </c>
      <c r="AM213" s="202">
        <f>IF($G213="F",0,IF($M213&gt;'Model Data Inputs'!$B$160,$AH213*('Model Data Inputs'!$B$161-1),0))</f>
        <v>6.242199970079397E-2</v>
      </c>
      <c r="AN213" s="202">
        <f>IF($G213="F",0,IF($P213&lt;'Model Data Inputs'!$B$162,SUM($AH213,$AI213,$AJ213,$AK213,$AL213,$AM213)*('Model Data Inputs'!$B$163-1),0))</f>
        <v>0</v>
      </c>
      <c r="AO213" s="202">
        <f t="shared" si="25"/>
        <v>0.5617979973071453</v>
      </c>
      <c r="AP213" s="204">
        <f>$K213*'Model Data Inputs'!$B$166</f>
        <v>19445.41</v>
      </c>
      <c r="AQ213" s="204">
        <f>($K213*'Model Data Inputs'!$B$145)*'Model Data Inputs'!$B$166</f>
        <v>1944.5410000000002</v>
      </c>
      <c r="AR213" s="50">
        <f t="shared" si="26"/>
        <v>21389.951000000001</v>
      </c>
    </row>
    <row r="214" spans="1:44" x14ac:dyDescent="0.2">
      <c r="A214" s="227" t="str">
        <f>'School Level Inst. Resources'!A214</f>
        <v>1301000</v>
      </c>
      <c r="B214" s="227" t="str">
        <f>'School Level Inst. Resources'!B214</f>
        <v>Natrona #1</v>
      </c>
      <c r="C214" s="227" t="str">
        <f>'School Level Inst. Resources'!C214</f>
        <v>1301020</v>
      </c>
      <c r="D214" s="227" t="str">
        <f>'School Level Inst. Resources'!D214</f>
        <v>Poison Spider Elementary</v>
      </c>
      <c r="E214" s="228" t="str">
        <f>'School Level Inst. Resources'!E214</f>
        <v>K-8</v>
      </c>
      <c r="F214" s="229" t="str">
        <f>'School Level Inst. Resources'!H214</f>
        <v>M</v>
      </c>
      <c r="G214" s="229" t="s">
        <v>1158</v>
      </c>
      <c r="H214" s="207">
        <v>60019</v>
      </c>
      <c r="I214" s="207">
        <f>IF('SFD Allowable GSF Calculation'!$D$2=1,'SFD Allowable GSF Calculation'!$P214,'SFD Allowable GSF Calculation'!$X214)</f>
        <v>46974</v>
      </c>
      <c r="J214" s="194">
        <f>$I214*'Model Data Inputs'!$B$165</f>
        <v>54020.1</v>
      </c>
      <c r="K214" s="194">
        <f>IF($L214&gt;='Model Data Inputs'!$B$164,$H214,MIN($H214,$J214))</f>
        <v>60019</v>
      </c>
      <c r="L214" s="208">
        <v>2009</v>
      </c>
      <c r="M214" s="196">
        <f>IF($L214&gt;0,'Model Data Inputs'!$B$157-$L214,"")</f>
        <v>8</v>
      </c>
      <c r="N214" s="209">
        <v>25</v>
      </c>
      <c r="O214" s="198">
        <f>'School Level Inst. Resources'!$L214</f>
        <v>172.32999999999998</v>
      </c>
      <c r="P214" s="198">
        <f>IF($G214="T",SUMIFS('School Level ADM'!$S$5:$S$359,'School Level ADM'!$A$5:$A$359,$A214),0)</f>
        <v>12798.258666666667</v>
      </c>
      <c r="Q214" s="199">
        <f t="shared" si="27"/>
        <v>1.3465113066423411E-2</v>
      </c>
      <c r="R214" s="200">
        <f>SUM((('School Level Inst. Resources'!I214/'Model Data Inputs'!$B$8)*(1+'Model Data Inputs'!$B$9)),(SUM('School Level Inst. Resources'!J214:K214)/'Model Data Inputs'!$C$8)*(1+'Model Data Inputs'!$C$9),'School Level Inst. Resources'!K214/400)</f>
        <v>10.952200130434781</v>
      </c>
      <c r="S214" s="200">
        <f t="shared" si="28"/>
        <v>10.952200130434781</v>
      </c>
      <c r="T214" s="201">
        <f>IF($G214="T",VLOOKUP($A214,'Total O &amp; M Resources'!$A$5:$K$52,3),0)</f>
        <v>90531635.030000046</v>
      </c>
      <c r="U214" s="202">
        <f>IF($G214="F",0,$S214/'Model Data Inputs'!$B$140)</f>
        <v>0.84247693311036775</v>
      </c>
      <c r="V214" s="202">
        <f>IF($G214="F",0,$O214/'Model Data Inputs'!$B$141)</f>
        <v>0.53024615384615381</v>
      </c>
      <c r="W214" s="202">
        <f>IF($G214="F",0,$N214/'Model Data Inputs'!$B$142)</f>
        <v>1.9230769230769231</v>
      </c>
      <c r="X214" s="202">
        <f>IF($G214="F",0,$K214/'Model Data Inputs'!$B$143)</f>
        <v>3.3343888888888888</v>
      </c>
      <c r="Y214" s="202">
        <f t="shared" si="22"/>
        <v>1.6575472247305836</v>
      </c>
      <c r="Z214" s="202">
        <f>IF(OR($G214="F",$F214="E"),0,'Model Data Inputs'!$B$144)</f>
        <v>0.5</v>
      </c>
      <c r="AA214" s="202">
        <f>IF(AND($O214&lt;='Model Data Inputs'!$B$139,$F214="E"),0,IF(AND($O214&lt;='Model Data Inputs'!$B$139,$F214="M"),0,IF(AND($O214&lt;='Model Data Inputs'!$B$139,$F214="H"),0,IF(SUM($Y214:$Z214)&lt;1,1,SUM($Y214:$Z214)))))</f>
        <v>2.1575472247305836</v>
      </c>
      <c r="AB214" s="202">
        <f>($K214/'Model Data Inputs'!$B$143)*'Model Data Inputs'!$B$145</f>
        <v>0.3334388888888889</v>
      </c>
      <c r="AC214" s="202">
        <f t="shared" si="23"/>
        <v>2.4909861136194724</v>
      </c>
      <c r="AD214" s="202">
        <f>IF($G214="F",0,'Model Data Inputs'!$B$147)</f>
        <v>1.1000000000000001</v>
      </c>
      <c r="AE214" s="202">
        <f>IF($G214="F",0,($K214/'Model Data Inputs'!$B$148)*'Model Data Inputs'!$B$149)</f>
        <v>1.20038</v>
      </c>
      <c r="AF214" s="202">
        <f>IF($G214="F",0,($O214/'Model Data Inputs'!$B$150)*'Model Data Inputs'!$B$151)</f>
        <v>0.22402899999999998</v>
      </c>
      <c r="AG214" s="202">
        <f>IF($G214="F",0,(($Q214*$T214)/'Model Data Inputs'!$B$152)*'Model Data Inputs'!$B$153)</f>
        <v>0.29256448842411092</v>
      </c>
      <c r="AH214" s="202">
        <f t="shared" si="24"/>
        <v>0.70424337210602772</v>
      </c>
      <c r="AI214" s="203">
        <f>IF(OR($G214="F",$F214="M",$F214="H"),0,($AH214*'Model Data Inputs'!$B$154)-$AH214)</f>
        <v>0</v>
      </c>
      <c r="AJ214" s="202">
        <f>IF(OR($G214="F",$F214="E",$F214="H"),0,($AH214*'Model Data Inputs'!$B$155)-$AH214)</f>
        <v>0</v>
      </c>
      <c r="AK214" s="203">
        <f>IF(OR($G214="F",$F214="E",$F214="M"),0,($AH214*'Model Data Inputs'!$B$156)-$AH214)</f>
        <v>0</v>
      </c>
      <c r="AL214" s="203">
        <f>IF($G214="F",0,IF($M214&lt;'Model Data Inputs'!$B$158,$AH214*('Model Data Inputs'!$B$159-1),0))</f>
        <v>-3.5212168605301415E-2</v>
      </c>
      <c r="AM214" s="202">
        <f>IF($G214="F",0,IF($M214&gt;'Model Data Inputs'!$B$160,$AH214*('Model Data Inputs'!$B$161-1),0))</f>
        <v>0</v>
      </c>
      <c r="AN214" s="202">
        <f>IF($G214="F",0,IF($P214&lt;'Model Data Inputs'!$B$162,SUM($AH214,$AI214,$AJ214,$AK214,$AL214,$AM214)*('Model Data Inputs'!$B$163-1),0))</f>
        <v>0</v>
      </c>
      <c r="AO214" s="202">
        <f t="shared" si="25"/>
        <v>0.66903120350072631</v>
      </c>
      <c r="AP214" s="204">
        <f>$K214*'Model Data Inputs'!$B$166</f>
        <v>40212.730000000003</v>
      </c>
      <c r="AQ214" s="204">
        <f>($K214*'Model Data Inputs'!$B$145)*'Model Data Inputs'!$B$166</f>
        <v>4021.2730000000006</v>
      </c>
      <c r="AR214" s="50">
        <f t="shared" si="26"/>
        <v>44234.003000000004</v>
      </c>
    </row>
    <row r="215" spans="1:44" x14ac:dyDescent="0.2">
      <c r="A215" s="227" t="str">
        <f>'School Level Inst. Resources'!A215</f>
        <v>1301000</v>
      </c>
      <c r="B215" s="227" t="str">
        <f>'School Level Inst. Resources'!B215</f>
        <v>Natrona #1</v>
      </c>
      <c r="C215" s="227" t="str">
        <f>'School Level Inst. Resources'!C215</f>
        <v>1301021</v>
      </c>
      <c r="D215" s="227" t="str">
        <f>'School Level Inst. Resources'!D215</f>
        <v>Powder River Elementary</v>
      </c>
      <c r="E215" s="228" t="str">
        <f>'School Level Inst. Resources'!E215</f>
        <v>K-6</v>
      </c>
      <c r="F215" s="229" t="str">
        <f>'School Level Inst. Resources'!H215</f>
        <v>E</v>
      </c>
      <c r="G215" s="229" t="s">
        <v>1158</v>
      </c>
      <c r="H215" s="207">
        <v>10999</v>
      </c>
      <c r="I215" s="207">
        <f>IF('SFD Allowable GSF Calculation'!$D$2=1,'SFD Allowable GSF Calculation'!$P215,'SFD Allowable GSF Calculation'!$X215)</f>
        <v>2915</v>
      </c>
      <c r="J215" s="194">
        <f>$I215*'Model Data Inputs'!$B$165</f>
        <v>3352.2499999999995</v>
      </c>
      <c r="K215" s="194">
        <f>IF($L215&gt;='Model Data Inputs'!$B$164,$H215,MIN($H215,$J215))</f>
        <v>3352.2499999999995</v>
      </c>
      <c r="L215" s="208">
        <v>1966</v>
      </c>
      <c r="M215" s="196">
        <f>IF($L215&gt;0,'Model Data Inputs'!$B$157-$L215,"")</f>
        <v>51</v>
      </c>
      <c r="N215" s="209">
        <v>4</v>
      </c>
      <c r="O215" s="198">
        <f>'School Level Inst. Resources'!$L215</f>
        <v>3.8506666666666667</v>
      </c>
      <c r="P215" s="198">
        <f>IF($G215="T",SUMIFS('School Level ADM'!$S$5:$S$359,'School Level ADM'!$A$5:$A$359,$A215),0)</f>
        <v>12798.258666666667</v>
      </c>
      <c r="Q215" s="199">
        <f t="shared" si="27"/>
        <v>3.0087426476976971E-4</v>
      </c>
      <c r="R215" s="200">
        <f>SUM((('School Level Inst. Resources'!I215/'Model Data Inputs'!$B$8)*(1+'Model Data Inputs'!$B$9)),(SUM('School Level Inst. Resources'!J215:K215)/'Model Data Inputs'!$C$8)*(1+'Model Data Inputs'!$C$9),'School Level Inst. Resources'!K215/400)</f>
        <v>0.25671111111111111</v>
      </c>
      <c r="S215" s="200">
        <f t="shared" si="28"/>
        <v>0.25671111111111111</v>
      </c>
      <c r="T215" s="201">
        <f>IF($G215="T",VLOOKUP($A215,'Total O &amp; M Resources'!$A$5:$K$52,3),0)</f>
        <v>90531635.030000046</v>
      </c>
      <c r="U215" s="202">
        <f>IF($G215="F",0,$S215/'Model Data Inputs'!$B$140)</f>
        <v>1.9747008547008546E-2</v>
      </c>
      <c r="V215" s="202">
        <f>IF($G215="F",0,$O215/'Model Data Inputs'!$B$141)</f>
        <v>1.1848205128205128E-2</v>
      </c>
      <c r="W215" s="202">
        <f>IF($G215="F",0,$N215/'Model Data Inputs'!$B$142)</f>
        <v>0.30769230769230771</v>
      </c>
      <c r="X215" s="202">
        <f>IF($G215="F",0,$K215/'Model Data Inputs'!$B$143)</f>
        <v>0.18623611111111107</v>
      </c>
      <c r="Y215" s="202">
        <f t="shared" si="22"/>
        <v>0.13138090811965811</v>
      </c>
      <c r="Z215" s="202">
        <f>IF(OR($G215="F",$F215="E"),0,'Model Data Inputs'!$B$144)</f>
        <v>0</v>
      </c>
      <c r="AA215" s="202">
        <f>IF(AND($O215&lt;='Model Data Inputs'!$B$139,$F215="E"),0,IF(AND($O215&lt;='Model Data Inputs'!$B$139,$F215="M"),0,IF(AND($O215&lt;='Model Data Inputs'!$B$139,$F215="H"),0,IF(SUM($Y215:$Z215)&lt;1,1,SUM($Y215:$Z215)))))</f>
        <v>0</v>
      </c>
      <c r="AB215" s="202">
        <f>($K215/'Model Data Inputs'!$B$143)*'Model Data Inputs'!$B$145</f>
        <v>1.8623611111111108E-2</v>
      </c>
      <c r="AC215" s="202">
        <f t="shared" si="23"/>
        <v>1.8623611111111108E-2</v>
      </c>
      <c r="AD215" s="202">
        <f>IF($G215="F",0,'Model Data Inputs'!$B$147)</f>
        <v>1.1000000000000001</v>
      </c>
      <c r="AE215" s="202">
        <f>IF($G215="F",0,($K215/'Model Data Inputs'!$B$148)*'Model Data Inputs'!$B$149)</f>
        <v>6.7044999999999993E-2</v>
      </c>
      <c r="AF215" s="202">
        <f>IF($G215="F",0,($O215/'Model Data Inputs'!$B$150)*'Model Data Inputs'!$B$151)</f>
        <v>5.0058666666666666E-3</v>
      </c>
      <c r="AG215" s="202">
        <f>IF($G215="F",0,(($Q215*$T215)/'Model Data Inputs'!$B$152)*'Model Data Inputs'!$B$153)</f>
        <v>6.5372733907335338E-3</v>
      </c>
      <c r="AH215" s="202">
        <f t="shared" si="24"/>
        <v>0.29464703501435008</v>
      </c>
      <c r="AI215" s="203">
        <f>IF(OR($G215="F",$F215="M",$F215="H"),0,($AH215*'Model Data Inputs'!$B$154)-$AH215)</f>
        <v>-5.8929407002869999E-2</v>
      </c>
      <c r="AJ215" s="202">
        <f>IF(OR($G215="F",$F215="E",$F215="H"),0,($AH215*'Model Data Inputs'!$B$155)-$AH215)</f>
        <v>0</v>
      </c>
      <c r="AK215" s="203">
        <f>IF(OR($G215="F",$F215="E",$F215="M"),0,($AH215*'Model Data Inputs'!$B$156)-$AH215)</f>
        <v>0</v>
      </c>
      <c r="AL215" s="203">
        <f>IF($G215="F",0,IF($M215&lt;'Model Data Inputs'!$B$158,$AH215*('Model Data Inputs'!$B$159-1),0))</f>
        <v>0</v>
      </c>
      <c r="AM215" s="202">
        <f>IF($G215="F",0,IF($M215&gt;'Model Data Inputs'!$B$160,$AH215*('Model Data Inputs'!$B$161-1),0))</f>
        <v>2.9464703501435034E-2</v>
      </c>
      <c r="AN215" s="202">
        <f>IF($G215="F",0,IF($P215&lt;'Model Data Inputs'!$B$162,SUM($AH215,$AI215,$AJ215,$AK215,$AL215,$AM215)*('Model Data Inputs'!$B$163-1),0))</f>
        <v>0</v>
      </c>
      <c r="AO215" s="202">
        <f t="shared" si="25"/>
        <v>0.26518233151291509</v>
      </c>
      <c r="AP215" s="204">
        <f>$K215*'Model Data Inputs'!$B$166</f>
        <v>2246.0074999999997</v>
      </c>
      <c r="AQ215" s="204">
        <f>($K215*'Model Data Inputs'!$B$145)*'Model Data Inputs'!$B$166</f>
        <v>224.60074999999998</v>
      </c>
      <c r="AR215" s="50">
        <f t="shared" si="26"/>
        <v>2470.6082499999998</v>
      </c>
    </row>
    <row r="216" spans="1:44" x14ac:dyDescent="0.2">
      <c r="A216" s="227" t="str">
        <f>'School Level Inst. Resources'!A216</f>
        <v>1301000</v>
      </c>
      <c r="B216" s="227" t="str">
        <f>'School Level Inst. Resources'!B216</f>
        <v>Natrona #1</v>
      </c>
      <c r="C216" s="227" t="str">
        <f>'School Level Inst. Resources'!C216</f>
        <v>1301022</v>
      </c>
      <c r="D216" s="227" t="str">
        <f>'School Level Inst. Resources'!D216</f>
        <v>Red Creek Elementary</v>
      </c>
      <c r="E216" s="228" t="str">
        <f>'School Level Inst. Resources'!E216</f>
        <v>K-6</v>
      </c>
      <c r="F216" s="229" t="str">
        <f>'School Level Inst. Resources'!H216</f>
        <v>E</v>
      </c>
      <c r="G216" s="229" t="s">
        <v>1158</v>
      </c>
      <c r="H216" s="207">
        <v>1440</v>
      </c>
      <c r="I216" s="207">
        <f>IF('SFD Allowable GSF Calculation'!$D$2=1,'SFD Allowable GSF Calculation'!$P216,'SFD Allowable GSF Calculation'!$X216)</f>
        <v>2915</v>
      </c>
      <c r="J216" s="194">
        <f>$I216*'Model Data Inputs'!$B$165</f>
        <v>3352.2499999999995</v>
      </c>
      <c r="K216" s="194">
        <f>IF($L216&gt;='Model Data Inputs'!$B$164,$H216,MIN($H216,$J216))</f>
        <v>1440</v>
      </c>
      <c r="L216" s="208">
        <v>2014</v>
      </c>
      <c r="M216" s="196">
        <f>IF($L216&gt;0,'Model Data Inputs'!$B$157-$L216,"")</f>
        <v>3</v>
      </c>
      <c r="N216" s="209">
        <v>2</v>
      </c>
      <c r="O216" s="198">
        <f>'School Level Inst. Resources'!$L216</f>
        <v>9.2846666666666664</v>
      </c>
      <c r="P216" s="198">
        <f>IF($G216="T",SUMIFS('School Level ADM'!$S$5:$S$359,'School Level ADM'!$A$5:$A$359,$A216),0)</f>
        <v>12798.258666666667</v>
      </c>
      <c r="Q216" s="199">
        <f t="shared" si="27"/>
        <v>7.2546327656658287E-4</v>
      </c>
      <c r="R216" s="200">
        <f>SUM((('School Level Inst. Resources'!I216/'Model Data Inputs'!$B$8)*(1+'Model Data Inputs'!$B$9)),(SUM('School Level Inst. Resources'!J216:K216)/'Model Data Inputs'!$C$8)*(1+'Model Data Inputs'!$C$9),'School Level Inst. Resources'!K216/400)</f>
        <v>0.61897777777777774</v>
      </c>
      <c r="S216" s="200">
        <f t="shared" si="28"/>
        <v>0.61897777777777774</v>
      </c>
      <c r="T216" s="201">
        <f>IF($G216="T",VLOOKUP($A216,'Total O &amp; M Resources'!$A$5:$K$52,3),0)</f>
        <v>90531635.030000046</v>
      </c>
      <c r="U216" s="202">
        <f>IF($G216="F",0,$S216/'Model Data Inputs'!$B$140)</f>
        <v>4.7613675213675211E-2</v>
      </c>
      <c r="V216" s="202">
        <f>IF($G216="F",0,$O216/'Model Data Inputs'!$B$141)</f>
        <v>2.8568205128205126E-2</v>
      </c>
      <c r="W216" s="202">
        <f>IF($G216="F",0,$N216/'Model Data Inputs'!$B$142)</f>
        <v>0.15384615384615385</v>
      </c>
      <c r="X216" s="202">
        <f>IF($G216="F",0,$K216/'Model Data Inputs'!$B$143)</f>
        <v>0.08</v>
      </c>
      <c r="Y216" s="202">
        <f t="shared" si="22"/>
        <v>7.7507008547008552E-2</v>
      </c>
      <c r="Z216" s="202">
        <f>IF(OR($G216="F",$F216="E"),0,'Model Data Inputs'!$B$144)</f>
        <v>0</v>
      </c>
      <c r="AA216" s="202">
        <f>IF(AND($O216&lt;='Model Data Inputs'!$B$139,$F216="E"),0,IF(AND($O216&lt;='Model Data Inputs'!$B$139,$F216="M"),0,IF(AND($O216&lt;='Model Data Inputs'!$B$139,$F216="H"),0,IF(SUM($Y216:$Z216)&lt;1,1,SUM($Y216:$Z216)))))</f>
        <v>0</v>
      </c>
      <c r="AB216" s="202">
        <f>($K216/'Model Data Inputs'!$B$143)*'Model Data Inputs'!$B$145</f>
        <v>8.0000000000000002E-3</v>
      </c>
      <c r="AC216" s="202">
        <f t="shared" si="23"/>
        <v>8.0000000000000002E-3</v>
      </c>
      <c r="AD216" s="202">
        <f>IF($G216="F",0,'Model Data Inputs'!$B$147)</f>
        <v>1.1000000000000001</v>
      </c>
      <c r="AE216" s="202">
        <f>IF($G216="F",0,($K216/'Model Data Inputs'!$B$148)*'Model Data Inputs'!$B$149)</f>
        <v>2.8799999999999999E-2</v>
      </c>
      <c r="AF216" s="202">
        <f>IF($G216="F",0,($O216/'Model Data Inputs'!$B$150)*'Model Data Inputs'!$B$151)</f>
        <v>1.2070066666666667E-2</v>
      </c>
      <c r="AG216" s="202">
        <f>IF($G216="F",0,(($Q216*$T216)/'Model Data Inputs'!$B$152)*'Model Data Inputs'!$B$153)</f>
        <v>1.5762570379630528E-2</v>
      </c>
      <c r="AH216" s="202">
        <f t="shared" si="24"/>
        <v>0.28915815926157429</v>
      </c>
      <c r="AI216" s="203">
        <f>IF(OR($G216="F",$F216="M",$F216="H"),0,($AH216*'Model Data Inputs'!$B$154)-$AH216)</f>
        <v>-5.7831631852314852E-2</v>
      </c>
      <c r="AJ216" s="202">
        <f>IF(OR($G216="F",$F216="E",$F216="H"),0,($AH216*'Model Data Inputs'!$B$155)-$AH216)</f>
        <v>0</v>
      </c>
      <c r="AK216" s="203">
        <f>IF(OR($G216="F",$F216="E",$F216="M"),0,($AH216*'Model Data Inputs'!$B$156)-$AH216)</f>
        <v>0</v>
      </c>
      <c r="AL216" s="203">
        <f>IF($G216="F",0,IF($M216&lt;'Model Data Inputs'!$B$158,$AH216*('Model Data Inputs'!$B$159-1),0))</f>
        <v>-1.4457907963078727E-2</v>
      </c>
      <c r="AM216" s="202">
        <f>IF($G216="F",0,IF($M216&gt;'Model Data Inputs'!$B$160,$AH216*('Model Data Inputs'!$B$161-1),0))</f>
        <v>0</v>
      </c>
      <c r="AN216" s="202">
        <f>IF($G216="F",0,IF($P216&lt;'Model Data Inputs'!$B$162,SUM($AH216,$AI216,$AJ216,$AK216,$AL216,$AM216)*('Model Data Inputs'!$B$163-1),0))</f>
        <v>0</v>
      </c>
      <c r="AO216" s="202">
        <f t="shared" si="25"/>
        <v>0.21686861944618072</v>
      </c>
      <c r="AP216" s="204">
        <f>$K216*'Model Data Inputs'!$B$166</f>
        <v>964.80000000000007</v>
      </c>
      <c r="AQ216" s="204">
        <f>($K216*'Model Data Inputs'!$B$145)*'Model Data Inputs'!$B$166</f>
        <v>96.48</v>
      </c>
      <c r="AR216" s="50">
        <f t="shared" si="26"/>
        <v>1061.28</v>
      </c>
    </row>
    <row r="217" spans="1:44" x14ac:dyDescent="0.2">
      <c r="A217" s="227" t="str">
        <f>'School Level Inst. Resources'!A217</f>
        <v>1301000</v>
      </c>
      <c r="B217" s="227" t="str">
        <f>'School Level Inst. Resources'!B217</f>
        <v>Natrona #1</v>
      </c>
      <c r="C217" s="227" t="str">
        <f>'School Level Inst. Resources'!C217</f>
        <v>1301023</v>
      </c>
      <c r="D217" s="227" t="str">
        <f>'School Level Inst. Resources'!D217</f>
        <v>Southridge Elementary</v>
      </c>
      <c r="E217" s="228" t="str">
        <f>'School Level Inst. Resources'!E217</f>
        <v>K-5</v>
      </c>
      <c r="F217" s="229" t="str">
        <f>'School Level Inst. Resources'!H217</f>
        <v>E</v>
      </c>
      <c r="G217" s="229" t="s">
        <v>1158</v>
      </c>
      <c r="H217" s="207">
        <v>48890</v>
      </c>
      <c r="I217" s="207">
        <f>IF('SFD Allowable GSF Calculation'!$D$2=1,'SFD Allowable GSF Calculation'!$P217,'SFD Allowable GSF Calculation'!$X217)</f>
        <v>47418</v>
      </c>
      <c r="J217" s="194">
        <f>$I217*'Model Data Inputs'!$B$165</f>
        <v>54530.7</v>
      </c>
      <c r="K217" s="194">
        <f>IF($L217&gt;='Model Data Inputs'!$B$164,$H217,MIN($H217,$J217))</f>
        <v>48890</v>
      </c>
      <c r="L217" s="208">
        <v>2014</v>
      </c>
      <c r="M217" s="196">
        <f>IF($L217&gt;0,'Model Data Inputs'!$B$157-$L217,"")</f>
        <v>3</v>
      </c>
      <c r="N217" s="209">
        <v>25</v>
      </c>
      <c r="O217" s="198">
        <f>'School Level Inst. Resources'!$L217</f>
        <v>323.82287719298245</v>
      </c>
      <c r="P217" s="198">
        <f>IF($G217="T",SUMIFS('School Level ADM'!$S$5:$S$359,'School Level ADM'!$A$5:$A$359,$A217),0)</f>
        <v>12798.258666666667</v>
      </c>
      <c r="Q217" s="199">
        <f t="shared" si="27"/>
        <v>2.5302104421157382E-2</v>
      </c>
      <c r="R217" s="200">
        <f>SUM((('School Level Inst. Resources'!I217/'Model Data Inputs'!$B$8)*(1+'Model Data Inputs'!$B$9)),(SUM('School Level Inst. Resources'!J217:K217)/'Model Data Inputs'!$C$8)*(1+'Model Data Inputs'!$C$9),'School Level Inst. Resources'!K217/400)</f>
        <v>21.588191812865496</v>
      </c>
      <c r="S217" s="200">
        <f t="shared" si="28"/>
        <v>21.588191812865496</v>
      </c>
      <c r="T217" s="201">
        <f>IF($G217="T",VLOOKUP($A217,'Total O &amp; M Resources'!$A$5:$K$52,3),0)</f>
        <v>90531635.030000046</v>
      </c>
      <c r="U217" s="202">
        <f>IF($G217="F",0,$S217/'Model Data Inputs'!$B$140)</f>
        <v>1.660630139451192</v>
      </c>
      <c r="V217" s="202">
        <f>IF($G217="F",0,$O217/'Model Data Inputs'!$B$141)</f>
        <v>0.99637808367071523</v>
      </c>
      <c r="W217" s="202">
        <f>IF($G217="F",0,$N217/'Model Data Inputs'!$B$142)</f>
        <v>1.9230769230769231</v>
      </c>
      <c r="X217" s="202">
        <f>IF($G217="F",0,$K217/'Model Data Inputs'!$B$143)</f>
        <v>2.7161111111111111</v>
      </c>
      <c r="Y217" s="202">
        <f t="shared" si="22"/>
        <v>1.8240490643274854</v>
      </c>
      <c r="Z217" s="202">
        <f>IF(OR($G217="F",$F217="E"),0,'Model Data Inputs'!$B$144)</f>
        <v>0</v>
      </c>
      <c r="AA217" s="202">
        <f>IF(AND($O217&lt;='Model Data Inputs'!$B$139,$F217="E"),0,IF(AND($O217&lt;='Model Data Inputs'!$B$139,$F217="M"),0,IF(AND($O217&lt;='Model Data Inputs'!$B$139,$F217="H"),0,IF(SUM($Y217:$Z217)&lt;1,1,SUM($Y217:$Z217)))))</f>
        <v>1.8240490643274854</v>
      </c>
      <c r="AB217" s="202">
        <f>($K217/'Model Data Inputs'!$B$143)*'Model Data Inputs'!$B$145</f>
        <v>0.27161111111111114</v>
      </c>
      <c r="AC217" s="202">
        <f t="shared" si="23"/>
        <v>2.0956601754385966</v>
      </c>
      <c r="AD217" s="202">
        <f>IF($G217="F",0,'Model Data Inputs'!$B$147)</f>
        <v>1.1000000000000001</v>
      </c>
      <c r="AE217" s="202">
        <f>IF($G217="F",0,($K217/'Model Data Inputs'!$B$148)*'Model Data Inputs'!$B$149)</f>
        <v>0.97779999999999989</v>
      </c>
      <c r="AF217" s="202">
        <f>IF($G217="F",0,($O217/'Model Data Inputs'!$B$150)*'Model Data Inputs'!$B$151)</f>
        <v>0.42096974035087725</v>
      </c>
      <c r="AG217" s="202">
        <f>IF($G217="F",0,(($Q217*$T217)/'Model Data Inputs'!$B$152)*'Model Data Inputs'!$B$153)</f>
        <v>0.54975381190732087</v>
      </c>
      <c r="AH217" s="202">
        <f t="shared" si="24"/>
        <v>0.76213088806454954</v>
      </c>
      <c r="AI217" s="203">
        <f>IF(OR($G217="F",$F217="M",$F217="H"),0,($AH217*'Model Data Inputs'!$B$154)-$AH217)</f>
        <v>-0.15242617761290989</v>
      </c>
      <c r="AJ217" s="202">
        <f>IF(OR($G217="F",$F217="E",$F217="H"),0,($AH217*'Model Data Inputs'!$B$155)-$AH217)</f>
        <v>0</v>
      </c>
      <c r="AK217" s="203">
        <f>IF(OR($G217="F",$F217="E",$F217="M"),0,($AH217*'Model Data Inputs'!$B$156)-$AH217)</f>
        <v>0</v>
      </c>
      <c r="AL217" s="203">
        <f>IF($G217="F",0,IF($M217&lt;'Model Data Inputs'!$B$158,$AH217*('Model Data Inputs'!$B$159-1),0))</f>
        <v>-3.8106544403227513E-2</v>
      </c>
      <c r="AM217" s="202">
        <f>IF($G217="F",0,IF($M217&gt;'Model Data Inputs'!$B$160,$AH217*('Model Data Inputs'!$B$161-1),0))</f>
        <v>0</v>
      </c>
      <c r="AN217" s="202">
        <f>IF($G217="F",0,IF($P217&lt;'Model Data Inputs'!$B$162,SUM($AH217,$AI217,$AJ217,$AK217,$AL217,$AM217)*('Model Data Inputs'!$B$163-1),0))</f>
        <v>0</v>
      </c>
      <c r="AO217" s="202">
        <f t="shared" si="25"/>
        <v>0.57159816604841218</v>
      </c>
      <c r="AP217" s="204">
        <f>$K217*'Model Data Inputs'!$B$166</f>
        <v>32756.300000000003</v>
      </c>
      <c r="AQ217" s="204">
        <f>($K217*'Model Data Inputs'!$B$145)*'Model Data Inputs'!$B$166</f>
        <v>3275.63</v>
      </c>
      <c r="AR217" s="50">
        <f t="shared" si="26"/>
        <v>36031.93</v>
      </c>
    </row>
    <row r="218" spans="1:44" x14ac:dyDescent="0.2">
      <c r="A218" s="227" t="str">
        <f>'School Level Inst. Resources'!A218</f>
        <v>1301000</v>
      </c>
      <c r="B218" s="227" t="str">
        <f>'School Level Inst. Resources'!B218</f>
        <v>Natrona #1</v>
      </c>
      <c r="C218" s="227" t="str">
        <f>'School Level Inst. Resources'!C218</f>
        <v>1301024</v>
      </c>
      <c r="D218" s="227" t="str">
        <f>'School Level Inst. Resources'!D218</f>
        <v>University Park Elementary</v>
      </c>
      <c r="E218" s="228" t="str">
        <f>'School Level Inst. Resources'!E218</f>
        <v>P-5</v>
      </c>
      <c r="F218" s="229" t="str">
        <f>'School Level Inst. Resources'!H218</f>
        <v>E</v>
      </c>
      <c r="G218" s="229" t="s">
        <v>1158</v>
      </c>
      <c r="H218" s="207">
        <v>26890</v>
      </c>
      <c r="I218" s="207">
        <f>IF('SFD Allowable GSF Calculation'!$D$2=1,'SFD Allowable GSF Calculation'!$P218,'SFD Allowable GSF Calculation'!$X218)</f>
        <v>35011</v>
      </c>
      <c r="J218" s="194">
        <f>$I218*'Model Data Inputs'!$B$165</f>
        <v>40262.649999999994</v>
      </c>
      <c r="K218" s="194">
        <f>IF($L218&gt;='Model Data Inputs'!$B$164,$H218,MIN($H218,$J218))</f>
        <v>26890</v>
      </c>
      <c r="L218" s="208">
        <v>1961</v>
      </c>
      <c r="M218" s="196">
        <f>IF($L218&gt;0,'Model Data Inputs'!$B$157-$L218,"")</f>
        <v>56</v>
      </c>
      <c r="N218" s="209">
        <v>20</v>
      </c>
      <c r="O218" s="198">
        <f>'School Level Inst. Resources'!$L218</f>
        <v>211.72887719298245</v>
      </c>
      <c r="P218" s="198">
        <f>IF($G218="T",SUMIFS('School Level ADM'!$S$5:$S$359,'School Level ADM'!$A$5:$A$359,$A218),0)</f>
        <v>12798.258666666667</v>
      </c>
      <c r="Q218" s="199">
        <f t="shared" si="27"/>
        <v>1.6543569145420912E-2</v>
      </c>
      <c r="R218" s="200">
        <f>SUM((('School Level Inst. Resources'!I218/'Model Data Inputs'!$B$8)*(1+'Model Data Inputs'!$B$9)),(SUM('School Level Inst. Resources'!J218:K218)/'Model Data Inputs'!$C$8)*(1+'Model Data Inputs'!$C$9),'School Level Inst. Resources'!K218/400)</f>
        <v>14.115258479532164</v>
      </c>
      <c r="S218" s="200">
        <f t="shared" si="28"/>
        <v>14.115258479532164</v>
      </c>
      <c r="T218" s="201">
        <f>IF($G218="T",VLOOKUP($A218,'Total O &amp; M Resources'!$A$5:$K$52,3),0)</f>
        <v>90531635.030000046</v>
      </c>
      <c r="U218" s="202">
        <f>IF($G218="F",0,$S218/'Model Data Inputs'!$B$140)</f>
        <v>1.0857891138101665</v>
      </c>
      <c r="V218" s="202">
        <f>IF($G218="F",0,$O218/'Model Data Inputs'!$B$141)</f>
        <v>0.65147346828609987</v>
      </c>
      <c r="W218" s="202">
        <f>IF($G218="F",0,$N218/'Model Data Inputs'!$B$142)</f>
        <v>1.5384615384615385</v>
      </c>
      <c r="X218" s="202">
        <f>IF($G218="F",0,$K218/'Model Data Inputs'!$B$143)</f>
        <v>1.4938888888888888</v>
      </c>
      <c r="Y218" s="202">
        <f t="shared" si="22"/>
        <v>1.1924032523616734</v>
      </c>
      <c r="Z218" s="202">
        <f>IF(OR($G218="F",$F218="E"),0,'Model Data Inputs'!$B$144)</f>
        <v>0</v>
      </c>
      <c r="AA218" s="202">
        <f>IF(AND($O218&lt;='Model Data Inputs'!$B$139,$F218="E"),0,IF(AND($O218&lt;='Model Data Inputs'!$B$139,$F218="M"),0,IF(AND($O218&lt;='Model Data Inputs'!$B$139,$F218="H"),0,IF(SUM($Y218:$Z218)&lt;1,1,SUM($Y218:$Z218)))))</f>
        <v>1.1924032523616734</v>
      </c>
      <c r="AB218" s="202">
        <f>($K218/'Model Data Inputs'!$B$143)*'Model Data Inputs'!$B$145</f>
        <v>0.14938888888888888</v>
      </c>
      <c r="AC218" s="202">
        <f t="shared" si="23"/>
        <v>1.3417921412505622</v>
      </c>
      <c r="AD218" s="202">
        <f>IF($G218="F",0,'Model Data Inputs'!$B$147)</f>
        <v>1.1000000000000001</v>
      </c>
      <c r="AE218" s="202">
        <f>IF($G218="F",0,($K218/'Model Data Inputs'!$B$148)*'Model Data Inputs'!$B$149)</f>
        <v>0.53779999999999994</v>
      </c>
      <c r="AF218" s="202">
        <f>IF($G218="F",0,($O218/'Model Data Inputs'!$B$150)*'Model Data Inputs'!$B$151)</f>
        <v>0.27524754035087717</v>
      </c>
      <c r="AG218" s="202">
        <f>IF($G218="F",0,(($Q218*$T218)/'Model Data Inputs'!$B$152)*'Model Data Inputs'!$B$153)</f>
        <v>0.35945192735203579</v>
      </c>
      <c r="AH218" s="202">
        <f t="shared" si="24"/>
        <v>0.56812486692572817</v>
      </c>
      <c r="AI218" s="203">
        <f>IF(OR($G218="F",$F218="M",$F218="H"),0,($AH218*'Model Data Inputs'!$B$154)-$AH218)</f>
        <v>-0.1136249733851456</v>
      </c>
      <c r="AJ218" s="202">
        <f>IF(OR($G218="F",$F218="E",$F218="H"),0,($AH218*'Model Data Inputs'!$B$155)-$AH218)</f>
        <v>0</v>
      </c>
      <c r="AK218" s="203">
        <f>IF(OR($G218="F",$F218="E",$F218="M"),0,($AH218*'Model Data Inputs'!$B$156)-$AH218)</f>
        <v>0</v>
      </c>
      <c r="AL218" s="203">
        <f>IF($G218="F",0,IF($M218&lt;'Model Data Inputs'!$B$158,$AH218*('Model Data Inputs'!$B$159-1),0))</f>
        <v>0</v>
      </c>
      <c r="AM218" s="202">
        <f>IF($G218="F",0,IF($M218&gt;'Model Data Inputs'!$B$160,$AH218*('Model Data Inputs'!$B$161-1),0))</f>
        <v>5.6812486692572869E-2</v>
      </c>
      <c r="AN218" s="202">
        <f>IF($G218="F",0,IF($P218&lt;'Model Data Inputs'!$B$162,SUM($AH218,$AI218,$AJ218,$AK218,$AL218,$AM218)*('Model Data Inputs'!$B$163-1),0))</f>
        <v>0</v>
      </c>
      <c r="AO218" s="202">
        <f t="shared" si="25"/>
        <v>0.51131238023315539</v>
      </c>
      <c r="AP218" s="204">
        <f>$K218*'Model Data Inputs'!$B$166</f>
        <v>18016.3</v>
      </c>
      <c r="AQ218" s="204">
        <f>($K218*'Model Data Inputs'!$B$145)*'Model Data Inputs'!$B$166</f>
        <v>1801.63</v>
      </c>
      <c r="AR218" s="50">
        <f t="shared" si="26"/>
        <v>19817.93</v>
      </c>
    </row>
    <row r="219" spans="1:44" x14ac:dyDescent="0.2">
      <c r="A219" s="227" t="str">
        <f>'School Level Inst. Resources'!A219</f>
        <v>1301000</v>
      </c>
      <c r="B219" s="227" t="str">
        <f>'School Level Inst. Resources'!B219</f>
        <v>Natrona #1</v>
      </c>
      <c r="C219" s="227" t="str">
        <f>'School Level Inst. Resources'!C219</f>
        <v>1301025</v>
      </c>
      <c r="D219" s="227" t="str">
        <f>'School Level Inst. Resources'!D219</f>
        <v>Verda James Elementary</v>
      </c>
      <c r="E219" s="228" t="str">
        <f>'School Level Inst. Resources'!E219</f>
        <v>K-5</v>
      </c>
      <c r="F219" s="229" t="str">
        <f>'School Level Inst. Resources'!H219</f>
        <v>E</v>
      </c>
      <c r="G219" s="229" t="s">
        <v>1158</v>
      </c>
      <c r="H219" s="207">
        <v>61274</v>
      </c>
      <c r="I219" s="207">
        <f>IF('SFD Allowable GSF Calculation'!$D$2=1,'SFD Allowable GSF Calculation'!$P219,'SFD Allowable GSF Calculation'!$X219)</f>
        <v>58619</v>
      </c>
      <c r="J219" s="194">
        <f>$I219*'Model Data Inputs'!$B$165</f>
        <v>67411.849999999991</v>
      </c>
      <c r="K219" s="194">
        <f>IF($L219&gt;='Model Data Inputs'!$B$164,$H219,MIN($H219,$J219))</f>
        <v>61274</v>
      </c>
      <c r="L219" s="208">
        <v>1983</v>
      </c>
      <c r="M219" s="196">
        <f>IF($L219&gt;0,'Model Data Inputs'!$B$157-$L219,"")</f>
        <v>34</v>
      </c>
      <c r="N219" s="209">
        <v>30</v>
      </c>
      <c r="O219" s="198">
        <f>'School Level Inst. Resources'!$L219</f>
        <v>435.38821052631579</v>
      </c>
      <c r="P219" s="198">
        <f>IF($G219="T",SUMIFS('School Level ADM'!$S$5:$S$359,'School Level ADM'!$A$5:$A$359,$A219),0)</f>
        <v>12798.258666666667</v>
      </c>
      <c r="Q219" s="199">
        <f t="shared" si="27"/>
        <v>3.4019331993991771E-2</v>
      </c>
      <c r="R219" s="200">
        <f>SUM((('School Level Inst. Resources'!I219/'Model Data Inputs'!$B$8)*(1+'Model Data Inputs'!$B$9)),(SUM('School Level Inst. Resources'!J219:K219)/'Model Data Inputs'!$C$8)*(1+'Model Data Inputs'!$C$9),'School Level Inst. Resources'!K219/400)</f>
        <v>29.025880701754385</v>
      </c>
      <c r="S219" s="200">
        <f t="shared" si="28"/>
        <v>29.025880701754385</v>
      </c>
      <c r="T219" s="201">
        <f>IF($G219="T",VLOOKUP($A219,'Total O &amp; M Resources'!$A$5:$K$52,3),0)</f>
        <v>90531635.030000046</v>
      </c>
      <c r="U219" s="202">
        <f>IF($G219="F",0,$S219/'Model Data Inputs'!$B$140)</f>
        <v>2.2327600539811066</v>
      </c>
      <c r="V219" s="202">
        <f>IF($G219="F",0,$O219/'Model Data Inputs'!$B$141)</f>
        <v>1.3396560323886639</v>
      </c>
      <c r="W219" s="202">
        <f>IF($G219="F",0,$N219/'Model Data Inputs'!$B$142)</f>
        <v>2.3076923076923075</v>
      </c>
      <c r="X219" s="202">
        <f>IF($G219="F",0,$K219/'Model Data Inputs'!$B$143)</f>
        <v>3.4041111111111113</v>
      </c>
      <c r="Y219" s="202">
        <f t="shared" si="22"/>
        <v>2.3210548762932972</v>
      </c>
      <c r="Z219" s="202">
        <f>IF(OR($G219="F",$F219="E"),0,'Model Data Inputs'!$B$144)</f>
        <v>0</v>
      </c>
      <c r="AA219" s="202">
        <f>IF(AND($O219&lt;='Model Data Inputs'!$B$139,$F219="E"),0,IF(AND($O219&lt;='Model Data Inputs'!$B$139,$F219="M"),0,IF(AND($O219&lt;='Model Data Inputs'!$B$139,$F219="H"),0,IF(SUM($Y219:$Z219)&lt;1,1,SUM($Y219:$Z219)))))</f>
        <v>2.3210548762932972</v>
      </c>
      <c r="AB219" s="202">
        <f>($K219/'Model Data Inputs'!$B$143)*'Model Data Inputs'!$B$145</f>
        <v>0.34041111111111116</v>
      </c>
      <c r="AC219" s="202">
        <f t="shared" si="23"/>
        <v>2.6614659874044082</v>
      </c>
      <c r="AD219" s="202">
        <f>IF($G219="F",0,'Model Data Inputs'!$B$147)</f>
        <v>1.1000000000000001</v>
      </c>
      <c r="AE219" s="202">
        <f>IF($G219="F",0,($K219/'Model Data Inputs'!$B$148)*'Model Data Inputs'!$B$149)</f>
        <v>1.2254800000000001</v>
      </c>
      <c r="AF219" s="202">
        <f>IF($G219="F",0,($O219/'Model Data Inputs'!$B$150)*'Model Data Inputs'!$B$151)</f>
        <v>0.56600467368421048</v>
      </c>
      <c r="AG219" s="202">
        <f>IF($G219="F",0,(($Q219*$T219)/'Model Data Inputs'!$B$152)*'Model Data Inputs'!$B$153)</f>
        <v>0.73915817953067198</v>
      </c>
      <c r="AH219" s="202">
        <f t="shared" si="24"/>
        <v>0.90766071330372067</v>
      </c>
      <c r="AI219" s="203">
        <f>IF(OR($G219="F",$F219="M",$F219="H"),0,($AH219*'Model Data Inputs'!$B$154)-$AH219)</f>
        <v>-0.18153214266074413</v>
      </c>
      <c r="AJ219" s="202">
        <f>IF(OR($G219="F",$F219="E",$F219="H"),0,($AH219*'Model Data Inputs'!$B$155)-$AH219)</f>
        <v>0</v>
      </c>
      <c r="AK219" s="203">
        <f>IF(OR($G219="F",$F219="E",$F219="M"),0,($AH219*'Model Data Inputs'!$B$156)-$AH219)</f>
        <v>0</v>
      </c>
      <c r="AL219" s="203">
        <f>IF($G219="F",0,IF($M219&lt;'Model Data Inputs'!$B$158,$AH219*('Model Data Inputs'!$B$159-1),0))</f>
        <v>0</v>
      </c>
      <c r="AM219" s="202">
        <f>IF($G219="F",0,IF($M219&gt;'Model Data Inputs'!$B$160,$AH219*('Model Data Inputs'!$B$161-1),0))</f>
        <v>9.076607133037215E-2</v>
      </c>
      <c r="AN219" s="202">
        <f>IF($G219="F",0,IF($P219&lt;'Model Data Inputs'!$B$162,SUM($AH219,$AI219,$AJ219,$AK219,$AL219,$AM219)*('Model Data Inputs'!$B$163-1),0))</f>
        <v>0</v>
      </c>
      <c r="AO219" s="202">
        <f t="shared" si="25"/>
        <v>0.81689464197334871</v>
      </c>
      <c r="AP219" s="204">
        <f>$K219*'Model Data Inputs'!$B$166</f>
        <v>41053.58</v>
      </c>
      <c r="AQ219" s="204">
        <f>($K219*'Model Data Inputs'!$B$145)*'Model Data Inputs'!$B$166</f>
        <v>4105.3580000000002</v>
      </c>
      <c r="AR219" s="50">
        <f t="shared" si="26"/>
        <v>45158.938000000002</v>
      </c>
    </row>
    <row r="220" spans="1:44" x14ac:dyDescent="0.2">
      <c r="A220" s="227" t="str">
        <f>'School Level Inst. Resources'!A220</f>
        <v>1301000</v>
      </c>
      <c r="B220" s="227" t="str">
        <f>'School Level Inst. Resources'!B220</f>
        <v>Natrona #1</v>
      </c>
      <c r="C220" s="227" t="str">
        <f>'School Level Inst. Resources'!C220</f>
        <v>1301027</v>
      </c>
      <c r="D220" s="227" t="str">
        <f>'School Level Inst. Resources'!D220</f>
        <v>Willard Elementary</v>
      </c>
      <c r="E220" s="228" t="str">
        <f>'School Level Inst. Resources'!E220</f>
        <v>P-5</v>
      </c>
      <c r="F220" s="229" t="str">
        <f>'School Level Inst. Resources'!H220</f>
        <v>E</v>
      </c>
      <c r="G220" s="229" t="s">
        <v>1158</v>
      </c>
      <c r="H220" s="207">
        <v>37062</v>
      </c>
      <c r="I220" s="207">
        <f>IF('SFD Allowable GSF Calculation'!$D$2=1,'SFD Allowable GSF Calculation'!$P220,'SFD Allowable GSF Calculation'!$X220)</f>
        <v>36075</v>
      </c>
      <c r="J220" s="194">
        <f>$I220*'Model Data Inputs'!$B$165</f>
        <v>41486.25</v>
      </c>
      <c r="K220" s="194">
        <f>IF($L220&gt;='Model Data Inputs'!$B$164,$H220,MIN($H220,$J220))</f>
        <v>37062</v>
      </c>
      <c r="L220" s="208">
        <v>1950</v>
      </c>
      <c r="M220" s="196">
        <f>IF($L220&gt;0,'Model Data Inputs'!$B$157-$L220,"")</f>
        <v>67</v>
      </c>
      <c r="N220" s="209">
        <v>25</v>
      </c>
      <c r="O220" s="198">
        <f>'School Level Inst. Resources'!$L220</f>
        <v>227.35354385964911</v>
      </c>
      <c r="P220" s="198">
        <f>IF($G220="T",SUMIFS('School Level ADM'!$S$5:$S$359,'School Level ADM'!$A$5:$A$359,$A220),0)</f>
        <v>12798.258666666667</v>
      </c>
      <c r="Q220" s="199">
        <f t="shared" si="27"/>
        <v>1.7764412314293678E-2</v>
      </c>
      <c r="R220" s="200">
        <f>SUM((('School Level Inst. Resources'!I220/'Model Data Inputs'!$B$8)*(1+'Model Data Inputs'!$B$9)),(SUM('School Level Inst. Resources'!J220:K220)/'Model Data Inputs'!$C$8)*(1+'Model Data Inputs'!$C$9),'School Level Inst. Resources'!K220/400)</f>
        <v>15.156902923976606</v>
      </c>
      <c r="S220" s="200">
        <f t="shared" si="28"/>
        <v>15.156902923976606</v>
      </c>
      <c r="T220" s="201">
        <f>IF($G220="T",VLOOKUP($A220,'Total O &amp; M Resources'!$A$5:$K$52,3),0)</f>
        <v>90531635.030000046</v>
      </c>
      <c r="U220" s="202">
        <f>IF($G220="F",0,$S220/'Model Data Inputs'!$B$140)</f>
        <v>1.1659156095366621</v>
      </c>
      <c r="V220" s="202">
        <f>IF($G220="F",0,$O220/'Model Data Inputs'!$B$141)</f>
        <v>0.69954936572199722</v>
      </c>
      <c r="W220" s="202">
        <f>IF($G220="F",0,$N220/'Model Data Inputs'!$B$142)</f>
        <v>1.9230769230769231</v>
      </c>
      <c r="X220" s="202">
        <f>IF($G220="F",0,$K220/'Model Data Inputs'!$B$143)</f>
        <v>2.0590000000000002</v>
      </c>
      <c r="Y220" s="202">
        <f t="shared" si="22"/>
        <v>1.4618854745838956</v>
      </c>
      <c r="Z220" s="202">
        <f>IF(OR($G220="F",$F220="E"),0,'Model Data Inputs'!$B$144)</f>
        <v>0</v>
      </c>
      <c r="AA220" s="202">
        <f>IF(AND($O220&lt;='Model Data Inputs'!$B$139,$F220="E"),0,IF(AND($O220&lt;='Model Data Inputs'!$B$139,$F220="M"),0,IF(AND($O220&lt;='Model Data Inputs'!$B$139,$F220="H"),0,IF(SUM($Y220:$Z220)&lt;1,1,SUM($Y220:$Z220)))))</f>
        <v>1.4618854745838956</v>
      </c>
      <c r="AB220" s="202">
        <f>($K220/'Model Data Inputs'!$B$143)*'Model Data Inputs'!$B$145</f>
        <v>0.20590000000000003</v>
      </c>
      <c r="AC220" s="202">
        <f t="shared" si="23"/>
        <v>1.6677854745838956</v>
      </c>
      <c r="AD220" s="202">
        <f>IF($G220="F",0,'Model Data Inputs'!$B$147)</f>
        <v>1.1000000000000001</v>
      </c>
      <c r="AE220" s="202">
        <f>IF($G220="F",0,($K220/'Model Data Inputs'!$B$148)*'Model Data Inputs'!$B$149)</f>
        <v>0.74124000000000001</v>
      </c>
      <c r="AF220" s="202">
        <f>IF($G220="F",0,($O220/'Model Data Inputs'!$B$150)*'Model Data Inputs'!$B$151)</f>
        <v>0.29555960701754386</v>
      </c>
      <c r="AG220" s="202">
        <f>IF($G220="F",0,(($Q220*$T220)/'Model Data Inputs'!$B$152)*'Model Data Inputs'!$B$153)</f>
        <v>0.3859779101184177</v>
      </c>
      <c r="AH220" s="202">
        <f t="shared" si="24"/>
        <v>0.6306943792839903</v>
      </c>
      <c r="AI220" s="203">
        <f>IF(OR($G220="F",$F220="M",$F220="H"),0,($AH220*'Model Data Inputs'!$B$154)-$AH220)</f>
        <v>-0.12613887585679806</v>
      </c>
      <c r="AJ220" s="202">
        <f>IF(OR($G220="F",$F220="E",$F220="H"),0,($AH220*'Model Data Inputs'!$B$155)-$AH220)</f>
        <v>0</v>
      </c>
      <c r="AK220" s="203">
        <f>IF(OR($G220="F",$F220="E",$F220="M"),0,($AH220*'Model Data Inputs'!$B$156)-$AH220)</f>
        <v>0</v>
      </c>
      <c r="AL220" s="203">
        <f>IF($G220="F",0,IF($M220&lt;'Model Data Inputs'!$B$158,$AH220*('Model Data Inputs'!$B$159-1),0))</f>
        <v>0</v>
      </c>
      <c r="AM220" s="202">
        <f>IF($G220="F",0,IF($M220&gt;'Model Data Inputs'!$B$160,$AH220*('Model Data Inputs'!$B$161-1),0))</f>
        <v>6.3069437928399086E-2</v>
      </c>
      <c r="AN220" s="202">
        <f>IF($G220="F",0,IF($P220&lt;'Model Data Inputs'!$B$162,SUM($AH220,$AI220,$AJ220,$AK220,$AL220,$AM220)*('Model Data Inputs'!$B$163-1),0))</f>
        <v>0</v>
      </c>
      <c r="AO220" s="202">
        <f t="shared" si="25"/>
        <v>0.56762494135559138</v>
      </c>
      <c r="AP220" s="204">
        <f>$K220*'Model Data Inputs'!$B$166</f>
        <v>24831.54</v>
      </c>
      <c r="AQ220" s="204">
        <f>($K220*'Model Data Inputs'!$B$145)*'Model Data Inputs'!$B$166</f>
        <v>2483.1540000000005</v>
      </c>
      <c r="AR220" s="50">
        <f t="shared" si="26"/>
        <v>27314.694000000003</v>
      </c>
    </row>
    <row r="221" spans="1:44" x14ac:dyDescent="0.2">
      <c r="A221" s="227" t="str">
        <f>'School Level Inst. Resources'!A221</f>
        <v>1301000</v>
      </c>
      <c r="B221" s="227" t="str">
        <f>'School Level Inst. Resources'!B221</f>
        <v>Natrona #1</v>
      </c>
      <c r="C221" s="227" t="str">
        <f>'School Level Inst. Resources'!C221</f>
        <v>1301029</v>
      </c>
      <c r="D221" s="227" t="str">
        <f>'School Level Inst. Resources'!D221</f>
        <v>Woods Learning Center</v>
      </c>
      <c r="E221" s="228" t="str">
        <f>'School Level Inst. Resources'!E221</f>
        <v>K-8</v>
      </c>
      <c r="F221" s="229" t="str">
        <f>'School Level Inst. Resources'!H221</f>
        <v>M</v>
      </c>
      <c r="G221" s="229" t="s">
        <v>1158</v>
      </c>
      <c r="H221" s="207">
        <v>27495</v>
      </c>
      <c r="I221" s="207">
        <f>IF('SFD Allowable GSF Calculation'!$D$2=1,'SFD Allowable GSF Calculation'!$P221,'SFD Allowable GSF Calculation'!$X221)</f>
        <v>44884</v>
      </c>
      <c r="J221" s="194">
        <f>$I221*'Model Data Inputs'!$B$165</f>
        <v>51616.6</v>
      </c>
      <c r="K221" s="194">
        <f>IF($L221&gt;='Model Data Inputs'!$B$164,$H221,MIN($H221,$J221))</f>
        <v>27495</v>
      </c>
      <c r="L221" s="208">
        <v>1972</v>
      </c>
      <c r="M221" s="196">
        <f>IF($L221&gt;0,'Model Data Inputs'!$B$157-$L221,"")</f>
        <v>45</v>
      </c>
      <c r="N221" s="209">
        <v>15</v>
      </c>
      <c r="O221" s="198">
        <f>'School Level Inst. Resources'!$L221</f>
        <v>164.54721052631578</v>
      </c>
      <c r="P221" s="198">
        <f>IF($G221="T",SUMIFS('School Level ADM'!$S$5:$S$359,'School Level ADM'!$A$5:$A$359,$A221),0)</f>
        <v>12798.258666666667</v>
      </c>
      <c r="Q221" s="199">
        <f t="shared" si="27"/>
        <v>1.2856999910064519E-2</v>
      </c>
      <c r="R221" s="200">
        <f>SUM((('School Level Inst. Resources'!I221/'Model Data Inputs'!$B$8)*(1+'Model Data Inputs'!$B$9)),(SUM('School Level Inst. Resources'!J221:K221)/'Model Data Inputs'!$C$8)*(1+'Model Data Inputs'!$C$9),'School Level Inst. Resources'!K221/400)</f>
        <v>10.519029194508008</v>
      </c>
      <c r="S221" s="200">
        <f t="shared" si="28"/>
        <v>10.519029194508008</v>
      </c>
      <c r="T221" s="201">
        <f>IF($G221="T",VLOOKUP($A221,'Total O &amp; M Resources'!$A$5:$K$52,3),0)</f>
        <v>90531635.030000046</v>
      </c>
      <c r="U221" s="202">
        <f>IF($G221="F",0,$S221/'Model Data Inputs'!$B$140)</f>
        <v>0.80915609188523141</v>
      </c>
      <c r="V221" s="202">
        <f>IF($G221="F",0,$O221/'Model Data Inputs'!$B$141)</f>
        <v>0.50629910931174082</v>
      </c>
      <c r="W221" s="202">
        <f>IF($G221="F",0,$N221/'Model Data Inputs'!$B$142)</f>
        <v>1.1538461538461537</v>
      </c>
      <c r="X221" s="202">
        <f>IF($G221="F",0,$K221/'Model Data Inputs'!$B$143)</f>
        <v>1.5275000000000001</v>
      </c>
      <c r="Y221" s="202">
        <f t="shared" si="22"/>
        <v>0.99920033876078151</v>
      </c>
      <c r="Z221" s="202">
        <f>IF(OR($G221="F",$F221="E"),0,'Model Data Inputs'!$B$144)</f>
        <v>0.5</v>
      </c>
      <c r="AA221" s="202">
        <f>IF(AND($O221&lt;='Model Data Inputs'!$B$139,$F221="E"),0,IF(AND($O221&lt;='Model Data Inputs'!$B$139,$F221="M"),0,IF(AND($O221&lt;='Model Data Inputs'!$B$139,$F221="H"),0,IF(SUM($Y221:$Z221)&lt;1,1,SUM($Y221:$Z221)))))</f>
        <v>1.4992003387607815</v>
      </c>
      <c r="AB221" s="202">
        <f>($K221/'Model Data Inputs'!$B$143)*'Model Data Inputs'!$B$145</f>
        <v>0.15275000000000002</v>
      </c>
      <c r="AC221" s="202">
        <f t="shared" si="23"/>
        <v>1.6519503387607815</v>
      </c>
      <c r="AD221" s="202">
        <f>IF($G221="F",0,'Model Data Inputs'!$B$147)</f>
        <v>1.1000000000000001</v>
      </c>
      <c r="AE221" s="202">
        <f>IF($G221="F",0,($K221/'Model Data Inputs'!$B$148)*'Model Data Inputs'!$B$149)</f>
        <v>0.54989999999999994</v>
      </c>
      <c r="AF221" s="202">
        <f>IF($G221="F",0,($O221/'Model Data Inputs'!$B$150)*'Model Data Inputs'!$B$151)</f>
        <v>0.21391137368421051</v>
      </c>
      <c r="AG221" s="202">
        <f>IF($G221="F",0,(($Q221*$T221)/'Model Data Inputs'!$B$152)*'Model Data Inputs'!$B$153)</f>
        <v>0.27935165362528902</v>
      </c>
      <c r="AH221" s="202">
        <f t="shared" si="24"/>
        <v>0.53579075682737487</v>
      </c>
      <c r="AI221" s="203">
        <f>IF(OR($G221="F",$F221="M",$F221="H"),0,($AH221*'Model Data Inputs'!$B$154)-$AH221)</f>
        <v>0</v>
      </c>
      <c r="AJ221" s="202">
        <f>IF(OR($G221="F",$F221="E",$F221="H"),0,($AH221*'Model Data Inputs'!$B$155)-$AH221)</f>
        <v>0</v>
      </c>
      <c r="AK221" s="203">
        <f>IF(OR($G221="F",$F221="E",$F221="M"),0,($AH221*'Model Data Inputs'!$B$156)-$AH221)</f>
        <v>0</v>
      </c>
      <c r="AL221" s="203">
        <f>IF($G221="F",0,IF($M221&lt;'Model Data Inputs'!$B$158,$AH221*('Model Data Inputs'!$B$159-1),0))</f>
        <v>0</v>
      </c>
      <c r="AM221" s="202">
        <f>IF($G221="F",0,IF($M221&gt;'Model Data Inputs'!$B$160,$AH221*('Model Data Inputs'!$B$161-1),0))</f>
        <v>5.3579075682737537E-2</v>
      </c>
      <c r="AN221" s="202">
        <f>IF($G221="F",0,IF($P221&lt;'Model Data Inputs'!$B$162,SUM($AH221,$AI221,$AJ221,$AK221,$AL221,$AM221)*('Model Data Inputs'!$B$163-1),0))</f>
        <v>0</v>
      </c>
      <c r="AO221" s="202">
        <f t="shared" si="25"/>
        <v>0.58936983251011243</v>
      </c>
      <c r="AP221" s="204">
        <f>$K221*'Model Data Inputs'!$B$166</f>
        <v>18421.650000000001</v>
      </c>
      <c r="AQ221" s="204">
        <f>($K221*'Model Data Inputs'!$B$145)*'Model Data Inputs'!$B$166</f>
        <v>1842.1650000000002</v>
      </c>
      <c r="AR221" s="50">
        <f t="shared" si="26"/>
        <v>20263.815000000002</v>
      </c>
    </row>
    <row r="222" spans="1:44" x14ac:dyDescent="0.2">
      <c r="A222" s="227" t="str">
        <f>'School Level Inst. Resources'!A222</f>
        <v>1301000</v>
      </c>
      <c r="B222" s="227" t="str">
        <f>'School Level Inst. Resources'!B222</f>
        <v>Natrona #1</v>
      </c>
      <c r="C222" s="227" t="str">
        <f>'School Level Inst. Resources'!C222</f>
        <v>1301031</v>
      </c>
      <c r="D222" s="227" t="str">
        <f>'School Level Inst. Resources'!D222</f>
        <v>Oregon Trail Elementary</v>
      </c>
      <c r="E222" s="228" t="str">
        <f>'School Level Inst. Resources'!E222</f>
        <v>K-5</v>
      </c>
      <c r="F222" s="229" t="str">
        <f>'School Level Inst. Resources'!H222</f>
        <v>E</v>
      </c>
      <c r="G222" s="229" t="s">
        <v>1158</v>
      </c>
      <c r="H222" s="207">
        <v>46624</v>
      </c>
      <c r="I222" s="207">
        <f>IF('SFD Allowable GSF Calculation'!$D$2=1,'SFD Allowable GSF Calculation'!$P222,'SFD Allowable GSF Calculation'!$X222)</f>
        <v>50774</v>
      </c>
      <c r="J222" s="194">
        <f>$I222*'Model Data Inputs'!$B$165</f>
        <v>58390.1</v>
      </c>
      <c r="K222" s="194">
        <f>IF($L222&gt;='Model Data Inputs'!$B$164,$H222,MIN($H222,$J222))</f>
        <v>46624</v>
      </c>
      <c r="L222" s="208">
        <v>1986</v>
      </c>
      <c r="M222" s="196">
        <f>IF($L222&gt;0,'Model Data Inputs'!$B$157-$L222,"")</f>
        <v>31</v>
      </c>
      <c r="N222" s="209">
        <v>25</v>
      </c>
      <c r="O222" s="198">
        <f>'School Level Inst. Resources'!$L222</f>
        <v>355.35821052631582</v>
      </c>
      <c r="P222" s="198">
        <f>IF($G222="T",SUMIFS('School Level ADM'!$S$5:$S$359,'School Level ADM'!$A$5:$A$359,$A222),0)</f>
        <v>12798.258666666667</v>
      </c>
      <c r="Q222" s="199">
        <f t="shared" si="27"/>
        <v>2.7766137548997486E-2</v>
      </c>
      <c r="R222" s="200">
        <f>SUM((('School Level Inst. Resources'!I222/'Model Data Inputs'!$B$8)*(1+'Model Data Inputs'!$B$9)),(SUM('School Level Inst. Resources'!J222:K222)/'Model Data Inputs'!$C$8)*(1+'Model Data Inputs'!$C$9),'School Level Inst. Resources'!K222/400)</f>
        <v>23.690547368421054</v>
      </c>
      <c r="S222" s="200">
        <f t="shared" si="28"/>
        <v>23.690547368421054</v>
      </c>
      <c r="T222" s="201">
        <f>IF($G222="T",VLOOKUP($A222,'Total O &amp; M Resources'!$A$5:$K$52,3),0)</f>
        <v>90531635.030000046</v>
      </c>
      <c r="U222" s="202">
        <f>IF($G222="F",0,$S222/'Model Data Inputs'!$B$140)</f>
        <v>1.8223497975708502</v>
      </c>
      <c r="V222" s="202">
        <f>IF($G222="F",0,$O222/'Model Data Inputs'!$B$141)</f>
        <v>1.0934098785425101</v>
      </c>
      <c r="W222" s="202">
        <f>IF($G222="F",0,$N222/'Model Data Inputs'!$B$142)</f>
        <v>1.9230769230769231</v>
      </c>
      <c r="X222" s="202">
        <f>IF($G222="F",0,$K222/'Model Data Inputs'!$B$143)</f>
        <v>2.5902222222222222</v>
      </c>
      <c r="Y222" s="202">
        <f t="shared" si="22"/>
        <v>1.8572647053531264</v>
      </c>
      <c r="Z222" s="202">
        <f>IF(OR($G222="F",$F222="E"),0,'Model Data Inputs'!$B$144)</f>
        <v>0</v>
      </c>
      <c r="AA222" s="202">
        <f>IF(AND($O222&lt;='Model Data Inputs'!$B$139,$F222="E"),0,IF(AND($O222&lt;='Model Data Inputs'!$B$139,$F222="M"),0,IF(AND($O222&lt;='Model Data Inputs'!$B$139,$F222="H"),0,IF(SUM($Y222:$Z222)&lt;1,1,SUM($Y222:$Z222)))))</f>
        <v>1.8572647053531264</v>
      </c>
      <c r="AB222" s="202">
        <f>($K222/'Model Data Inputs'!$B$143)*'Model Data Inputs'!$B$145</f>
        <v>0.25902222222222221</v>
      </c>
      <c r="AC222" s="202">
        <f t="shared" si="23"/>
        <v>2.1162869275753486</v>
      </c>
      <c r="AD222" s="202">
        <f>IF($G222="F",0,'Model Data Inputs'!$B$147)</f>
        <v>1.1000000000000001</v>
      </c>
      <c r="AE222" s="202">
        <f>IF($G222="F",0,($K222/'Model Data Inputs'!$B$148)*'Model Data Inputs'!$B$149)</f>
        <v>0.93247999999999998</v>
      </c>
      <c r="AF222" s="202">
        <f>IF($G222="F",0,($O222/'Model Data Inputs'!$B$150)*'Model Data Inputs'!$B$151)</f>
        <v>0.4619656736842106</v>
      </c>
      <c r="AG222" s="202">
        <f>IF($G222="F",0,(($Q222*$T222)/'Model Data Inputs'!$B$152)*'Model Data Inputs'!$B$153)</f>
        <v>0.60329131938686875</v>
      </c>
      <c r="AH222" s="202">
        <f t="shared" si="24"/>
        <v>0.77443424826776974</v>
      </c>
      <c r="AI222" s="203">
        <f>IF(OR($G222="F",$F222="M",$F222="H"),0,($AH222*'Model Data Inputs'!$B$154)-$AH222)</f>
        <v>-0.15488684965355393</v>
      </c>
      <c r="AJ222" s="202">
        <f>IF(OR($G222="F",$F222="E",$F222="H"),0,($AH222*'Model Data Inputs'!$B$155)-$AH222)</f>
        <v>0</v>
      </c>
      <c r="AK222" s="203">
        <f>IF(OR($G222="F",$F222="E",$F222="M"),0,($AH222*'Model Data Inputs'!$B$156)-$AH222)</f>
        <v>0</v>
      </c>
      <c r="AL222" s="203">
        <f>IF($G222="F",0,IF($M222&lt;'Model Data Inputs'!$B$158,$AH222*('Model Data Inputs'!$B$159-1),0))</f>
        <v>0</v>
      </c>
      <c r="AM222" s="202">
        <f>IF($G222="F",0,IF($M222&gt;'Model Data Inputs'!$B$160,$AH222*('Model Data Inputs'!$B$161-1),0))</f>
        <v>7.7443424826777046E-2</v>
      </c>
      <c r="AN222" s="202">
        <f>IF($G222="F",0,IF($P222&lt;'Model Data Inputs'!$B$162,SUM($AH222,$AI222,$AJ222,$AK222,$AL222,$AM222)*('Model Data Inputs'!$B$163-1),0))</f>
        <v>0</v>
      </c>
      <c r="AO222" s="202">
        <f t="shared" si="25"/>
        <v>0.69699082344099283</v>
      </c>
      <c r="AP222" s="204">
        <f>$K222*'Model Data Inputs'!$B$166</f>
        <v>31238.080000000002</v>
      </c>
      <c r="AQ222" s="204">
        <f>($K222*'Model Data Inputs'!$B$145)*'Model Data Inputs'!$B$166</f>
        <v>3123.8080000000004</v>
      </c>
      <c r="AR222" s="50">
        <f t="shared" si="26"/>
        <v>34361.887999999999</v>
      </c>
    </row>
    <row r="223" spans="1:44" x14ac:dyDescent="0.2">
      <c r="A223" s="227" t="str">
        <f>'School Level Inst. Resources'!A223</f>
        <v>1301000</v>
      </c>
      <c r="B223" s="227" t="str">
        <f>'School Level Inst. Resources'!B223</f>
        <v>Natrona #1</v>
      </c>
      <c r="C223" s="227" t="str">
        <f>'School Level Inst. Resources'!C223</f>
        <v>1301033</v>
      </c>
      <c r="D223" s="227" t="str">
        <f>'School Level Inst. Resources'!D223</f>
        <v>Bar Nunn Elementary</v>
      </c>
      <c r="E223" s="228" t="str">
        <f>'School Level Inst. Resources'!E223</f>
        <v>P-6</v>
      </c>
      <c r="F223" s="229" t="str">
        <f>'School Level Inst. Resources'!H223</f>
        <v>E</v>
      </c>
      <c r="G223" s="229" t="s">
        <v>1158</v>
      </c>
      <c r="H223" s="207">
        <v>36732</v>
      </c>
      <c r="I223" s="207">
        <f>IF('SFD Allowable GSF Calculation'!$D$2=1,'SFD Allowable GSF Calculation'!$P223,'SFD Allowable GSF Calculation'!$X223)</f>
        <v>36167</v>
      </c>
      <c r="J223" s="194">
        <f>$I223*'Model Data Inputs'!$B$165</f>
        <v>41592.049999999996</v>
      </c>
      <c r="K223" s="194">
        <f>IF($L223&gt;='Model Data Inputs'!$B$164,$H223,MIN($H223,$J223))</f>
        <v>36732</v>
      </c>
      <c r="L223" s="208">
        <v>1986</v>
      </c>
      <c r="M223" s="196">
        <f>IF($L223&gt;0,'Model Data Inputs'!$B$157-$L223,"")</f>
        <v>31</v>
      </c>
      <c r="N223" s="209">
        <v>19</v>
      </c>
      <c r="O223" s="198">
        <f>'School Level Inst. Resources'!$L223</f>
        <v>223.96621052631582</v>
      </c>
      <c r="P223" s="198">
        <f>IF($G223="T",SUMIFS('School Level ADM'!$S$5:$S$359,'School Level ADM'!$A$5:$A$359,$A223),0)</f>
        <v>12798.258666666667</v>
      </c>
      <c r="Q223" s="199">
        <f t="shared" si="27"/>
        <v>1.749974089128551E-2</v>
      </c>
      <c r="R223" s="200">
        <f>SUM((('School Level Inst. Resources'!I223/'Model Data Inputs'!$B$8)*(1+'Model Data Inputs'!$B$9)),(SUM('School Level Inst. Resources'!J223:K223)/'Model Data Inputs'!$C$8)*(1+'Model Data Inputs'!$C$9),'School Level Inst. Resources'!K223/400)</f>
        <v>14.931080701754386</v>
      </c>
      <c r="S223" s="200">
        <f t="shared" si="28"/>
        <v>14.931080701754386</v>
      </c>
      <c r="T223" s="201">
        <f>IF($G223="T",VLOOKUP($A223,'Total O &amp; M Resources'!$A$5:$K$52,3),0)</f>
        <v>90531635.030000046</v>
      </c>
      <c r="U223" s="202">
        <f>IF($G223="F",0,$S223/'Model Data Inputs'!$B$140)</f>
        <v>1.148544669365722</v>
      </c>
      <c r="V223" s="202">
        <f>IF($G223="F",0,$O223/'Model Data Inputs'!$B$141)</f>
        <v>0.68912680161943329</v>
      </c>
      <c r="W223" s="202">
        <f>IF($G223="F",0,$N223/'Model Data Inputs'!$B$142)</f>
        <v>1.4615384615384615</v>
      </c>
      <c r="X223" s="202">
        <f>IF($G223="F",0,$K223/'Model Data Inputs'!$B$143)</f>
        <v>2.0406666666666666</v>
      </c>
      <c r="Y223" s="202">
        <f t="shared" si="22"/>
        <v>1.3349691497975709</v>
      </c>
      <c r="Z223" s="202">
        <f>IF(OR($G223="F",$F223="E"),0,'Model Data Inputs'!$B$144)</f>
        <v>0</v>
      </c>
      <c r="AA223" s="202">
        <f>IF(AND($O223&lt;='Model Data Inputs'!$B$139,$F223="E"),0,IF(AND($O223&lt;='Model Data Inputs'!$B$139,$F223="M"),0,IF(AND($O223&lt;='Model Data Inputs'!$B$139,$F223="H"),0,IF(SUM($Y223:$Z223)&lt;1,1,SUM($Y223:$Z223)))))</f>
        <v>1.3349691497975709</v>
      </c>
      <c r="AB223" s="202">
        <f>($K223/'Model Data Inputs'!$B$143)*'Model Data Inputs'!$B$145</f>
        <v>0.20406666666666667</v>
      </c>
      <c r="AC223" s="202">
        <f t="shared" si="23"/>
        <v>1.5390358164642375</v>
      </c>
      <c r="AD223" s="202">
        <f>IF($G223="F",0,'Model Data Inputs'!$B$147)</f>
        <v>1.1000000000000001</v>
      </c>
      <c r="AE223" s="202">
        <f>IF($G223="F",0,($K223/'Model Data Inputs'!$B$148)*'Model Data Inputs'!$B$149)</f>
        <v>0.73463999999999996</v>
      </c>
      <c r="AF223" s="202">
        <f>IF($G223="F",0,($O223/'Model Data Inputs'!$B$150)*'Model Data Inputs'!$B$151)</f>
        <v>0.29115607368421059</v>
      </c>
      <c r="AG223" s="202">
        <f>IF($G223="F",0,(($Q223*$T223)/'Model Data Inputs'!$B$152)*'Model Data Inputs'!$B$153)</f>
        <v>0.38022723731746261</v>
      </c>
      <c r="AH223" s="202">
        <f t="shared" si="24"/>
        <v>0.6265058277504183</v>
      </c>
      <c r="AI223" s="203">
        <f>IF(OR($G223="F",$F223="M",$F223="H"),0,($AH223*'Model Data Inputs'!$B$154)-$AH223)</f>
        <v>-0.12530116555008364</v>
      </c>
      <c r="AJ223" s="202">
        <f>IF(OR($G223="F",$F223="E",$F223="H"),0,($AH223*'Model Data Inputs'!$B$155)-$AH223)</f>
        <v>0</v>
      </c>
      <c r="AK223" s="203">
        <f>IF(OR($G223="F",$F223="E",$F223="M"),0,($AH223*'Model Data Inputs'!$B$156)-$AH223)</f>
        <v>0</v>
      </c>
      <c r="AL223" s="203">
        <f>IF($G223="F",0,IF($M223&lt;'Model Data Inputs'!$B$158,$AH223*('Model Data Inputs'!$B$159-1),0))</f>
        <v>0</v>
      </c>
      <c r="AM223" s="202">
        <f>IF($G223="F",0,IF($M223&gt;'Model Data Inputs'!$B$160,$AH223*('Model Data Inputs'!$B$161-1),0))</f>
        <v>6.2650582775041888E-2</v>
      </c>
      <c r="AN223" s="202">
        <f>IF($G223="F",0,IF($P223&lt;'Model Data Inputs'!$B$162,SUM($AH223,$AI223,$AJ223,$AK223,$AL223,$AM223)*('Model Data Inputs'!$B$163-1),0))</f>
        <v>0</v>
      </c>
      <c r="AO223" s="202">
        <f t="shared" si="25"/>
        <v>0.56385524497537653</v>
      </c>
      <c r="AP223" s="204">
        <f>$K223*'Model Data Inputs'!$B$166</f>
        <v>24610.440000000002</v>
      </c>
      <c r="AQ223" s="204">
        <f>($K223*'Model Data Inputs'!$B$145)*'Model Data Inputs'!$B$166</f>
        <v>2461.0440000000003</v>
      </c>
      <c r="AR223" s="50">
        <f t="shared" si="26"/>
        <v>27071.484000000004</v>
      </c>
    </row>
    <row r="224" spans="1:44" x14ac:dyDescent="0.2">
      <c r="A224" s="210" t="str">
        <f>'School Level Inst. Resources'!A224</f>
        <v>1301000</v>
      </c>
      <c r="B224" s="210" t="str">
        <f>'School Level Inst. Resources'!B224</f>
        <v>Natrona #1</v>
      </c>
      <c r="C224" s="210" t="str">
        <f>'School Level Inst. Resources'!C224</f>
        <v>1301038</v>
      </c>
      <c r="D224" s="210" t="str">
        <f>'School Level Inst. Resources'!D224</f>
        <v>Casper Classical Academy</v>
      </c>
      <c r="E224" s="211" t="str">
        <f>'School Level Inst. Resources'!E224</f>
        <v>6-9</v>
      </c>
      <c r="F224" s="212" t="str">
        <f>'School Level Inst. Resources'!H224</f>
        <v>M</v>
      </c>
      <c r="G224" s="212" t="s">
        <v>1159</v>
      </c>
      <c r="H224" s="213">
        <v>0</v>
      </c>
      <c r="I224" s="213">
        <f>IF('SFD Allowable GSF Calculation'!$D$2=1,'SFD Allowable GSF Calculation'!$P224,'SFD Allowable GSF Calculation'!$X224)</f>
        <v>0</v>
      </c>
      <c r="J224" s="214">
        <f>$I224*'Model Data Inputs'!$B$165</f>
        <v>0</v>
      </c>
      <c r="K224" s="214">
        <f>IF($L224&gt;='Model Data Inputs'!$B$164,$H224,MIN($H224,$J224))</f>
        <v>0</v>
      </c>
      <c r="L224" s="233">
        <v>0</v>
      </c>
      <c r="M224" s="259" t="str">
        <f>IF($L224&gt;0,'Model Data Inputs'!$B$157-$L224,"")</f>
        <v/>
      </c>
      <c r="N224" s="216">
        <v>0</v>
      </c>
      <c r="O224" s="218">
        <v>0</v>
      </c>
      <c r="P224" s="218">
        <f>IF($G224="T",SUMIFS('School Level ADM'!$S$5:$S$359,'School Level ADM'!$A$5:$A$359,$A224),0)</f>
        <v>0</v>
      </c>
      <c r="Q224" s="219">
        <f t="shared" si="27"/>
        <v>0</v>
      </c>
      <c r="R224" s="234">
        <f>SUM((('School Level Inst. Resources'!I224/'Model Data Inputs'!$B$8)*(1+'Model Data Inputs'!$B$9)),(SUM('School Level Inst. Resources'!J224:K224)/'Model Data Inputs'!$C$8)*(1+'Model Data Inputs'!$C$9),'School Level Inst. Resources'!K224/400)</f>
        <v>21.026626086956522</v>
      </c>
      <c r="S224" s="234">
        <v>0</v>
      </c>
      <c r="T224" s="221">
        <f>IF($G224="T",VLOOKUP($A224,'Total O &amp; M Resources'!$A$5:$K$52,3),0)</f>
        <v>0</v>
      </c>
      <c r="U224" s="222">
        <f>IF($G224="F",0,$S224/'Model Data Inputs'!$B$140)</f>
        <v>0</v>
      </c>
      <c r="V224" s="222">
        <f>IF($G224="F",0,$O224/'Model Data Inputs'!$B$141)</f>
        <v>0</v>
      </c>
      <c r="W224" s="222">
        <f>IF($G224="F",0,$N224/'Model Data Inputs'!$B$142)</f>
        <v>0</v>
      </c>
      <c r="X224" s="222">
        <f>IF($G224="F",0,$K224/'Model Data Inputs'!$B$143)</f>
        <v>0</v>
      </c>
      <c r="Y224" s="222">
        <f t="shared" si="22"/>
        <v>0</v>
      </c>
      <c r="Z224" s="222">
        <f>IF(OR($G224="F",$F224="E"),0,'Model Data Inputs'!$B$144)</f>
        <v>0</v>
      </c>
      <c r="AA224" s="222">
        <f>IF(AND($O224&lt;='Model Data Inputs'!$B$139,$F224="E"),0,IF(AND($O224&lt;='Model Data Inputs'!$B$139,$F224="M"),0,IF(AND($O224&lt;='Model Data Inputs'!$B$139,$F224="H"),0,IF(SUM($Y224:$Z224)&lt;1,1,SUM($Y224:$Z224)))))</f>
        <v>0</v>
      </c>
      <c r="AB224" s="222">
        <f>($K224/'Model Data Inputs'!$B$143)*'Model Data Inputs'!$B$145</f>
        <v>0</v>
      </c>
      <c r="AC224" s="222">
        <f t="shared" si="23"/>
        <v>0</v>
      </c>
      <c r="AD224" s="222">
        <f>IF($G224="F",0,'Model Data Inputs'!$B$147)</f>
        <v>0</v>
      </c>
      <c r="AE224" s="222">
        <f>IF($G224="F",0,($K224/'Model Data Inputs'!$B$148)*'Model Data Inputs'!$B$149)</f>
        <v>0</v>
      </c>
      <c r="AF224" s="222">
        <f>IF($G224="F",0,($O224/'Model Data Inputs'!$B$150)*'Model Data Inputs'!$B$151)</f>
        <v>0</v>
      </c>
      <c r="AG224" s="222">
        <f>IF($G224="F",0,(($Q224*$T224)/'Model Data Inputs'!$B$152)*'Model Data Inputs'!$B$153)</f>
        <v>0</v>
      </c>
      <c r="AH224" s="222">
        <f t="shared" si="24"/>
        <v>0</v>
      </c>
      <c r="AI224" s="223">
        <f>IF(OR($G224="F",$F224="M",$F224="H"),0,($AH224*'Model Data Inputs'!$B$154)-$AH224)</f>
        <v>0</v>
      </c>
      <c r="AJ224" s="222">
        <f>IF(OR($G224="F",$F224="E",$F224="H"),0,($AH224*'Model Data Inputs'!$B$155)-$AH224)</f>
        <v>0</v>
      </c>
      <c r="AK224" s="223">
        <f>IF(OR($G224="F",$F224="E",$F224="M"),0,($AH224*'Model Data Inputs'!$B$156)-$AH224)</f>
        <v>0</v>
      </c>
      <c r="AL224" s="223">
        <f>IF($G224="F",0,IF($M224&lt;'Model Data Inputs'!$B$158,$AH224*('Model Data Inputs'!$B$159-1),0))</f>
        <v>0</v>
      </c>
      <c r="AM224" s="222">
        <f>IF($G224="F",0,IF($M224&gt;'Model Data Inputs'!$B$160,$AH224*('Model Data Inputs'!$B$161-1),0))</f>
        <v>0</v>
      </c>
      <c r="AN224" s="222">
        <f>IF($G224="F",0,IF($P224&lt;'Model Data Inputs'!$B$162,SUM($AH224,$AI224,$AJ224,$AK224,$AL224,$AM224)*('Model Data Inputs'!$B$163-1),0))</f>
        <v>0</v>
      </c>
      <c r="AO224" s="222">
        <f t="shared" si="25"/>
        <v>0</v>
      </c>
      <c r="AP224" s="224">
        <f>$K224*'Model Data Inputs'!$B$166</f>
        <v>0</v>
      </c>
      <c r="AQ224" s="224">
        <f>($K224*'Model Data Inputs'!$B$145)*'Model Data Inputs'!$B$166</f>
        <v>0</v>
      </c>
      <c r="AR224" s="225">
        <f t="shared" si="26"/>
        <v>0</v>
      </c>
    </row>
    <row r="225" spans="1:44" x14ac:dyDescent="0.2">
      <c r="A225" s="227" t="str">
        <f>'School Level Inst. Resources'!A225</f>
        <v>1301000</v>
      </c>
      <c r="B225" s="227" t="str">
        <f>'School Level Inst. Resources'!B225</f>
        <v>Natrona #1</v>
      </c>
      <c r="C225" s="227" t="str">
        <f>'School Level Inst. Resources'!C225</f>
        <v>1301039</v>
      </c>
      <c r="D225" s="227" t="str">
        <f>'School Level Inst. Resources'!D225</f>
        <v>Summit Elementary</v>
      </c>
      <c r="E225" s="228" t="str">
        <f>'School Level Inst. Resources'!E225</f>
        <v>P-5</v>
      </c>
      <c r="F225" s="229" t="str">
        <f>'School Level Inst. Resources'!H225</f>
        <v>E</v>
      </c>
      <c r="G225" s="229" t="s">
        <v>1158</v>
      </c>
      <c r="H225" s="207">
        <v>62645</v>
      </c>
      <c r="I225" s="207">
        <f>IF('SFD Allowable GSF Calculation'!$D$2=1,'SFD Allowable GSF Calculation'!$P225,'SFD Allowable GSF Calculation'!$X225)</f>
        <v>58677</v>
      </c>
      <c r="J225" s="194">
        <f>$I225*'Model Data Inputs'!$B$165</f>
        <v>67478.549999999988</v>
      </c>
      <c r="K225" s="194">
        <f>IF($L225&gt;='Model Data Inputs'!$B$164,$H225,MIN($H225,$J225))</f>
        <v>62645</v>
      </c>
      <c r="L225" s="208">
        <v>2010</v>
      </c>
      <c r="M225" s="196">
        <f>IF($L225&gt;0,'Model Data Inputs'!$B$157-$L225,"")</f>
        <v>7</v>
      </c>
      <c r="N225" s="209">
        <v>28</v>
      </c>
      <c r="O225" s="198">
        <f>'School Level Inst. Resources'!$L225</f>
        <v>434.69599999999997</v>
      </c>
      <c r="P225" s="198">
        <f>IF($G225="T",SUMIFS('School Level ADM'!$S$5:$S$359,'School Level ADM'!$A$5:$A$359,$A225),0)</f>
        <v>12798.258666666667</v>
      </c>
      <c r="Q225" s="199">
        <f t="shared" si="27"/>
        <v>3.3965245688632219E-2</v>
      </c>
      <c r="R225" s="200">
        <f>SUM((('School Level Inst. Resources'!I225/'Model Data Inputs'!$B$8)*(1+'Model Data Inputs'!$B$9)),(SUM('School Level Inst. Resources'!J225:K225)/'Model Data Inputs'!$C$8)*(1+'Model Data Inputs'!$C$9),'School Level Inst. Resources'!K225/400)</f>
        <v>28.979733333333328</v>
      </c>
      <c r="S225" s="200">
        <f t="shared" si="28"/>
        <v>28.979733333333328</v>
      </c>
      <c r="T225" s="201">
        <f>IF($G225="T",VLOOKUP($A225,'Total O &amp; M Resources'!$A$5:$K$52,3),0)</f>
        <v>90531635.030000046</v>
      </c>
      <c r="U225" s="202">
        <f>IF($G225="F",0,$S225/'Model Data Inputs'!$B$140)</f>
        <v>2.2292102564102558</v>
      </c>
      <c r="V225" s="202">
        <f>IF($G225="F",0,$O225/'Model Data Inputs'!$B$141)</f>
        <v>1.3375261538461538</v>
      </c>
      <c r="W225" s="202">
        <f>IF($G225="F",0,$N225/'Model Data Inputs'!$B$142)</f>
        <v>2.1538461538461537</v>
      </c>
      <c r="X225" s="202">
        <f>IF($G225="F",0,$K225/'Model Data Inputs'!$B$143)</f>
        <v>3.4802777777777778</v>
      </c>
      <c r="Y225" s="202">
        <f t="shared" si="22"/>
        <v>2.3002150854700854</v>
      </c>
      <c r="Z225" s="202">
        <f>IF(OR($G225="F",$F225="E"),0,'Model Data Inputs'!$B$144)</f>
        <v>0</v>
      </c>
      <c r="AA225" s="202">
        <f>IF(AND($O225&lt;='Model Data Inputs'!$B$139,$F225="E"),0,IF(AND($O225&lt;='Model Data Inputs'!$B$139,$F225="M"),0,IF(AND($O225&lt;='Model Data Inputs'!$B$139,$F225="H"),0,IF(SUM($Y225:$Z225)&lt;1,1,SUM($Y225:$Z225)))))</f>
        <v>2.3002150854700854</v>
      </c>
      <c r="AB225" s="202">
        <f>($K225/'Model Data Inputs'!$B$143)*'Model Data Inputs'!$B$145</f>
        <v>0.34802777777777782</v>
      </c>
      <c r="AC225" s="202">
        <f t="shared" si="23"/>
        <v>2.6482428632478632</v>
      </c>
      <c r="AD225" s="202">
        <f>IF($G225="F",0,'Model Data Inputs'!$B$147)</f>
        <v>1.1000000000000001</v>
      </c>
      <c r="AE225" s="202">
        <f>IF($G225="F",0,($K225/'Model Data Inputs'!$B$148)*'Model Data Inputs'!$B$149)</f>
        <v>1.2528999999999999</v>
      </c>
      <c r="AF225" s="202">
        <f>IF($G225="F",0,($O225/'Model Data Inputs'!$B$150)*'Model Data Inputs'!$B$151)</f>
        <v>0.56510479999999996</v>
      </c>
      <c r="AG225" s="202">
        <f>IF($G225="F",0,(($Q225*$T225)/'Model Data Inputs'!$B$152)*'Model Data Inputs'!$B$153)</f>
        <v>0.73798301433300839</v>
      </c>
      <c r="AH225" s="202">
        <f t="shared" si="24"/>
        <v>0.91399695358325206</v>
      </c>
      <c r="AI225" s="203">
        <f>IF(OR($G225="F",$F225="M",$F225="H"),0,($AH225*'Model Data Inputs'!$B$154)-$AH225)</f>
        <v>-0.18279939071665041</v>
      </c>
      <c r="AJ225" s="202">
        <f>IF(OR($G225="F",$F225="E",$F225="H"),0,($AH225*'Model Data Inputs'!$B$155)-$AH225)</f>
        <v>0</v>
      </c>
      <c r="AK225" s="203">
        <f>IF(OR($G225="F",$F225="E",$F225="M"),0,($AH225*'Model Data Inputs'!$B$156)-$AH225)</f>
        <v>0</v>
      </c>
      <c r="AL225" s="203">
        <f>IF($G225="F",0,IF($M225&lt;'Model Data Inputs'!$B$158,$AH225*('Model Data Inputs'!$B$159-1),0))</f>
        <v>-4.5699847679162645E-2</v>
      </c>
      <c r="AM225" s="202">
        <f>IF($G225="F",0,IF($M225&gt;'Model Data Inputs'!$B$160,$AH225*('Model Data Inputs'!$B$161-1),0))</f>
        <v>0</v>
      </c>
      <c r="AN225" s="202">
        <f>IF($G225="F",0,IF($P225&lt;'Model Data Inputs'!$B$162,SUM($AH225,$AI225,$AJ225,$AK225,$AL225,$AM225)*('Model Data Inputs'!$B$163-1),0))</f>
        <v>0</v>
      </c>
      <c r="AO225" s="202">
        <f t="shared" si="25"/>
        <v>0.68549771518743896</v>
      </c>
      <c r="AP225" s="204">
        <f>$K225*'Model Data Inputs'!$B$166</f>
        <v>41972.15</v>
      </c>
      <c r="AQ225" s="204">
        <f>($K225*'Model Data Inputs'!$B$145)*'Model Data Inputs'!$B$166</f>
        <v>4197.2150000000001</v>
      </c>
      <c r="AR225" s="50">
        <f t="shared" si="26"/>
        <v>46169.365000000005</v>
      </c>
    </row>
    <row r="226" spans="1:44" x14ac:dyDescent="0.2">
      <c r="A226" s="210" t="str">
        <f>'School Level Inst. Resources'!A226</f>
        <v>1301000</v>
      </c>
      <c r="B226" s="210" t="str">
        <f>'School Level Inst. Resources'!B226</f>
        <v>Natrona #1</v>
      </c>
      <c r="C226" s="210" t="str">
        <f>'School Level Inst. Resources'!C226</f>
        <v>1301048</v>
      </c>
      <c r="D226" s="210" t="str">
        <f>'School Level Inst. Resources'!D226</f>
        <v>Frontier Middle School</v>
      </c>
      <c r="E226" s="211" t="str">
        <f>'School Level Inst. Resources'!E226</f>
        <v>6-8</v>
      </c>
      <c r="F226" s="212" t="str">
        <f>'School Level Inst. Resources'!H226</f>
        <v>M</v>
      </c>
      <c r="G226" s="212" t="s">
        <v>1158</v>
      </c>
      <c r="H226" s="213">
        <v>107105</v>
      </c>
      <c r="I226" s="213">
        <f>IF('SFD Allowable GSF Calculation'!$D$2=1,'SFD Allowable GSF Calculation'!$P226,'SFD Allowable GSF Calculation'!$X226)</f>
        <v>87610</v>
      </c>
      <c r="J226" s="214">
        <f>$I226*'Model Data Inputs'!$B$165</f>
        <v>100751.49999999999</v>
      </c>
      <c r="K226" s="214">
        <f>IF($L226&gt;='Model Data Inputs'!$B$164,$H226,MIN($H226,$J226))</f>
        <v>100751.49999999999</v>
      </c>
      <c r="L226" s="233">
        <v>1995</v>
      </c>
      <c r="M226" s="259">
        <f>IF($L226&gt;0,'Model Data Inputs'!$B$157-$L226,"")</f>
        <v>22</v>
      </c>
      <c r="N226" s="216">
        <v>46</v>
      </c>
      <c r="O226" s="218">
        <f>SUM('School Level Inst. Resources'!$L224,'School Level Inst. Resources'!$L226)</f>
        <v>536.51700000000005</v>
      </c>
      <c r="P226" s="218">
        <f>IF($G226="T",SUMIFS('School Level ADM'!$S$5:$S$359,'School Level ADM'!$A$5:$A$359,$A226),0)</f>
        <v>12798.258666666667</v>
      </c>
      <c r="Q226" s="219">
        <f t="shared" si="27"/>
        <v>4.1921093640447341E-2</v>
      </c>
      <c r="R226" s="234">
        <f>SUM((('School Level Inst. Resources'!I226/'Model Data Inputs'!$B$8)*(1+'Model Data Inputs'!$B$9)),(SUM('School Level Inst. Resources'!J226:K226)/'Model Data Inputs'!$C$8)*(1+'Model Data Inputs'!$C$9),'School Level Inst. Resources'!K226/400)</f>
        <v>10.068033086956522</v>
      </c>
      <c r="S226" s="234">
        <f>SUM(R224,R226)</f>
        <v>31.094659173913044</v>
      </c>
      <c r="T226" s="221">
        <f>IF($G226="T",VLOOKUP($A226,'Total O &amp; M Resources'!$A$5:$K$52,3),0)</f>
        <v>90531635.030000046</v>
      </c>
      <c r="U226" s="222">
        <f>IF($G226="F",0,$S226/'Model Data Inputs'!$B$140)</f>
        <v>2.3918968595317724</v>
      </c>
      <c r="V226" s="222">
        <f>IF($G226="F",0,$O226/'Model Data Inputs'!$B$141)</f>
        <v>1.6508215384615386</v>
      </c>
      <c r="W226" s="222">
        <f>IF($G226="F",0,$N226/'Model Data Inputs'!$B$142)</f>
        <v>3.5384615384615383</v>
      </c>
      <c r="X226" s="222">
        <f>IF($G226="F",0,$K226/'Model Data Inputs'!$B$143)</f>
        <v>5.5973055555555549</v>
      </c>
      <c r="Y226" s="222">
        <f t="shared" si="22"/>
        <v>3.2946213730026011</v>
      </c>
      <c r="Z226" s="222">
        <f>IF(OR($G226="F",$F226="E"),0,'Model Data Inputs'!$B$144)</f>
        <v>0.5</v>
      </c>
      <c r="AA226" s="222">
        <f>IF(AND($O226&lt;='Model Data Inputs'!$B$139,$F226="E"),0,IF(AND($O226&lt;='Model Data Inputs'!$B$139,$F226="M"),0,IF(AND($O226&lt;='Model Data Inputs'!$B$139,$F226="H"),0,IF(SUM($Y226:$Z226)&lt;1,1,SUM($Y226:$Z226)))))</f>
        <v>3.7946213730026011</v>
      </c>
      <c r="AB226" s="222">
        <f>($K226/'Model Data Inputs'!$B$143)*'Model Data Inputs'!$B$145</f>
        <v>0.55973055555555551</v>
      </c>
      <c r="AC226" s="222">
        <f t="shared" si="23"/>
        <v>4.3543519285581569</v>
      </c>
      <c r="AD226" s="222">
        <f>IF($G226="F",0,'Model Data Inputs'!$B$147)</f>
        <v>1.1000000000000001</v>
      </c>
      <c r="AE226" s="222">
        <f>IF($G226="F",0,($K226/'Model Data Inputs'!$B$148)*'Model Data Inputs'!$B$149)</f>
        <v>2.0150299999999994</v>
      </c>
      <c r="AF226" s="222">
        <f>IF($G226="F",0,($O226/'Model Data Inputs'!$B$150)*'Model Data Inputs'!$B$151)</f>
        <v>0.69747210000000004</v>
      </c>
      <c r="AG226" s="222">
        <f>IF($G226="F",0,(($Q226*$T226)/'Model Data Inputs'!$B$152)*'Model Data Inputs'!$B$153)</f>
        <v>0.91084443588370434</v>
      </c>
      <c r="AH226" s="222">
        <f t="shared" si="24"/>
        <v>1.180836633970926</v>
      </c>
      <c r="AI226" s="223">
        <f>IF(OR($G226="F",$F226="M",$F226="H"),0,($AH226*'Model Data Inputs'!$B$154)-$AH226)</f>
        <v>0</v>
      </c>
      <c r="AJ226" s="222">
        <f>IF(OR($G226="F",$F226="E",$F226="H"),0,($AH226*'Model Data Inputs'!$B$155)-$AH226)</f>
        <v>0</v>
      </c>
      <c r="AK226" s="223">
        <f>IF(OR($G226="F",$F226="E",$F226="M"),0,($AH226*'Model Data Inputs'!$B$156)-$AH226)</f>
        <v>0</v>
      </c>
      <c r="AL226" s="223">
        <f>IF($G226="F",0,IF($M226&lt;'Model Data Inputs'!$B$158,$AH226*('Model Data Inputs'!$B$159-1),0))</f>
        <v>0</v>
      </c>
      <c r="AM226" s="222">
        <f>IF($G226="F",0,IF($M226&gt;'Model Data Inputs'!$B$160,$AH226*('Model Data Inputs'!$B$161-1),0))</f>
        <v>0</v>
      </c>
      <c r="AN226" s="222">
        <f>IF($G226="F",0,IF($P226&lt;'Model Data Inputs'!$B$162,SUM($AH226,$AI226,$AJ226,$AK226,$AL226,$AM226)*('Model Data Inputs'!$B$163-1),0))</f>
        <v>0</v>
      </c>
      <c r="AO226" s="222">
        <f t="shared" si="25"/>
        <v>1.180836633970926</v>
      </c>
      <c r="AP226" s="224">
        <f>$K226*'Model Data Inputs'!$B$166</f>
        <v>67503.50499999999</v>
      </c>
      <c r="AQ226" s="224">
        <f>($K226*'Model Data Inputs'!$B$145)*'Model Data Inputs'!$B$166</f>
        <v>6750.3505000000005</v>
      </c>
      <c r="AR226" s="225">
        <f t="shared" si="26"/>
        <v>74253.855499999991</v>
      </c>
    </row>
    <row r="227" spans="1:44" x14ac:dyDescent="0.2">
      <c r="A227" s="227" t="str">
        <f>'School Level Inst. Resources'!A227</f>
        <v>1301000</v>
      </c>
      <c r="B227" s="227" t="str">
        <f>'School Level Inst. Resources'!B227</f>
        <v>Natrona #1</v>
      </c>
      <c r="C227" s="227" t="str">
        <f>'School Level Inst. Resources'!C227</f>
        <v>1301049</v>
      </c>
      <c r="D227" s="227" t="str">
        <f>'School Level Inst. Resources'!D227</f>
        <v>Midwest School</v>
      </c>
      <c r="E227" s="228" t="str">
        <f>'School Level Inst. Resources'!E227</f>
        <v>P-12</v>
      </c>
      <c r="F227" s="229" t="str">
        <f>'School Level Inst. Resources'!H227</f>
        <v>H</v>
      </c>
      <c r="G227" s="229" t="s">
        <v>1158</v>
      </c>
      <c r="H227" s="207">
        <v>83107</v>
      </c>
      <c r="I227" s="207">
        <f>IF('SFD Allowable GSF Calculation'!$D$2=1,'SFD Allowable GSF Calculation'!$P227,'SFD Allowable GSF Calculation'!$X227)</f>
        <v>50494</v>
      </c>
      <c r="J227" s="194">
        <f>$I227*'Model Data Inputs'!$B$165</f>
        <v>58068.1</v>
      </c>
      <c r="K227" s="194">
        <f>IF($L227&gt;='Model Data Inputs'!$B$164,$H227,MIN($H227,$J227))</f>
        <v>58068.1</v>
      </c>
      <c r="L227" s="208">
        <v>1966</v>
      </c>
      <c r="M227" s="196">
        <f>IF($L227&gt;0,'Model Data Inputs'!$B$157-$L227,"")</f>
        <v>51</v>
      </c>
      <c r="N227" s="209">
        <v>31</v>
      </c>
      <c r="O227" s="198">
        <f>'School Level Inst. Resources'!$L227</f>
        <v>131.11000000000001</v>
      </c>
      <c r="P227" s="198">
        <f>IF($G227="T",SUMIFS('School Level ADM'!$S$5:$S$359,'School Level ADM'!$A$5:$A$359,$A227),0)</f>
        <v>12798.258666666667</v>
      </c>
      <c r="Q227" s="199">
        <f t="shared" si="27"/>
        <v>1.0244362410136213E-2</v>
      </c>
      <c r="R227" s="200">
        <f>SUM((('School Level Inst. Resources'!I227/'Model Data Inputs'!$B$8)*(1+'Model Data Inputs'!$B$9)),(SUM('School Level Inst. Resources'!J227:K227)/'Model Data Inputs'!$C$8)*(1+'Model Data Inputs'!$C$9),'School Level Inst. Resources'!K227/400)</f>
        <v>8.177273898550725</v>
      </c>
      <c r="S227" s="200">
        <f t="shared" si="28"/>
        <v>8.177273898550725</v>
      </c>
      <c r="T227" s="201">
        <f>IF($G227="T",VLOOKUP($A227,'Total O &amp; M Resources'!$A$5:$K$52,3),0)</f>
        <v>90531635.030000046</v>
      </c>
      <c r="U227" s="202">
        <f>IF($G227="F",0,$S227/'Model Data Inputs'!$B$140)</f>
        <v>0.62902106911928657</v>
      </c>
      <c r="V227" s="202">
        <f>IF($G227="F",0,$O227/'Model Data Inputs'!$B$141)</f>
        <v>0.40341538461538468</v>
      </c>
      <c r="W227" s="202">
        <f>IF($G227="F",0,$N227/'Model Data Inputs'!$B$142)</f>
        <v>2.3846153846153846</v>
      </c>
      <c r="X227" s="202">
        <f>IF($G227="F",0,$K227/'Model Data Inputs'!$B$143)</f>
        <v>3.2260055555555556</v>
      </c>
      <c r="Y227" s="202">
        <f t="shared" si="22"/>
        <v>1.6607643484764028</v>
      </c>
      <c r="Z227" s="202">
        <f>IF(OR($G227="F",$F227="E"),0,'Model Data Inputs'!$B$144)</f>
        <v>0.5</v>
      </c>
      <c r="AA227" s="202">
        <f>IF(AND($O227&lt;='Model Data Inputs'!$B$139,$F227="E"),0,IF(AND($O227&lt;='Model Data Inputs'!$B$139,$F227="M"),0,IF(AND($O227&lt;='Model Data Inputs'!$B$139,$F227="H"),0,IF(SUM($Y227:$Z227)&lt;1,1,SUM($Y227:$Z227)))))</f>
        <v>2.1607643484764028</v>
      </c>
      <c r="AB227" s="202">
        <f>($K227/'Model Data Inputs'!$B$143)*'Model Data Inputs'!$B$145</f>
        <v>0.32260055555555556</v>
      </c>
      <c r="AC227" s="202">
        <f t="shared" si="23"/>
        <v>2.4833649040319585</v>
      </c>
      <c r="AD227" s="202">
        <f>IF($G227="F",0,'Model Data Inputs'!$B$147)</f>
        <v>1.1000000000000001</v>
      </c>
      <c r="AE227" s="202">
        <f>IF($G227="F",0,($K227/'Model Data Inputs'!$B$148)*'Model Data Inputs'!$B$149)</f>
        <v>1.161362</v>
      </c>
      <c r="AF227" s="202">
        <f>IF($G227="F",0,($O227/'Model Data Inputs'!$B$150)*'Model Data Inputs'!$B$151)</f>
        <v>0.17044300000000001</v>
      </c>
      <c r="AG227" s="202">
        <f>IF($G227="F",0,(($Q227*$T227)/'Model Data Inputs'!$B$152)*'Model Data Inputs'!$B$153)</f>
        <v>0.22258533091908081</v>
      </c>
      <c r="AH227" s="202">
        <f t="shared" si="24"/>
        <v>0.66359758272977021</v>
      </c>
      <c r="AI227" s="203">
        <f>IF(OR($G227="F",$F227="M",$F227="H"),0,($AH227*'Model Data Inputs'!$B$154)-$AH227)</f>
        <v>0</v>
      </c>
      <c r="AJ227" s="202">
        <f>IF(OR($G227="F",$F227="E",$F227="H"),0,($AH227*'Model Data Inputs'!$B$155)-$AH227)</f>
        <v>0</v>
      </c>
      <c r="AK227" s="203">
        <f>IF(OR($G227="F",$F227="E",$F227="M"),0,($AH227*'Model Data Inputs'!$B$156)-$AH227)</f>
        <v>0.66359758272977021</v>
      </c>
      <c r="AL227" s="203">
        <f>IF($G227="F",0,IF($M227&lt;'Model Data Inputs'!$B$158,$AH227*('Model Data Inputs'!$B$159-1),0))</f>
        <v>0</v>
      </c>
      <c r="AM227" s="202">
        <f>IF($G227="F",0,IF($M227&gt;'Model Data Inputs'!$B$160,$AH227*('Model Data Inputs'!$B$161-1),0))</f>
        <v>6.6359758272977076E-2</v>
      </c>
      <c r="AN227" s="202">
        <f>IF($G227="F",0,IF($P227&lt;'Model Data Inputs'!$B$162,SUM($AH227,$AI227,$AJ227,$AK227,$AL227,$AM227)*('Model Data Inputs'!$B$163-1),0))</f>
        <v>0</v>
      </c>
      <c r="AO227" s="202">
        <f t="shared" si="25"/>
        <v>1.3935549237325175</v>
      </c>
      <c r="AP227" s="204">
        <f>$K227*'Model Data Inputs'!$B$166</f>
        <v>38905.627</v>
      </c>
      <c r="AQ227" s="204">
        <f>($K227*'Model Data Inputs'!$B$145)*'Model Data Inputs'!$B$166</f>
        <v>3890.5627000000004</v>
      </c>
      <c r="AR227" s="50">
        <f t="shared" si="26"/>
        <v>42796.189700000003</v>
      </c>
    </row>
    <row r="228" spans="1:44" x14ac:dyDescent="0.2">
      <c r="A228" s="227" t="str">
        <f>'School Level Inst. Resources'!A228</f>
        <v>1301000</v>
      </c>
      <c r="B228" s="227" t="str">
        <f>'School Level Inst. Resources'!B228</f>
        <v>Natrona #1</v>
      </c>
      <c r="C228" s="227" t="str">
        <f>'School Level Inst. Resources'!C228</f>
        <v>1301050</v>
      </c>
      <c r="D228" s="227" t="str">
        <f>'School Level Inst. Resources'!D228</f>
        <v>C Y Junior High School</v>
      </c>
      <c r="E228" s="228" t="str">
        <f>'School Level Inst. Resources'!E228</f>
        <v>6-9</v>
      </c>
      <c r="F228" s="229" t="str">
        <f>'School Level Inst. Resources'!H228</f>
        <v>M</v>
      </c>
      <c r="G228" s="229" t="s">
        <v>1158</v>
      </c>
      <c r="H228" s="207">
        <v>203558</v>
      </c>
      <c r="I228" s="207">
        <f>IF('SFD Allowable GSF Calculation'!$D$2=1,'SFD Allowable GSF Calculation'!$P228,'SFD Allowable GSF Calculation'!$X228)</f>
        <v>111032</v>
      </c>
      <c r="J228" s="194">
        <f>$I228*'Model Data Inputs'!$B$165</f>
        <v>127686.79999999999</v>
      </c>
      <c r="K228" s="194">
        <f>IF($L228&gt;='Model Data Inputs'!$B$164,$H228,MIN($H228,$J228))</f>
        <v>203558</v>
      </c>
      <c r="L228" s="208">
        <v>2010</v>
      </c>
      <c r="M228" s="196">
        <f>IF($L228&gt;0,'Model Data Inputs'!$B$157-$L228,"")</f>
        <v>7</v>
      </c>
      <c r="N228" s="209">
        <v>47</v>
      </c>
      <c r="O228" s="198">
        <f>'School Level Inst. Resources'!$L228</f>
        <v>743.53400000000011</v>
      </c>
      <c r="P228" s="198">
        <f>IF($G228="T",SUMIFS('School Level ADM'!$S$5:$S$359,'School Level ADM'!$A$5:$A$359,$A228),0)</f>
        <v>12798.258666666667</v>
      </c>
      <c r="Q228" s="199">
        <f t="shared" si="27"/>
        <v>5.809649729431942E-2</v>
      </c>
      <c r="R228" s="200">
        <f>SUM((('School Level Inst. Resources'!I228/'Model Data Inputs'!$B$8)*(1+'Model Data Inputs'!$B$9)),(SUM('School Level Inst. Resources'!J228:K228)/'Model Data Inputs'!$C$8)*(1+'Model Data Inputs'!$C$9),'School Level Inst. Resources'!K228/400)</f>
        <v>43.092644434782613</v>
      </c>
      <c r="S228" s="200">
        <f t="shared" si="28"/>
        <v>43.092644434782613</v>
      </c>
      <c r="T228" s="201">
        <f>IF($G228="T",VLOOKUP($A228,'Total O &amp; M Resources'!$A$5:$K$52,3),0)</f>
        <v>90531635.030000046</v>
      </c>
      <c r="U228" s="202">
        <f>IF($G228="F",0,$S228/'Model Data Inputs'!$B$140)</f>
        <v>3.3148188026755858</v>
      </c>
      <c r="V228" s="202">
        <f>IF($G228="F",0,$O228/'Model Data Inputs'!$B$141)</f>
        <v>2.2877969230769235</v>
      </c>
      <c r="W228" s="202">
        <f>IF($G228="F",0,$N228/'Model Data Inputs'!$B$142)</f>
        <v>3.6153846153846154</v>
      </c>
      <c r="X228" s="202">
        <f>IF($G228="F",0,$K228/'Model Data Inputs'!$B$143)</f>
        <v>11.308777777777777</v>
      </c>
      <c r="Y228" s="202">
        <f t="shared" si="22"/>
        <v>5.1316945297287253</v>
      </c>
      <c r="Z228" s="202">
        <f>IF(OR($G228="F",$F228="E"),0,'Model Data Inputs'!$B$144)</f>
        <v>0.5</v>
      </c>
      <c r="AA228" s="202">
        <f>IF(AND($O228&lt;='Model Data Inputs'!$B$139,$F228="E"),0,IF(AND($O228&lt;='Model Data Inputs'!$B$139,$F228="M"),0,IF(AND($O228&lt;='Model Data Inputs'!$B$139,$F228="H"),0,IF(SUM($Y228:$Z228)&lt;1,1,SUM($Y228:$Z228)))))</f>
        <v>5.6316945297287253</v>
      </c>
      <c r="AB228" s="202">
        <f>($K228/'Model Data Inputs'!$B$143)*'Model Data Inputs'!$B$145</f>
        <v>1.1308777777777779</v>
      </c>
      <c r="AC228" s="202">
        <f t="shared" si="23"/>
        <v>6.7625723075065034</v>
      </c>
      <c r="AD228" s="202">
        <f>IF($G228="F",0,'Model Data Inputs'!$B$147)</f>
        <v>1.1000000000000001</v>
      </c>
      <c r="AE228" s="202">
        <f>IF($G228="F",0,($K228/'Model Data Inputs'!$B$148)*'Model Data Inputs'!$B$149)</f>
        <v>4.0711599999999999</v>
      </c>
      <c r="AF228" s="202">
        <f>IF($G228="F",0,($O228/'Model Data Inputs'!$B$150)*'Model Data Inputs'!$B$151)</f>
        <v>0.96659420000000018</v>
      </c>
      <c r="AG228" s="202">
        <f>IF($G228="F",0,(($Q228*$T228)/'Model Data Inputs'!$B$152)*'Model Data Inputs'!$B$153)</f>
        <v>1.2622970134969707</v>
      </c>
      <c r="AH228" s="202">
        <f t="shared" si="24"/>
        <v>1.8500128033742429</v>
      </c>
      <c r="AI228" s="203">
        <f>IF(OR($G228="F",$F228="M",$F228="H"),0,($AH228*'Model Data Inputs'!$B$154)-$AH228)</f>
        <v>0</v>
      </c>
      <c r="AJ228" s="202">
        <f>IF(OR($G228="F",$F228="E",$F228="H"),0,($AH228*'Model Data Inputs'!$B$155)-$AH228)</f>
        <v>0</v>
      </c>
      <c r="AK228" s="203">
        <f>IF(OR($G228="F",$F228="E",$F228="M"),0,($AH228*'Model Data Inputs'!$B$156)-$AH228)</f>
        <v>0</v>
      </c>
      <c r="AL228" s="203">
        <f>IF($G228="F",0,IF($M228&lt;'Model Data Inputs'!$B$158,$AH228*('Model Data Inputs'!$B$159-1),0))</f>
        <v>-9.2500640168712234E-2</v>
      </c>
      <c r="AM228" s="202">
        <f>IF($G228="F",0,IF($M228&gt;'Model Data Inputs'!$B$160,$AH228*('Model Data Inputs'!$B$161-1),0))</f>
        <v>0</v>
      </c>
      <c r="AN228" s="202">
        <f>IF($G228="F",0,IF($P228&lt;'Model Data Inputs'!$B$162,SUM($AH228,$AI228,$AJ228,$AK228,$AL228,$AM228)*('Model Data Inputs'!$B$163-1),0))</f>
        <v>0</v>
      </c>
      <c r="AO228" s="202">
        <f t="shared" si="25"/>
        <v>1.7575121632055306</v>
      </c>
      <c r="AP228" s="204">
        <f>$K228*'Model Data Inputs'!$B$166</f>
        <v>136383.86000000002</v>
      </c>
      <c r="AQ228" s="204">
        <f>($K228*'Model Data Inputs'!$B$145)*'Model Data Inputs'!$B$166</f>
        <v>13638.386000000002</v>
      </c>
      <c r="AR228" s="50">
        <f t="shared" si="26"/>
        <v>150022.24600000001</v>
      </c>
    </row>
    <row r="229" spans="1:44" x14ac:dyDescent="0.2">
      <c r="A229" s="227" t="str">
        <f>'School Level Inst. Resources'!A229</f>
        <v>1301000</v>
      </c>
      <c r="B229" s="227" t="str">
        <f>'School Level Inst. Resources'!B229</f>
        <v>Natrona #1</v>
      </c>
      <c r="C229" s="227" t="str">
        <f>'School Level Inst. Resources'!C229</f>
        <v>1301051</v>
      </c>
      <c r="D229" s="227" t="str">
        <f>'School Level Inst. Resources'!D229</f>
        <v>Dean Morgan Junior High School</v>
      </c>
      <c r="E229" s="228" t="str">
        <f>'School Level Inst. Resources'!E229</f>
        <v>6-9</v>
      </c>
      <c r="F229" s="229" t="str">
        <f>'School Level Inst. Resources'!H229</f>
        <v>M</v>
      </c>
      <c r="G229" s="229" t="s">
        <v>1158</v>
      </c>
      <c r="H229" s="207">
        <v>222920</v>
      </c>
      <c r="I229" s="207">
        <f>IF('SFD Allowable GSF Calculation'!$D$2=1,'SFD Allowable GSF Calculation'!$P229,'SFD Allowable GSF Calculation'!$X229)</f>
        <v>125921</v>
      </c>
      <c r="J229" s="194">
        <f>$I229*'Model Data Inputs'!$B$165</f>
        <v>144809.15</v>
      </c>
      <c r="K229" s="194">
        <f>IF($L229&gt;='Model Data Inputs'!$B$164,$H229,MIN($H229,$J229))</f>
        <v>144809.15</v>
      </c>
      <c r="L229" s="208">
        <v>1961</v>
      </c>
      <c r="M229" s="196">
        <f>IF($L229&gt;0,'Model Data Inputs'!$B$157-$L229,"")</f>
        <v>56</v>
      </c>
      <c r="N229" s="209">
        <v>61</v>
      </c>
      <c r="O229" s="198">
        <f>'School Level Inst. Resources'!$L229</f>
        <v>844.21733333333327</v>
      </c>
      <c r="P229" s="198">
        <f>IF($G229="T",SUMIFS('School Level ADM'!$S$5:$S$359,'School Level ADM'!$A$5:$A$359,$A229),0)</f>
        <v>12798.258666666667</v>
      </c>
      <c r="Q229" s="199">
        <f t="shared" si="27"/>
        <v>6.5963452944744358E-2</v>
      </c>
      <c r="R229" s="200">
        <f>SUM((('School Level Inst. Resources'!I229/'Model Data Inputs'!$B$8)*(1+'Model Data Inputs'!$B$9)),(SUM('School Level Inst. Resources'!J229:K229)/'Model Data Inputs'!$C$8)*(1+'Model Data Inputs'!$C$9),'School Level Inst. Resources'!K229/400)</f>
        <v>48.927900231884053</v>
      </c>
      <c r="S229" s="200">
        <f t="shared" si="28"/>
        <v>48.927900231884053</v>
      </c>
      <c r="T229" s="201">
        <f>IF($G229="T",VLOOKUP($A229,'Total O &amp; M Resources'!$A$5:$K$52,3),0)</f>
        <v>90531635.030000046</v>
      </c>
      <c r="U229" s="202">
        <f>IF($G229="F",0,$S229/'Model Data Inputs'!$B$140)</f>
        <v>3.7636846332218501</v>
      </c>
      <c r="V229" s="202">
        <f>IF($G229="F",0,$O229/'Model Data Inputs'!$B$141)</f>
        <v>2.5975917948717946</v>
      </c>
      <c r="W229" s="202">
        <f>IF($G229="F",0,$N229/'Model Data Inputs'!$B$142)</f>
        <v>4.6923076923076925</v>
      </c>
      <c r="X229" s="202">
        <f>IF($G229="F",0,$K229/'Model Data Inputs'!$B$143)</f>
        <v>8.0449527777777767</v>
      </c>
      <c r="Y229" s="202">
        <f t="shared" si="22"/>
        <v>4.7746342245447781</v>
      </c>
      <c r="Z229" s="202">
        <f>IF(OR($G229="F",$F229="E"),0,'Model Data Inputs'!$B$144)</f>
        <v>0.5</v>
      </c>
      <c r="AA229" s="202">
        <f>IF(AND($O229&lt;='Model Data Inputs'!$B$139,$F229="E"),0,IF(AND($O229&lt;='Model Data Inputs'!$B$139,$F229="M"),0,IF(AND($O229&lt;='Model Data Inputs'!$B$139,$F229="H"),0,IF(SUM($Y229:$Z229)&lt;1,1,SUM($Y229:$Z229)))))</f>
        <v>5.2746342245447781</v>
      </c>
      <c r="AB229" s="202">
        <f>($K229/'Model Data Inputs'!$B$143)*'Model Data Inputs'!$B$145</f>
        <v>0.80449527777777774</v>
      </c>
      <c r="AC229" s="202">
        <f t="shared" si="23"/>
        <v>6.079129502322556</v>
      </c>
      <c r="AD229" s="202">
        <f>IF($G229="F",0,'Model Data Inputs'!$B$147)</f>
        <v>1.1000000000000001</v>
      </c>
      <c r="AE229" s="202">
        <f>IF($G229="F",0,($K229/'Model Data Inputs'!$B$148)*'Model Data Inputs'!$B$149)</f>
        <v>2.8961829999999997</v>
      </c>
      <c r="AF229" s="202">
        <f>IF($G229="F",0,($O229/'Model Data Inputs'!$B$150)*'Model Data Inputs'!$B$151)</f>
        <v>1.0974825333333333</v>
      </c>
      <c r="AG229" s="202">
        <f>IF($G229="F",0,(($Q229*$T229)/'Model Data Inputs'!$B$152)*'Model Data Inputs'!$B$153)</f>
        <v>1.4332270193549226</v>
      </c>
      <c r="AH229" s="202">
        <f t="shared" si="24"/>
        <v>1.6317231381720638</v>
      </c>
      <c r="AI229" s="203">
        <f>IF(OR($G229="F",$F229="M",$F229="H"),0,($AH229*'Model Data Inputs'!$B$154)-$AH229)</f>
        <v>0</v>
      </c>
      <c r="AJ229" s="202">
        <f>IF(OR($G229="F",$F229="E",$F229="H"),0,($AH229*'Model Data Inputs'!$B$155)-$AH229)</f>
        <v>0</v>
      </c>
      <c r="AK229" s="203">
        <f>IF(OR($G229="F",$F229="E",$F229="M"),0,($AH229*'Model Data Inputs'!$B$156)-$AH229)</f>
        <v>0</v>
      </c>
      <c r="AL229" s="203">
        <f>IF($G229="F",0,IF($M229&lt;'Model Data Inputs'!$B$158,$AH229*('Model Data Inputs'!$B$159-1),0))</f>
        <v>0</v>
      </c>
      <c r="AM229" s="202">
        <f>IF($G229="F",0,IF($M229&gt;'Model Data Inputs'!$B$160,$AH229*('Model Data Inputs'!$B$161-1),0))</f>
        <v>0.16317231381720654</v>
      </c>
      <c r="AN229" s="202">
        <f>IF($G229="F",0,IF($P229&lt;'Model Data Inputs'!$B$162,SUM($AH229,$AI229,$AJ229,$AK229,$AL229,$AM229)*('Model Data Inputs'!$B$163-1),0))</f>
        <v>0</v>
      </c>
      <c r="AO229" s="202">
        <f t="shared" si="25"/>
        <v>1.7948954519892704</v>
      </c>
      <c r="AP229" s="204">
        <f>$K229*'Model Data Inputs'!$B$166</f>
        <v>97022.130499999999</v>
      </c>
      <c r="AQ229" s="204">
        <f>($K229*'Model Data Inputs'!$B$145)*'Model Data Inputs'!$B$166</f>
        <v>9702.2130500000003</v>
      </c>
      <c r="AR229" s="50">
        <f t="shared" si="26"/>
        <v>106724.34355000001</v>
      </c>
    </row>
    <row r="230" spans="1:44" x14ac:dyDescent="0.2">
      <c r="A230" s="227" t="str">
        <f>'School Level Inst. Resources'!A230</f>
        <v>1301000</v>
      </c>
      <c r="B230" s="227" t="str">
        <f>'School Level Inst. Resources'!B230</f>
        <v>Natrona #1</v>
      </c>
      <c r="C230" s="227" t="str">
        <f>'School Level Inst. Resources'!C230</f>
        <v>1301054</v>
      </c>
      <c r="D230" s="227" t="str">
        <f>'School Level Inst. Resources'!D230</f>
        <v>Centennial Junior High School</v>
      </c>
      <c r="E230" s="228" t="str">
        <f>'School Level Inst. Resources'!E230</f>
        <v>6-9</v>
      </c>
      <c r="F230" s="229" t="str">
        <f>'School Level Inst. Resources'!H230</f>
        <v>M</v>
      </c>
      <c r="G230" s="229" t="s">
        <v>1158</v>
      </c>
      <c r="H230" s="207">
        <v>148339</v>
      </c>
      <c r="I230" s="244">
        <f>IF('SFD Allowable GSF Calculation'!$D$2=1,'SFD Allowable GSF Calculation'!$P230,'SFD Allowable GSF Calculation'!$X230)</f>
        <v>109544</v>
      </c>
      <c r="J230" s="194">
        <f>$I230*'Model Data Inputs'!$B$165</f>
        <v>125975.59999999999</v>
      </c>
      <c r="K230" s="194">
        <f>IF($L230&gt;='Model Data Inputs'!$B$164,$H230,MIN($H230,$J230))</f>
        <v>125975.59999999999</v>
      </c>
      <c r="L230" s="208">
        <v>1990</v>
      </c>
      <c r="M230" s="196">
        <f>IF($L230&gt;0,'Model Data Inputs'!$B$157-$L230,"")</f>
        <v>27</v>
      </c>
      <c r="N230" s="209">
        <v>51</v>
      </c>
      <c r="O230" s="198">
        <f>'School Level Inst. Resources'!$L230</f>
        <v>717.33333333333337</v>
      </c>
      <c r="P230" s="198">
        <f>IF($G230="T",SUMIFS('School Level ADM'!$S$5:$S$359,'School Level ADM'!$A$5:$A$359,$A230),0)</f>
        <v>12798.258666666667</v>
      </c>
      <c r="Q230" s="199">
        <f t="shared" si="27"/>
        <v>5.6049291705725805E-2</v>
      </c>
      <c r="R230" s="200">
        <f>SUM((('School Level Inst. Resources'!I230/'Model Data Inputs'!$B$8)*(1+'Model Data Inputs'!$B$9)),(SUM('School Level Inst. Resources'!J230:K230)/'Model Data Inputs'!$C$8)*(1+'Model Data Inputs'!$C$9),'School Level Inst. Resources'!K230/400)</f>
        <v>41.574144927536231</v>
      </c>
      <c r="S230" s="200">
        <f t="shared" si="28"/>
        <v>41.574144927536231</v>
      </c>
      <c r="T230" s="201">
        <f>IF($G230="T",VLOOKUP($A230,'Total O &amp; M Resources'!$A$5:$K$52,3),0)</f>
        <v>90531635.030000046</v>
      </c>
      <c r="U230" s="202">
        <f>IF($G230="F",0,$S230/'Model Data Inputs'!$B$140)</f>
        <v>3.1980111482720179</v>
      </c>
      <c r="V230" s="202">
        <f>IF($G230="F",0,$O230/'Model Data Inputs'!$B$141)</f>
        <v>2.2071794871794874</v>
      </c>
      <c r="W230" s="202">
        <f>IF($G230="F",0,$N230/'Model Data Inputs'!$B$142)</f>
        <v>3.9230769230769229</v>
      </c>
      <c r="X230" s="202">
        <f>IF($G230="F",0,$K230/'Model Data Inputs'!$B$143)</f>
        <v>6.9986444444444436</v>
      </c>
      <c r="Y230" s="202">
        <f t="shared" si="22"/>
        <v>4.081728000743218</v>
      </c>
      <c r="Z230" s="202">
        <f>IF(OR($G230="F",$F230="E"),0,'Model Data Inputs'!$B$144)</f>
        <v>0.5</v>
      </c>
      <c r="AA230" s="202">
        <f>IF(AND($O230&lt;='Model Data Inputs'!$B$139,$F230="E"),0,IF(AND($O230&lt;='Model Data Inputs'!$B$139,$F230="M"),0,IF(AND($O230&lt;='Model Data Inputs'!$B$139,$F230="H"),0,IF(SUM($Y230:$Z230)&lt;1,1,SUM($Y230:$Z230)))))</f>
        <v>4.581728000743218</v>
      </c>
      <c r="AB230" s="202">
        <f>($K230/'Model Data Inputs'!$B$143)*'Model Data Inputs'!$B$145</f>
        <v>0.6998644444444444</v>
      </c>
      <c r="AC230" s="202">
        <f t="shared" si="23"/>
        <v>5.2815924451876626</v>
      </c>
      <c r="AD230" s="202">
        <f>IF($G230="F",0,'Model Data Inputs'!$B$147)</f>
        <v>1.1000000000000001</v>
      </c>
      <c r="AE230" s="202">
        <f>IF($G230="F",0,($K230/'Model Data Inputs'!$B$148)*'Model Data Inputs'!$B$149)</f>
        <v>2.5195119999999993</v>
      </c>
      <c r="AF230" s="202">
        <f>IF($G230="F",0,($O230/'Model Data Inputs'!$B$150)*'Model Data Inputs'!$B$151)</f>
        <v>0.93253333333333344</v>
      </c>
      <c r="AG230" s="202">
        <f>IF($G230="F",0,(($Q230*$T230)/'Model Data Inputs'!$B$152)*'Model Data Inputs'!$B$153)</f>
        <v>1.2178161648942665</v>
      </c>
      <c r="AH230" s="202">
        <f t="shared" si="24"/>
        <v>1.4424653745568998</v>
      </c>
      <c r="AI230" s="203">
        <f>IF(OR($G230="F",$F230="M",$F230="H"),0,($AH230*'Model Data Inputs'!$B$154)-$AH230)</f>
        <v>0</v>
      </c>
      <c r="AJ230" s="202">
        <f>IF(OR($G230="F",$F230="E",$F230="H"),0,($AH230*'Model Data Inputs'!$B$155)-$AH230)</f>
        <v>0</v>
      </c>
      <c r="AK230" s="203">
        <f>IF(OR($G230="F",$F230="E",$F230="M"),0,($AH230*'Model Data Inputs'!$B$156)-$AH230)</f>
        <v>0</v>
      </c>
      <c r="AL230" s="203">
        <f>IF($G230="F",0,IF($M230&lt;'Model Data Inputs'!$B$158,$AH230*('Model Data Inputs'!$B$159-1),0))</f>
        <v>0</v>
      </c>
      <c r="AM230" s="202">
        <f>IF($G230="F",0,IF($M230&gt;'Model Data Inputs'!$B$160,$AH230*('Model Data Inputs'!$B$161-1),0))</f>
        <v>0</v>
      </c>
      <c r="AN230" s="202">
        <f>IF($G230="F",0,IF($P230&lt;'Model Data Inputs'!$B$162,SUM($AH230,$AI230,$AJ230,$AK230,$AL230,$AM230)*('Model Data Inputs'!$B$163-1),0))</f>
        <v>0</v>
      </c>
      <c r="AO230" s="202">
        <f t="shared" si="25"/>
        <v>1.4424653745568998</v>
      </c>
      <c r="AP230" s="204">
        <f>$K230*'Model Data Inputs'!$B$166</f>
        <v>84403.652000000002</v>
      </c>
      <c r="AQ230" s="204">
        <f>($K230*'Model Data Inputs'!$B$145)*'Model Data Inputs'!$B$166</f>
        <v>8440.3652000000002</v>
      </c>
      <c r="AR230" s="50">
        <f t="shared" si="26"/>
        <v>92844.017200000002</v>
      </c>
    </row>
    <row r="231" spans="1:44" x14ac:dyDescent="0.2">
      <c r="A231" s="227" t="str">
        <f>'School Level Inst. Resources'!A231</f>
        <v>1301000</v>
      </c>
      <c r="B231" s="227" t="str">
        <f>'School Level Inst. Resources'!B231</f>
        <v>Natrona #1</v>
      </c>
      <c r="C231" s="227" t="str">
        <f>'School Level Inst. Resources'!C231</f>
        <v>1301055</v>
      </c>
      <c r="D231" s="227" t="str">
        <f>'School Level Inst. Resources'!D231</f>
        <v>Kelly Walsh High School</v>
      </c>
      <c r="E231" s="228" t="str">
        <f>'School Level Inst. Resources'!E231</f>
        <v>9-12</v>
      </c>
      <c r="F231" s="229" t="str">
        <f>'School Level Inst. Resources'!H231</f>
        <v>H</v>
      </c>
      <c r="G231" s="229" t="s">
        <v>1158</v>
      </c>
      <c r="H231" s="207">
        <v>289763</v>
      </c>
      <c r="I231" s="207">
        <f>IF('SFD Allowable GSF Calculation'!$D$2=1,'SFD Allowable GSF Calculation'!$P231,'SFD Allowable GSF Calculation'!$X231)</f>
        <v>289674</v>
      </c>
      <c r="J231" s="194">
        <f>$I231*'Model Data Inputs'!$B$165</f>
        <v>333125.09999999998</v>
      </c>
      <c r="K231" s="194">
        <f>IF($L231&gt;='Model Data Inputs'!$B$164,$H231,MIN($H231,$J231))</f>
        <v>289763</v>
      </c>
      <c r="L231" s="208">
        <v>2017</v>
      </c>
      <c r="M231" s="196">
        <f>IF($L231&gt;0,'Model Data Inputs'!$B$157-$L231,"")</f>
        <v>0</v>
      </c>
      <c r="N231" s="209">
        <v>78</v>
      </c>
      <c r="O231" s="198">
        <f>'School Level Inst. Resources'!$L231</f>
        <v>1742.1313333333333</v>
      </c>
      <c r="P231" s="198">
        <f>IF($G231="T",SUMIFS('School Level ADM'!$S$5:$S$359,'School Level ADM'!$A$5:$A$359,$A231),0)</f>
        <v>12798.258666666667</v>
      </c>
      <c r="Q231" s="199">
        <f t="shared" si="27"/>
        <v>0.13612252875234901</v>
      </c>
      <c r="R231" s="200">
        <f>SUM((('School Level Inst. Resources'!I231/'Model Data Inputs'!$B$8)*(1+'Model Data Inputs'!$B$9)),(SUM('School Level Inst. Resources'!J231:K231)/'Model Data Inputs'!$C$8)*(1+'Model Data Inputs'!$C$9),'School Level Inst. Resources'!K231/400)</f>
        <v>105.32320082608695</v>
      </c>
      <c r="S231" s="200">
        <f t="shared" si="28"/>
        <v>105.32320082608695</v>
      </c>
      <c r="T231" s="201">
        <f>IF($G231="T",VLOOKUP($A231,'Total O &amp; M Resources'!$A$5:$K$52,3),0)</f>
        <v>90531635.030000046</v>
      </c>
      <c r="U231" s="202">
        <f>IF($G231="F",0,$S231/'Model Data Inputs'!$B$140)</f>
        <v>8.1017846789297643</v>
      </c>
      <c r="V231" s="202">
        <f>IF($G231="F",0,$O231/'Model Data Inputs'!$B$141)</f>
        <v>5.360404102564102</v>
      </c>
      <c r="W231" s="202">
        <f>IF($G231="F",0,$N231/'Model Data Inputs'!$B$142)</f>
        <v>6</v>
      </c>
      <c r="X231" s="202">
        <f>IF($G231="F",0,$K231/'Model Data Inputs'!$B$143)</f>
        <v>16.097944444444444</v>
      </c>
      <c r="Y231" s="202">
        <f t="shared" si="22"/>
        <v>8.8900333064845771</v>
      </c>
      <c r="Z231" s="202">
        <f>IF(OR($G231="F",$F231="E"),0,'Model Data Inputs'!$B$144)</f>
        <v>0.5</v>
      </c>
      <c r="AA231" s="202">
        <f>IF(AND($O231&lt;='Model Data Inputs'!$B$139,$F231="E"),0,IF(AND($O231&lt;='Model Data Inputs'!$B$139,$F231="M"),0,IF(AND($O231&lt;='Model Data Inputs'!$B$139,$F231="H"),0,IF(SUM($Y231:$Z231)&lt;1,1,SUM($Y231:$Z231)))))</f>
        <v>9.3900333064845771</v>
      </c>
      <c r="AB231" s="202">
        <f>($K231/'Model Data Inputs'!$B$143)*'Model Data Inputs'!$B$145</f>
        <v>1.6097944444444445</v>
      </c>
      <c r="AC231" s="202">
        <f t="shared" si="23"/>
        <v>10.999827750929022</v>
      </c>
      <c r="AD231" s="202">
        <f>IF($G231="F",0,'Model Data Inputs'!$B$147)</f>
        <v>1.1000000000000001</v>
      </c>
      <c r="AE231" s="202">
        <f>IF($G231="F",0,($K231/'Model Data Inputs'!$B$148)*'Model Data Inputs'!$B$149)</f>
        <v>5.7952599999999999</v>
      </c>
      <c r="AF231" s="202">
        <f>IF($G231="F",0,($O231/'Model Data Inputs'!$B$150)*'Model Data Inputs'!$B$151)</f>
        <v>2.2647707333333331</v>
      </c>
      <c r="AG231" s="202">
        <f>IF($G231="F",0,(($Q231*$T231)/'Model Data Inputs'!$B$152)*'Model Data Inputs'!$B$153)</f>
        <v>2.9576148221684035</v>
      </c>
      <c r="AH231" s="202">
        <f t="shared" si="24"/>
        <v>3.0294113888754342</v>
      </c>
      <c r="AI231" s="203">
        <f>IF(OR($G231="F",$F231="M",$F231="H"),0,($AH231*'Model Data Inputs'!$B$154)-$AH231)</f>
        <v>0</v>
      </c>
      <c r="AJ231" s="202">
        <f>IF(OR($G231="F",$F231="E",$F231="H"),0,($AH231*'Model Data Inputs'!$B$155)-$AH231)</f>
        <v>0</v>
      </c>
      <c r="AK231" s="203">
        <f>IF(OR($G231="F",$F231="E",$F231="M"),0,($AH231*'Model Data Inputs'!$B$156)-$AH231)</f>
        <v>3.0294113888754342</v>
      </c>
      <c r="AL231" s="203">
        <f>IF($G231="F",0,IF($M231&lt;'Model Data Inputs'!$B$158,$AH231*('Model Data Inputs'!$B$159-1),0))</f>
        <v>-0.15147056944377185</v>
      </c>
      <c r="AM231" s="202">
        <f>IF($G231="F",0,IF($M231&gt;'Model Data Inputs'!$B$160,$AH231*('Model Data Inputs'!$B$161-1),0))</f>
        <v>0</v>
      </c>
      <c r="AN231" s="202">
        <f>IF($G231="F",0,IF($P231&lt;'Model Data Inputs'!$B$162,SUM($AH231,$AI231,$AJ231,$AK231,$AL231,$AM231)*('Model Data Inputs'!$B$163-1),0))</f>
        <v>0</v>
      </c>
      <c r="AO231" s="202">
        <f t="shared" si="25"/>
        <v>5.9073522083070964</v>
      </c>
      <c r="AP231" s="204">
        <f>$K231*'Model Data Inputs'!$B$166</f>
        <v>194141.21000000002</v>
      </c>
      <c r="AQ231" s="204">
        <f>($K231*'Model Data Inputs'!$B$145)*'Model Data Inputs'!$B$166</f>
        <v>19414.121000000003</v>
      </c>
      <c r="AR231" s="50">
        <f t="shared" si="26"/>
        <v>213555.33100000003</v>
      </c>
    </row>
    <row r="232" spans="1:44" x14ac:dyDescent="0.2">
      <c r="A232" s="227" t="str">
        <f>'School Level Inst. Resources'!A232</f>
        <v>1301000</v>
      </c>
      <c r="B232" s="227" t="str">
        <f>'School Level Inst. Resources'!B232</f>
        <v>Natrona #1</v>
      </c>
      <c r="C232" s="227" t="str">
        <f>'School Level Inst. Resources'!C232</f>
        <v>1301057</v>
      </c>
      <c r="D232" s="227" t="str">
        <f>'School Level Inst. Resources'!D232</f>
        <v>Natrona County High School</v>
      </c>
      <c r="E232" s="228" t="str">
        <f>'School Level Inst. Resources'!E232</f>
        <v>9-12</v>
      </c>
      <c r="F232" s="229" t="str">
        <f>'School Level Inst. Resources'!H232</f>
        <v>H</v>
      </c>
      <c r="G232" s="229" t="s">
        <v>1158</v>
      </c>
      <c r="H232" s="207">
        <v>420799</v>
      </c>
      <c r="I232" s="207">
        <f>IF('SFD Allowable GSF Calculation'!$D$2=1,'SFD Allowable GSF Calculation'!$P232,'SFD Allowable GSF Calculation'!$X232)</f>
        <v>260586</v>
      </c>
      <c r="J232" s="194">
        <f>$I232*'Model Data Inputs'!$B$165</f>
        <v>299673.89999999997</v>
      </c>
      <c r="K232" s="194">
        <f>IF($L232&gt;='Model Data Inputs'!$B$164,$H232,MIN($H232,$J232))</f>
        <v>420799</v>
      </c>
      <c r="L232" s="208">
        <v>2016</v>
      </c>
      <c r="M232" s="196">
        <f>IF($L232&gt;0,'Model Data Inputs'!$B$157-$L232,"")</f>
        <v>1</v>
      </c>
      <c r="N232" s="209">
        <v>73</v>
      </c>
      <c r="O232" s="198">
        <f>'School Level Inst. Resources'!$L232</f>
        <v>1606.7569999999998</v>
      </c>
      <c r="P232" s="198">
        <f>IF($G232="T",SUMIFS('School Level ADM'!$S$5:$S$359,'School Level ADM'!$A$5:$A$359,$A232),0)</f>
        <v>12798.258666666667</v>
      </c>
      <c r="Q232" s="199">
        <f t="shared" si="27"/>
        <v>0.12554496997195658</v>
      </c>
      <c r="R232" s="200">
        <f>SUM((('School Level Inst. Resources'!I232/'Model Data Inputs'!$B$8)*(1+'Model Data Inputs'!$B$9)),(SUM('School Level Inst. Resources'!J232:K232)/'Model Data Inputs'!$C$8)*(1+'Model Data Inputs'!$C$9),'School Level Inst. Resources'!K232/400)</f>
        <v>97.138939499999992</v>
      </c>
      <c r="S232" s="200">
        <f t="shared" si="28"/>
        <v>97.138939499999992</v>
      </c>
      <c r="T232" s="201">
        <f>IF($G232="T",VLOOKUP($A232,'Total O &amp; M Resources'!$A$5:$K$52,3),0)</f>
        <v>90531635.030000046</v>
      </c>
      <c r="U232" s="202">
        <f>IF($G232="F",0,$S232/'Model Data Inputs'!$B$140)</f>
        <v>7.4722261153846148</v>
      </c>
      <c r="V232" s="202">
        <f>IF($G232="F",0,$O232/'Model Data Inputs'!$B$141)</f>
        <v>4.9438676923076921</v>
      </c>
      <c r="W232" s="202">
        <f>IF($G232="F",0,$N232/'Model Data Inputs'!$B$142)</f>
        <v>5.615384615384615</v>
      </c>
      <c r="X232" s="202">
        <f>IF($G232="F",0,$K232/'Model Data Inputs'!$B$143)</f>
        <v>23.377722222222221</v>
      </c>
      <c r="Y232" s="202">
        <f t="shared" si="22"/>
        <v>10.352300161324784</v>
      </c>
      <c r="Z232" s="202">
        <f>IF(OR($G232="F",$F232="E"),0,'Model Data Inputs'!$B$144)</f>
        <v>0.5</v>
      </c>
      <c r="AA232" s="202">
        <f>IF(AND($O232&lt;='Model Data Inputs'!$B$139,$F232="E"),0,IF(AND($O232&lt;='Model Data Inputs'!$B$139,$F232="M"),0,IF(AND($O232&lt;='Model Data Inputs'!$B$139,$F232="H"),0,IF(SUM($Y232:$Z232)&lt;1,1,SUM($Y232:$Z232)))))</f>
        <v>10.852300161324784</v>
      </c>
      <c r="AB232" s="202">
        <f>($K232/'Model Data Inputs'!$B$143)*'Model Data Inputs'!$B$145</f>
        <v>2.3377722222222221</v>
      </c>
      <c r="AC232" s="202">
        <f t="shared" si="23"/>
        <v>13.190072383547006</v>
      </c>
      <c r="AD232" s="202">
        <f>IF($G232="F",0,'Model Data Inputs'!$B$147)</f>
        <v>1.1000000000000001</v>
      </c>
      <c r="AE232" s="202">
        <f>IF($G232="F",0,($K232/'Model Data Inputs'!$B$148)*'Model Data Inputs'!$B$149)</f>
        <v>8.4159799999999994</v>
      </c>
      <c r="AF232" s="202">
        <f>IF($G232="F",0,($O232/'Model Data Inputs'!$B$150)*'Model Data Inputs'!$B$151)</f>
        <v>2.0887840999999998</v>
      </c>
      <c r="AG232" s="202">
        <f>IF($G232="F",0,(($Q232*$T232)/'Model Data Inputs'!$B$152)*'Model Data Inputs'!$B$153)</f>
        <v>2.7277899363248368</v>
      </c>
      <c r="AH232" s="202">
        <f t="shared" si="24"/>
        <v>3.5831385090812091</v>
      </c>
      <c r="AI232" s="203">
        <f>IF(OR($G232="F",$F232="M",$F232="H"),0,($AH232*'Model Data Inputs'!$B$154)-$AH232)</f>
        <v>0</v>
      </c>
      <c r="AJ232" s="202">
        <f>IF(OR($G232="F",$F232="E",$F232="H"),0,($AH232*'Model Data Inputs'!$B$155)-$AH232)</f>
        <v>0</v>
      </c>
      <c r="AK232" s="203">
        <f>IF(OR($G232="F",$F232="E",$F232="M"),0,($AH232*'Model Data Inputs'!$B$156)-$AH232)</f>
        <v>3.5831385090812091</v>
      </c>
      <c r="AL232" s="203">
        <f>IF($G232="F",0,IF($M232&lt;'Model Data Inputs'!$B$158,$AH232*('Model Data Inputs'!$B$159-1),0))</f>
        <v>-0.17915692545406062</v>
      </c>
      <c r="AM232" s="202">
        <f>IF($G232="F",0,IF($M232&gt;'Model Data Inputs'!$B$160,$AH232*('Model Data Inputs'!$B$161-1),0))</f>
        <v>0</v>
      </c>
      <c r="AN232" s="202">
        <f>IF($G232="F",0,IF($P232&lt;'Model Data Inputs'!$B$162,SUM($AH232,$AI232,$AJ232,$AK232,$AL232,$AM232)*('Model Data Inputs'!$B$163-1),0))</f>
        <v>0</v>
      </c>
      <c r="AO232" s="202">
        <f t="shared" si="25"/>
        <v>6.9871200927083574</v>
      </c>
      <c r="AP232" s="204">
        <f>$K232*'Model Data Inputs'!$B$166</f>
        <v>281935.33</v>
      </c>
      <c r="AQ232" s="204">
        <f>($K232*'Model Data Inputs'!$B$145)*'Model Data Inputs'!$B$166</f>
        <v>28193.533000000003</v>
      </c>
      <c r="AR232" s="50">
        <f t="shared" si="26"/>
        <v>310128.86300000001</v>
      </c>
    </row>
    <row r="233" spans="1:44" x14ac:dyDescent="0.2">
      <c r="A233" s="227" t="str">
        <f>'School Level Inst. Resources'!A233</f>
        <v>1301000</v>
      </c>
      <c r="B233" s="227" t="str">
        <f>'School Level Inst. Resources'!B233</f>
        <v>Natrona #1</v>
      </c>
      <c r="C233" s="227" t="str">
        <f>'School Level Inst. Resources'!C233</f>
        <v>1301058</v>
      </c>
      <c r="D233" s="227" t="str">
        <f>'School Level Inst. Resources'!D233</f>
        <v>Roosevelt High School</v>
      </c>
      <c r="E233" s="228" t="str">
        <f>'School Level Inst. Resources'!E233</f>
        <v>7-12</v>
      </c>
      <c r="F233" s="229" t="str">
        <f>'School Level Inst. Resources'!H233</f>
        <v>H</v>
      </c>
      <c r="G233" s="229" t="s">
        <v>1158</v>
      </c>
      <c r="H233" s="207">
        <v>71716</v>
      </c>
      <c r="I233" s="207">
        <f>IF('SFD Allowable GSF Calculation'!$D$2=1,'SFD Allowable GSF Calculation'!$P233,'SFD Allowable GSF Calculation'!$X233)</f>
        <v>68913</v>
      </c>
      <c r="J233" s="194">
        <f>$I233*'Model Data Inputs'!$B$165</f>
        <v>79249.95</v>
      </c>
      <c r="K233" s="194">
        <f>IF($L233&gt;='Model Data Inputs'!$B$164,$H233,MIN($H233,$J233))</f>
        <v>71716</v>
      </c>
      <c r="L233" s="208">
        <v>2016</v>
      </c>
      <c r="M233" s="196">
        <f>IF($L233&gt;0,'Model Data Inputs'!$B$157-$L233,"")</f>
        <v>1</v>
      </c>
      <c r="N233" s="209">
        <v>18</v>
      </c>
      <c r="O233" s="198">
        <f>'School Level Inst. Resources'!$L233</f>
        <v>199.09300000000002</v>
      </c>
      <c r="P233" s="198">
        <f>IF($G233="T",SUMIFS('School Level ADM'!$S$5:$S$359,'School Level ADM'!$A$5:$A$359,$A233),0)</f>
        <v>12798.258666666667</v>
      </c>
      <c r="Q233" s="199">
        <f t="shared" si="27"/>
        <v>1.5556256924119053E-2</v>
      </c>
      <c r="R233" s="200">
        <f>SUM((('School Level Inst. Resources'!I233/'Model Data Inputs'!$B$8)*(1+'Model Data Inputs'!$B$9)),(SUM('School Level Inst. Resources'!J233:K233)/'Model Data Inputs'!$C$8)*(1+'Model Data Inputs'!$C$9),'School Level Inst. Resources'!K233/400)</f>
        <v>12.036470282608697</v>
      </c>
      <c r="S233" s="200">
        <f t="shared" si="28"/>
        <v>12.036470282608697</v>
      </c>
      <c r="T233" s="201">
        <f>IF($G233="T",VLOOKUP($A233,'Total O &amp; M Resources'!$A$5:$K$52,3),0)</f>
        <v>90531635.030000046</v>
      </c>
      <c r="U233" s="202">
        <f>IF($G233="F",0,$S233/'Model Data Inputs'!$B$140)</f>
        <v>0.92588232943143822</v>
      </c>
      <c r="V233" s="202">
        <f>IF($G233="F",0,$O233/'Model Data Inputs'!$B$141)</f>
        <v>0.61259384615384616</v>
      </c>
      <c r="W233" s="202">
        <f>IF($G233="F",0,$N233/'Model Data Inputs'!$B$142)</f>
        <v>1.3846153846153846</v>
      </c>
      <c r="X233" s="202">
        <f>IF($G233="F",0,$K233/'Model Data Inputs'!$B$143)</f>
        <v>3.9842222222222223</v>
      </c>
      <c r="Y233" s="202">
        <f t="shared" si="22"/>
        <v>1.7268284456057228</v>
      </c>
      <c r="Z233" s="202">
        <f>IF(OR($G233="F",$F233="E"),0,'Model Data Inputs'!$B$144)</f>
        <v>0.5</v>
      </c>
      <c r="AA233" s="202">
        <f>IF(AND($O233&lt;='Model Data Inputs'!$B$139,$F233="E"),0,IF(AND($O233&lt;='Model Data Inputs'!$B$139,$F233="M"),0,IF(AND($O233&lt;='Model Data Inputs'!$B$139,$F233="H"),0,IF(SUM($Y233:$Z233)&lt;1,1,SUM($Y233:$Z233)))))</f>
        <v>2.2268284456057228</v>
      </c>
      <c r="AB233" s="202">
        <f>($K233/'Model Data Inputs'!$B$143)*'Model Data Inputs'!$B$145</f>
        <v>0.39842222222222223</v>
      </c>
      <c r="AC233" s="202">
        <f t="shared" si="23"/>
        <v>2.6252506678279453</v>
      </c>
      <c r="AD233" s="202">
        <f>IF($G233="F",0,'Model Data Inputs'!$B$147)</f>
        <v>1.1000000000000001</v>
      </c>
      <c r="AE233" s="202">
        <f>IF($G233="F",0,($K233/'Model Data Inputs'!$B$148)*'Model Data Inputs'!$B$149)</f>
        <v>1.43432</v>
      </c>
      <c r="AF233" s="202">
        <f>IF($G233="F",0,($O233/'Model Data Inputs'!$B$150)*'Model Data Inputs'!$B$151)</f>
        <v>0.25882090000000002</v>
      </c>
      <c r="AG233" s="202">
        <f>IF($G233="F",0,(($Q233*$T233)/'Model Data Inputs'!$B$152)*'Model Data Inputs'!$B$153)</f>
        <v>0.33800000982894174</v>
      </c>
      <c r="AH233" s="202">
        <f t="shared" si="24"/>
        <v>0.78278522745723544</v>
      </c>
      <c r="AI233" s="203">
        <f>IF(OR($G233="F",$F233="M",$F233="H"),0,($AH233*'Model Data Inputs'!$B$154)-$AH233)</f>
        <v>0</v>
      </c>
      <c r="AJ233" s="202">
        <f>IF(OR($G233="F",$F233="E",$F233="H"),0,($AH233*'Model Data Inputs'!$B$155)-$AH233)</f>
        <v>0</v>
      </c>
      <c r="AK233" s="203">
        <f>IF(OR($G233="F",$F233="E",$F233="M"),0,($AH233*'Model Data Inputs'!$B$156)-$AH233)</f>
        <v>0.78278522745723544</v>
      </c>
      <c r="AL233" s="203">
        <f>IF($G233="F",0,IF($M233&lt;'Model Data Inputs'!$B$158,$AH233*('Model Data Inputs'!$B$159-1),0))</f>
        <v>-3.9139261372861806E-2</v>
      </c>
      <c r="AM233" s="202">
        <f>IF($G233="F",0,IF($M233&gt;'Model Data Inputs'!$B$160,$AH233*('Model Data Inputs'!$B$161-1),0))</f>
        <v>0</v>
      </c>
      <c r="AN233" s="202">
        <f>IF($G233="F",0,IF($P233&lt;'Model Data Inputs'!$B$162,SUM($AH233,$AI233,$AJ233,$AK233,$AL233,$AM233)*('Model Data Inputs'!$B$163-1),0))</f>
        <v>0</v>
      </c>
      <c r="AO233" s="202">
        <f t="shared" si="25"/>
        <v>1.5264311935416091</v>
      </c>
      <c r="AP233" s="204">
        <f>$K233*'Model Data Inputs'!$B$166</f>
        <v>48049.72</v>
      </c>
      <c r="AQ233" s="204">
        <f>($K233*'Model Data Inputs'!$B$145)*'Model Data Inputs'!$B$166</f>
        <v>4804.9720000000007</v>
      </c>
      <c r="AR233" s="50">
        <f t="shared" si="26"/>
        <v>52854.692000000003</v>
      </c>
    </row>
    <row r="234" spans="1:44" x14ac:dyDescent="0.2">
      <c r="A234" s="227" t="str">
        <f>'School Level Inst. Resources'!A234</f>
        <v>1401000</v>
      </c>
      <c r="B234" s="227" t="str">
        <f>'School Level Inst. Resources'!B234</f>
        <v>Niobrara #1</v>
      </c>
      <c r="C234" s="227" t="str">
        <f>'School Level Inst. Resources'!C234</f>
        <v>1401003</v>
      </c>
      <c r="D234" s="227" t="str">
        <f>'School Level Inst. Resources'!D234</f>
        <v>Lance Creek Elementary</v>
      </c>
      <c r="E234" s="228" t="str">
        <f>'School Level Inst. Resources'!E234</f>
        <v>K-6</v>
      </c>
      <c r="F234" s="229" t="str">
        <f>'School Level Inst. Resources'!H234</f>
        <v>E</v>
      </c>
      <c r="G234" s="229" t="s">
        <v>1158</v>
      </c>
      <c r="H234" s="207">
        <v>11209</v>
      </c>
      <c r="I234" s="207">
        <f>IF('SFD Allowable GSF Calculation'!$D$2=1,'SFD Allowable GSF Calculation'!$P234,'SFD Allowable GSF Calculation'!$X234)</f>
        <v>2915</v>
      </c>
      <c r="J234" s="194">
        <f>$I234*'Model Data Inputs'!$B$165</f>
        <v>3352.2499999999995</v>
      </c>
      <c r="K234" s="194">
        <f>IF($L234&gt;='Model Data Inputs'!$B$164,$H234,MIN($H234,$J234))</f>
        <v>3352.2499999999995</v>
      </c>
      <c r="L234" s="208">
        <v>1984</v>
      </c>
      <c r="M234" s="196">
        <f>IF($L234&gt;0,'Model Data Inputs'!$B$157-$L234,"")</f>
        <v>33</v>
      </c>
      <c r="N234" s="209">
        <v>3</v>
      </c>
      <c r="O234" s="198">
        <f>'School Level Inst. Resources'!$L234</f>
        <v>4.3066666666666666</v>
      </c>
      <c r="P234" s="198">
        <f>IF($G234="T",SUMIFS('School Level ADM'!$S$5:$S$359,'School Level ADM'!$A$5:$A$359,$A234),0)</f>
        <v>818.34400000000005</v>
      </c>
      <c r="Q234" s="199">
        <f t="shared" si="27"/>
        <v>5.2626605274391529E-3</v>
      </c>
      <c r="R234" s="200">
        <f>SUM((('School Level Inst. Resources'!I234/'Model Data Inputs'!$B$8)*(1+'Model Data Inputs'!$B$9)),(SUM('School Level Inst. Resources'!J234:K234)/'Model Data Inputs'!$C$8)*(1+'Model Data Inputs'!$C$9),'School Level Inst. Resources'!K234/400)</f>
        <v>0.28711111111111109</v>
      </c>
      <c r="S234" s="200">
        <f t="shared" si="28"/>
        <v>0.28711111111111109</v>
      </c>
      <c r="T234" s="201">
        <f>IF($G234="T",VLOOKUP($A234,'Total O &amp; M Resources'!$A$5:$K$52,3),0)</f>
        <v>4750105.67</v>
      </c>
      <c r="U234" s="202">
        <f>IF($G234="F",0,$S234/'Model Data Inputs'!$B$140)</f>
        <v>2.2085470085470085E-2</v>
      </c>
      <c r="V234" s="202">
        <f>IF($G234="F",0,$O234/'Model Data Inputs'!$B$141)</f>
        <v>1.3251282051282051E-2</v>
      </c>
      <c r="W234" s="202">
        <f>IF($G234="F",0,$N234/'Model Data Inputs'!$B$142)</f>
        <v>0.23076923076923078</v>
      </c>
      <c r="X234" s="202">
        <f>IF($G234="F",0,$K234/'Model Data Inputs'!$B$143)</f>
        <v>0.18623611111111107</v>
      </c>
      <c r="Y234" s="202">
        <f t="shared" si="22"/>
        <v>0.11308552350427351</v>
      </c>
      <c r="Z234" s="202">
        <f>IF(OR($G234="F",$F234="E"),0,'Model Data Inputs'!$B$144)</f>
        <v>0</v>
      </c>
      <c r="AA234" s="202">
        <f>IF(AND($O234&lt;='Model Data Inputs'!$B$139,$F234="E"),0,IF(AND($O234&lt;='Model Data Inputs'!$B$139,$F234="M"),0,IF(AND($O234&lt;='Model Data Inputs'!$B$139,$F234="H"),0,IF(SUM($Y234:$Z234)&lt;1,1,SUM($Y234:$Z234)))))</f>
        <v>0</v>
      </c>
      <c r="AB234" s="202">
        <f>($K234/'Model Data Inputs'!$B$143)*'Model Data Inputs'!$B$145</f>
        <v>1.8623611111111108E-2</v>
      </c>
      <c r="AC234" s="202">
        <f t="shared" si="23"/>
        <v>1.8623611111111108E-2</v>
      </c>
      <c r="AD234" s="202">
        <f>IF($G234="F",0,'Model Data Inputs'!$B$147)</f>
        <v>1.1000000000000001</v>
      </c>
      <c r="AE234" s="202">
        <f>IF($G234="F",0,($K234/'Model Data Inputs'!$B$148)*'Model Data Inputs'!$B$149)</f>
        <v>6.7044999999999993E-2</v>
      </c>
      <c r="AF234" s="202">
        <f>IF($G234="F",0,($O234/'Model Data Inputs'!$B$150)*'Model Data Inputs'!$B$151)</f>
        <v>5.5986666666666676E-3</v>
      </c>
      <c r="AG234" s="202">
        <f>IF($G234="F",0,(($Q234*$T234)/'Model Data Inputs'!$B$152)*'Model Data Inputs'!$B$153)</f>
        <v>5.9995664665617376E-3</v>
      </c>
      <c r="AH234" s="202">
        <f t="shared" si="24"/>
        <v>0.29466080828330715</v>
      </c>
      <c r="AI234" s="203">
        <f>IF(OR($G234="F",$F234="M",$F234="H"),0,($AH234*'Model Data Inputs'!$B$154)-$AH234)</f>
        <v>-5.893216165666143E-2</v>
      </c>
      <c r="AJ234" s="202">
        <f>IF(OR($G234="F",$F234="E",$F234="H"),0,($AH234*'Model Data Inputs'!$B$155)-$AH234)</f>
        <v>0</v>
      </c>
      <c r="AK234" s="203">
        <f>IF(OR($G234="F",$F234="E",$F234="M"),0,($AH234*'Model Data Inputs'!$B$156)-$AH234)</f>
        <v>0</v>
      </c>
      <c r="AL234" s="203">
        <f>IF($G234="F",0,IF($M234&lt;'Model Data Inputs'!$B$158,$AH234*('Model Data Inputs'!$B$159-1),0))</f>
        <v>0</v>
      </c>
      <c r="AM234" s="202">
        <f>IF($G234="F",0,IF($M234&gt;'Model Data Inputs'!$B$160,$AH234*('Model Data Inputs'!$B$161-1),0))</f>
        <v>2.9466080828330743E-2</v>
      </c>
      <c r="AN234" s="202">
        <f>IF($G234="F",0,IF($P234&lt;'Model Data Inputs'!$B$162,SUM($AH234,$AI234,$AJ234,$AK234,$AL234,$AM234)*('Model Data Inputs'!$B$163-1),0))</f>
        <v>2.6519472745497669E-2</v>
      </c>
      <c r="AO234" s="202">
        <f t="shared" si="25"/>
        <v>0.29171420020047412</v>
      </c>
      <c r="AP234" s="204">
        <f>$K234*'Model Data Inputs'!$B$166</f>
        <v>2246.0074999999997</v>
      </c>
      <c r="AQ234" s="204">
        <f>($K234*'Model Data Inputs'!$B$145)*'Model Data Inputs'!$B$166</f>
        <v>224.60074999999998</v>
      </c>
      <c r="AR234" s="50">
        <f t="shared" si="26"/>
        <v>2470.6082499999998</v>
      </c>
    </row>
    <row r="235" spans="1:44" s="226" customFormat="1" x14ac:dyDescent="0.2">
      <c r="A235" s="210" t="str">
        <f>'School Level Inst. Resources'!A235</f>
        <v>1401000</v>
      </c>
      <c r="B235" s="210" t="str">
        <f>'School Level Inst. Resources'!B235</f>
        <v>Niobrara #1</v>
      </c>
      <c r="C235" s="210" t="str">
        <f>'School Level Inst. Resources'!C235</f>
        <v>1401004</v>
      </c>
      <c r="D235" s="210" t="str">
        <f>'School Level Inst. Resources'!D235</f>
        <v>Lusk Elementary</v>
      </c>
      <c r="E235" s="211" t="str">
        <f>'School Level Inst. Resources'!E235</f>
        <v>K-5</v>
      </c>
      <c r="F235" s="212" t="str">
        <f>'School Level Inst. Resources'!H235</f>
        <v>E</v>
      </c>
      <c r="G235" s="212" t="s">
        <v>1159</v>
      </c>
      <c r="H235" s="213">
        <v>0</v>
      </c>
      <c r="I235" s="213">
        <f>IF('SFD Allowable GSF Calculation'!$D$2=1,'SFD Allowable GSF Calculation'!$P235,'SFD Allowable GSF Calculation'!$X235)</f>
        <v>0</v>
      </c>
      <c r="J235" s="214">
        <f>$I235*'Model Data Inputs'!$B$165</f>
        <v>0</v>
      </c>
      <c r="K235" s="214">
        <f>IF($L235&gt;='Model Data Inputs'!$B$164,$H235,MIN($H235,$J235))</f>
        <v>0</v>
      </c>
      <c r="L235" s="233">
        <v>0</v>
      </c>
      <c r="M235" s="196" t="str">
        <f>IF($L235&gt;0,'Model Data Inputs'!$B$157-$L235,"")</f>
        <v/>
      </c>
      <c r="N235" s="216">
        <v>0</v>
      </c>
      <c r="O235" s="217">
        <v>0</v>
      </c>
      <c r="P235" s="218">
        <f>IF($G235="T",SUMIFS('School Level ADM'!$S$5:$S$359,'School Level ADM'!$A$5:$A$359,$A235),0)</f>
        <v>0</v>
      </c>
      <c r="Q235" s="219">
        <f t="shared" si="27"/>
        <v>0</v>
      </c>
      <c r="R235" s="220">
        <f>SUM((('School Level Inst. Resources'!I235/'Model Data Inputs'!$B$8)*(1+'Model Data Inputs'!$B$9)),(SUM('School Level Inst. Resources'!J235:K235)/'Model Data Inputs'!$C$8)*(1+'Model Data Inputs'!$C$9),'School Level Inst. Resources'!K235/400)</f>
        <v>19.045133333333329</v>
      </c>
      <c r="S235" s="220">
        <v>0</v>
      </c>
      <c r="T235" s="221">
        <f>IF($G235="T",VLOOKUP($A235,'Total O &amp; M Resources'!$A$5:$K$52,3),0)</f>
        <v>0</v>
      </c>
      <c r="U235" s="222">
        <f>IF($G235="F",0,$S235/'Model Data Inputs'!$B$140)</f>
        <v>0</v>
      </c>
      <c r="V235" s="222">
        <f>IF($G235="F",0,$O235/'Model Data Inputs'!$B$141)</f>
        <v>0</v>
      </c>
      <c r="W235" s="222">
        <f>IF($G235="F",0,$N235/'Model Data Inputs'!$B$142)</f>
        <v>0</v>
      </c>
      <c r="X235" s="222">
        <f>IF($G235="F",0,$K235/'Model Data Inputs'!$B$143)</f>
        <v>0</v>
      </c>
      <c r="Y235" s="222">
        <f t="shared" si="22"/>
        <v>0</v>
      </c>
      <c r="Z235" s="222">
        <f>IF(OR($G235="F",$F235="E"),0,'Model Data Inputs'!$B$144)</f>
        <v>0</v>
      </c>
      <c r="AA235" s="222">
        <f>IF(AND($O235&lt;='Model Data Inputs'!$B$139,$F235="E"),0,IF(AND($O235&lt;='Model Data Inputs'!$B$139,$F235="M"),0,IF(AND($O235&lt;='Model Data Inputs'!$B$139,$F235="H"),0,IF(SUM($Y235:$Z235)&lt;1,1,SUM($Y235:$Z235)))))</f>
        <v>0</v>
      </c>
      <c r="AB235" s="222">
        <f>($K235/'Model Data Inputs'!$B$143)*'Model Data Inputs'!$B$145</f>
        <v>0</v>
      </c>
      <c r="AC235" s="222">
        <f t="shared" si="23"/>
        <v>0</v>
      </c>
      <c r="AD235" s="222">
        <f>IF($G235="F",0,'Model Data Inputs'!$B$147)</f>
        <v>0</v>
      </c>
      <c r="AE235" s="222">
        <f>IF($G235="F",0,($K235/'Model Data Inputs'!$B$148)*'Model Data Inputs'!$B$149)</f>
        <v>0</v>
      </c>
      <c r="AF235" s="222">
        <f>IF($G235="F",0,($O235/'Model Data Inputs'!$B$150)*'Model Data Inputs'!$B$151)</f>
        <v>0</v>
      </c>
      <c r="AG235" s="222">
        <f>IF($G235="F",0,(($Q235*$T235)/'Model Data Inputs'!$B$152)*'Model Data Inputs'!$B$153)</f>
        <v>0</v>
      </c>
      <c r="AH235" s="222">
        <f t="shared" si="24"/>
        <v>0</v>
      </c>
      <c r="AI235" s="223">
        <f>IF(OR($G235="F",$F235="M",$F235="H"),0,($AH235*'Model Data Inputs'!$B$154)-$AH235)</f>
        <v>0</v>
      </c>
      <c r="AJ235" s="222">
        <f>IF(OR($G235="F",$F235="E",$F235="H"),0,($AH235*'Model Data Inputs'!$B$155)-$AH235)</f>
        <v>0</v>
      </c>
      <c r="AK235" s="223">
        <f>IF(OR($G235="F",$F235="E",$F235="M"),0,($AH235*'Model Data Inputs'!$B$156)-$AH235)</f>
        <v>0</v>
      </c>
      <c r="AL235" s="223">
        <f>IF($G235="F",0,IF($M235&lt;'Model Data Inputs'!$B$158,$AH235*('Model Data Inputs'!$B$159-1),0))</f>
        <v>0</v>
      </c>
      <c r="AM235" s="222">
        <f>IF($G235="F",0,IF($M235&gt;'Model Data Inputs'!$B$160,$AH235*('Model Data Inputs'!$B$161-1),0))</f>
        <v>0</v>
      </c>
      <c r="AN235" s="222">
        <f>IF($G235="F",0,IF($P235&lt;'Model Data Inputs'!$B$162,SUM($AH235,$AI235,$AJ235,$AK235,$AL235,$AM235)*('Model Data Inputs'!$B$163-1),0))</f>
        <v>0</v>
      </c>
      <c r="AO235" s="222">
        <f t="shared" si="25"/>
        <v>0</v>
      </c>
      <c r="AP235" s="224">
        <f>$K235*'Model Data Inputs'!$B$166</f>
        <v>0</v>
      </c>
      <c r="AQ235" s="224">
        <f>($K235*'Model Data Inputs'!$B$145)*'Model Data Inputs'!$B$166</f>
        <v>0</v>
      </c>
      <c r="AR235" s="225">
        <f t="shared" si="26"/>
        <v>0</v>
      </c>
    </row>
    <row r="236" spans="1:44" s="226" customFormat="1" x14ac:dyDescent="0.2">
      <c r="A236" s="210" t="str">
        <f>'School Level Inst. Resources'!A236</f>
        <v>1401000</v>
      </c>
      <c r="B236" s="210" t="str">
        <f>'School Level Inst. Resources'!B236</f>
        <v>Niobrara #1</v>
      </c>
      <c r="C236" s="210" t="str">
        <f>'School Level Inst. Resources'!C236</f>
        <v>1401050</v>
      </c>
      <c r="D236" s="210" t="str">
        <f>'School Level Inst. Resources'!D236</f>
        <v>Lusk Middle School</v>
      </c>
      <c r="E236" s="211" t="str">
        <f>'School Level Inst. Resources'!E236</f>
        <v>6-8</v>
      </c>
      <c r="F236" s="212" t="str">
        <f>'School Level Inst. Resources'!H236</f>
        <v>M</v>
      </c>
      <c r="G236" s="212" t="s">
        <v>1158</v>
      </c>
      <c r="H236" s="213">
        <v>72364</v>
      </c>
      <c r="I236" s="213">
        <f>IF('SFD Allowable GSF Calculation'!$D$2=1,'SFD Allowable GSF Calculation'!$P236,'SFD Allowable GSF Calculation'!$X236)</f>
        <v>96903</v>
      </c>
      <c r="J236" s="214">
        <f>$I236*'Model Data Inputs'!$B$165</f>
        <v>111438.45</v>
      </c>
      <c r="K236" s="214">
        <f>IF($L236&gt;='Model Data Inputs'!$B$164,$H236,MIN($H236,$J236))</f>
        <v>72364</v>
      </c>
      <c r="L236" s="233">
        <v>1987</v>
      </c>
      <c r="M236" s="196">
        <f>IF($L236&gt;0,'Model Data Inputs'!$B$157-$L236,"")</f>
        <v>30</v>
      </c>
      <c r="N236" s="216">
        <v>30</v>
      </c>
      <c r="O236" s="218">
        <f>SUM('School Level Inst. Resources'!$L235,'School Level Inst. Resources'!$L236)</f>
        <v>511.07099999999997</v>
      </c>
      <c r="P236" s="218">
        <f>IF($G236="T",SUMIFS('School Level ADM'!$S$5:$S$359,'School Level ADM'!$A$5:$A$359,$A236),0)</f>
        <v>818.34400000000005</v>
      </c>
      <c r="Q236" s="219">
        <f t="shared" si="27"/>
        <v>0.62451853988053918</v>
      </c>
      <c r="R236" s="234">
        <f>SUM((('School Level Inst. Resources'!I236/'Model Data Inputs'!$B$8)*(1+'Model Data Inputs'!$B$9)),(SUM('School Level Inst. Resources'!J236:K236)/'Model Data Inputs'!$C$8)*(1+'Model Data Inputs'!$C$9),'School Level Inst. Resources'!K236/400)</f>
        <v>13.063052260869567</v>
      </c>
      <c r="S236" s="234">
        <f>SUM(R235:R236)</f>
        <v>32.108185594202894</v>
      </c>
      <c r="T236" s="221">
        <f>IF($G236="T",VLOOKUP($A236,'Total O &amp; M Resources'!$A$5:$K$52,3),0)</f>
        <v>4750105.67</v>
      </c>
      <c r="U236" s="222">
        <f>IF($G236="F",0,$S236/'Model Data Inputs'!$B$140)</f>
        <v>2.4698604303232994</v>
      </c>
      <c r="V236" s="222">
        <f>IF($G236="F",0,$O236/'Model Data Inputs'!$B$141)</f>
        <v>1.5725261538461537</v>
      </c>
      <c r="W236" s="222">
        <f>IF($G236="F",0,$N236/'Model Data Inputs'!$B$142)</f>
        <v>2.3076923076923075</v>
      </c>
      <c r="X236" s="222">
        <f>IF($G236="F",0,$K236/'Model Data Inputs'!$B$143)</f>
        <v>4.0202222222222224</v>
      </c>
      <c r="Y236" s="222">
        <f t="shared" si="22"/>
        <v>2.5925752785209957</v>
      </c>
      <c r="Z236" s="222">
        <f>IF(OR($G236="F",$F236="E"),0,'Model Data Inputs'!$B$144)</f>
        <v>0.5</v>
      </c>
      <c r="AA236" s="222">
        <f>IF(AND($O236&lt;='Model Data Inputs'!$B$139,$F236="E"),0,IF(AND($O236&lt;='Model Data Inputs'!$B$139,$F236="M"),0,IF(AND($O236&lt;='Model Data Inputs'!$B$139,$F236="H"),0,IF(SUM($Y236:$Z236)&lt;1,1,SUM($Y236:$Z236)))))</f>
        <v>3.0925752785209957</v>
      </c>
      <c r="AB236" s="222">
        <f>($K236/'Model Data Inputs'!$B$143)*'Model Data Inputs'!$B$145</f>
        <v>0.40202222222222228</v>
      </c>
      <c r="AC236" s="222">
        <f t="shared" si="23"/>
        <v>3.4945975007432182</v>
      </c>
      <c r="AD236" s="222">
        <f>IF($G236="F",0,'Model Data Inputs'!$B$147)</f>
        <v>1.1000000000000001</v>
      </c>
      <c r="AE236" s="222">
        <f>IF($G236="F",0,($K236/'Model Data Inputs'!$B$148)*'Model Data Inputs'!$B$149)</f>
        <v>1.4472799999999999</v>
      </c>
      <c r="AF236" s="222">
        <f>IF($G236="F",0,($O236/'Model Data Inputs'!$B$150)*'Model Data Inputs'!$B$151)</f>
        <v>0.66439229999999994</v>
      </c>
      <c r="AG236" s="222">
        <f>IF($G236="F",0,(($Q236*$T236)/'Model Data Inputs'!$B$152)*'Model Data Inputs'!$B$153)</f>
        <v>0.71196697375360074</v>
      </c>
      <c r="AH236" s="222">
        <f t="shared" si="24"/>
        <v>0.98090981843840008</v>
      </c>
      <c r="AI236" s="223">
        <f>IF(OR($G236="F",$F236="M",$F236="H"),0,($AH236*'Model Data Inputs'!$B$154)-$AH236)</f>
        <v>0</v>
      </c>
      <c r="AJ236" s="222">
        <f>IF(OR($G236="F",$F236="E",$F236="H"),0,($AH236*'Model Data Inputs'!$B$155)-$AH236)</f>
        <v>0</v>
      </c>
      <c r="AK236" s="223">
        <f>IF(OR($G236="F",$F236="E",$F236="M"),0,($AH236*'Model Data Inputs'!$B$156)-$AH236)</f>
        <v>0</v>
      </c>
      <c r="AL236" s="223">
        <f>IF($G236="F",0,IF($M236&lt;'Model Data Inputs'!$B$158,$AH236*('Model Data Inputs'!$B$159-1),0))</f>
        <v>0</v>
      </c>
      <c r="AM236" s="222">
        <f>IF($G236="F",0,IF($M236&gt;'Model Data Inputs'!$B$160,$AH236*('Model Data Inputs'!$B$161-1),0))</f>
        <v>0</v>
      </c>
      <c r="AN236" s="222">
        <f>IF($G236="F",0,IF($P236&lt;'Model Data Inputs'!$B$162,SUM($AH236,$AI236,$AJ236,$AK236,$AL236,$AM236)*('Model Data Inputs'!$B$163-1),0))</f>
        <v>9.8090981843840089E-2</v>
      </c>
      <c r="AO236" s="222">
        <f t="shared" si="25"/>
        <v>1.0790008002822402</v>
      </c>
      <c r="AP236" s="224">
        <f>$K236*'Model Data Inputs'!$B$166</f>
        <v>48483.880000000005</v>
      </c>
      <c r="AQ236" s="224">
        <f>($K236*'Model Data Inputs'!$B$145)*'Model Data Inputs'!$B$166</f>
        <v>4848.3880000000008</v>
      </c>
      <c r="AR236" s="225">
        <f t="shared" si="26"/>
        <v>53332.268000000004</v>
      </c>
    </row>
    <row r="237" spans="1:44" x14ac:dyDescent="0.2">
      <c r="A237" s="227" t="str">
        <f>'School Level Inst. Resources'!A237</f>
        <v>1401000</v>
      </c>
      <c r="B237" s="227" t="str">
        <f>'School Level Inst. Resources'!B237</f>
        <v>Niobrara #1</v>
      </c>
      <c r="C237" s="227" t="str">
        <f>'School Level Inst. Resources'!C237</f>
        <v>1401055</v>
      </c>
      <c r="D237" s="227" t="str">
        <f>'School Level Inst. Resources'!D237</f>
        <v>Niobrara County High School</v>
      </c>
      <c r="E237" s="228" t="str">
        <f>'School Level Inst. Resources'!E237</f>
        <v>9-12</v>
      </c>
      <c r="F237" s="229" t="str">
        <f>'School Level Inst. Resources'!H237</f>
        <v>H</v>
      </c>
      <c r="G237" s="229" t="s">
        <v>1158</v>
      </c>
      <c r="H237" s="207">
        <v>70785</v>
      </c>
      <c r="I237" s="207">
        <f>IF('SFD Allowable GSF Calculation'!$D$2=1,'SFD Allowable GSF Calculation'!$P237,'SFD Allowable GSF Calculation'!$X237)</f>
        <v>75827</v>
      </c>
      <c r="J237" s="194">
        <f>$I237*'Model Data Inputs'!$B$165</f>
        <v>87201.049999999988</v>
      </c>
      <c r="K237" s="194">
        <f>IF($L237&gt;='Model Data Inputs'!$B$164,$H237,MIN($H237,$J237))</f>
        <v>70785</v>
      </c>
      <c r="L237" s="208">
        <v>1954</v>
      </c>
      <c r="M237" s="196">
        <f>IF($L237&gt;0,'Model Data Inputs'!$B$157-$L237,"")</f>
        <v>63</v>
      </c>
      <c r="N237" s="209">
        <v>29</v>
      </c>
      <c r="O237" s="198">
        <f>'School Level Inst. Resources'!$L237</f>
        <v>302.96633333333335</v>
      </c>
      <c r="P237" s="198">
        <f>IF($G237="T",SUMIFS('School Level ADM'!$S$5:$S$359,'School Level ADM'!$A$5:$A$359,$A237),0)</f>
        <v>818.34400000000005</v>
      </c>
      <c r="Q237" s="199">
        <f t="shared" si="27"/>
        <v>0.37021879959202159</v>
      </c>
      <c r="R237" s="200">
        <f>SUM((('School Level Inst. Resources'!I237/'Model Data Inputs'!$B$8)*(1+'Model Data Inputs'!$B$9)),(SUM('School Level Inst. Resources'!J237:K237)/'Model Data Inputs'!$C$8)*(1+'Model Data Inputs'!$C$9),'School Level Inst. Resources'!K237/400)</f>
        <v>18.316290717391304</v>
      </c>
      <c r="S237" s="200">
        <f t="shared" si="28"/>
        <v>18.316290717391304</v>
      </c>
      <c r="T237" s="201">
        <f>IF($G237="T",VLOOKUP($A237,'Total O &amp; M Resources'!$A$5:$K$52,3),0)</f>
        <v>4750105.67</v>
      </c>
      <c r="U237" s="202">
        <f>IF($G237="F",0,$S237/'Model Data Inputs'!$B$140)</f>
        <v>1.4089454397993311</v>
      </c>
      <c r="V237" s="202">
        <f>IF($G237="F",0,$O237/'Model Data Inputs'!$B$141)</f>
        <v>0.93220410256410258</v>
      </c>
      <c r="W237" s="202">
        <f>IF($G237="F",0,$N237/'Model Data Inputs'!$B$142)</f>
        <v>2.2307692307692308</v>
      </c>
      <c r="X237" s="202">
        <f>IF($G237="F",0,$K237/'Model Data Inputs'!$B$143)</f>
        <v>3.9325000000000001</v>
      </c>
      <c r="Y237" s="202">
        <f t="shared" si="22"/>
        <v>2.1261046932831662</v>
      </c>
      <c r="Z237" s="202">
        <f>IF(OR($G237="F",$F237="E"),0,'Model Data Inputs'!$B$144)</f>
        <v>0.5</v>
      </c>
      <c r="AA237" s="202">
        <f>IF(AND($O237&lt;='Model Data Inputs'!$B$139,$F237="E"),0,IF(AND($O237&lt;='Model Data Inputs'!$B$139,$F237="M"),0,IF(AND($O237&lt;='Model Data Inputs'!$B$139,$F237="H"),0,IF(SUM($Y237:$Z237)&lt;1,1,SUM($Y237:$Z237)))))</f>
        <v>2.6261046932831662</v>
      </c>
      <c r="AB237" s="202">
        <f>($K237/'Model Data Inputs'!$B$143)*'Model Data Inputs'!$B$145</f>
        <v>0.39325000000000004</v>
      </c>
      <c r="AC237" s="202">
        <f t="shared" si="23"/>
        <v>3.0193546932831663</v>
      </c>
      <c r="AD237" s="202">
        <f>IF($G237="F",0,'Model Data Inputs'!$B$147)</f>
        <v>1.1000000000000001</v>
      </c>
      <c r="AE237" s="202">
        <f>IF($G237="F",0,($K237/'Model Data Inputs'!$B$148)*'Model Data Inputs'!$B$149)</f>
        <v>1.4157</v>
      </c>
      <c r="AF237" s="202">
        <f>IF($G237="F",0,($O237/'Model Data Inputs'!$B$150)*'Model Data Inputs'!$B$151)</f>
        <v>0.39385623333333336</v>
      </c>
      <c r="AG237" s="202">
        <f>IF($G237="F",0,(($Q237*$T237)/'Model Data Inputs'!$B$152)*'Model Data Inputs'!$B$153)</f>
        <v>0.42205882057983729</v>
      </c>
      <c r="AH237" s="202">
        <f t="shared" si="24"/>
        <v>0.83290376347829265</v>
      </c>
      <c r="AI237" s="203">
        <f>IF(OR($G237="F",$F237="M",$F237="H"),0,($AH237*'Model Data Inputs'!$B$154)-$AH237)</f>
        <v>0</v>
      </c>
      <c r="AJ237" s="202">
        <f>IF(OR($G237="F",$F237="E",$F237="H"),0,($AH237*'Model Data Inputs'!$B$155)-$AH237)</f>
        <v>0</v>
      </c>
      <c r="AK237" s="203">
        <f>IF(OR($G237="F",$F237="E",$F237="M"),0,($AH237*'Model Data Inputs'!$B$156)-$AH237)</f>
        <v>0.83290376347829265</v>
      </c>
      <c r="AL237" s="203">
        <f>IF($G237="F",0,IF($M237&lt;'Model Data Inputs'!$B$158,$AH237*('Model Data Inputs'!$B$159-1),0))</f>
        <v>0</v>
      </c>
      <c r="AM237" s="202">
        <f>IF($G237="F",0,IF($M237&gt;'Model Data Inputs'!$B$160,$AH237*('Model Data Inputs'!$B$161-1),0))</f>
        <v>8.3290376347829334E-2</v>
      </c>
      <c r="AN237" s="202">
        <f>IF($G237="F",0,IF($P237&lt;'Model Data Inputs'!$B$162,SUM($AH237,$AI237,$AJ237,$AK237,$AL237,$AM237)*('Model Data Inputs'!$B$163-1),0))</f>
        <v>0.17490979033044163</v>
      </c>
      <c r="AO237" s="202">
        <f t="shared" si="25"/>
        <v>1.9240076936348562</v>
      </c>
      <c r="AP237" s="204">
        <f>$K237*'Model Data Inputs'!$B$166</f>
        <v>47425.950000000004</v>
      </c>
      <c r="AQ237" s="204">
        <f>($K237*'Model Data Inputs'!$B$145)*'Model Data Inputs'!$B$166</f>
        <v>4742.5950000000003</v>
      </c>
      <c r="AR237" s="50">
        <f t="shared" si="26"/>
        <v>52168.545000000006</v>
      </c>
    </row>
    <row r="238" spans="1:44" x14ac:dyDescent="0.2">
      <c r="A238" s="227" t="str">
        <f>'School Level Inst. Resources'!A238</f>
        <v>1501000</v>
      </c>
      <c r="B238" s="227" t="str">
        <f>'School Level Inst. Resources'!B238</f>
        <v>Park #1</v>
      </c>
      <c r="C238" s="227" t="str">
        <f>'School Level Inst. Resources'!C238</f>
        <v>1501001</v>
      </c>
      <c r="D238" s="227" t="str">
        <f>'School Level Inst. Resources'!D238</f>
        <v>Clark Elementary</v>
      </c>
      <c r="E238" s="228" t="str">
        <f>'School Level Inst. Resources'!E238</f>
        <v>K-5</v>
      </c>
      <c r="F238" s="229" t="str">
        <f>'School Level Inst. Resources'!H238</f>
        <v>E</v>
      </c>
      <c r="G238" s="229" t="s">
        <v>1158</v>
      </c>
      <c r="H238" s="207">
        <v>8263</v>
      </c>
      <c r="I238" s="207">
        <f>IF('SFD Allowable GSF Calculation'!$D$2=1,'SFD Allowable GSF Calculation'!$P238,'SFD Allowable GSF Calculation'!$X238)</f>
        <v>2915</v>
      </c>
      <c r="J238" s="194">
        <f>$I238*'Model Data Inputs'!$B$165</f>
        <v>3352.2499999999995</v>
      </c>
      <c r="K238" s="194">
        <f>IF($L238&gt;='Model Data Inputs'!$B$164,$H238,MIN($H238,$J238))</f>
        <v>3352.2499999999995</v>
      </c>
      <c r="L238" s="208">
        <v>1968</v>
      </c>
      <c r="M238" s="196">
        <f>IF($L238&gt;0,'Model Data Inputs'!$B$157-$L238,"")</f>
        <v>49</v>
      </c>
      <c r="N238" s="209">
        <v>4</v>
      </c>
      <c r="O238" s="198">
        <f>'School Level Inst. Resources'!$L238</f>
        <v>13.79</v>
      </c>
      <c r="P238" s="198">
        <f>IF($G238="T",SUMIFS('School Level ADM'!$S$5:$S$359,'School Level ADM'!$A$5:$A$359,$A238),0)</f>
        <v>1809.4450000000002</v>
      </c>
      <c r="Q238" s="199">
        <f t="shared" si="27"/>
        <v>7.621121393576482E-3</v>
      </c>
      <c r="R238" s="200">
        <f>SUM((('School Level Inst. Resources'!I238/'Model Data Inputs'!$B$8)*(1+'Model Data Inputs'!$B$9)),(SUM('School Level Inst. Resources'!J238:K238)/'Model Data Inputs'!$C$8)*(1+'Model Data Inputs'!$C$9),'School Level Inst. Resources'!K238/400)</f>
        <v>0.91933333333333322</v>
      </c>
      <c r="S238" s="200">
        <f t="shared" si="28"/>
        <v>0.91933333333333322</v>
      </c>
      <c r="T238" s="201">
        <f>IF($G238="T",VLOOKUP($A238,'Total O &amp; M Resources'!$A$5:$K$52,3),0)</f>
        <v>13789863.340000002</v>
      </c>
      <c r="U238" s="202">
        <f>IF($G238="F",0,$S238/'Model Data Inputs'!$B$140)</f>
        <v>7.0717948717948703E-2</v>
      </c>
      <c r="V238" s="202">
        <f>IF($G238="F",0,$O238/'Model Data Inputs'!$B$141)</f>
        <v>4.243076923076923E-2</v>
      </c>
      <c r="W238" s="202">
        <f>IF($G238="F",0,$N238/'Model Data Inputs'!$B$142)</f>
        <v>0.30769230769230771</v>
      </c>
      <c r="X238" s="202">
        <f>IF($G238="F",0,$K238/'Model Data Inputs'!$B$143)</f>
        <v>0.18623611111111107</v>
      </c>
      <c r="Y238" s="202">
        <f t="shared" si="22"/>
        <v>0.15176928418803418</v>
      </c>
      <c r="Z238" s="202">
        <f>IF(OR($G238="F",$F238="E"),0,'Model Data Inputs'!$B$144)</f>
        <v>0</v>
      </c>
      <c r="AA238" s="202">
        <f>IF(AND($O238&lt;='Model Data Inputs'!$B$139,$F238="E"),0,IF(AND($O238&lt;='Model Data Inputs'!$B$139,$F238="M"),0,IF(AND($O238&lt;='Model Data Inputs'!$B$139,$F238="H"),0,IF(SUM($Y238:$Z238)&lt;1,1,SUM($Y238:$Z238)))))</f>
        <v>0</v>
      </c>
      <c r="AB238" s="202">
        <f>($K238/'Model Data Inputs'!$B$143)*'Model Data Inputs'!$B$145</f>
        <v>1.8623611111111108E-2</v>
      </c>
      <c r="AC238" s="202">
        <f t="shared" si="23"/>
        <v>1.8623611111111108E-2</v>
      </c>
      <c r="AD238" s="202">
        <f>IF($G238="F",0,'Model Data Inputs'!$B$147)</f>
        <v>1.1000000000000001</v>
      </c>
      <c r="AE238" s="202">
        <f>IF($G238="F",0,($K238/'Model Data Inputs'!$B$148)*'Model Data Inputs'!$B$149)</f>
        <v>6.7044999999999993E-2</v>
      </c>
      <c r="AF238" s="202">
        <f>IF($G238="F",0,($O238/'Model Data Inputs'!$B$150)*'Model Data Inputs'!$B$151)</f>
        <v>1.7926999999999998E-2</v>
      </c>
      <c r="AG238" s="202">
        <f>IF($G238="F",0,(($Q238*$T238)/'Model Data Inputs'!$B$152)*'Model Data Inputs'!$B$153)</f>
        <v>2.522261340359281E-2</v>
      </c>
      <c r="AH238" s="202">
        <f t="shared" si="24"/>
        <v>0.30254865335089826</v>
      </c>
      <c r="AI238" s="203">
        <f>IF(OR($G238="F",$F238="M",$F238="H"),0,($AH238*'Model Data Inputs'!$B$154)-$AH238)</f>
        <v>-6.0509730670179646E-2</v>
      </c>
      <c r="AJ238" s="202">
        <f>IF(OR($G238="F",$F238="E",$F238="H"),0,($AH238*'Model Data Inputs'!$B$155)-$AH238)</f>
        <v>0</v>
      </c>
      <c r="AK238" s="203">
        <f>IF(OR($G238="F",$F238="E",$F238="M"),0,($AH238*'Model Data Inputs'!$B$156)-$AH238)</f>
        <v>0</v>
      </c>
      <c r="AL238" s="203">
        <f>IF($G238="F",0,IF($M238&lt;'Model Data Inputs'!$B$158,$AH238*('Model Data Inputs'!$B$159-1),0))</f>
        <v>0</v>
      </c>
      <c r="AM238" s="202">
        <f>IF($G238="F",0,IF($M238&gt;'Model Data Inputs'!$B$160,$AH238*('Model Data Inputs'!$B$161-1),0))</f>
        <v>3.0254865335089854E-2</v>
      </c>
      <c r="AN238" s="202">
        <f>IF($G238="F",0,IF($P238&lt;'Model Data Inputs'!$B$162,SUM($AH238,$AI238,$AJ238,$AK238,$AL238,$AM238)*('Model Data Inputs'!$B$163-1),0))</f>
        <v>0</v>
      </c>
      <c r="AO238" s="202">
        <f t="shared" si="25"/>
        <v>0.27229378801580845</v>
      </c>
      <c r="AP238" s="204">
        <f>$K238*'Model Data Inputs'!$B$166</f>
        <v>2246.0074999999997</v>
      </c>
      <c r="AQ238" s="204">
        <f>($K238*'Model Data Inputs'!$B$145)*'Model Data Inputs'!$B$166</f>
        <v>224.60074999999998</v>
      </c>
      <c r="AR238" s="50">
        <f t="shared" si="26"/>
        <v>2470.6082499999998</v>
      </c>
    </row>
    <row r="239" spans="1:44" x14ac:dyDescent="0.2">
      <c r="A239" s="227" t="str">
        <f>'School Level Inst. Resources'!A239</f>
        <v>1501000</v>
      </c>
      <c r="B239" s="227" t="str">
        <f>'School Level Inst. Resources'!B239</f>
        <v>Park #1</v>
      </c>
      <c r="C239" s="227" t="str">
        <f>'School Level Inst. Resources'!C239</f>
        <v>1501002</v>
      </c>
      <c r="D239" s="227" t="str">
        <f>'School Level Inst. Resources'!D239</f>
        <v>Parkside Elementary</v>
      </c>
      <c r="E239" s="228" t="str">
        <f>'School Level Inst. Resources'!E239</f>
        <v>K-5</v>
      </c>
      <c r="F239" s="229" t="str">
        <f>'School Level Inst. Resources'!H239</f>
        <v>E</v>
      </c>
      <c r="G239" s="229" t="s">
        <v>1158</v>
      </c>
      <c r="H239" s="207">
        <v>37346</v>
      </c>
      <c r="I239" s="207">
        <f>IF('SFD Allowable GSF Calculation'!$D$2=1,'SFD Allowable GSF Calculation'!$P239,'SFD Allowable GSF Calculation'!$X239)</f>
        <v>33140</v>
      </c>
      <c r="J239" s="194">
        <f>$I239*'Model Data Inputs'!$B$165</f>
        <v>38111</v>
      </c>
      <c r="K239" s="194">
        <f>IF($L239&gt;='Model Data Inputs'!$B$164,$H239,MIN($H239,$J239))</f>
        <v>37346</v>
      </c>
      <c r="L239" s="208">
        <v>1948</v>
      </c>
      <c r="M239" s="196">
        <f>IF($L239&gt;0,'Model Data Inputs'!$B$157-$L239,"")</f>
        <v>69</v>
      </c>
      <c r="N239" s="209">
        <v>23</v>
      </c>
      <c r="O239" s="198">
        <f>'School Level Inst. Resources'!$L239</f>
        <v>199.95500000000001</v>
      </c>
      <c r="P239" s="198">
        <f>IF($G239="T",SUMIFS('School Level ADM'!$S$5:$S$359,'School Level ADM'!$A$5:$A$359,$A239),0)</f>
        <v>1809.4450000000002</v>
      </c>
      <c r="Q239" s="199">
        <f t="shared" si="27"/>
        <v>0.11050626020685901</v>
      </c>
      <c r="R239" s="200">
        <f>SUM((('School Level Inst. Resources'!I239/'Model Data Inputs'!$B$8)*(1+'Model Data Inputs'!$B$9)),(SUM('School Level Inst. Resources'!J239:K239)/'Model Data Inputs'!$C$8)*(1+'Model Data Inputs'!$C$9),'School Level Inst. Resources'!K239/400)</f>
        <v>13.330333333333334</v>
      </c>
      <c r="S239" s="200">
        <f t="shared" si="28"/>
        <v>13.330333333333334</v>
      </c>
      <c r="T239" s="201">
        <f>IF($G239="T",VLOOKUP($A239,'Total O &amp; M Resources'!$A$5:$K$52,3),0)</f>
        <v>13789863.340000002</v>
      </c>
      <c r="U239" s="202">
        <f>IF($G239="F",0,$S239/'Model Data Inputs'!$B$140)</f>
        <v>1.0254102564102565</v>
      </c>
      <c r="V239" s="202">
        <f>IF($G239="F",0,$O239/'Model Data Inputs'!$B$141)</f>
        <v>0.61524615384615389</v>
      </c>
      <c r="W239" s="202">
        <f>IF($G239="F",0,$N239/'Model Data Inputs'!$B$142)</f>
        <v>1.7692307692307692</v>
      </c>
      <c r="X239" s="202">
        <f>IF($G239="F",0,$K239/'Model Data Inputs'!$B$143)</f>
        <v>2.0747777777777778</v>
      </c>
      <c r="Y239" s="202">
        <f t="shared" si="22"/>
        <v>1.3711662393162394</v>
      </c>
      <c r="Z239" s="202">
        <f>IF(OR($G239="F",$F239="E"),0,'Model Data Inputs'!$B$144)</f>
        <v>0</v>
      </c>
      <c r="AA239" s="202">
        <f>IF(AND($O239&lt;='Model Data Inputs'!$B$139,$F239="E"),0,IF(AND($O239&lt;='Model Data Inputs'!$B$139,$F239="M"),0,IF(AND($O239&lt;='Model Data Inputs'!$B$139,$F239="H"),0,IF(SUM($Y239:$Z239)&lt;1,1,SUM($Y239:$Z239)))))</f>
        <v>1.3711662393162394</v>
      </c>
      <c r="AB239" s="202">
        <f>($K239/'Model Data Inputs'!$B$143)*'Model Data Inputs'!$B$145</f>
        <v>0.20747777777777779</v>
      </c>
      <c r="AC239" s="202">
        <f t="shared" si="23"/>
        <v>1.5786440170940172</v>
      </c>
      <c r="AD239" s="202">
        <f>IF($G239="F",0,'Model Data Inputs'!$B$147)</f>
        <v>1.1000000000000001</v>
      </c>
      <c r="AE239" s="202">
        <f>IF($G239="F",0,($K239/'Model Data Inputs'!$B$148)*'Model Data Inputs'!$B$149)</f>
        <v>0.74691999999999992</v>
      </c>
      <c r="AF239" s="202">
        <f>IF($G239="F",0,($O239/'Model Data Inputs'!$B$150)*'Model Data Inputs'!$B$151)</f>
        <v>0.25994150000000005</v>
      </c>
      <c r="AG239" s="202">
        <f>IF($G239="F",0,(($Q239*$T239)/'Model Data Inputs'!$B$152)*'Model Data Inputs'!$B$153)</f>
        <v>0.36572789435209585</v>
      </c>
      <c r="AH239" s="202">
        <f t="shared" si="24"/>
        <v>0.618147348588024</v>
      </c>
      <c r="AI239" s="203">
        <f>IF(OR($G239="F",$F239="M",$F239="H"),0,($AH239*'Model Data Inputs'!$B$154)-$AH239)</f>
        <v>-0.1236294697176048</v>
      </c>
      <c r="AJ239" s="202">
        <f>IF(OR($G239="F",$F239="E",$F239="H"),0,($AH239*'Model Data Inputs'!$B$155)-$AH239)</f>
        <v>0</v>
      </c>
      <c r="AK239" s="203">
        <f>IF(OR($G239="F",$F239="E",$F239="M"),0,($AH239*'Model Data Inputs'!$B$156)-$AH239)</f>
        <v>0</v>
      </c>
      <c r="AL239" s="203">
        <f>IF($G239="F",0,IF($M239&lt;'Model Data Inputs'!$B$158,$AH239*('Model Data Inputs'!$B$159-1),0))</f>
        <v>0</v>
      </c>
      <c r="AM239" s="202">
        <f>IF($G239="F",0,IF($M239&gt;'Model Data Inputs'!$B$160,$AH239*('Model Data Inputs'!$B$161-1),0))</f>
        <v>6.1814734858802456E-2</v>
      </c>
      <c r="AN239" s="202">
        <f>IF($G239="F",0,IF($P239&lt;'Model Data Inputs'!$B$162,SUM($AH239,$AI239,$AJ239,$AK239,$AL239,$AM239)*('Model Data Inputs'!$B$163-1),0))</f>
        <v>0</v>
      </c>
      <c r="AO239" s="202">
        <f t="shared" si="25"/>
        <v>0.55633261372922171</v>
      </c>
      <c r="AP239" s="204">
        <f>$K239*'Model Data Inputs'!$B$166</f>
        <v>25021.82</v>
      </c>
      <c r="AQ239" s="204">
        <f>($K239*'Model Data Inputs'!$B$145)*'Model Data Inputs'!$B$166</f>
        <v>2502.1820000000002</v>
      </c>
      <c r="AR239" s="50">
        <f t="shared" si="26"/>
        <v>27524.002</v>
      </c>
    </row>
    <row r="240" spans="1:44" x14ac:dyDescent="0.2">
      <c r="A240" s="227" t="str">
        <f>'School Level Inst. Resources'!A240</f>
        <v>1501000</v>
      </c>
      <c r="B240" s="227" t="str">
        <f>'School Level Inst. Resources'!B240</f>
        <v>Park #1</v>
      </c>
      <c r="C240" s="227" t="str">
        <f>'School Level Inst. Resources'!C240</f>
        <v>1501003</v>
      </c>
      <c r="D240" s="227" t="str">
        <f>'School Level Inst. Resources'!D240</f>
        <v>Southside Elementary</v>
      </c>
      <c r="E240" s="228" t="str">
        <f>'School Level Inst. Resources'!E240</f>
        <v>K-5</v>
      </c>
      <c r="F240" s="229" t="str">
        <f>'School Level Inst. Resources'!H240</f>
        <v>E</v>
      </c>
      <c r="G240" s="229" t="s">
        <v>1158</v>
      </c>
      <c r="H240" s="207">
        <v>49790</v>
      </c>
      <c r="I240" s="207">
        <f>IF('SFD Allowable GSF Calculation'!$D$2=1,'SFD Allowable GSF Calculation'!$P240,'SFD Allowable GSF Calculation'!$X240)</f>
        <v>46807</v>
      </c>
      <c r="J240" s="194">
        <f>$I240*'Model Data Inputs'!$B$165</f>
        <v>53828.049999999996</v>
      </c>
      <c r="K240" s="194">
        <f>IF($L240&gt;='Model Data Inputs'!$B$164,$H240,MIN($H240,$J240))</f>
        <v>49790</v>
      </c>
      <c r="L240" s="208">
        <v>2008</v>
      </c>
      <c r="M240" s="196">
        <f>IF($L240&gt;0,'Model Data Inputs'!$B$157-$L240,"")</f>
        <v>9</v>
      </c>
      <c r="N240" s="209">
        <v>34</v>
      </c>
      <c r="O240" s="198">
        <f>'School Level Inst. Resources'!$L240</f>
        <v>311.26</v>
      </c>
      <c r="P240" s="198">
        <f>IF($G240="T",SUMIFS('School Level ADM'!$S$5:$S$359,'School Level ADM'!$A$5:$A$359,$A240),0)</f>
        <v>1809.4450000000002</v>
      </c>
      <c r="Q240" s="199">
        <f t="shared" si="27"/>
        <v>0.17201959716929774</v>
      </c>
      <c r="R240" s="200">
        <f>SUM((('School Level Inst. Resources'!I240/'Model Data Inputs'!$B$8)*(1+'Model Data Inputs'!$B$9)),(SUM('School Level Inst. Resources'!J240:K240)/'Model Data Inputs'!$C$8)*(1+'Model Data Inputs'!$C$9),'School Level Inst. Resources'!K240/400)</f>
        <v>20.750666666666664</v>
      </c>
      <c r="S240" s="200">
        <f t="shared" si="28"/>
        <v>20.750666666666664</v>
      </c>
      <c r="T240" s="201">
        <f>IF($G240="T",VLOOKUP($A240,'Total O &amp; M Resources'!$A$5:$K$52,3),0)</f>
        <v>13789863.340000002</v>
      </c>
      <c r="U240" s="202">
        <f>IF($G240="F",0,$S240/'Model Data Inputs'!$B$140)</f>
        <v>1.5962051282051279</v>
      </c>
      <c r="V240" s="202">
        <f>IF($G240="F",0,$O240/'Model Data Inputs'!$B$141)</f>
        <v>0.9577230769230769</v>
      </c>
      <c r="W240" s="202">
        <f>IF($G240="F",0,$N240/'Model Data Inputs'!$B$142)</f>
        <v>2.6153846153846154</v>
      </c>
      <c r="X240" s="202">
        <f>IF($G240="F",0,$K240/'Model Data Inputs'!$B$143)</f>
        <v>2.766111111111111</v>
      </c>
      <c r="Y240" s="202">
        <f t="shared" si="22"/>
        <v>1.9838559829059828</v>
      </c>
      <c r="Z240" s="202">
        <f>IF(OR($G240="F",$F240="E"),0,'Model Data Inputs'!$B$144)</f>
        <v>0</v>
      </c>
      <c r="AA240" s="202">
        <f>IF(AND($O240&lt;='Model Data Inputs'!$B$139,$F240="E"),0,IF(AND($O240&lt;='Model Data Inputs'!$B$139,$F240="M"),0,IF(AND($O240&lt;='Model Data Inputs'!$B$139,$F240="H"),0,IF(SUM($Y240:$Z240)&lt;1,1,SUM($Y240:$Z240)))))</f>
        <v>1.9838559829059828</v>
      </c>
      <c r="AB240" s="202">
        <f>($K240/'Model Data Inputs'!$B$143)*'Model Data Inputs'!$B$145</f>
        <v>0.27661111111111109</v>
      </c>
      <c r="AC240" s="202">
        <f t="shared" si="23"/>
        <v>2.2604670940170939</v>
      </c>
      <c r="AD240" s="202">
        <f>IF($G240="F",0,'Model Data Inputs'!$B$147)</f>
        <v>1.1000000000000001</v>
      </c>
      <c r="AE240" s="202">
        <f>IF($G240="F",0,($K240/'Model Data Inputs'!$B$148)*'Model Data Inputs'!$B$149)</f>
        <v>0.99579999999999991</v>
      </c>
      <c r="AF240" s="202">
        <f>IF($G240="F",0,($O240/'Model Data Inputs'!$B$150)*'Model Data Inputs'!$B$151)</f>
        <v>0.404638</v>
      </c>
      <c r="AG240" s="202">
        <f>IF($G240="F",0,(($Q240*$T240)/'Model Data Inputs'!$B$152)*'Model Data Inputs'!$B$153)</f>
        <v>0.569310416823952</v>
      </c>
      <c r="AH240" s="202">
        <f t="shared" si="24"/>
        <v>0.76743710420598799</v>
      </c>
      <c r="AI240" s="203">
        <f>IF(OR($G240="F",$F240="M",$F240="H"),0,($AH240*'Model Data Inputs'!$B$154)-$AH240)</f>
        <v>-0.1534874208411976</v>
      </c>
      <c r="AJ240" s="202">
        <f>IF(OR($G240="F",$F240="E",$F240="H"),0,($AH240*'Model Data Inputs'!$B$155)-$AH240)</f>
        <v>0</v>
      </c>
      <c r="AK240" s="203">
        <f>IF(OR($G240="F",$F240="E",$F240="M"),0,($AH240*'Model Data Inputs'!$B$156)-$AH240)</f>
        <v>0</v>
      </c>
      <c r="AL240" s="203">
        <f>IF($G240="F",0,IF($M240&lt;'Model Data Inputs'!$B$158,$AH240*('Model Data Inputs'!$B$159-1),0))</f>
        <v>-3.8371855210299434E-2</v>
      </c>
      <c r="AM240" s="202">
        <f>IF($G240="F",0,IF($M240&gt;'Model Data Inputs'!$B$160,$AH240*('Model Data Inputs'!$B$161-1),0))</f>
        <v>0</v>
      </c>
      <c r="AN240" s="202">
        <f>IF($G240="F",0,IF($P240&lt;'Model Data Inputs'!$B$162,SUM($AH240,$AI240,$AJ240,$AK240,$AL240,$AM240)*('Model Data Inputs'!$B$163-1),0))</f>
        <v>0</v>
      </c>
      <c r="AO240" s="202">
        <f t="shared" si="25"/>
        <v>0.57557782815449099</v>
      </c>
      <c r="AP240" s="204">
        <f>$K240*'Model Data Inputs'!$B$166</f>
        <v>33359.300000000003</v>
      </c>
      <c r="AQ240" s="204">
        <f>($K240*'Model Data Inputs'!$B$145)*'Model Data Inputs'!$B$166</f>
        <v>3335.9300000000003</v>
      </c>
      <c r="AR240" s="50">
        <f t="shared" si="26"/>
        <v>36695.230000000003</v>
      </c>
    </row>
    <row r="241" spans="1:44" x14ac:dyDescent="0.2">
      <c r="A241" s="227" t="str">
        <f>'School Level Inst. Resources'!A241</f>
        <v>1501000</v>
      </c>
      <c r="B241" s="227" t="str">
        <f>'School Level Inst. Resources'!B241</f>
        <v>Park #1</v>
      </c>
      <c r="C241" s="227" t="str">
        <f>'School Level Inst. Resources'!C241</f>
        <v>1501004</v>
      </c>
      <c r="D241" s="227" t="str">
        <f>'School Level Inst. Resources'!D241</f>
        <v>Westside Elementary</v>
      </c>
      <c r="E241" s="228" t="str">
        <f>'School Level Inst. Resources'!E241</f>
        <v>K-5</v>
      </c>
      <c r="F241" s="229" t="str">
        <f>'School Level Inst. Resources'!H241</f>
        <v>E</v>
      </c>
      <c r="G241" s="229" t="s">
        <v>1158</v>
      </c>
      <c r="H241" s="207">
        <v>50009</v>
      </c>
      <c r="I241" s="207">
        <f>IF('SFD Allowable GSF Calculation'!$D$2=1,'SFD Allowable GSF Calculation'!$P241,'SFD Allowable GSF Calculation'!$X241)</f>
        <v>45401</v>
      </c>
      <c r="J241" s="194">
        <f>$I241*'Model Data Inputs'!$B$165</f>
        <v>52211.149999999994</v>
      </c>
      <c r="K241" s="194">
        <f>IF($L241&gt;='Model Data Inputs'!$B$164,$H241,MIN($H241,$J241))</f>
        <v>50009</v>
      </c>
      <c r="L241" s="208">
        <v>2011</v>
      </c>
      <c r="M241" s="196">
        <f>IF($L241&gt;0,'Model Data Inputs'!$B$157-$L241,"")</f>
        <v>6</v>
      </c>
      <c r="N241" s="209">
        <v>19</v>
      </c>
      <c r="O241" s="198">
        <f>'School Level Inst. Resources'!$L241</f>
        <v>299.44</v>
      </c>
      <c r="P241" s="198">
        <f>IF($G241="T",SUMIFS('School Level ADM'!$S$5:$S$359,'School Level ADM'!$A$5:$A$359,$A241),0)</f>
        <v>1809.4450000000002</v>
      </c>
      <c r="Q241" s="199">
        <f t="shared" si="27"/>
        <v>0.16548720740337505</v>
      </c>
      <c r="R241" s="200">
        <f>SUM((('School Level Inst. Resources'!I241/'Model Data Inputs'!$B$8)*(1+'Model Data Inputs'!$B$9)),(SUM('School Level Inst. Resources'!J241:K241)/'Model Data Inputs'!$C$8)*(1+'Model Data Inputs'!$C$9),'School Level Inst. Resources'!K241/400)</f>
        <v>19.962666666666667</v>
      </c>
      <c r="S241" s="200">
        <f t="shared" si="28"/>
        <v>19.962666666666667</v>
      </c>
      <c r="T241" s="201">
        <f>IF($G241="T",VLOOKUP($A241,'Total O &amp; M Resources'!$A$5:$K$52,3),0)</f>
        <v>13789863.340000002</v>
      </c>
      <c r="U241" s="202">
        <f>IF($G241="F",0,$S241/'Model Data Inputs'!$B$140)</f>
        <v>1.5355897435897436</v>
      </c>
      <c r="V241" s="202">
        <f>IF($G241="F",0,$O241/'Model Data Inputs'!$B$141)</f>
        <v>0.92135384615384619</v>
      </c>
      <c r="W241" s="202">
        <f>IF($G241="F",0,$N241/'Model Data Inputs'!$B$142)</f>
        <v>1.4615384615384615</v>
      </c>
      <c r="X241" s="202">
        <f>IF($G241="F",0,$K241/'Model Data Inputs'!$B$143)</f>
        <v>2.7782777777777778</v>
      </c>
      <c r="Y241" s="202">
        <f t="shared" si="22"/>
        <v>1.6741899572649572</v>
      </c>
      <c r="Z241" s="202">
        <f>IF(OR($G241="F",$F241="E"),0,'Model Data Inputs'!$B$144)</f>
        <v>0</v>
      </c>
      <c r="AA241" s="202">
        <f>IF(AND($O241&lt;='Model Data Inputs'!$B$139,$F241="E"),0,IF(AND($O241&lt;='Model Data Inputs'!$B$139,$F241="M"),0,IF(AND($O241&lt;='Model Data Inputs'!$B$139,$F241="H"),0,IF(SUM($Y241:$Z241)&lt;1,1,SUM($Y241:$Z241)))))</f>
        <v>1.6741899572649572</v>
      </c>
      <c r="AB241" s="202">
        <f>($K241/'Model Data Inputs'!$B$143)*'Model Data Inputs'!$B$145</f>
        <v>0.27782777777777778</v>
      </c>
      <c r="AC241" s="202">
        <f t="shared" si="23"/>
        <v>1.952017735042735</v>
      </c>
      <c r="AD241" s="202">
        <f>IF($G241="F",0,'Model Data Inputs'!$B$147)</f>
        <v>1.1000000000000001</v>
      </c>
      <c r="AE241" s="202">
        <f>IF($G241="F",0,($K241/'Model Data Inputs'!$B$148)*'Model Data Inputs'!$B$149)</f>
        <v>1.0001800000000001</v>
      </c>
      <c r="AF241" s="202">
        <f>IF($G241="F",0,($O241/'Model Data Inputs'!$B$150)*'Model Data Inputs'!$B$151)</f>
        <v>0.38927200000000001</v>
      </c>
      <c r="AG241" s="202">
        <f>IF($G241="F",0,(($Q241*$T241)/'Model Data Inputs'!$B$152)*'Model Data Inputs'!$B$153)</f>
        <v>0.5476910339065868</v>
      </c>
      <c r="AH241" s="202">
        <f t="shared" si="24"/>
        <v>0.7592857584766467</v>
      </c>
      <c r="AI241" s="203">
        <f>IF(OR($G241="F",$F241="M",$F241="H"),0,($AH241*'Model Data Inputs'!$B$154)-$AH241)</f>
        <v>-0.15185715169532932</v>
      </c>
      <c r="AJ241" s="202">
        <f>IF(OR($G241="F",$F241="E",$F241="H"),0,($AH241*'Model Data Inputs'!$B$155)-$AH241)</f>
        <v>0</v>
      </c>
      <c r="AK241" s="203">
        <f>IF(OR($G241="F",$F241="E",$F241="M"),0,($AH241*'Model Data Inputs'!$B$156)-$AH241)</f>
        <v>0</v>
      </c>
      <c r="AL241" s="203">
        <f>IF($G241="F",0,IF($M241&lt;'Model Data Inputs'!$B$158,$AH241*('Model Data Inputs'!$B$159-1),0))</f>
        <v>-3.7964287923832371E-2</v>
      </c>
      <c r="AM241" s="202">
        <f>IF($G241="F",0,IF($M241&gt;'Model Data Inputs'!$B$160,$AH241*('Model Data Inputs'!$B$161-1),0))</f>
        <v>0</v>
      </c>
      <c r="AN241" s="202">
        <f>IF($G241="F",0,IF($P241&lt;'Model Data Inputs'!$B$162,SUM($AH241,$AI241,$AJ241,$AK241,$AL241,$AM241)*('Model Data Inputs'!$B$163-1),0))</f>
        <v>0</v>
      </c>
      <c r="AO241" s="202">
        <f t="shared" si="25"/>
        <v>0.56946431885748505</v>
      </c>
      <c r="AP241" s="204">
        <f>$K241*'Model Data Inputs'!$B$166</f>
        <v>33506.03</v>
      </c>
      <c r="AQ241" s="204">
        <f>($K241*'Model Data Inputs'!$B$145)*'Model Data Inputs'!$B$166</f>
        <v>3350.6030000000005</v>
      </c>
      <c r="AR241" s="50">
        <f t="shared" si="26"/>
        <v>36856.633000000002</v>
      </c>
    </row>
    <row r="242" spans="1:44" x14ac:dyDescent="0.2">
      <c r="A242" s="227" t="str">
        <f>'School Level Inst. Resources'!A242</f>
        <v>1501000</v>
      </c>
      <c r="B242" s="227" t="str">
        <f>'School Level Inst. Resources'!B242</f>
        <v>Park #1</v>
      </c>
      <c r="C242" s="227" t="str">
        <f>'School Level Inst. Resources'!C242</f>
        <v>1501050</v>
      </c>
      <c r="D242" s="227" t="str">
        <f>'School Level Inst. Resources'!D242</f>
        <v>Powell Middle School</v>
      </c>
      <c r="E242" s="228" t="str">
        <f>'School Level Inst. Resources'!E242</f>
        <v>6-8</v>
      </c>
      <c r="F242" s="229" t="str">
        <f>'School Level Inst. Resources'!H242</f>
        <v>M</v>
      </c>
      <c r="G242" s="229" t="s">
        <v>1158</v>
      </c>
      <c r="H242" s="207">
        <v>100229</v>
      </c>
      <c r="I242" s="207">
        <f>IF('SFD Allowable GSF Calculation'!$D$2=1,'SFD Allowable GSF Calculation'!$P242,'SFD Allowable GSF Calculation'!$X242)</f>
        <v>75547</v>
      </c>
      <c r="J242" s="194">
        <f>$I242*'Model Data Inputs'!$B$165</f>
        <v>86879.049999999988</v>
      </c>
      <c r="K242" s="194">
        <f>IF($L242&gt;='Model Data Inputs'!$B$164,$H242,MIN($H242,$J242))</f>
        <v>100229</v>
      </c>
      <c r="L242" s="208">
        <v>2016</v>
      </c>
      <c r="M242" s="196">
        <f>IF($L242&gt;0,'Model Data Inputs'!$B$157-$L242,"")</f>
        <v>1</v>
      </c>
      <c r="N242" s="209">
        <v>38</v>
      </c>
      <c r="O242" s="198">
        <f>'School Level Inst. Resources'!$L242</f>
        <v>435.37</v>
      </c>
      <c r="P242" s="198">
        <f>IF($G242="T",SUMIFS('School Level ADM'!$S$5:$S$359,'School Level ADM'!$A$5:$A$359,$A242),0)</f>
        <v>1809.4450000000002</v>
      </c>
      <c r="Q242" s="199">
        <f t="shared" si="27"/>
        <v>0.24060968971148611</v>
      </c>
      <c r="R242" s="200">
        <f>SUM((('School Level Inst. Resources'!I242/'Model Data Inputs'!$B$8)*(1+'Model Data Inputs'!$B$9)),(SUM('School Level Inst. Resources'!J242:K242)/'Model Data Inputs'!$C$8)*(1+'Model Data Inputs'!$C$9),'School Level Inst. Resources'!K242/400)</f>
        <v>25.23253086956522</v>
      </c>
      <c r="S242" s="200">
        <f t="shared" si="28"/>
        <v>25.23253086956522</v>
      </c>
      <c r="T242" s="201">
        <f>IF($G242="T",VLOOKUP($A242,'Total O &amp; M Resources'!$A$5:$K$52,3),0)</f>
        <v>13789863.340000002</v>
      </c>
      <c r="U242" s="202">
        <f>IF($G242="F",0,$S242/'Model Data Inputs'!$B$140)</f>
        <v>1.9409639130434786</v>
      </c>
      <c r="V242" s="202">
        <f>IF($G242="F",0,$O242/'Model Data Inputs'!$B$141)</f>
        <v>1.3396000000000001</v>
      </c>
      <c r="W242" s="202">
        <f>IF($G242="F",0,$N242/'Model Data Inputs'!$B$142)</f>
        <v>2.9230769230769229</v>
      </c>
      <c r="X242" s="202">
        <f>IF($G242="F",0,$K242/'Model Data Inputs'!$B$143)</f>
        <v>5.5682777777777774</v>
      </c>
      <c r="Y242" s="202">
        <f t="shared" si="22"/>
        <v>2.9429796534745449</v>
      </c>
      <c r="Z242" s="202">
        <f>IF(OR($G242="F",$F242="E"),0,'Model Data Inputs'!$B$144)</f>
        <v>0.5</v>
      </c>
      <c r="AA242" s="202">
        <f>IF(AND($O242&lt;='Model Data Inputs'!$B$139,$F242="E"),0,IF(AND($O242&lt;='Model Data Inputs'!$B$139,$F242="M"),0,IF(AND($O242&lt;='Model Data Inputs'!$B$139,$F242="H"),0,IF(SUM($Y242:$Z242)&lt;1,1,SUM($Y242:$Z242)))))</f>
        <v>3.4429796534745449</v>
      </c>
      <c r="AB242" s="202">
        <f>($K242/'Model Data Inputs'!$B$143)*'Model Data Inputs'!$B$145</f>
        <v>0.55682777777777781</v>
      </c>
      <c r="AC242" s="202">
        <f t="shared" si="23"/>
        <v>3.9998074312523229</v>
      </c>
      <c r="AD242" s="202">
        <f>IF($G242="F",0,'Model Data Inputs'!$B$147)</f>
        <v>1.1000000000000001</v>
      </c>
      <c r="AE242" s="202">
        <f>IF($G242="F",0,($K242/'Model Data Inputs'!$B$148)*'Model Data Inputs'!$B$149)</f>
        <v>2.0045799999999998</v>
      </c>
      <c r="AF242" s="202">
        <f>IF($G242="F",0,($O242/'Model Data Inputs'!$B$150)*'Model Data Inputs'!$B$151)</f>
        <v>0.56598099999999996</v>
      </c>
      <c r="AG242" s="202">
        <f>IF($G242="F",0,(($Q242*$T242)/'Model Data Inputs'!$B$152)*'Model Data Inputs'!$B$153)</f>
        <v>0.79631393745628753</v>
      </c>
      <c r="AH242" s="202">
        <f t="shared" si="24"/>
        <v>1.1167187343640719</v>
      </c>
      <c r="AI242" s="203">
        <f>IF(OR($G242="F",$F242="M",$F242="H"),0,($AH242*'Model Data Inputs'!$B$154)-$AH242)</f>
        <v>0</v>
      </c>
      <c r="AJ242" s="202">
        <f>IF(OR($G242="F",$F242="E",$F242="H"),0,($AH242*'Model Data Inputs'!$B$155)-$AH242)</f>
        <v>0</v>
      </c>
      <c r="AK242" s="203">
        <f>IF(OR($G242="F",$F242="E",$F242="M"),0,($AH242*'Model Data Inputs'!$B$156)-$AH242)</f>
        <v>0</v>
      </c>
      <c r="AL242" s="203">
        <f>IF($G242="F",0,IF($M242&lt;'Model Data Inputs'!$B$158,$AH242*('Model Data Inputs'!$B$159-1),0))</f>
        <v>-5.5835936718203645E-2</v>
      </c>
      <c r="AM242" s="202">
        <f>IF($G242="F",0,IF($M242&gt;'Model Data Inputs'!$B$160,$AH242*('Model Data Inputs'!$B$161-1),0))</f>
        <v>0</v>
      </c>
      <c r="AN242" s="202">
        <f>IF($G242="F",0,IF($P242&lt;'Model Data Inputs'!$B$162,SUM($AH242,$AI242,$AJ242,$AK242,$AL242,$AM242)*('Model Data Inputs'!$B$163-1),0))</f>
        <v>0</v>
      </c>
      <c r="AO242" s="202">
        <f t="shared" si="25"/>
        <v>1.0608827976458681</v>
      </c>
      <c r="AP242" s="204">
        <f>$K242*'Model Data Inputs'!$B$166</f>
        <v>67153.430000000008</v>
      </c>
      <c r="AQ242" s="204">
        <f>($K242*'Model Data Inputs'!$B$145)*'Model Data Inputs'!$B$166</f>
        <v>6715.3430000000017</v>
      </c>
      <c r="AR242" s="50">
        <f t="shared" si="26"/>
        <v>73868.773000000016</v>
      </c>
    </row>
    <row r="243" spans="1:44" x14ac:dyDescent="0.2">
      <c r="A243" s="227" t="str">
        <f>'School Level Inst. Resources'!A243</f>
        <v>1501000</v>
      </c>
      <c r="B243" s="227" t="str">
        <f>'School Level Inst. Resources'!B243</f>
        <v>Park #1</v>
      </c>
      <c r="C243" s="227" t="str">
        <f>'School Level Inst. Resources'!C243</f>
        <v>1501055</v>
      </c>
      <c r="D243" s="227" t="str">
        <f>'School Level Inst. Resources'!D243</f>
        <v>Powell High School</v>
      </c>
      <c r="E243" s="228" t="str">
        <f>'School Level Inst. Resources'!E243</f>
        <v>9-12</v>
      </c>
      <c r="F243" s="229" t="str">
        <f>'School Level Inst. Resources'!H243</f>
        <v>H</v>
      </c>
      <c r="G243" s="229" t="s">
        <v>1158</v>
      </c>
      <c r="H243" s="207">
        <v>144972</v>
      </c>
      <c r="I243" s="207">
        <f>IF('SFD Allowable GSF Calculation'!$D$2=1,'SFD Allowable GSF Calculation'!$P243,'SFD Allowable GSF Calculation'!$X243)</f>
        <v>109029</v>
      </c>
      <c r="J243" s="194">
        <f>$I243*'Model Data Inputs'!$B$165</f>
        <v>125383.34999999999</v>
      </c>
      <c r="K243" s="194">
        <f>IF($L243&gt;='Model Data Inputs'!$B$164,$H243,MIN($H243,$J243))</f>
        <v>144972</v>
      </c>
      <c r="L243" s="208">
        <v>2007</v>
      </c>
      <c r="M243" s="196">
        <f>IF($L243&gt;0,'Model Data Inputs'!$B$157-$L243,"")</f>
        <v>10</v>
      </c>
      <c r="N243" s="209">
        <v>44</v>
      </c>
      <c r="O243" s="198">
        <f>'School Level Inst. Resources'!$L243</f>
        <v>534.85500000000002</v>
      </c>
      <c r="P243" s="198">
        <f>IF($G243="T",SUMIFS('School Level ADM'!$S$5:$S$359,'School Level ADM'!$A$5:$A$359,$A243),0)</f>
        <v>1809.4450000000002</v>
      </c>
      <c r="Q243" s="199">
        <f t="shared" si="27"/>
        <v>0.29559063690800214</v>
      </c>
      <c r="R243" s="200">
        <f>SUM((('School Level Inst. Resources'!I243/'Model Data Inputs'!$B$8)*(1+'Model Data Inputs'!$B$9)),(SUM('School Level Inst. Resources'!J243:K243)/'Model Data Inputs'!$C$8)*(1+'Model Data Inputs'!$C$9),'School Level Inst. Resources'!K243/400)</f>
        <v>32.335472934782608</v>
      </c>
      <c r="S243" s="200">
        <f t="shared" si="28"/>
        <v>32.335472934782608</v>
      </c>
      <c r="T243" s="201">
        <f>IF($G243="T",VLOOKUP($A243,'Total O &amp; M Resources'!$A$5:$K$52,3),0)</f>
        <v>13789863.340000002</v>
      </c>
      <c r="U243" s="202">
        <f>IF($G243="F",0,$S243/'Model Data Inputs'!$B$140)</f>
        <v>2.4873440719063544</v>
      </c>
      <c r="V243" s="202">
        <f>IF($G243="F",0,$O243/'Model Data Inputs'!$B$141)</f>
        <v>1.6457076923076923</v>
      </c>
      <c r="W243" s="202">
        <f>IF($G243="F",0,$N243/'Model Data Inputs'!$B$142)</f>
        <v>3.3846153846153846</v>
      </c>
      <c r="X243" s="202">
        <f>IF($G243="F",0,$K243/'Model Data Inputs'!$B$143)</f>
        <v>8.0540000000000003</v>
      </c>
      <c r="Y243" s="202">
        <f t="shared" si="22"/>
        <v>3.892916787207358</v>
      </c>
      <c r="Z243" s="202">
        <f>IF(OR($G243="F",$F243="E"),0,'Model Data Inputs'!$B$144)</f>
        <v>0.5</v>
      </c>
      <c r="AA243" s="202">
        <f>IF(AND($O243&lt;='Model Data Inputs'!$B$139,$F243="E"),0,IF(AND($O243&lt;='Model Data Inputs'!$B$139,$F243="M"),0,IF(AND($O243&lt;='Model Data Inputs'!$B$139,$F243="H"),0,IF(SUM($Y243:$Z243)&lt;1,1,SUM($Y243:$Z243)))))</f>
        <v>4.3929167872073585</v>
      </c>
      <c r="AB243" s="202">
        <f>($K243/'Model Data Inputs'!$B$143)*'Model Data Inputs'!$B$145</f>
        <v>0.80540000000000012</v>
      </c>
      <c r="AC243" s="202">
        <f t="shared" si="23"/>
        <v>5.198316787207359</v>
      </c>
      <c r="AD243" s="202">
        <f>IF($G243="F",0,'Model Data Inputs'!$B$147)</f>
        <v>1.1000000000000001</v>
      </c>
      <c r="AE243" s="202">
        <f>IF($G243="F",0,($K243/'Model Data Inputs'!$B$148)*'Model Data Inputs'!$B$149)</f>
        <v>2.8994399999999998</v>
      </c>
      <c r="AF243" s="202">
        <f>IF($G243="F",0,($O243/'Model Data Inputs'!$B$150)*'Model Data Inputs'!$B$151)</f>
        <v>0.69531149999999997</v>
      </c>
      <c r="AG243" s="202">
        <f>IF($G243="F",0,(($Q243*$T243)/'Model Data Inputs'!$B$152)*'Model Data Inputs'!$B$153)</f>
        <v>0.97827707701077837</v>
      </c>
      <c r="AH243" s="202">
        <f t="shared" si="24"/>
        <v>1.4182571442526946</v>
      </c>
      <c r="AI243" s="203">
        <f>IF(OR($G243="F",$F243="M",$F243="H"),0,($AH243*'Model Data Inputs'!$B$154)-$AH243)</f>
        <v>0</v>
      </c>
      <c r="AJ243" s="202">
        <f>IF(OR($G243="F",$F243="E",$F243="H"),0,($AH243*'Model Data Inputs'!$B$155)-$AH243)</f>
        <v>0</v>
      </c>
      <c r="AK243" s="203">
        <f>IF(OR($G243="F",$F243="E",$F243="M"),0,($AH243*'Model Data Inputs'!$B$156)-$AH243)</f>
        <v>1.4182571442526946</v>
      </c>
      <c r="AL243" s="203">
        <f>IF($G243="F",0,IF($M243&lt;'Model Data Inputs'!$B$158,$AH243*('Model Data Inputs'!$B$159-1),0))</f>
        <v>0</v>
      </c>
      <c r="AM243" s="202">
        <f>IF($G243="F",0,IF($M243&gt;'Model Data Inputs'!$B$160,$AH243*('Model Data Inputs'!$B$161-1),0))</f>
        <v>0</v>
      </c>
      <c r="AN243" s="202">
        <f>IF($G243="F",0,IF($P243&lt;'Model Data Inputs'!$B$162,SUM($AH243,$AI243,$AJ243,$AK243,$AL243,$AM243)*('Model Data Inputs'!$B$163-1),0))</f>
        <v>0</v>
      </c>
      <c r="AO243" s="202">
        <f t="shared" si="25"/>
        <v>2.8365142885053891</v>
      </c>
      <c r="AP243" s="204">
        <f>$K243*'Model Data Inputs'!$B$166</f>
        <v>97131.24</v>
      </c>
      <c r="AQ243" s="204">
        <f>($K243*'Model Data Inputs'!$B$145)*'Model Data Inputs'!$B$166</f>
        <v>9713.1240000000016</v>
      </c>
      <c r="AR243" s="50">
        <f t="shared" si="26"/>
        <v>106844.364</v>
      </c>
    </row>
    <row r="244" spans="1:44" x14ac:dyDescent="0.2">
      <c r="A244" s="227" t="str">
        <f>'School Level Inst. Resources'!A244</f>
        <v>1501000</v>
      </c>
      <c r="B244" s="227" t="str">
        <f>'School Level Inst. Resources'!B244</f>
        <v>Park #1</v>
      </c>
      <c r="C244" s="227" t="str">
        <f>'School Level Inst. Resources'!C244</f>
        <v>1501056</v>
      </c>
      <c r="D244" s="227" t="str">
        <f>'School Level Inst. Resources'!D244</f>
        <v>Shoshone Learning Center</v>
      </c>
      <c r="E244" s="228" t="str">
        <f>'School Level Inst. Resources'!E244</f>
        <v>9-12</v>
      </c>
      <c r="F244" s="229" t="str">
        <f>'School Level Inst. Resources'!H244</f>
        <v>H</v>
      </c>
      <c r="G244" s="229" t="s">
        <v>1158</v>
      </c>
      <c r="H244" s="207">
        <v>5617</v>
      </c>
      <c r="I244" s="207">
        <f>IF('SFD Allowable GSF Calculation'!$D$2=1,'SFD Allowable GSF Calculation'!$P244,'SFD Allowable GSF Calculation'!$X244)</f>
        <v>3378</v>
      </c>
      <c r="J244" s="194">
        <f>$I244*'Model Data Inputs'!$B$165</f>
        <v>3884.7</v>
      </c>
      <c r="K244" s="194">
        <f>IF($L244&gt;='Model Data Inputs'!$B$164,$H244,MIN($H244,$J244))</f>
        <v>3884.7</v>
      </c>
      <c r="L244" s="208">
        <v>1958</v>
      </c>
      <c r="M244" s="196">
        <f>IF($L244&gt;0,'Model Data Inputs'!$B$157-$L244,"")</f>
        <v>59</v>
      </c>
      <c r="N244" s="209">
        <v>4</v>
      </c>
      <c r="O244" s="198">
        <f>'School Level Inst. Resources'!$L244</f>
        <v>14.774999999999999</v>
      </c>
      <c r="P244" s="198">
        <f>IF($G244="T",SUMIFS('School Level ADM'!$S$5:$S$359,'School Level ADM'!$A$5:$A$359,$A244),0)</f>
        <v>1809.4450000000002</v>
      </c>
      <c r="Q244" s="199">
        <f t="shared" si="27"/>
        <v>8.165487207403373E-3</v>
      </c>
      <c r="R244" s="200">
        <f>SUM((('School Level Inst. Resources'!I244/'Model Data Inputs'!$B$8)*(1+'Model Data Inputs'!$B$9)),(SUM('School Level Inst. Resources'!J244:K244)/'Model Data Inputs'!$C$8)*(1+'Model Data Inputs'!$C$9),'School Level Inst. Resources'!K244/400)</f>
        <v>0.89324510869565199</v>
      </c>
      <c r="S244" s="200">
        <f t="shared" si="28"/>
        <v>0.89324510869565199</v>
      </c>
      <c r="T244" s="201">
        <f>IF($G244="T",VLOOKUP($A244,'Total O &amp; M Resources'!$A$5:$K$52,3),0)</f>
        <v>13789863.340000002</v>
      </c>
      <c r="U244" s="202">
        <f>IF($G244="F",0,$S244/'Model Data Inputs'!$B$140)</f>
        <v>6.8711162207357845E-2</v>
      </c>
      <c r="V244" s="202">
        <f>IF($G244="F",0,$O244/'Model Data Inputs'!$B$141)</f>
        <v>4.5461538461538456E-2</v>
      </c>
      <c r="W244" s="202">
        <f>IF($G244="F",0,$N244/'Model Data Inputs'!$B$142)</f>
        <v>0.30769230769230771</v>
      </c>
      <c r="X244" s="202">
        <f>IF($G244="F",0,$K244/'Model Data Inputs'!$B$143)</f>
        <v>0.21581666666666666</v>
      </c>
      <c r="Y244" s="202">
        <f t="shared" si="22"/>
        <v>0.15942041875696766</v>
      </c>
      <c r="Z244" s="202">
        <f>IF(OR($G244="F",$F244="E"),0,'Model Data Inputs'!$B$144)</f>
        <v>0.5</v>
      </c>
      <c r="AA244" s="202">
        <f>IF(AND($O244&lt;='Model Data Inputs'!$B$139,$F244="E"),0,IF(AND($O244&lt;='Model Data Inputs'!$B$139,$F244="M"),0,IF(AND($O244&lt;='Model Data Inputs'!$B$139,$F244="H"),0,IF(SUM($Y244:$Z244)&lt;1,1,SUM($Y244:$Z244)))))</f>
        <v>0</v>
      </c>
      <c r="AB244" s="202">
        <f>($K244/'Model Data Inputs'!$B$143)*'Model Data Inputs'!$B$145</f>
        <v>2.1581666666666666E-2</v>
      </c>
      <c r="AC244" s="202">
        <f t="shared" si="23"/>
        <v>2.1581666666666666E-2</v>
      </c>
      <c r="AD244" s="202">
        <f>IF($G244="F",0,'Model Data Inputs'!$B$147)</f>
        <v>1.1000000000000001</v>
      </c>
      <c r="AE244" s="202">
        <f>IF($G244="F",0,($K244/'Model Data Inputs'!$B$148)*'Model Data Inputs'!$B$149)</f>
        <v>7.7693999999999999E-2</v>
      </c>
      <c r="AF244" s="202">
        <f>IF($G244="F",0,($O244/'Model Data Inputs'!$B$150)*'Model Data Inputs'!$B$151)</f>
        <v>1.9207499999999999E-2</v>
      </c>
      <c r="AG244" s="202">
        <f>IF($G244="F",0,(($Q244*$T244)/'Model Data Inputs'!$B$152)*'Model Data Inputs'!$B$153)</f>
        <v>2.7024228646706581E-2</v>
      </c>
      <c r="AH244" s="202">
        <f t="shared" si="24"/>
        <v>0.30598143216167667</v>
      </c>
      <c r="AI244" s="203">
        <f>IF(OR($G244="F",$F244="M",$F244="H"),0,($AH244*'Model Data Inputs'!$B$154)-$AH244)</f>
        <v>0</v>
      </c>
      <c r="AJ244" s="202">
        <f>IF(OR($G244="F",$F244="E",$F244="H"),0,($AH244*'Model Data Inputs'!$B$155)-$AH244)</f>
        <v>0</v>
      </c>
      <c r="AK244" s="203">
        <f>IF(OR($G244="F",$F244="E",$F244="M"),0,($AH244*'Model Data Inputs'!$B$156)-$AH244)</f>
        <v>0.30598143216167667</v>
      </c>
      <c r="AL244" s="203">
        <f>IF($G244="F",0,IF($M244&lt;'Model Data Inputs'!$B$158,$AH244*('Model Data Inputs'!$B$159-1),0))</f>
        <v>0</v>
      </c>
      <c r="AM244" s="202">
        <f>IF($G244="F",0,IF($M244&gt;'Model Data Inputs'!$B$160,$AH244*('Model Data Inputs'!$B$161-1),0))</f>
        <v>3.0598143216167693E-2</v>
      </c>
      <c r="AN244" s="202">
        <f>IF($G244="F",0,IF($P244&lt;'Model Data Inputs'!$B$162,SUM($AH244,$AI244,$AJ244,$AK244,$AL244,$AM244)*('Model Data Inputs'!$B$163-1),0))</f>
        <v>0</v>
      </c>
      <c r="AO244" s="202">
        <f t="shared" si="25"/>
        <v>0.64256100753952106</v>
      </c>
      <c r="AP244" s="204">
        <f>$K244*'Model Data Inputs'!$B$166</f>
        <v>2602.7490000000003</v>
      </c>
      <c r="AQ244" s="204">
        <f>($K244*'Model Data Inputs'!$B$145)*'Model Data Inputs'!$B$166</f>
        <v>260.27490000000006</v>
      </c>
      <c r="AR244" s="50">
        <f t="shared" si="26"/>
        <v>2863.0239000000001</v>
      </c>
    </row>
    <row r="245" spans="1:44" x14ac:dyDescent="0.2">
      <c r="A245" s="227" t="str">
        <f>'School Level Inst. Resources'!A245</f>
        <v>1506000</v>
      </c>
      <c r="B245" s="227" t="str">
        <f>'School Level Inst. Resources'!B245</f>
        <v>Park #6</v>
      </c>
      <c r="C245" s="227" t="str">
        <f>'School Level Inst. Resources'!C245</f>
        <v>1506001</v>
      </c>
      <c r="D245" s="227" t="str">
        <f>'School Level Inst. Resources'!D245</f>
        <v>Eastside Elementary</v>
      </c>
      <c r="E245" s="228" t="str">
        <f>'School Level Inst. Resources'!E245</f>
        <v>K-5</v>
      </c>
      <c r="F245" s="229" t="str">
        <f>'School Level Inst. Resources'!H245</f>
        <v>E</v>
      </c>
      <c r="G245" s="229" t="s">
        <v>1158</v>
      </c>
      <c r="H245" s="207">
        <v>62232</v>
      </c>
      <c r="I245" s="207">
        <f>IF('SFD Allowable GSF Calculation'!$D$2=1,'SFD Allowable GSF Calculation'!$P245,'SFD Allowable GSF Calculation'!$X245)</f>
        <v>45366</v>
      </c>
      <c r="J245" s="194">
        <f>$I245*'Model Data Inputs'!$B$165</f>
        <v>52170.899999999994</v>
      </c>
      <c r="K245" s="194">
        <f>IF($L245&gt;='Model Data Inputs'!$B$164,$H245,MIN($H245,$J245))</f>
        <v>52170.899999999994</v>
      </c>
      <c r="L245" s="208">
        <v>1961</v>
      </c>
      <c r="M245" s="196">
        <f>IF($L245&gt;0,'Model Data Inputs'!$B$157-$L245,"")</f>
        <v>56</v>
      </c>
      <c r="N245" s="209">
        <v>31</v>
      </c>
      <c r="O245" s="198">
        <f>'School Level Inst. Resources'!$L245</f>
        <v>302.77199999999999</v>
      </c>
      <c r="P245" s="198">
        <f>IF($G245="T",SUMIFS('School Level ADM'!$S$5:$S$359,'School Level ADM'!$A$5:$A$359,$A245),0)</f>
        <v>2038.2146666666667</v>
      </c>
      <c r="Q245" s="199">
        <f t="shared" si="27"/>
        <v>0.14854765052552527</v>
      </c>
      <c r="R245" s="200">
        <f>SUM((('School Level Inst. Resources'!I245/'Model Data Inputs'!$B$8)*(1+'Model Data Inputs'!$B$9)),(SUM('School Level Inst. Resources'!J245:K245)/'Model Data Inputs'!$C$8)*(1+'Model Data Inputs'!$C$9),'School Level Inst. Resources'!K245/400)</f>
        <v>20.184799999999999</v>
      </c>
      <c r="S245" s="200">
        <f t="shared" si="28"/>
        <v>20.184799999999999</v>
      </c>
      <c r="T245" s="201">
        <f>IF($G245="T",VLOOKUP($A245,'Total O &amp; M Resources'!$A$5:$K$52,3),0)</f>
        <v>18085580.120000008</v>
      </c>
      <c r="U245" s="202">
        <f>IF($G245="F",0,$S245/'Model Data Inputs'!$B$140)</f>
        <v>1.5526769230769231</v>
      </c>
      <c r="V245" s="202">
        <f>IF($G245="F",0,$O245/'Model Data Inputs'!$B$141)</f>
        <v>0.93160615384615386</v>
      </c>
      <c r="W245" s="202">
        <f>IF($G245="F",0,$N245/'Model Data Inputs'!$B$142)</f>
        <v>2.3846153846153846</v>
      </c>
      <c r="X245" s="202">
        <f>IF($G245="F",0,$K245/'Model Data Inputs'!$B$143)</f>
        <v>2.8983833333333329</v>
      </c>
      <c r="Y245" s="202">
        <f t="shared" si="22"/>
        <v>1.9418204487179485</v>
      </c>
      <c r="Z245" s="202">
        <f>IF(OR($G245="F",$F245="E"),0,'Model Data Inputs'!$B$144)</f>
        <v>0</v>
      </c>
      <c r="AA245" s="202">
        <f>IF(AND($O245&lt;='Model Data Inputs'!$B$139,$F245="E"),0,IF(AND($O245&lt;='Model Data Inputs'!$B$139,$F245="M"),0,IF(AND($O245&lt;='Model Data Inputs'!$B$139,$F245="H"),0,IF(SUM($Y245:$Z245)&lt;1,1,SUM($Y245:$Z245)))))</f>
        <v>1.9418204487179485</v>
      </c>
      <c r="AB245" s="202">
        <f>($K245/'Model Data Inputs'!$B$143)*'Model Data Inputs'!$B$145</f>
        <v>0.28983833333333331</v>
      </c>
      <c r="AC245" s="202">
        <f t="shared" si="23"/>
        <v>2.2316587820512819</v>
      </c>
      <c r="AD245" s="202">
        <f>IF($G245="F",0,'Model Data Inputs'!$B$147)</f>
        <v>1.1000000000000001</v>
      </c>
      <c r="AE245" s="202">
        <f>IF($G245="F",0,($K245/'Model Data Inputs'!$B$148)*'Model Data Inputs'!$B$149)</f>
        <v>1.043418</v>
      </c>
      <c r="AF245" s="202">
        <f>IF($G245="F",0,($O245/'Model Data Inputs'!$B$150)*'Model Data Inputs'!$B$151)</f>
        <v>0.3936036</v>
      </c>
      <c r="AG245" s="202">
        <f>IF($G245="F",0,(($Q245*$T245)/'Model Data Inputs'!$B$152)*'Model Data Inputs'!$B$153)</f>
        <v>0.64477690445211566</v>
      </c>
      <c r="AH245" s="202">
        <f t="shared" si="24"/>
        <v>0.79544962611302894</v>
      </c>
      <c r="AI245" s="203">
        <f>IF(OR($G245="F",$F245="M",$F245="H"),0,($AH245*'Model Data Inputs'!$B$154)-$AH245)</f>
        <v>-0.15908992522260579</v>
      </c>
      <c r="AJ245" s="202">
        <f>IF(OR($G245="F",$F245="E",$F245="H"),0,($AH245*'Model Data Inputs'!$B$155)-$AH245)</f>
        <v>0</v>
      </c>
      <c r="AK245" s="203">
        <f>IF(OR($G245="F",$F245="E",$F245="M"),0,($AH245*'Model Data Inputs'!$B$156)-$AH245)</f>
        <v>0</v>
      </c>
      <c r="AL245" s="203">
        <f>IF($G245="F",0,IF($M245&lt;'Model Data Inputs'!$B$158,$AH245*('Model Data Inputs'!$B$159-1),0))</f>
        <v>0</v>
      </c>
      <c r="AM245" s="202">
        <f>IF($G245="F",0,IF($M245&gt;'Model Data Inputs'!$B$160,$AH245*('Model Data Inputs'!$B$161-1),0))</f>
        <v>7.9544962611302963E-2</v>
      </c>
      <c r="AN245" s="202">
        <f>IF($G245="F",0,IF($P245&lt;'Model Data Inputs'!$B$162,SUM($AH245,$AI245,$AJ245,$AK245,$AL245,$AM245)*('Model Data Inputs'!$B$163-1),0))</f>
        <v>0</v>
      </c>
      <c r="AO245" s="202">
        <f t="shared" si="25"/>
        <v>0.7159046635017261</v>
      </c>
      <c r="AP245" s="204">
        <f>$K245*'Model Data Inputs'!$B$166</f>
        <v>34954.502999999997</v>
      </c>
      <c r="AQ245" s="204">
        <f>($K245*'Model Data Inputs'!$B$145)*'Model Data Inputs'!$B$166</f>
        <v>3495.4503000000004</v>
      </c>
      <c r="AR245" s="50">
        <f t="shared" si="26"/>
        <v>38449.953299999994</v>
      </c>
    </row>
    <row r="246" spans="1:44" x14ac:dyDescent="0.2">
      <c r="A246" s="227" t="str">
        <f>'School Level Inst. Resources'!A246</f>
        <v>1506000</v>
      </c>
      <c r="B246" s="227" t="str">
        <f>'School Level Inst. Resources'!B246</f>
        <v>Park #6</v>
      </c>
      <c r="C246" s="227" t="str">
        <f>'School Level Inst. Resources'!C246</f>
        <v>1506002</v>
      </c>
      <c r="D246" s="227" t="str">
        <f>'School Level Inst. Resources'!D246</f>
        <v>Sunset Elementary</v>
      </c>
      <c r="E246" s="228" t="str">
        <f>'School Level Inst. Resources'!E246</f>
        <v>K-5</v>
      </c>
      <c r="F246" s="229" t="str">
        <f>'School Level Inst. Resources'!H246</f>
        <v>E</v>
      </c>
      <c r="G246" s="229" t="s">
        <v>1158</v>
      </c>
      <c r="H246" s="207">
        <v>60862</v>
      </c>
      <c r="I246" s="207">
        <f>IF('SFD Allowable GSF Calculation'!$D$2=1,'SFD Allowable GSF Calculation'!$P246,'SFD Allowable GSF Calculation'!$X246)</f>
        <v>46113</v>
      </c>
      <c r="J246" s="194">
        <f>$I246*'Model Data Inputs'!$B$165</f>
        <v>53029.95</v>
      </c>
      <c r="K246" s="194">
        <f>IF($L246&gt;='Model Data Inputs'!$B$164,$H246,MIN($H246,$J246))</f>
        <v>60862</v>
      </c>
      <c r="L246" s="208">
        <v>2010</v>
      </c>
      <c r="M246" s="196">
        <f>IF($L246&gt;0,'Model Data Inputs'!$B$157-$L246,"")</f>
        <v>7</v>
      </c>
      <c r="N246" s="209">
        <v>30</v>
      </c>
      <c r="O246" s="198">
        <f>'School Level Inst. Resources'!$L246</f>
        <v>314.0146666666667</v>
      </c>
      <c r="P246" s="198">
        <f>IF($G246="T",SUMIFS('School Level ADM'!$S$5:$S$359,'School Level ADM'!$A$5:$A$359,$A246),0)</f>
        <v>2038.2146666666667</v>
      </c>
      <c r="Q246" s="199">
        <f t="shared" si="27"/>
        <v>0.15406358898408479</v>
      </c>
      <c r="R246" s="200">
        <f>SUM((('School Level Inst. Resources'!I246/'Model Data Inputs'!$B$8)*(1+'Model Data Inputs'!$B$9)),(SUM('School Level Inst. Resources'!J246:K246)/'Model Data Inputs'!$C$8)*(1+'Model Data Inputs'!$C$9),'School Level Inst. Resources'!K246/400)</f>
        <v>20.934311111111111</v>
      </c>
      <c r="S246" s="200">
        <f t="shared" si="28"/>
        <v>20.934311111111111</v>
      </c>
      <c r="T246" s="201">
        <f>IF($G246="T",VLOOKUP($A246,'Total O &amp; M Resources'!$A$5:$K$52,3),0)</f>
        <v>18085580.120000008</v>
      </c>
      <c r="U246" s="202">
        <f>IF($G246="F",0,$S246/'Model Data Inputs'!$B$140)</f>
        <v>1.6103316239316239</v>
      </c>
      <c r="V246" s="202">
        <f>IF($G246="F",0,$O246/'Model Data Inputs'!$B$141)</f>
        <v>0.9661989743589745</v>
      </c>
      <c r="W246" s="202">
        <f>IF($G246="F",0,$N246/'Model Data Inputs'!$B$142)</f>
        <v>2.3076923076923075</v>
      </c>
      <c r="X246" s="202">
        <f>IF($G246="F",0,$K246/'Model Data Inputs'!$B$143)</f>
        <v>3.3812222222222221</v>
      </c>
      <c r="Y246" s="202">
        <f t="shared" si="22"/>
        <v>2.066361282051282</v>
      </c>
      <c r="Z246" s="202">
        <f>IF(OR($G246="F",$F246="E"),0,'Model Data Inputs'!$B$144)</f>
        <v>0</v>
      </c>
      <c r="AA246" s="202">
        <f>IF(AND($O246&lt;='Model Data Inputs'!$B$139,$F246="E"),0,IF(AND($O246&lt;='Model Data Inputs'!$B$139,$F246="M"),0,IF(AND($O246&lt;='Model Data Inputs'!$B$139,$F246="H"),0,IF(SUM($Y246:$Z246)&lt;1,1,SUM($Y246:$Z246)))))</f>
        <v>2.066361282051282</v>
      </c>
      <c r="AB246" s="202">
        <f>($K246/'Model Data Inputs'!$B$143)*'Model Data Inputs'!$B$145</f>
        <v>0.33812222222222221</v>
      </c>
      <c r="AC246" s="202">
        <f t="shared" si="23"/>
        <v>2.4044835042735042</v>
      </c>
      <c r="AD246" s="202">
        <f>IF($G246="F",0,'Model Data Inputs'!$B$147)</f>
        <v>1.1000000000000001</v>
      </c>
      <c r="AE246" s="202">
        <f>IF($G246="F",0,($K246/'Model Data Inputs'!$B$148)*'Model Data Inputs'!$B$149)</f>
        <v>1.2172399999999999</v>
      </c>
      <c r="AF246" s="202">
        <f>IF($G246="F",0,($O246/'Model Data Inputs'!$B$150)*'Model Data Inputs'!$B$151)</f>
        <v>0.40821906666666674</v>
      </c>
      <c r="AG246" s="202">
        <f>IF($G246="F",0,(($Q246*$T246)/'Model Data Inputs'!$B$152)*'Model Data Inputs'!$B$153)</f>
        <v>0.6687190517151399</v>
      </c>
      <c r="AH246" s="202">
        <f t="shared" si="24"/>
        <v>0.84854452959545168</v>
      </c>
      <c r="AI246" s="203">
        <f>IF(OR($G246="F",$F246="M",$F246="H"),0,($AH246*'Model Data Inputs'!$B$154)-$AH246)</f>
        <v>-0.16970890591909027</v>
      </c>
      <c r="AJ246" s="202">
        <f>IF(OR($G246="F",$F246="E",$F246="H"),0,($AH246*'Model Data Inputs'!$B$155)-$AH246)</f>
        <v>0</v>
      </c>
      <c r="AK246" s="203">
        <f>IF(OR($G246="F",$F246="E",$F246="M"),0,($AH246*'Model Data Inputs'!$B$156)-$AH246)</f>
        <v>0</v>
      </c>
      <c r="AL246" s="203">
        <f>IF($G246="F",0,IF($M246&lt;'Model Data Inputs'!$B$158,$AH246*('Model Data Inputs'!$B$159-1),0))</f>
        <v>-4.2427226479772623E-2</v>
      </c>
      <c r="AM246" s="202">
        <f>IF($G246="F",0,IF($M246&gt;'Model Data Inputs'!$B$160,$AH246*('Model Data Inputs'!$B$161-1),0))</f>
        <v>0</v>
      </c>
      <c r="AN246" s="202">
        <f>IF($G246="F",0,IF($P246&lt;'Model Data Inputs'!$B$162,SUM($AH246,$AI246,$AJ246,$AK246,$AL246,$AM246)*('Model Data Inputs'!$B$163-1),0))</f>
        <v>0</v>
      </c>
      <c r="AO246" s="202">
        <f t="shared" si="25"/>
        <v>0.63640839719658882</v>
      </c>
      <c r="AP246" s="204">
        <f>$K246*'Model Data Inputs'!$B$166</f>
        <v>40777.54</v>
      </c>
      <c r="AQ246" s="204">
        <f>($K246*'Model Data Inputs'!$B$145)*'Model Data Inputs'!$B$166</f>
        <v>4077.7540000000008</v>
      </c>
      <c r="AR246" s="50">
        <f t="shared" si="26"/>
        <v>44855.294000000002</v>
      </c>
    </row>
    <row r="247" spans="1:44" x14ac:dyDescent="0.2">
      <c r="A247" s="227" t="str">
        <f>'School Level Inst. Resources'!A247</f>
        <v>1506000</v>
      </c>
      <c r="B247" s="227" t="str">
        <f>'School Level Inst. Resources'!B247</f>
        <v>Park #6</v>
      </c>
      <c r="C247" s="227" t="str">
        <f>'School Level Inst. Resources'!C247</f>
        <v>1506003</v>
      </c>
      <c r="D247" s="227" t="str">
        <f>'School Level Inst. Resources'!D247</f>
        <v>Valley Elementary</v>
      </c>
      <c r="E247" s="228" t="str">
        <f>'School Level Inst. Resources'!E247</f>
        <v>K-5</v>
      </c>
      <c r="F247" s="229" t="str">
        <f>'School Level Inst. Resources'!H247</f>
        <v>E</v>
      </c>
      <c r="G247" s="229" t="s">
        <v>1158</v>
      </c>
      <c r="H247" s="207">
        <v>1093</v>
      </c>
      <c r="I247" s="207">
        <f>IF('SFD Allowable GSF Calculation'!$D$2=1,'SFD Allowable GSF Calculation'!$P247,'SFD Allowable GSF Calculation'!$X247)</f>
        <v>2915</v>
      </c>
      <c r="J247" s="194">
        <f>$I247*'Model Data Inputs'!$B$165</f>
        <v>3352.2499999999995</v>
      </c>
      <c r="K247" s="194">
        <f>IF($L247&gt;='Model Data Inputs'!$B$164,$H247,MIN($H247,$J247))</f>
        <v>1093</v>
      </c>
      <c r="L247" s="208">
        <v>1902</v>
      </c>
      <c r="M247" s="196">
        <f>IF($L247&gt;0,'Model Data Inputs'!$B$157-$L247,"")</f>
        <v>115</v>
      </c>
      <c r="N247" s="209">
        <v>2</v>
      </c>
      <c r="O247" s="198">
        <f>'School Level Inst. Resources'!$L247</f>
        <v>5.6316666666666659</v>
      </c>
      <c r="P247" s="198">
        <f>IF($G247="T",SUMIFS('School Level ADM'!$S$5:$S$359,'School Level ADM'!$A$5:$A$359,$A247),0)</f>
        <v>2038.2146666666667</v>
      </c>
      <c r="Q247" s="199">
        <f t="shared" si="27"/>
        <v>2.7630390256570942E-3</v>
      </c>
      <c r="R247" s="200">
        <f>SUM((('School Level Inst. Resources'!I247/'Model Data Inputs'!$B$8)*(1+'Model Data Inputs'!$B$9)),(SUM('School Level Inst. Resources'!J247:K247)/'Model Data Inputs'!$C$8)*(1+'Model Data Inputs'!$C$9),'School Level Inst. Resources'!K247/400)</f>
        <v>0.37544444444444441</v>
      </c>
      <c r="S247" s="200">
        <f t="shared" si="28"/>
        <v>0.37544444444444441</v>
      </c>
      <c r="T247" s="201">
        <f>IF($G247="T",VLOOKUP($A247,'Total O &amp; M Resources'!$A$5:$K$52,3),0)</f>
        <v>18085580.120000008</v>
      </c>
      <c r="U247" s="202">
        <f>IF($G247="F",0,$S247/'Model Data Inputs'!$B$140)</f>
        <v>2.888034188034188E-2</v>
      </c>
      <c r="V247" s="202">
        <f>IF($G247="F",0,$O247/'Model Data Inputs'!$B$141)</f>
        <v>1.7328205128205126E-2</v>
      </c>
      <c r="W247" s="202">
        <f>IF($G247="F",0,$N247/'Model Data Inputs'!$B$142)</f>
        <v>0.15384615384615385</v>
      </c>
      <c r="X247" s="202">
        <f>IF($G247="F",0,$K247/'Model Data Inputs'!$B$143)</f>
        <v>6.0722222222222219E-2</v>
      </c>
      <c r="Y247" s="202">
        <f t="shared" si="22"/>
        <v>6.5194230769230768E-2</v>
      </c>
      <c r="Z247" s="202">
        <f>IF(OR($G247="F",$F247="E"),0,'Model Data Inputs'!$B$144)</f>
        <v>0</v>
      </c>
      <c r="AA247" s="202">
        <f>IF(AND($O247&lt;='Model Data Inputs'!$B$139,$F247="E"),0,IF(AND($O247&lt;='Model Data Inputs'!$B$139,$F247="M"),0,IF(AND($O247&lt;='Model Data Inputs'!$B$139,$F247="H"),0,IF(SUM($Y247:$Z247)&lt;1,1,SUM($Y247:$Z247)))))</f>
        <v>0</v>
      </c>
      <c r="AB247" s="202">
        <f>($K247/'Model Data Inputs'!$B$143)*'Model Data Inputs'!$B$145</f>
        <v>6.0722222222222219E-3</v>
      </c>
      <c r="AC247" s="202">
        <f t="shared" si="23"/>
        <v>6.0722222222222219E-3</v>
      </c>
      <c r="AD247" s="202">
        <f>IF($G247="F",0,'Model Data Inputs'!$B$147)</f>
        <v>1.1000000000000001</v>
      </c>
      <c r="AE247" s="202">
        <f>IF($G247="F",0,($K247/'Model Data Inputs'!$B$148)*'Model Data Inputs'!$B$149)</f>
        <v>2.1859999999999997E-2</v>
      </c>
      <c r="AF247" s="202">
        <f>IF($G247="F",0,($O247/'Model Data Inputs'!$B$150)*'Model Data Inputs'!$B$151)</f>
        <v>7.3211666666666659E-3</v>
      </c>
      <c r="AG247" s="202">
        <f>IF($G247="F",0,(($Q247*$T247)/'Model Data Inputs'!$B$152)*'Model Data Inputs'!$B$153)</f>
        <v>1.1993079281569953E-2</v>
      </c>
      <c r="AH247" s="202">
        <f t="shared" si="24"/>
        <v>0.28529356148705914</v>
      </c>
      <c r="AI247" s="203">
        <f>IF(OR($G247="F",$F247="M",$F247="H"),0,($AH247*'Model Data Inputs'!$B$154)-$AH247)</f>
        <v>-5.7058712297411829E-2</v>
      </c>
      <c r="AJ247" s="202">
        <f>IF(OR($G247="F",$F247="E",$F247="H"),0,($AH247*'Model Data Inputs'!$B$155)-$AH247)</f>
        <v>0</v>
      </c>
      <c r="AK247" s="203">
        <f>IF(OR($G247="F",$F247="E",$F247="M"),0,($AH247*'Model Data Inputs'!$B$156)-$AH247)</f>
        <v>0</v>
      </c>
      <c r="AL247" s="203">
        <f>IF($G247="F",0,IF($M247&lt;'Model Data Inputs'!$B$158,$AH247*('Model Data Inputs'!$B$159-1),0))</f>
        <v>0</v>
      </c>
      <c r="AM247" s="202">
        <f>IF($G247="F",0,IF($M247&gt;'Model Data Inputs'!$B$160,$AH247*('Model Data Inputs'!$B$161-1),0))</f>
        <v>2.8529356148705939E-2</v>
      </c>
      <c r="AN247" s="202">
        <f>IF($G247="F",0,IF($P247&lt;'Model Data Inputs'!$B$162,SUM($AH247,$AI247,$AJ247,$AK247,$AL247,$AM247)*('Model Data Inputs'!$B$163-1),0))</f>
        <v>0</v>
      </c>
      <c r="AO247" s="202">
        <f t="shared" si="25"/>
        <v>0.25676420533835326</v>
      </c>
      <c r="AP247" s="204">
        <f>$K247*'Model Data Inputs'!$B$166</f>
        <v>732.31000000000006</v>
      </c>
      <c r="AQ247" s="204">
        <f>($K247*'Model Data Inputs'!$B$145)*'Model Data Inputs'!$B$166</f>
        <v>73.231000000000009</v>
      </c>
      <c r="AR247" s="50">
        <f t="shared" si="26"/>
        <v>805.54100000000005</v>
      </c>
    </row>
    <row r="248" spans="1:44" x14ac:dyDescent="0.2">
      <c r="A248" s="227" t="str">
        <f>'School Level Inst. Resources'!A248</f>
        <v>1506000</v>
      </c>
      <c r="B248" s="227" t="str">
        <f>'School Level Inst. Resources'!B248</f>
        <v>Park #6</v>
      </c>
      <c r="C248" s="227" t="str">
        <f>'School Level Inst. Resources'!C248</f>
        <v>1506004</v>
      </c>
      <c r="D248" s="227" t="str">
        <f>'School Level Inst. Resources'!D248</f>
        <v>Wapiti Elementary</v>
      </c>
      <c r="E248" s="228" t="str">
        <f>'School Level Inst. Resources'!E248</f>
        <v>K-5</v>
      </c>
      <c r="F248" s="229" t="str">
        <f>'School Level Inst. Resources'!H248</f>
        <v>E</v>
      </c>
      <c r="G248" s="229" t="s">
        <v>1158</v>
      </c>
      <c r="H248" s="207">
        <v>11432</v>
      </c>
      <c r="I248" s="207">
        <f>IF('SFD Allowable GSF Calculation'!$D$2=1,'SFD Allowable GSF Calculation'!$P248,'SFD Allowable GSF Calculation'!$X248)</f>
        <v>2915</v>
      </c>
      <c r="J248" s="194">
        <f>$I248*'Model Data Inputs'!$B$165</f>
        <v>3352.2499999999995</v>
      </c>
      <c r="K248" s="194">
        <f>IF($L248&gt;='Model Data Inputs'!$B$164,$H248,MIN($H248,$J248))</f>
        <v>3352.2499999999995</v>
      </c>
      <c r="L248" s="208">
        <v>1914</v>
      </c>
      <c r="M248" s="196">
        <f>IF($L248&gt;0,'Model Data Inputs'!$B$157-$L248,"")</f>
        <v>103</v>
      </c>
      <c r="N248" s="209">
        <v>4</v>
      </c>
      <c r="O248" s="198">
        <f>'School Level Inst. Resources'!$L248</f>
        <v>11.193333333333333</v>
      </c>
      <c r="P248" s="198">
        <f>IF($G248="T",SUMIFS('School Level ADM'!$S$5:$S$359,'School Level ADM'!$A$5:$A$359,$A248),0)</f>
        <v>2038.2146666666667</v>
      </c>
      <c r="Q248" s="199">
        <f t="shared" si="27"/>
        <v>5.4917342694030917E-3</v>
      </c>
      <c r="R248" s="200">
        <f>SUM((('School Level Inst. Resources'!I248/'Model Data Inputs'!$B$8)*(1+'Model Data Inputs'!$B$9)),(SUM('School Level Inst. Resources'!J248:K248)/'Model Data Inputs'!$C$8)*(1+'Model Data Inputs'!$C$9),'School Level Inst. Resources'!K248/400)</f>
        <v>0.74622222222222223</v>
      </c>
      <c r="S248" s="200">
        <f t="shared" si="28"/>
        <v>0.74622222222222223</v>
      </c>
      <c r="T248" s="201">
        <f>IF($G248="T",VLOOKUP($A248,'Total O &amp; M Resources'!$A$5:$K$52,3),0)</f>
        <v>18085580.120000008</v>
      </c>
      <c r="U248" s="202">
        <f>IF($G248="F",0,$S248/'Model Data Inputs'!$B$140)</f>
        <v>5.7401709401709404E-2</v>
      </c>
      <c r="V248" s="202">
        <f>IF($G248="F",0,$O248/'Model Data Inputs'!$B$141)</f>
        <v>3.4441025641025642E-2</v>
      </c>
      <c r="W248" s="202">
        <f>IF($G248="F",0,$N248/'Model Data Inputs'!$B$142)</f>
        <v>0.30769230769230771</v>
      </c>
      <c r="X248" s="202">
        <f>IF($G248="F",0,$K248/'Model Data Inputs'!$B$143)</f>
        <v>0.18623611111111107</v>
      </c>
      <c r="Y248" s="202">
        <f t="shared" si="22"/>
        <v>0.14644278846153846</v>
      </c>
      <c r="Z248" s="202">
        <f>IF(OR($G248="F",$F248="E"),0,'Model Data Inputs'!$B$144)</f>
        <v>0</v>
      </c>
      <c r="AA248" s="202">
        <f>IF(AND($O248&lt;='Model Data Inputs'!$B$139,$F248="E"),0,IF(AND($O248&lt;='Model Data Inputs'!$B$139,$F248="M"),0,IF(AND($O248&lt;='Model Data Inputs'!$B$139,$F248="H"),0,IF(SUM($Y248:$Z248)&lt;1,1,SUM($Y248:$Z248)))))</f>
        <v>0</v>
      </c>
      <c r="AB248" s="202">
        <f>($K248/'Model Data Inputs'!$B$143)*'Model Data Inputs'!$B$145</f>
        <v>1.8623611111111108E-2</v>
      </c>
      <c r="AC248" s="202">
        <f t="shared" si="23"/>
        <v>1.8623611111111108E-2</v>
      </c>
      <c r="AD248" s="202">
        <f>IF($G248="F",0,'Model Data Inputs'!$B$147)</f>
        <v>1.1000000000000001</v>
      </c>
      <c r="AE248" s="202">
        <f>IF($G248="F",0,($K248/'Model Data Inputs'!$B$148)*'Model Data Inputs'!$B$149)</f>
        <v>6.7044999999999993E-2</v>
      </c>
      <c r="AF248" s="202">
        <f>IF($G248="F",0,($O248/'Model Data Inputs'!$B$150)*'Model Data Inputs'!$B$151)</f>
        <v>1.4551333333333333E-2</v>
      </c>
      <c r="AG248" s="202">
        <f>IF($G248="F",0,(($Q248*$T248)/'Model Data Inputs'!$B$152)*'Model Data Inputs'!$B$153)</f>
        <v>2.3837088030489437E-2</v>
      </c>
      <c r="AH248" s="202">
        <f t="shared" si="24"/>
        <v>0.30135835534095573</v>
      </c>
      <c r="AI248" s="203">
        <f>IF(OR($G248="F",$F248="M",$F248="H"),0,($AH248*'Model Data Inputs'!$B$154)-$AH248)</f>
        <v>-6.0271671068191146E-2</v>
      </c>
      <c r="AJ248" s="202">
        <f>IF(OR($G248="F",$F248="E",$F248="H"),0,($AH248*'Model Data Inputs'!$B$155)-$AH248)</f>
        <v>0</v>
      </c>
      <c r="AK248" s="203">
        <f>IF(OR($G248="F",$F248="E",$F248="M"),0,($AH248*'Model Data Inputs'!$B$156)-$AH248)</f>
        <v>0</v>
      </c>
      <c r="AL248" s="203">
        <f>IF($G248="F",0,IF($M248&lt;'Model Data Inputs'!$B$158,$AH248*('Model Data Inputs'!$B$159-1),0))</f>
        <v>0</v>
      </c>
      <c r="AM248" s="202">
        <f>IF($G248="F",0,IF($M248&gt;'Model Data Inputs'!$B$160,$AH248*('Model Data Inputs'!$B$161-1),0))</f>
        <v>3.0135835534095601E-2</v>
      </c>
      <c r="AN248" s="202">
        <f>IF($G248="F",0,IF($P248&lt;'Model Data Inputs'!$B$162,SUM($AH248,$AI248,$AJ248,$AK248,$AL248,$AM248)*('Model Data Inputs'!$B$163-1),0))</f>
        <v>0</v>
      </c>
      <c r="AO248" s="202">
        <f t="shared" si="25"/>
        <v>0.27122251980686019</v>
      </c>
      <c r="AP248" s="204">
        <f>$K248*'Model Data Inputs'!$B$166</f>
        <v>2246.0074999999997</v>
      </c>
      <c r="AQ248" s="204">
        <f>($K248*'Model Data Inputs'!$B$145)*'Model Data Inputs'!$B$166</f>
        <v>224.60074999999998</v>
      </c>
      <c r="AR248" s="50">
        <f t="shared" si="26"/>
        <v>2470.6082499999998</v>
      </c>
    </row>
    <row r="249" spans="1:44" x14ac:dyDescent="0.2">
      <c r="A249" s="227" t="str">
        <f>'School Level Inst. Resources'!A249</f>
        <v>1506000</v>
      </c>
      <c r="B249" s="227" t="str">
        <f>'School Level Inst. Resources'!B249</f>
        <v>Park #6</v>
      </c>
      <c r="C249" s="227" t="str">
        <f>'School Level Inst. Resources'!C249</f>
        <v>1506005</v>
      </c>
      <c r="D249" s="227" t="str">
        <f>'School Level Inst. Resources'!D249</f>
        <v>Glenn Livingston Elementary</v>
      </c>
      <c r="E249" s="228" t="str">
        <f>'School Level Inst. Resources'!E249</f>
        <v>K-5</v>
      </c>
      <c r="F249" s="229" t="str">
        <f>'School Level Inst. Resources'!H249</f>
        <v>E</v>
      </c>
      <c r="G249" s="229" t="s">
        <v>1158</v>
      </c>
      <c r="H249" s="207">
        <v>64760</v>
      </c>
      <c r="I249" s="207">
        <f>IF('SFD Allowable GSF Calculation'!$D$2=1,'SFD Allowable GSF Calculation'!$P249,'SFD Allowable GSF Calculation'!$X249)</f>
        <v>46099</v>
      </c>
      <c r="J249" s="194">
        <f>$I249*'Model Data Inputs'!$B$165</f>
        <v>53013.85</v>
      </c>
      <c r="K249" s="194">
        <f>IF($L249&gt;='Model Data Inputs'!$B$164,$H249,MIN($H249,$J249))</f>
        <v>53013.85</v>
      </c>
      <c r="L249" s="208">
        <v>1978</v>
      </c>
      <c r="M249" s="196">
        <f>IF($L249&gt;0,'Model Data Inputs'!$B$157-$L249,"")</f>
        <v>39</v>
      </c>
      <c r="N249" s="209">
        <v>28</v>
      </c>
      <c r="O249" s="198">
        <f>'School Level Inst. Resources'!$L249</f>
        <v>322.27099999999996</v>
      </c>
      <c r="P249" s="198">
        <f>IF($G249="T",SUMIFS('School Level ADM'!$S$5:$S$359,'School Level ADM'!$A$5:$A$359,$A249),0)</f>
        <v>2038.2146666666667</v>
      </c>
      <c r="Q249" s="199">
        <f t="shared" si="27"/>
        <v>0.15811435628958936</v>
      </c>
      <c r="R249" s="200">
        <f>SUM((('School Level Inst. Resources'!I249/'Model Data Inputs'!$B$8)*(1+'Model Data Inputs'!$B$9)),(SUM('School Level Inst. Resources'!J249:K249)/'Model Data Inputs'!$C$8)*(1+'Model Data Inputs'!$C$9),'School Level Inst. Resources'!K249/400)</f>
        <v>21.484733333333327</v>
      </c>
      <c r="S249" s="200">
        <f t="shared" si="28"/>
        <v>21.484733333333327</v>
      </c>
      <c r="T249" s="201">
        <f>IF($G249="T",VLOOKUP($A249,'Total O &amp; M Resources'!$A$5:$K$52,3),0)</f>
        <v>18085580.120000008</v>
      </c>
      <c r="U249" s="202">
        <f>IF($G249="F",0,$S249/'Model Data Inputs'!$B$140)</f>
        <v>1.6526717948717944</v>
      </c>
      <c r="V249" s="202">
        <f>IF($G249="F",0,$O249/'Model Data Inputs'!$B$141)</f>
        <v>0.99160307692307681</v>
      </c>
      <c r="W249" s="202">
        <f>IF($G249="F",0,$N249/'Model Data Inputs'!$B$142)</f>
        <v>2.1538461538461537</v>
      </c>
      <c r="X249" s="202">
        <f>IF($G249="F",0,$K249/'Model Data Inputs'!$B$143)</f>
        <v>2.945213888888889</v>
      </c>
      <c r="Y249" s="202">
        <f t="shared" si="22"/>
        <v>1.9358337286324785</v>
      </c>
      <c r="Z249" s="202">
        <f>IF(OR($G249="F",$F249="E"),0,'Model Data Inputs'!$B$144)</f>
        <v>0</v>
      </c>
      <c r="AA249" s="202">
        <f>IF(AND($O249&lt;='Model Data Inputs'!$B$139,$F249="E"),0,IF(AND($O249&lt;='Model Data Inputs'!$B$139,$F249="M"),0,IF(AND($O249&lt;='Model Data Inputs'!$B$139,$F249="H"),0,IF(SUM($Y249:$Z249)&lt;1,1,SUM($Y249:$Z249)))))</f>
        <v>1.9358337286324785</v>
      </c>
      <c r="AB249" s="202">
        <f>($K249/'Model Data Inputs'!$B$143)*'Model Data Inputs'!$B$145</f>
        <v>0.2945213888888889</v>
      </c>
      <c r="AC249" s="202">
        <f t="shared" si="23"/>
        <v>2.2303551175213672</v>
      </c>
      <c r="AD249" s="202">
        <f>IF($G249="F",0,'Model Data Inputs'!$B$147)</f>
        <v>1.1000000000000001</v>
      </c>
      <c r="AE249" s="202">
        <f>IF($G249="F",0,($K249/'Model Data Inputs'!$B$148)*'Model Data Inputs'!$B$149)</f>
        <v>1.0602769999999999</v>
      </c>
      <c r="AF249" s="202">
        <f>IF($G249="F",0,($O249/'Model Data Inputs'!$B$150)*'Model Data Inputs'!$B$151)</f>
        <v>0.4189523</v>
      </c>
      <c r="AG249" s="202">
        <f>IF($G249="F",0,(($Q249*$T249)/'Model Data Inputs'!$B$152)*'Model Data Inputs'!$B$153)</f>
        <v>0.68630156611142301</v>
      </c>
      <c r="AH249" s="202">
        <f t="shared" si="24"/>
        <v>0.81638271652785566</v>
      </c>
      <c r="AI249" s="203">
        <f>IF(OR($G249="F",$F249="M",$F249="H"),0,($AH249*'Model Data Inputs'!$B$154)-$AH249)</f>
        <v>-0.16327654330557106</v>
      </c>
      <c r="AJ249" s="202">
        <f>IF(OR($G249="F",$F249="E",$F249="H"),0,($AH249*'Model Data Inputs'!$B$155)-$AH249)</f>
        <v>0</v>
      </c>
      <c r="AK249" s="203">
        <f>IF(OR($G249="F",$F249="E",$F249="M"),0,($AH249*'Model Data Inputs'!$B$156)-$AH249)</f>
        <v>0</v>
      </c>
      <c r="AL249" s="203">
        <f>IF($G249="F",0,IF($M249&lt;'Model Data Inputs'!$B$158,$AH249*('Model Data Inputs'!$B$159-1),0))</f>
        <v>0</v>
      </c>
      <c r="AM249" s="202">
        <f>IF($G249="F",0,IF($M249&gt;'Model Data Inputs'!$B$160,$AH249*('Model Data Inputs'!$B$161-1),0))</f>
        <v>8.1638271652785643E-2</v>
      </c>
      <c r="AN249" s="202">
        <f>IF($G249="F",0,IF($P249&lt;'Model Data Inputs'!$B$162,SUM($AH249,$AI249,$AJ249,$AK249,$AL249,$AM249)*('Model Data Inputs'!$B$163-1),0))</f>
        <v>0</v>
      </c>
      <c r="AO249" s="202">
        <f t="shared" si="25"/>
        <v>0.73474444487507018</v>
      </c>
      <c r="AP249" s="204">
        <f>$K249*'Model Data Inputs'!$B$166</f>
        <v>35519.279500000004</v>
      </c>
      <c r="AQ249" s="204">
        <f>($K249*'Model Data Inputs'!$B$145)*'Model Data Inputs'!$B$166</f>
        <v>3551.9279500000002</v>
      </c>
      <c r="AR249" s="50">
        <f t="shared" si="26"/>
        <v>39071.207450000002</v>
      </c>
    </row>
    <row r="250" spans="1:44" x14ac:dyDescent="0.2">
      <c r="A250" s="227" t="str">
        <f>'School Level Inst. Resources'!A250</f>
        <v>1506000</v>
      </c>
      <c r="B250" s="227" t="str">
        <f>'School Level Inst. Resources'!B250</f>
        <v>Park #6</v>
      </c>
      <c r="C250" s="227" t="str">
        <f>'School Level Inst. Resources'!C250</f>
        <v>1506050</v>
      </c>
      <c r="D250" s="227" t="str">
        <f>'School Level Inst. Resources'!D250</f>
        <v>Cody Middle School</v>
      </c>
      <c r="E250" s="228" t="str">
        <f>'School Level Inst. Resources'!E250</f>
        <v>6-8</v>
      </c>
      <c r="F250" s="229" t="str">
        <f>'School Level Inst. Resources'!H250</f>
        <v>M</v>
      </c>
      <c r="G250" s="229" t="s">
        <v>1158</v>
      </c>
      <c r="H250" s="207">
        <v>116701</v>
      </c>
      <c r="I250" s="207">
        <f>IF('SFD Allowable GSF Calculation'!$D$2=1,'SFD Allowable GSF Calculation'!$P250,'SFD Allowable GSF Calculation'!$X250)</f>
        <v>79992</v>
      </c>
      <c r="J250" s="194">
        <f>$I250*'Model Data Inputs'!$B$165</f>
        <v>91990.799999999988</v>
      </c>
      <c r="K250" s="194">
        <f>IF($L250&gt;='Model Data Inputs'!$B$164,$H250,MIN($H250,$J250))</f>
        <v>91990.799999999988</v>
      </c>
      <c r="L250" s="208">
        <v>1996</v>
      </c>
      <c r="M250" s="196">
        <f>IF($L250&gt;0,'Model Data Inputs'!$B$157-$L250,"")</f>
        <v>21</v>
      </c>
      <c r="N250" s="209">
        <v>52</v>
      </c>
      <c r="O250" s="198">
        <f>'School Level Inst. Resources'!$L250</f>
        <v>465.44800000000004</v>
      </c>
      <c r="P250" s="198">
        <f>IF($G250="T",SUMIFS('School Level ADM'!$S$5:$S$359,'School Level ADM'!$A$5:$A$359,$A250),0)</f>
        <v>2038.2146666666667</v>
      </c>
      <c r="Q250" s="199">
        <f t="shared" si="27"/>
        <v>0.22836063718509206</v>
      </c>
      <c r="R250" s="200">
        <f>SUM((('School Level Inst. Resources'!I250/'Model Data Inputs'!$B$8)*(1+'Model Data Inputs'!$B$9)),(SUM('School Level Inst. Resources'!J250:K250)/'Model Data Inputs'!$C$8)*(1+'Model Data Inputs'!$C$9),'School Level Inst. Resources'!K250/400)</f>
        <v>26.975747130434783</v>
      </c>
      <c r="S250" s="200">
        <f t="shared" si="28"/>
        <v>26.975747130434783</v>
      </c>
      <c r="T250" s="201">
        <f>IF($G250="T",VLOOKUP($A250,'Total O &amp; M Resources'!$A$5:$K$52,3),0)</f>
        <v>18085580.120000008</v>
      </c>
      <c r="U250" s="202">
        <f>IF($G250="F",0,$S250/'Model Data Inputs'!$B$140)</f>
        <v>2.0750574715719066</v>
      </c>
      <c r="V250" s="202">
        <f>IF($G250="F",0,$O250/'Model Data Inputs'!$B$141)</f>
        <v>1.4321476923076923</v>
      </c>
      <c r="W250" s="202">
        <f>IF($G250="F",0,$N250/'Model Data Inputs'!$B$142)</f>
        <v>4</v>
      </c>
      <c r="X250" s="202">
        <f>IF($G250="F",0,$K250/'Model Data Inputs'!$B$143)</f>
        <v>5.1105999999999989</v>
      </c>
      <c r="Y250" s="202">
        <f t="shared" si="22"/>
        <v>3.1544512909698996</v>
      </c>
      <c r="Z250" s="202">
        <f>IF(OR($G250="F",$F250="E"),0,'Model Data Inputs'!$B$144)</f>
        <v>0.5</v>
      </c>
      <c r="AA250" s="202">
        <f>IF(AND($O250&lt;='Model Data Inputs'!$B$139,$F250="E"),0,IF(AND($O250&lt;='Model Data Inputs'!$B$139,$F250="M"),0,IF(AND($O250&lt;='Model Data Inputs'!$B$139,$F250="H"),0,IF(SUM($Y250:$Z250)&lt;1,1,SUM($Y250:$Z250)))))</f>
        <v>3.6544512909698996</v>
      </c>
      <c r="AB250" s="202">
        <f>($K250/'Model Data Inputs'!$B$143)*'Model Data Inputs'!$B$145</f>
        <v>0.51105999999999996</v>
      </c>
      <c r="AC250" s="202">
        <f t="shared" si="23"/>
        <v>4.1655112909698992</v>
      </c>
      <c r="AD250" s="202">
        <f>IF($G250="F",0,'Model Data Inputs'!$B$147)</f>
        <v>1.1000000000000001</v>
      </c>
      <c r="AE250" s="202">
        <f>IF($G250="F",0,($K250/'Model Data Inputs'!$B$148)*'Model Data Inputs'!$B$149)</f>
        <v>1.8398159999999997</v>
      </c>
      <c r="AF250" s="202">
        <f>IF($G250="F",0,($O250/'Model Data Inputs'!$B$150)*'Model Data Inputs'!$B$151)</f>
        <v>0.60508240000000002</v>
      </c>
      <c r="AG250" s="202">
        <f>IF($G250="F",0,(($Q250*$T250)/'Model Data Inputs'!$B$152)*'Model Data Inputs'!$B$153)</f>
        <v>0.99120830401565652</v>
      </c>
      <c r="AH250" s="202">
        <f t="shared" si="24"/>
        <v>1.1340266760039142</v>
      </c>
      <c r="AI250" s="203">
        <f>IF(OR($G250="F",$F250="M",$F250="H"),0,($AH250*'Model Data Inputs'!$B$154)-$AH250)</f>
        <v>0</v>
      </c>
      <c r="AJ250" s="202">
        <f>IF(OR($G250="F",$F250="E",$F250="H"),0,($AH250*'Model Data Inputs'!$B$155)-$AH250)</f>
        <v>0</v>
      </c>
      <c r="AK250" s="203">
        <f>IF(OR($G250="F",$F250="E",$F250="M"),0,($AH250*'Model Data Inputs'!$B$156)-$AH250)</f>
        <v>0</v>
      </c>
      <c r="AL250" s="203">
        <f>IF($G250="F",0,IF($M250&lt;'Model Data Inputs'!$B$158,$AH250*('Model Data Inputs'!$B$159-1),0))</f>
        <v>0</v>
      </c>
      <c r="AM250" s="202">
        <f>IF($G250="F",0,IF($M250&gt;'Model Data Inputs'!$B$160,$AH250*('Model Data Inputs'!$B$161-1),0))</f>
        <v>0</v>
      </c>
      <c r="AN250" s="202">
        <f>IF($G250="F",0,IF($P250&lt;'Model Data Inputs'!$B$162,SUM($AH250,$AI250,$AJ250,$AK250,$AL250,$AM250)*('Model Data Inputs'!$B$163-1),0))</f>
        <v>0</v>
      </c>
      <c r="AO250" s="202">
        <f t="shared" si="25"/>
        <v>1.1340266760039142</v>
      </c>
      <c r="AP250" s="204">
        <f>$K250*'Model Data Inputs'!$B$166</f>
        <v>61633.835999999996</v>
      </c>
      <c r="AQ250" s="204">
        <f>($K250*'Model Data Inputs'!$B$145)*'Model Data Inputs'!$B$166</f>
        <v>6163.3836000000001</v>
      </c>
      <c r="AR250" s="50">
        <f t="shared" si="26"/>
        <v>67797.219599999997</v>
      </c>
    </row>
    <row r="251" spans="1:44" s="255" customFormat="1" x14ac:dyDescent="0.2">
      <c r="A251" s="227" t="str">
        <f>'School Level Inst. Resources'!A251</f>
        <v>1506000</v>
      </c>
      <c r="B251" s="227" t="str">
        <f>'School Level Inst. Resources'!B251</f>
        <v>Park #6</v>
      </c>
      <c r="C251" s="227" t="str">
        <f>'School Level Inst. Resources'!C251</f>
        <v>1506055</v>
      </c>
      <c r="D251" s="227" t="str">
        <f>'School Level Inst. Resources'!D251</f>
        <v>Cody High School</v>
      </c>
      <c r="E251" s="228" t="str">
        <f>'School Level Inst. Resources'!E251</f>
        <v>9-12</v>
      </c>
      <c r="F251" s="245" t="str">
        <f>'School Level Inst. Resources'!H251</f>
        <v>H</v>
      </c>
      <c r="G251" s="245" t="s">
        <v>1158</v>
      </c>
      <c r="H251" s="207">
        <v>281756</v>
      </c>
      <c r="I251" s="207">
        <f>IF('SFD Allowable GSF Calculation'!$D$2=1,'SFD Allowable GSF Calculation'!$P251,'SFD Allowable GSF Calculation'!$X251)</f>
        <v>119924</v>
      </c>
      <c r="J251" s="246">
        <f>$I251*'Model Data Inputs'!$B$165</f>
        <v>137912.59999999998</v>
      </c>
      <c r="K251" s="246">
        <f>IF($L251&gt;='Model Data Inputs'!$B$164,$H251,MIN($H251,$J251))</f>
        <v>137912.59999999998</v>
      </c>
      <c r="L251" s="208">
        <v>1952</v>
      </c>
      <c r="M251" s="196">
        <f>IF($L251&gt;0,'Model Data Inputs'!$B$157-$L251,"")</f>
        <v>65</v>
      </c>
      <c r="N251" s="209">
        <v>69</v>
      </c>
      <c r="O251" s="198">
        <f>'School Level Inst. Resources'!$L251</f>
        <v>589.57433333333324</v>
      </c>
      <c r="P251" s="247">
        <f>IF($G251="T",SUMIFS('School Level ADM'!$S$5:$S$359,'School Level ADM'!$A$5:$A$359,$A251),0)</f>
        <v>2038.2146666666667</v>
      </c>
      <c r="Q251" s="248">
        <f t="shared" si="27"/>
        <v>0.2892601760625802</v>
      </c>
      <c r="R251" s="200">
        <f>SUM((('School Level Inst. Resources'!I251/'Model Data Inputs'!$B$8)*(1+'Model Data Inputs'!$B$9)),(SUM('School Level Inst. Resources'!J251:K251)/'Model Data Inputs'!$C$8)*(1+'Model Data Inputs'!$C$9),'School Level Inst. Resources'!K251/400)</f>
        <v>35.643613499999994</v>
      </c>
      <c r="S251" s="200">
        <f t="shared" si="28"/>
        <v>35.643613499999994</v>
      </c>
      <c r="T251" s="250">
        <f>IF($G251="T",VLOOKUP($A251,'Total O &amp; M Resources'!$A$5:$K$52,3),0)</f>
        <v>18085580.120000008</v>
      </c>
      <c r="U251" s="251">
        <f>IF($G251="F",0,$S251/'Model Data Inputs'!$B$140)</f>
        <v>2.7418164230769224</v>
      </c>
      <c r="V251" s="251">
        <f>IF($G251="F",0,$O251/'Model Data Inputs'!$B$141)</f>
        <v>1.8140748717948716</v>
      </c>
      <c r="W251" s="251">
        <f>IF($G251="F",0,$N251/'Model Data Inputs'!$B$142)</f>
        <v>5.3076923076923075</v>
      </c>
      <c r="X251" s="251">
        <f>IF($G251="F",0,$K251/'Model Data Inputs'!$B$143)</f>
        <v>7.6618111111111098</v>
      </c>
      <c r="Y251" s="251">
        <f t="shared" si="22"/>
        <v>4.3813486784188029</v>
      </c>
      <c r="Z251" s="251">
        <f>IF(OR($G251="F",$F251="E"),0,'Model Data Inputs'!$B$144)</f>
        <v>0.5</v>
      </c>
      <c r="AA251" s="251">
        <f>IF(AND($O251&lt;='Model Data Inputs'!$B$139,$F251="E"),0,IF(AND($O251&lt;='Model Data Inputs'!$B$139,$F251="M"),0,IF(AND($O251&lt;='Model Data Inputs'!$B$139,$F251="H"),0,IF(SUM($Y251:$Z251)&lt;1,1,SUM($Y251:$Z251)))))</f>
        <v>4.8813486784188029</v>
      </c>
      <c r="AB251" s="251">
        <f>($K251/'Model Data Inputs'!$B$143)*'Model Data Inputs'!$B$145</f>
        <v>0.76618111111111098</v>
      </c>
      <c r="AC251" s="251">
        <f t="shared" si="23"/>
        <v>5.6475297895299139</v>
      </c>
      <c r="AD251" s="251">
        <f>IF($G251="F",0,'Model Data Inputs'!$B$147)</f>
        <v>1.1000000000000001</v>
      </c>
      <c r="AE251" s="251">
        <f>IF($G251="F",0,($K251/'Model Data Inputs'!$B$148)*'Model Data Inputs'!$B$149)</f>
        <v>2.7582519999999993</v>
      </c>
      <c r="AF251" s="251">
        <f>IF($G251="F",0,($O251/'Model Data Inputs'!$B$150)*'Model Data Inputs'!$B$151)</f>
        <v>0.76644663333333318</v>
      </c>
      <c r="AG251" s="251">
        <f>IF($G251="F",0,(($Q251*$T251)/'Model Data Inputs'!$B$152)*'Model Data Inputs'!$B$153)</f>
        <v>1.2555451415292247</v>
      </c>
      <c r="AH251" s="251">
        <f t="shared" si="24"/>
        <v>1.4700609437156393</v>
      </c>
      <c r="AI251" s="252">
        <f>IF(OR($G251="F",$F251="M",$F251="H"),0,($AH251*'Model Data Inputs'!$B$154)-$AH251)</f>
        <v>0</v>
      </c>
      <c r="AJ251" s="251">
        <f>IF(OR($G251="F",$F251="E",$F251="H"),0,($AH251*'Model Data Inputs'!$B$155)-$AH251)</f>
        <v>0</v>
      </c>
      <c r="AK251" s="252">
        <f>IF(OR($G251="F",$F251="E",$F251="M"),0,($AH251*'Model Data Inputs'!$B$156)-$AH251)</f>
        <v>1.4700609437156393</v>
      </c>
      <c r="AL251" s="252">
        <f>IF($G251="F",0,IF($M251&lt;'Model Data Inputs'!$B$158,$AH251*('Model Data Inputs'!$B$159-1),0))</f>
        <v>0</v>
      </c>
      <c r="AM251" s="251">
        <f>IF($G251="F",0,IF($M251&gt;'Model Data Inputs'!$B$160,$AH251*('Model Data Inputs'!$B$161-1),0))</f>
        <v>0.14700609437156406</v>
      </c>
      <c r="AN251" s="251">
        <f>IF($G251="F",0,IF($P251&lt;'Model Data Inputs'!$B$162,SUM($AH251,$AI251,$AJ251,$AK251,$AL251,$AM251)*('Model Data Inputs'!$B$163-1),0))</f>
        <v>0</v>
      </c>
      <c r="AO251" s="251">
        <f t="shared" si="25"/>
        <v>3.0871279818028428</v>
      </c>
      <c r="AP251" s="253">
        <f>$K251*'Model Data Inputs'!$B$166</f>
        <v>92401.441999999995</v>
      </c>
      <c r="AQ251" s="253">
        <f>($K251*'Model Data Inputs'!$B$145)*'Model Data Inputs'!$B$166</f>
        <v>9240.1441999999988</v>
      </c>
      <c r="AR251" s="254">
        <f t="shared" si="26"/>
        <v>101641.58619999999</v>
      </c>
    </row>
    <row r="252" spans="1:44" s="255" customFormat="1" x14ac:dyDescent="0.2">
      <c r="A252" s="227" t="str">
        <f>'School Level Inst. Resources'!A252</f>
        <v>1506000</v>
      </c>
      <c r="B252" s="227" t="str">
        <f>'School Level Inst. Resources'!B252</f>
        <v>Park #6</v>
      </c>
      <c r="C252" s="227" t="str">
        <f>'School Level Inst. Resources'!C252</f>
        <v>1506056</v>
      </c>
      <c r="D252" s="227" t="str">
        <f>'School Level Inst. Resources'!D252</f>
        <v>Heart Mountain Academy</v>
      </c>
      <c r="E252" s="228" t="str">
        <f>'School Level Inst. Resources'!E252</f>
        <v>9-12</v>
      </c>
      <c r="F252" s="245" t="str">
        <f>'School Level Inst. Resources'!H252</f>
        <v>H</v>
      </c>
      <c r="G252" s="245" t="s">
        <v>1158</v>
      </c>
      <c r="H252" s="207">
        <v>4593</v>
      </c>
      <c r="I252" s="207">
        <f>IF('SFD Allowable GSF Calculation'!$D$2=1,'SFD Allowable GSF Calculation'!$P252,'SFD Allowable GSF Calculation'!$X252)</f>
        <v>9031</v>
      </c>
      <c r="J252" s="246">
        <f>$I252*'Model Data Inputs'!$B$165</f>
        <v>10385.65</v>
      </c>
      <c r="K252" s="246">
        <f>IF($L252&gt;='Model Data Inputs'!$B$164,$H252,MIN($H252,$J252))</f>
        <v>4593</v>
      </c>
      <c r="L252" s="208">
        <v>1948</v>
      </c>
      <c r="M252" s="196">
        <f>IF($L252&gt;0,'Model Data Inputs'!$B$157-$L252,"")</f>
        <v>69</v>
      </c>
      <c r="N252" s="209">
        <v>13</v>
      </c>
      <c r="O252" s="198">
        <f>'School Level Inst. Resources'!$L252</f>
        <v>27.309666666666665</v>
      </c>
      <c r="P252" s="247">
        <f>IF($G252="T",SUMIFS('School Level ADM'!$S$5:$S$359,'School Level ADM'!$A$5:$A$359,$A252),0)</f>
        <v>2038.2146666666667</v>
      </c>
      <c r="Q252" s="248">
        <f t="shared" si="27"/>
        <v>1.3398817658068073E-2</v>
      </c>
      <c r="R252" s="200">
        <f>SUM((('School Level Inst. Resources'!I252/'Model Data Inputs'!$B$8)*(1+'Model Data Inputs'!$B$9)),(SUM('School Level Inst. Resources'!J252:K252)/'Model Data Inputs'!$C$8)*(1+'Model Data Inputs'!$C$9),'School Level Inst. Resources'!K252/400)</f>
        <v>1.6510474565217388</v>
      </c>
      <c r="S252" s="200">
        <f t="shared" si="28"/>
        <v>1.6510474565217388</v>
      </c>
      <c r="T252" s="250">
        <f>IF($G252="T",VLOOKUP($A252,'Total O &amp; M Resources'!$A$5:$K$52,3),0)</f>
        <v>18085580.120000008</v>
      </c>
      <c r="U252" s="251">
        <f>IF($G252="F",0,$S252/'Model Data Inputs'!$B$140)</f>
        <v>0.12700365050167223</v>
      </c>
      <c r="V252" s="251">
        <f>IF($G252="F",0,$O252/'Model Data Inputs'!$B$141)</f>
        <v>8.4029743589743591E-2</v>
      </c>
      <c r="W252" s="251">
        <f>IF($G252="F",0,$N252/'Model Data Inputs'!$B$142)</f>
        <v>1</v>
      </c>
      <c r="X252" s="251">
        <f>IF($G252="F",0,$K252/'Model Data Inputs'!$B$143)</f>
        <v>0.25516666666666665</v>
      </c>
      <c r="Y252" s="251">
        <f t="shared" si="22"/>
        <v>0.36655001518952057</v>
      </c>
      <c r="Z252" s="251">
        <f>IF(OR($G252="F",$F252="E"),0,'Model Data Inputs'!$B$144)</f>
        <v>0.5</v>
      </c>
      <c r="AA252" s="251">
        <f>IF(AND($O252&lt;='Model Data Inputs'!$B$139,$F252="E"),0,IF(AND($O252&lt;='Model Data Inputs'!$B$139,$F252="M"),0,IF(AND($O252&lt;='Model Data Inputs'!$B$139,$F252="H"),0,IF(SUM($Y252:$Z252)&lt;1,1,SUM($Y252:$Z252)))))</f>
        <v>0</v>
      </c>
      <c r="AB252" s="251">
        <f>($K252/'Model Data Inputs'!$B$143)*'Model Data Inputs'!$B$145</f>
        <v>2.5516666666666667E-2</v>
      </c>
      <c r="AC252" s="251">
        <f t="shared" si="23"/>
        <v>2.5516666666666667E-2</v>
      </c>
      <c r="AD252" s="251">
        <f>IF($G252="F",0,'Model Data Inputs'!$B$147)</f>
        <v>1.1000000000000001</v>
      </c>
      <c r="AE252" s="251">
        <f>IF($G252="F",0,($K252/'Model Data Inputs'!$B$148)*'Model Data Inputs'!$B$149)</f>
        <v>9.1860000000000011E-2</v>
      </c>
      <c r="AF252" s="251">
        <f>IF($G252="F",0,($O252/'Model Data Inputs'!$B$150)*'Model Data Inputs'!$B$151)</f>
        <v>3.5502566666666666E-2</v>
      </c>
      <c r="AG252" s="251">
        <f>IF($G252="F",0,(($Q252*$T252)/'Model Data Inputs'!$B$152)*'Model Data Inputs'!$B$153)</f>
        <v>5.8158093664382633E-2</v>
      </c>
      <c r="AH252" s="251">
        <f t="shared" si="24"/>
        <v>0.32138016508276235</v>
      </c>
      <c r="AI252" s="252">
        <f>IF(OR($G252="F",$F252="M",$F252="H"),0,($AH252*'Model Data Inputs'!$B$154)-$AH252)</f>
        <v>0</v>
      </c>
      <c r="AJ252" s="251">
        <f>IF(OR($G252="F",$F252="E",$F252="H"),0,($AH252*'Model Data Inputs'!$B$155)-$AH252)</f>
        <v>0</v>
      </c>
      <c r="AK252" s="252">
        <f>IF(OR($G252="F",$F252="E",$F252="M"),0,($AH252*'Model Data Inputs'!$B$156)-$AH252)</f>
        <v>0.32138016508276235</v>
      </c>
      <c r="AL252" s="252">
        <f>IF($G252="F",0,IF($M252&lt;'Model Data Inputs'!$B$158,$AH252*('Model Data Inputs'!$B$159-1),0))</f>
        <v>0</v>
      </c>
      <c r="AM252" s="251">
        <f>IF($G252="F",0,IF($M252&gt;'Model Data Inputs'!$B$160,$AH252*('Model Data Inputs'!$B$161-1),0))</f>
        <v>3.2138016508276267E-2</v>
      </c>
      <c r="AN252" s="251">
        <f>IF($G252="F",0,IF($P252&lt;'Model Data Inputs'!$B$162,SUM($AH252,$AI252,$AJ252,$AK252,$AL252,$AM252)*('Model Data Inputs'!$B$163-1),0))</f>
        <v>0</v>
      </c>
      <c r="AO252" s="251">
        <f t="shared" si="25"/>
        <v>0.674898346673801</v>
      </c>
      <c r="AP252" s="253">
        <f>$K252*'Model Data Inputs'!$B$166</f>
        <v>3077.3100000000004</v>
      </c>
      <c r="AQ252" s="253">
        <f>($K252*'Model Data Inputs'!$B$145)*'Model Data Inputs'!$B$166</f>
        <v>307.73100000000005</v>
      </c>
      <c r="AR252" s="254">
        <f t="shared" si="26"/>
        <v>3385.0410000000006</v>
      </c>
    </row>
    <row r="253" spans="1:44" s="255" customFormat="1" x14ac:dyDescent="0.2">
      <c r="A253" s="227" t="str">
        <f>'School Level Inst. Resources'!A253</f>
        <v>1516000</v>
      </c>
      <c r="B253" s="227" t="str">
        <f>'School Level Inst. Resources'!B253</f>
        <v>Park #16</v>
      </c>
      <c r="C253" s="227" t="str">
        <f>'School Level Inst. Resources'!C253</f>
        <v>1516049</v>
      </c>
      <c r="D253" s="227" t="str">
        <f>'School Level Inst. Resources'!D253</f>
        <v>Meeteetse School</v>
      </c>
      <c r="E253" s="228" t="str">
        <f>'School Level Inst. Resources'!E253</f>
        <v>P-12</v>
      </c>
      <c r="F253" s="245" t="str">
        <f>'School Level Inst. Resources'!H253</f>
        <v>H</v>
      </c>
      <c r="G253" s="245" t="s">
        <v>1158</v>
      </c>
      <c r="H253" s="207">
        <v>66493</v>
      </c>
      <c r="I253" s="207">
        <f>IF('SFD Allowable GSF Calculation'!$D$2=1,'SFD Allowable GSF Calculation'!$P253,'SFD Allowable GSF Calculation'!$X253)</f>
        <v>50551</v>
      </c>
      <c r="J253" s="246">
        <f>$I253*'Model Data Inputs'!$B$165</f>
        <v>58133.649999999994</v>
      </c>
      <c r="K253" s="246">
        <f>IF($L253&gt;='Model Data Inputs'!$B$164,$H253,MIN($H253,$J253))</f>
        <v>58133.649999999994</v>
      </c>
      <c r="L253" s="208">
        <v>1961</v>
      </c>
      <c r="M253" s="196">
        <f>IF($L253&gt;0,'Model Data Inputs'!$B$157-$L253,"")</f>
        <v>56</v>
      </c>
      <c r="N253" s="209">
        <v>25</v>
      </c>
      <c r="O253" s="247">
        <f>'School Level Inst. Resources'!$L253</f>
        <v>119.18499999999997</v>
      </c>
      <c r="P253" s="247">
        <f>IF($G253="T",SUMIFS('School Level ADM'!$S$5:$S$359,'School Level ADM'!$A$5:$A$359,$A253),0)</f>
        <v>119.18499999999999</v>
      </c>
      <c r="Q253" s="248">
        <f t="shared" si="27"/>
        <v>0.99999999999999989</v>
      </c>
      <c r="R253" s="249">
        <f>SUM((('School Level Inst. Resources'!I253/'Model Data Inputs'!$B$8)*(1+'Model Data Inputs'!$B$9)),(SUM('School Level Inst. Resources'!J253:K253)/'Model Data Inputs'!$C$8)*(1+'Model Data Inputs'!$C$9),'School Level Inst. Resources'!K253/400)</f>
        <v>7.4447941666666662</v>
      </c>
      <c r="S253" s="249">
        <f t="shared" si="28"/>
        <v>7.4447941666666662</v>
      </c>
      <c r="T253" s="250">
        <f>IF($G253="T",VLOOKUP($A253,'Total O &amp; M Resources'!$A$5:$K$52,3),0)</f>
        <v>2084691.29</v>
      </c>
      <c r="U253" s="251">
        <f>IF($G253="F",0,$S253/'Model Data Inputs'!$B$140)</f>
        <v>0.57267647435897429</v>
      </c>
      <c r="V253" s="251">
        <f>IF($G253="F",0,$O253/'Model Data Inputs'!$B$141)</f>
        <v>0.36672307692307682</v>
      </c>
      <c r="W253" s="251">
        <f>IF($G253="F",0,$N253/'Model Data Inputs'!$B$142)</f>
        <v>1.9230769230769231</v>
      </c>
      <c r="X253" s="251">
        <f>IF($G253="F",0,$K253/'Model Data Inputs'!$B$143)</f>
        <v>3.2296472222222219</v>
      </c>
      <c r="Y253" s="251">
        <f t="shared" si="22"/>
        <v>1.5230309241452991</v>
      </c>
      <c r="Z253" s="251">
        <f>IF(OR($G253="F",$F253="E"),0,'Model Data Inputs'!$B$144)</f>
        <v>0.5</v>
      </c>
      <c r="AA253" s="251">
        <f>IF(AND($O253&lt;='Model Data Inputs'!$B$139,$F253="E"),0,IF(AND($O253&lt;='Model Data Inputs'!$B$139,$F253="M"),0,IF(AND($O253&lt;='Model Data Inputs'!$B$139,$F253="H"),0,IF(SUM($Y253:$Z253)&lt;1,1,SUM($Y253:$Z253)))))</f>
        <v>2.0230309241452993</v>
      </c>
      <c r="AB253" s="251">
        <f>($K253/'Model Data Inputs'!$B$143)*'Model Data Inputs'!$B$145</f>
        <v>0.32296472222222222</v>
      </c>
      <c r="AC253" s="251">
        <f t="shared" si="23"/>
        <v>2.3459956463675216</v>
      </c>
      <c r="AD253" s="251">
        <f>IF($G253="F",0,'Model Data Inputs'!$B$147)</f>
        <v>1.1000000000000001</v>
      </c>
      <c r="AE253" s="251">
        <f>IF($G253="F",0,($K253/'Model Data Inputs'!$B$148)*'Model Data Inputs'!$B$149)</f>
        <v>1.1626729999999998</v>
      </c>
      <c r="AF253" s="251">
        <f>IF($G253="F",0,($O253/'Model Data Inputs'!$B$150)*'Model Data Inputs'!$B$151)</f>
        <v>0.15494049999999998</v>
      </c>
      <c r="AG253" s="251">
        <f>IF($G253="F",0,(($Q253*$T253)/'Model Data Inputs'!$B$152)*'Model Data Inputs'!$B$153)</f>
        <v>0.5003259095999999</v>
      </c>
      <c r="AH253" s="251">
        <f t="shared" si="24"/>
        <v>0.72948485239999994</v>
      </c>
      <c r="AI253" s="252">
        <f>IF(OR($G253="F",$F253="M",$F253="H"),0,($AH253*'Model Data Inputs'!$B$154)-$AH253)</f>
        <v>0</v>
      </c>
      <c r="AJ253" s="251">
        <f>IF(OR($G253="F",$F253="E",$F253="H"),0,($AH253*'Model Data Inputs'!$B$155)-$AH253)</f>
        <v>0</v>
      </c>
      <c r="AK253" s="252">
        <f>IF(OR($G253="F",$F253="E",$F253="M"),0,($AH253*'Model Data Inputs'!$B$156)-$AH253)</f>
        <v>0.72948485239999994</v>
      </c>
      <c r="AL253" s="252">
        <f>IF($G253="F",0,IF($M253&lt;'Model Data Inputs'!$B$158,$AH253*('Model Data Inputs'!$B$159-1),0))</f>
        <v>0</v>
      </c>
      <c r="AM253" s="251">
        <f>IF($G253="F",0,IF($M253&gt;'Model Data Inputs'!$B$160,$AH253*('Model Data Inputs'!$B$161-1),0))</f>
        <v>7.2948485240000055E-2</v>
      </c>
      <c r="AN253" s="251">
        <f>IF($G253="F",0,IF($P253&lt;'Model Data Inputs'!$B$162,SUM($AH253,$AI253,$AJ253,$AK253,$AL253,$AM253)*('Model Data Inputs'!$B$163-1),0))</f>
        <v>0.15319181900400011</v>
      </c>
      <c r="AO253" s="251">
        <f t="shared" si="25"/>
        <v>1.6851100090439999</v>
      </c>
      <c r="AP253" s="253">
        <f>$K253*'Model Data Inputs'!$B$166</f>
        <v>38949.5455</v>
      </c>
      <c r="AQ253" s="253">
        <f>($K253*'Model Data Inputs'!$B$145)*'Model Data Inputs'!$B$166</f>
        <v>3894.9545499999999</v>
      </c>
      <c r="AR253" s="254">
        <f t="shared" si="26"/>
        <v>42844.500050000002</v>
      </c>
    </row>
    <row r="254" spans="1:44" s="255" customFormat="1" x14ac:dyDescent="0.2">
      <c r="A254" s="227" t="str">
        <f>'School Level Inst. Resources'!A254</f>
        <v>1601000</v>
      </c>
      <c r="B254" s="227" t="str">
        <f>'School Level Inst. Resources'!B254</f>
        <v>Platte #1</v>
      </c>
      <c r="C254" s="227" t="str">
        <f>'School Level Inst. Resources'!C254</f>
        <v>1601001</v>
      </c>
      <c r="D254" s="227" t="str">
        <f>'School Level Inst. Resources'!D254</f>
        <v>Chugwater Elementary</v>
      </c>
      <c r="E254" s="228" t="str">
        <f>'School Level Inst. Resources'!E254</f>
        <v>K-6</v>
      </c>
      <c r="F254" s="245" t="str">
        <f>'School Level Inst. Resources'!H254</f>
        <v>E</v>
      </c>
      <c r="G254" s="245" t="s">
        <v>1158</v>
      </c>
      <c r="H254" s="207">
        <v>22863</v>
      </c>
      <c r="I254" s="207">
        <f>IF('SFD Allowable GSF Calculation'!$D$2=1,'SFD Allowable GSF Calculation'!$P254,'SFD Allowable GSF Calculation'!$X254)</f>
        <v>6570</v>
      </c>
      <c r="J254" s="246">
        <f>$I254*'Model Data Inputs'!$B$165</f>
        <v>7555.4999999999991</v>
      </c>
      <c r="K254" s="246">
        <f>IF($L254&gt;='Model Data Inputs'!$B$164,$H254,MIN($H254,$J254))</f>
        <v>7555.4999999999991</v>
      </c>
      <c r="L254" s="208">
        <v>1949</v>
      </c>
      <c r="M254" s="196">
        <f>IF($L254&gt;0,'Model Data Inputs'!$B$157-$L254,"")</f>
        <v>68</v>
      </c>
      <c r="N254" s="209">
        <v>8</v>
      </c>
      <c r="O254" s="247">
        <f>'School Level Inst. Resources'!$L254</f>
        <v>31.520000000000003</v>
      </c>
      <c r="P254" s="247">
        <f>IF($G254="T",SUMIFS('School Level ADM'!$S$5:$S$359,'School Level ADM'!$A$5:$A$359,$A254),0)</f>
        <v>1007.6549999999999</v>
      </c>
      <c r="Q254" s="248">
        <f t="shared" si="27"/>
        <v>3.1280547409579675E-2</v>
      </c>
      <c r="R254" s="249">
        <f>SUM((('School Level Inst. Resources'!I254/'Model Data Inputs'!$B$8)*(1+'Model Data Inputs'!$B$9)),(SUM('School Level Inst. Resources'!J254:K254)/'Model Data Inputs'!$C$8)*(1+'Model Data Inputs'!$C$9),'School Level Inst. Resources'!K254/400)</f>
        <v>2.1013333333333333</v>
      </c>
      <c r="S254" s="249">
        <f t="shared" si="28"/>
        <v>2.1013333333333333</v>
      </c>
      <c r="T254" s="250">
        <f>IF($G254="T",VLOOKUP($A254,'Total O &amp; M Resources'!$A$5:$K$52,3),0)</f>
        <v>12533456.120000003</v>
      </c>
      <c r="U254" s="251">
        <f>IF($G254="F",0,$S254/'Model Data Inputs'!$B$140)</f>
        <v>0.16164102564102564</v>
      </c>
      <c r="V254" s="251">
        <f>IF($G254="F",0,$O254/'Model Data Inputs'!$B$141)</f>
        <v>9.6984615384615391E-2</v>
      </c>
      <c r="W254" s="251">
        <f>IF($G254="F",0,$N254/'Model Data Inputs'!$B$142)</f>
        <v>0.61538461538461542</v>
      </c>
      <c r="X254" s="251">
        <f>IF($G254="F",0,$K254/'Model Data Inputs'!$B$143)</f>
        <v>0.41974999999999996</v>
      </c>
      <c r="Y254" s="251">
        <f t="shared" si="22"/>
        <v>0.3234400641025641</v>
      </c>
      <c r="Z254" s="251">
        <f>IF(OR($G254="F",$F254="E"),0,'Model Data Inputs'!$B$144)</f>
        <v>0</v>
      </c>
      <c r="AA254" s="251">
        <f>IF(AND($O254&lt;='Model Data Inputs'!$B$139,$F254="E"),0,IF(AND($O254&lt;='Model Data Inputs'!$B$139,$F254="M"),0,IF(AND($O254&lt;='Model Data Inputs'!$B$139,$F254="H"),0,IF(SUM($Y254:$Z254)&lt;1,1,SUM($Y254:$Z254)))))</f>
        <v>0</v>
      </c>
      <c r="AB254" s="251">
        <f>($K254/'Model Data Inputs'!$B$143)*'Model Data Inputs'!$B$145</f>
        <v>4.1974999999999998E-2</v>
      </c>
      <c r="AC254" s="251">
        <f t="shared" si="23"/>
        <v>4.1974999999999998E-2</v>
      </c>
      <c r="AD254" s="251">
        <f>IF($G254="F",0,'Model Data Inputs'!$B$147)</f>
        <v>1.1000000000000001</v>
      </c>
      <c r="AE254" s="251">
        <f>IF($G254="F",0,($K254/'Model Data Inputs'!$B$148)*'Model Data Inputs'!$B$149)</f>
        <v>0.15110999999999997</v>
      </c>
      <c r="AF254" s="251">
        <f>IF($G254="F",0,($O254/'Model Data Inputs'!$B$150)*'Model Data Inputs'!$B$151)</f>
        <v>4.0976000000000012E-2</v>
      </c>
      <c r="AG254" s="251">
        <f>IF($G254="F",0,(($Q254*$T254)/'Model Data Inputs'!$B$152)*'Model Data Inputs'!$B$153)</f>
        <v>9.4092808408211173E-2</v>
      </c>
      <c r="AH254" s="251">
        <f t="shared" si="24"/>
        <v>0.34654470210205285</v>
      </c>
      <c r="AI254" s="252">
        <f>IF(OR($G254="F",$F254="M",$F254="H"),0,($AH254*'Model Data Inputs'!$B$154)-$AH254)</f>
        <v>-6.9308940420410581E-2</v>
      </c>
      <c r="AJ254" s="251">
        <f>IF(OR($G254="F",$F254="E",$F254="H"),0,($AH254*'Model Data Inputs'!$B$155)-$AH254)</f>
        <v>0</v>
      </c>
      <c r="AK254" s="252">
        <f>IF(OR($G254="F",$F254="E",$F254="M"),0,($AH254*'Model Data Inputs'!$B$156)-$AH254)</f>
        <v>0</v>
      </c>
      <c r="AL254" s="252">
        <f>IF($G254="F",0,IF($M254&lt;'Model Data Inputs'!$B$158,$AH254*('Model Data Inputs'!$B$159-1),0))</f>
        <v>0</v>
      </c>
      <c r="AM254" s="251">
        <f>IF($G254="F",0,IF($M254&gt;'Model Data Inputs'!$B$160,$AH254*('Model Data Inputs'!$B$161-1),0))</f>
        <v>3.4654470210205318E-2</v>
      </c>
      <c r="AN254" s="251">
        <f>IF($G254="F",0,IF($P254&lt;'Model Data Inputs'!$B$162,SUM($AH254,$AI254,$AJ254,$AK254,$AL254,$AM254)*('Model Data Inputs'!$B$163-1),0))</f>
        <v>0</v>
      </c>
      <c r="AO254" s="251">
        <f t="shared" si="25"/>
        <v>0.31189023189184761</v>
      </c>
      <c r="AP254" s="253">
        <f>$K254*'Model Data Inputs'!$B$166</f>
        <v>5062.1849999999995</v>
      </c>
      <c r="AQ254" s="253">
        <f>($K254*'Model Data Inputs'!$B$145)*'Model Data Inputs'!$B$166</f>
        <v>506.21850000000001</v>
      </c>
      <c r="AR254" s="254">
        <f t="shared" si="26"/>
        <v>5568.4034999999994</v>
      </c>
    </row>
    <row r="255" spans="1:44" s="255" customFormat="1" x14ac:dyDescent="0.2">
      <c r="A255" s="227" t="str">
        <f>'School Level Inst. Resources'!A255</f>
        <v>1601000</v>
      </c>
      <c r="B255" s="227" t="str">
        <f>'School Level Inst. Resources'!B255</f>
        <v>Platte #1</v>
      </c>
      <c r="C255" s="227" t="str">
        <f>'School Level Inst. Resources'!C255</f>
        <v>1601002</v>
      </c>
      <c r="D255" s="227" t="str">
        <f>'School Level Inst. Resources'!D255</f>
        <v>Glendo Elementary</v>
      </c>
      <c r="E255" s="228" t="str">
        <f>'School Level Inst. Resources'!E255</f>
        <v>K-6</v>
      </c>
      <c r="F255" s="245" t="str">
        <f>'School Level Inst. Resources'!H255</f>
        <v>E</v>
      </c>
      <c r="G255" s="245" t="s">
        <v>1158</v>
      </c>
      <c r="H255" s="269">
        <v>15702</v>
      </c>
      <c r="I255" s="207">
        <f>IF('SFD Allowable GSF Calculation'!$D$2=1,'SFD Allowable GSF Calculation'!$P255,'SFD Allowable GSF Calculation'!$X255)</f>
        <v>5757</v>
      </c>
      <c r="J255" s="246">
        <f>$I255*'Model Data Inputs'!$B$165</f>
        <v>6620.5499999999993</v>
      </c>
      <c r="K255" s="246">
        <f>IF($L255&gt;='Model Data Inputs'!$B$164,$H255,MIN($H255,$J255))</f>
        <v>6620.5499999999993</v>
      </c>
      <c r="L255" s="208">
        <v>1981</v>
      </c>
      <c r="M255" s="196">
        <f>IF($L255&gt;0,'Model Data Inputs'!$B$157-$L255,"")</f>
        <v>36</v>
      </c>
      <c r="N255" s="209">
        <v>8</v>
      </c>
      <c r="O255" s="247">
        <f>'School Level Inst. Resources'!$L255</f>
        <v>30.534999999999997</v>
      </c>
      <c r="P255" s="247">
        <f>IF($G255="T",SUMIFS('School Level ADM'!$S$5:$S$359,'School Level ADM'!$A$5:$A$359,$A255),0)</f>
        <v>1007.6549999999999</v>
      </c>
      <c r="Q255" s="248">
        <f t="shared" si="27"/>
        <v>3.0303030303030304E-2</v>
      </c>
      <c r="R255" s="249">
        <f>SUM((('School Level Inst. Resources'!I255/'Model Data Inputs'!$B$8)*(1+'Model Data Inputs'!$B$9)),(SUM('School Level Inst. Resources'!J255:K255)/'Model Data Inputs'!$C$8)*(1+'Model Data Inputs'!$C$9),'School Level Inst. Resources'!K255/400)</f>
        <v>2.0356666666666663</v>
      </c>
      <c r="S255" s="249">
        <f t="shared" si="28"/>
        <v>2.0356666666666663</v>
      </c>
      <c r="T255" s="250">
        <f>IF($G255="T",VLOOKUP($A255,'Total O &amp; M Resources'!$A$5:$K$52,3),0)</f>
        <v>12533456.120000003</v>
      </c>
      <c r="U255" s="251">
        <f>IF($G255="F",0,$S255/'Model Data Inputs'!$B$140)</f>
        <v>0.15658974358974356</v>
      </c>
      <c r="V255" s="251">
        <f>IF($G255="F",0,$O255/'Model Data Inputs'!$B$141)</f>
        <v>9.3953846153846138E-2</v>
      </c>
      <c r="W255" s="251">
        <f>IF($G255="F",0,$N255/'Model Data Inputs'!$B$142)</f>
        <v>0.61538461538461542</v>
      </c>
      <c r="X255" s="251">
        <f>IF($G255="F",0,$K255/'Model Data Inputs'!$B$143)</f>
        <v>0.36780833333333329</v>
      </c>
      <c r="Y255" s="251">
        <f t="shared" si="22"/>
        <v>0.3084341346153846</v>
      </c>
      <c r="Z255" s="251">
        <f>IF(OR($G255="F",$F255="E"),0,'Model Data Inputs'!$B$144)</f>
        <v>0</v>
      </c>
      <c r="AA255" s="251">
        <f>IF(AND($O255&lt;='Model Data Inputs'!$B$139,$F255="E"),0,IF(AND($O255&lt;='Model Data Inputs'!$B$139,$F255="M"),0,IF(AND($O255&lt;='Model Data Inputs'!$B$139,$F255="H"),0,IF(SUM($Y255:$Z255)&lt;1,1,SUM($Y255:$Z255)))))</f>
        <v>0</v>
      </c>
      <c r="AB255" s="251">
        <f>($K255/'Model Data Inputs'!$B$143)*'Model Data Inputs'!$B$145</f>
        <v>3.6780833333333332E-2</v>
      </c>
      <c r="AC255" s="251">
        <f t="shared" si="23"/>
        <v>3.6780833333333332E-2</v>
      </c>
      <c r="AD255" s="251">
        <f>IF($G255="F",0,'Model Data Inputs'!$B$147)</f>
        <v>1.1000000000000001</v>
      </c>
      <c r="AE255" s="251">
        <f>IF($G255="F",0,($K255/'Model Data Inputs'!$B$148)*'Model Data Inputs'!$B$149)</f>
        <v>0.13241099999999997</v>
      </c>
      <c r="AF255" s="251">
        <f>IF($G255="F",0,($O255/'Model Data Inputs'!$B$150)*'Model Data Inputs'!$B$151)</f>
        <v>3.9695499999999995E-2</v>
      </c>
      <c r="AG255" s="251">
        <f>IF($G255="F",0,(($Q255*$T255)/'Model Data Inputs'!$B$152)*'Model Data Inputs'!$B$153)</f>
        <v>9.1152408145454569E-2</v>
      </c>
      <c r="AH255" s="251">
        <f t="shared" si="24"/>
        <v>0.34081472703636367</v>
      </c>
      <c r="AI255" s="252">
        <f>IF(OR($G255="F",$F255="M",$F255="H"),0,($AH255*'Model Data Inputs'!$B$154)-$AH255)</f>
        <v>-6.8162945407272746E-2</v>
      </c>
      <c r="AJ255" s="251">
        <f>IF(OR($G255="F",$F255="E",$F255="H"),0,($AH255*'Model Data Inputs'!$B$155)-$AH255)</f>
        <v>0</v>
      </c>
      <c r="AK255" s="252">
        <f>IF(OR($G255="F",$F255="E",$F255="M"),0,($AH255*'Model Data Inputs'!$B$156)-$AH255)</f>
        <v>0</v>
      </c>
      <c r="AL255" s="252">
        <f>IF($G255="F",0,IF($M255&lt;'Model Data Inputs'!$B$158,$AH255*('Model Data Inputs'!$B$159-1),0))</f>
        <v>0</v>
      </c>
      <c r="AM255" s="251">
        <f>IF($G255="F",0,IF($M255&gt;'Model Data Inputs'!$B$160,$AH255*('Model Data Inputs'!$B$161-1),0))</f>
        <v>3.4081472703636401E-2</v>
      </c>
      <c r="AN255" s="251">
        <f>IF($G255="F",0,IF($P255&lt;'Model Data Inputs'!$B$162,SUM($AH255,$AI255,$AJ255,$AK255,$AL255,$AM255)*('Model Data Inputs'!$B$163-1),0))</f>
        <v>0</v>
      </c>
      <c r="AO255" s="251">
        <f t="shared" si="25"/>
        <v>0.30673325433272736</v>
      </c>
      <c r="AP255" s="253">
        <f>$K255*'Model Data Inputs'!$B$166</f>
        <v>4435.7685000000001</v>
      </c>
      <c r="AQ255" s="253">
        <f>($K255*'Model Data Inputs'!$B$145)*'Model Data Inputs'!$B$166</f>
        <v>443.57684999999998</v>
      </c>
      <c r="AR255" s="254">
        <f t="shared" si="26"/>
        <v>4879.3453500000005</v>
      </c>
    </row>
    <row r="256" spans="1:44" x14ac:dyDescent="0.2">
      <c r="A256" s="227" t="str">
        <f>'School Level Inst. Resources'!A256</f>
        <v>1601000</v>
      </c>
      <c r="B256" s="227" t="str">
        <f>'School Level Inst. Resources'!B256</f>
        <v>Platte #1</v>
      </c>
      <c r="C256" s="227" t="str">
        <f>'School Level Inst. Resources'!C256</f>
        <v>1601003</v>
      </c>
      <c r="D256" s="227" t="str">
        <f>'School Level Inst. Resources'!D256</f>
        <v>Libbey Elementary</v>
      </c>
      <c r="E256" s="228" t="str">
        <f>'School Level Inst. Resources'!E256</f>
        <v>K-2</v>
      </c>
      <c r="F256" s="229" t="str">
        <f>'School Level Inst. Resources'!H256</f>
        <v>E</v>
      </c>
      <c r="G256" s="229" t="s">
        <v>1158</v>
      </c>
      <c r="H256" s="207">
        <v>37951</v>
      </c>
      <c r="I256" s="207">
        <f>IF('SFD Allowable GSF Calculation'!$D$2=1,'SFD Allowable GSF Calculation'!$P256,'SFD Allowable GSF Calculation'!$X256)</f>
        <v>32499</v>
      </c>
      <c r="J256" s="194">
        <f>$I256*'Model Data Inputs'!$B$165</f>
        <v>37373.85</v>
      </c>
      <c r="K256" s="194">
        <f>IF($L256&gt;='Model Data Inputs'!$B$164,$H256,MIN($H256,$J256))</f>
        <v>37373.85</v>
      </c>
      <c r="L256" s="208">
        <v>1957</v>
      </c>
      <c r="M256" s="196">
        <f>IF($L256&gt;0,'Model Data Inputs'!$B$157-$L256,"")</f>
        <v>60</v>
      </c>
      <c r="N256" s="209">
        <v>25</v>
      </c>
      <c r="O256" s="198">
        <f>'School Level Inst. Resources'!$L256</f>
        <v>206.85</v>
      </c>
      <c r="P256" s="198">
        <f>IF($G256="T",SUMIFS('School Level ADM'!$S$5:$S$359,'School Level ADM'!$A$5:$A$359,$A256),0)</f>
        <v>1007.6549999999999</v>
      </c>
      <c r="Q256" s="199">
        <f t="shared" si="27"/>
        <v>0.20527859237536658</v>
      </c>
      <c r="R256" s="249">
        <f>SUM((('School Level Inst. Resources'!I256/'Model Data Inputs'!$B$8)*(1+'Model Data Inputs'!$B$9)),(SUM('School Level Inst. Resources'!J256:K256)/'Model Data Inputs'!$C$8)*(1+'Model Data Inputs'!$C$9),'School Level Inst. Resources'!K256/400)</f>
        <v>13.790000000000001</v>
      </c>
      <c r="S256" s="249">
        <f t="shared" si="28"/>
        <v>13.790000000000001</v>
      </c>
      <c r="T256" s="201">
        <f>IF($G256="T",VLOOKUP($A256,'Total O &amp; M Resources'!$A$5:$K$52,3),0)</f>
        <v>12533456.120000003</v>
      </c>
      <c r="U256" s="202">
        <f>IF($G256="F",0,$S256/'Model Data Inputs'!$B$140)</f>
        <v>1.0607692307692309</v>
      </c>
      <c r="V256" s="202">
        <f>IF($G256="F",0,$O256/'Model Data Inputs'!$B$141)</f>
        <v>0.63646153846153841</v>
      </c>
      <c r="W256" s="202">
        <f>IF($G256="F",0,$N256/'Model Data Inputs'!$B$142)</f>
        <v>1.9230769230769231</v>
      </c>
      <c r="X256" s="202">
        <f>IF($G256="F",0,$K256/'Model Data Inputs'!$B$143)</f>
        <v>2.0763249999999998</v>
      </c>
      <c r="Y256" s="202">
        <f t="shared" si="22"/>
        <v>1.4241581730769231</v>
      </c>
      <c r="Z256" s="202">
        <f>IF(OR($G256="F",$F256="E"),0,'Model Data Inputs'!$B$144)</f>
        <v>0</v>
      </c>
      <c r="AA256" s="202">
        <f>IF(AND($O256&lt;='Model Data Inputs'!$B$139,$F256="E"),0,IF(AND($O256&lt;='Model Data Inputs'!$B$139,$F256="M"),0,IF(AND($O256&lt;='Model Data Inputs'!$B$139,$F256="H"),0,IF(SUM($Y256:$Z256)&lt;1,1,SUM($Y256:$Z256)))))</f>
        <v>1.4241581730769231</v>
      </c>
      <c r="AB256" s="202">
        <f>($K256/'Model Data Inputs'!$B$143)*'Model Data Inputs'!$B$145</f>
        <v>0.2076325</v>
      </c>
      <c r="AC256" s="202">
        <f t="shared" si="23"/>
        <v>1.6317906730769232</v>
      </c>
      <c r="AD256" s="202">
        <f>IF($G256="F",0,'Model Data Inputs'!$B$147)</f>
        <v>1.1000000000000001</v>
      </c>
      <c r="AE256" s="202">
        <f>IF($G256="F",0,($K256/'Model Data Inputs'!$B$148)*'Model Data Inputs'!$B$149)</f>
        <v>0.74747699999999995</v>
      </c>
      <c r="AF256" s="202">
        <f>IF($G256="F",0,($O256/'Model Data Inputs'!$B$150)*'Model Data Inputs'!$B$151)</f>
        <v>0.26890500000000001</v>
      </c>
      <c r="AG256" s="202">
        <f>IF($G256="F",0,(($Q256*$T256)/'Model Data Inputs'!$B$152)*'Model Data Inputs'!$B$153)</f>
        <v>0.61748405517888572</v>
      </c>
      <c r="AH256" s="202">
        <f t="shared" si="24"/>
        <v>0.68346651379472145</v>
      </c>
      <c r="AI256" s="203">
        <f>IF(OR($G256="F",$F256="M",$F256="H"),0,($AH256*'Model Data Inputs'!$B$154)-$AH256)</f>
        <v>-0.13669330275894431</v>
      </c>
      <c r="AJ256" s="202">
        <f>IF(OR($G256="F",$F256="E",$F256="H"),0,($AH256*'Model Data Inputs'!$B$155)-$AH256)</f>
        <v>0</v>
      </c>
      <c r="AK256" s="203">
        <f>IF(OR($G256="F",$F256="E",$F256="M"),0,($AH256*'Model Data Inputs'!$B$156)-$AH256)</f>
        <v>0</v>
      </c>
      <c r="AL256" s="203">
        <f>IF($G256="F",0,IF($M256&lt;'Model Data Inputs'!$B$158,$AH256*('Model Data Inputs'!$B$159-1),0))</f>
        <v>0</v>
      </c>
      <c r="AM256" s="202">
        <f>IF($G256="F",0,IF($M256&gt;'Model Data Inputs'!$B$160,$AH256*('Model Data Inputs'!$B$161-1),0))</f>
        <v>6.8346651379472212E-2</v>
      </c>
      <c r="AN256" s="202">
        <f>IF($G256="F",0,IF($P256&lt;'Model Data Inputs'!$B$162,SUM($AH256,$AI256,$AJ256,$AK256,$AL256,$AM256)*('Model Data Inputs'!$B$163-1),0))</f>
        <v>0</v>
      </c>
      <c r="AO256" s="202">
        <f t="shared" si="25"/>
        <v>0.61511986241524941</v>
      </c>
      <c r="AP256" s="204">
        <f>$K256*'Model Data Inputs'!$B$166</f>
        <v>25040.479500000001</v>
      </c>
      <c r="AQ256" s="204">
        <f>($K256*'Model Data Inputs'!$B$145)*'Model Data Inputs'!$B$166</f>
        <v>2504.0479500000001</v>
      </c>
      <c r="AR256" s="50">
        <f t="shared" si="26"/>
        <v>27544.527450000001</v>
      </c>
    </row>
    <row r="257" spans="1:44" x14ac:dyDescent="0.2">
      <c r="A257" s="227" t="str">
        <f>'School Level Inst. Resources'!A257</f>
        <v>1601000</v>
      </c>
      <c r="B257" s="227" t="str">
        <f>'School Level Inst. Resources'!B257</f>
        <v>Platte #1</v>
      </c>
      <c r="C257" s="227" t="str">
        <f>'School Level Inst. Resources'!C257</f>
        <v>1601005</v>
      </c>
      <c r="D257" s="227" t="str">
        <f>'School Level Inst. Resources'!D257</f>
        <v>West Elementary</v>
      </c>
      <c r="E257" s="228" t="str">
        <f>'School Level Inst. Resources'!E257</f>
        <v>3-5</v>
      </c>
      <c r="F257" s="229" t="str">
        <f>'School Level Inst. Resources'!H257</f>
        <v>E</v>
      </c>
      <c r="G257" s="229" t="s">
        <v>1158</v>
      </c>
      <c r="H257" s="207">
        <v>60208</v>
      </c>
      <c r="I257" s="207">
        <f>IF('SFD Allowable GSF Calculation'!$D$2=1,'SFD Allowable GSF Calculation'!$P257,'SFD Allowable GSF Calculation'!$X257)</f>
        <v>34037</v>
      </c>
      <c r="J257" s="194">
        <f>$I257*'Model Data Inputs'!$B$165</f>
        <v>39142.549999999996</v>
      </c>
      <c r="K257" s="194">
        <f>IF($L257&gt;='Model Data Inputs'!$B$164,$H257,MIN($H257,$J257))</f>
        <v>39142.549999999996</v>
      </c>
      <c r="L257" s="208">
        <v>1977</v>
      </c>
      <c r="M257" s="196">
        <f>IF($L257&gt;0,'Model Data Inputs'!$B$157-$L257,"")</f>
        <v>40</v>
      </c>
      <c r="N257" s="209">
        <v>22</v>
      </c>
      <c r="O257" s="198">
        <f>'School Level Inst. Resources'!$L257</f>
        <v>194.04499999999999</v>
      </c>
      <c r="P257" s="198">
        <f>IF($G257="T",SUMIFS('School Level ADM'!$S$5:$S$359,'School Level ADM'!$A$5:$A$359,$A257),0)</f>
        <v>1007.6549999999999</v>
      </c>
      <c r="Q257" s="199">
        <f t="shared" si="27"/>
        <v>0.19257086999022485</v>
      </c>
      <c r="R257" s="200">
        <f>SUM((('School Level Inst. Resources'!I257/'Model Data Inputs'!$B$8)*(1+'Model Data Inputs'!$B$9)),(SUM('School Level Inst. Resources'!J257:K257)/'Model Data Inputs'!$C$8)*(1+'Model Data Inputs'!$C$9),'School Level Inst. Resources'!K257/400)</f>
        <v>12.936333333333332</v>
      </c>
      <c r="S257" s="200">
        <f t="shared" si="28"/>
        <v>12.936333333333332</v>
      </c>
      <c r="T257" s="201">
        <f>IF($G257="T",VLOOKUP($A257,'Total O &amp; M Resources'!$A$5:$K$52,3),0)</f>
        <v>12533456.120000003</v>
      </c>
      <c r="U257" s="202">
        <f>IF($G257="F",0,$S257/'Model Data Inputs'!$B$140)</f>
        <v>0.99510256410256404</v>
      </c>
      <c r="V257" s="202">
        <f>IF($G257="F",0,$O257/'Model Data Inputs'!$B$141)</f>
        <v>0.59706153846153842</v>
      </c>
      <c r="W257" s="202">
        <f>IF($G257="F",0,$N257/'Model Data Inputs'!$B$142)</f>
        <v>1.6923076923076923</v>
      </c>
      <c r="X257" s="202">
        <f>IF($G257="F",0,$K257/'Model Data Inputs'!$B$143)</f>
        <v>2.1745861111111107</v>
      </c>
      <c r="Y257" s="202">
        <f t="shared" si="22"/>
        <v>1.3647644764957265</v>
      </c>
      <c r="Z257" s="202">
        <f>IF(OR($G257="F",$F257="E"),0,'Model Data Inputs'!$B$144)</f>
        <v>0</v>
      </c>
      <c r="AA257" s="202">
        <f>IF(AND($O257&lt;='Model Data Inputs'!$B$139,$F257="E"),0,IF(AND($O257&lt;='Model Data Inputs'!$B$139,$F257="M"),0,IF(AND($O257&lt;='Model Data Inputs'!$B$139,$F257="H"),0,IF(SUM($Y257:$Z257)&lt;1,1,SUM($Y257:$Z257)))))</f>
        <v>1.3647644764957265</v>
      </c>
      <c r="AB257" s="202">
        <f>($K257/'Model Data Inputs'!$B$143)*'Model Data Inputs'!$B$145</f>
        <v>0.21745861111111109</v>
      </c>
      <c r="AC257" s="202">
        <f t="shared" si="23"/>
        <v>1.5822230876068377</v>
      </c>
      <c r="AD257" s="202">
        <f>IF($G257="F",0,'Model Data Inputs'!$B$147)</f>
        <v>1.1000000000000001</v>
      </c>
      <c r="AE257" s="202">
        <f>IF($G257="F",0,($K257/'Model Data Inputs'!$B$148)*'Model Data Inputs'!$B$149)</f>
        <v>0.78285099999999985</v>
      </c>
      <c r="AF257" s="202">
        <f>IF($G257="F",0,($O257/'Model Data Inputs'!$B$150)*'Model Data Inputs'!$B$151)</f>
        <v>0.2522585</v>
      </c>
      <c r="AG257" s="202">
        <f>IF($G257="F",0,(($Q257*$T257)/'Model Data Inputs'!$B$152)*'Model Data Inputs'!$B$153)</f>
        <v>0.57925885176305003</v>
      </c>
      <c r="AH257" s="202">
        <f t="shared" si="24"/>
        <v>0.67859208794076253</v>
      </c>
      <c r="AI257" s="203">
        <f>IF(OR($G257="F",$F257="M",$F257="H"),0,($AH257*'Model Data Inputs'!$B$154)-$AH257)</f>
        <v>-0.13571841758815251</v>
      </c>
      <c r="AJ257" s="202">
        <f>IF(OR($G257="F",$F257="E",$F257="H"),0,($AH257*'Model Data Inputs'!$B$155)-$AH257)</f>
        <v>0</v>
      </c>
      <c r="AK257" s="203">
        <f>IF(OR($G257="F",$F257="E",$F257="M"),0,($AH257*'Model Data Inputs'!$B$156)-$AH257)</f>
        <v>0</v>
      </c>
      <c r="AL257" s="203">
        <f>IF($G257="F",0,IF($M257&lt;'Model Data Inputs'!$B$158,$AH257*('Model Data Inputs'!$B$159-1),0))</f>
        <v>0</v>
      </c>
      <c r="AM257" s="202">
        <f>IF($G257="F",0,IF($M257&gt;'Model Data Inputs'!$B$160,$AH257*('Model Data Inputs'!$B$161-1),0))</f>
        <v>6.7859208794076309E-2</v>
      </c>
      <c r="AN257" s="202">
        <f>IF($G257="F",0,IF($P257&lt;'Model Data Inputs'!$B$162,SUM($AH257,$AI257,$AJ257,$AK257,$AL257,$AM257)*('Model Data Inputs'!$B$163-1),0))</f>
        <v>0</v>
      </c>
      <c r="AO257" s="202">
        <f t="shared" si="25"/>
        <v>0.61073287914668639</v>
      </c>
      <c r="AP257" s="204">
        <f>$K257*'Model Data Inputs'!$B$166</f>
        <v>26225.5085</v>
      </c>
      <c r="AQ257" s="204">
        <f>($K257*'Model Data Inputs'!$B$145)*'Model Data Inputs'!$B$166</f>
        <v>2622.5508500000001</v>
      </c>
      <c r="AR257" s="50">
        <f t="shared" si="26"/>
        <v>28848.05935</v>
      </c>
    </row>
    <row r="258" spans="1:44" x14ac:dyDescent="0.2">
      <c r="A258" s="227" t="str">
        <f>'School Level Inst. Resources'!A258</f>
        <v>1601000</v>
      </c>
      <c r="B258" s="227" t="str">
        <f>'School Level Inst. Resources'!B258</f>
        <v>Platte #1</v>
      </c>
      <c r="C258" s="227" t="str">
        <f>'School Level Inst. Resources'!C258</f>
        <v>1601050</v>
      </c>
      <c r="D258" s="227" t="str">
        <f>'School Level Inst. Resources'!D258</f>
        <v>Wheatland Middle School</v>
      </c>
      <c r="E258" s="228" t="str">
        <f>'School Level Inst. Resources'!E258</f>
        <v>6-8</v>
      </c>
      <c r="F258" s="229" t="str">
        <f>'School Level Inst. Resources'!H258</f>
        <v>M</v>
      </c>
      <c r="G258" s="229" t="s">
        <v>1158</v>
      </c>
      <c r="H258" s="207">
        <v>81508</v>
      </c>
      <c r="I258" s="207">
        <f>IF('SFD Allowable GSF Calculation'!$D$2=1,'SFD Allowable GSF Calculation'!$P258,'SFD Allowable GSF Calculation'!$X258)</f>
        <v>52712</v>
      </c>
      <c r="J258" s="194">
        <f>$I258*'Model Data Inputs'!$B$165</f>
        <v>60618.799999999996</v>
      </c>
      <c r="K258" s="194">
        <f>IF($L258&gt;='Model Data Inputs'!$B$164,$H258,MIN($H258,$J258))</f>
        <v>81508</v>
      </c>
      <c r="L258" s="208">
        <v>2002</v>
      </c>
      <c r="M258" s="196">
        <f>IF($L258&gt;0,'Model Data Inputs'!$B$157-$L258,"")</f>
        <v>15</v>
      </c>
      <c r="N258" s="209">
        <v>30</v>
      </c>
      <c r="O258" s="198">
        <f>'School Level Inst. Resources'!$L258</f>
        <v>202.91</v>
      </c>
      <c r="P258" s="198">
        <f>IF($G258="T",SUMIFS('School Level ADM'!$S$5:$S$359,'School Level ADM'!$A$5:$A$359,$A258),0)</f>
        <v>1007.6549999999999</v>
      </c>
      <c r="Q258" s="199">
        <f t="shared" si="27"/>
        <v>0.20136852394916913</v>
      </c>
      <c r="R258" s="200">
        <f>SUM((('School Level Inst. Resources'!I258/'Model Data Inputs'!$B$8)*(1+'Model Data Inputs'!$B$9)),(SUM('School Level Inst. Resources'!J258:K258)/'Model Data Inputs'!$C$8)*(1+'Model Data Inputs'!$C$9),'School Level Inst. Resources'!K258/400)</f>
        <v>11.759957826086957</v>
      </c>
      <c r="S258" s="200">
        <f t="shared" si="28"/>
        <v>11.759957826086957</v>
      </c>
      <c r="T258" s="201">
        <f>IF($G258="T",VLOOKUP($A258,'Total O &amp; M Resources'!$A$5:$K$52,3),0)</f>
        <v>12533456.120000003</v>
      </c>
      <c r="U258" s="202">
        <f>IF($G258="F",0,$S258/'Model Data Inputs'!$B$140)</f>
        <v>0.90461214046822747</v>
      </c>
      <c r="V258" s="202">
        <f>IF($G258="F",0,$O258/'Model Data Inputs'!$B$141)</f>
        <v>0.62433846153846151</v>
      </c>
      <c r="W258" s="202">
        <f>IF($G258="F",0,$N258/'Model Data Inputs'!$B$142)</f>
        <v>2.3076923076923075</v>
      </c>
      <c r="X258" s="202">
        <f>IF($G258="F",0,$K258/'Model Data Inputs'!$B$143)</f>
        <v>4.5282222222222224</v>
      </c>
      <c r="Y258" s="202">
        <f t="shared" si="22"/>
        <v>2.0912162829803047</v>
      </c>
      <c r="Z258" s="202">
        <f>IF(OR($G258="F",$F258="E"),0,'Model Data Inputs'!$B$144)</f>
        <v>0.5</v>
      </c>
      <c r="AA258" s="202">
        <f>IF(AND($O258&lt;='Model Data Inputs'!$B$139,$F258="E"),0,IF(AND($O258&lt;='Model Data Inputs'!$B$139,$F258="M"),0,IF(AND($O258&lt;='Model Data Inputs'!$B$139,$F258="H"),0,IF(SUM($Y258:$Z258)&lt;1,1,SUM($Y258:$Z258)))))</f>
        <v>2.5912162829803047</v>
      </c>
      <c r="AB258" s="202">
        <f>($K258/'Model Data Inputs'!$B$143)*'Model Data Inputs'!$B$145</f>
        <v>0.45282222222222224</v>
      </c>
      <c r="AC258" s="202">
        <f t="shared" si="23"/>
        <v>3.0440385052025269</v>
      </c>
      <c r="AD258" s="202">
        <f>IF($G258="F",0,'Model Data Inputs'!$B$147)</f>
        <v>1.1000000000000001</v>
      </c>
      <c r="AE258" s="202">
        <f>IF($G258="F",0,($K258/'Model Data Inputs'!$B$148)*'Model Data Inputs'!$B$149)</f>
        <v>1.6301600000000001</v>
      </c>
      <c r="AF258" s="202">
        <f>IF($G258="F",0,($O258/'Model Data Inputs'!$B$150)*'Model Data Inputs'!$B$151)</f>
        <v>0.26378300000000005</v>
      </c>
      <c r="AG258" s="202">
        <f>IF($G258="F",0,(($Q258*$T258)/'Model Data Inputs'!$B$152)*'Model Data Inputs'!$B$153)</f>
        <v>0.6057224541278593</v>
      </c>
      <c r="AH258" s="202">
        <f t="shared" si="24"/>
        <v>0.89991636353196491</v>
      </c>
      <c r="AI258" s="203">
        <f>IF(OR($G258="F",$F258="M",$F258="H"),0,($AH258*'Model Data Inputs'!$B$154)-$AH258)</f>
        <v>0</v>
      </c>
      <c r="AJ258" s="202">
        <f>IF(OR($G258="F",$F258="E",$F258="H"),0,($AH258*'Model Data Inputs'!$B$155)-$AH258)</f>
        <v>0</v>
      </c>
      <c r="AK258" s="203">
        <f>IF(OR($G258="F",$F258="E",$F258="M"),0,($AH258*'Model Data Inputs'!$B$156)-$AH258)</f>
        <v>0</v>
      </c>
      <c r="AL258" s="203">
        <f>IF($G258="F",0,IF($M258&lt;'Model Data Inputs'!$B$158,$AH258*('Model Data Inputs'!$B$159-1),0))</f>
        <v>0</v>
      </c>
      <c r="AM258" s="202">
        <f>IF($G258="F",0,IF($M258&gt;'Model Data Inputs'!$B$160,$AH258*('Model Data Inputs'!$B$161-1),0))</f>
        <v>0</v>
      </c>
      <c r="AN258" s="202">
        <f>IF($G258="F",0,IF($P258&lt;'Model Data Inputs'!$B$162,SUM($AH258,$AI258,$AJ258,$AK258,$AL258,$AM258)*('Model Data Inputs'!$B$163-1),0))</f>
        <v>0</v>
      </c>
      <c r="AO258" s="202">
        <f t="shared" si="25"/>
        <v>0.89991636353196491</v>
      </c>
      <c r="AP258" s="204">
        <f>$K258*'Model Data Inputs'!$B$166</f>
        <v>54610.36</v>
      </c>
      <c r="AQ258" s="204">
        <f>($K258*'Model Data Inputs'!$B$145)*'Model Data Inputs'!$B$166</f>
        <v>5461.0360000000001</v>
      </c>
      <c r="AR258" s="50">
        <f t="shared" si="26"/>
        <v>60071.396000000001</v>
      </c>
    </row>
    <row r="259" spans="1:44" s="226" customFormat="1" x14ac:dyDescent="0.2">
      <c r="A259" s="210" t="str">
        <f>'School Level Inst. Resources'!A259</f>
        <v>1601000</v>
      </c>
      <c r="B259" s="210" t="str">
        <f>'School Level Inst. Resources'!B259</f>
        <v>Platte #1</v>
      </c>
      <c r="C259" s="210" t="str">
        <f>'School Level Inst. Resources'!C259</f>
        <v>1601051</v>
      </c>
      <c r="D259" s="210" t="str">
        <f>'School Level Inst. Resources'!D259</f>
        <v>Chugwater Junior High School</v>
      </c>
      <c r="E259" s="211" t="str">
        <f>'School Level Inst. Resources'!E259</f>
        <v>7-8</v>
      </c>
      <c r="F259" s="212" t="str">
        <f>'School Level Inst. Resources'!H259</f>
        <v>M</v>
      </c>
      <c r="G259" s="212" t="s">
        <v>1159</v>
      </c>
      <c r="H259" s="213">
        <v>0</v>
      </c>
      <c r="I259" s="213">
        <f>IF('SFD Allowable GSF Calculation'!$D$2=1,'SFD Allowable GSF Calculation'!$P259,'SFD Allowable GSF Calculation'!$X259)</f>
        <v>0</v>
      </c>
      <c r="J259" s="214">
        <f>$I259*'Model Data Inputs'!$B$165</f>
        <v>0</v>
      </c>
      <c r="K259" s="214">
        <f>IF($L259&gt;='Model Data Inputs'!$B$164,$H259,MIN($H259,$J259))</f>
        <v>0</v>
      </c>
      <c r="L259" s="233">
        <v>0</v>
      </c>
      <c r="M259" s="196" t="str">
        <f>IF($L259&gt;0,'Model Data Inputs'!$B$157-$L259,"")</f>
        <v/>
      </c>
      <c r="N259" s="216">
        <v>0</v>
      </c>
      <c r="O259" s="217">
        <v>0</v>
      </c>
      <c r="P259" s="218">
        <f>IF($G259="T",SUMIFS('School Level ADM'!$S$5:$S$359,'School Level ADM'!$A$5:$A$359,$A259),0)</f>
        <v>0</v>
      </c>
      <c r="Q259" s="219">
        <f t="shared" si="27"/>
        <v>0</v>
      </c>
      <c r="R259" s="220">
        <f>SUM((('School Level Inst. Resources'!I259/'Model Data Inputs'!$B$8)*(1+'Model Data Inputs'!$B$9)),(SUM('School Level Inst. Resources'!J259:K259)/'Model Data Inputs'!$C$8)*(1+'Model Data Inputs'!$C$9),'School Level Inst. Resources'!K259/400)</f>
        <v>0.17126152173913042</v>
      </c>
      <c r="S259" s="220">
        <v>0</v>
      </c>
      <c r="T259" s="221">
        <f>IF($G259="T",VLOOKUP($A259,'Total O &amp; M Resources'!$A$5:$K$52,3),0)</f>
        <v>0</v>
      </c>
      <c r="U259" s="222">
        <f>IF($G259="F",0,$S259/'Model Data Inputs'!$B$140)</f>
        <v>0</v>
      </c>
      <c r="V259" s="222">
        <f>IF($G259="F",0,$O259/'Model Data Inputs'!$B$141)</f>
        <v>0</v>
      </c>
      <c r="W259" s="222">
        <f>IF($G259="F",0,$N259/'Model Data Inputs'!$B$142)</f>
        <v>0</v>
      </c>
      <c r="X259" s="222">
        <f>IF($G259="F",0,$K259/'Model Data Inputs'!$B$143)</f>
        <v>0</v>
      </c>
      <c r="Y259" s="222">
        <f t="shared" si="22"/>
        <v>0</v>
      </c>
      <c r="Z259" s="222">
        <f>IF(OR($G259="F",$F259="E"),0,'Model Data Inputs'!$B$144)</f>
        <v>0</v>
      </c>
      <c r="AA259" s="222">
        <f>IF(AND($O259&lt;='Model Data Inputs'!$B$139,$F259="E"),0,IF(AND($O259&lt;='Model Data Inputs'!$B$139,$F259="M"),0,IF(AND($O259&lt;='Model Data Inputs'!$B$139,$F259="H"),0,IF(SUM($Y259:$Z259)&lt;1,1,SUM($Y259:$Z259)))))</f>
        <v>0</v>
      </c>
      <c r="AB259" s="222">
        <f>($K259/'Model Data Inputs'!$B$143)*'Model Data Inputs'!$B$145</f>
        <v>0</v>
      </c>
      <c r="AC259" s="222">
        <f t="shared" si="23"/>
        <v>0</v>
      </c>
      <c r="AD259" s="222">
        <f>IF($G259="F",0,'Model Data Inputs'!$B$147)</f>
        <v>0</v>
      </c>
      <c r="AE259" s="222">
        <f>IF($G259="F",0,($K259/'Model Data Inputs'!$B$148)*'Model Data Inputs'!$B$149)</f>
        <v>0</v>
      </c>
      <c r="AF259" s="222">
        <f>IF($G259="F",0,($O259/'Model Data Inputs'!$B$150)*'Model Data Inputs'!$B$151)</f>
        <v>0</v>
      </c>
      <c r="AG259" s="222">
        <f>IF($G259="F",0,(($Q259*$T259)/'Model Data Inputs'!$B$152)*'Model Data Inputs'!$B$153)</f>
        <v>0</v>
      </c>
      <c r="AH259" s="222">
        <f t="shared" si="24"/>
        <v>0</v>
      </c>
      <c r="AI259" s="223">
        <f>IF(OR($G259="F",$F259="M",$F259="H"),0,($AH259*'Model Data Inputs'!$B$154)-$AH259)</f>
        <v>0</v>
      </c>
      <c r="AJ259" s="222">
        <f>IF(OR($G259="F",$F259="E",$F259="H"),0,($AH259*'Model Data Inputs'!$B$155)-$AH259)</f>
        <v>0</v>
      </c>
      <c r="AK259" s="223">
        <f>IF(OR($G259="F",$F259="E",$F259="M"),0,($AH259*'Model Data Inputs'!$B$156)-$AH259)</f>
        <v>0</v>
      </c>
      <c r="AL259" s="223">
        <f>IF($G259="F",0,IF($M259&lt;'Model Data Inputs'!$B$158,$AH259*('Model Data Inputs'!$B$159-1),0))</f>
        <v>0</v>
      </c>
      <c r="AM259" s="222">
        <f>IF($G259="F",0,IF($M259&gt;'Model Data Inputs'!$B$160,$AH259*('Model Data Inputs'!$B$161-1),0))</f>
        <v>0</v>
      </c>
      <c r="AN259" s="222">
        <f>IF($G259="F",0,IF($P259&lt;'Model Data Inputs'!$B$162,SUM($AH259,$AI259,$AJ259,$AK259,$AL259,$AM259)*('Model Data Inputs'!$B$163-1),0))</f>
        <v>0</v>
      </c>
      <c r="AO259" s="222">
        <f t="shared" si="25"/>
        <v>0</v>
      </c>
      <c r="AP259" s="224">
        <f>$K259*'Model Data Inputs'!$B$166</f>
        <v>0</v>
      </c>
      <c r="AQ259" s="224">
        <f>($K259*'Model Data Inputs'!$B$145)*'Model Data Inputs'!$B$166</f>
        <v>0</v>
      </c>
      <c r="AR259" s="225">
        <f t="shared" si="26"/>
        <v>0</v>
      </c>
    </row>
    <row r="260" spans="1:44" s="226" customFormat="1" x14ac:dyDescent="0.2">
      <c r="A260" s="210" t="str">
        <f>'School Level Inst. Resources'!A260</f>
        <v>1601000</v>
      </c>
      <c r="B260" s="210" t="str">
        <f>'School Level Inst. Resources'!B260</f>
        <v>Platte #1</v>
      </c>
      <c r="C260" s="210" t="str">
        <f>'School Level Inst. Resources'!C260</f>
        <v>1601052</v>
      </c>
      <c r="D260" s="210" t="str">
        <f>'School Level Inst. Resources'!D260</f>
        <v>Glendo Junior High School</v>
      </c>
      <c r="E260" s="211" t="str">
        <f>'School Level Inst. Resources'!E260</f>
        <v>7-8</v>
      </c>
      <c r="F260" s="212" t="str">
        <f>'School Level Inst. Resources'!H260</f>
        <v>M</v>
      </c>
      <c r="G260" s="212" t="s">
        <v>1159</v>
      </c>
      <c r="H260" s="213">
        <v>0</v>
      </c>
      <c r="I260" s="213">
        <f>IF('SFD Allowable GSF Calculation'!$D$2=1,'SFD Allowable GSF Calculation'!$P260,'SFD Allowable GSF Calculation'!$X260)</f>
        <v>0</v>
      </c>
      <c r="J260" s="214">
        <f>$I260*'Model Data Inputs'!$B$165</f>
        <v>0</v>
      </c>
      <c r="K260" s="214">
        <f>IF($L260&gt;='Model Data Inputs'!$B$164,$H260,MIN($H260,$J260))</f>
        <v>0</v>
      </c>
      <c r="L260" s="233">
        <v>0</v>
      </c>
      <c r="M260" s="196" t="str">
        <f>IF($L260&gt;0,'Model Data Inputs'!$B$157-$L260,"")</f>
        <v/>
      </c>
      <c r="N260" s="216">
        <v>0</v>
      </c>
      <c r="O260" s="217">
        <v>0</v>
      </c>
      <c r="P260" s="218">
        <f>IF($G260="T",SUMIFS('School Level ADM'!$S$5:$S$359,'School Level ADM'!$A$5:$A$359,$A260),0)</f>
        <v>0</v>
      </c>
      <c r="Q260" s="219">
        <f t="shared" si="27"/>
        <v>0</v>
      </c>
      <c r="R260" s="220">
        <f>SUM((('School Level Inst. Resources'!I260/'Model Data Inputs'!$B$8)*(1+'Model Data Inputs'!$B$9)),(SUM('School Level Inst. Resources'!J260:K260)/'Model Data Inputs'!$C$8)*(1+'Model Data Inputs'!$C$9),'School Level Inst. Resources'!K260/400)</f>
        <v>0.79922043478260862</v>
      </c>
      <c r="S260" s="220">
        <v>0</v>
      </c>
      <c r="T260" s="221">
        <f>IF($G260="T",VLOOKUP($A260,'Total O &amp; M Resources'!$A$5:$K$52,3),0)</f>
        <v>0</v>
      </c>
      <c r="U260" s="222">
        <f>IF($G260="F",0,$S260/'Model Data Inputs'!$B$140)</f>
        <v>0</v>
      </c>
      <c r="V260" s="222">
        <f>IF($G260="F",0,$O260/'Model Data Inputs'!$B$141)</f>
        <v>0</v>
      </c>
      <c r="W260" s="222">
        <f>IF($G260="F",0,$N260/'Model Data Inputs'!$B$142)</f>
        <v>0</v>
      </c>
      <c r="X260" s="222">
        <f>IF($G260="F",0,$K260/'Model Data Inputs'!$B$143)</f>
        <v>0</v>
      </c>
      <c r="Y260" s="222">
        <f t="shared" si="22"/>
        <v>0</v>
      </c>
      <c r="Z260" s="222">
        <f>IF(OR($G260="F",$F260="E"),0,'Model Data Inputs'!$B$144)</f>
        <v>0</v>
      </c>
      <c r="AA260" s="222">
        <f>IF(AND($O260&lt;='Model Data Inputs'!$B$139,$F260="E"),0,IF(AND($O260&lt;='Model Data Inputs'!$B$139,$F260="M"),0,IF(AND($O260&lt;='Model Data Inputs'!$B$139,$F260="H"),0,IF(SUM($Y260:$Z260)&lt;1,1,SUM($Y260:$Z260)))))</f>
        <v>0</v>
      </c>
      <c r="AB260" s="222">
        <f>($K260/'Model Data Inputs'!$B$143)*'Model Data Inputs'!$B$145</f>
        <v>0</v>
      </c>
      <c r="AC260" s="222">
        <f t="shared" si="23"/>
        <v>0</v>
      </c>
      <c r="AD260" s="222">
        <f>IF($G260="F",0,'Model Data Inputs'!$B$147)</f>
        <v>0</v>
      </c>
      <c r="AE260" s="222">
        <f>IF($G260="F",0,($K260/'Model Data Inputs'!$B$148)*'Model Data Inputs'!$B$149)</f>
        <v>0</v>
      </c>
      <c r="AF260" s="222">
        <f>IF($G260="F",0,($O260/'Model Data Inputs'!$B$150)*'Model Data Inputs'!$B$151)</f>
        <v>0</v>
      </c>
      <c r="AG260" s="222">
        <f>IF($G260="F",0,(($Q260*$T260)/'Model Data Inputs'!$B$152)*'Model Data Inputs'!$B$153)</f>
        <v>0</v>
      </c>
      <c r="AH260" s="222">
        <f t="shared" si="24"/>
        <v>0</v>
      </c>
      <c r="AI260" s="223">
        <f>IF(OR($G260="F",$F260="M",$F260="H"),0,($AH260*'Model Data Inputs'!$B$154)-$AH260)</f>
        <v>0</v>
      </c>
      <c r="AJ260" s="222">
        <f>IF(OR($G260="F",$F260="E",$F260="H"),0,($AH260*'Model Data Inputs'!$B$155)-$AH260)</f>
        <v>0</v>
      </c>
      <c r="AK260" s="223">
        <f>IF(OR($G260="F",$F260="E",$F260="M"),0,($AH260*'Model Data Inputs'!$B$156)-$AH260)</f>
        <v>0</v>
      </c>
      <c r="AL260" s="223">
        <f>IF($G260="F",0,IF($M260&lt;'Model Data Inputs'!$B$158,$AH260*('Model Data Inputs'!$B$159-1),0))</f>
        <v>0</v>
      </c>
      <c r="AM260" s="222">
        <f>IF($G260="F",0,IF($M260&gt;'Model Data Inputs'!$B$160,$AH260*('Model Data Inputs'!$B$161-1),0))</f>
        <v>0</v>
      </c>
      <c r="AN260" s="222">
        <f>IF($G260="F",0,IF($P260&lt;'Model Data Inputs'!$B$162,SUM($AH260,$AI260,$AJ260,$AK260,$AL260,$AM260)*('Model Data Inputs'!$B$163-1),0))</f>
        <v>0</v>
      </c>
      <c r="AO260" s="222">
        <f t="shared" si="25"/>
        <v>0</v>
      </c>
      <c r="AP260" s="224">
        <f>$K260*'Model Data Inputs'!$B$166</f>
        <v>0</v>
      </c>
      <c r="AQ260" s="224">
        <f>($K260*'Model Data Inputs'!$B$145)*'Model Data Inputs'!$B$166</f>
        <v>0</v>
      </c>
      <c r="AR260" s="225">
        <f t="shared" si="26"/>
        <v>0</v>
      </c>
    </row>
    <row r="261" spans="1:44" s="226" customFormat="1" x14ac:dyDescent="0.2">
      <c r="A261" s="210" t="str">
        <f>'School Level Inst. Resources'!A261</f>
        <v>1601000</v>
      </c>
      <c r="B261" s="210" t="str">
        <f>'School Level Inst. Resources'!B261</f>
        <v>Platte #1</v>
      </c>
      <c r="C261" s="210" t="str">
        <f>'School Level Inst. Resources'!C261</f>
        <v>1601055</v>
      </c>
      <c r="D261" s="210" t="str">
        <f>'School Level Inst. Resources'!D261</f>
        <v>Chugwater High School</v>
      </c>
      <c r="E261" s="211" t="str">
        <f>'School Level Inst. Resources'!E261</f>
        <v>9-12</v>
      </c>
      <c r="F261" s="212" t="str">
        <f>'School Level Inst. Resources'!H261</f>
        <v>H</v>
      </c>
      <c r="G261" s="212" t="s">
        <v>1158</v>
      </c>
      <c r="H261" s="213">
        <v>35042</v>
      </c>
      <c r="I261" s="213">
        <f>IF('SFD Allowable GSF Calculation'!$D$2=1,'SFD Allowable GSF Calculation'!$P261,'SFD Allowable GSF Calculation'!$X261)</f>
        <v>11518</v>
      </c>
      <c r="J261" s="214">
        <f>$I261*'Model Data Inputs'!$B$165</f>
        <v>13245.699999999999</v>
      </c>
      <c r="K261" s="214">
        <f>IF($L261&gt;='Model Data Inputs'!$B$164,$H261,MIN($H261,$J261))</f>
        <v>13245.699999999999</v>
      </c>
      <c r="L261" s="233">
        <v>1998</v>
      </c>
      <c r="M261" s="196">
        <f>IF($L261&gt;0,'Model Data Inputs'!$B$157-$L261,"")</f>
        <v>19</v>
      </c>
      <c r="N261" s="216">
        <v>16</v>
      </c>
      <c r="O261" s="218">
        <f>SUM('School Level Inst. Resources'!$L259,'School Level Inst. Resources'!$L261)</f>
        <v>17.73</v>
      </c>
      <c r="P261" s="218">
        <f>IF($G261="T",SUMIFS('School Level ADM'!$S$5:$S$359,'School Level ADM'!$A$5:$A$359,$A261),0)</f>
        <v>1007.6549999999999</v>
      </c>
      <c r="Q261" s="219">
        <f t="shared" si="27"/>
        <v>1.7595307917888565E-2</v>
      </c>
      <c r="R261" s="234">
        <f>SUM((('School Level Inst. Resources'!I261/'Model Data Inputs'!$B$8)*(1+'Model Data Inputs'!$B$9)),(SUM('School Level Inst. Resources'!J261:K261)/'Model Data Inputs'!$C$8)*(1+'Model Data Inputs'!$C$9),'School Level Inst. Resources'!K261/400)</f>
        <v>0.8932451086956521</v>
      </c>
      <c r="S261" s="234">
        <f>SUM(R259,R261)</f>
        <v>1.0645066304347826</v>
      </c>
      <c r="T261" s="221">
        <f>IF($G261="T",VLOOKUP($A261,'Total O &amp; M Resources'!$A$5:$K$52,3),0)</f>
        <v>12533456.120000003</v>
      </c>
      <c r="U261" s="222">
        <f>IF($G261="F",0,$S261/'Model Data Inputs'!$B$140)</f>
        <v>8.1885125418060201E-2</v>
      </c>
      <c r="V261" s="222">
        <f>IF($G261="F",0,$O261/'Model Data Inputs'!$B$141)</f>
        <v>5.4553846153846154E-2</v>
      </c>
      <c r="W261" s="222">
        <f>IF($G261="F",0,$N261/'Model Data Inputs'!$B$142)</f>
        <v>1.2307692307692308</v>
      </c>
      <c r="X261" s="222">
        <f>IF($G261="F",0,$K261/'Model Data Inputs'!$B$143)</f>
        <v>0.73587222222222215</v>
      </c>
      <c r="Y261" s="222">
        <f t="shared" si="22"/>
        <v>0.52577010614083985</v>
      </c>
      <c r="Z261" s="222">
        <f>IF(OR($G261="F",$F261="E"),0,'Model Data Inputs'!$B$144)</f>
        <v>0.5</v>
      </c>
      <c r="AA261" s="222">
        <f>IF(AND($O261&lt;='Model Data Inputs'!$B$139,$F261="E"),0,IF(AND($O261&lt;='Model Data Inputs'!$B$139,$F261="M"),0,IF(AND($O261&lt;='Model Data Inputs'!$B$139,$F261="H"),0,IF(SUM($Y261:$Z261)&lt;1,1,SUM($Y261:$Z261)))))</f>
        <v>0</v>
      </c>
      <c r="AB261" s="222">
        <f>($K261/'Model Data Inputs'!$B$143)*'Model Data Inputs'!$B$145</f>
        <v>7.3587222222222221E-2</v>
      </c>
      <c r="AC261" s="222">
        <f t="shared" si="23"/>
        <v>7.3587222222222221E-2</v>
      </c>
      <c r="AD261" s="222">
        <f>IF($G261="F",0,'Model Data Inputs'!$B$147)</f>
        <v>1.1000000000000001</v>
      </c>
      <c r="AE261" s="222">
        <f>IF($G261="F",0,($K261/'Model Data Inputs'!$B$148)*'Model Data Inputs'!$B$149)</f>
        <v>0.26491399999999998</v>
      </c>
      <c r="AF261" s="222">
        <f>IF($G261="F",0,($O261/'Model Data Inputs'!$B$150)*'Model Data Inputs'!$B$151)</f>
        <v>2.3049E-2</v>
      </c>
      <c r="AG261" s="222">
        <f>IF($G261="F",0,(($Q261*$T261)/'Model Data Inputs'!$B$152)*'Model Data Inputs'!$B$153)</f>
        <v>5.2927204729618788E-2</v>
      </c>
      <c r="AH261" s="222">
        <f t="shared" si="24"/>
        <v>0.36022255118240476</v>
      </c>
      <c r="AI261" s="223">
        <f>IF(OR($G261="F",$F261="M",$F261="H"),0,($AH261*'Model Data Inputs'!$B$154)-$AH261)</f>
        <v>0</v>
      </c>
      <c r="AJ261" s="222">
        <f>IF(OR($G261="F",$F261="E",$F261="H"),0,($AH261*'Model Data Inputs'!$B$155)-$AH261)</f>
        <v>0</v>
      </c>
      <c r="AK261" s="223">
        <f>IF(OR($G261="F",$F261="E",$F261="M"),0,($AH261*'Model Data Inputs'!$B$156)-$AH261)</f>
        <v>0.36022255118240476</v>
      </c>
      <c r="AL261" s="223">
        <f>IF($G261="F",0,IF($M261&lt;'Model Data Inputs'!$B$158,$AH261*('Model Data Inputs'!$B$159-1),0))</f>
        <v>0</v>
      </c>
      <c r="AM261" s="222">
        <f>IF($G261="F",0,IF($M261&gt;'Model Data Inputs'!$B$160,$AH261*('Model Data Inputs'!$B$161-1),0))</f>
        <v>0</v>
      </c>
      <c r="AN261" s="222">
        <f>IF($G261="F",0,IF($P261&lt;'Model Data Inputs'!$B$162,SUM($AH261,$AI261,$AJ261,$AK261,$AL261,$AM261)*('Model Data Inputs'!$B$163-1),0))</f>
        <v>0</v>
      </c>
      <c r="AO261" s="222">
        <f t="shared" si="25"/>
        <v>0.72044510236480952</v>
      </c>
      <c r="AP261" s="224">
        <f>$K261*'Model Data Inputs'!$B$166</f>
        <v>8874.6190000000006</v>
      </c>
      <c r="AQ261" s="224">
        <f>($K261*'Model Data Inputs'!$B$145)*'Model Data Inputs'!$B$166</f>
        <v>887.46190000000001</v>
      </c>
      <c r="AR261" s="225">
        <f t="shared" si="26"/>
        <v>9762.0809000000008</v>
      </c>
    </row>
    <row r="262" spans="1:44" s="226" customFormat="1" x14ac:dyDescent="0.2">
      <c r="A262" s="210" t="str">
        <f>'School Level Inst. Resources'!A262</f>
        <v>1601000</v>
      </c>
      <c r="B262" s="210" t="str">
        <f>'School Level Inst. Resources'!B262</f>
        <v>Platte #1</v>
      </c>
      <c r="C262" s="210" t="str">
        <f>'School Level Inst. Resources'!C262</f>
        <v>1601056</v>
      </c>
      <c r="D262" s="210" t="str">
        <f>'School Level Inst. Resources'!D262</f>
        <v>Glendo High School</v>
      </c>
      <c r="E262" s="211" t="str">
        <f>'School Level Inst. Resources'!E262</f>
        <v>9-12</v>
      </c>
      <c r="F262" s="212" t="str">
        <f>'School Level Inst. Resources'!H262</f>
        <v>H</v>
      </c>
      <c r="G262" s="212" t="s">
        <v>1158</v>
      </c>
      <c r="H262" s="213">
        <v>39676</v>
      </c>
      <c r="I262" s="213">
        <f>IF('SFD Allowable GSF Calculation'!$D$2=1,'SFD Allowable GSF Calculation'!$P262,'SFD Allowable GSF Calculation'!$X262)</f>
        <v>13101</v>
      </c>
      <c r="J262" s="214">
        <f>$I262*'Model Data Inputs'!$B$165</f>
        <v>15066.15</v>
      </c>
      <c r="K262" s="214">
        <f>IF($L262&gt;='Model Data Inputs'!$B$164,$H262,MIN($H262,$J262))</f>
        <v>15066.15</v>
      </c>
      <c r="L262" s="233">
        <v>1927</v>
      </c>
      <c r="M262" s="196">
        <f>IF($L262&gt;0,'Model Data Inputs'!$B$157-$L262,"")</f>
        <v>90</v>
      </c>
      <c r="N262" s="216">
        <v>14</v>
      </c>
      <c r="O262" s="218">
        <f>SUM('School Level Inst. Resources'!$L260,'School Level Inst. Resources'!$L262)</f>
        <v>30.535</v>
      </c>
      <c r="P262" s="218">
        <f>IF($G262="T",SUMIFS('School Level ADM'!$S$5:$S$359,'School Level ADM'!$A$5:$A$359,$A262),0)</f>
        <v>1007.6549999999999</v>
      </c>
      <c r="Q262" s="219">
        <f t="shared" si="27"/>
        <v>3.0303030303030307E-2</v>
      </c>
      <c r="R262" s="234">
        <f>SUM((('School Level Inst. Resources'!I262/'Model Data Inputs'!$B$8)*(1+'Model Data Inputs'!$B$9)),(SUM('School Level Inst. Resources'!J262:K262)/'Model Data Inputs'!$C$8)*(1+'Model Data Inputs'!$C$9),'School Level Inst. Resources'!K262/400)</f>
        <v>1.012344456521739</v>
      </c>
      <c r="S262" s="234">
        <f>SUM(R260,R262)</f>
        <v>1.8115648913043476</v>
      </c>
      <c r="T262" s="221">
        <f>IF($G262="T",VLOOKUP($A262,'Total O &amp; M Resources'!$A$5:$K$52,3),0)</f>
        <v>12533456.120000003</v>
      </c>
      <c r="U262" s="222">
        <f>IF($G262="F",0,$S262/'Model Data Inputs'!$B$140)</f>
        <v>0.13935114548494981</v>
      </c>
      <c r="V262" s="222">
        <f>IF($G262="F",0,$O262/'Model Data Inputs'!$B$141)</f>
        <v>9.3953846153846152E-2</v>
      </c>
      <c r="W262" s="222">
        <f>IF($G262="F",0,$N262/'Model Data Inputs'!$B$142)</f>
        <v>1.0769230769230769</v>
      </c>
      <c r="X262" s="222">
        <f>IF($G262="F",0,$K262/'Model Data Inputs'!$B$143)</f>
        <v>0.83700833333333335</v>
      </c>
      <c r="Y262" s="222">
        <f t="shared" ref="Y262:Y325" si="29">AVERAGE(U262:X262)</f>
        <v>0.53680910047380159</v>
      </c>
      <c r="Z262" s="222">
        <f>IF(OR($G262="F",$F262="E"),0,'Model Data Inputs'!$B$144)</f>
        <v>0.5</v>
      </c>
      <c r="AA262" s="222">
        <f>IF(AND($O262&lt;='Model Data Inputs'!$B$139,$F262="E"),0,IF(AND($O262&lt;='Model Data Inputs'!$B$139,$F262="M"),0,IF(AND($O262&lt;='Model Data Inputs'!$B$139,$F262="H"),0,IF(SUM($Y262:$Z262)&lt;1,1,SUM($Y262:$Z262)))))</f>
        <v>0</v>
      </c>
      <c r="AB262" s="222">
        <f>($K262/'Model Data Inputs'!$B$143)*'Model Data Inputs'!$B$145</f>
        <v>8.3700833333333335E-2</v>
      </c>
      <c r="AC262" s="222">
        <f t="shared" ref="AC262:AC325" si="30">SUM(AA262:AB262)</f>
        <v>8.3700833333333335E-2</v>
      </c>
      <c r="AD262" s="222">
        <f>IF($G262="F",0,'Model Data Inputs'!$B$147)</f>
        <v>1.1000000000000001</v>
      </c>
      <c r="AE262" s="222">
        <f>IF($G262="F",0,($K262/'Model Data Inputs'!$B$148)*'Model Data Inputs'!$B$149)</f>
        <v>0.30132300000000001</v>
      </c>
      <c r="AF262" s="222">
        <f>IF($G262="F",0,($O262/'Model Data Inputs'!$B$150)*'Model Data Inputs'!$B$151)</f>
        <v>3.9695500000000002E-2</v>
      </c>
      <c r="AG262" s="222">
        <f>IF($G262="F",0,(($Q262*$T262)/'Model Data Inputs'!$B$152)*'Model Data Inputs'!$B$153)</f>
        <v>9.1152408145454583E-2</v>
      </c>
      <c r="AH262" s="222">
        <f t="shared" ref="AH262:AH325" si="31">AVERAGE($AD262:$AG262)</f>
        <v>0.38304272703636372</v>
      </c>
      <c r="AI262" s="223">
        <f>IF(OR($G262="F",$F262="M",$F262="H"),0,($AH262*'Model Data Inputs'!$B$154)-$AH262)</f>
        <v>0</v>
      </c>
      <c r="AJ262" s="222">
        <f>IF(OR($G262="F",$F262="E",$F262="H"),0,($AH262*'Model Data Inputs'!$B$155)-$AH262)</f>
        <v>0</v>
      </c>
      <c r="AK262" s="223">
        <f>IF(OR($G262="F",$F262="E",$F262="M"),0,($AH262*'Model Data Inputs'!$B$156)-$AH262)</f>
        <v>0.38304272703636372</v>
      </c>
      <c r="AL262" s="223">
        <f>IF($G262="F",0,IF($M262&lt;'Model Data Inputs'!$B$158,$AH262*('Model Data Inputs'!$B$159-1),0))</f>
        <v>0</v>
      </c>
      <c r="AM262" s="222">
        <f>IF($G262="F",0,IF($M262&gt;'Model Data Inputs'!$B$160,$AH262*('Model Data Inputs'!$B$161-1),0))</f>
        <v>3.8304272703636406E-2</v>
      </c>
      <c r="AN262" s="222">
        <f>IF($G262="F",0,IF($P262&lt;'Model Data Inputs'!$B$162,SUM($AH262,$AI262,$AJ262,$AK262,$AL262,$AM262)*('Model Data Inputs'!$B$163-1),0))</f>
        <v>0</v>
      </c>
      <c r="AO262" s="222">
        <f t="shared" ref="AO262:AO325" si="32">SUM(AH262:AN262)</f>
        <v>0.80438972677636389</v>
      </c>
      <c r="AP262" s="224">
        <f>$K262*'Model Data Inputs'!$B$166</f>
        <v>10094.3205</v>
      </c>
      <c r="AQ262" s="224">
        <f>($K262*'Model Data Inputs'!$B$145)*'Model Data Inputs'!$B$166</f>
        <v>1009.4320500000001</v>
      </c>
      <c r="AR262" s="225">
        <f t="shared" ref="AR262:AR325" si="33">SUM(AP262:AQ262)</f>
        <v>11103.752549999999</v>
      </c>
    </row>
    <row r="263" spans="1:44" s="255" customFormat="1" x14ac:dyDescent="0.2">
      <c r="A263" s="227" t="str">
        <f>'School Level Inst. Resources'!A263</f>
        <v>1601000</v>
      </c>
      <c r="B263" s="227" t="str">
        <f>'School Level Inst. Resources'!B263</f>
        <v>Platte #1</v>
      </c>
      <c r="C263" s="227" t="str">
        <f>'School Level Inst. Resources'!C263</f>
        <v>1601057</v>
      </c>
      <c r="D263" s="227" t="str">
        <f>'School Level Inst. Resources'!D263</f>
        <v>Wheatland High School</v>
      </c>
      <c r="E263" s="228" t="str">
        <f>'School Level Inst. Resources'!E263</f>
        <v>9-12</v>
      </c>
      <c r="F263" s="245" t="str">
        <f>'School Level Inst. Resources'!H263</f>
        <v>H</v>
      </c>
      <c r="G263" s="245" t="s">
        <v>1158</v>
      </c>
      <c r="H263" s="207">
        <v>91505</v>
      </c>
      <c r="I263" s="207">
        <f>IF('SFD Allowable GSF Calculation'!$D$2=1,'SFD Allowable GSF Calculation'!$P263,'SFD Allowable GSF Calculation'!$X263)</f>
        <v>74997</v>
      </c>
      <c r="J263" s="246">
        <f>$I263*'Model Data Inputs'!$B$165</f>
        <v>86246.549999999988</v>
      </c>
      <c r="K263" s="246">
        <f>IF($L263&gt;='Model Data Inputs'!$B$164,$H263,MIN($H263,$J263))</f>
        <v>86246.549999999988</v>
      </c>
      <c r="L263" s="208">
        <v>1977</v>
      </c>
      <c r="M263" s="196">
        <f>IF($L263&gt;0,'Model Data Inputs'!$B$157-$L263,"")</f>
        <v>40</v>
      </c>
      <c r="N263" s="209">
        <v>31</v>
      </c>
      <c r="O263" s="247">
        <f>'School Level Inst. Resources'!$L263</f>
        <v>274.815</v>
      </c>
      <c r="P263" s="247">
        <f>IF($G263="T",SUMIFS('School Level ADM'!$S$5:$S$359,'School Level ADM'!$A$5:$A$359,$A263),0)</f>
        <v>1007.6549999999999</v>
      </c>
      <c r="Q263" s="248">
        <f t="shared" ref="Q263:Q326" si="34">IF($G263="F",0,$O263/$P263)</f>
        <v>0.27272727272727276</v>
      </c>
      <c r="R263" s="249">
        <f>SUM((('School Level Inst. Resources'!I263/'Model Data Inputs'!$B$8)*(1+'Model Data Inputs'!$B$9)),(SUM('School Level Inst. Resources'!J263:K263)/'Model Data Inputs'!$C$8)*(1+'Model Data Inputs'!$C$9),'School Level Inst. Resources'!K263/400)</f>
        <v>16.61435902173913</v>
      </c>
      <c r="S263" s="249">
        <f t="shared" ref="S263:S326" si="35">R263</f>
        <v>16.61435902173913</v>
      </c>
      <c r="T263" s="250">
        <f>IF($G263="T",VLOOKUP($A263,'Total O &amp; M Resources'!$A$5:$K$52,3),0)</f>
        <v>12533456.120000003</v>
      </c>
      <c r="U263" s="251">
        <f>IF($G263="F",0,$S263/'Model Data Inputs'!$B$140)</f>
        <v>1.2780276170568561</v>
      </c>
      <c r="V263" s="251">
        <f>IF($G263="F",0,$O263/'Model Data Inputs'!$B$141)</f>
        <v>0.84558461538461538</v>
      </c>
      <c r="W263" s="251">
        <f>IF($G263="F",0,$N263/'Model Data Inputs'!$B$142)</f>
        <v>2.3846153846153846</v>
      </c>
      <c r="X263" s="251">
        <f>IF($G263="F",0,$K263/'Model Data Inputs'!$B$143)</f>
        <v>4.7914749999999993</v>
      </c>
      <c r="Y263" s="251">
        <f t="shared" si="29"/>
        <v>2.3249256542642138</v>
      </c>
      <c r="Z263" s="251">
        <f>IF(OR($G263="F",$F263="E"),0,'Model Data Inputs'!$B$144)</f>
        <v>0.5</v>
      </c>
      <c r="AA263" s="251">
        <f>IF(AND($O263&lt;='Model Data Inputs'!$B$139,$F263="E"),0,IF(AND($O263&lt;='Model Data Inputs'!$B$139,$F263="M"),0,IF(AND($O263&lt;='Model Data Inputs'!$B$139,$F263="H"),0,IF(SUM($Y263:$Z263)&lt;1,1,SUM($Y263:$Z263)))))</f>
        <v>2.8249256542642138</v>
      </c>
      <c r="AB263" s="251">
        <f>($K263/'Model Data Inputs'!$B$143)*'Model Data Inputs'!$B$145</f>
        <v>0.47914749999999995</v>
      </c>
      <c r="AC263" s="251">
        <f t="shared" si="30"/>
        <v>3.3040731542642137</v>
      </c>
      <c r="AD263" s="251">
        <f>IF($G263="F",0,'Model Data Inputs'!$B$147)</f>
        <v>1.1000000000000001</v>
      </c>
      <c r="AE263" s="251">
        <f>IF($G263="F",0,($K263/'Model Data Inputs'!$B$148)*'Model Data Inputs'!$B$149)</f>
        <v>1.7249309999999995</v>
      </c>
      <c r="AF263" s="251">
        <f>IF($G263="F",0,($O263/'Model Data Inputs'!$B$150)*'Model Data Inputs'!$B$151)</f>
        <v>0.35725950000000001</v>
      </c>
      <c r="AG263" s="251">
        <f>IF($G263="F",0,(($Q263*$T263)/'Model Data Inputs'!$B$152)*'Model Data Inputs'!$B$153)</f>
        <v>0.82037167330909122</v>
      </c>
      <c r="AH263" s="251">
        <f t="shared" si="31"/>
        <v>1.0006405433272727</v>
      </c>
      <c r="AI263" s="252">
        <f>IF(OR($G263="F",$F263="M",$F263="H"),0,($AH263*'Model Data Inputs'!$B$154)-$AH263)</f>
        <v>0</v>
      </c>
      <c r="AJ263" s="251">
        <f>IF(OR($G263="F",$F263="E",$F263="H"),0,($AH263*'Model Data Inputs'!$B$155)-$AH263)</f>
        <v>0</v>
      </c>
      <c r="AK263" s="252">
        <f>IF(OR($G263="F",$F263="E",$F263="M"),0,($AH263*'Model Data Inputs'!$B$156)-$AH263)</f>
        <v>1.0006405433272727</v>
      </c>
      <c r="AL263" s="252">
        <f>IF($G263="F",0,IF($M263&lt;'Model Data Inputs'!$B$158,$AH263*('Model Data Inputs'!$B$159-1),0))</f>
        <v>0</v>
      </c>
      <c r="AM263" s="251">
        <f>IF($G263="F",0,IF($M263&gt;'Model Data Inputs'!$B$160,$AH263*('Model Data Inputs'!$B$161-1),0))</f>
        <v>0.10006405433272736</v>
      </c>
      <c r="AN263" s="251">
        <f>IF($G263="F",0,IF($P263&lt;'Model Data Inputs'!$B$162,SUM($AH263,$AI263,$AJ263,$AK263,$AL263,$AM263)*('Model Data Inputs'!$B$163-1),0))</f>
        <v>0</v>
      </c>
      <c r="AO263" s="251">
        <f t="shared" si="32"/>
        <v>2.1013451409872728</v>
      </c>
      <c r="AP263" s="253">
        <f>$K263*'Model Data Inputs'!$B$166</f>
        <v>57785.188499999997</v>
      </c>
      <c r="AQ263" s="253">
        <f>($K263*'Model Data Inputs'!$B$145)*'Model Data Inputs'!$B$166</f>
        <v>5778.5188499999995</v>
      </c>
      <c r="AR263" s="254">
        <f t="shared" si="33"/>
        <v>63563.707349999997</v>
      </c>
    </row>
    <row r="264" spans="1:44" s="255" customFormat="1" x14ac:dyDescent="0.2">
      <c r="A264" s="227" t="str">
        <f>'School Level Inst. Resources'!A264</f>
        <v>1601000</v>
      </c>
      <c r="B264" s="227" t="str">
        <f>'School Level Inst. Resources'!B264</f>
        <v>Platte #1</v>
      </c>
      <c r="C264" s="227" t="str">
        <f>'School Level Inst. Resources'!C264</f>
        <v>1601058</v>
      </c>
      <c r="D264" s="227" t="str">
        <f>'School Level Inst. Resources'!D264</f>
        <v>Peak High School</v>
      </c>
      <c r="E264" s="228" t="str">
        <f>'School Level Inst. Resources'!E264</f>
        <v>9-12</v>
      </c>
      <c r="F264" s="245" t="str">
        <f>'School Level Inst. Resources'!H264</f>
        <v>H</v>
      </c>
      <c r="G264" s="245" t="s">
        <v>1158</v>
      </c>
      <c r="H264" s="207">
        <v>6534</v>
      </c>
      <c r="I264" s="207">
        <f>IF('SFD Allowable GSF Calculation'!$D$2=1,'SFD Allowable GSF Calculation'!$P264,'SFD Allowable GSF Calculation'!$X264)</f>
        <v>5398</v>
      </c>
      <c r="J264" s="246">
        <f>$I264*'Model Data Inputs'!$B$165</f>
        <v>6207.7</v>
      </c>
      <c r="K264" s="246">
        <f>IF($L264&gt;='Model Data Inputs'!$B$164,$H264,MIN($H264,$J264))</f>
        <v>6207.7</v>
      </c>
      <c r="L264" s="208">
        <v>1960</v>
      </c>
      <c r="M264" s="196">
        <f>IF($L264&gt;0,'Model Data Inputs'!$B$157-$L264,"")</f>
        <v>57</v>
      </c>
      <c r="N264" s="209">
        <v>5</v>
      </c>
      <c r="O264" s="247">
        <f>'School Level Inst. Resources'!$L264</f>
        <v>18.715</v>
      </c>
      <c r="P264" s="247">
        <f>IF($G264="T",SUMIFS('School Level ADM'!$S$5:$S$359,'School Level ADM'!$A$5:$A$359,$A264),0)</f>
        <v>1007.6549999999999</v>
      </c>
      <c r="Q264" s="248">
        <f t="shared" si="34"/>
        <v>1.8572825024437929E-2</v>
      </c>
      <c r="R264" s="249">
        <f>SUM((('School Level Inst. Resources'!I264/'Model Data Inputs'!$B$8)*(1+'Model Data Inputs'!$B$9)),(SUM('School Level Inst. Resources'!J264:K264)/'Model Data Inputs'!$C$8)*(1+'Model Data Inputs'!$C$9),'School Level Inst. Resources'!K264/400)</f>
        <v>1.1314438043478261</v>
      </c>
      <c r="S264" s="249">
        <f t="shared" si="35"/>
        <v>1.1314438043478261</v>
      </c>
      <c r="T264" s="250">
        <f>IF($G264="T",VLOOKUP($A264,'Total O &amp; M Resources'!$A$5:$K$52,3),0)</f>
        <v>12533456.120000003</v>
      </c>
      <c r="U264" s="251">
        <f>IF($G264="F",0,$S264/'Model Data Inputs'!$B$140)</f>
        <v>8.7034138795986621E-2</v>
      </c>
      <c r="V264" s="251">
        <f>IF($G264="F",0,$O264/'Model Data Inputs'!$B$141)</f>
        <v>5.7584615384615387E-2</v>
      </c>
      <c r="W264" s="251">
        <f>IF($G264="F",0,$N264/'Model Data Inputs'!$B$142)</f>
        <v>0.38461538461538464</v>
      </c>
      <c r="X264" s="251">
        <f>IF($G264="F",0,$K264/'Model Data Inputs'!$B$143)</f>
        <v>0.34487222222222219</v>
      </c>
      <c r="Y264" s="251">
        <f t="shared" si="29"/>
        <v>0.21852659025455223</v>
      </c>
      <c r="Z264" s="251">
        <f>IF(OR($G264="F",$F264="E"),0,'Model Data Inputs'!$B$144)</f>
        <v>0.5</v>
      </c>
      <c r="AA264" s="251">
        <f>IF(AND($O264&lt;='Model Data Inputs'!$B$139,$F264="E"),0,IF(AND($O264&lt;='Model Data Inputs'!$B$139,$F264="M"),0,IF(AND($O264&lt;='Model Data Inputs'!$B$139,$F264="H"),0,IF(SUM($Y264:$Z264)&lt;1,1,SUM($Y264:$Z264)))))</f>
        <v>0</v>
      </c>
      <c r="AB264" s="251">
        <f>($K264/'Model Data Inputs'!$B$143)*'Model Data Inputs'!$B$145</f>
        <v>3.4487222222222218E-2</v>
      </c>
      <c r="AC264" s="251">
        <f t="shared" si="30"/>
        <v>3.4487222222222218E-2</v>
      </c>
      <c r="AD264" s="251">
        <f>IF($G264="F",0,'Model Data Inputs'!$B$147)</f>
        <v>1.1000000000000001</v>
      </c>
      <c r="AE264" s="251">
        <f>IF($G264="F",0,($K264/'Model Data Inputs'!$B$148)*'Model Data Inputs'!$B$149)</f>
        <v>0.12415399999999999</v>
      </c>
      <c r="AF264" s="251">
        <f>IF($G264="F",0,($O264/'Model Data Inputs'!$B$150)*'Model Data Inputs'!$B$151)</f>
        <v>2.43295E-2</v>
      </c>
      <c r="AG264" s="251">
        <f>IF($G264="F",0,(($Q264*$T264)/'Model Data Inputs'!$B$152)*'Model Data Inputs'!$B$153)</f>
        <v>5.5867604992375378E-2</v>
      </c>
      <c r="AH264" s="251">
        <f t="shared" si="31"/>
        <v>0.32608777624809382</v>
      </c>
      <c r="AI264" s="252">
        <f>IF(OR($G264="F",$F264="M",$F264="H"),0,($AH264*'Model Data Inputs'!$B$154)-$AH264)</f>
        <v>0</v>
      </c>
      <c r="AJ264" s="251">
        <f>IF(OR($G264="F",$F264="E",$F264="H"),0,($AH264*'Model Data Inputs'!$B$155)-$AH264)</f>
        <v>0</v>
      </c>
      <c r="AK264" s="252">
        <f>IF(OR($G264="F",$F264="E",$F264="M"),0,($AH264*'Model Data Inputs'!$B$156)-$AH264)</f>
        <v>0.32608777624809382</v>
      </c>
      <c r="AL264" s="252">
        <f>IF($G264="F",0,IF($M264&lt;'Model Data Inputs'!$B$158,$AH264*('Model Data Inputs'!$B$159-1),0))</f>
        <v>0</v>
      </c>
      <c r="AM264" s="251">
        <f>IF($G264="F",0,IF($M264&gt;'Model Data Inputs'!$B$160,$AH264*('Model Data Inputs'!$B$161-1),0))</f>
        <v>3.2608777624809411E-2</v>
      </c>
      <c r="AN264" s="251">
        <f>IF($G264="F",0,IF($P264&lt;'Model Data Inputs'!$B$162,SUM($AH264,$AI264,$AJ264,$AK264,$AL264,$AM264)*('Model Data Inputs'!$B$163-1),0))</f>
        <v>0</v>
      </c>
      <c r="AO264" s="251">
        <f t="shared" si="32"/>
        <v>0.68478433012099704</v>
      </c>
      <c r="AP264" s="253">
        <f>$K264*'Model Data Inputs'!$B$166</f>
        <v>4159.1590000000006</v>
      </c>
      <c r="AQ264" s="253">
        <f>($K264*'Model Data Inputs'!$B$145)*'Model Data Inputs'!$B$166</f>
        <v>415.91590000000002</v>
      </c>
      <c r="AR264" s="254">
        <f t="shared" si="33"/>
        <v>4575.0749000000005</v>
      </c>
    </row>
    <row r="265" spans="1:44" s="226" customFormat="1" x14ac:dyDescent="0.2">
      <c r="A265" s="210" t="str">
        <f>'School Level Inst. Resources'!A265</f>
        <v>1602000</v>
      </c>
      <c r="B265" s="210" t="str">
        <f>'School Level Inst. Resources'!B265</f>
        <v>Platte #2</v>
      </c>
      <c r="C265" s="210" t="str">
        <f>'School Level Inst. Resources'!C265</f>
        <v>1602001</v>
      </c>
      <c r="D265" s="210" t="str">
        <f>'School Level Inst. Resources'!D265</f>
        <v>Guernsey-Sunrise Elementary</v>
      </c>
      <c r="E265" s="211" t="str">
        <f>'School Level Inst. Resources'!E265</f>
        <v>K-6</v>
      </c>
      <c r="F265" s="212" t="str">
        <f>'School Level Inst. Resources'!H265</f>
        <v>E</v>
      </c>
      <c r="G265" s="212" t="s">
        <v>1159</v>
      </c>
      <c r="H265" s="213">
        <v>0</v>
      </c>
      <c r="I265" s="213">
        <f>IF('SFD Allowable GSF Calculation'!$D$2=1,'SFD Allowable GSF Calculation'!$P265,'SFD Allowable GSF Calculation'!$X265)</f>
        <v>0</v>
      </c>
      <c r="J265" s="214">
        <f>$I265*'Model Data Inputs'!$B$165</f>
        <v>0</v>
      </c>
      <c r="K265" s="214">
        <f>IF($L265&gt;='Model Data Inputs'!$B$164,$H265,MIN($H265,$J265))</f>
        <v>0</v>
      </c>
      <c r="L265" s="233">
        <v>0</v>
      </c>
      <c r="M265" s="196" t="str">
        <f>IF($L265&gt;0,'Model Data Inputs'!$B$157-$L265,"")</f>
        <v/>
      </c>
      <c r="N265" s="216">
        <v>0</v>
      </c>
      <c r="O265" s="217">
        <v>0</v>
      </c>
      <c r="P265" s="218">
        <f>IF($G265="T",SUMIFS('School Level ADM'!$S$5:$S$359,'School Level ADM'!$A$5:$A$359,$A265),0)</f>
        <v>0</v>
      </c>
      <c r="Q265" s="219">
        <f t="shared" si="34"/>
        <v>0</v>
      </c>
      <c r="R265" s="220">
        <f>SUM((('School Level Inst. Resources'!I265/'Model Data Inputs'!$B$8)*(1+'Model Data Inputs'!$B$9)),(SUM('School Level Inst. Resources'!J265:K265)/'Model Data Inputs'!$C$8)*(1+'Model Data Inputs'!$C$9),'School Level Inst. Resources'!K265/400)</f>
        <v>9.3079333333333327</v>
      </c>
      <c r="S265" s="220">
        <v>0</v>
      </c>
      <c r="T265" s="221">
        <f>IF($G265="T",VLOOKUP($A265,'Total O &amp; M Resources'!$A$5:$K$52,3),0)</f>
        <v>0</v>
      </c>
      <c r="U265" s="222">
        <f>IF($G265="F",0,$S265/'Model Data Inputs'!$B$140)</f>
        <v>0</v>
      </c>
      <c r="V265" s="222">
        <f>IF($G265="F",0,$O265/'Model Data Inputs'!$B$141)</f>
        <v>0</v>
      </c>
      <c r="W265" s="222">
        <f>IF($G265="F",0,$N265/'Model Data Inputs'!$B$142)</f>
        <v>0</v>
      </c>
      <c r="X265" s="222">
        <f>IF($G265="F",0,$K265/'Model Data Inputs'!$B$143)</f>
        <v>0</v>
      </c>
      <c r="Y265" s="222">
        <f t="shared" si="29"/>
        <v>0</v>
      </c>
      <c r="Z265" s="222">
        <f>IF(OR($G265="F",$F265="E"),0,'Model Data Inputs'!$B$144)</f>
        <v>0</v>
      </c>
      <c r="AA265" s="222">
        <f>IF(AND($O265&lt;='Model Data Inputs'!$B$139,$F265="E"),0,IF(AND($O265&lt;='Model Data Inputs'!$B$139,$F265="M"),0,IF(AND($O265&lt;='Model Data Inputs'!$B$139,$F265="H"),0,IF(SUM($Y265:$Z265)&lt;1,1,SUM($Y265:$Z265)))))</f>
        <v>0</v>
      </c>
      <c r="AB265" s="222">
        <f>($K265/'Model Data Inputs'!$B$143)*'Model Data Inputs'!$B$145</f>
        <v>0</v>
      </c>
      <c r="AC265" s="222">
        <f t="shared" si="30"/>
        <v>0</v>
      </c>
      <c r="AD265" s="222">
        <f>IF($G265="F",0,'Model Data Inputs'!$B$147)</f>
        <v>0</v>
      </c>
      <c r="AE265" s="222">
        <f>IF($G265="F",0,($K265/'Model Data Inputs'!$B$148)*'Model Data Inputs'!$B$149)</f>
        <v>0</v>
      </c>
      <c r="AF265" s="222">
        <f>IF($G265="F",0,($O265/'Model Data Inputs'!$B$150)*'Model Data Inputs'!$B$151)</f>
        <v>0</v>
      </c>
      <c r="AG265" s="222">
        <f>IF($G265="F",0,(($Q265*$T265)/'Model Data Inputs'!$B$152)*'Model Data Inputs'!$B$153)</f>
        <v>0</v>
      </c>
      <c r="AH265" s="222">
        <f t="shared" si="31"/>
        <v>0</v>
      </c>
      <c r="AI265" s="223">
        <f>IF(OR($G265="F",$F265="M",$F265="H"),0,($AH265*'Model Data Inputs'!$B$154)-$AH265)</f>
        <v>0</v>
      </c>
      <c r="AJ265" s="222">
        <f>IF(OR($G265="F",$F265="E",$F265="H"),0,($AH265*'Model Data Inputs'!$B$155)-$AH265)</f>
        <v>0</v>
      </c>
      <c r="AK265" s="223">
        <f>IF(OR($G265="F",$F265="E",$F265="M"),0,($AH265*'Model Data Inputs'!$B$156)-$AH265)</f>
        <v>0</v>
      </c>
      <c r="AL265" s="223">
        <f>IF($G265="F",0,IF($M265&lt;'Model Data Inputs'!$B$158,$AH265*('Model Data Inputs'!$B$159-1),0))</f>
        <v>0</v>
      </c>
      <c r="AM265" s="222">
        <f>IF($G265="F",0,IF($M265&gt;'Model Data Inputs'!$B$160,$AH265*('Model Data Inputs'!$B$161-1),0))</f>
        <v>0</v>
      </c>
      <c r="AN265" s="222">
        <f>IF($G265="F",0,IF($P265&lt;'Model Data Inputs'!$B$162,SUM($AH265,$AI265,$AJ265,$AK265,$AL265,$AM265)*('Model Data Inputs'!$B$163-1),0))</f>
        <v>0</v>
      </c>
      <c r="AO265" s="222">
        <f t="shared" si="32"/>
        <v>0</v>
      </c>
      <c r="AP265" s="224">
        <f>$K265*'Model Data Inputs'!$B$166</f>
        <v>0</v>
      </c>
      <c r="AQ265" s="224">
        <f>($K265*'Model Data Inputs'!$B$145)*'Model Data Inputs'!$B$166</f>
        <v>0</v>
      </c>
      <c r="AR265" s="225">
        <f t="shared" si="33"/>
        <v>0</v>
      </c>
    </row>
    <row r="266" spans="1:44" s="226" customFormat="1" x14ac:dyDescent="0.2">
      <c r="A266" s="210" t="str">
        <f>'School Level Inst. Resources'!A266</f>
        <v>1602000</v>
      </c>
      <c r="B266" s="210" t="str">
        <f>'School Level Inst. Resources'!B266</f>
        <v>Platte #2</v>
      </c>
      <c r="C266" s="210" t="str">
        <f>'School Level Inst. Resources'!C266</f>
        <v>1602050</v>
      </c>
      <c r="D266" s="210" t="str">
        <f>'School Level Inst. Resources'!D266</f>
        <v>Guernsey-Sunrise Junior High</v>
      </c>
      <c r="E266" s="211" t="str">
        <f>'School Level Inst. Resources'!E266</f>
        <v>7-8</v>
      </c>
      <c r="F266" s="212" t="str">
        <f>'School Level Inst. Resources'!H266</f>
        <v>M</v>
      </c>
      <c r="G266" s="212" t="s">
        <v>1159</v>
      </c>
      <c r="H266" s="213">
        <v>0</v>
      </c>
      <c r="I266" s="213">
        <f>IF('SFD Allowable GSF Calculation'!$D$2=1,'SFD Allowable GSF Calculation'!$P266,'SFD Allowable GSF Calculation'!$X266)</f>
        <v>0</v>
      </c>
      <c r="J266" s="214">
        <f>$I266*'Model Data Inputs'!$B$165</f>
        <v>0</v>
      </c>
      <c r="K266" s="214">
        <f>IF($L266&gt;='Model Data Inputs'!$B$164,$H266,MIN($H266,$J266))</f>
        <v>0</v>
      </c>
      <c r="L266" s="233">
        <v>0</v>
      </c>
      <c r="M266" s="196" t="str">
        <f>IF($L266&gt;0,'Model Data Inputs'!$B$157-$L266,"")</f>
        <v/>
      </c>
      <c r="N266" s="216">
        <v>0</v>
      </c>
      <c r="O266" s="217">
        <v>0</v>
      </c>
      <c r="P266" s="218">
        <f>IF($G266="T",SUMIFS('School Level ADM'!$S$5:$S$359,'School Level ADM'!$A$5:$A$359,$A266),0)</f>
        <v>0</v>
      </c>
      <c r="Q266" s="219">
        <f t="shared" si="34"/>
        <v>0</v>
      </c>
      <c r="R266" s="220">
        <f>SUM((('School Level Inst. Resources'!I266/'Model Data Inputs'!$B$8)*(1+'Model Data Inputs'!$B$9)),(SUM('School Level Inst. Resources'!J266:K266)/'Model Data Inputs'!$C$8)*(1+'Model Data Inputs'!$C$9),'School Level Inst. Resources'!K266/400)</f>
        <v>1.9646488115942029</v>
      </c>
      <c r="S266" s="220">
        <v>0</v>
      </c>
      <c r="T266" s="221">
        <f>IF($G266="T",VLOOKUP($A266,'Total O &amp; M Resources'!$A$5:$K$52,3),0)</f>
        <v>0</v>
      </c>
      <c r="U266" s="222">
        <f>IF($G266="F",0,$S266/'Model Data Inputs'!$B$140)</f>
        <v>0</v>
      </c>
      <c r="V266" s="222">
        <f>IF($G266="F",0,$O266/'Model Data Inputs'!$B$141)</f>
        <v>0</v>
      </c>
      <c r="W266" s="222">
        <f>IF($G266="F",0,$N266/'Model Data Inputs'!$B$142)</f>
        <v>0</v>
      </c>
      <c r="X266" s="222">
        <f>IF($G266="F",0,$K266/'Model Data Inputs'!$B$143)</f>
        <v>0</v>
      </c>
      <c r="Y266" s="222">
        <f t="shared" si="29"/>
        <v>0</v>
      </c>
      <c r="Z266" s="222">
        <f>IF(OR($G266="F",$F266="E"),0,'Model Data Inputs'!$B$144)</f>
        <v>0</v>
      </c>
      <c r="AA266" s="222">
        <f>IF(AND($O266&lt;='Model Data Inputs'!$B$139,$F266="E"),0,IF(AND($O266&lt;='Model Data Inputs'!$B$139,$F266="M"),0,IF(AND($O266&lt;='Model Data Inputs'!$B$139,$F266="H"),0,IF(SUM($Y266:$Z266)&lt;1,1,SUM($Y266:$Z266)))))</f>
        <v>0</v>
      </c>
      <c r="AB266" s="222">
        <f>($K266/'Model Data Inputs'!$B$143)*'Model Data Inputs'!$B$145</f>
        <v>0</v>
      </c>
      <c r="AC266" s="222">
        <f t="shared" si="30"/>
        <v>0</v>
      </c>
      <c r="AD266" s="222">
        <f>IF($G266="F",0,'Model Data Inputs'!$B$147)</f>
        <v>0</v>
      </c>
      <c r="AE266" s="222">
        <f>IF($G266="F",0,($K266/'Model Data Inputs'!$B$148)*'Model Data Inputs'!$B$149)</f>
        <v>0</v>
      </c>
      <c r="AF266" s="222">
        <f>IF($G266="F",0,($O266/'Model Data Inputs'!$B$150)*'Model Data Inputs'!$B$151)</f>
        <v>0</v>
      </c>
      <c r="AG266" s="222">
        <f>IF($G266="F",0,(($Q266*$T266)/'Model Data Inputs'!$B$152)*'Model Data Inputs'!$B$153)</f>
        <v>0</v>
      </c>
      <c r="AH266" s="222">
        <f t="shared" si="31"/>
        <v>0</v>
      </c>
      <c r="AI266" s="223">
        <f>IF(OR($G266="F",$F266="M",$F266="H"),0,($AH266*'Model Data Inputs'!$B$154)-$AH266)</f>
        <v>0</v>
      </c>
      <c r="AJ266" s="222">
        <f>IF(OR($G266="F",$F266="E",$F266="H"),0,($AH266*'Model Data Inputs'!$B$155)-$AH266)</f>
        <v>0</v>
      </c>
      <c r="AK266" s="223">
        <f>IF(OR($G266="F",$F266="E",$F266="M"),0,($AH266*'Model Data Inputs'!$B$156)-$AH266)</f>
        <v>0</v>
      </c>
      <c r="AL266" s="223">
        <f>IF($G266="F",0,IF($M266&lt;'Model Data Inputs'!$B$158,$AH266*('Model Data Inputs'!$B$159-1),0))</f>
        <v>0</v>
      </c>
      <c r="AM266" s="222">
        <f>IF($G266="F",0,IF($M266&gt;'Model Data Inputs'!$B$160,$AH266*('Model Data Inputs'!$B$161-1),0))</f>
        <v>0</v>
      </c>
      <c r="AN266" s="222">
        <f>IF($G266="F",0,IF($P266&lt;'Model Data Inputs'!$B$162,SUM($AH266,$AI266,$AJ266,$AK266,$AL266,$AM266)*('Model Data Inputs'!$B$163-1),0))</f>
        <v>0</v>
      </c>
      <c r="AO266" s="222">
        <f t="shared" si="32"/>
        <v>0</v>
      </c>
      <c r="AP266" s="224">
        <f>$K266*'Model Data Inputs'!$B$166</f>
        <v>0</v>
      </c>
      <c r="AQ266" s="224">
        <f>($K266*'Model Data Inputs'!$B$145)*'Model Data Inputs'!$B$166</f>
        <v>0</v>
      </c>
      <c r="AR266" s="225">
        <f t="shared" si="33"/>
        <v>0</v>
      </c>
    </row>
    <row r="267" spans="1:44" s="226" customFormat="1" x14ac:dyDescent="0.2">
      <c r="A267" s="210" t="str">
        <f>'School Level Inst. Resources'!A267</f>
        <v>1602000</v>
      </c>
      <c r="B267" s="210" t="str">
        <f>'School Level Inst. Resources'!B267</f>
        <v>Platte #2</v>
      </c>
      <c r="C267" s="210" t="str">
        <f>'School Level Inst. Resources'!C267</f>
        <v>1602055</v>
      </c>
      <c r="D267" s="210" t="str">
        <f>'School Level Inst. Resources'!D267</f>
        <v>Guernsey-Sunrise High School</v>
      </c>
      <c r="E267" s="211" t="str">
        <f>'School Level Inst. Resources'!E267</f>
        <v>9-12</v>
      </c>
      <c r="F267" s="212" t="str">
        <f>'School Level Inst. Resources'!H267</f>
        <v>H</v>
      </c>
      <c r="G267" s="212" t="s">
        <v>1158</v>
      </c>
      <c r="H267" s="213">
        <v>92428</v>
      </c>
      <c r="I267" s="213">
        <f>IF('SFD Allowable GSF Calculation'!$D$2=1,'SFD Allowable GSF Calculation'!$P267,'SFD Allowable GSF Calculation'!$X267)</f>
        <v>71647</v>
      </c>
      <c r="J267" s="214">
        <f>$I267*'Model Data Inputs'!$B$165</f>
        <v>82394.049999999988</v>
      </c>
      <c r="K267" s="214">
        <f>IF($L267&gt;='Model Data Inputs'!$B$164,$H267,MIN($H267,$J267))</f>
        <v>82394.049999999988</v>
      </c>
      <c r="L267" s="233">
        <v>1956</v>
      </c>
      <c r="M267" s="196">
        <f>IF($L267&gt;0,'Model Data Inputs'!$B$157-$L267,"")</f>
        <v>61</v>
      </c>
      <c r="N267" s="216">
        <v>35</v>
      </c>
      <c r="O267" s="218">
        <f>SUM('School Level Inst. Resources'!$L265,'School Level Inst. Resources'!$L266,'School Level Inst. Resources'!$L267)</f>
        <v>240.86133333333333</v>
      </c>
      <c r="P267" s="218">
        <f>IF($G267="T",SUMIFS('School Level ADM'!$S$5:$S$359,'School Level ADM'!$A$5:$A$359,$A267),0)</f>
        <v>240.86133333333333</v>
      </c>
      <c r="Q267" s="219">
        <f t="shared" si="34"/>
        <v>1</v>
      </c>
      <c r="R267" s="234">
        <f>SUM((('School Level Inst. Resources'!I267/'Model Data Inputs'!$B$8)*(1+'Model Data Inputs'!$B$9)),(SUM('School Level Inst. Resources'!J267:K267)/'Model Data Inputs'!$C$8)*(1+'Model Data Inputs'!$C$9),'School Level Inst. Resources'!K267/400)</f>
        <v>4.0713638478260865</v>
      </c>
      <c r="S267" s="234">
        <f>SUM(R265:R267)</f>
        <v>15.343945992753623</v>
      </c>
      <c r="T267" s="221">
        <f>IF($G267="T",VLOOKUP($A267,'Total O &amp; M Resources'!$A$5:$K$52,3),0)</f>
        <v>3002920.91</v>
      </c>
      <c r="U267" s="222">
        <f>IF($G267="F",0,$S267/'Model Data Inputs'!$B$140)</f>
        <v>1.1803035379041249</v>
      </c>
      <c r="V267" s="222">
        <f>IF($G267="F",0,$O267/'Model Data Inputs'!$B$141)</f>
        <v>0.7411117948717949</v>
      </c>
      <c r="W267" s="222">
        <f>IF($G267="F",0,$N267/'Model Data Inputs'!$B$142)</f>
        <v>2.6923076923076925</v>
      </c>
      <c r="X267" s="222">
        <f>IF($G267="F",0,$K267/'Model Data Inputs'!$B$143)</f>
        <v>4.5774472222222213</v>
      </c>
      <c r="Y267" s="222">
        <f t="shared" si="29"/>
        <v>2.2977925618264585</v>
      </c>
      <c r="Z267" s="222">
        <f>IF(OR($G267="F",$F267="E"),0,'Model Data Inputs'!$B$144)</f>
        <v>0.5</v>
      </c>
      <c r="AA267" s="222">
        <f>IF(AND($O267&lt;='Model Data Inputs'!$B$139,$F267="E"),0,IF(AND($O267&lt;='Model Data Inputs'!$B$139,$F267="M"),0,IF(AND($O267&lt;='Model Data Inputs'!$B$139,$F267="H"),0,IF(SUM($Y267:$Z267)&lt;1,1,SUM($Y267:$Z267)))))</f>
        <v>2.7977925618264585</v>
      </c>
      <c r="AB267" s="222">
        <f>($K267/'Model Data Inputs'!$B$143)*'Model Data Inputs'!$B$145</f>
        <v>0.45774472222222218</v>
      </c>
      <c r="AC267" s="222">
        <f t="shared" si="30"/>
        <v>3.2555372840486809</v>
      </c>
      <c r="AD267" s="222">
        <f>IF($G267="F",0,'Model Data Inputs'!$B$147)</f>
        <v>1.1000000000000001</v>
      </c>
      <c r="AE267" s="222">
        <f>IF($G267="F",0,($K267/'Model Data Inputs'!$B$148)*'Model Data Inputs'!$B$149)</f>
        <v>1.6478809999999997</v>
      </c>
      <c r="AF267" s="222">
        <f>IF($G267="F",0,($O267/'Model Data Inputs'!$B$150)*'Model Data Inputs'!$B$151)</f>
        <v>0.31311973333333337</v>
      </c>
      <c r="AG267" s="222">
        <f>IF($G267="F",0,(($Q267*$T267)/'Model Data Inputs'!$B$152)*'Model Data Inputs'!$B$153)</f>
        <v>0.72070101840000012</v>
      </c>
      <c r="AH267" s="222">
        <f t="shared" si="31"/>
        <v>0.94542543793333333</v>
      </c>
      <c r="AI267" s="223">
        <f>IF(OR($G267="F",$F267="M",$F267="H"),0,($AH267*'Model Data Inputs'!$B$154)-$AH267)</f>
        <v>0</v>
      </c>
      <c r="AJ267" s="222">
        <f>IF(OR($G267="F",$F267="E",$F267="H"),0,($AH267*'Model Data Inputs'!$B$155)-$AH267)</f>
        <v>0</v>
      </c>
      <c r="AK267" s="223">
        <f>IF(OR($G267="F",$F267="E",$F267="M"),0,($AH267*'Model Data Inputs'!$B$156)-$AH267)</f>
        <v>0.94542543793333333</v>
      </c>
      <c r="AL267" s="223">
        <f>IF($G267="F",0,IF($M267&lt;'Model Data Inputs'!$B$158,$AH267*('Model Data Inputs'!$B$159-1),0))</f>
        <v>0</v>
      </c>
      <c r="AM267" s="222">
        <f>IF($G267="F",0,IF($M267&gt;'Model Data Inputs'!$B$160,$AH267*('Model Data Inputs'!$B$161-1),0))</f>
        <v>9.454254379333342E-2</v>
      </c>
      <c r="AN267" s="222">
        <f>IF($G267="F",0,IF($P267&lt;'Model Data Inputs'!$B$162,SUM($AH267,$AI267,$AJ267,$AK267,$AL267,$AM267)*('Model Data Inputs'!$B$163-1),0))</f>
        <v>0.19853934196600018</v>
      </c>
      <c r="AO267" s="222">
        <f t="shared" si="32"/>
        <v>2.183932761626</v>
      </c>
      <c r="AP267" s="224">
        <f>$K267*'Model Data Inputs'!$B$166</f>
        <v>55204.013499999994</v>
      </c>
      <c r="AQ267" s="224">
        <f>($K267*'Model Data Inputs'!$B$145)*'Model Data Inputs'!$B$166</f>
        <v>5520.4013499999992</v>
      </c>
      <c r="AR267" s="225">
        <f t="shared" si="33"/>
        <v>60724.414849999994</v>
      </c>
    </row>
    <row r="268" spans="1:44" x14ac:dyDescent="0.2">
      <c r="A268" s="227" t="str">
        <f>'School Level Inst. Resources'!A268</f>
        <v>1701000</v>
      </c>
      <c r="B268" s="227" t="str">
        <f>'School Level Inst. Resources'!B268</f>
        <v>Sheridan #1</v>
      </c>
      <c r="C268" s="227" t="str">
        <f>'School Level Inst. Resources'!C268</f>
        <v>1701001</v>
      </c>
      <c r="D268" s="227" t="str">
        <f>'School Level Inst. Resources'!D268</f>
        <v>Big Horn Elementary</v>
      </c>
      <c r="E268" s="228" t="str">
        <f>'School Level Inst. Resources'!E268</f>
        <v>K-5</v>
      </c>
      <c r="F268" s="229" t="str">
        <f>'School Level Inst. Resources'!H268</f>
        <v>E</v>
      </c>
      <c r="G268" s="229" t="s">
        <v>1158</v>
      </c>
      <c r="H268" s="207">
        <v>42649</v>
      </c>
      <c r="I268" s="207">
        <f>IF('SFD Allowable GSF Calculation'!$D$2=1,'SFD Allowable GSF Calculation'!$P268,'SFD Allowable GSF Calculation'!$X268)</f>
        <v>34449</v>
      </c>
      <c r="J268" s="194">
        <f>$I268*'Model Data Inputs'!$B$165</f>
        <v>39616.35</v>
      </c>
      <c r="K268" s="194">
        <f>IF($L268&gt;='Model Data Inputs'!$B$164,$H268,MIN($H268,$J268))</f>
        <v>42649</v>
      </c>
      <c r="L268" s="208">
        <v>2012</v>
      </c>
      <c r="M268" s="196">
        <f>IF($L268&gt;0,'Model Data Inputs'!$B$157-$L268,"")</f>
        <v>5</v>
      </c>
      <c r="N268" s="209">
        <v>21</v>
      </c>
      <c r="O268" s="198">
        <f>'School Level Inst. Resources'!$L268</f>
        <v>200.20466666666667</v>
      </c>
      <c r="P268" s="198">
        <f>IF($G268="T",SUMIFS('School Level ADM'!$S$5:$S$359,'School Level ADM'!$A$5:$A$359,$A268),0)</f>
        <v>936.21333333333337</v>
      </c>
      <c r="Q268" s="199">
        <f t="shared" si="34"/>
        <v>0.21384513501196309</v>
      </c>
      <c r="R268" s="200">
        <f>SUM((('School Level Inst. Resources'!I268/'Model Data Inputs'!$B$8)*(1+'Model Data Inputs'!$B$9)),(SUM('School Level Inst. Resources'!J268:K268)/'Model Data Inputs'!$C$8)*(1+'Model Data Inputs'!$C$9),'School Level Inst. Resources'!K268/400)</f>
        <v>13.346977777777777</v>
      </c>
      <c r="S268" s="200">
        <f t="shared" si="35"/>
        <v>13.346977777777777</v>
      </c>
      <c r="T268" s="201">
        <f>IF($G268="T",VLOOKUP($A268,'Total O &amp; M Resources'!$A$5:$K$52,3),0)</f>
        <v>9454986.9200000018</v>
      </c>
      <c r="U268" s="202">
        <f>IF($G268="F",0,$S268/'Model Data Inputs'!$B$140)</f>
        <v>1.0266905982905983</v>
      </c>
      <c r="V268" s="202">
        <f>IF($G268="F",0,$O268/'Model Data Inputs'!$B$141)</f>
        <v>0.61601435897435897</v>
      </c>
      <c r="W268" s="202">
        <f>IF($G268="F",0,$N268/'Model Data Inputs'!$B$142)</f>
        <v>1.6153846153846154</v>
      </c>
      <c r="X268" s="202">
        <f>IF($G268="F",0,$K268/'Model Data Inputs'!$B$143)</f>
        <v>2.369388888888889</v>
      </c>
      <c r="Y268" s="202">
        <f t="shared" si="29"/>
        <v>1.4068696153846154</v>
      </c>
      <c r="Z268" s="202">
        <f>IF(OR($G268="F",$F268="E"),0,'Model Data Inputs'!$B$144)</f>
        <v>0</v>
      </c>
      <c r="AA268" s="202">
        <f>IF(AND($O268&lt;='Model Data Inputs'!$B$139,$F268="E"),0,IF(AND($O268&lt;='Model Data Inputs'!$B$139,$F268="M"),0,IF(AND($O268&lt;='Model Data Inputs'!$B$139,$F268="H"),0,IF(SUM($Y268:$Z268)&lt;1,1,SUM($Y268:$Z268)))))</f>
        <v>1.4068696153846154</v>
      </c>
      <c r="AB268" s="202">
        <f>($K268/'Model Data Inputs'!$B$143)*'Model Data Inputs'!$B$145</f>
        <v>0.23693888888888892</v>
      </c>
      <c r="AC268" s="202">
        <f t="shared" si="30"/>
        <v>1.6438085042735042</v>
      </c>
      <c r="AD268" s="202">
        <f>IF($G268="F",0,'Model Data Inputs'!$B$147)</f>
        <v>1.1000000000000001</v>
      </c>
      <c r="AE268" s="202">
        <f>IF($G268="F",0,($K268/'Model Data Inputs'!$B$148)*'Model Data Inputs'!$B$149)</f>
        <v>0.85297999999999996</v>
      </c>
      <c r="AF268" s="202">
        <f>IF($G268="F",0,($O268/'Model Data Inputs'!$B$150)*'Model Data Inputs'!$B$151)</f>
        <v>0.26026606666666668</v>
      </c>
      <c r="AG268" s="202">
        <f>IF($G268="F",0,(($Q268*$T268)/'Model Data Inputs'!$B$152)*'Model Data Inputs'!$B$153)</f>
        <v>0.48525670906649893</v>
      </c>
      <c r="AH268" s="202">
        <f t="shared" si="31"/>
        <v>0.67462569393329141</v>
      </c>
      <c r="AI268" s="203">
        <f>IF(OR($G268="F",$F268="M",$F268="H"),0,($AH268*'Model Data Inputs'!$B$154)-$AH268)</f>
        <v>-0.13492513878665824</v>
      </c>
      <c r="AJ268" s="202">
        <f>IF(OR($G268="F",$F268="E",$F268="H"),0,($AH268*'Model Data Inputs'!$B$155)-$AH268)</f>
        <v>0</v>
      </c>
      <c r="AK268" s="203">
        <f>IF(OR($G268="F",$F268="E",$F268="M"),0,($AH268*'Model Data Inputs'!$B$156)-$AH268)</f>
        <v>0</v>
      </c>
      <c r="AL268" s="203">
        <f>IF($G268="F",0,IF($M268&lt;'Model Data Inputs'!$B$158,$AH268*('Model Data Inputs'!$B$159-1),0))</f>
        <v>-3.3731284696664601E-2</v>
      </c>
      <c r="AM268" s="202">
        <f>IF($G268="F",0,IF($M268&gt;'Model Data Inputs'!$B$160,$AH268*('Model Data Inputs'!$B$161-1),0))</f>
        <v>0</v>
      </c>
      <c r="AN268" s="202">
        <f>IF($G268="F",0,IF($P268&lt;'Model Data Inputs'!$B$162,SUM($AH268,$AI268,$AJ268,$AK268,$AL268,$AM268)*('Model Data Inputs'!$B$163-1),0))</f>
        <v>5.0596927044996895E-2</v>
      </c>
      <c r="AO268" s="202">
        <f t="shared" si="32"/>
        <v>0.55656619749496539</v>
      </c>
      <c r="AP268" s="204">
        <f>$K268*'Model Data Inputs'!$B$166</f>
        <v>28574.83</v>
      </c>
      <c r="AQ268" s="204">
        <f>($K268*'Model Data Inputs'!$B$145)*'Model Data Inputs'!$B$166</f>
        <v>2857.4830000000006</v>
      </c>
      <c r="AR268" s="50">
        <f t="shared" si="33"/>
        <v>31432.313000000002</v>
      </c>
    </row>
    <row r="269" spans="1:44" x14ac:dyDescent="0.2">
      <c r="A269" s="227" t="str">
        <f>'School Level Inst. Resources'!A269</f>
        <v>1701000</v>
      </c>
      <c r="B269" s="227" t="str">
        <f>'School Level Inst. Resources'!B269</f>
        <v>Sheridan #1</v>
      </c>
      <c r="C269" s="227" t="str">
        <f>'School Level Inst. Resources'!C269</f>
        <v>1701002</v>
      </c>
      <c r="D269" s="227" t="str">
        <f>'School Level Inst. Resources'!D269</f>
        <v>Slack Elementary</v>
      </c>
      <c r="E269" s="228" t="str">
        <f>'School Level Inst. Resources'!E269</f>
        <v>K-5</v>
      </c>
      <c r="F269" s="229" t="str">
        <f>'School Level Inst. Resources'!H269</f>
        <v>E</v>
      </c>
      <c r="G269" s="229" t="s">
        <v>1158</v>
      </c>
      <c r="H269" s="207">
        <v>1639</v>
      </c>
      <c r="I269" s="207">
        <f>IF('SFD Allowable GSF Calculation'!$D$2=1,'SFD Allowable GSF Calculation'!$P269,'SFD Allowable GSF Calculation'!$X269)</f>
        <v>2915</v>
      </c>
      <c r="J269" s="194">
        <f>$I269*'Model Data Inputs'!$B$165</f>
        <v>3352.2499999999995</v>
      </c>
      <c r="K269" s="194">
        <f>IF($L269&gt;='Model Data Inputs'!$B$164,$H269,MIN($H269,$J269))</f>
        <v>1639</v>
      </c>
      <c r="L269" s="208">
        <v>1937</v>
      </c>
      <c r="M269" s="196">
        <f>IF($L269&gt;0,'Model Data Inputs'!$B$157-$L269,"")</f>
        <v>80</v>
      </c>
      <c r="N269" s="209">
        <v>3</v>
      </c>
      <c r="O269" s="198">
        <f>'School Level Inst. Resources'!$L269</f>
        <v>4.3716666666666661</v>
      </c>
      <c r="P269" s="198">
        <f>IF($G269="T",SUMIFS('School Level ADM'!$S$5:$S$359,'School Level ADM'!$A$5:$A$359,$A269),0)</f>
        <v>936.21333333333337</v>
      </c>
      <c r="Q269" s="199">
        <f t="shared" si="34"/>
        <v>4.6695197675743413E-3</v>
      </c>
      <c r="R269" s="200">
        <f>SUM((('School Level Inst. Resources'!I269/'Model Data Inputs'!$B$8)*(1+'Model Data Inputs'!$B$9)),(SUM('School Level Inst. Resources'!J269:K269)/'Model Data Inputs'!$C$8)*(1+'Model Data Inputs'!$C$9),'School Level Inst. Resources'!K269/400)</f>
        <v>0.29144444444444439</v>
      </c>
      <c r="S269" s="200">
        <f t="shared" si="35"/>
        <v>0.29144444444444439</v>
      </c>
      <c r="T269" s="201">
        <f>IF($G269="T",VLOOKUP($A269,'Total O &amp; M Resources'!$A$5:$K$52,3),0)</f>
        <v>9454986.9200000018</v>
      </c>
      <c r="U269" s="202">
        <f>IF($G269="F",0,$S269/'Model Data Inputs'!$B$140)</f>
        <v>2.2418803418803417E-2</v>
      </c>
      <c r="V269" s="202">
        <f>IF($G269="F",0,$O269/'Model Data Inputs'!$B$141)</f>
        <v>1.345128205128205E-2</v>
      </c>
      <c r="W269" s="202">
        <f>IF($G269="F",0,$N269/'Model Data Inputs'!$B$142)</f>
        <v>0.23076923076923078</v>
      </c>
      <c r="X269" s="202">
        <f>IF($G269="F",0,$K269/'Model Data Inputs'!$B$143)</f>
        <v>9.1055555555555556E-2</v>
      </c>
      <c r="Y269" s="202">
        <f t="shared" si="29"/>
        <v>8.9423717948717951E-2</v>
      </c>
      <c r="Z269" s="202">
        <f>IF(OR($G269="F",$F269="E"),0,'Model Data Inputs'!$B$144)</f>
        <v>0</v>
      </c>
      <c r="AA269" s="202">
        <f>IF(AND($O269&lt;='Model Data Inputs'!$B$139,$F269="E"),0,IF(AND($O269&lt;='Model Data Inputs'!$B$139,$F269="M"),0,IF(AND($O269&lt;='Model Data Inputs'!$B$139,$F269="H"),0,IF(SUM($Y269:$Z269)&lt;1,1,SUM($Y269:$Z269)))))</f>
        <v>0</v>
      </c>
      <c r="AB269" s="202">
        <f>($K269/'Model Data Inputs'!$B$143)*'Model Data Inputs'!$B$145</f>
        <v>9.105555555555556E-3</v>
      </c>
      <c r="AC269" s="202">
        <f t="shared" si="30"/>
        <v>9.105555555555556E-3</v>
      </c>
      <c r="AD269" s="202">
        <f>IF($G269="F",0,'Model Data Inputs'!$B$147)</f>
        <v>1.1000000000000001</v>
      </c>
      <c r="AE269" s="202">
        <f>IF($G269="F",0,($K269/'Model Data Inputs'!$B$148)*'Model Data Inputs'!$B$149)</f>
        <v>3.2779999999999997E-2</v>
      </c>
      <c r="AF269" s="202">
        <f>IF($G269="F",0,($O269/'Model Data Inputs'!$B$150)*'Model Data Inputs'!$B$151)</f>
        <v>5.6831666666666662E-3</v>
      </c>
      <c r="AG269" s="202">
        <f>IF($G269="F",0,(($Q269*$T269)/'Model Data Inputs'!$B$152)*'Model Data Inputs'!$B$153)</f>
        <v>1.0596059598023242E-2</v>
      </c>
      <c r="AH269" s="202">
        <f t="shared" si="31"/>
        <v>0.28726480656617248</v>
      </c>
      <c r="AI269" s="203">
        <f>IF(OR($G269="F",$F269="M",$F269="H"),0,($AH269*'Model Data Inputs'!$B$154)-$AH269)</f>
        <v>-5.7452961313234491E-2</v>
      </c>
      <c r="AJ269" s="202">
        <f>IF(OR($G269="F",$F269="E",$F269="H"),0,($AH269*'Model Data Inputs'!$B$155)-$AH269)</f>
        <v>0</v>
      </c>
      <c r="AK269" s="203">
        <f>IF(OR($G269="F",$F269="E",$F269="M"),0,($AH269*'Model Data Inputs'!$B$156)-$AH269)</f>
        <v>0</v>
      </c>
      <c r="AL269" s="203">
        <f>IF($G269="F",0,IF($M269&lt;'Model Data Inputs'!$B$158,$AH269*('Model Data Inputs'!$B$159-1),0))</f>
        <v>0</v>
      </c>
      <c r="AM269" s="202">
        <f>IF($G269="F",0,IF($M269&gt;'Model Data Inputs'!$B$160,$AH269*('Model Data Inputs'!$B$161-1),0))</f>
        <v>2.8726480656617273E-2</v>
      </c>
      <c r="AN269" s="202">
        <f>IF($G269="F",0,IF($P269&lt;'Model Data Inputs'!$B$162,SUM($AH269,$AI269,$AJ269,$AK269,$AL269,$AM269)*('Model Data Inputs'!$B$163-1),0))</f>
        <v>2.5853832590955552E-2</v>
      </c>
      <c r="AO269" s="202">
        <f t="shared" si="32"/>
        <v>0.28439215850051081</v>
      </c>
      <c r="AP269" s="204">
        <f>$K269*'Model Data Inputs'!$B$166</f>
        <v>1098.1300000000001</v>
      </c>
      <c r="AQ269" s="204">
        <f>($K269*'Model Data Inputs'!$B$145)*'Model Data Inputs'!$B$166</f>
        <v>109.81300000000002</v>
      </c>
      <c r="AR269" s="50">
        <f t="shared" si="33"/>
        <v>1207.9430000000002</v>
      </c>
    </row>
    <row r="270" spans="1:44" x14ac:dyDescent="0.2">
      <c r="A270" s="227" t="str">
        <f>'School Level Inst. Resources'!A270</f>
        <v>1701000</v>
      </c>
      <c r="B270" s="227" t="str">
        <f>'School Level Inst. Resources'!B270</f>
        <v>Sheridan #1</v>
      </c>
      <c r="C270" s="227" t="str">
        <f>'School Level Inst. Resources'!C270</f>
        <v>1701003</v>
      </c>
      <c r="D270" s="227" t="str">
        <f>'School Level Inst. Resources'!D270</f>
        <v>Tongue River Elementary</v>
      </c>
      <c r="E270" s="228" t="str">
        <f>'School Level Inst. Resources'!E270</f>
        <v>K-5</v>
      </c>
      <c r="F270" s="229" t="str">
        <f>'School Level Inst. Resources'!H270</f>
        <v>E</v>
      </c>
      <c r="G270" s="229" t="s">
        <v>1158</v>
      </c>
      <c r="H270" s="207">
        <v>51984</v>
      </c>
      <c r="I270" s="207">
        <f>IF('SFD Allowable GSF Calculation'!$D$2=1,'SFD Allowable GSF Calculation'!$P270,'SFD Allowable GSF Calculation'!$X270)</f>
        <v>38916</v>
      </c>
      <c r="J270" s="194">
        <f>$I270*'Model Data Inputs'!$B$165</f>
        <v>44753.399999999994</v>
      </c>
      <c r="K270" s="194">
        <f>IF($L270&gt;='Model Data Inputs'!$B$164,$H270,MIN($H270,$J270))</f>
        <v>51984</v>
      </c>
      <c r="L270" s="208">
        <v>2016</v>
      </c>
      <c r="M270" s="196">
        <f>IF($L270&gt;0,'Model Data Inputs'!$B$157-$L270,"")</f>
        <v>1</v>
      </c>
      <c r="N270" s="209">
        <v>26</v>
      </c>
      <c r="O270" s="198">
        <f>'School Level Inst. Resources'!$L270</f>
        <v>247.49</v>
      </c>
      <c r="P270" s="198">
        <f>IF($G270="T",SUMIFS('School Level ADM'!$S$5:$S$359,'School Level ADM'!$A$5:$A$359,$A270),0)</f>
        <v>936.21333333333337</v>
      </c>
      <c r="Q270" s="199">
        <f t="shared" si="34"/>
        <v>0.26435214196194601</v>
      </c>
      <c r="R270" s="200">
        <f>SUM((('School Level Inst. Resources'!I270/'Model Data Inputs'!$B$8)*(1+'Model Data Inputs'!$B$9)),(SUM('School Level Inst. Resources'!J270:K270)/'Model Data Inputs'!$C$8)*(1+'Model Data Inputs'!$C$9),'School Level Inst. Resources'!K270/400)</f>
        <v>16.499333333333333</v>
      </c>
      <c r="S270" s="200">
        <f t="shared" si="35"/>
        <v>16.499333333333333</v>
      </c>
      <c r="T270" s="201">
        <f>IF($G270="T",VLOOKUP($A270,'Total O &amp; M Resources'!$A$5:$K$52,3),0)</f>
        <v>9454986.9200000018</v>
      </c>
      <c r="U270" s="202">
        <f>IF($G270="F",0,$S270/'Model Data Inputs'!$B$140)</f>
        <v>1.269179487179487</v>
      </c>
      <c r="V270" s="202">
        <f>IF($G270="F",0,$O270/'Model Data Inputs'!$B$141)</f>
        <v>0.76150769230769233</v>
      </c>
      <c r="W270" s="202">
        <f>IF($G270="F",0,$N270/'Model Data Inputs'!$B$142)</f>
        <v>2</v>
      </c>
      <c r="X270" s="202">
        <f>IF($G270="F",0,$K270/'Model Data Inputs'!$B$143)</f>
        <v>2.8879999999999999</v>
      </c>
      <c r="Y270" s="202">
        <f t="shared" si="29"/>
        <v>1.7296717948717948</v>
      </c>
      <c r="Z270" s="202">
        <f>IF(OR($G270="F",$F270="E"),0,'Model Data Inputs'!$B$144)</f>
        <v>0</v>
      </c>
      <c r="AA270" s="202">
        <f>IF(AND($O270&lt;='Model Data Inputs'!$B$139,$F270="E"),0,IF(AND($O270&lt;='Model Data Inputs'!$B$139,$F270="M"),0,IF(AND($O270&lt;='Model Data Inputs'!$B$139,$F270="H"),0,IF(SUM($Y270:$Z270)&lt;1,1,SUM($Y270:$Z270)))))</f>
        <v>1.7296717948717948</v>
      </c>
      <c r="AB270" s="202">
        <f>($K270/'Model Data Inputs'!$B$143)*'Model Data Inputs'!$B$145</f>
        <v>0.2888</v>
      </c>
      <c r="AC270" s="202">
        <f t="shared" si="30"/>
        <v>2.018471794871795</v>
      </c>
      <c r="AD270" s="202">
        <f>IF($G270="F",0,'Model Data Inputs'!$B$147)</f>
        <v>1.1000000000000001</v>
      </c>
      <c r="AE270" s="202">
        <f>IF($G270="F",0,($K270/'Model Data Inputs'!$B$148)*'Model Data Inputs'!$B$149)</f>
        <v>1.0396799999999999</v>
      </c>
      <c r="AF270" s="202">
        <f>IF($G270="F",0,($O270/'Model Data Inputs'!$B$150)*'Model Data Inputs'!$B$151)</f>
        <v>0.32173700000000005</v>
      </c>
      <c r="AG270" s="202">
        <f>IF($G270="F",0,(($Q270*$T270)/'Model Data Inputs'!$B$152)*'Model Data Inputs'!$B$153)</f>
        <v>0.59986705068580393</v>
      </c>
      <c r="AH270" s="202">
        <f t="shared" si="31"/>
        <v>0.76532101267145114</v>
      </c>
      <c r="AI270" s="203">
        <f>IF(OR($G270="F",$F270="M",$F270="H"),0,($AH270*'Model Data Inputs'!$B$154)-$AH270)</f>
        <v>-0.15306420253429021</v>
      </c>
      <c r="AJ270" s="202">
        <f>IF(OR($G270="F",$F270="E",$F270="H"),0,($AH270*'Model Data Inputs'!$B$155)-$AH270)</f>
        <v>0</v>
      </c>
      <c r="AK270" s="203">
        <f>IF(OR($G270="F",$F270="E",$F270="M"),0,($AH270*'Model Data Inputs'!$B$156)-$AH270)</f>
        <v>0</v>
      </c>
      <c r="AL270" s="203">
        <f>IF($G270="F",0,IF($M270&lt;'Model Data Inputs'!$B$158,$AH270*('Model Data Inputs'!$B$159-1),0))</f>
        <v>-3.8266050633572593E-2</v>
      </c>
      <c r="AM270" s="202">
        <f>IF($G270="F",0,IF($M270&gt;'Model Data Inputs'!$B$160,$AH270*('Model Data Inputs'!$B$161-1),0))</f>
        <v>0</v>
      </c>
      <c r="AN270" s="202">
        <f>IF($G270="F",0,IF($P270&lt;'Model Data Inputs'!$B$162,SUM($AH270,$AI270,$AJ270,$AK270,$AL270,$AM270)*('Model Data Inputs'!$B$163-1),0))</f>
        <v>5.739907595035889E-2</v>
      </c>
      <c r="AO270" s="202">
        <f t="shared" si="32"/>
        <v>0.63138983545394722</v>
      </c>
      <c r="AP270" s="204">
        <f>$K270*'Model Data Inputs'!$B$166</f>
        <v>34829.279999999999</v>
      </c>
      <c r="AQ270" s="204">
        <f>($K270*'Model Data Inputs'!$B$145)*'Model Data Inputs'!$B$166</f>
        <v>3482.9280000000008</v>
      </c>
      <c r="AR270" s="50">
        <f t="shared" si="33"/>
        <v>38312.207999999999</v>
      </c>
    </row>
    <row r="271" spans="1:44" x14ac:dyDescent="0.2">
      <c r="A271" s="230" t="str">
        <f>'School Level Inst. Resources'!A271</f>
        <v>1701000</v>
      </c>
      <c r="B271" s="230" t="str">
        <f>'School Level Inst. Resources'!B271</f>
        <v>Sheridan #1</v>
      </c>
      <c r="C271" s="230" t="str">
        <f>'School Level Inst. Resources'!C271</f>
        <v>1701048</v>
      </c>
      <c r="D271" s="230" t="str">
        <f>'School Level Inst. Resources'!D271</f>
        <v>The Bridge School</v>
      </c>
      <c r="E271" s="231" t="str">
        <f>'School Level Inst. Resources'!E271</f>
        <v>6-12</v>
      </c>
      <c r="F271" s="232" t="str">
        <f>'School Level Inst. Resources'!H271</f>
        <v>H</v>
      </c>
      <c r="G271" s="232" t="s">
        <v>1158</v>
      </c>
      <c r="H271" s="270">
        <v>378</v>
      </c>
      <c r="I271" s="270">
        <f>IF('SFD Allowable GSF Calculation'!$D$2=1,'SFD Allowable GSF Calculation'!$P271,'SFD Allowable GSF Calculation'!$X271)</f>
        <v>825</v>
      </c>
      <c r="J271" s="194">
        <f>$I271*'Model Data Inputs'!$B$165</f>
        <v>948.74999999999989</v>
      </c>
      <c r="K271" s="194">
        <f>IF($L271&gt;='Model Data Inputs'!$B$164,$H271,MIN($H271,$J271))</f>
        <v>378</v>
      </c>
      <c r="L271" s="271">
        <v>1980</v>
      </c>
      <c r="M271" s="196">
        <f>IF($L271&gt;0,'Model Data Inputs'!$B$157-$L271,"")</f>
        <v>37</v>
      </c>
      <c r="N271" s="272">
        <v>1</v>
      </c>
      <c r="O271" s="198">
        <f>'School Level Inst. Resources'!$L271</f>
        <v>2.0743333333333336</v>
      </c>
      <c r="P271" s="198">
        <f>IF($G271="T",SUMIFS('School Level ADM'!$S$5:$S$359,'School Level ADM'!$A$5:$A$359,$A271),0)</f>
        <v>936.21333333333337</v>
      </c>
      <c r="Q271" s="199">
        <f t="shared" si="34"/>
        <v>2.2156630967300902E-3</v>
      </c>
      <c r="R271" s="200">
        <f>SUM((('School Level Inst. Resources'!I271/'Model Data Inputs'!$B$8)*(1+'Model Data Inputs'!$B$9)),(SUM('School Level Inst. Resources'!J271:K271)/'Model Data Inputs'!$C$8)*(1+'Model Data Inputs'!$C$9),'School Level Inst. Resources'!K271/400)</f>
        <v>0.12540697826086955</v>
      </c>
      <c r="S271" s="200">
        <f t="shared" si="35"/>
        <v>0.12540697826086955</v>
      </c>
      <c r="T271" s="201">
        <f>IF($G271="T",VLOOKUP($A271,'Total O &amp; M Resources'!$A$5:$K$52,3),0)</f>
        <v>9454986.9200000018</v>
      </c>
      <c r="U271" s="202">
        <f>IF($G271="F",0,$S271/'Model Data Inputs'!$B$140)</f>
        <v>9.6466906354515033E-3</v>
      </c>
      <c r="V271" s="202">
        <f>IF($G271="F",0,$O271/'Model Data Inputs'!$B$141)</f>
        <v>6.3825641025641033E-3</v>
      </c>
      <c r="W271" s="202">
        <f>IF($G271="F",0,$N271/'Model Data Inputs'!$B$142)</f>
        <v>7.6923076923076927E-2</v>
      </c>
      <c r="X271" s="202">
        <f>IF($G271="F",0,$K271/'Model Data Inputs'!$B$143)</f>
        <v>2.1000000000000001E-2</v>
      </c>
      <c r="Y271" s="202">
        <f t="shared" si="29"/>
        <v>2.8488082915273136E-2</v>
      </c>
      <c r="Z271" s="202">
        <f>IF(OR($G271="F",$F271="E"),0,'Model Data Inputs'!$B$144)</f>
        <v>0.5</v>
      </c>
      <c r="AA271" s="202">
        <f>IF(AND($O271&lt;='Model Data Inputs'!$B$139,$F271="E"),0,IF(AND($O271&lt;='Model Data Inputs'!$B$139,$F271="M"),0,IF(AND($O271&lt;='Model Data Inputs'!$B$139,$F271="H"),0,IF(SUM($Y271:$Z271)&lt;1,1,SUM($Y271:$Z271)))))</f>
        <v>0</v>
      </c>
      <c r="AB271" s="202">
        <f>($K271/'Model Data Inputs'!$B$143)*'Model Data Inputs'!$B$145</f>
        <v>2.1000000000000003E-3</v>
      </c>
      <c r="AC271" s="202">
        <f t="shared" si="30"/>
        <v>2.1000000000000003E-3</v>
      </c>
      <c r="AD271" s="202">
        <f>IF($G271="F",0,'Model Data Inputs'!$B$147)</f>
        <v>1.1000000000000001</v>
      </c>
      <c r="AE271" s="202">
        <f>IF($G271="F",0,($K271/'Model Data Inputs'!$B$148)*'Model Data Inputs'!$B$149)</f>
        <v>7.5599999999999999E-3</v>
      </c>
      <c r="AF271" s="202">
        <f>IF($G271="F",0,($O271/'Model Data Inputs'!$B$150)*'Model Data Inputs'!$B$151)</f>
        <v>2.6966333333333335E-3</v>
      </c>
      <c r="AG271" s="202">
        <f>IF($G271="F",0,(($Q271*$T271)/'Model Data Inputs'!$B$152)*'Model Data Inputs'!$B$153)</f>
        <v>5.027775743690328E-3</v>
      </c>
      <c r="AH271" s="202">
        <f t="shared" si="31"/>
        <v>0.27882110226925594</v>
      </c>
      <c r="AI271" s="203">
        <f>IF(OR($G271="F",$F271="M",$F271="H"),0,($AH271*'Model Data Inputs'!$B$154)-$AH271)</f>
        <v>0</v>
      </c>
      <c r="AJ271" s="202">
        <f>IF(OR($G271="F",$F271="E",$F271="H"),0,($AH271*'Model Data Inputs'!$B$155)-$AH271)</f>
        <v>0</v>
      </c>
      <c r="AK271" s="203">
        <f>IF(OR($G271="F",$F271="E",$F271="M"),0,($AH271*'Model Data Inputs'!$B$156)-$AH271)</f>
        <v>0.27882110226925594</v>
      </c>
      <c r="AL271" s="203">
        <f>IF($G271="F",0,IF($M271&lt;'Model Data Inputs'!$B$158,$AH271*('Model Data Inputs'!$B$159-1),0))</f>
        <v>0</v>
      </c>
      <c r="AM271" s="202">
        <f>IF($G271="F",0,IF($M271&gt;'Model Data Inputs'!$B$160,$AH271*('Model Data Inputs'!$B$161-1),0))</f>
        <v>2.7882110226925619E-2</v>
      </c>
      <c r="AN271" s="202">
        <f>IF($G271="F",0,IF($P271&lt;'Model Data Inputs'!$B$162,SUM($AH271,$AI271,$AJ271,$AK271,$AL271,$AM271)*('Model Data Inputs'!$B$163-1),0))</f>
        <v>5.8552431476543806E-2</v>
      </c>
      <c r="AO271" s="202">
        <f t="shared" si="32"/>
        <v>0.6440767462419813</v>
      </c>
      <c r="AP271" s="204">
        <f>$K271*'Model Data Inputs'!$B$166</f>
        <v>253.26000000000002</v>
      </c>
      <c r="AQ271" s="204">
        <f>($K271*'Model Data Inputs'!$B$145)*'Model Data Inputs'!$B$166</f>
        <v>25.326000000000004</v>
      </c>
      <c r="AR271" s="50">
        <f t="shared" si="33"/>
        <v>278.58600000000001</v>
      </c>
    </row>
    <row r="272" spans="1:44" s="226" customFormat="1" x14ac:dyDescent="0.2">
      <c r="A272" s="210" t="str">
        <f>'School Level Inst. Resources'!A272</f>
        <v>1701000</v>
      </c>
      <c r="B272" s="210" t="str">
        <f>'School Level Inst. Resources'!B272</f>
        <v>Sheridan #1</v>
      </c>
      <c r="C272" s="210" t="str">
        <f>'School Level Inst. Resources'!C272</f>
        <v>1701050</v>
      </c>
      <c r="D272" s="210" t="str">
        <f>'School Level Inst. Resources'!D272</f>
        <v>Big Horn Middle School</v>
      </c>
      <c r="E272" s="211" t="str">
        <f>'School Level Inst. Resources'!E272</f>
        <v>6-8</v>
      </c>
      <c r="F272" s="212" t="str">
        <f>'School Level Inst. Resources'!H272</f>
        <v>M</v>
      </c>
      <c r="G272" s="212" t="s">
        <v>1159</v>
      </c>
      <c r="H272" s="213">
        <v>0</v>
      </c>
      <c r="I272" s="213">
        <f>IF('SFD Allowable GSF Calculation'!$D$2=1,'SFD Allowable GSF Calculation'!$P272,'SFD Allowable GSF Calculation'!$X272)</f>
        <v>0</v>
      </c>
      <c r="J272" s="214">
        <f>$I272*'Model Data Inputs'!$B$165</f>
        <v>0</v>
      </c>
      <c r="K272" s="214">
        <f>IF($L272&gt;='Model Data Inputs'!$B$164,$H272,MIN($H272,$J272))</f>
        <v>0</v>
      </c>
      <c r="L272" s="233">
        <v>0</v>
      </c>
      <c r="M272" s="196" t="str">
        <f>IF($L272&gt;0,'Model Data Inputs'!$B$157-$L272,"")</f>
        <v/>
      </c>
      <c r="N272" s="216">
        <v>0</v>
      </c>
      <c r="O272" s="217">
        <v>0</v>
      </c>
      <c r="P272" s="218">
        <f>IF($G272="T",SUMIFS('School Level ADM'!$S$5:$S$359,'School Level ADM'!$A$5:$A$359,$A272),0)</f>
        <v>0</v>
      </c>
      <c r="Q272" s="219">
        <f t="shared" si="34"/>
        <v>0</v>
      </c>
      <c r="R272" s="220">
        <f>SUM((('School Level Inst. Resources'!I272/'Model Data Inputs'!$B$8)*(1+'Model Data Inputs'!$B$9)),(SUM('School Level Inst. Resources'!J272:K272)/'Model Data Inputs'!$C$8)*(1+'Model Data Inputs'!$C$9),'School Level Inst. Resources'!K272/400)</f>
        <v>5.5697569710144927</v>
      </c>
      <c r="S272" s="220">
        <v>0</v>
      </c>
      <c r="T272" s="221">
        <f>IF($G272="T",VLOOKUP($A272,'Total O &amp; M Resources'!$A$5:$K$52,3),0)</f>
        <v>0</v>
      </c>
      <c r="U272" s="222">
        <f>IF($G272="F",0,$S272/'Model Data Inputs'!$B$140)</f>
        <v>0</v>
      </c>
      <c r="V272" s="222">
        <f>IF($G272="F",0,$O272/'Model Data Inputs'!$B$141)</f>
        <v>0</v>
      </c>
      <c r="W272" s="222">
        <f>IF($G272="F",0,$N272/'Model Data Inputs'!$B$142)</f>
        <v>0</v>
      </c>
      <c r="X272" s="222">
        <f>IF($G272="F",0,$K272/'Model Data Inputs'!$B$143)</f>
        <v>0</v>
      </c>
      <c r="Y272" s="222">
        <f t="shared" si="29"/>
        <v>0</v>
      </c>
      <c r="Z272" s="222">
        <f>IF(OR($G272="F",$F272="E"),0,'Model Data Inputs'!$B$144)</f>
        <v>0</v>
      </c>
      <c r="AA272" s="222">
        <f>IF(AND($O272&lt;='Model Data Inputs'!$B$139,$F272="E"),0,IF(AND($O272&lt;='Model Data Inputs'!$B$139,$F272="M"),0,IF(AND($O272&lt;='Model Data Inputs'!$B$139,$F272="H"),0,IF(SUM($Y272:$Z272)&lt;1,1,SUM($Y272:$Z272)))))</f>
        <v>0</v>
      </c>
      <c r="AB272" s="222">
        <f>($K272/'Model Data Inputs'!$B$143)*'Model Data Inputs'!$B$145</f>
        <v>0</v>
      </c>
      <c r="AC272" s="222">
        <f t="shared" si="30"/>
        <v>0</v>
      </c>
      <c r="AD272" s="222">
        <f>IF($G272="F",0,'Model Data Inputs'!$B$147)</f>
        <v>0</v>
      </c>
      <c r="AE272" s="222">
        <f>IF($G272="F",0,($K272/'Model Data Inputs'!$B$148)*'Model Data Inputs'!$B$149)</f>
        <v>0</v>
      </c>
      <c r="AF272" s="222">
        <f>IF($G272="F",0,($O272/'Model Data Inputs'!$B$150)*'Model Data Inputs'!$B$151)</f>
        <v>0</v>
      </c>
      <c r="AG272" s="222">
        <f>IF($G272="F",0,(($Q272*$T272)/'Model Data Inputs'!$B$152)*'Model Data Inputs'!$B$153)</f>
        <v>0</v>
      </c>
      <c r="AH272" s="222">
        <f t="shared" si="31"/>
        <v>0</v>
      </c>
      <c r="AI272" s="223">
        <f>IF(OR($G272="F",$F272="M",$F272="H"),0,($AH272*'Model Data Inputs'!$B$154)-$AH272)</f>
        <v>0</v>
      </c>
      <c r="AJ272" s="222">
        <f>IF(OR($G272="F",$F272="E",$F272="H"),0,($AH272*'Model Data Inputs'!$B$155)-$AH272)</f>
        <v>0</v>
      </c>
      <c r="AK272" s="223">
        <f>IF(OR($G272="F",$F272="E",$F272="M"),0,($AH272*'Model Data Inputs'!$B$156)-$AH272)</f>
        <v>0</v>
      </c>
      <c r="AL272" s="223">
        <f>IF($G272="F",0,IF($M272&lt;'Model Data Inputs'!$B$158,$AH272*('Model Data Inputs'!$B$159-1),0))</f>
        <v>0</v>
      </c>
      <c r="AM272" s="222">
        <f>IF($G272="F",0,IF($M272&gt;'Model Data Inputs'!$B$160,$AH272*('Model Data Inputs'!$B$161-1),0))</f>
        <v>0</v>
      </c>
      <c r="AN272" s="222">
        <f>IF($G272="F",0,IF($P272&lt;'Model Data Inputs'!$B$162,SUM($AH272,$AI272,$AJ272,$AK272,$AL272,$AM272)*('Model Data Inputs'!$B$163-1),0))</f>
        <v>0</v>
      </c>
      <c r="AO272" s="222">
        <f t="shared" si="32"/>
        <v>0</v>
      </c>
      <c r="AP272" s="224">
        <f>$K272*'Model Data Inputs'!$B$166</f>
        <v>0</v>
      </c>
      <c r="AQ272" s="224">
        <f>($K272*'Model Data Inputs'!$B$145)*'Model Data Inputs'!$B$166</f>
        <v>0</v>
      </c>
      <c r="AR272" s="225">
        <f t="shared" si="33"/>
        <v>0</v>
      </c>
    </row>
    <row r="273" spans="1:44" x14ac:dyDescent="0.2">
      <c r="A273" s="230" t="str">
        <f>'School Level Inst. Resources'!A273</f>
        <v>1701000</v>
      </c>
      <c r="B273" s="230" t="str">
        <f>'School Level Inst. Resources'!B273</f>
        <v>Sheridan #1</v>
      </c>
      <c r="C273" s="230" t="str">
        <f>'School Level Inst. Resources'!C273</f>
        <v>1701051</v>
      </c>
      <c r="D273" s="230" t="str">
        <f>'School Level Inst. Resources'!D273</f>
        <v>Tongue River Middle School</v>
      </c>
      <c r="E273" s="231" t="str">
        <f>'School Level Inst. Resources'!E273</f>
        <v>6-8</v>
      </c>
      <c r="F273" s="232" t="str">
        <f>'School Level Inst. Resources'!H273</f>
        <v>M</v>
      </c>
      <c r="G273" s="232" t="s">
        <v>1158</v>
      </c>
      <c r="H273" s="270">
        <v>42407</v>
      </c>
      <c r="I273" s="270">
        <f>IF('SFD Allowable GSF Calculation'!$D$2=1,'SFD Allowable GSF Calculation'!$P273,'SFD Allowable GSF Calculation'!$X273)</f>
        <v>35702</v>
      </c>
      <c r="J273" s="194">
        <f>$I273*'Model Data Inputs'!$B$165</f>
        <v>41057.299999999996</v>
      </c>
      <c r="K273" s="194">
        <f>IF($L273&gt;='Model Data Inputs'!$B$164,$H273,MIN($H273,$J273))</f>
        <v>41057.299999999996</v>
      </c>
      <c r="L273" s="271">
        <v>1984</v>
      </c>
      <c r="M273" s="196">
        <f>IF($L273&gt;0,'Model Data Inputs'!$B$157-$L273,"")</f>
        <v>33</v>
      </c>
      <c r="N273" s="272">
        <v>22</v>
      </c>
      <c r="O273" s="198">
        <f>'School Level Inst. Resources'!$L273</f>
        <v>120.33366666666666</v>
      </c>
      <c r="P273" s="198">
        <f>IF($G273="T",SUMIFS('School Level ADM'!$S$5:$S$359,'School Level ADM'!$A$5:$A$359,$A273),0)</f>
        <v>936.21333333333337</v>
      </c>
      <c r="Q273" s="199">
        <f t="shared" si="34"/>
        <v>0.12853231457217726</v>
      </c>
      <c r="R273" s="200">
        <f>SUM((('School Level Inst. Resources'!I273/'Model Data Inputs'!$B$8)*(1+'Model Data Inputs'!$B$9)),(SUM('School Level Inst. Resources'!J273:K273)/'Model Data Inputs'!$C$8)*(1+'Model Data Inputs'!$C$9),'School Level Inst. Resources'!K273/400)</f>
        <v>6.9741207681159416</v>
      </c>
      <c r="S273" s="200">
        <f t="shared" si="35"/>
        <v>6.9741207681159416</v>
      </c>
      <c r="T273" s="201">
        <f>IF($G273="T",VLOOKUP($A273,'Total O &amp; M Resources'!$A$5:$K$52,3),0)</f>
        <v>9454986.9200000018</v>
      </c>
      <c r="U273" s="202">
        <f>IF($G273="F",0,$S273/'Model Data Inputs'!$B$140)</f>
        <v>0.53647082831661086</v>
      </c>
      <c r="V273" s="202">
        <f>IF($G273="F",0,$O273/'Model Data Inputs'!$B$141)</f>
        <v>0.37025743589743587</v>
      </c>
      <c r="W273" s="202">
        <f>IF($G273="F",0,$N273/'Model Data Inputs'!$B$142)</f>
        <v>1.6923076923076923</v>
      </c>
      <c r="X273" s="202">
        <f>IF($G273="F",0,$K273/'Model Data Inputs'!$B$143)</f>
        <v>2.280961111111111</v>
      </c>
      <c r="Y273" s="202">
        <f t="shared" si="29"/>
        <v>1.2199992669082125</v>
      </c>
      <c r="Z273" s="202">
        <f>IF(OR($G273="F",$F273="E"),0,'Model Data Inputs'!$B$144)</f>
        <v>0.5</v>
      </c>
      <c r="AA273" s="202">
        <f>IF(AND($O273&lt;='Model Data Inputs'!$B$139,$F273="E"),0,IF(AND($O273&lt;='Model Data Inputs'!$B$139,$F273="M"),0,IF(AND($O273&lt;='Model Data Inputs'!$B$139,$F273="H"),0,IF(SUM($Y273:$Z273)&lt;1,1,SUM($Y273:$Z273)))))</f>
        <v>1.7199992669082125</v>
      </c>
      <c r="AB273" s="202">
        <f>($K273/'Model Data Inputs'!$B$143)*'Model Data Inputs'!$B$145</f>
        <v>0.22809611111111111</v>
      </c>
      <c r="AC273" s="202">
        <f t="shared" si="30"/>
        <v>1.9480953780193235</v>
      </c>
      <c r="AD273" s="202">
        <f>IF($G273="F",0,'Model Data Inputs'!$B$147)</f>
        <v>1.1000000000000001</v>
      </c>
      <c r="AE273" s="202">
        <f>IF($G273="F",0,($K273/'Model Data Inputs'!$B$148)*'Model Data Inputs'!$B$149)</f>
        <v>0.82114599999999993</v>
      </c>
      <c r="AF273" s="202">
        <f>IF($G273="F",0,($O273/'Model Data Inputs'!$B$150)*'Model Data Inputs'!$B$151)</f>
        <v>0.15643376666666667</v>
      </c>
      <c r="AG273" s="202">
        <f>IF($G273="F",0,(($Q273*$T273)/'Model Data Inputs'!$B$152)*'Model Data Inputs'!$B$153)</f>
        <v>0.29166512473854278</v>
      </c>
      <c r="AH273" s="202">
        <f t="shared" si="31"/>
        <v>0.59231122285130233</v>
      </c>
      <c r="AI273" s="203">
        <f>IF(OR($G273="F",$F273="M",$F273="H"),0,($AH273*'Model Data Inputs'!$B$154)-$AH273)</f>
        <v>0</v>
      </c>
      <c r="AJ273" s="202">
        <f>IF(OR($G273="F",$F273="E",$F273="H"),0,($AH273*'Model Data Inputs'!$B$155)-$AH273)</f>
        <v>0</v>
      </c>
      <c r="AK273" s="203">
        <f>IF(OR($G273="F",$F273="E",$F273="M"),0,($AH273*'Model Data Inputs'!$B$156)-$AH273)</f>
        <v>0</v>
      </c>
      <c r="AL273" s="203">
        <f>IF($G273="F",0,IF($M273&lt;'Model Data Inputs'!$B$158,$AH273*('Model Data Inputs'!$B$159-1),0))</f>
        <v>0</v>
      </c>
      <c r="AM273" s="202">
        <f>IF($G273="F",0,IF($M273&gt;'Model Data Inputs'!$B$160,$AH273*('Model Data Inputs'!$B$161-1),0))</f>
        <v>5.9231122285130285E-2</v>
      </c>
      <c r="AN273" s="202">
        <f>IF($G273="F",0,IF($P273&lt;'Model Data Inputs'!$B$162,SUM($AH273,$AI273,$AJ273,$AK273,$AL273,$AM273)*('Model Data Inputs'!$B$163-1),0))</f>
        <v>6.5154234513643314E-2</v>
      </c>
      <c r="AO273" s="202">
        <f t="shared" si="32"/>
        <v>0.71669657965007594</v>
      </c>
      <c r="AP273" s="204">
        <f>$K273*'Model Data Inputs'!$B$166</f>
        <v>27508.391</v>
      </c>
      <c r="AQ273" s="204">
        <f>($K273*'Model Data Inputs'!$B$145)*'Model Data Inputs'!$B$166</f>
        <v>2750.8390999999997</v>
      </c>
      <c r="AR273" s="50">
        <f t="shared" si="33"/>
        <v>30259.230100000001</v>
      </c>
    </row>
    <row r="274" spans="1:44" s="226" customFormat="1" x14ac:dyDescent="0.2">
      <c r="A274" s="210" t="str">
        <f>'School Level Inst. Resources'!A274</f>
        <v>1701000</v>
      </c>
      <c r="B274" s="210" t="str">
        <f>'School Level Inst. Resources'!B274</f>
        <v>Sheridan #1</v>
      </c>
      <c r="C274" s="210" t="str">
        <f>'School Level Inst. Resources'!C274</f>
        <v>1701055</v>
      </c>
      <c r="D274" s="210" t="str">
        <f>'School Level Inst. Resources'!D274</f>
        <v>Big Horn High School</v>
      </c>
      <c r="E274" s="211" t="str">
        <f>'School Level Inst. Resources'!E274</f>
        <v>9-12</v>
      </c>
      <c r="F274" s="212" t="str">
        <f>'School Level Inst. Resources'!H274</f>
        <v>H</v>
      </c>
      <c r="G274" s="212" t="s">
        <v>1158</v>
      </c>
      <c r="H274" s="213">
        <v>108465</v>
      </c>
      <c r="I274" s="213">
        <f>IF('SFD Allowable GSF Calculation'!$D$2=1,'SFD Allowable GSF Calculation'!$P274,'SFD Allowable GSF Calculation'!$X274)</f>
        <v>71267</v>
      </c>
      <c r="J274" s="214">
        <f>$I274*'Model Data Inputs'!$B$165</f>
        <v>81957.049999999988</v>
      </c>
      <c r="K274" s="214">
        <f>IF($L274&gt;='Model Data Inputs'!$B$164,$H274,MIN($H274,$J274))</f>
        <v>108465</v>
      </c>
      <c r="L274" s="233">
        <v>2010</v>
      </c>
      <c r="M274" s="196">
        <f>IF($L274&gt;0,'Model Data Inputs'!$B$157-$L274,"")</f>
        <v>7</v>
      </c>
      <c r="N274" s="216">
        <v>37</v>
      </c>
      <c r="O274" s="218">
        <f>SUM('School Level Inst. Resources'!$L272,'School Level Inst. Resources'!$L274)</f>
        <v>236.64666666666665</v>
      </c>
      <c r="P274" s="218">
        <f>IF($G274="T",SUMIFS('School Level ADM'!$S$5:$S$359,'School Level ADM'!$A$5:$A$359,$A274),0)</f>
        <v>936.21333333333337</v>
      </c>
      <c r="Q274" s="219">
        <f t="shared" si="34"/>
        <v>0.25277002392617065</v>
      </c>
      <c r="R274" s="234">
        <f>SUM((('School Level Inst. Resources'!I274/'Model Data Inputs'!$B$8)*(1+'Model Data Inputs'!$B$9)),(SUM('School Level Inst. Resources'!J274:K274)/'Model Data Inputs'!$C$8)*(1+'Model Data Inputs'!$C$9),'School Level Inst. Resources'!K274/400)</f>
        <v>8.4968215434782604</v>
      </c>
      <c r="S274" s="234">
        <f>SUM(R272,R274)</f>
        <v>14.066578514492754</v>
      </c>
      <c r="T274" s="221">
        <f>IF($G274="T",VLOOKUP($A274,'Total O &amp; M Resources'!$A$5:$K$52,3),0)</f>
        <v>9454986.9200000018</v>
      </c>
      <c r="U274" s="222">
        <f>IF($G274="F",0,$S274/'Model Data Inputs'!$B$140)</f>
        <v>1.0820445011148272</v>
      </c>
      <c r="V274" s="222">
        <f>IF($G274="F",0,$O274/'Model Data Inputs'!$B$141)</f>
        <v>0.72814358974358973</v>
      </c>
      <c r="W274" s="222">
        <f>IF($G274="F",0,$N274/'Model Data Inputs'!$B$142)</f>
        <v>2.8461538461538463</v>
      </c>
      <c r="X274" s="222">
        <f>IF($G274="F",0,$K274/'Model Data Inputs'!$B$143)</f>
        <v>6.0258333333333329</v>
      </c>
      <c r="Y274" s="222">
        <f t="shared" si="29"/>
        <v>2.6705438175863989</v>
      </c>
      <c r="Z274" s="222">
        <f>IF(OR($G274="F",$F274="E"),0,'Model Data Inputs'!$B$144)</f>
        <v>0.5</v>
      </c>
      <c r="AA274" s="222">
        <f>IF(AND($O274&lt;='Model Data Inputs'!$B$139,$F274="E"),0,IF(AND($O274&lt;='Model Data Inputs'!$B$139,$F274="M"),0,IF(AND($O274&lt;='Model Data Inputs'!$B$139,$F274="H"),0,IF(SUM($Y274:$Z274)&lt;1,1,SUM($Y274:$Z274)))))</f>
        <v>3.1705438175863989</v>
      </c>
      <c r="AB274" s="222">
        <f>($K274/'Model Data Inputs'!$B$143)*'Model Data Inputs'!$B$145</f>
        <v>0.60258333333333336</v>
      </c>
      <c r="AC274" s="222">
        <f t="shared" si="30"/>
        <v>3.7731271509197324</v>
      </c>
      <c r="AD274" s="222">
        <f>IF($G274="F",0,'Model Data Inputs'!$B$147)</f>
        <v>1.1000000000000001</v>
      </c>
      <c r="AE274" s="222">
        <f>IF($G274="F",0,($K274/'Model Data Inputs'!$B$148)*'Model Data Inputs'!$B$149)</f>
        <v>2.1692999999999998</v>
      </c>
      <c r="AF274" s="222">
        <f>IF($G274="F",0,($O274/'Model Data Inputs'!$B$150)*'Model Data Inputs'!$B$151)</f>
        <v>0.30764066666666667</v>
      </c>
      <c r="AG274" s="222">
        <f>IF($G274="F",0,(($Q274*$T274)/'Model Data Inputs'!$B$152)*'Model Data Inputs'!$B$153)</f>
        <v>0.57358494479760747</v>
      </c>
      <c r="AH274" s="222">
        <f t="shared" si="31"/>
        <v>1.0376314028660685</v>
      </c>
      <c r="AI274" s="223">
        <f>IF(OR($G274="F",$F274="M",$F274="H"),0,($AH274*'Model Data Inputs'!$B$154)-$AH274)</f>
        <v>0</v>
      </c>
      <c r="AJ274" s="222">
        <f>IF(OR($G274="F",$F274="E",$F274="H"),0,($AH274*'Model Data Inputs'!$B$155)-$AH274)</f>
        <v>0</v>
      </c>
      <c r="AK274" s="223">
        <f>IF(OR($G274="F",$F274="E",$F274="M"),0,($AH274*'Model Data Inputs'!$B$156)-$AH274)</f>
        <v>1.0376314028660685</v>
      </c>
      <c r="AL274" s="223">
        <f>IF($G274="F",0,IF($M274&lt;'Model Data Inputs'!$B$158,$AH274*('Model Data Inputs'!$B$159-1),0))</f>
        <v>-5.1881570143303468E-2</v>
      </c>
      <c r="AM274" s="222">
        <f>IF($G274="F",0,IF($M274&gt;'Model Data Inputs'!$B$160,$AH274*('Model Data Inputs'!$B$161-1),0))</f>
        <v>0</v>
      </c>
      <c r="AN274" s="222">
        <f>IF($G274="F",0,IF($P274&lt;'Model Data Inputs'!$B$162,SUM($AH274,$AI274,$AJ274,$AK274,$AL274,$AM274)*('Model Data Inputs'!$B$163-1),0))</f>
        <v>0.20233812355888353</v>
      </c>
      <c r="AO274" s="222">
        <f t="shared" si="32"/>
        <v>2.2257193591477171</v>
      </c>
      <c r="AP274" s="224">
        <f>$K274*'Model Data Inputs'!$B$166</f>
        <v>72671.55</v>
      </c>
      <c r="AQ274" s="224">
        <f>($K274*'Model Data Inputs'!$B$145)*'Model Data Inputs'!$B$166</f>
        <v>7267.1550000000007</v>
      </c>
      <c r="AR274" s="225">
        <f t="shared" si="33"/>
        <v>79938.705000000002</v>
      </c>
    </row>
    <row r="275" spans="1:44" x14ac:dyDescent="0.2">
      <c r="A275" s="230" t="str">
        <f>'School Level Inst. Resources'!A275</f>
        <v>1701000</v>
      </c>
      <c r="B275" s="230" t="str">
        <f>'School Level Inst. Resources'!B275</f>
        <v>Sheridan #1</v>
      </c>
      <c r="C275" s="230" t="str">
        <f>'School Level Inst. Resources'!C275</f>
        <v>1701056</v>
      </c>
      <c r="D275" s="230" t="str">
        <f>'School Level Inst. Resources'!D275</f>
        <v>Tongue River High School</v>
      </c>
      <c r="E275" s="231" t="str">
        <f>'School Level Inst. Resources'!E275</f>
        <v>9-12</v>
      </c>
      <c r="F275" s="232" t="str">
        <f>'School Level Inst. Resources'!H275</f>
        <v>H</v>
      </c>
      <c r="G275" s="232" t="s">
        <v>1158</v>
      </c>
      <c r="H275" s="207">
        <v>75373</v>
      </c>
      <c r="I275" s="207">
        <f>IF('SFD Allowable GSF Calculation'!$D$2=1,'SFD Allowable GSF Calculation'!$P275,'SFD Allowable GSF Calculation'!$X275)</f>
        <v>45309</v>
      </c>
      <c r="J275" s="194">
        <f>$I275*'Model Data Inputs'!$B$165</f>
        <v>52105.35</v>
      </c>
      <c r="K275" s="194">
        <f>IF($L275&gt;='Model Data Inputs'!$B$164,$H275,MIN($H275,$J275))</f>
        <v>75373</v>
      </c>
      <c r="L275" s="208">
        <v>2009</v>
      </c>
      <c r="M275" s="196">
        <f>IF($L275&gt;0,'Model Data Inputs'!$B$157-$L275,"")</f>
        <v>8</v>
      </c>
      <c r="N275" s="209">
        <v>24</v>
      </c>
      <c r="O275" s="198">
        <f>'School Level Inst. Resources'!$L275</f>
        <v>125.09233333333333</v>
      </c>
      <c r="P275" s="198">
        <f>IF($G275="T",SUMIFS('School Level ADM'!$S$5:$S$359,'School Level ADM'!$A$5:$A$359,$A275),0)</f>
        <v>936.21333333333337</v>
      </c>
      <c r="Q275" s="199">
        <f t="shared" si="34"/>
        <v>0.13361520166343852</v>
      </c>
      <c r="R275" s="200">
        <f>SUM((('School Level Inst. Resources'!I275/'Model Data Inputs'!$B$8)*(1+'Model Data Inputs'!$B$9)),(SUM('School Level Inst. Resources'!J275:K275)/'Model Data Inputs'!$C$8)*(1+'Model Data Inputs'!$C$9),'School Level Inst. Resources'!K275/400)</f>
        <v>7.5626473695652168</v>
      </c>
      <c r="S275" s="200">
        <f t="shared" si="35"/>
        <v>7.5626473695652168</v>
      </c>
      <c r="T275" s="201">
        <f>IF($G275="T",VLOOKUP($A275,'Total O &amp; M Resources'!$A$5:$K$52,3),0)</f>
        <v>9454986.9200000018</v>
      </c>
      <c r="U275" s="202">
        <f>IF($G275="F",0,$S275/'Model Data Inputs'!$B$140)</f>
        <v>0.58174210535117055</v>
      </c>
      <c r="V275" s="202">
        <f>IF($G275="F",0,$O275/'Model Data Inputs'!$B$141)</f>
        <v>0.38489948717948719</v>
      </c>
      <c r="W275" s="202">
        <f>IF($G275="F",0,$N275/'Model Data Inputs'!$B$142)</f>
        <v>1.8461538461538463</v>
      </c>
      <c r="X275" s="202">
        <f>IF($G275="F",0,$K275/'Model Data Inputs'!$B$143)</f>
        <v>4.187388888888889</v>
      </c>
      <c r="Y275" s="202">
        <f t="shared" si="29"/>
        <v>1.7500460818933483</v>
      </c>
      <c r="Z275" s="202">
        <f>IF(OR($G275="F",$F275="E"),0,'Model Data Inputs'!$B$144)</f>
        <v>0.5</v>
      </c>
      <c r="AA275" s="202">
        <f>IF(AND($O275&lt;='Model Data Inputs'!$B$139,$F275="E"),0,IF(AND($O275&lt;='Model Data Inputs'!$B$139,$F275="M"),0,IF(AND($O275&lt;='Model Data Inputs'!$B$139,$F275="H"),0,IF(SUM($Y275:$Z275)&lt;1,1,SUM($Y275:$Z275)))))</f>
        <v>2.2500460818933483</v>
      </c>
      <c r="AB275" s="202">
        <f>($K275/'Model Data Inputs'!$B$143)*'Model Data Inputs'!$B$145</f>
        <v>0.41873888888888894</v>
      </c>
      <c r="AC275" s="202">
        <f t="shared" si="30"/>
        <v>2.6687849707822373</v>
      </c>
      <c r="AD275" s="202">
        <f>IF($G275="F",0,'Model Data Inputs'!$B$147)</f>
        <v>1.1000000000000001</v>
      </c>
      <c r="AE275" s="202">
        <f>IF($G275="F",0,($K275/'Model Data Inputs'!$B$148)*'Model Data Inputs'!$B$149)</f>
        <v>1.50746</v>
      </c>
      <c r="AF275" s="202">
        <f>IF($G275="F",0,($O275/'Model Data Inputs'!$B$150)*'Model Data Inputs'!$B$151)</f>
        <v>0.16262003333333333</v>
      </c>
      <c r="AG275" s="202">
        <f>IF($G275="F",0,(($Q275*$T275)/'Model Data Inputs'!$B$152)*'Model Data Inputs'!$B$153)</f>
        <v>0.30319919616983365</v>
      </c>
      <c r="AH275" s="202">
        <f t="shared" si="31"/>
        <v>0.76831980737579175</v>
      </c>
      <c r="AI275" s="203">
        <f>IF(OR($G275="F",$F275="M",$F275="H"),0,($AH275*'Model Data Inputs'!$B$154)-$AH275)</f>
        <v>0</v>
      </c>
      <c r="AJ275" s="202">
        <f>IF(OR($G275="F",$F275="E",$F275="H"),0,($AH275*'Model Data Inputs'!$B$155)-$AH275)</f>
        <v>0</v>
      </c>
      <c r="AK275" s="203">
        <f>IF(OR($G275="F",$F275="E",$F275="M"),0,($AH275*'Model Data Inputs'!$B$156)-$AH275)</f>
        <v>0.76831980737579175</v>
      </c>
      <c r="AL275" s="203">
        <f>IF($G275="F",0,IF($M275&lt;'Model Data Inputs'!$B$158,$AH275*('Model Data Inputs'!$B$159-1),0))</f>
        <v>-3.8415990368789621E-2</v>
      </c>
      <c r="AM275" s="202">
        <f>IF($G275="F",0,IF($M275&gt;'Model Data Inputs'!$B$160,$AH275*('Model Data Inputs'!$B$161-1),0))</f>
        <v>0</v>
      </c>
      <c r="AN275" s="202">
        <f>IF($G275="F",0,IF($P275&lt;'Model Data Inputs'!$B$162,SUM($AH275,$AI275,$AJ275,$AK275,$AL275,$AM275)*('Model Data Inputs'!$B$163-1),0))</f>
        <v>0.14982236243827951</v>
      </c>
      <c r="AO275" s="202">
        <f t="shared" si="32"/>
        <v>1.6480459868210733</v>
      </c>
      <c r="AP275" s="204">
        <f>$K275*'Model Data Inputs'!$B$166</f>
        <v>50499.91</v>
      </c>
      <c r="AQ275" s="204">
        <f>($K275*'Model Data Inputs'!$B$145)*'Model Data Inputs'!$B$166</f>
        <v>5049.991</v>
      </c>
      <c r="AR275" s="50">
        <f t="shared" si="33"/>
        <v>55549.901000000005</v>
      </c>
    </row>
    <row r="276" spans="1:44" x14ac:dyDescent="0.2">
      <c r="A276" s="227" t="str">
        <f>'School Level Inst. Resources'!A276</f>
        <v>1702000</v>
      </c>
      <c r="B276" s="227" t="str">
        <f>'School Level Inst. Resources'!B276</f>
        <v>Sheridan #2</v>
      </c>
      <c r="C276" s="227" t="str">
        <f>'School Level Inst. Resources'!C276</f>
        <v>1702002</v>
      </c>
      <c r="D276" s="227" t="str">
        <f>'School Level Inst. Resources'!D276</f>
        <v>Coffeen Elementary</v>
      </c>
      <c r="E276" s="228" t="str">
        <f>'School Level Inst. Resources'!E276</f>
        <v>K-5</v>
      </c>
      <c r="F276" s="229" t="str">
        <f>'School Level Inst. Resources'!H276</f>
        <v>E</v>
      </c>
      <c r="G276" s="229" t="s">
        <v>1158</v>
      </c>
      <c r="H276" s="207">
        <v>56445</v>
      </c>
      <c r="I276" s="207">
        <f>IF('SFD Allowable GSF Calculation'!$D$2=1,'SFD Allowable GSF Calculation'!$P276,'SFD Allowable GSF Calculation'!$X276)</f>
        <v>49438</v>
      </c>
      <c r="J276" s="194">
        <f>$I276*'Model Data Inputs'!$B$165</f>
        <v>56853.7</v>
      </c>
      <c r="K276" s="194">
        <f>IF($L276&gt;='Model Data Inputs'!$B$164,$H276,MIN($H276,$J276))</f>
        <v>56445</v>
      </c>
      <c r="L276" s="208">
        <v>2014</v>
      </c>
      <c r="M276" s="196">
        <f>IF($L276&gt;0,'Model Data Inputs'!$B$157-$L276,"")</f>
        <v>3</v>
      </c>
      <c r="N276" s="209">
        <v>32</v>
      </c>
      <c r="O276" s="198">
        <f>'School Level Inst. Resources'!$L276</f>
        <v>343.76499999999999</v>
      </c>
      <c r="P276" s="198">
        <f>IF($G276="T",SUMIFS('School Level ADM'!$S$5:$S$359,'School Level ADM'!$A$5:$A$359,$A276),0)</f>
        <v>3495.7650000000003</v>
      </c>
      <c r="Q276" s="199">
        <f t="shared" si="34"/>
        <v>9.8337559876021399E-2</v>
      </c>
      <c r="R276" s="200">
        <f>SUM((('School Level Inst. Resources'!I276/'Model Data Inputs'!$B$8)*(1+'Model Data Inputs'!$B$9)),(SUM('School Level Inst. Resources'!J276:K276)/'Model Data Inputs'!$C$8)*(1+'Model Data Inputs'!$C$9),'School Level Inst. Resources'!K276/400)</f>
        <v>22.917666666666666</v>
      </c>
      <c r="S276" s="200">
        <f t="shared" si="35"/>
        <v>22.917666666666666</v>
      </c>
      <c r="T276" s="201">
        <f>IF($G276="T",VLOOKUP($A276,'Total O &amp; M Resources'!$A$5:$K$52,3),0)</f>
        <v>26577604.239999995</v>
      </c>
      <c r="U276" s="202">
        <f>IF($G276="F",0,$S276/'Model Data Inputs'!$B$140)</f>
        <v>1.7628974358974359</v>
      </c>
      <c r="V276" s="202">
        <f>IF($G276="F",0,$O276/'Model Data Inputs'!$B$141)</f>
        <v>1.0577384615384615</v>
      </c>
      <c r="W276" s="202">
        <f>IF($G276="F",0,$N276/'Model Data Inputs'!$B$142)</f>
        <v>2.4615384615384617</v>
      </c>
      <c r="X276" s="202">
        <f>IF($G276="F",0,$K276/'Model Data Inputs'!$B$143)</f>
        <v>3.1358333333333333</v>
      </c>
      <c r="Y276" s="202">
        <f t="shared" si="29"/>
        <v>2.1045019230769233</v>
      </c>
      <c r="Z276" s="202">
        <f>IF(OR($G276="F",$F276="E"),0,'Model Data Inputs'!$B$144)</f>
        <v>0</v>
      </c>
      <c r="AA276" s="202">
        <f>IF(AND($O276&lt;='Model Data Inputs'!$B$139,$F276="E"),0,IF(AND($O276&lt;='Model Data Inputs'!$B$139,$F276="M"),0,IF(AND($O276&lt;='Model Data Inputs'!$B$139,$F276="H"),0,IF(SUM($Y276:$Z276)&lt;1,1,SUM($Y276:$Z276)))))</f>
        <v>2.1045019230769233</v>
      </c>
      <c r="AB276" s="202">
        <f>($K276/'Model Data Inputs'!$B$143)*'Model Data Inputs'!$B$145</f>
        <v>0.31358333333333333</v>
      </c>
      <c r="AC276" s="202">
        <f t="shared" si="30"/>
        <v>2.4180852564102566</v>
      </c>
      <c r="AD276" s="202">
        <f>IF($G276="F",0,'Model Data Inputs'!$B$147)</f>
        <v>1.1000000000000001</v>
      </c>
      <c r="AE276" s="202">
        <f>IF($G276="F",0,($K276/'Model Data Inputs'!$B$148)*'Model Data Inputs'!$B$149)</f>
        <v>1.1289</v>
      </c>
      <c r="AF276" s="202">
        <f>IF($G276="F",0,($O276/'Model Data Inputs'!$B$150)*'Model Data Inputs'!$B$151)</f>
        <v>0.44689449999999997</v>
      </c>
      <c r="AG276" s="202">
        <f>IF($G276="F",0,(($Q276*$T276)/'Model Data Inputs'!$B$152)*'Model Data Inputs'!$B$153)</f>
        <v>0.6272584195949279</v>
      </c>
      <c r="AH276" s="202">
        <f t="shared" si="31"/>
        <v>0.82576322989873208</v>
      </c>
      <c r="AI276" s="203">
        <f>IF(OR($G276="F",$F276="M",$F276="H"),0,($AH276*'Model Data Inputs'!$B$154)-$AH276)</f>
        <v>-0.16515264597974633</v>
      </c>
      <c r="AJ276" s="202">
        <f>IF(OR($G276="F",$F276="E",$F276="H"),0,($AH276*'Model Data Inputs'!$B$155)-$AH276)</f>
        <v>0</v>
      </c>
      <c r="AK276" s="203">
        <f>IF(OR($G276="F",$F276="E",$F276="M"),0,($AH276*'Model Data Inputs'!$B$156)-$AH276)</f>
        <v>0</v>
      </c>
      <c r="AL276" s="203">
        <f>IF($G276="F",0,IF($M276&lt;'Model Data Inputs'!$B$158,$AH276*('Model Data Inputs'!$B$159-1),0))</f>
        <v>-4.1288161494936637E-2</v>
      </c>
      <c r="AM276" s="202">
        <f>IF($G276="F",0,IF($M276&gt;'Model Data Inputs'!$B$160,$AH276*('Model Data Inputs'!$B$161-1),0))</f>
        <v>0</v>
      </c>
      <c r="AN276" s="202">
        <f>IF($G276="F",0,IF($P276&lt;'Model Data Inputs'!$B$162,SUM($AH276,$AI276,$AJ276,$AK276,$AL276,$AM276)*('Model Data Inputs'!$B$163-1),0))</f>
        <v>0</v>
      </c>
      <c r="AO276" s="202">
        <f t="shared" si="32"/>
        <v>0.61932242242404911</v>
      </c>
      <c r="AP276" s="204">
        <f>$K276*'Model Data Inputs'!$B$166</f>
        <v>37818.15</v>
      </c>
      <c r="AQ276" s="204">
        <f>($K276*'Model Data Inputs'!$B$145)*'Model Data Inputs'!$B$166</f>
        <v>3781.8150000000001</v>
      </c>
      <c r="AR276" s="50">
        <f t="shared" si="33"/>
        <v>41599.965000000004</v>
      </c>
    </row>
    <row r="277" spans="1:44" x14ac:dyDescent="0.2">
      <c r="A277" s="227" t="str">
        <f>'School Level Inst. Resources'!A277</f>
        <v>1702000</v>
      </c>
      <c r="B277" s="227" t="str">
        <f>'School Level Inst. Resources'!B277</f>
        <v>Sheridan #2</v>
      </c>
      <c r="C277" s="227" t="str">
        <f>'School Level Inst. Resources'!C277</f>
        <v>1702003</v>
      </c>
      <c r="D277" s="227" t="str">
        <f>'School Level Inst. Resources'!D277</f>
        <v>Highland Park Elementary</v>
      </c>
      <c r="E277" s="228" t="str">
        <f>'School Level Inst. Resources'!E277</f>
        <v>K-5</v>
      </c>
      <c r="F277" s="229" t="str">
        <f>'School Level Inst. Resources'!H277</f>
        <v>E</v>
      </c>
      <c r="G277" s="229" t="s">
        <v>1158</v>
      </c>
      <c r="H277" s="207">
        <v>50004</v>
      </c>
      <c r="I277" s="207">
        <f>IF('SFD Allowable GSF Calculation'!$D$2=1,'SFD Allowable GSF Calculation'!$P277,'SFD Allowable GSF Calculation'!$X277)</f>
        <v>51757</v>
      </c>
      <c r="J277" s="194">
        <f>$I277*'Model Data Inputs'!$B$165</f>
        <v>59520.549999999996</v>
      </c>
      <c r="K277" s="194">
        <f>IF($L277&gt;='Model Data Inputs'!$B$164,$H277,MIN($H277,$J277))</f>
        <v>50004</v>
      </c>
      <c r="L277" s="208">
        <v>2006</v>
      </c>
      <c r="M277" s="196">
        <f>IF($L277&gt;0,'Model Data Inputs'!$B$157-$L277,"")</f>
        <v>11</v>
      </c>
      <c r="N277" s="209">
        <v>32</v>
      </c>
      <c r="O277" s="198">
        <f>'School Level Inst. Resources'!$L277</f>
        <v>363.46500000000003</v>
      </c>
      <c r="P277" s="198">
        <f>IF($G277="T",SUMIFS('School Level ADM'!$S$5:$S$359,'School Level ADM'!$A$5:$A$359,$A277),0)</f>
        <v>3495.7650000000003</v>
      </c>
      <c r="Q277" s="199">
        <f t="shared" si="34"/>
        <v>0.10397295012679628</v>
      </c>
      <c r="R277" s="200">
        <f>SUM((('School Level Inst. Resources'!I277/'Model Data Inputs'!$B$8)*(1+'Model Data Inputs'!$B$9)),(SUM('School Level Inst. Resources'!J277:K277)/'Model Data Inputs'!$C$8)*(1+'Model Data Inputs'!$C$9),'School Level Inst. Resources'!K277/400)</f>
        <v>24.231000000000002</v>
      </c>
      <c r="S277" s="200">
        <f t="shared" si="35"/>
        <v>24.231000000000002</v>
      </c>
      <c r="T277" s="201">
        <f>IF($G277="T",VLOOKUP($A277,'Total O &amp; M Resources'!$A$5:$K$52,3),0)</f>
        <v>26577604.239999995</v>
      </c>
      <c r="U277" s="202">
        <f>IF($G277="F",0,$S277/'Model Data Inputs'!$B$140)</f>
        <v>1.863923076923077</v>
      </c>
      <c r="V277" s="202">
        <f>IF($G277="F",0,$O277/'Model Data Inputs'!$B$141)</f>
        <v>1.1183538461538463</v>
      </c>
      <c r="W277" s="202">
        <f>IF($G277="F",0,$N277/'Model Data Inputs'!$B$142)</f>
        <v>2.4615384615384617</v>
      </c>
      <c r="X277" s="202">
        <f>IF($G277="F",0,$K277/'Model Data Inputs'!$B$143)</f>
        <v>2.778</v>
      </c>
      <c r="Y277" s="202">
        <f t="shared" si="29"/>
        <v>2.0554538461538461</v>
      </c>
      <c r="Z277" s="202">
        <f>IF(OR($G277="F",$F277="E"),0,'Model Data Inputs'!$B$144)</f>
        <v>0</v>
      </c>
      <c r="AA277" s="202">
        <f>IF(AND($O277&lt;='Model Data Inputs'!$B$139,$F277="E"),0,IF(AND($O277&lt;='Model Data Inputs'!$B$139,$F277="M"),0,IF(AND($O277&lt;='Model Data Inputs'!$B$139,$F277="H"),0,IF(SUM($Y277:$Z277)&lt;1,1,SUM($Y277:$Z277)))))</f>
        <v>2.0554538461538461</v>
      </c>
      <c r="AB277" s="202">
        <f>($K277/'Model Data Inputs'!$B$143)*'Model Data Inputs'!$B$145</f>
        <v>0.27779999999999999</v>
      </c>
      <c r="AC277" s="202">
        <f t="shared" si="30"/>
        <v>2.3332538461538461</v>
      </c>
      <c r="AD277" s="202">
        <f>IF($G277="F",0,'Model Data Inputs'!$B$147)</f>
        <v>1.1000000000000001</v>
      </c>
      <c r="AE277" s="202">
        <f>IF($G277="F",0,($K277/'Model Data Inputs'!$B$148)*'Model Data Inputs'!$B$149)</f>
        <v>1.0000800000000001</v>
      </c>
      <c r="AF277" s="202">
        <f>IF($G277="F",0,($O277/'Model Data Inputs'!$B$150)*'Model Data Inputs'!$B$151)</f>
        <v>0.47250450000000005</v>
      </c>
      <c r="AG277" s="202">
        <f>IF($G277="F",0,(($Q277*$T277)/'Model Data Inputs'!$B$152)*'Model Data Inputs'!$B$153)</f>
        <v>0.66320446083245976</v>
      </c>
      <c r="AH277" s="202">
        <f t="shared" si="31"/>
        <v>0.80894724020811493</v>
      </c>
      <c r="AI277" s="203">
        <f>IF(OR($G277="F",$F277="M",$F277="H"),0,($AH277*'Model Data Inputs'!$B$154)-$AH277)</f>
        <v>-0.16178944804162299</v>
      </c>
      <c r="AJ277" s="202">
        <f>IF(OR($G277="F",$F277="E",$F277="H"),0,($AH277*'Model Data Inputs'!$B$155)-$AH277)</f>
        <v>0</v>
      </c>
      <c r="AK277" s="203">
        <f>IF(OR($G277="F",$F277="E",$F277="M"),0,($AH277*'Model Data Inputs'!$B$156)-$AH277)</f>
        <v>0</v>
      </c>
      <c r="AL277" s="203">
        <f>IF($G277="F",0,IF($M277&lt;'Model Data Inputs'!$B$158,$AH277*('Model Data Inputs'!$B$159-1),0))</f>
        <v>0</v>
      </c>
      <c r="AM277" s="202">
        <f>IF($G277="F",0,IF($M277&gt;'Model Data Inputs'!$B$160,$AH277*('Model Data Inputs'!$B$161-1),0))</f>
        <v>0</v>
      </c>
      <c r="AN277" s="202">
        <f>IF($G277="F",0,IF($P277&lt;'Model Data Inputs'!$B$162,SUM($AH277,$AI277,$AJ277,$AK277,$AL277,$AM277)*('Model Data Inputs'!$B$163-1),0))</f>
        <v>0</v>
      </c>
      <c r="AO277" s="202">
        <f t="shared" si="32"/>
        <v>0.64715779216649194</v>
      </c>
      <c r="AP277" s="204">
        <f>$K277*'Model Data Inputs'!$B$166</f>
        <v>33502.68</v>
      </c>
      <c r="AQ277" s="204">
        <f>($K277*'Model Data Inputs'!$B$145)*'Model Data Inputs'!$B$166</f>
        <v>3350.2680000000005</v>
      </c>
      <c r="AR277" s="50">
        <f t="shared" si="33"/>
        <v>36852.948000000004</v>
      </c>
    </row>
    <row r="278" spans="1:44" x14ac:dyDescent="0.2">
      <c r="A278" s="227" t="str">
        <f>'School Level Inst. Resources'!A278</f>
        <v>1702000</v>
      </c>
      <c r="B278" s="227" t="str">
        <f>'School Level Inst. Resources'!B278</f>
        <v>Sheridan #2</v>
      </c>
      <c r="C278" s="227" t="str">
        <f>'School Level Inst. Resources'!C278</f>
        <v>1702005</v>
      </c>
      <c r="D278" s="227" t="str">
        <f>'School Level Inst. Resources'!D278</f>
        <v>Story Elementary</v>
      </c>
      <c r="E278" s="228" t="str">
        <f>'School Level Inst. Resources'!E278</f>
        <v>K-5</v>
      </c>
      <c r="F278" s="229" t="str">
        <f>'School Level Inst. Resources'!H278</f>
        <v>E</v>
      </c>
      <c r="G278" s="229" t="s">
        <v>1158</v>
      </c>
      <c r="H278" s="207">
        <v>8617</v>
      </c>
      <c r="I278" s="207">
        <f>IF('SFD Allowable GSF Calculation'!$D$2=1,'SFD Allowable GSF Calculation'!$P278,'SFD Allowable GSF Calculation'!$X278)</f>
        <v>4617</v>
      </c>
      <c r="J278" s="194">
        <f>$I278*'Model Data Inputs'!$B$165</f>
        <v>5309.5499999999993</v>
      </c>
      <c r="K278" s="194">
        <f>IF($L278&gt;='Model Data Inputs'!$B$164,$H278,MIN($H278,$J278))</f>
        <v>5309.5499999999993</v>
      </c>
      <c r="L278" s="208">
        <v>1956</v>
      </c>
      <c r="M278" s="196">
        <f>IF($L278&gt;0,'Model Data Inputs'!$B$157-$L278,"")</f>
        <v>61</v>
      </c>
      <c r="N278" s="209">
        <v>4</v>
      </c>
      <c r="O278" s="198">
        <f>'School Level Inst. Resources'!$L278</f>
        <v>18.715</v>
      </c>
      <c r="P278" s="198">
        <f>IF($G278="T",SUMIFS('School Level ADM'!$S$5:$S$359,'School Level ADM'!$A$5:$A$359,$A278),0)</f>
        <v>3495.7650000000003</v>
      </c>
      <c r="Q278" s="199">
        <f t="shared" si="34"/>
        <v>5.3536207382361223E-3</v>
      </c>
      <c r="R278" s="200">
        <f>SUM((('School Level Inst. Resources'!I278/'Model Data Inputs'!$B$8)*(1+'Model Data Inputs'!$B$9)),(SUM('School Level Inst. Resources'!J278:K278)/'Model Data Inputs'!$C$8)*(1+'Model Data Inputs'!$C$9),'School Level Inst. Resources'!K278/400)</f>
        <v>1.2476666666666667</v>
      </c>
      <c r="S278" s="200">
        <f t="shared" si="35"/>
        <v>1.2476666666666667</v>
      </c>
      <c r="T278" s="201">
        <f>IF($G278="T",VLOOKUP($A278,'Total O &amp; M Resources'!$A$5:$K$52,3),0)</f>
        <v>26577604.239999995</v>
      </c>
      <c r="U278" s="202">
        <f>IF($G278="F",0,$S278/'Model Data Inputs'!$B$140)</f>
        <v>9.5974358974358978E-2</v>
      </c>
      <c r="V278" s="202">
        <f>IF($G278="F",0,$O278/'Model Data Inputs'!$B$141)</f>
        <v>5.7584615384615387E-2</v>
      </c>
      <c r="W278" s="202">
        <f>IF($G278="F",0,$N278/'Model Data Inputs'!$B$142)</f>
        <v>0.30769230769230771</v>
      </c>
      <c r="X278" s="202">
        <f>IF($G278="F",0,$K278/'Model Data Inputs'!$B$143)</f>
        <v>0.29497499999999999</v>
      </c>
      <c r="Y278" s="202">
        <f t="shared" si="29"/>
        <v>0.18905657051282052</v>
      </c>
      <c r="Z278" s="202">
        <f>IF(OR($G278="F",$F278="E"),0,'Model Data Inputs'!$B$144)</f>
        <v>0</v>
      </c>
      <c r="AA278" s="202">
        <f>IF(AND($O278&lt;='Model Data Inputs'!$B$139,$F278="E"),0,IF(AND($O278&lt;='Model Data Inputs'!$B$139,$F278="M"),0,IF(AND($O278&lt;='Model Data Inputs'!$B$139,$F278="H"),0,IF(SUM($Y278:$Z278)&lt;1,1,SUM($Y278:$Z278)))))</f>
        <v>0</v>
      </c>
      <c r="AB278" s="202">
        <f>($K278/'Model Data Inputs'!$B$143)*'Model Data Inputs'!$B$145</f>
        <v>2.9497499999999999E-2</v>
      </c>
      <c r="AC278" s="202">
        <f t="shared" si="30"/>
        <v>2.9497499999999999E-2</v>
      </c>
      <c r="AD278" s="202">
        <f>IF($G278="F",0,'Model Data Inputs'!$B$147)</f>
        <v>1.1000000000000001</v>
      </c>
      <c r="AE278" s="202">
        <f>IF($G278="F",0,($K278/'Model Data Inputs'!$B$148)*'Model Data Inputs'!$B$149)</f>
        <v>0.10619099999999998</v>
      </c>
      <c r="AF278" s="202">
        <f>IF($G278="F",0,($O278/'Model Data Inputs'!$B$150)*'Model Data Inputs'!$B$151)</f>
        <v>2.43295E-2</v>
      </c>
      <c r="AG278" s="202">
        <f>IF($G278="F",0,(($Q278*$T278)/'Model Data Inputs'!$B$152)*'Model Data Inputs'!$B$153)</f>
        <v>3.4148739175655099E-2</v>
      </c>
      <c r="AH278" s="202">
        <f t="shared" si="31"/>
        <v>0.31616730979391378</v>
      </c>
      <c r="AI278" s="203">
        <f>IF(OR($G278="F",$F278="M",$F278="H"),0,($AH278*'Model Data Inputs'!$B$154)-$AH278)</f>
        <v>-6.3233461958782766E-2</v>
      </c>
      <c r="AJ278" s="202">
        <f>IF(OR($G278="F",$F278="E",$F278="H"),0,($AH278*'Model Data Inputs'!$B$155)-$AH278)</f>
        <v>0</v>
      </c>
      <c r="AK278" s="203">
        <f>IF(OR($G278="F",$F278="E",$F278="M"),0,($AH278*'Model Data Inputs'!$B$156)-$AH278)</f>
        <v>0</v>
      </c>
      <c r="AL278" s="203">
        <f>IF($G278="F",0,IF($M278&lt;'Model Data Inputs'!$B$158,$AH278*('Model Data Inputs'!$B$159-1),0))</f>
        <v>0</v>
      </c>
      <c r="AM278" s="202">
        <f>IF($G278="F",0,IF($M278&gt;'Model Data Inputs'!$B$160,$AH278*('Model Data Inputs'!$B$161-1),0))</f>
        <v>3.1616730979391404E-2</v>
      </c>
      <c r="AN278" s="202">
        <f>IF($G278="F",0,IF($P278&lt;'Model Data Inputs'!$B$162,SUM($AH278,$AI278,$AJ278,$AK278,$AL278,$AM278)*('Model Data Inputs'!$B$163-1),0))</f>
        <v>0</v>
      </c>
      <c r="AO278" s="202">
        <f t="shared" si="32"/>
        <v>0.28455057881452239</v>
      </c>
      <c r="AP278" s="204">
        <f>$K278*'Model Data Inputs'!$B$166</f>
        <v>3557.3984999999998</v>
      </c>
      <c r="AQ278" s="204">
        <f>($K278*'Model Data Inputs'!$B$145)*'Model Data Inputs'!$B$166</f>
        <v>355.73984999999999</v>
      </c>
      <c r="AR278" s="50">
        <f t="shared" si="33"/>
        <v>3913.1383499999997</v>
      </c>
    </row>
    <row r="279" spans="1:44" x14ac:dyDescent="0.2">
      <c r="A279" s="227" t="str">
        <f>'School Level Inst. Resources'!A279</f>
        <v>1702000</v>
      </c>
      <c r="B279" s="227" t="str">
        <f>'School Level Inst. Resources'!B279</f>
        <v>Sheridan #2</v>
      </c>
      <c r="C279" s="227" t="str">
        <f>'School Level Inst. Resources'!C279</f>
        <v>1702007</v>
      </c>
      <c r="D279" s="227" t="str">
        <f>'School Level Inst. Resources'!D279</f>
        <v>Woodland Park Elementary</v>
      </c>
      <c r="E279" s="228" t="str">
        <f>'School Level Inst. Resources'!E279</f>
        <v>K-5</v>
      </c>
      <c r="F279" s="229" t="str">
        <f>'School Level Inst. Resources'!H279</f>
        <v>E</v>
      </c>
      <c r="G279" s="229" t="s">
        <v>1158</v>
      </c>
      <c r="H279" s="207">
        <v>55183</v>
      </c>
      <c r="I279" s="207">
        <f>IF('SFD Allowable GSF Calculation'!$D$2=1,'SFD Allowable GSF Calculation'!$P279,'SFD Allowable GSF Calculation'!$X279)</f>
        <v>44257</v>
      </c>
      <c r="J279" s="194">
        <f>$I279*'Model Data Inputs'!$B$165</f>
        <v>50895.549999999996</v>
      </c>
      <c r="K279" s="194">
        <f>IF($L279&gt;='Model Data Inputs'!$B$164,$H279,MIN($H279,$J279))</f>
        <v>55183</v>
      </c>
      <c r="L279" s="208">
        <v>2009</v>
      </c>
      <c r="M279" s="196">
        <f>IF($L279&gt;0,'Model Data Inputs'!$B$157-$L279,"")</f>
        <v>8</v>
      </c>
      <c r="N279" s="209">
        <v>29</v>
      </c>
      <c r="O279" s="198">
        <f>'School Level Inst. Resources'!$L279</f>
        <v>314.21499999999997</v>
      </c>
      <c r="P279" s="198">
        <f>IF($G279="T",SUMIFS('School Level ADM'!$S$5:$S$359,'School Level ADM'!$A$5:$A$359,$A279),0)</f>
        <v>3495.7650000000003</v>
      </c>
      <c r="Q279" s="199">
        <f t="shared" si="34"/>
        <v>8.9884474499859104E-2</v>
      </c>
      <c r="R279" s="200">
        <f>SUM((('School Level Inst. Resources'!I279/'Model Data Inputs'!$B$8)*(1+'Model Data Inputs'!$B$9)),(SUM('School Level Inst. Resources'!J279:K279)/'Model Data Inputs'!$C$8)*(1+'Model Data Inputs'!$C$9),'School Level Inst. Resources'!K279/400)</f>
        <v>20.947666666666667</v>
      </c>
      <c r="S279" s="200">
        <f t="shared" si="35"/>
        <v>20.947666666666667</v>
      </c>
      <c r="T279" s="201">
        <f>IF($G279="T",VLOOKUP($A279,'Total O &amp; M Resources'!$A$5:$K$52,3),0)</f>
        <v>26577604.239999995</v>
      </c>
      <c r="U279" s="202">
        <f>IF($G279="F",0,$S279/'Model Data Inputs'!$B$140)</f>
        <v>1.6113589743589745</v>
      </c>
      <c r="V279" s="202">
        <f>IF($G279="F",0,$O279/'Model Data Inputs'!$B$141)</f>
        <v>0.96681538461538452</v>
      </c>
      <c r="W279" s="202">
        <f>IF($G279="F",0,$N279/'Model Data Inputs'!$B$142)</f>
        <v>2.2307692307692308</v>
      </c>
      <c r="X279" s="202">
        <f>IF($G279="F",0,$K279/'Model Data Inputs'!$B$143)</f>
        <v>3.065722222222222</v>
      </c>
      <c r="Y279" s="202">
        <f t="shared" si="29"/>
        <v>1.968666452991453</v>
      </c>
      <c r="Z279" s="202">
        <f>IF(OR($G279="F",$F279="E"),0,'Model Data Inputs'!$B$144)</f>
        <v>0</v>
      </c>
      <c r="AA279" s="202">
        <f>IF(AND($O279&lt;='Model Data Inputs'!$B$139,$F279="E"),0,IF(AND($O279&lt;='Model Data Inputs'!$B$139,$F279="M"),0,IF(AND($O279&lt;='Model Data Inputs'!$B$139,$F279="H"),0,IF(SUM($Y279:$Z279)&lt;1,1,SUM($Y279:$Z279)))))</f>
        <v>1.968666452991453</v>
      </c>
      <c r="AB279" s="202">
        <f>($K279/'Model Data Inputs'!$B$143)*'Model Data Inputs'!$B$145</f>
        <v>0.30657222222222225</v>
      </c>
      <c r="AC279" s="202">
        <f t="shared" si="30"/>
        <v>2.2752386752136751</v>
      </c>
      <c r="AD279" s="202">
        <f>IF($G279="F",0,'Model Data Inputs'!$B$147)</f>
        <v>1.1000000000000001</v>
      </c>
      <c r="AE279" s="202">
        <f>IF($G279="F",0,($K279/'Model Data Inputs'!$B$148)*'Model Data Inputs'!$B$149)</f>
        <v>1.1036599999999999</v>
      </c>
      <c r="AF279" s="202">
        <f>IF($G279="F",0,($O279/'Model Data Inputs'!$B$150)*'Model Data Inputs'!$B$151)</f>
        <v>0.4084795</v>
      </c>
      <c r="AG279" s="202">
        <f>IF($G279="F",0,(($Q279*$T279)/'Model Data Inputs'!$B$152)*'Model Data Inputs'!$B$153)</f>
        <v>0.57333935773863032</v>
      </c>
      <c r="AH279" s="202">
        <f t="shared" si="31"/>
        <v>0.79636971443465754</v>
      </c>
      <c r="AI279" s="203">
        <f>IF(OR($G279="F",$F279="M",$F279="H"),0,($AH279*'Model Data Inputs'!$B$154)-$AH279)</f>
        <v>-0.15927394288693142</v>
      </c>
      <c r="AJ279" s="202">
        <f>IF(OR($G279="F",$F279="E",$F279="H"),0,($AH279*'Model Data Inputs'!$B$155)-$AH279)</f>
        <v>0</v>
      </c>
      <c r="AK279" s="203">
        <f>IF(OR($G279="F",$F279="E",$F279="M"),0,($AH279*'Model Data Inputs'!$B$156)-$AH279)</f>
        <v>0</v>
      </c>
      <c r="AL279" s="203">
        <f>IF($G279="F",0,IF($M279&lt;'Model Data Inputs'!$B$158,$AH279*('Model Data Inputs'!$B$159-1),0))</f>
        <v>-3.981848572173291E-2</v>
      </c>
      <c r="AM279" s="202">
        <f>IF($G279="F",0,IF($M279&gt;'Model Data Inputs'!$B$160,$AH279*('Model Data Inputs'!$B$161-1),0))</f>
        <v>0</v>
      </c>
      <c r="AN279" s="202">
        <f>IF($G279="F",0,IF($P279&lt;'Model Data Inputs'!$B$162,SUM($AH279,$AI279,$AJ279,$AK279,$AL279,$AM279)*('Model Data Inputs'!$B$163-1),0))</f>
        <v>0</v>
      </c>
      <c r="AO279" s="202">
        <f t="shared" si="32"/>
        <v>0.59727728582599315</v>
      </c>
      <c r="AP279" s="204">
        <f>$K279*'Model Data Inputs'!$B$166</f>
        <v>36972.61</v>
      </c>
      <c r="AQ279" s="204">
        <f>($K279*'Model Data Inputs'!$B$145)*'Model Data Inputs'!$B$166</f>
        <v>3697.2610000000004</v>
      </c>
      <c r="AR279" s="50">
        <f t="shared" si="33"/>
        <v>40669.870999999999</v>
      </c>
    </row>
    <row r="280" spans="1:44" x14ac:dyDescent="0.2">
      <c r="A280" s="227" t="str">
        <f>'School Level Inst. Resources'!A280</f>
        <v>1702000</v>
      </c>
      <c r="B280" s="227" t="str">
        <f>'School Level Inst. Resources'!B280</f>
        <v>Sheridan #2</v>
      </c>
      <c r="C280" s="227" t="str">
        <f>'School Level Inst. Resources'!C280</f>
        <v>1702009</v>
      </c>
      <c r="D280" s="227" t="str">
        <f>'School Level Inst. Resources'!D280</f>
        <v>Meadowlark Elementary</v>
      </c>
      <c r="E280" s="228" t="str">
        <f>'School Level Inst. Resources'!E280</f>
        <v>K-5</v>
      </c>
      <c r="F280" s="229" t="str">
        <f>'School Level Inst. Resources'!H280</f>
        <v>E</v>
      </c>
      <c r="G280" s="229" t="s">
        <v>1158</v>
      </c>
      <c r="H280" s="207">
        <v>56311</v>
      </c>
      <c r="I280" s="207">
        <f>IF('SFD Allowable GSF Calculation'!$D$2=1,'SFD Allowable GSF Calculation'!$P280,'SFD Allowable GSF Calculation'!$X280)</f>
        <v>48782</v>
      </c>
      <c r="J280" s="194">
        <f>$I280*'Model Data Inputs'!$B$165</f>
        <v>56099.299999999996</v>
      </c>
      <c r="K280" s="194">
        <f>IF($L280&gt;='Model Data Inputs'!$B$164,$H280,MIN($H280,$J280))</f>
        <v>56311</v>
      </c>
      <c r="L280" s="208">
        <v>2012</v>
      </c>
      <c r="M280" s="196">
        <f>IF($L280&gt;0,'Model Data Inputs'!$B$157-$L280,"")</f>
        <v>5</v>
      </c>
      <c r="N280" s="209">
        <v>34</v>
      </c>
      <c r="O280" s="198">
        <f>'School Level Inst. Resources'!$L280</f>
        <v>330.96000000000004</v>
      </c>
      <c r="P280" s="198">
        <f>IF($G280="T",SUMIFS('School Level ADM'!$S$5:$S$359,'School Level ADM'!$A$5:$A$359,$A280),0)</f>
        <v>3495.7650000000003</v>
      </c>
      <c r="Q280" s="199">
        <f t="shared" si="34"/>
        <v>9.4674556213017749E-2</v>
      </c>
      <c r="R280" s="200">
        <f>SUM((('School Level Inst. Resources'!I280/'Model Data Inputs'!$B$8)*(1+'Model Data Inputs'!$B$9)),(SUM('School Level Inst. Resources'!J280:K280)/'Model Data Inputs'!$C$8)*(1+'Model Data Inputs'!$C$9),'School Level Inst. Resources'!K280/400)</f>
        <v>22.064000000000004</v>
      </c>
      <c r="S280" s="200">
        <f t="shared" si="35"/>
        <v>22.064000000000004</v>
      </c>
      <c r="T280" s="201">
        <f>IF($G280="T",VLOOKUP($A280,'Total O &amp; M Resources'!$A$5:$K$52,3),0)</f>
        <v>26577604.239999995</v>
      </c>
      <c r="U280" s="202">
        <f>IF($G280="F",0,$S280/'Model Data Inputs'!$B$140)</f>
        <v>1.6972307692307695</v>
      </c>
      <c r="V280" s="202">
        <f>IF($G280="F",0,$O280/'Model Data Inputs'!$B$141)</f>
        <v>1.0183384615384616</v>
      </c>
      <c r="W280" s="202">
        <f>IF($G280="F",0,$N280/'Model Data Inputs'!$B$142)</f>
        <v>2.6153846153846154</v>
      </c>
      <c r="X280" s="202">
        <f>IF($G280="F",0,$K280/'Model Data Inputs'!$B$143)</f>
        <v>3.1283888888888889</v>
      </c>
      <c r="Y280" s="202">
        <f t="shared" si="29"/>
        <v>2.1148356837606839</v>
      </c>
      <c r="Z280" s="202">
        <f>IF(OR($G280="F",$F280="E"),0,'Model Data Inputs'!$B$144)</f>
        <v>0</v>
      </c>
      <c r="AA280" s="202">
        <f>IF(AND($O280&lt;='Model Data Inputs'!$B$139,$F280="E"),0,IF(AND($O280&lt;='Model Data Inputs'!$B$139,$F280="M"),0,IF(AND($O280&lt;='Model Data Inputs'!$B$139,$F280="H"),0,IF(SUM($Y280:$Z280)&lt;1,1,SUM($Y280:$Z280)))))</f>
        <v>2.1148356837606839</v>
      </c>
      <c r="AB280" s="202">
        <f>($K280/'Model Data Inputs'!$B$143)*'Model Data Inputs'!$B$145</f>
        <v>0.31283888888888889</v>
      </c>
      <c r="AC280" s="202">
        <f t="shared" si="30"/>
        <v>2.4276745726495728</v>
      </c>
      <c r="AD280" s="202">
        <f>IF($G280="F",0,'Model Data Inputs'!$B$147)</f>
        <v>1.1000000000000001</v>
      </c>
      <c r="AE280" s="202">
        <f>IF($G280="F",0,($K280/'Model Data Inputs'!$B$148)*'Model Data Inputs'!$B$149)</f>
        <v>1.12622</v>
      </c>
      <c r="AF280" s="202">
        <f>IF($G280="F",0,($O280/'Model Data Inputs'!$B$150)*'Model Data Inputs'!$B$151)</f>
        <v>0.43024800000000007</v>
      </c>
      <c r="AG280" s="202">
        <f>IF($G280="F",0,(($Q280*$T280)/'Model Data Inputs'!$B$152)*'Model Data Inputs'!$B$153)</f>
        <v>0.60389349279053239</v>
      </c>
      <c r="AH280" s="202">
        <f t="shared" si="31"/>
        <v>0.81509037319763311</v>
      </c>
      <c r="AI280" s="203">
        <f>IF(OR($G280="F",$F280="M",$F280="H"),0,($AH280*'Model Data Inputs'!$B$154)-$AH280)</f>
        <v>-0.16301807463952656</v>
      </c>
      <c r="AJ280" s="202">
        <f>IF(OR($G280="F",$F280="E",$F280="H"),0,($AH280*'Model Data Inputs'!$B$155)-$AH280)</f>
        <v>0</v>
      </c>
      <c r="AK280" s="203">
        <f>IF(OR($G280="F",$F280="E",$F280="M"),0,($AH280*'Model Data Inputs'!$B$156)-$AH280)</f>
        <v>0</v>
      </c>
      <c r="AL280" s="203">
        <f>IF($G280="F",0,IF($M280&lt;'Model Data Inputs'!$B$158,$AH280*('Model Data Inputs'!$B$159-1),0))</f>
        <v>-4.0754518659881694E-2</v>
      </c>
      <c r="AM280" s="202">
        <f>IF($G280="F",0,IF($M280&gt;'Model Data Inputs'!$B$160,$AH280*('Model Data Inputs'!$B$161-1),0))</f>
        <v>0</v>
      </c>
      <c r="AN280" s="202">
        <f>IF($G280="F",0,IF($P280&lt;'Model Data Inputs'!$B$162,SUM($AH280,$AI280,$AJ280,$AK280,$AL280,$AM280)*('Model Data Inputs'!$B$163-1),0))</f>
        <v>0</v>
      </c>
      <c r="AO280" s="202">
        <f t="shared" si="32"/>
        <v>0.61131777989822489</v>
      </c>
      <c r="AP280" s="204">
        <f>$K280*'Model Data Inputs'!$B$166</f>
        <v>37728.370000000003</v>
      </c>
      <c r="AQ280" s="204">
        <f>($K280*'Model Data Inputs'!$B$145)*'Model Data Inputs'!$B$166</f>
        <v>3772.8370000000004</v>
      </c>
      <c r="AR280" s="50">
        <f t="shared" si="33"/>
        <v>41501.207000000002</v>
      </c>
    </row>
    <row r="281" spans="1:44" x14ac:dyDescent="0.2">
      <c r="A281" s="227" t="str">
        <f>'School Level Inst. Resources'!A281</f>
        <v>1702000</v>
      </c>
      <c r="B281" s="227" t="str">
        <f>'School Level Inst. Resources'!B281</f>
        <v>Sheridan #2</v>
      </c>
      <c r="C281" s="227" t="str">
        <f>'School Level Inst. Resources'!C281</f>
        <v>1702010</v>
      </c>
      <c r="D281" s="227" t="str">
        <f>'School Level Inst. Resources'!D281</f>
        <v>Sagebrush Elementary</v>
      </c>
      <c r="E281" s="228" t="str">
        <f>'School Level Inst. Resources'!E281</f>
        <v>K-5</v>
      </c>
      <c r="F281" s="229" t="str">
        <f>'School Level Inst. Resources'!H281</f>
        <v>E</v>
      </c>
      <c r="G281" s="229" t="s">
        <v>1158</v>
      </c>
      <c r="H281" s="207">
        <v>54120</v>
      </c>
      <c r="I281" s="207">
        <f>IF('SFD Allowable GSF Calculation'!$D$2=1,'SFD Allowable GSF Calculation'!$P281,'SFD Allowable GSF Calculation'!$X281)</f>
        <v>48318</v>
      </c>
      <c r="J281" s="194">
        <f>$I281*'Model Data Inputs'!$B$165</f>
        <v>55565.7</v>
      </c>
      <c r="K281" s="194">
        <f>IF($L281&gt;='Model Data Inputs'!$B$164,$H281,MIN($H281,$J281))</f>
        <v>54120</v>
      </c>
      <c r="L281" s="208">
        <v>1986</v>
      </c>
      <c r="M281" s="196">
        <f>IF($L281&gt;0,'Model Data Inputs'!$B$157-$L281,"")</f>
        <v>31</v>
      </c>
      <c r="N281" s="209">
        <v>32</v>
      </c>
      <c r="O281" s="198">
        <f>'School Level Inst. Resources'!$L281</f>
        <v>321.11</v>
      </c>
      <c r="P281" s="198">
        <f>IF($G281="T",SUMIFS('School Level ADM'!$S$5:$S$359,'School Level ADM'!$A$5:$A$359,$A281),0)</f>
        <v>3495.7650000000003</v>
      </c>
      <c r="Q281" s="199">
        <f t="shared" si="34"/>
        <v>9.1856861087630318E-2</v>
      </c>
      <c r="R281" s="200">
        <f>SUM((('School Level Inst. Resources'!I281/'Model Data Inputs'!$B$8)*(1+'Model Data Inputs'!$B$9)),(SUM('School Level Inst. Resources'!J281:K281)/'Model Data Inputs'!$C$8)*(1+'Model Data Inputs'!$C$9),'School Level Inst. Resources'!K281/400)</f>
        <v>21.407333333333334</v>
      </c>
      <c r="S281" s="200">
        <f t="shared" si="35"/>
        <v>21.407333333333334</v>
      </c>
      <c r="T281" s="201">
        <f>IF($G281="T",VLOOKUP($A281,'Total O &amp; M Resources'!$A$5:$K$52,3),0)</f>
        <v>26577604.239999995</v>
      </c>
      <c r="U281" s="202">
        <f>IF($G281="F",0,$S281/'Model Data Inputs'!$B$140)</f>
        <v>1.6467179487179489</v>
      </c>
      <c r="V281" s="202">
        <f>IF($G281="F",0,$O281/'Model Data Inputs'!$B$141)</f>
        <v>0.98803076923076927</v>
      </c>
      <c r="W281" s="202">
        <f>IF($G281="F",0,$N281/'Model Data Inputs'!$B$142)</f>
        <v>2.4615384615384617</v>
      </c>
      <c r="X281" s="202">
        <f>IF($G281="F",0,$K281/'Model Data Inputs'!$B$143)</f>
        <v>3.0066666666666668</v>
      </c>
      <c r="Y281" s="202">
        <f t="shared" si="29"/>
        <v>2.0257384615384617</v>
      </c>
      <c r="Z281" s="202">
        <f>IF(OR($G281="F",$F281="E"),0,'Model Data Inputs'!$B$144)</f>
        <v>0</v>
      </c>
      <c r="AA281" s="202">
        <f>IF(AND($O281&lt;='Model Data Inputs'!$B$139,$F281="E"),0,IF(AND($O281&lt;='Model Data Inputs'!$B$139,$F281="M"),0,IF(AND($O281&lt;='Model Data Inputs'!$B$139,$F281="H"),0,IF(SUM($Y281:$Z281)&lt;1,1,SUM($Y281:$Z281)))))</f>
        <v>2.0257384615384617</v>
      </c>
      <c r="AB281" s="202">
        <f>($K281/'Model Data Inputs'!$B$143)*'Model Data Inputs'!$B$145</f>
        <v>0.30066666666666669</v>
      </c>
      <c r="AC281" s="202">
        <f t="shared" si="30"/>
        <v>2.3264051282051286</v>
      </c>
      <c r="AD281" s="202">
        <f>IF($G281="F",0,'Model Data Inputs'!$B$147)</f>
        <v>1.1000000000000001</v>
      </c>
      <c r="AE281" s="202">
        <f>IF($G281="F",0,($K281/'Model Data Inputs'!$B$148)*'Model Data Inputs'!$B$149)</f>
        <v>1.0824</v>
      </c>
      <c r="AF281" s="202">
        <f>IF($G281="F",0,($O281/'Model Data Inputs'!$B$150)*'Model Data Inputs'!$B$151)</f>
        <v>0.41744300000000001</v>
      </c>
      <c r="AG281" s="202">
        <f>IF($G281="F",0,(($Q281*$T281)/'Model Data Inputs'!$B$152)*'Model Data Inputs'!$B$153)</f>
        <v>0.58592047217176657</v>
      </c>
      <c r="AH281" s="202">
        <f t="shared" si="31"/>
        <v>0.79644086804294179</v>
      </c>
      <c r="AI281" s="203">
        <f>IF(OR($G281="F",$F281="M",$F281="H"),0,($AH281*'Model Data Inputs'!$B$154)-$AH281)</f>
        <v>-0.15928817360858827</v>
      </c>
      <c r="AJ281" s="202">
        <f>IF(OR($G281="F",$F281="E",$F281="H"),0,($AH281*'Model Data Inputs'!$B$155)-$AH281)</f>
        <v>0</v>
      </c>
      <c r="AK281" s="203">
        <f>IF(OR($G281="F",$F281="E",$F281="M"),0,($AH281*'Model Data Inputs'!$B$156)-$AH281)</f>
        <v>0</v>
      </c>
      <c r="AL281" s="203">
        <f>IF($G281="F",0,IF($M281&lt;'Model Data Inputs'!$B$158,$AH281*('Model Data Inputs'!$B$159-1),0))</f>
        <v>0</v>
      </c>
      <c r="AM281" s="202">
        <f>IF($G281="F",0,IF($M281&gt;'Model Data Inputs'!$B$160,$AH281*('Model Data Inputs'!$B$161-1),0))</f>
        <v>7.9644086804294245E-2</v>
      </c>
      <c r="AN281" s="202">
        <f>IF($G281="F",0,IF($P281&lt;'Model Data Inputs'!$B$162,SUM($AH281,$AI281,$AJ281,$AK281,$AL281,$AM281)*('Model Data Inputs'!$B$163-1),0))</f>
        <v>0</v>
      </c>
      <c r="AO281" s="202">
        <f t="shared" si="32"/>
        <v>0.71679678123864776</v>
      </c>
      <c r="AP281" s="204">
        <f>$K281*'Model Data Inputs'!$B$166</f>
        <v>36260.400000000001</v>
      </c>
      <c r="AQ281" s="204">
        <f>($K281*'Model Data Inputs'!$B$145)*'Model Data Inputs'!$B$166</f>
        <v>3626.0400000000004</v>
      </c>
      <c r="AR281" s="50">
        <f t="shared" si="33"/>
        <v>39886.44</v>
      </c>
    </row>
    <row r="282" spans="1:44" x14ac:dyDescent="0.2">
      <c r="A282" s="227" t="str">
        <f>'School Level Inst. Resources'!A282</f>
        <v>1702000</v>
      </c>
      <c r="B282" s="227" t="str">
        <f>'School Level Inst. Resources'!B282</f>
        <v>Sheridan #2</v>
      </c>
      <c r="C282" s="227" t="str">
        <f>'School Level Inst. Resources'!C282</f>
        <v>1702050</v>
      </c>
      <c r="D282" s="227" t="str">
        <f>'School Level Inst. Resources'!D282</f>
        <v>Sheridan Junior High School</v>
      </c>
      <c r="E282" s="228" t="str">
        <f>'School Level Inst. Resources'!E282</f>
        <v>6-8</v>
      </c>
      <c r="F282" s="229" t="str">
        <f>'School Level Inst. Resources'!H282</f>
        <v>M</v>
      </c>
      <c r="G282" s="229" t="s">
        <v>1158</v>
      </c>
      <c r="H282" s="207">
        <v>213284</v>
      </c>
      <c r="I282" s="207">
        <f>IF('SFD Allowable GSF Calculation'!$D$2=1,'SFD Allowable GSF Calculation'!$P282,'SFD Allowable GSF Calculation'!$X282)</f>
        <v>113398</v>
      </c>
      <c r="J282" s="194">
        <f>$I282*'Model Data Inputs'!$B$165</f>
        <v>130407.7</v>
      </c>
      <c r="K282" s="194">
        <f>IF($L282&gt;='Model Data Inputs'!$B$164,$H282,MIN($H282,$J282))</f>
        <v>213284</v>
      </c>
      <c r="L282" s="208">
        <v>2005</v>
      </c>
      <c r="M282" s="196">
        <f>IF($L282&gt;0,'Model Data Inputs'!$B$157-$L282,"")</f>
        <v>12</v>
      </c>
      <c r="N282" s="209">
        <v>80</v>
      </c>
      <c r="O282" s="198">
        <f>'School Level Inst. Resources'!$L282</f>
        <v>801.79</v>
      </c>
      <c r="P282" s="198">
        <f>IF($G282="T",SUMIFS('School Level ADM'!$S$5:$S$359,'School Level ADM'!$A$5:$A$359,$A282),0)</f>
        <v>3495.7650000000003</v>
      </c>
      <c r="Q282" s="199">
        <f t="shared" si="34"/>
        <v>0.22936038320653701</v>
      </c>
      <c r="R282" s="200">
        <f>SUM((('School Level Inst. Resources'!I282/'Model Data Inputs'!$B$8)*(1+'Model Data Inputs'!$B$9)),(SUM('School Level Inst. Resources'!J282:K282)/'Model Data Inputs'!$C$8)*(1+'Model Data Inputs'!$C$9),'School Level Inst. Resources'!K282/400)</f>
        <v>46.468959565217382</v>
      </c>
      <c r="S282" s="200">
        <f t="shared" si="35"/>
        <v>46.468959565217382</v>
      </c>
      <c r="T282" s="201">
        <f>IF($G282="T",VLOOKUP($A282,'Total O &amp; M Resources'!$A$5:$K$52,3),0)</f>
        <v>26577604.239999995</v>
      </c>
      <c r="U282" s="202">
        <f>IF($G282="F",0,$S282/'Model Data Inputs'!$B$140)</f>
        <v>3.5745353511705678</v>
      </c>
      <c r="V282" s="202">
        <f>IF($G282="F",0,$O282/'Model Data Inputs'!$B$141)</f>
        <v>2.4670461538461539</v>
      </c>
      <c r="W282" s="202">
        <f>IF($G282="F",0,$N282/'Model Data Inputs'!$B$142)</f>
        <v>6.1538461538461542</v>
      </c>
      <c r="X282" s="202">
        <f>IF($G282="F",0,$K282/'Model Data Inputs'!$B$143)</f>
        <v>11.84911111111111</v>
      </c>
      <c r="Y282" s="202">
        <f t="shared" si="29"/>
        <v>6.0111346924934965</v>
      </c>
      <c r="Z282" s="202">
        <f>IF(OR($G282="F",$F282="E"),0,'Model Data Inputs'!$B$144)</f>
        <v>0.5</v>
      </c>
      <c r="AA282" s="202">
        <f>IF(AND($O282&lt;='Model Data Inputs'!$B$139,$F282="E"),0,IF(AND($O282&lt;='Model Data Inputs'!$B$139,$F282="M"),0,IF(AND($O282&lt;='Model Data Inputs'!$B$139,$F282="H"),0,IF(SUM($Y282:$Z282)&lt;1,1,SUM($Y282:$Z282)))))</f>
        <v>6.5111346924934965</v>
      </c>
      <c r="AB282" s="202">
        <f>($K282/'Model Data Inputs'!$B$143)*'Model Data Inputs'!$B$145</f>
        <v>1.184911111111111</v>
      </c>
      <c r="AC282" s="202">
        <f t="shared" si="30"/>
        <v>7.6960458036046075</v>
      </c>
      <c r="AD282" s="202">
        <f>IF($G282="F",0,'Model Data Inputs'!$B$147)</f>
        <v>1.1000000000000001</v>
      </c>
      <c r="AE282" s="202">
        <f>IF($G282="F",0,($K282/'Model Data Inputs'!$B$148)*'Model Data Inputs'!$B$149)</f>
        <v>4.2656799999999997</v>
      </c>
      <c r="AF282" s="202">
        <f>IF($G282="F",0,($O282/'Model Data Inputs'!$B$150)*'Model Data Inputs'!$B$151)</f>
        <v>1.042327</v>
      </c>
      <c r="AG282" s="202">
        <f>IF($G282="F",0,(($Q282*$T282)/'Model Data Inputs'!$B$152)*'Model Data Inputs'!$B$153)</f>
        <v>1.4630038783675396</v>
      </c>
      <c r="AH282" s="202">
        <f t="shared" si="31"/>
        <v>1.9677527195918847</v>
      </c>
      <c r="AI282" s="203">
        <f>IF(OR($G282="F",$F282="M",$F282="H"),0,($AH282*'Model Data Inputs'!$B$154)-$AH282)</f>
        <v>0</v>
      </c>
      <c r="AJ282" s="202">
        <f>IF(OR($G282="F",$F282="E",$F282="H"),0,($AH282*'Model Data Inputs'!$B$155)-$AH282)</f>
        <v>0</v>
      </c>
      <c r="AK282" s="203">
        <f>IF(OR($G282="F",$F282="E",$F282="M"),0,($AH282*'Model Data Inputs'!$B$156)-$AH282)</f>
        <v>0</v>
      </c>
      <c r="AL282" s="203">
        <f>IF($G282="F",0,IF($M282&lt;'Model Data Inputs'!$B$158,$AH282*('Model Data Inputs'!$B$159-1),0))</f>
        <v>0</v>
      </c>
      <c r="AM282" s="202">
        <f>IF($G282="F",0,IF($M282&gt;'Model Data Inputs'!$B$160,$AH282*('Model Data Inputs'!$B$161-1),0))</f>
        <v>0</v>
      </c>
      <c r="AN282" s="202">
        <f>IF($G282="F",0,IF($P282&lt;'Model Data Inputs'!$B$162,SUM($AH282,$AI282,$AJ282,$AK282,$AL282,$AM282)*('Model Data Inputs'!$B$163-1),0))</f>
        <v>0</v>
      </c>
      <c r="AO282" s="202">
        <f t="shared" si="32"/>
        <v>1.9677527195918847</v>
      </c>
      <c r="AP282" s="204">
        <f>$K282*'Model Data Inputs'!$B$166</f>
        <v>142900.28</v>
      </c>
      <c r="AQ282" s="204">
        <f>($K282*'Model Data Inputs'!$B$145)*'Model Data Inputs'!$B$166</f>
        <v>14290.028000000002</v>
      </c>
      <c r="AR282" s="50">
        <f t="shared" si="33"/>
        <v>157190.30799999999</v>
      </c>
    </row>
    <row r="283" spans="1:44" s="226" customFormat="1" x14ac:dyDescent="0.2">
      <c r="A283" s="210" t="str">
        <f>'School Level Inst. Resources'!A283</f>
        <v>1702000</v>
      </c>
      <c r="B283" s="210" t="str">
        <f>'School Level Inst. Resources'!B283</f>
        <v>Sheridan #2</v>
      </c>
      <c r="C283" s="210" t="str">
        <f>'School Level Inst. Resources'!C283</f>
        <v>1702052</v>
      </c>
      <c r="D283" s="210" t="str">
        <f>'School Level Inst. Resources'!D283</f>
        <v>The Wright Place</v>
      </c>
      <c r="E283" s="211" t="str">
        <f>'School Level Inst. Resources'!E283</f>
        <v>6-8</v>
      </c>
      <c r="F283" s="212" t="str">
        <f>'School Level Inst. Resources'!H283</f>
        <v>M</v>
      </c>
      <c r="G283" s="212" t="s">
        <v>1159</v>
      </c>
      <c r="H283" s="213">
        <v>0</v>
      </c>
      <c r="I283" s="213">
        <f>IF('SFD Allowable GSF Calculation'!$D$2=1,'SFD Allowable GSF Calculation'!$P283,'SFD Allowable GSF Calculation'!$X283)</f>
        <v>0</v>
      </c>
      <c r="J283" s="214">
        <f>$I283*'Model Data Inputs'!$B$165</f>
        <v>0</v>
      </c>
      <c r="K283" s="214">
        <f>IF($L283&gt;='Model Data Inputs'!$B$164,$H283,MIN($H283,$J283))</f>
        <v>0</v>
      </c>
      <c r="L283" s="233">
        <v>0</v>
      </c>
      <c r="M283" s="196" t="str">
        <f>IF($L283&gt;0,'Model Data Inputs'!$B$157-$L283,"")</f>
        <v/>
      </c>
      <c r="N283" s="216">
        <v>0</v>
      </c>
      <c r="O283" s="217">
        <v>0</v>
      </c>
      <c r="P283" s="218">
        <f>IF($G283="T",SUMIFS('School Level ADM'!$S$5:$S$359,'School Level ADM'!$A$5:$A$359,$A283),0)</f>
        <v>0</v>
      </c>
      <c r="Q283" s="219">
        <f t="shared" si="34"/>
        <v>0</v>
      </c>
      <c r="R283" s="220">
        <f>SUM((('School Level Inst. Resources'!I283/'Model Data Inputs'!$B$8)*(1+'Model Data Inputs'!$B$9)),(SUM('School Level Inst. Resources'!J283:K283)/'Model Data Inputs'!$C$8)*(1+'Model Data Inputs'!$C$9),'School Level Inst. Resources'!K283/400)</f>
        <v>1.0275691304347827</v>
      </c>
      <c r="S283" s="220">
        <v>0</v>
      </c>
      <c r="T283" s="221">
        <f>IF($G283="T",VLOOKUP($A283,'Total O &amp; M Resources'!$A$5:$K$52,3),0)</f>
        <v>0</v>
      </c>
      <c r="U283" s="222">
        <f>IF($G283="F",0,$S283/'Model Data Inputs'!$B$140)</f>
        <v>0</v>
      </c>
      <c r="V283" s="222">
        <f>IF($G283="F",0,$O283/'Model Data Inputs'!$B$141)</f>
        <v>0</v>
      </c>
      <c r="W283" s="222">
        <f>IF($G283="F",0,$N283/'Model Data Inputs'!$B$142)</f>
        <v>0</v>
      </c>
      <c r="X283" s="222">
        <f>IF($G283="F",0,$K283/'Model Data Inputs'!$B$143)</f>
        <v>0</v>
      </c>
      <c r="Y283" s="222">
        <f t="shared" si="29"/>
        <v>0</v>
      </c>
      <c r="Z283" s="222">
        <f>IF(OR($G283="F",$F283="E"),0,'Model Data Inputs'!$B$144)</f>
        <v>0</v>
      </c>
      <c r="AA283" s="222">
        <f>IF(AND($O283&lt;='Model Data Inputs'!$B$139,$F283="E"),0,IF(AND($O283&lt;='Model Data Inputs'!$B$139,$F283="M"),0,IF(AND($O283&lt;='Model Data Inputs'!$B$139,$F283="H"),0,IF(SUM($Y283:$Z283)&lt;1,1,SUM($Y283:$Z283)))))</f>
        <v>0</v>
      </c>
      <c r="AB283" s="222">
        <f>($K283/'Model Data Inputs'!$B$143)*'Model Data Inputs'!$B$145</f>
        <v>0</v>
      </c>
      <c r="AC283" s="222">
        <f t="shared" si="30"/>
        <v>0</v>
      </c>
      <c r="AD283" s="222">
        <f>IF($G283="F",0,'Model Data Inputs'!$B$147)</f>
        <v>0</v>
      </c>
      <c r="AE283" s="222">
        <f>IF($G283="F",0,($K283/'Model Data Inputs'!$B$148)*'Model Data Inputs'!$B$149)</f>
        <v>0</v>
      </c>
      <c r="AF283" s="222">
        <f>IF($G283="F",0,($O283/'Model Data Inputs'!$B$150)*'Model Data Inputs'!$B$151)</f>
        <v>0</v>
      </c>
      <c r="AG283" s="222">
        <f>IF($G283="F",0,(($Q283*$T283)/'Model Data Inputs'!$B$152)*'Model Data Inputs'!$B$153)</f>
        <v>0</v>
      </c>
      <c r="AH283" s="222">
        <f t="shared" si="31"/>
        <v>0</v>
      </c>
      <c r="AI283" s="223">
        <f>IF(OR($G283="F",$F283="M",$F283="H"),0,($AH283*'Model Data Inputs'!$B$154)-$AH283)</f>
        <v>0</v>
      </c>
      <c r="AJ283" s="222">
        <f>IF(OR($G283="F",$F283="E",$F283="H"),0,($AH283*'Model Data Inputs'!$B$155)-$AH283)</f>
        <v>0</v>
      </c>
      <c r="AK283" s="223">
        <f>IF(OR($G283="F",$F283="E",$F283="M"),0,($AH283*'Model Data Inputs'!$B$156)-$AH283)</f>
        <v>0</v>
      </c>
      <c r="AL283" s="223">
        <f>IF($G283="F",0,IF($M283&lt;'Model Data Inputs'!$B$158,$AH283*('Model Data Inputs'!$B$159-1),0))</f>
        <v>0</v>
      </c>
      <c r="AM283" s="222">
        <f>IF($G283="F",0,IF($M283&gt;'Model Data Inputs'!$B$160,$AH283*('Model Data Inputs'!$B$161-1),0))</f>
        <v>0</v>
      </c>
      <c r="AN283" s="222">
        <f>IF($G283="F",0,IF($P283&lt;'Model Data Inputs'!$B$162,SUM($AH283,$AI283,$AJ283,$AK283,$AL283,$AM283)*('Model Data Inputs'!$B$163-1),0))</f>
        <v>0</v>
      </c>
      <c r="AO283" s="222">
        <f t="shared" si="32"/>
        <v>0</v>
      </c>
      <c r="AP283" s="224">
        <f>$K283*'Model Data Inputs'!$B$166</f>
        <v>0</v>
      </c>
      <c r="AQ283" s="224">
        <f>($K283*'Model Data Inputs'!$B$145)*'Model Data Inputs'!$B$166</f>
        <v>0</v>
      </c>
      <c r="AR283" s="225">
        <f t="shared" si="33"/>
        <v>0</v>
      </c>
    </row>
    <row r="284" spans="1:44" s="226" customFormat="1" x14ac:dyDescent="0.2">
      <c r="A284" s="210" t="str">
        <f>'School Level Inst. Resources'!A284</f>
        <v>1702000</v>
      </c>
      <c r="B284" s="210" t="str">
        <f>'School Level Inst. Resources'!B284</f>
        <v>Sheridan #2</v>
      </c>
      <c r="C284" s="210" t="str">
        <f>'School Level Inst. Resources'!C284</f>
        <v>1702056</v>
      </c>
      <c r="D284" s="210" t="str">
        <f>'School Level Inst. Resources'!D284</f>
        <v>John C. Schiffer Collaborative School</v>
      </c>
      <c r="E284" s="211" t="str">
        <f>'School Level Inst. Resources'!E284</f>
        <v>9-12</v>
      </c>
      <c r="F284" s="212" t="str">
        <f>'School Level Inst. Resources'!H284</f>
        <v>H</v>
      </c>
      <c r="G284" s="212" t="s">
        <v>1158</v>
      </c>
      <c r="H284" s="213">
        <v>40688</v>
      </c>
      <c r="I284" s="213">
        <f>IF('SFD Allowable GSF Calculation'!$D$2=1,'SFD Allowable GSF Calculation'!$P284,'SFD Allowable GSF Calculation'!$X284)</f>
        <v>38790</v>
      </c>
      <c r="J284" s="214">
        <f>$I284*'Model Data Inputs'!$B$165</f>
        <v>44608.5</v>
      </c>
      <c r="K284" s="214">
        <f>IF($L284&gt;='Model Data Inputs'!$B$164,$H284,MIN($H284,$J284))</f>
        <v>40688</v>
      </c>
      <c r="L284" s="233">
        <v>1953</v>
      </c>
      <c r="M284" s="196">
        <f>IF($L284&gt;0,'Model Data Inputs'!$B$157-$L284,"")</f>
        <v>64</v>
      </c>
      <c r="N284" s="216">
        <v>19</v>
      </c>
      <c r="O284" s="218">
        <f>SUM('School Level Inst. Resources'!$L283,'School Level Inst. Resources'!$L284)</f>
        <v>71.905000000000001</v>
      </c>
      <c r="P284" s="218">
        <f>IF($G284="T",SUMIFS('School Level ADM'!$S$5:$S$359,'School Level ADM'!$A$5:$A$359,$A284),0)</f>
        <v>3495.7650000000003</v>
      </c>
      <c r="Q284" s="219">
        <f t="shared" si="34"/>
        <v>2.056917441532826E-2</v>
      </c>
      <c r="R284" s="234">
        <f>SUM((('School Level Inst. Resources'!I284/'Model Data Inputs'!$B$8)*(1+'Model Data Inputs'!$B$9)),(SUM('School Level Inst. Resources'!J284:K284)/'Model Data Inputs'!$C$8)*(1+'Model Data Inputs'!$C$9),'School Level Inst. Resources'!K284/400)</f>
        <v>3.275232065217391</v>
      </c>
      <c r="S284" s="234">
        <f>SUM(R283:R284)</f>
        <v>4.3028011956521741</v>
      </c>
      <c r="T284" s="221">
        <f>IF($G284="T",VLOOKUP($A284,'Total O &amp; M Resources'!$A$5:$K$52,3),0)</f>
        <v>26577604.239999995</v>
      </c>
      <c r="U284" s="222">
        <f>IF($G284="F",0,$S284/'Model Data Inputs'!$B$140)</f>
        <v>0.33098470735785956</v>
      </c>
      <c r="V284" s="222">
        <f>IF($G284="F",0,$O284/'Model Data Inputs'!$B$141)</f>
        <v>0.22124615384615384</v>
      </c>
      <c r="W284" s="222">
        <f>IF($G284="F",0,$N284/'Model Data Inputs'!$B$142)</f>
        <v>1.4615384615384615</v>
      </c>
      <c r="X284" s="222">
        <f>IF($G284="F",0,$K284/'Model Data Inputs'!$B$143)</f>
        <v>2.2604444444444445</v>
      </c>
      <c r="Y284" s="222">
        <f t="shared" si="29"/>
        <v>1.06855344179673</v>
      </c>
      <c r="Z284" s="222">
        <f>IF(OR($G284="F",$F284="E"),0,'Model Data Inputs'!$B$144)</f>
        <v>0.5</v>
      </c>
      <c r="AA284" s="222">
        <f>IF(AND($O284&lt;='Model Data Inputs'!$B$139,$F284="E"),0,IF(AND($O284&lt;='Model Data Inputs'!$B$139,$F284="M"),0,IF(AND($O284&lt;='Model Data Inputs'!$B$139,$F284="H"),0,IF(SUM($Y284:$Z284)&lt;1,1,SUM($Y284:$Z284)))))</f>
        <v>1.56855344179673</v>
      </c>
      <c r="AB284" s="222">
        <f>($K284/'Model Data Inputs'!$B$143)*'Model Data Inputs'!$B$145</f>
        <v>0.22604444444444446</v>
      </c>
      <c r="AC284" s="222">
        <f t="shared" si="30"/>
        <v>1.7945978862411744</v>
      </c>
      <c r="AD284" s="222">
        <f>IF($G284="F",0,'Model Data Inputs'!$B$147)</f>
        <v>1.1000000000000001</v>
      </c>
      <c r="AE284" s="222">
        <f>IF($G284="F",0,($K284/'Model Data Inputs'!$B$148)*'Model Data Inputs'!$B$149)</f>
        <v>0.81376000000000004</v>
      </c>
      <c r="AF284" s="222">
        <f>IF($G284="F",0,($O284/'Model Data Inputs'!$B$150)*'Model Data Inputs'!$B$151)</f>
        <v>9.3476500000000004E-2</v>
      </c>
      <c r="AG284" s="222">
        <f>IF($G284="F",0,(($Q284*$T284)/'Model Data Inputs'!$B$152)*'Model Data Inputs'!$B$153)</f>
        <v>0.13120305051699069</v>
      </c>
      <c r="AH284" s="222">
        <f t="shared" si="31"/>
        <v>0.53460988762924777</v>
      </c>
      <c r="AI284" s="223">
        <f>IF(OR($G284="F",$F284="M",$F284="H"),0,($AH284*'Model Data Inputs'!$B$154)-$AH284)</f>
        <v>0</v>
      </c>
      <c r="AJ284" s="222">
        <f>IF(OR($G284="F",$F284="E",$F284="H"),0,($AH284*'Model Data Inputs'!$B$155)-$AH284)</f>
        <v>0</v>
      </c>
      <c r="AK284" s="223">
        <f>IF(OR($G284="F",$F284="E",$F284="M"),0,($AH284*'Model Data Inputs'!$B$156)-$AH284)</f>
        <v>0.53460988762924777</v>
      </c>
      <c r="AL284" s="223">
        <f>IF($G284="F",0,IF($M284&lt;'Model Data Inputs'!$B$158,$AH284*('Model Data Inputs'!$B$159-1),0))</f>
        <v>0</v>
      </c>
      <c r="AM284" s="222">
        <f>IF($G284="F",0,IF($M284&gt;'Model Data Inputs'!$B$160,$AH284*('Model Data Inputs'!$B$161-1),0))</f>
        <v>5.3460988762924821E-2</v>
      </c>
      <c r="AN284" s="222">
        <f>IF($G284="F",0,IF($P284&lt;'Model Data Inputs'!$B$162,SUM($AH284,$AI284,$AJ284,$AK284,$AL284,$AM284)*('Model Data Inputs'!$B$163-1),0))</f>
        <v>0</v>
      </c>
      <c r="AO284" s="222">
        <f t="shared" si="32"/>
        <v>1.1226807640214203</v>
      </c>
      <c r="AP284" s="224">
        <f>$K284*'Model Data Inputs'!$B$166</f>
        <v>27260.960000000003</v>
      </c>
      <c r="AQ284" s="224">
        <f>($K284*'Model Data Inputs'!$B$145)*'Model Data Inputs'!$B$166</f>
        <v>2726.0960000000005</v>
      </c>
      <c r="AR284" s="225">
        <f t="shared" si="33"/>
        <v>29987.056000000004</v>
      </c>
    </row>
    <row r="285" spans="1:44" x14ac:dyDescent="0.2">
      <c r="A285" s="227" t="str">
        <f>'School Level Inst. Resources'!A285</f>
        <v>1702000</v>
      </c>
      <c r="B285" s="227" t="str">
        <f>'School Level Inst. Resources'!B285</f>
        <v>Sheridan #2</v>
      </c>
      <c r="C285" s="227" t="str">
        <f>'School Level Inst. Resources'!C285</f>
        <v>1702057</v>
      </c>
      <c r="D285" s="227" t="str">
        <f>'School Level Inst. Resources'!D285</f>
        <v>Sheridan High School</v>
      </c>
      <c r="E285" s="228" t="str">
        <f>'School Level Inst. Resources'!E285</f>
        <v>9-12</v>
      </c>
      <c r="F285" s="229" t="str">
        <f>'School Level Inst. Resources'!H285</f>
        <v>H</v>
      </c>
      <c r="G285" s="229" t="s">
        <v>1158</v>
      </c>
      <c r="H285" s="207">
        <v>231465</v>
      </c>
      <c r="I285" s="207">
        <f>IF('SFD Allowable GSF Calculation'!$D$2=1,'SFD Allowable GSF Calculation'!$P285,'SFD Allowable GSF Calculation'!$X285)</f>
        <v>161523</v>
      </c>
      <c r="J285" s="194">
        <f>$I285*'Model Data Inputs'!$B$165</f>
        <v>185751.44999999998</v>
      </c>
      <c r="K285" s="194">
        <f>IF($L285&gt;='Model Data Inputs'!$B$164,$H285,MIN($H285,$J285))</f>
        <v>185751.44999999998</v>
      </c>
      <c r="L285" s="208">
        <v>1987</v>
      </c>
      <c r="M285" s="196">
        <f>IF($L285&gt;0,'Model Data Inputs'!$B$157-$L285,"")</f>
        <v>30</v>
      </c>
      <c r="N285" s="209">
        <v>90</v>
      </c>
      <c r="O285" s="198">
        <f>'School Level Inst. Resources'!$L285</f>
        <v>929.83999999999992</v>
      </c>
      <c r="P285" s="198">
        <f>IF($G285="T",SUMIFS('School Level ADM'!$S$5:$S$359,'School Level ADM'!$A$5:$A$359,$A285),0)</f>
        <v>3495.7650000000003</v>
      </c>
      <c r="Q285" s="199">
        <f t="shared" si="34"/>
        <v>0.26599041983657362</v>
      </c>
      <c r="R285" s="200">
        <f>SUM((('School Level Inst. Resources'!I285/'Model Data Inputs'!$B$8)*(1+'Model Data Inputs'!$B$9)),(SUM('School Level Inst. Resources'!J285:K285)/'Model Data Inputs'!$C$8)*(1+'Model Data Inputs'!$C$9),'School Level Inst. Resources'!K285/400)</f>
        <v>56.214892173913036</v>
      </c>
      <c r="S285" s="200">
        <f t="shared" si="35"/>
        <v>56.214892173913036</v>
      </c>
      <c r="T285" s="201">
        <f>IF($G285="T",VLOOKUP($A285,'Total O &amp; M Resources'!$A$5:$K$52,3),0)</f>
        <v>26577604.239999995</v>
      </c>
      <c r="U285" s="202">
        <f>IF($G285="F",0,$S285/'Model Data Inputs'!$B$140)</f>
        <v>4.3242224749163878</v>
      </c>
      <c r="V285" s="202">
        <f>IF($G285="F",0,$O285/'Model Data Inputs'!$B$141)</f>
        <v>2.8610461538461536</v>
      </c>
      <c r="W285" s="202">
        <f>IF($G285="F",0,$N285/'Model Data Inputs'!$B$142)</f>
        <v>6.9230769230769234</v>
      </c>
      <c r="X285" s="202">
        <f>IF($G285="F",0,$K285/'Model Data Inputs'!$B$143)</f>
        <v>10.319524999999999</v>
      </c>
      <c r="Y285" s="202">
        <f t="shared" si="29"/>
        <v>6.1069676379598654</v>
      </c>
      <c r="Z285" s="202">
        <f>IF(OR($G285="F",$F285="E"),0,'Model Data Inputs'!$B$144)</f>
        <v>0.5</v>
      </c>
      <c r="AA285" s="202">
        <f>IF(AND($O285&lt;='Model Data Inputs'!$B$139,$F285="E"),0,IF(AND($O285&lt;='Model Data Inputs'!$B$139,$F285="M"),0,IF(AND($O285&lt;='Model Data Inputs'!$B$139,$F285="H"),0,IF(SUM($Y285:$Z285)&lt;1,1,SUM($Y285:$Z285)))))</f>
        <v>6.6069676379598654</v>
      </c>
      <c r="AB285" s="202">
        <f>($K285/'Model Data Inputs'!$B$143)*'Model Data Inputs'!$B$145</f>
        <v>1.0319524999999998</v>
      </c>
      <c r="AC285" s="202">
        <f t="shared" si="30"/>
        <v>7.6389201379598655</v>
      </c>
      <c r="AD285" s="202">
        <f>IF($G285="F",0,'Model Data Inputs'!$B$147)</f>
        <v>1.1000000000000001</v>
      </c>
      <c r="AE285" s="202">
        <f>IF($G285="F",0,($K285/'Model Data Inputs'!$B$148)*'Model Data Inputs'!$B$149)</f>
        <v>3.7150289999999995</v>
      </c>
      <c r="AF285" s="202">
        <f>IF($G285="F",0,($O285/'Model Data Inputs'!$B$150)*'Model Data Inputs'!$B$151)</f>
        <v>1.2087919999999999</v>
      </c>
      <c r="AG285" s="202">
        <f>IF($G285="F",0,(($Q285*$T285)/'Model Data Inputs'!$B$152)*'Model Data Inputs'!$B$153)</f>
        <v>1.6966531464114953</v>
      </c>
      <c r="AH285" s="202">
        <f t="shared" si="31"/>
        <v>1.9301185366028735</v>
      </c>
      <c r="AI285" s="203">
        <f>IF(OR($G285="F",$F285="M",$F285="H"),0,($AH285*'Model Data Inputs'!$B$154)-$AH285)</f>
        <v>0</v>
      </c>
      <c r="AJ285" s="202">
        <f>IF(OR($G285="F",$F285="E",$F285="H"),0,($AH285*'Model Data Inputs'!$B$155)-$AH285)</f>
        <v>0</v>
      </c>
      <c r="AK285" s="203">
        <f>IF(OR($G285="F",$F285="E",$F285="M"),0,($AH285*'Model Data Inputs'!$B$156)-$AH285)</f>
        <v>1.9301185366028735</v>
      </c>
      <c r="AL285" s="203">
        <f>IF($G285="F",0,IF($M285&lt;'Model Data Inputs'!$B$158,$AH285*('Model Data Inputs'!$B$159-1),0))</f>
        <v>0</v>
      </c>
      <c r="AM285" s="202">
        <f>IF($G285="F",0,IF($M285&gt;'Model Data Inputs'!$B$160,$AH285*('Model Data Inputs'!$B$161-1),0))</f>
        <v>0</v>
      </c>
      <c r="AN285" s="202">
        <f>IF($G285="F",0,IF($P285&lt;'Model Data Inputs'!$B$162,SUM($AH285,$AI285,$AJ285,$AK285,$AL285,$AM285)*('Model Data Inputs'!$B$163-1),0))</f>
        <v>0</v>
      </c>
      <c r="AO285" s="202">
        <f t="shared" si="32"/>
        <v>3.8602370732057469</v>
      </c>
      <c r="AP285" s="204">
        <f>$K285*'Model Data Inputs'!$B$166</f>
        <v>124453.4715</v>
      </c>
      <c r="AQ285" s="204">
        <f>($K285*'Model Data Inputs'!$B$145)*'Model Data Inputs'!$B$166</f>
        <v>12445.347150000001</v>
      </c>
      <c r="AR285" s="50">
        <f t="shared" si="33"/>
        <v>136898.81865</v>
      </c>
    </row>
    <row r="286" spans="1:44" x14ac:dyDescent="0.2">
      <c r="A286" s="227" t="str">
        <f>'School Level Inst. Resources'!A286</f>
        <v>1703000</v>
      </c>
      <c r="B286" s="227" t="str">
        <f>'School Level Inst. Resources'!B286</f>
        <v>Sheridan #3</v>
      </c>
      <c r="C286" s="227" t="str">
        <f>'School Level Inst. Resources'!C286</f>
        <v>1703001</v>
      </c>
      <c r="D286" s="227" t="str">
        <f>'School Level Inst. Resources'!D286</f>
        <v>Arvada Elementary</v>
      </c>
      <c r="E286" s="228" t="str">
        <f>'School Level Inst. Resources'!E286</f>
        <v>K-6</v>
      </c>
      <c r="F286" s="229" t="str">
        <f>'School Level Inst. Resources'!H286</f>
        <v>E</v>
      </c>
      <c r="G286" s="229" t="s">
        <v>1158</v>
      </c>
      <c r="H286" s="207">
        <v>3414</v>
      </c>
      <c r="I286" s="207">
        <f>IF('SFD Allowable GSF Calculation'!$D$2=1,'SFD Allowable GSF Calculation'!$P286,'SFD Allowable GSF Calculation'!$X286)</f>
        <v>2915</v>
      </c>
      <c r="J286" s="194">
        <f>$I286*'Model Data Inputs'!$B$165</f>
        <v>3352.2499999999995</v>
      </c>
      <c r="K286" s="194">
        <f>IF($L286&gt;='Model Data Inputs'!$B$164,$H286,MIN($H286,$J286))</f>
        <v>3414</v>
      </c>
      <c r="L286" s="208">
        <v>2009</v>
      </c>
      <c r="M286" s="196">
        <f>IF($L286&gt;0,'Model Data Inputs'!$B$157-$L286,"")</f>
        <v>8</v>
      </c>
      <c r="N286" s="209">
        <v>3</v>
      </c>
      <c r="O286" s="198">
        <f>'School Level Inst. Resources'!$L286</f>
        <v>10.834999999999999</v>
      </c>
      <c r="P286" s="198">
        <f>IF($G286="T",SUMIFS('School Level ADM'!$S$5:$S$359,'School Level ADM'!$A$5:$A$359,$A286),0)</f>
        <v>95.544999999999987</v>
      </c>
      <c r="Q286" s="199">
        <f t="shared" si="34"/>
        <v>0.1134020618556701</v>
      </c>
      <c r="R286" s="200">
        <f>SUM((('School Level Inst. Resources'!I286/'Model Data Inputs'!$B$8)*(1+'Model Data Inputs'!$B$9)),(SUM('School Level Inst. Resources'!J286:K286)/'Model Data Inputs'!$C$8)*(1+'Model Data Inputs'!$C$9),'School Level Inst. Resources'!K286/400)</f>
        <v>0.72233333333333327</v>
      </c>
      <c r="S286" s="200">
        <f t="shared" si="35"/>
        <v>0.72233333333333327</v>
      </c>
      <c r="T286" s="201">
        <f>IF($G286="T",VLOOKUP($A286,'Total O &amp; M Resources'!$A$5:$K$52,3),0)</f>
        <v>2269087.23</v>
      </c>
      <c r="U286" s="202">
        <f>IF($G286="F",0,$S286/'Model Data Inputs'!$B$140)</f>
        <v>5.556410256410256E-2</v>
      </c>
      <c r="V286" s="202">
        <f>IF($G286="F",0,$O286/'Model Data Inputs'!$B$141)</f>
        <v>3.3338461538461539E-2</v>
      </c>
      <c r="W286" s="202">
        <f>IF($G286="F",0,$N286/'Model Data Inputs'!$B$142)</f>
        <v>0.23076923076923078</v>
      </c>
      <c r="X286" s="202">
        <f>IF($G286="F",0,$K286/'Model Data Inputs'!$B$143)</f>
        <v>0.18966666666666668</v>
      </c>
      <c r="Y286" s="202">
        <f t="shared" si="29"/>
        <v>0.12733461538461538</v>
      </c>
      <c r="Z286" s="202">
        <f>IF(OR($G286="F",$F286="E"),0,'Model Data Inputs'!$B$144)</f>
        <v>0</v>
      </c>
      <c r="AA286" s="202">
        <f>IF(AND($O286&lt;='Model Data Inputs'!$B$139,$F286="E"),0,IF(AND($O286&lt;='Model Data Inputs'!$B$139,$F286="M"),0,IF(AND($O286&lt;='Model Data Inputs'!$B$139,$F286="H"),0,IF(SUM($Y286:$Z286)&lt;1,1,SUM($Y286:$Z286)))))</f>
        <v>0</v>
      </c>
      <c r="AB286" s="202">
        <f>($K286/'Model Data Inputs'!$B$143)*'Model Data Inputs'!$B$145</f>
        <v>1.896666666666667E-2</v>
      </c>
      <c r="AC286" s="202">
        <f t="shared" si="30"/>
        <v>1.896666666666667E-2</v>
      </c>
      <c r="AD286" s="202">
        <f>IF($G286="F",0,'Model Data Inputs'!$B$147)</f>
        <v>1.1000000000000001</v>
      </c>
      <c r="AE286" s="202">
        <f>IF($G286="F",0,($K286/'Model Data Inputs'!$B$148)*'Model Data Inputs'!$B$149)</f>
        <v>6.8279999999999993E-2</v>
      </c>
      <c r="AF286" s="202">
        <f>IF($G286="F",0,($O286/'Model Data Inputs'!$B$150)*'Model Data Inputs'!$B$151)</f>
        <v>1.4085499999999999E-2</v>
      </c>
      <c r="AG286" s="202">
        <f>IF($G286="F",0,(($Q286*$T286)/'Model Data Inputs'!$B$152)*'Model Data Inputs'!$B$153)</f>
        <v>6.1756600898969075E-2</v>
      </c>
      <c r="AH286" s="202">
        <f t="shared" si="31"/>
        <v>0.31103052522474228</v>
      </c>
      <c r="AI286" s="203">
        <f>IF(OR($G286="F",$F286="M",$F286="H"),0,($AH286*'Model Data Inputs'!$B$154)-$AH286)</f>
        <v>-6.2206105044948445E-2</v>
      </c>
      <c r="AJ286" s="202">
        <f>IF(OR($G286="F",$F286="E",$F286="H"),0,($AH286*'Model Data Inputs'!$B$155)-$AH286)</f>
        <v>0</v>
      </c>
      <c r="AK286" s="203">
        <f>IF(OR($G286="F",$F286="E",$F286="M"),0,($AH286*'Model Data Inputs'!$B$156)-$AH286)</f>
        <v>0</v>
      </c>
      <c r="AL286" s="203">
        <f>IF($G286="F",0,IF($M286&lt;'Model Data Inputs'!$B$158,$AH286*('Model Data Inputs'!$B$159-1),0))</f>
        <v>-1.5551526261237129E-2</v>
      </c>
      <c r="AM286" s="202">
        <f>IF($G286="F",0,IF($M286&gt;'Model Data Inputs'!$B$160,$AH286*('Model Data Inputs'!$B$161-1),0))</f>
        <v>0</v>
      </c>
      <c r="AN286" s="202">
        <f>IF($G286="F",0,IF($P286&lt;'Model Data Inputs'!$B$162,SUM($AH286,$AI286,$AJ286,$AK286,$AL286,$AM286)*('Model Data Inputs'!$B$163-1),0))</f>
        <v>2.3327289391855691E-2</v>
      </c>
      <c r="AO286" s="202">
        <f t="shared" si="32"/>
        <v>0.2566001833104124</v>
      </c>
      <c r="AP286" s="204">
        <f>$K286*'Model Data Inputs'!$B$166</f>
        <v>2287.38</v>
      </c>
      <c r="AQ286" s="204">
        <f>($K286*'Model Data Inputs'!$B$145)*'Model Data Inputs'!$B$166</f>
        <v>228.73800000000003</v>
      </c>
      <c r="AR286" s="50">
        <f t="shared" si="33"/>
        <v>2516.1179999999999</v>
      </c>
    </row>
    <row r="287" spans="1:44" s="281" customFormat="1" x14ac:dyDescent="0.2">
      <c r="A287" s="227" t="str">
        <f>'School Level Inst. Resources'!A287</f>
        <v>1703000</v>
      </c>
      <c r="B287" s="227" t="str">
        <f>'School Level Inst. Resources'!B287</f>
        <v>Sheridan #3</v>
      </c>
      <c r="C287" s="227" t="str">
        <f>'School Level Inst. Resources'!C287</f>
        <v>1703049</v>
      </c>
      <c r="D287" s="227" t="str">
        <f>'School Level Inst. Resources'!D287</f>
        <v>Clearmont K-12</v>
      </c>
      <c r="E287" s="228" t="str">
        <f>'School Level Inst. Resources'!E287</f>
        <v>K-12</v>
      </c>
      <c r="F287" s="245" t="str">
        <f>'School Level Inst. Resources'!H287</f>
        <v>H</v>
      </c>
      <c r="G287" s="245" t="s">
        <v>1158</v>
      </c>
      <c r="H287" s="207">
        <v>47170</v>
      </c>
      <c r="I287" s="207">
        <f>IF('SFD Allowable GSF Calculation'!$D$2=1,'SFD Allowable GSF Calculation'!$P287,'SFD Allowable GSF Calculation'!$X287)</f>
        <v>42076</v>
      </c>
      <c r="J287" s="273">
        <f>$I287*'Model Data Inputs'!$B$165</f>
        <v>48387.399999999994</v>
      </c>
      <c r="K287" s="273">
        <f>IF($L287&gt;='Model Data Inputs'!$B$164,$H287,MIN($H287,$J287))</f>
        <v>47170</v>
      </c>
      <c r="L287" s="208">
        <v>1992</v>
      </c>
      <c r="M287" s="196">
        <f>IF($L287&gt;0,'Model Data Inputs'!$B$157-$L287,"")</f>
        <v>25</v>
      </c>
      <c r="N287" s="209">
        <v>18</v>
      </c>
      <c r="O287" s="198">
        <f>'School Level Inst. Resources'!$L287</f>
        <v>84.71</v>
      </c>
      <c r="P287" s="274">
        <f>IF($G287="T",SUMIFS('School Level ADM'!$S$5:$S$359,'School Level ADM'!$A$5:$A$359,$A287),0)</f>
        <v>95.544999999999987</v>
      </c>
      <c r="Q287" s="275">
        <f t="shared" si="34"/>
        <v>0.88659793814432997</v>
      </c>
      <c r="R287" s="200">
        <f>SUM((('School Level Inst. Resources'!I287/'Model Data Inputs'!$B$8)*(1+'Model Data Inputs'!$B$9)),(SUM('School Level Inst. Resources'!J287:K287)/'Model Data Inputs'!$C$8)*(1+'Model Data Inputs'!$C$9),'School Level Inst. Resources'!K287/400)</f>
        <v>5.234718260869565</v>
      </c>
      <c r="S287" s="200">
        <f t="shared" si="35"/>
        <v>5.234718260869565</v>
      </c>
      <c r="T287" s="276">
        <f>IF($G287="T",VLOOKUP($A287,'Total O &amp; M Resources'!$A$5:$K$52,3),0)</f>
        <v>2269087.23</v>
      </c>
      <c r="U287" s="277">
        <f>IF($G287="F",0,$S287/'Model Data Inputs'!$B$140)</f>
        <v>0.402670635451505</v>
      </c>
      <c r="V287" s="277">
        <f>IF($G287="F",0,$O287/'Model Data Inputs'!$B$141)</f>
        <v>0.26064615384615381</v>
      </c>
      <c r="W287" s="277">
        <f>IF($G287="F",0,$N287/'Model Data Inputs'!$B$142)</f>
        <v>1.3846153846153846</v>
      </c>
      <c r="X287" s="277">
        <f>IF($G287="F",0,$K287/'Model Data Inputs'!$B$143)</f>
        <v>2.6205555555555557</v>
      </c>
      <c r="Y287" s="277">
        <f t="shared" si="29"/>
        <v>1.1671219323671498</v>
      </c>
      <c r="Z287" s="277">
        <f>IF(OR($G287="F",$F287="E"),0,'Model Data Inputs'!$B$144)</f>
        <v>0.5</v>
      </c>
      <c r="AA287" s="277">
        <f>IF(AND($O287&lt;='Model Data Inputs'!$B$139,$F287="E"),0,IF(AND($O287&lt;='Model Data Inputs'!$B$139,$F287="M"),0,IF(AND($O287&lt;='Model Data Inputs'!$B$139,$F287="H"),0,IF(SUM($Y287:$Z287)&lt;1,1,SUM($Y287:$Z287)))))</f>
        <v>1.6671219323671498</v>
      </c>
      <c r="AB287" s="277">
        <f>($K287/'Model Data Inputs'!$B$143)*'Model Data Inputs'!$B$145</f>
        <v>0.2620555555555556</v>
      </c>
      <c r="AC287" s="277">
        <f t="shared" si="30"/>
        <v>1.9291774879227055</v>
      </c>
      <c r="AD287" s="277">
        <f>IF($G287="F",0,'Model Data Inputs'!$B$147)</f>
        <v>1.1000000000000001</v>
      </c>
      <c r="AE287" s="277">
        <f>IF($G287="F",0,($K287/'Model Data Inputs'!$B$148)*'Model Data Inputs'!$B$149)</f>
        <v>0.94340000000000002</v>
      </c>
      <c r="AF287" s="277">
        <f>IF($G287="F",0,($O287/'Model Data Inputs'!$B$150)*'Model Data Inputs'!$B$151)</f>
        <v>0.110123</v>
      </c>
      <c r="AG287" s="277">
        <f>IF($G287="F",0,(($Q287*$T287)/'Model Data Inputs'!$B$152)*'Model Data Inputs'!$B$153)</f>
        <v>0.482824334301031</v>
      </c>
      <c r="AH287" s="277">
        <f t="shared" si="31"/>
        <v>0.65908683357525777</v>
      </c>
      <c r="AI287" s="278">
        <f>IF(OR($G287="F",$F287="M",$F287="H"),0,($AH287*'Model Data Inputs'!$B$154)-$AH287)</f>
        <v>0</v>
      </c>
      <c r="AJ287" s="277">
        <f>IF(OR($G287="F",$F287="E",$F287="H"),0,($AH287*'Model Data Inputs'!$B$155)-$AH287)</f>
        <v>0</v>
      </c>
      <c r="AK287" s="278">
        <f>IF(OR($G287="F",$F287="E",$F287="M"),0,($AH287*'Model Data Inputs'!$B$156)-$AH287)</f>
        <v>0.65908683357525777</v>
      </c>
      <c r="AL287" s="278">
        <f>IF($G287="F",0,IF($M287&lt;'Model Data Inputs'!$B$158,$AH287*('Model Data Inputs'!$B$159-1),0))</f>
        <v>0</v>
      </c>
      <c r="AM287" s="277">
        <f>IF($G287="F",0,IF($M287&gt;'Model Data Inputs'!$B$160,$AH287*('Model Data Inputs'!$B$161-1),0))</f>
        <v>0</v>
      </c>
      <c r="AN287" s="277">
        <f>IF($G287="F",0,IF($P287&lt;'Model Data Inputs'!$B$162,SUM($AH287,$AI287,$AJ287,$AK287,$AL287,$AM287)*('Model Data Inputs'!$B$163-1),0))</f>
        <v>0.13181736671505168</v>
      </c>
      <c r="AO287" s="277">
        <f t="shared" si="32"/>
        <v>1.4499910338655673</v>
      </c>
      <c r="AP287" s="279">
        <f>$K287*'Model Data Inputs'!$B$166</f>
        <v>31603.9</v>
      </c>
      <c r="AQ287" s="279">
        <f>($K287*'Model Data Inputs'!$B$145)*'Model Data Inputs'!$B$166</f>
        <v>3160.3900000000003</v>
      </c>
      <c r="AR287" s="280">
        <f t="shared" si="33"/>
        <v>34764.29</v>
      </c>
    </row>
    <row r="288" spans="1:44" x14ac:dyDescent="0.2">
      <c r="A288" s="227" t="str">
        <f>'School Level Inst. Resources'!A288</f>
        <v>1801000</v>
      </c>
      <c r="B288" s="227" t="str">
        <f>'School Level Inst. Resources'!B288</f>
        <v>Sublette #1</v>
      </c>
      <c r="C288" s="227" t="str">
        <f>'School Level Inst. Resources'!C288</f>
        <v>1801001</v>
      </c>
      <c r="D288" s="227" t="str">
        <f>'School Level Inst. Resources'!D288</f>
        <v>Bondurant Elementary</v>
      </c>
      <c r="E288" s="228" t="str">
        <f>'School Level Inst. Resources'!E288</f>
        <v>K-5</v>
      </c>
      <c r="F288" s="229" t="str">
        <f>'School Level Inst. Resources'!H288</f>
        <v>E</v>
      </c>
      <c r="G288" s="229" t="s">
        <v>1158</v>
      </c>
      <c r="H288" s="207">
        <v>4462</v>
      </c>
      <c r="I288" s="207">
        <f>IF('SFD Allowable GSF Calculation'!$D$2=1,'SFD Allowable GSF Calculation'!$P288,'SFD Allowable GSF Calculation'!$X288)</f>
        <v>2915</v>
      </c>
      <c r="J288" s="194">
        <f>$I288*'Model Data Inputs'!$B$165</f>
        <v>3352.2499999999995</v>
      </c>
      <c r="K288" s="194">
        <f>IF($L288&gt;='Model Data Inputs'!$B$164,$H288,MIN($H288,$J288))</f>
        <v>3352.2499999999995</v>
      </c>
      <c r="L288" s="208">
        <v>1987</v>
      </c>
      <c r="M288" s="196">
        <f>IF($L288&gt;0,'Model Data Inputs'!$B$157-$L288,"")</f>
        <v>30</v>
      </c>
      <c r="N288" s="209">
        <v>3</v>
      </c>
      <c r="O288" s="198">
        <f>'School Level Inst. Resources'!$L288</f>
        <v>5.91</v>
      </c>
      <c r="P288" s="198">
        <f>IF($G288="T",SUMIFS('School Level ADM'!$S$5:$S$359,'School Level ADM'!$A$5:$A$359,$A288),0)</f>
        <v>1048.04</v>
      </c>
      <c r="Q288" s="199">
        <f t="shared" si="34"/>
        <v>5.6390977443609028E-3</v>
      </c>
      <c r="R288" s="200">
        <f>SUM((('School Level Inst. Resources'!I288/'Model Data Inputs'!$B$8)*(1+'Model Data Inputs'!$B$9)),(SUM('School Level Inst. Resources'!J288:K288)/'Model Data Inputs'!$C$8)*(1+'Model Data Inputs'!$C$9),'School Level Inst. Resources'!K288/400)</f>
        <v>0.39400000000000002</v>
      </c>
      <c r="S288" s="200">
        <f t="shared" si="35"/>
        <v>0.39400000000000002</v>
      </c>
      <c r="T288" s="201">
        <f>IF($G288="T",VLOOKUP($A288,'Total O &amp; M Resources'!$A$5:$K$52,3),0)</f>
        <v>7814325.3400000008</v>
      </c>
      <c r="U288" s="202">
        <f>IF($G288="F",0,$S288/'Model Data Inputs'!$B$140)</f>
        <v>3.030769230769231E-2</v>
      </c>
      <c r="V288" s="202">
        <f>IF($G288="F",0,$O288/'Model Data Inputs'!$B$141)</f>
        <v>1.8184615384615386E-2</v>
      </c>
      <c r="W288" s="202">
        <f>IF($G288="F",0,$N288/'Model Data Inputs'!$B$142)</f>
        <v>0.23076923076923078</v>
      </c>
      <c r="X288" s="202">
        <f>IF($G288="F",0,$K288/'Model Data Inputs'!$B$143)</f>
        <v>0.18623611111111107</v>
      </c>
      <c r="Y288" s="202">
        <f t="shared" si="29"/>
        <v>0.11637441239316237</v>
      </c>
      <c r="Z288" s="202">
        <f>IF(OR($G288="F",$F288="E"),0,'Model Data Inputs'!$B$144)</f>
        <v>0</v>
      </c>
      <c r="AA288" s="202">
        <f>IF(AND($O288&lt;='Model Data Inputs'!$B$139,$F288="E"),0,IF(AND($O288&lt;='Model Data Inputs'!$B$139,$F288="M"),0,IF(AND($O288&lt;='Model Data Inputs'!$B$139,$F288="H"),0,IF(SUM($Y288:$Z288)&lt;1,1,SUM($Y288:$Z288)))))</f>
        <v>0</v>
      </c>
      <c r="AB288" s="202">
        <f>($K288/'Model Data Inputs'!$B$143)*'Model Data Inputs'!$B$145</f>
        <v>1.8623611111111108E-2</v>
      </c>
      <c r="AC288" s="202">
        <f t="shared" si="30"/>
        <v>1.8623611111111108E-2</v>
      </c>
      <c r="AD288" s="202">
        <f>IF($G288="F",0,'Model Data Inputs'!$B$147)</f>
        <v>1.1000000000000001</v>
      </c>
      <c r="AE288" s="202">
        <f>IF($G288="F",0,($K288/'Model Data Inputs'!$B$148)*'Model Data Inputs'!$B$149)</f>
        <v>6.7044999999999993E-2</v>
      </c>
      <c r="AF288" s="202">
        <f>IF($G288="F",0,($O288/'Model Data Inputs'!$B$150)*'Model Data Inputs'!$B$151)</f>
        <v>7.6830000000000006E-3</v>
      </c>
      <c r="AG288" s="202">
        <f>IF($G288="F",0,(($Q288*$T288)/'Model Data Inputs'!$B$152)*'Model Data Inputs'!$B$153)</f>
        <v>1.0575778655639101E-2</v>
      </c>
      <c r="AH288" s="202">
        <f t="shared" si="31"/>
        <v>0.29632594466390982</v>
      </c>
      <c r="AI288" s="203">
        <f>IF(OR($G288="F",$F288="M",$F288="H"),0,($AH288*'Model Data Inputs'!$B$154)-$AH288)</f>
        <v>-5.9265188932781959E-2</v>
      </c>
      <c r="AJ288" s="202">
        <f>IF(OR($G288="F",$F288="E",$F288="H"),0,($AH288*'Model Data Inputs'!$B$155)-$AH288)</f>
        <v>0</v>
      </c>
      <c r="AK288" s="203">
        <f>IF(OR($G288="F",$F288="E",$F288="M"),0,($AH288*'Model Data Inputs'!$B$156)-$AH288)</f>
        <v>0</v>
      </c>
      <c r="AL288" s="203">
        <f>IF($G288="F",0,IF($M288&lt;'Model Data Inputs'!$B$158,$AH288*('Model Data Inputs'!$B$159-1),0))</f>
        <v>0</v>
      </c>
      <c r="AM288" s="202">
        <f>IF($G288="F",0,IF($M288&gt;'Model Data Inputs'!$B$160,$AH288*('Model Data Inputs'!$B$161-1),0))</f>
        <v>0</v>
      </c>
      <c r="AN288" s="202">
        <f>IF($G288="F",0,IF($P288&lt;'Model Data Inputs'!$B$162,SUM($AH288,$AI288,$AJ288,$AK288,$AL288,$AM288)*('Model Data Inputs'!$B$163-1),0))</f>
        <v>0</v>
      </c>
      <c r="AO288" s="202">
        <f t="shared" si="32"/>
        <v>0.23706075573112786</v>
      </c>
      <c r="AP288" s="204">
        <f>$K288*'Model Data Inputs'!$B$166</f>
        <v>2246.0074999999997</v>
      </c>
      <c r="AQ288" s="204">
        <f>($K288*'Model Data Inputs'!$B$145)*'Model Data Inputs'!$B$166</f>
        <v>224.60074999999998</v>
      </c>
      <c r="AR288" s="50">
        <f t="shared" si="33"/>
        <v>2470.6082499999998</v>
      </c>
    </row>
    <row r="289" spans="1:44" x14ac:dyDescent="0.2">
      <c r="A289" s="227" t="str">
        <f>'School Level Inst. Resources'!A289</f>
        <v>1801000</v>
      </c>
      <c r="B289" s="227" t="str">
        <f>'School Level Inst. Resources'!B289</f>
        <v>Sublette #1</v>
      </c>
      <c r="C289" s="227" t="str">
        <f>'School Level Inst. Resources'!C289</f>
        <v>1801002</v>
      </c>
      <c r="D289" s="227" t="str">
        <f>'School Level Inst. Resources'!D289</f>
        <v>Pinedale Elementary</v>
      </c>
      <c r="E289" s="228" t="str">
        <f>'School Level Inst. Resources'!E289</f>
        <v>K-5</v>
      </c>
      <c r="F289" s="229" t="str">
        <f>'School Level Inst. Resources'!H289</f>
        <v>E</v>
      </c>
      <c r="G289" s="229" t="s">
        <v>1158</v>
      </c>
      <c r="H289" s="207">
        <v>88173</v>
      </c>
      <c r="I289" s="207">
        <f>IF('SFD Allowable GSF Calculation'!$D$2=1,'SFD Allowable GSF Calculation'!$P289,'SFD Allowable GSF Calculation'!$X289)</f>
        <v>65883</v>
      </c>
      <c r="J289" s="194">
        <f>$I289*'Model Data Inputs'!$B$165</f>
        <v>75765.45</v>
      </c>
      <c r="K289" s="194">
        <f>IF($L289&gt;='Model Data Inputs'!$B$164,$H289,MIN($H289,$J289))</f>
        <v>88173</v>
      </c>
      <c r="L289" s="208">
        <v>2010</v>
      </c>
      <c r="M289" s="196">
        <f>IF($L289&gt;0,'Model Data Inputs'!$B$157-$L289,"")</f>
        <v>7</v>
      </c>
      <c r="N289" s="209">
        <v>53</v>
      </c>
      <c r="O289" s="198">
        <f>'School Level Inst. Resources'!$L289</f>
        <v>499.39499999999998</v>
      </c>
      <c r="P289" s="198">
        <f>IF($G289="T",SUMIFS('School Level ADM'!$S$5:$S$359,'School Level ADM'!$A$5:$A$359,$A289),0)</f>
        <v>1048.04</v>
      </c>
      <c r="Q289" s="199">
        <f t="shared" si="34"/>
        <v>0.47650375939849626</v>
      </c>
      <c r="R289" s="200">
        <f>SUM((('School Level Inst. Resources'!I289/'Model Data Inputs'!$B$8)*(1+'Model Data Inputs'!$B$9)),(SUM('School Level Inst. Resources'!J289:K289)/'Model Data Inputs'!$C$8)*(1+'Model Data Inputs'!$C$9),'School Level Inst. Resources'!K289/400)</f>
        <v>33.292999999999999</v>
      </c>
      <c r="S289" s="200">
        <f t="shared" si="35"/>
        <v>33.292999999999999</v>
      </c>
      <c r="T289" s="201">
        <f>IF($G289="T",VLOOKUP($A289,'Total O &amp; M Resources'!$A$5:$K$52,3),0)</f>
        <v>7814325.3400000008</v>
      </c>
      <c r="U289" s="202">
        <f>IF($G289="F",0,$S289/'Model Data Inputs'!$B$140)</f>
        <v>2.5609999999999999</v>
      </c>
      <c r="V289" s="202">
        <f>IF($G289="F",0,$O289/'Model Data Inputs'!$B$141)</f>
        <v>1.5366</v>
      </c>
      <c r="W289" s="202">
        <f>IF($G289="F",0,$N289/'Model Data Inputs'!$B$142)</f>
        <v>4.0769230769230766</v>
      </c>
      <c r="X289" s="202">
        <f>IF($G289="F",0,$K289/'Model Data Inputs'!$B$143)</f>
        <v>4.8985000000000003</v>
      </c>
      <c r="Y289" s="202">
        <f t="shared" si="29"/>
        <v>3.2682557692307692</v>
      </c>
      <c r="Z289" s="202">
        <f>IF(OR($G289="F",$F289="E"),0,'Model Data Inputs'!$B$144)</f>
        <v>0</v>
      </c>
      <c r="AA289" s="202">
        <f>IF(AND($O289&lt;='Model Data Inputs'!$B$139,$F289="E"),0,IF(AND($O289&lt;='Model Data Inputs'!$B$139,$F289="M"),0,IF(AND($O289&lt;='Model Data Inputs'!$B$139,$F289="H"),0,IF(SUM($Y289:$Z289)&lt;1,1,SUM($Y289:$Z289)))))</f>
        <v>3.2682557692307692</v>
      </c>
      <c r="AB289" s="202">
        <f>($K289/'Model Data Inputs'!$B$143)*'Model Data Inputs'!$B$145</f>
        <v>0.48985000000000006</v>
      </c>
      <c r="AC289" s="202">
        <f t="shared" si="30"/>
        <v>3.7581057692307693</v>
      </c>
      <c r="AD289" s="202">
        <f>IF($G289="F",0,'Model Data Inputs'!$B$147)</f>
        <v>1.1000000000000001</v>
      </c>
      <c r="AE289" s="202">
        <f>IF($G289="F",0,($K289/'Model Data Inputs'!$B$148)*'Model Data Inputs'!$B$149)</f>
        <v>1.7634599999999998</v>
      </c>
      <c r="AF289" s="202">
        <f>IF($G289="F",0,($O289/'Model Data Inputs'!$B$150)*'Model Data Inputs'!$B$151)</f>
        <v>0.6492135</v>
      </c>
      <c r="AG289" s="202">
        <f>IF($G289="F",0,(($Q289*$T289)/'Model Data Inputs'!$B$152)*'Model Data Inputs'!$B$153)</f>
        <v>0.89365329640150382</v>
      </c>
      <c r="AH289" s="202">
        <f t="shared" si="31"/>
        <v>1.101581699100376</v>
      </c>
      <c r="AI289" s="203">
        <f>IF(OR($G289="F",$F289="M",$F289="H"),0,($AH289*'Model Data Inputs'!$B$154)-$AH289)</f>
        <v>-0.22031633982007515</v>
      </c>
      <c r="AJ289" s="202">
        <f>IF(OR($G289="F",$F289="E",$F289="H"),0,($AH289*'Model Data Inputs'!$B$155)-$AH289)</f>
        <v>0</v>
      </c>
      <c r="AK289" s="203">
        <f>IF(OR($G289="F",$F289="E",$F289="M"),0,($AH289*'Model Data Inputs'!$B$156)-$AH289)</f>
        <v>0</v>
      </c>
      <c r="AL289" s="203">
        <f>IF($G289="F",0,IF($M289&lt;'Model Data Inputs'!$B$158,$AH289*('Model Data Inputs'!$B$159-1),0))</f>
        <v>-5.5079084955018849E-2</v>
      </c>
      <c r="AM289" s="202">
        <f>IF($G289="F",0,IF($M289&gt;'Model Data Inputs'!$B$160,$AH289*('Model Data Inputs'!$B$161-1),0))</f>
        <v>0</v>
      </c>
      <c r="AN289" s="202">
        <f>IF($G289="F",0,IF($P289&lt;'Model Data Inputs'!$B$162,SUM($AH289,$AI289,$AJ289,$AK289,$AL289,$AM289)*('Model Data Inputs'!$B$163-1),0))</f>
        <v>0</v>
      </c>
      <c r="AO289" s="202">
        <f t="shared" si="32"/>
        <v>0.82618627432528191</v>
      </c>
      <c r="AP289" s="204">
        <f>$K289*'Model Data Inputs'!$B$166</f>
        <v>59075.91</v>
      </c>
      <c r="AQ289" s="204">
        <f>($K289*'Model Data Inputs'!$B$145)*'Model Data Inputs'!$B$166</f>
        <v>5907.5910000000013</v>
      </c>
      <c r="AR289" s="50">
        <f t="shared" si="33"/>
        <v>64983.501000000004</v>
      </c>
    </row>
    <row r="290" spans="1:44" x14ac:dyDescent="0.2">
      <c r="A290" s="227" t="str">
        <f>'School Level Inst. Resources'!A290</f>
        <v>1801000</v>
      </c>
      <c r="B290" s="227" t="str">
        <f>'School Level Inst. Resources'!B290</f>
        <v>Sublette #1</v>
      </c>
      <c r="C290" s="227" t="str">
        <f>'School Level Inst. Resources'!C290</f>
        <v>1801050</v>
      </c>
      <c r="D290" s="227" t="str">
        <f>'School Level Inst. Resources'!D290</f>
        <v>Pinedale Middle School</v>
      </c>
      <c r="E290" s="228" t="str">
        <f>'School Level Inst. Resources'!E290</f>
        <v>6-8</v>
      </c>
      <c r="F290" s="229" t="str">
        <f>'School Level Inst. Resources'!H290</f>
        <v>M</v>
      </c>
      <c r="G290" s="229" t="s">
        <v>1158</v>
      </c>
      <c r="H290" s="207">
        <v>58821</v>
      </c>
      <c r="I290" s="207">
        <f>IF('SFD Allowable GSF Calculation'!$D$2=1,'SFD Allowable GSF Calculation'!$P290,'SFD Allowable GSF Calculation'!$X290)</f>
        <v>56806</v>
      </c>
      <c r="J290" s="194">
        <f>$I290*'Model Data Inputs'!$B$165</f>
        <v>65326.899999999994</v>
      </c>
      <c r="K290" s="194">
        <f>IF($L290&gt;='Model Data Inputs'!$B$164,$H290,MIN($H290,$J290))</f>
        <v>58821</v>
      </c>
      <c r="L290" s="208">
        <v>1978</v>
      </c>
      <c r="M290" s="196">
        <f>IF($L290&gt;0,'Model Data Inputs'!$B$157-$L290,"")</f>
        <v>39</v>
      </c>
      <c r="N290" s="209">
        <v>25</v>
      </c>
      <c r="O290" s="198">
        <f>'School Level Inst. Resources'!$L290</f>
        <v>243.29499999999999</v>
      </c>
      <c r="P290" s="198">
        <f>IF($G290="T",SUMIFS('School Level ADM'!$S$5:$S$359,'School Level ADM'!$A$5:$A$359,$A290),0)</f>
        <v>1048.04</v>
      </c>
      <c r="Q290" s="199">
        <f t="shared" si="34"/>
        <v>0.23214285714285715</v>
      </c>
      <c r="R290" s="200">
        <f>SUM((('School Level Inst. Resources'!I290/'Model Data Inputs'!$B$8)*(1+'Model Data Inputs'!$B$9)),(SUM('School Level Inst. Resources'!J290:K290)/'Model Data Inputs'!$C$8)*(1+'Model Data Inputs'!$C$9),'School Level Inst. Resources'!K290/400)</f>
        <v>14.100531956521737</v>
      </c>
      <c r="S290" s="200">
        <f t="shared" si="35"/>
        <v>14.100531956521737</v>
      </c>
      <c r="T290" s="201">
        <f>IF($G290="T",VLOOKUP($A290,'Total O &amp; M Resources'!$A$5:$K$52,3),0)</f>
        <v>7814325.3400000008</v>
      </c>
      <c r="U290" s="202">
        <f>IF($G290="F",0,$S290/'Model Data Inputs'!$B$140)</f>
        <v>1.0846563043478259</v>
      </c>
      <c r="V290" s="202">
        <f>IF($G290="F",0,$O290/'Model Data Inputs'!$B$141)</f>
        <v>0.74859999999999993</v>
      </c>
      <c r="W290" s="202">
        <f>IF($G290="F",0,$N290/'Model Data Inputs'!$B$142)</f>
        <v>1.9230769230769231</v>
      </c>
      <c r="X290" s="202">
        <f>IF($G290="F",0,$K290/'Model Data Inputs'!$B$143)</f>
        <v>3.2678333333333334</v>
      </c>
      <c r="Y290" s="202">
        <f t="shared" si="29"/>
        <v>1.7560416401895207</v>
      </c>
      <c r="Z290" s="202">
        <f>IF(OR($G290="F",$F290="E"),0,'Model Data Inputs'!$B$144)</f>
        <v>0.5</v>
      </c>
      <c r="AA290" s="202">
        <f>IF(AND($O290&lt;='Model Data Inputs'!$B$139,$F290="E"),0,IF(AND($O290&lt;='Model Data Inputs'!$B$139,$F290="M"),0,IF(AND($O290&lt;='Model Data Inputs'!$B$139,$F290="H"),0,IF(SUM($Y290:$Z290)&lt;1,1,SUM($Y290:$Z290)))))</f>
        <v>2.2560416401895207</v>
      </c>
      <c r="AB290" s="202">
        <f>($K290/'Model Data Inputs'!$B$143)*'Model Data Inputs'!$B$145</f>
        <v>0.32678333333333337</v>
      </c>
      <c r="AC290" s="202">
        <f t="shared" si="30"/>
        <v>2.5828249735228539</v>
      </c>
      <c r="AD290" s="202">
        <f>IF($G290="F",0,'Model Data Inputs'!$B$147)</f>
        <v>1.1000000000000001</v>
      </c>
      <c r="AE290" s="202">
        <f>IF($G290="F",0,($K290/'Model Data Inputs'!$B$148)*'Model Data Inputs'!$B$149)</f>
        <v>1.17642</v>
      </c>
      <c r="AF290" s="202">
        <f>IF($G290="F",0,($O290/'Model Data Inputs'!$B$150)*'Model Data Inputs'!$B$151)</f>
        <v>0.3162835</v>
      </c>
      <c r="AG290" s="202">
        <f>IF($G290="F",0,(($Q290*$T290)/'Model Data Inputs'!$B$152)*'Model Data Inputs'!$B$153)</f>
        <v>0.43536955465714289</v>
      </c>
      <c r="AH290" s="202">
        <f t="shared" si="31"/>
        <v>0.75701826366428571</v>
      </c>
      <c r="AI290" s="203">
        <f>IF(OR($G290="F",$F290="M",$F290="H"),0,($AH290*'Model Data Inputs'!$B$154)-$AH290)</f>
        <v>0</v>
      </c>
      <c r="AJ290" s="202">
        <f>IF(OR($G290="F",$F290="E",$F290="H"),0,($AH290*'Model Data Inputs'!$B$155)-$AH290)</f>
        <v>0</v>
      </c>
      <c r="AK290" s="203">
        <f>IF(OR($G290="F",$F290="E",$F290="M"),0,($AH290*'Model Data Inputs'!$B$156)-$AH290)</f>
        <v>0</v>
      </c>
      <c r="AL290" s="203">
        <f>IF($G290="F",0,IF($M290&lt;'Model Data Inputs'!$B$158,$AH290*('Model Data Inputs'!$B$159-1),0))</f>
        <v>0</v>
      </c>
      <c r="AM290" s="202">
        <f>IF($G290="F",0,IF($M290&gt;'Model Data Inputs'!$B$160,$AH290*('Model Data Inputs'!$B$161-1),0))</f>
        <v>7.5701826366428637E-2</v>
      </c>
      <c r="AN290" s="202">
        <f>IF($G290="F",0,IF($P290&lt;'Model Data Inputs'!$B$162,SUM($AH290,$AI290,$AJ290,$AK290,$AL290,$AM290)*('Model Data Inputs'!$B$163-1),0))</f>
        <v>0</v>
      </c>
      <c r="AO290" s="202">
        <f t="shared" si="32"/>
        <v>0.83272009003071434</v>
      </c>
      <c r="AP290" s="204">
        <f>$K290*'Model Data Inputs'!$B$166</f>
        <v>39410.07</v>
      </c>
      <c r="AQ290" s="204">
        <f>($K290*'Model Data Inputs'!$B$145)*'Model Data Inputs'!$B$166</f>
        <v>3941.0070000000005</v>
      </c>
      <c r="AR290" s="50">
        <f t="shared" si="33"/>
        <v>43351.076999999997</v>
      </c>
    </row>
    <row r="291" spans="1:44" x14ac:dyDescent="0.2">
      <c r="A291" s="227" t="str">
        <f>'School Level Inst. Resources'!A291</f>
        <v>1801000</v>
      </c>
      <c r="B291" s="227" t="str">
        <f>'School Level Inst. Resources'!B291</f>
        <v>Sublette #1</v>
      </c>
      <c r="C291" s="227" t="str">
        <f>'School Level Inst. Resources'!C291</f>
        <v>1801055</v>
      </c>
      <c r="D291" s="227" t="str">
        <f>'School Level Inst. Resources'!D291</f>
        <v>Pinedale High School</v>
      </c>
      <c r="E291" s="228" t="str">
        <f>'School Level Inst. Resources'!E291</f>
        <v>9-12</v>
      </c>
      <c r="F291" s="229" t="str">
        <f>'School Level Inst. Resources'!H291</f>
        <v>H</v>
      </c>
      <c r="G291" s="229" t="s">
        <v>1158</v>
      </c>
      <c r="H291" s="207">
        <v>140380</v>
      </c>
      <c r="I291" s="207">
        <f>IF('SFD Allowable GSF Calculation'!$D$2=1,'SFD Allowable GSF Calculation'!$P291,'SFD Allowable GSF Calculation'!$X291)</f>
        <v>74279</v>
      </c>
      <c r="J291" s="194">
        <f>$I291*'Model Data Inputs'!$B$165</f>
        <v>85420.849999999991</v>
      </c>
      <c r="K291" s="194">
        <f>IF($L291&gt;='Model Data Inputs'!$B$164,$H291,MIN($H291,$J291))</f>
        <v>85420.849999999991</v>
      </c>
      <c r="L291" s="208">
        <v>1958</v>
      </c>
      <c r="M291" s="196">
        <f>IF($L291&gt;0,'Model Data Inputs'!$B$157-$L291,"")</f>
        <v>59</v>
      </c>
      <c r="N291" s="209">
        <v>31</v>
      </c>
      <c r="O291" s="198">
        <f>'School Level Inst. Resources'!$L291</f>
        <v>278.755</v>
      </c>
      <c r="P291" s="198">
        <f>IF($G291="T",SUMIFS('School Level ADM'!$S$5:$S$359,'School Level ADM'!$A$5:$A$359,$A291),0)</f>
        <v>1048.04</v>
      </c>
      <c r="Q291" s="199">
        <f t="shared" si="34"/>
        <v>0.26597744360902253</v>
      </c>
      <c r="R291" s="200">
        <f>SUM((('School Level Inst. Resources'!I291/'Model Data Inputs'!$B$8)*(1+'Model Data Inputs'!$B$9)),(SUM('School Level Inst. Resources'!J291:K291)/'Model Data Inputs'!$C$8)*(1+'Model Data Inputs'!$C$9),'School Level Inst. Resources'!K291/400)</f>
        <v>16.852557717391303</v>
      </c>
      <c r="S291" s="200">
        <f t="shared" si="35"/>
        <v>16.852557717391303</v>
      </c>
      <c r="T291" s="201">
        <f>IF($G291="T",VLOOKUP($A291,'Total O &amp; M Resources'!$A$5:$K$52,3),0)</f>
        <v>7814325.3400000008</v>
      </c>
      <c r="U291" s="202">
        <f>IF($G291="F",0,$S291/'Model Data Inputs'!$B$140)</f>
        <v>1.2963505936454849</v>
      </c>
      <c r="V291" s="202">
        <f>IF($G291="F",0,$O291/'Model Data Inputs'!$B$141)</f>
        <v>0.85770769230769228</v>
      </c>
      <c r="W291" s="202">
        <f>IF($G291="F",0,$N291/'Model Data Inputs'!$B$142)</f>
        <v>2.3846153846153846</v>
      </c>
      <c r="X291" s="202">
        <f>IF($G291="F",0,$K291/'Model Data Inputs'!$B$143)</f>
        <v>4.7456027777777772</v>
      </c>
      <c r="Y291" s="202">
        <f t="shared" si="29"/>
        <v>2.321069112086585</v>
      </c>
      <c r="Z291" s="202">
        <f>IF(OR($G291="F",$F291="E"),0,'Model Data Inputs'!$B$144)</f>
        <v>0.5</v>
      </c>
      <c r="AA291" s="202">
        <f>IF(AND($O291&lt;='Model Data Inputs'!$B$139,$F291="E"),0,IF(AND($O291&lt;='Model Data Inputs'!$B$139,$F291="M"),0,IF(AND($O291&lt;='Model Data Inputs'!$B$139,$F291="H"),0,IF(SUM($Y291:$Z291)&lt;1,1,SUM($Y291:$Z291)))))</f>
        <v>2.821069112086585</v>
      </c>
      <c r="AB291" s="202">
        <f>($K291/'Model Data Inputs'!$B$143)*'Model Data Inputs'!$B$145</f>
        <v>0.47456027777777776</v>
      </c>
      <c r="AC291" s="202">
        <f t="shared" si="30"/>
        <v>3.2956293898643629</v>
      </c>
      <c r="AD291" s="202">
        <f>IF($G291="F",0,'Model Data Inputs'!$B$147)</f>
        <v>1.1000000000000001</v>
      </c>
      <c r="AE291" s="202">
        <f>IF($G291="F",0,($K291/'Model Data Inputs'!$B$148)*'Model Data Inputs'!$B$149)</f>
        <v>1.7084169999999999</v>
      </c>
      <c r="AF291" s="202">
        <f>IF($G291="F",0,($O291/'Model Data Inputs'!$B$150)*'Model Data Inputs'!$B$151)</f>
        <v>0.36238149999999997</v>
      </c>
      <c r="AG291" s="202">
        <f>IF($G291="F",0,(($Q291*$T291)/'Model Data Inputs'!$B$152)*'Model Data Inputs'!$B$153)</f>
        <v>0.49882422659097747</v>
      </c>
      <c r="AH291" s="202">
        <f t="shared" si="31"/>
        <v>0.91740568164774439</v>
      </c>
      <c r="AI291" s="203">
        <f>IF(OR($G291="F",$F291="M",$F291="H"),0,($AH291*'Model Data Inputs'!$B$154)-$AH291)</f>
        <v>0</v>
      </c>
      <c r="AJ291" s="202">
        <f>IF(OR($G291="F",$F291="E",$F291="H"),0,($AH291*'Model Data Inputs'!$B$155)-$AH291)</f>
        <v>0</v>
      </c>
      <c r="AK291" s="203">
        <f>IF(OR($G291="F",$F291="E",$F291="M"),0,($AH291*'Model Data Inputs'!$B$156)-$AH291)</f>
        <v>0.91740568164774439</v>
      </c>
      <c r="AL291" s="203">
        <f>IF($G291="F",0,IF($M291&lt;'Model Data Inputs'!$B$158,$AH291*('Model Data Inputs'!$B$159-1),0))</f>
        <v>0</v>
      </c>
      <c r="AM291" s="202">
        <f>IF($G291="F",0,IF($M291&gt;'Model Data Inputs'!$B$160,$AH291*('Model Data Inputs'!$B$161-1),0))</f>
        <v>9.1740568164774522E-2</v>
      </c>
      <c r="AN291" s="202">
        <f>IF($G291="F",0,IF($P291&lt;'Model Data Inputs'!$B$162,SUM($AH291,$AI291,$AJ291,$AK291,$AL291,$AM291)*('Model Data Inputs'!$B$163-1),0))</f>
        <v>0</v>
      </c>
      <c r="AO291" s="202">
        <f t="shared" si="32"/>
        <v>1.9265519314602633</v>
      </c>
      <c r="AP291" s="204">
        <f>$K291*'Model Data Inputs'!$B$166</f>
        <v>57231.969499999999</v>
      </c>
      <c r="AQ291" s="204">
        <f>($K291*'Model Data Inputs'!$B$145)*'Model Data Inputs'!$B$166</f>
        <v>5723.1969499999996</v>
      </c>
      <c r="AR291" s="50">
        <f t="shared" si="33"/>
        <v>62955.166449999997</v>
      </c>
    </row>
    <row r="292" spans="1:44" x14ac:dyDescent="0.2">
      <c r="A292" s="227" t="str">
        <f>'School Level Inst. Resources'!A292</f>
        <v>1801000</v>
      </c>
      <c r="B292" s="227" t="str">
        <f>'School Level Inst. Resources'!B292</f>
        <v>Sublette #1</v>
      </c>
      <c r="C292" s="227" t="str">
        <f>'School Level Inst. Resources'!C292</f>
        <v>1801056</v>
      </c>
      <c r="D292" s="227" t="str">
        <f>'School Level Inst. Resources'!D292</f>
        <v>Skyline Academy</v>
      </c>
      <c r="E292" s="228" t="str">
        <f>'School Level Inst. Resources'!E292</f>
        <v>9-12</v>
      </c>
      <c r="F292" s="229" t="str">
        <f>'School Level Inst. Resources'!H292</f>
        <v>H</v>
      </c>
      <c r="G292" s="229" t="s">
        <v>1158</v>
      </c>
      <c r="H292" s="207">
        <v>55892</v>
      </c>
      <c r="I292" s="207">
        <f>IF('SFD Allowable GSF Calculation'!$D$2=1,'SFD Allowable GSF Calculation'!$P292,'SFD Allowable GSF Calculation'!$X292)</f>
        <v>9103</v>
      </c>
      <c r="J292" s="194">
        <f>$I292*'Model Data Inputs'!$B$165</f>
        <v>10468.449999999999</v>
      </c>
      <c r="K292" s="194">
        <f>IF($L292&gt;='Model Data Inputs'!$B$164,$H292,MIN($H292,$J292))</f>
        <v>10468.449999999999</v>
      </c>
      <c r="L292" s="208">
        <v>1987</v>
      </c>
      <c r="M292" s="196">
        <f>IF($L292&gt;0,'Model Data Inputs'!$B$157-$L292,"")</f>
        <v>30</v>
      </c>
      <c r="N292" s="209">
        <v>3</v>
      </c>
      <c r="O292" s="198">
        <f>'School Level Inst. Resources'!$L292</f>
        <v>20.685000000000002</v>
      </c>
      <c r="P292" s="198">
        <f>IF($G292="T",SUMIFS('School Level ADM'!$S$5:$S$359,'School Level ADM'!$A$5:$A$359,$A292),0)</f>
        <v>1048.04</v>
      </c>
      <c r="Q292" s="199">
        <f t="shared" si="34"/>
        <v>1.973684210526316E-2</v>
      </c>
      <c r="R292" s="200">
        <f>SUM((('School Level Inst. Resources'!I292/'Model Data Inputs'!$B$8)*(1+'Model Data Inputs'!$B$9)),(SUM('School Level Inst. Resources'!J292:K292)/'Model Data Inputs'!$C$8)*(1+'Model Data Inputs'!$C$9),'School Level Inst. Resources'!K292/400)</f>
        <v>1.2505431521739132</v>
      </c>
      <c r="S292" s="200">
        <f t="shared" si="35"/>
        <v>1.2505431521739132</v>
      </c>
      <c r="T292" s="201">
        <f>IF($G292="T",VLOOKUP($A292,'Total O &amp; M Resources'!$A$5:$K$52,3),0)</f>
        <v>7814325.3400000008</v>
      </c>
      <c r="U292" s="202">
        <f>IF($G292="F",0,$S292/'Model Data Inputs'!$B$140)</f>
        <v>9.6195627090301022E-2</v>
      </c>
      <c r="V292" s="202">
        <f>IF($G292="F",0,$O292/'Model Data Inputs'!$B$141)</f>
        <v>6.3646153846153852E-2</v>
      </c>
      <c r="W292" s="202">
        <f>IF($G292="F",0,$N292/'Model Data Inputs'!$B$142)</f>
        <v>0.23076923076923078</v>
      </c>
      <c r="X292" s="202">
        <f>IF($G292="F",0,$K292/'Model Data Inputs'!$B$143)</f>
        <v>0.58158055555555555</v>
      </c>
      <c r="Y292" s="202">
        <f t="shared" si="29"/>
        <v>0.24304789181531031</v>
      </c>
      <c r="Z292" s="202">
        <f>IF(OR($G292="F",$F292="E"),0,'Model Data Inputs'!$B$144)</f>
        <v>0.5</v>
      </c>
      <c r="AA292" s="202">
        <f>IF(AND($O292&lt;='Model Data Inputs'!$B$139,$F292="E"),0,IF(AND($O292&lt;='Model Data Inputs'!$B$139,$F292="M"),0,IF(AND($O292&lt;='Model Data Inputs'!$B$139,$F292="H"),0,IF(SUM($Y292:$Z292)&lt;1,1,SUM($Y292:$Z292)))))</f>
        <v>0</v>
      </c>
      <c r="AB292" s="202">
        <f>($K292/'Model Data Inputs'!$B$143)*'Model Data Inputs'!$B$145</f>
        <v>5.815805555555556E-2</v>
      </c>
      <c r="AC292" s="202">
        <f t="shared" si="30"/>
        <v>5.815805555555556E-2</v>
      </c>
      <c r="AD292" s="202">
        <f>IF($G292="F",0,'Model Data Inputs'!$B$147)</f>
        <v>1.1000000000000001</v>
      </c>
      <c r="AE292" s="202">
        <f>IF($G292="F",0,($K292/'Model Data Inputs'!$B$148)*'Model Data Inputs'!$B$149)</f>
        <v>0.20936899999999997</v>
      </c>
      <c r="AF292" s="202">
        <f>IF($G292="F",0,($O292/'Model Data Inputs'!$B$150)*'Model Data Inputs'!$B$151)</f>
        <v>2.6890500000000005E-2</v>
      </c>
      <c r="AG292" s="202">
        <f>IF($G292="F",0,(($Q292*$T292)/'Model Data Inputs'!$B$152)*'Model Data Inputs'!$B$153)</f>
        <v>3.7015225294736845E-2</v>
      </c>
      <c r="AH292" s="202">
        <f t="shared" si="31"/>
        <v>0.3433186813236842</v>
      </c>
      <c r="AI292" s="203">
        <f>IF(OR($G292="F",$F292="M",$F292="H"),0,($AH292*'Model Data Inputs'!$B$154)-$AH292)</f>
        <v>0</v>
      </c>
      <c r="AJ292" s="202">
        <f>IF(OR($G292="F",$F292="E",$F292="H"),0,($AH292*'Model Data Inputs'!$B$155)-$AH292)</f>
        <v>0</v>
      </c>
      <c r="AK292" s="203">
        <f>IF(OR($G292="F",$F292="E",$F292="M"),0,($AH292*'Model Data Inputs'!$B$156)-$AH292)</f>
        <v>0.3433186813236842</v>
      </c>
      <c r="AL292" s="203">
        <f>IF($G292="F",0,IF($M292&lt;'Model Data Inputs'!$B$158,$AH292*('Model Data Inputs'!$B$159-1),0))</f>
        <v>0</v>
      </c>
      <c r="AM292" s="202">
        <f>IF($G292="F",0,IF($M292&gt;'Model Data Inputs'!$B$160,$AH292*('Model Data Inputs'!$B$161-1),0))</f>
        <v>0</v>
      </c>
      <c r="AN292" s="202">
        <f>IF($G292="F",0,IF($P292&lt;'Model Data Inputs'!$B$162,SUM($AH292,$AI292,$AJ292,$AK292,$AL292,$AM292)*('Model Data Inputs'!$B$163-1),0))</f>
        <v>0</v>
      </c>
      <c r="AO292" s="202">
        <f t="shared" si="32"/>
        <v>0.68663736264736841</v>
      </c>
      <c r="AP292" s="204">
        <f>$K292*'Model Data Inputs'!$B$166</f>
        <v>7013.8615</v>
      </c>
      <c r="AQ292" s="204">
        <f>($K292*'Model Data Inputs'!$B$145)*'Model Data Inputs'!$B$166</f>
        <v>701.38615000000004</v>
      </c>
      <c r="AR292" s="50">
        <f t="shared" si="33"/>
        <v>7715.2476500000002</v>
      </c>
    </row>
    <row r="293" spans="1:44" x14ac:dyDescent="0.2">
      <c r="A293" s="227" t="str">
        <f>'School Level Inst. Resources'!A293</f>
        <v>1809000</v>
      </c>
      <c r="B293" s="227" t="str">
        <f>'School Level Inst. Resources'!B293</f>
        <v>Sublette #9</v>
      </c>
      <c r="C293" s="227" t="str">
        <f>'School Level Inst. Resources'!C293</f>
        <v>1809001</v>
      </c>
      <c r="D293" s="227" t="str">
        <f>'School Level Inst. Resources'!D293</f>
        <v>Big Piney Elementary</v>
      </c>
      <c r="E293" s="228" t="str">
        <f>'School Level Inst. Resources'!E293</f>
        <v>K-5</v>
      </c>
      <c r="F293" s="229" t="str">
        <f>'School Level Inst. Resources'!H293</f>
        <v>E</v>
      </c>
      <c r="G293" s="229" t="s">
        <v>1158</v>
      </c>
      <c r="H293" s="207">
        <v>57576</v>
      </c>
      <c r="I293" s="207">
        <f>IF('SFD Allowable GSF Calculation'!$D$2=1,'SFD Allowable GSF Calculation'!$P293,'SFD Allowable GSF Calculation'!$X293)</f>
        <v>32678</v>
      </c>
      <c r="J293" s="194">
        <f>$I293*'Model Data Inputs'!$B$165</f>
        <v>37579.699999999997</v>
      </c>
      <c r="K293" s="194">
        <f>IF($L293&gt;='Model Data Inputs'!$B$164,$H293,MIN($H293,$J293))</f>
        <v>57576</v>
      </c>
      <c r="L293" s="208">
        <v>2013</v>
      </c>
      <c r="M293" s="196">
        <f>IF($L293&gt;0,'Model Data Inputs'!$B$157-$L293,"")</f>
        <v>4</v>
      </c>
      <c r="N293" s="209">
        <v>29</v>
      </c>
      <c r="O293" s="198">
        <f>'School Level Inst. Resources'!$L293</f>
        <v>195.21966666666668</v>
      </c>
      <c r="P293" s="198">
        <f>IF($G293="T",SUMIFS('School Level ADM'!$S$5:$S$359,'School Level ADM'!$A$5:$A$359,$A293),0)</f>
        <v>567.07299999999998</v>
      </c>
      <c r="Q293" s="199">
        <f t="shared" si="34"/>
        <v>0.34425844056526528</v>
      </c>
      <c r="R293" s="200">
        <f>SUM((('School Level Inst. Resources'!I293/'Model Data Inputs'!$B$8)*(1+'Model Data Inputs'!$B$9)),(SUM('School Level Inst. Resources'!J293:K293)/'Model Data Inputs'!$C$8)*(1+'Model Data Inputs'!$C$9),'School Level Inst. Resources'!K293/400)</f>
        <v>13.014644444444446</v>
      </c>
      <c r="S293" s="200">
        <f t="shared" si="35"/>
        <v>13.014644444444446</v>
      </c>
      <c r="T293" s="201">
        <f>IF($G293="T",VLOOKUP($A293,'Total O &amp; M Resources'!$A$5:$K$52,3),0)</f>
        <v>8354769.0899999971</v>
      </c>
      <c r="U293" s="202">
        <f>IF($G293="F",0,$S293/'Model Data Inputs'!$B$140)</f>
        <v>1.0011264957264958</v>
      </c>
      <c r="V293" s="202">
        <f>IF($G293="F",0,$O293/'Model Data Inputs'!$B$141)</f>
        <v>0.60067589743589744</v>
      </c>
      <c r="W293" s="202">
        <f>IF($G293="F",0,$N293/'Model Data Inputs'!$B$142)</f>
        <v>2.2307692307692308</v>
      </c>
      <c r="X293" s="202">
        <f>IF($G293="F",0,$K293/'Model Data Inputs'!$B$143)</f>
        <v>3.1986666666666665</v>
      </c>
      <c r="Y293" s="202">
        <f t="shared" si="29"/>
        <v>1.7578095726495726</v>
      </c>
      <c r="Z293" s="202">
        <f>IF(OR($G293="F",$F293="E"),0,'Model Data Inputs'!$B$144)</f>
        <v>0</v>
      </c>
      <c r="AA293" s="202">
        <f>IF(AND($O293&lt;='Model Data Inputs'!$B$139,$F293="E"),0,IF(AND($O293&lt;='Model Data Inputs'!$B$139,$F293="M"),0,IF(AND($O293&lt;='Model Data Inputs'!$B$139,$F293="H"),0,IF(SUM($Y293:$Z293)&lt;1,1,SUM($Y293:$Z293)))))</f>
        <v>1.7578095726495726</v>
      </c>
      <c r="AB293" s="202">
        <f>($K293/'Model Data Inputs'!$B$143)*'Model Data Inputs'!$B$145</f>
        <v>0.31986666666666669</v>
      </c>
      <c r="AC293" s="202">
        <f t="shared" si="30"/>
        <v>2.0776762393162391</v>
      </c>
      <c r="AD293" s="202">
        <f>IF($G293="F",0,'Model Data Inputs'!$B$147)</f>
        <v>1.1000000000000001</v>
      </c>
      <c r="AE293" s="202">
        <f>IF($G293="F",0,($K293/'Model Data Inputs'!$B$148)*'Model Data Inputs'!$B$149)</f>
        <v>1.1515199999999999</v>
      </c>
      <c r="AF293" s="202">
        <f>IF($G293="F",0,($O293/'Model Data Inputs'!$B$150)*'Model Data Inputs'!$B$151)</f>
        <v>0.25378556666666668</v>
      </c>
      <c r="AG293" s="202">
        <f>IF($G293="F",0,(($Q293*$T293)/'Model Data Inputs'!$B$152)*'Model Data Inputs'!$B$153)</f>
        <v>0.690287946769507</v>
      </c>
      <c r="AH293" s="202">
        <f t="shared" si="31"/>
        <v>0.79889837835904343</v>
      </c>
      <c r="AI293" s="203">
        <f>IF(OR($G293="F",$F293="M",$F293="H"),0,($AH293*'Model Data Inputs'!$B$154)-$AH293)</f>
        <v>-0.15977967567180862</v>
      </c>
      <c r="AJ293" s="202">
        <f>IF(OR($G293="F",$F293="E",$F293="H"),0,($AH293*'Model Data Inputs'!$B$155)-$AH293)</f>
        <v>0</v>
      </c>
      <c r="AK293" s="203">
        <f>IF(OR($G293="F",$F293="E",$F293="M"),0,($AH293*'Model Data Inputs'!$B$156)-$AH293)</f>
        <v>0</v>
      </c>
      <c r="AL293" s="203">
        <f>IF($G293="F",0,IF($M293&lt;'Model Data Inputs'!$B$158,$AH293*('Model Data Inputs'!$B$159-1),0))</f>
        <v>-3.994491891795221E-2</v>
      </c>
      <c r="AM293" s="202">
        <f>IF($G293="F",0,IF($M293&gt;'Model Data Inputs'!$B$160,$AH293*('Model Data Inputs'!$B$161-1),0))</f>
        <v>0</v>
      </c>
      <c r="AN293" s="202">
        <f>IF($G293="F",0,IF($P293&lt;'Model Data Inputs'!$B$162,SUM($AH293,$AI293,$AJ293,$AK293,$AL293,$AM293)*('Model Data Inputs'!$B$163-1),0))</f>
        <v>5.9917378376928308E-2</v>
      </c>
      <c r="AO293" s="202">
        <f t="shared" si="32"/>
        <v>0.65909116214621088</v>
      </c>
      <c r="AP293" s="204">
        <f>$K293*'Model Data Inputs'!$B$166</f>
        <v>38575.920000000006</v>
      </c>
      <c r="AQ293" s="204">
        <f>($K293*'Model Data Inputs'!$B$145)*'Model Data Inputs'!$B$166</f>
        <v>3857.5920000000006</v>
      </c>
      <c r="AR293" s="50">
        <f t="shared" si="33"/>
        <v>42433.512000000002</v>
      </c>
    </row>
    <row r="294" spans="1:44" x14ac:dyDescent="0.2">
      <c r="A294" s="227" t="str">
        <f>'School Level Inst. Resources'!A294</f>
        <v>1809000</v>
      </c>
      <c r="B294" s="227" t="str">
        <f>'School Level Inst. Resources'!B294</f>
        <v>Sublette #9</v>
      </c>
      <c r="C294" s="227" t="str">
        <f>'School Level Inst. Resources'!C294</f>
        <v>1809002</v>
      </c>
      <c r="D294" s="227" t="str">
        <f>'School Level Inst. Resources'!D294</f>
        <v>La Barge Elementary</v>
      </c>
      <c r="E294" s="228" t="str">
        <f>'School Level Inst. Resources'!E294</f>
        <v>K-5</v>
      </c>
      <c r="F294" s="229" t="str">
        <f>'School Level Inst. Resources'!H294</f>
        <v>E</v>
      </c>
      <c r="G294" s="229" t="s">
        <v>1158</v>
      </c>
      <c r="H294" s="207">
        <v>21379</v>
      </c>
      <c r="I294" s="207">
        <f>IF('SFD Allowable GSF Calculation'!$D$2=1,'SFD Allowable GSF Calculation'!$P294,'SFD Allowable GSF Calculation'!$X294)</f>
        <v>9171</v>
      </c>
      <c r="J294" s="194">
        <f>$I294*'Model Data Inputs'!$B$165</f>
        <v>10546.65</v>
      </c>
      <c r="K294" s="194">
        <f>IF($L294&gt;='Model Data Inputs'!$B$164,$H294,MIN($H294,$J294))</f>
        <v>21379</v>
      </c>
      <c r="L294" s="208">
        <v>2008</v>
      </c>
      <c r="M294" s="196">
        <f>IF($L294&gt;0,'Model Data Inputs'!$B$157-$L294,"")</f>
        <v>9</v>
      </c>
      <c r="N294" s="209">
        <v>13</v>
      </c>
      <c r="O294" s="198">
        <f>'School Level Inst. Resources'!$L294</f>
        <v>52.264000000000003</v>
      </c>
      <c r="P294" s="198">
        <f>IF($G294="T",SUMIFS('School Level ADM'!$S$5:$S$359,'School Level ADM'!$A$5:$A$359,$A294),0)</f>
        <v>567.07299999999998</v>
      </c>
      <c r="Q294" s="199">
        <f t="shared" si="34"/>
        <v>9.2164500866731447E-2</v>
      </c>
      <c r="R294" s="200">
        <f>SUM((('School Level Inst. Resources'!I294/'Model Data Inputs'!$B$8)*(1+'Model Data Inputs'!$B$9)),(SUM('School Level Inst. Resources'!J294:K294)/'Model Data Inputs'!$C$8)*(1+'Model Data Inputs'!$C$9),'School Level Inst. Resources'!K294/400)</f>
        <v>3.4842666666666666</v>
      </c>
      <c r="S294" s="200">
        <f t="shared" si="35"/>
        <v>3.4842666666666666</v>
      </c>
      <c r="T294" s="201">
        <f>IF($G294="T",VLOOKUP($A294,'Total O &amp; M Resources'!$A$5:$K$52,3),0)</f>
        <v>8354769.0899999971</v>
      </c>
      <c r="U294" s="202">
        <f>IF($G294="F",0,$S294/'Model Data Inputs'!$B$140)</f>
        <v>0.26802051282051281</v>
      </c>
      <c r="V294" s="202">
        <f>IF($G294="F",0,$O294/'Model Data Inputs'!$B$141)</f>
        <v>0.1608123076923077</v>
      </c>
      <c r="W294" s="202">
        <f>IF($G294="F",0,$N294/'Model Data Inputs'!$B$142)</f>
        <v>1</v>
      </c>
      <c r="X294" s="202">
        <f>IF($G294="F",0,$K294/'Model Data Inputs'!$B$143)</f>
        <v>1.1877222222222221</v>
      </c>
      <c r="Y294" s="202">
        <f t="shared" si="29"/>
        <v>0.65413876068376064</v>
      </c>
      <c r="Z294" s="202">
        <f>IF(OR($G294="F",$F294="E"),0,'Model Data Inputs'!$B$144)</f>
        <v>0</v>
      </c>
      <c r="AA294" s="202">
        <f>IF(AND($O294&lt;='Model Data Inputs'!$B$139,$F294="E"),0,IF(AND($O294&lt;='Model Data Inputs'!$B$139,$F294="M"),0,IF(AND($O294&lt;='Model Data Inputs'!$B$139,$F294="H"),0,IF(SUM($Y294:$Z294)&lt;1,1,SUM($Y294:$Z294)))))</f>
        <v>1</v>
      </c>
      <c r="AB294" s="202">
        <f>($K294/'Model Data Inputs'!$B$143)*'Model Data Inputs'!$B$145</f>
        <v>0.11877222222222222</v>
      </c>
      <c r="AC294" s="202">
        <f t="shared" si="30"/>
        <v>1.1187722222222223</v>
      </c>
      <c r="AD294" s="202">
        <f>IF($G294="F",0,'Model Data Inputs'!$B$147)</f>
        <v>1.1000000000000001</v>
      </c>
      <c r="AE294" s="202">
        <f>IF($G294="F",0,($K294/'Model Data Inputs'!$B$148)*'Model Data Inputs'!$B$149)</f>
        <v>0.42758000000000002</v>
      </c>
      <c r="AF294" s="202">
        <f>IF($G294="F",0,($O294/'Model Data Inputs'!$B$150)*'Model Data Inputs'!$B$151)</f>
        <v>6.7943200000000009E-2</v>
      </c>
      <c r="AG294" s="202">
        <f>IF($G294="F",0,(($Q294*$T294)/'Model Data Inputs'!$B$152)*'Model Data Inputs'!$B$153)</f>
        <v>0.18480314952879498</v>
      </c>
      <c r="AH294" s="202">
        <f t="shared" si="31"/>
        <v>0.44508158738219877</v>
      </c>
      <c r="AI294" s="203">
        <f>IF(OR($G294="F",$F294="M",$F294="H"),0,($AH294*'Model Data Inputs'!$B$154)-$AH294)</f>
        <v>-8.9016317476439732E-2</v>
      </c>
      <c r="AJ294" s="202">
        <f>IF(OR($G294="F",$F294="E",$F294="H"),0,($AH294*'Model Data Inputs'!$B$155)-$AH294)</f>
        <v>0</v>
      </c>
      <c r="AK294" s="203">
        <f>IF(OR($G294="F",$F294="E",$F294="M"),0,($AH294*'Model Data Inputs'!$B$156)-$AH294)</f>
        <v>0</v>
      </c>
      <c r="AL294" s="203">
        <f>IF($G294="F",0,IF($M294&lt;'Model Data Inputs'!$B$158,$AH294*('Model Data Inputs'!$B$159-1),0))</f>
        <v>-2.2254079369109957E-2</v>
      </c>
      <c r="AM294" s="202">
        <f>IF($G294="F",0,IF($M294&gt;'Model Data Inputs'!$B$160,$AH294*('Model Data Inputs'!$B$161-1),0))</f>
        <v>0</v>
      </c>
      <c r="AN294" s="202">
        <f>IF($G294="F",0,IF($P294&lt;'Model Data Inputs'!$B$162,SUM($AH294,$AI294,$AJ294,$AK294,$AL294,$AM294)*('Model Data Inputs'!$B$163-1),0))</f>
        <v>3.3381119053664941E-2</v>
      </c>
      <c r="AO294" s="202">
        <f t="shared" si="32"/>
        <v>0.36719230959031401</v>
      </c>
      <c r="AP294" s="204">
        <f>$K294*'Model Data Inputs'!$B$166</f>
        <v>14323.93</v>
      </c>
      <c r="AQ294" s="204">
        <f>($K294*'Model Data Inputs'!$B$145)*'Model Data Inputs'!$B$166</f>
        <v>1432.3930000000003</v>
      </c>
      <c r="AR294" s="50">
        <f t="shared" si="33"/>
        <v>15756.323</v>
      </c>
    </row>
    <row r="295" spans="1:44" x14ac:dyDescent="0.2">
      <c r="A295" s="227" t="str">
        <f>'School Level Inst. Resources'!A295</f>
        <v>1809000</v>
      </c>
      <c r="B295" s="227" t="str">
        <f>'School Level Inst. Resources'!B295</f>
        <v>Sublette #9</v>
      </c>
      <c r="C295" s="227" t="str">
        <f>'School Level Inst. Resources'!C295</f>
        <v>1809050</v>
      </c>
      <c r="D295" s="227" t="str">
        <f>'School Level Inst. Resources'!D295</f>
        <v>Big Piney Middle School</v>
      </c>
      <c r="E295" s="228" t="str">
        <f>'School Level Inst. Resources'!E295</f>
        <v>6-8</v>
      </c>
      <c r="F295" s="229" t="str">
        <f>'School Level Inst. Resources'!H295</f>
        <v>M</v>
      </c>
      <c r="G295" s="229" t="s">
        <v>1158</v>
      </c>
      <c r="H295" s="207">
        <v>38158</v>
      </c>
      <c r="I295" s="207">
        <f>IF('SFD Allowable GSF Calculation'!$D$2=1,'SFD Allowable GSF Calculation'!$P295,'SFD Allowable GSF Calculation'!$X295)</f>
        <v>40700</v>
      </c>
      <c r="J295" s="194">
        <f>$I295*'Model Data Inputs'!$B$165</f>
        <v>46805</v>
      </c>
      <c r="K295" s="194">
        <f>IF($L295&gt;='Model Data Inputs'!$B$164,$H295,MIN($H295,$J295))</f>
        <v>38158</v>
      </c>
      <c r="L295" s="208">
        <v>1981</v>
      </c>
      <c r="M295" s="196">
        <f>IF($L295&gt;0,'Model Data Inputs'!$B$157-$L295,"")</f>
        <v>36</v>
      </c>
      <c r="N295" s="209">
        <v>13</v>
      </c>
      <c r="O295" s="198">
        <f>'School Level Inst. Resources'!$L295</f>
        <v>131.779</v>
      </c>
      <c r="P295" s="198">
        <f>IF($G295="T",SUMIFS('School Level ADM'!$S$5:$S$359,'School Level ADM'!$A$5:$A$359,$A295),0)</f>
        <v>567.07299999999998</v>
      </c>
      <c r="Q295" s="199">
        <f t="shared" si="34"/>
        <v>0.23238454308351836</v>
      </c>
      <c r="R295" s="200">
        <f>SUM((('School Level Inst. Resources'!I295/'Model Data Inputs'!$B$8)*(1+'Model Data Inputs'!$B$9)),(SUM('School Level Inst. Resources'!J295:K295)/'Model Data Inputs'!$C$8)*(1+'Model Data Inputs'!$C$9),'School Level Inst. Resources'!K295/400)</f>
        <v>7.6374524782608688</v>
      </c>
      <c r="S295" s="200">
        <f t="shared" si="35"/>
        <v>7.6374524782608688</v>
      </c>
      <c r="T295" s="201">
        <f>IF($G295="T",VLOOKUP($A295,'Total O &amp; M Resources'!$A$5:$K$52,3),0)</f>
        <v>8354769.0899999971</v>
      </c>
      <c r="U295" s="202">
        <f>IF($G295="F",0,$S295/'Model Data Inputs'!$B$140)</f>
        <v>0.58749634448160526</v>
      </c>
      <c r="V295" s="202">
        <f>IF($G295="F",0,$O295/'Model Data Inputs'!$B$141)</f>
        <v>0.40547384615384613</v>
      </c>
      <c r="W295" s="202">
        <f>IF($G295="F",0,$N295/'Model Data Inputs'!$B$142)</f>
        <v>1</v>
      </c>
      <c r="X295" s="202">
        <f>IF($G295="F",0,$K295/'Model Data Inputs'!$B$143)</f>
        <v>2.1198888888888887</v>
      </c>
      <c r="Y295" s="202">
        <f t="shared" si="29"/>
        <v>1.0282147698810851</v>
      </c>
      <c r="Z295" s="202">
        <f>IF(OR($G295="F",$F295="E"),0,'Model Data Inputs'!$B$144)</f>
        <v>0.5</v>
      </c>
      <c r="AA295" s="202">
        <f>IF(AND($O295&lt;='Model Data Inputs'!$B$139,$F295="E"),0,IF(AND($O295&lt;='Model Data Inputs'!$B$139,$F295="M"),0,IF(AND($O295&lt;='Model Data Inputs'!$B$139,$F295="H"),0,IF(SUM($Y295:$Z295)&lt;1,1,SUM($Y295:$Z295)))))</f>
        <v>1.5282147698810851</v>
      </c>
      <c r="AB295" s="202">
        <f>($K295/'Model Data Inputs'!$B$143)*'Model Data Inputs'!$B$145</f>
        <v>0.21198888888888889</v>
      </c>
      <c r="AC295" s="202">
        <f t="shared" si="30"/>
        <v>1.7402036587699738</v>
      </c>
      <c r="AD295" s="202">
        <f>IF($G295="F",0,'Model Data Inputs'!$B$147)</f>
        <v>1.1000000000000001</v>
      </c>
      <c r="AE295" s="202">
        <f>IF($G295="F",0,($K295/'Model Data Inputs'!$B$148)*'Model Data Inputs'!$B$149)</f>
        <v>0.76315999999999995</v>
      </c>
      <c r="AF295" s="202">
        <f>IF($G295="F",0,($O295/'Model Data Inputs'!$B$150)*'Model Data Inputs'!$B$151)</f>
        <v>0.17131270000000001</v>
      </c>
      <c r="AG295" s="202">
        <f>IF($G295="F",0,(($Q295*$T295)/'Model Data Inputs'!$B$152)*'Model Data Inputs'!$B$153)</f>
        <v>0.46596460741150841</v>
      </c>
      <c r="AH295" s="202">
        <f t="shared" si="31"/>
        <v>0.62510932685287712</v>
      </c>
      <c r="AI295" s="203">
        <f>IF(OR($G295="F",$F295="M",$F295="H"),0,($AH295*'Model Data Inputs'!$B$154)-$AH295)</f>
        <v>0</v>
      </c>
      <c r="AJ295" s="202">
        <f>IF(OR($G295="F",$F295="E",$F295="H"),0,($AH295*'Model Data Inputs'!$B$155)-$AH295)</f>
        <v>0</v>
      </c>
      <c r="AK295" s="203">
        <f>IF(OR($G295="F",$F295="E",$F295="M"),0,($AH295*'Model Data Inputs'!$B$156)-$AH295)</f>
        <v>0</v>
      </c>
      <c r="AL295" s="203">
        <f>IF($G295="F",0,IF($M295&lt;'Model Data Inputs'!$B$158,$AH295*('Model Data Inputs'!$B$159-1),0))</f>
        <v>0</v>
      </c>
      <c r="AM295" s="202">
        <f>IF($G295="F",0,IF($M295&gt;'Model Data Inputs'!$B$160,$AH295*('Model Data Inputs'!$B$161-1),0))</f>
        <v>6.2510932685287762E-2</v>
      </c>
      <c r="AN295" s="202">
        <f>IF($G295="F",0,IF($P295&lt;'Model Data Inputs'!$B$162,SUM($AH295,$AI295,$AJ295,$AK295,$AL295,$AM295)*('Model Data Inputs'!$B$163-1),0))</f>
        <v>6.8762025953816544E-2</v>
      </c>
      <c r="AO295" s="202">
        <f t="shared" si="32"/>
        <v>0.75638228549198139</v>
      </c>
      <c r="AP295" s="204">
        <f>$K295*'Model Data Inputs'!$B$166</f>
        <v>25565.86</v>
      </c>
      <c r="AQ295" s="204">
        <f>($K295*'Model Data Inputs'!$B$145)*'Model Data Inputs'!$B$166</f>
        <v>2556.5860000000002</v>
      </c>
      <c r="AR295" s="50">
        <f t="shared" si="33"/>
        <v>28122.446</v>
      </c>
    </row>
    <row r="296" spans="1:44" x14ac:dyDescent="0.2">
      <c r="A296" s="227" t="str">
        <f>'School Level Inst. Resources'!A296</f>
        <v>1809000</v>
      </c>
      <c r="B296" s="227" t="str">
        <f>'School Level Inst. Resources'!B296</f>
        <v>Sublette #9</v>
      </c>
      <c r="C296" s="227" t="str">
        <f>'School Level Inst. Resources'!C296</f>
        <v>1809055</v>
      </c>
      <c r="D296" s="227" t="str">
        <f>'School Level Inst. Resources'!D296</f>
        <v>Big Piney High School</v>
      </c>
      <c r="E296" s="228" t="str">
        <f>'School Level Inst. Resources'!E296</f>
        <v>9-12</v>
      </c>
      <c r="F296" s="229" t="str">
        <f>'School Level Inst. Resources'!H296</f>
        <v>H</v>
      </c>
      <c r="G296" s="229" t="s">
        <v>1158</v>
      </c>
      <c r="H296" s="207">
        <v>153071</v>
      </c>
      <c r="I296" s="207">
        <f>IF('SFD Allowable GSF Calculation'!$D$2=1,'SFD Allowable GSF Calculation'!$P296,'SFD Allowable GSF Calculation'!$X296)</f>
        <v>61331</v>
      </c>
      <c r="J296" s="194">
        <f>$I296*'Model Data Inputs'!$B$165</f>
        <v>70530.649999999994</v>
      </c>
      <c r="K296" s="194">
        <f>IF($L296&gt;='Model Data Inputs'!$B$164,$H296,MIN($H296,$J296))</f>
        <v>70530.649999999994</v>
      </c>
      <c r="L296" s="208">
        <v>1987</v>
      </c>
      <c r="M296" s="196">
        <f>IF($L296&gt;0,'Model Data Inputs'!$B$157-$L296,"")</f>
        <v>30</v>
      </c>
      <c r="N296" s="209">
        <v>38</v>
      </c>
      <c r="O296" s="198">
        <f>'School Level Inst. Resources'!$L296</f>
        <v>187.81033333333332</v>
      </c>
      <c r="P296" s="198">
        <f>IF($G296="T",SUMIFS('School Level ADM'!$S$5:$S$359,'School Level ADM'!$A$5:$A$359,$A296),0)</f>
        <v>567.07299999999998</v>
      </c>
      <c r="Q296" s="199">
        <f t="shared" si="34"/>
        <v>0.33119251548448492</v>
      </c>
      <c r="R296" s="200">
        <f>SUM((('School Level Inst. Resources'!I296/'Model Data Inputs'!$B$8)*(1+'Model Data Inputs'!$B$9)),(SUM('School Level Inst. Resources'!J296:K296)/'Model Data Inputs'!$C$8)*(1+'Model Data Inputs'!$C$9),'School Level Inst. Resources'!K296/400)</f>
        <v>11.354359500000001</v>
      </c>
      <c r="S296" s="200">
        <f t="shared" si="35"/>
        <v>11.354359500000001</v>
      </c>
      <c r="T296" s="201">
        <f>IF($G296="T",VLOOKUP($A296,'Total O &amp; M Resources'!$A$5:$K$52,3),0)</f>
        <v>8354769.0899999971</v>
      </c>
      <c r="U296" s="202">
        <f>IF($G296="F",0,$S296/'Model Data Inputs'!$B$140)</f>
        <v>0.87341226923076931</v>
      </c>
      <c r="V296" s="202">
        <f>IF($G296="F",0,$O296/'Model Data Inputs'!$B$141)</f>
        <v>0.57787794871794862</v>
      </c>
      <c r="W296" s="202">
        <f>IF($G296="F",0,$N296/'Model Data Inputs'!$B$142)</f>
        <v>2.9230769230769229</v>
      </c>
      <c r="X296" s="202">
        <f>IF($G296="F",0,$K296/'Model Data Inputs'!$B$143)</f>
        <v>3.9183694444444441</v>
      </c>
      <c r="Y296" s="202">
        <f t="shared" si="29"/>
        <v>2.0731841463675211</v>
      </c>
      <c r="Z296" s="202">
        <f>IF(OR($G296="F",$F296="E"),0,'Model Data Inputs'!$B$144)</f>
        <v>0.5</v>
      </c>
      <c r="AA296" s="202">
        <f>IF(AND($O296&lt;='Model Data Inputs'!$B$139,$F296="E"),0,IF(AND($O296&lt;='Model Data Inputs'!$B$139,$F296="M"),0,IF(AND($O296&lt;='Model Data Inputs'!$B$139,$F296="H"),0,IF(SUM($Y296:$Z296)&lt;1,1,SUM($Y296:$Z296)))))</f>
        <v>2.5731841463675211</v>
      </c>
      <c r="AB296" s="202">
        <f>($K296/'Model Data Inputs'!$B$143)*'Model Data Inputs'!$B$145</f>
        <v>0.39183694444444445</v>
      </c>
      <c r="AC296" s="202">
        <f t="shared" si="30"/>
        <v>2.9650210908119656</v>
      </c>
      <c r="AD296" s="202">
        <f>IF($G296="F",0,'Model Data Inputs'!$B$147)</f>
        <v>1.1000000000000001</v>
      </c>
      <c r="AE296" s="202">
        <f>IF($G296="F",0,($K296/'Model Data Inputs'!$B$148)*'Model Data Inputs'!$B$149)</f>
        <v>1.4106129999999999</v>
      </c>
      <c r="AF296" s="202">
        <f>IF($G296="F",0,($O296/'Model Data Inputs'!$B$150)*'Model Data Inputs'!$B$151)</f>
        <v>0.24415343333333334</v>
      </c>
      <c r="AG296" s="202">
        <f>IF($G296="F",0,(($Q296*$T296)/'Model Data Inputs'!$B$152)*'Model Data Inputs'!$B$153)</f>
        <v>0.66408887789018889</v>
      </c>
      <c r="AH296" s="202">
        <f t="shared" si="31"/>
        <v>0.85471382780588068</v>
      </c>
      <c r="AI296" s="203">
        <f>IF(OR($G296="F",$F296="M",$F296="H"),0,($AH296*'Model Data Inputs'!$B$154)-$AH296)</f>
        <v>0</v>
      </c>
      <c r="AJ296" s="202">
        <f>IF(OR($G296="F",$F296="E",$F296="H"),0,($AH296*'Model Data Inputs'!$B$155)-$AH296)</f>
        <v>0</v>
      </c>
      <c r="AK296" s="203">
        <f>IF(OR($G296="F",$F296="E",$F296="M"),0,($AH296*'Model Data Inputs'!$B$156)-$AH296)</f>
        <v>0.85471382780588068</v>
      </c>
      <c r="AL296" s="203">
        <f>IF($G296="F",0,IF($M296&lt;'Model Data Inputs'!$B$158,$AH296*('Model Data Inputs'!$B$159-1),0))</f>
        <v>0</v>
      </c>
      <c r="AM296" s="202">
        <f>IF($G296="F",0,IF($M296&gt;'Model Data Inputs'!$B$160,$AH296*('Model Data Inputs'!$B$161-1),0))</f>
        <v>0</v>
      </c>
      <c r="AN296" s="202">
        <f>IF($G296="F",0,IF($P296&lt;'Model Data Inputs'!$B$162,SUM($AH296,$AI296,$AJ296,$AK296,$AL296,$AM296)*('Model Data Inputs'!$B$163-1),0))</f>
        <v>0.1709427655611763</v>
      </c>
      <c r="AO296" s="202">
        <f t="shared" si="32"/>
        <v>1.8803704211729377</v>
      </c>
      <c r="AP296" s="204">
        <f>$K296*'Model Data Inputs'!$B$166</f>
        <v>47255.535499999998</v>
      </c>
      <c r="AQ296" s="204">
        <f>($K296*'Model Data Inputs'!$B$145)*'Model Data Inputs'!$B$166</f>
        <v>4725.5535499999996</v>
      </c>
      <c r="AR296" s="50">
        <f t="shared" si="33"/>
        <v>51981.089049999995</v>
      </c>
    </row>
    <row r="297" spans="1:44" s="226" customFormat="1" x14ac:dyDescent="0.2">
      <c r="A297" s="210" t="str">
        <f>'School Level Inst. Resources'!A297</f>
        <v>1901000</v>
      </c>
      <c r="B297" s="210" t="str">
        <f>'School Level Inst. Resources'!B297</f>
        <v>Sweetwater #1</v>
      </c>
      <c r="C297" s="210" t="str">
        <f>'School Level Inst. Resources'!C297</f>
        <v>1901001</v>
      </c>
      <c r="D297" s="210" t="str">
        <f>'School Level Inst. Resources'!D297</f>
        <v>Desert Elementary</v>
      </c>
      <c r="E297" s="211" t="str">
        <f>'School Level Inst. Resources'!E297</f>
        <v>K-6</v>
      </c>
      <c r="F297" s="212" t="str">
        <f>'School Level Inst. Resources'!H297</f>
        <v>E</v>
      </c>
      <c r="G297" s="212" t="s">
        <v>1159</v>
      </c>
      <c r="H297" s="213">
        <v>0</v>
      </c>
      <c r="I297" s="213">
        <f>IF('SFD Allowable GSF Calculation'!$D$2=1,'SFD Allowable GSF Calculation'!$P297,'SFD Allowable GSF Calculation'!$X297)</f>
        <v>0</v>
      </c>
      <c r="J297" s="214">
        <f>$I297*'Model Data Inputs'!$B$165</f>
        <v>0</v>
      </c>
      <c r="K297" s="214">
        <f>IF($L297&gt;='Model Data Inputs'!$B$164,$H297,MIN($H297,$J297))</f>
        <v>0</v>
      </c>
      <c r="L297" s="233">
        <v>0</v>
      </c>
      <c r="M297" s="196" t="str">
        <f>IF($L297&gt;0,'Model Data Inputs'!$B$157-$L297,"")</f>
        <v/>
      </c>
      <c r="N297" s="216">
        <v>0</v>
      </c>
      <c r="O297" s="217">
        <v>0</v>
      </c>
      <c r="P297" s="218">
        <f>IF($G297="T",SUMIFS('School Level ADM'!$S$5:$S$359,'School Level ADM'!$A$5:$A$359,$A297),0)</f>
        <v>0</v>
      </c>
      <c r="Q297" s="219">
        <f t="shared" si="34"/>
        <v>0</v>
      </c>
      <c r="R297" s="220">
        <f>SUM((('School Level Inst. Resources'!I297/'Model Data Inputs'!$B$8)*(1+'Model Data Inputs'!$B$9)),(SUM('School Level Inst. Resources'!J297:K297)/'Model Data Inputs'!$C$8)*(1+'Model Data Inputs'!$C$9),'School Level Inst. Resources'!K297/400)</f>
        <v>1.8453777777777776</v>
      </c>
      <c r="S297" s="220">
        <v>0</v>
      </c>
      <c r="T297" s="221">
        <f>IF($G297="T",VLOOKUP($A297,'Total O &amp; M Resources'!$A$5:$K$52,3),0)</f>
        <v>0</v>
      </c>
      <c r="U297" s="222">
        <f>IF($G297="F",0,$S297/'Model Data Inputs'!$B$140)</f>
        <v>0</v>
      </c>
      <c r="V297" s="222">
        <f>IF($G297="F",0,$O297/'Model Data Inputs'!$B$141)</f>
        <v>0</v>
      </c>
      <c r="W297" s="222">
        <f>IF($G297="F",0,$N297/'Model Data Inputs'!$B$142)</f>
        <v>0</v>
      </c>
      <c r="X297" s="222">
        <f>IF($G297="F",0,$K297/'Model Data Inputs'!$B$143)</f>
        <v>0</v>
      </c>
      <c r="Y297" s="222">
        <f t="shared" si="29"/>
        <v>0</v>
      </c>
      <c r="Z297" s="222">
        <f>IF(OR($G297="F",$F297="E"),0,'Model Data Inputs'!$B$144)</f>
        <v>0</v>
      </c>
      <c r="AA297" s="222">
        <f>IF(AND($O297&lt;='Model Data Inputs'!$B$139,$F297="E"),0,IF(AND($O297&lt;='Model Data Inputs'!$B$139,$F297="M"),0,IF(AND($O297&lt;='Model Data Inputs'!$B$139,$F297="H"),0,IF(SUM($Y297:$Z297)&lt;1,1,SUM($Y297:$Z297)))))</f>
        <v>0</v>
      </c>
      <c r="AB297" s="222">
        <f>($K297/'Model Data Inputs'!$B$143)*'Model Data Inputs'!$B$145</f>
        <v>0</v>
      </c>
      <c r="AC297" s="222">
        <f t="shared" si="30"/>
        <v>0</v>
      </c>
      <c r="AD297" s="222">
        <f>IF($G297="F",0,'Model Data Inputs'!$B$147)</f>
        <v>0</v>
      </c>
      <c r="AE297" s="222">
        <f>IF($G297="F",0,($K297/'Model Data Inputs'!$B$148)*'Model Data Inputs'!$B$149)</f>
        <v>0</v>
      </c>
      <c r="AF297" s="222">
        <f>IF($G297="F",0,($O297/'Model Data Inputs'!$B$150)*'Model Data Inputs'!$B$151)</f>
        <v>0</v>
      </c>
      <c r="AG297" s="222">
        <f>IF($G297="F",0,(($Q297*$T297)/'Model Data Inputs'!$B$152)*'Model Data Inputs'!$B$153)</f>
        <v>0</v>
      </c>
      <c r="AH297" s="222">
        <f t="shared" si="31"/>
        <v>0</v>
      </c>
      <c r="AI297" s="223">
        <f>IF(OR($G297="F",$F297="M",$F297="H"),0,($AH297*'Model Data Inputs'!$B$154)-$AH297)</f>
        <v>0</v>
      </c>
      <c r="AJ297" s="222">
        <f>IF(OR($G297="F",$F297="E",$F297="H"),0,($AH297*'Model Data Inputs'!$B$155)-$AH297)</f>
        <v>0</v>
      </c>
      <c r="AK297" s="223">
        <f>IF(OR($G297="F",$F297="E",$F297="M"),0,($AH297*'Model Data Inputs'!$B$156)-$AH297)</f>
        <v>0</v>
      </c>
      <c r="AL297" s="223">
        <f>IF($G297="F",0,IF($M297&lt;'Model Data Inputs'!$B$158,$AH297*('Model Data Inputs'!$B$159-1),0))</f>
        <v>0</v>
      </c>
      <c r="AM297" s="222">
        <f>IF($G297="F",0,IF($M297&gt;'Model Data Inputs'!$B$160,$AH297*('Model Data Inputs'!$B$161-1),0))</f>
        <v>0</v>
      </c>
      <c r="AN297" s="222">
        <f>IF($G297="F",0,IF($P297&lt;'Model Data Inputs'!$B$162,SUM($AH297,$AI297,$AJ297,$AK297,$AL297,$AM297)*('Model Data Inputs'!$B$163-1),0))</f>
        <v>0</v>
      </c>
      <c r="AO297" s="222">
        <f t="shared" si="32"/>
        <v>0</v>
      </c>
      <c r="AP297" s="224">
        <f>$K297*'Model Data Inputs'!$B$166</f>
        <v>0</v>
      </c>
      <c r="AQ297" s="224">
        <f>($K297*'Model Data Inputs'!$B$145)*'Model Data Inputs'!$B$166</f>
        <v>0</v>
      </c>
      <c r="AR297" s="225">
        <f t="shared" si="33"/>
        <v>0</v>
      </c>
    </row>
    <row r="298" spans="1:44" x14ac:dyDescent="0.2">
      <c r="A298" s="227" t="str">
        <f>'School Level Inst. Resources'!A298</f>
        <v>1901000</v>
      </c>
      <c r="B298" s="227" t="str">
        <f>'School Level Inst. Resources'!B298</f>
        <v>Sweetwater #1</v>
      </c>
      <c r="C298" s="227" t="str">
        <f>'School Level Inst. Resources'!C298</f>
        <v>1901002</v>
      </c>
      <c r="D298" s="227" t="str">
        <f>'School Level Inst. Resources'!D298</f>
        <v>Desert View Elementary</v>
      </c>
      <c r="E298" s="228" t="str">
        <f>'School Level Inst. Resources'!E298</f>
        <v>K-4</v>
      </c>
      <c r="F298" s="229" t="str">
        <f>'School Level Inst. Resources'!H298</f>
        <v>E</v>
      </c>
      <c r="G298" s="229" t="s">
        <v>1158</v>
      </c>
      <c r="H298" s="207">
        <v>49303</v>
      </c>
      <c r="I298" s="207">
        <f>IF('SFD Allowable GSF Calculation'!$D$2=1,'SFD Allowable GSF Calculation'!$P298,'SFD Allowable GSF Calculation'!$X298)</f>
        <v>40775</v>
      </c>
      <c r="J298" s="194">
        <f>$I298*'Model Data Inputs'!$B$165</f>
        <v>46891.25</v>
      </c>
      <c r="K298" s="194">
        <f>IF($L298&gt;='Model Data Inputs'!$B$164,$H298,MIN($H298,$J298))</f>
        <v>46891.25</v>
      </c>
      <c r="L298" s="208">
        <v>1979</v>
      </c>
      <c r="M298" s="196">
        <f>IF($L298&gt;0,'Model Data Inputs'!$B$157-$L298,"")</f>
        <v>38</v>
      </c>
      <c r="N298" s="209">
        <v>38</v>
      </c>
      <c r="O298" s="198">
        <f>'School Level Inst. Resources'!$L298</f>
        <v>287.24252380952385</v>
      </c>
      <c r="P298" s="198">
        <f>IF($G298="T",SUMIFS('School Level ADM'!$S$5:$S$359,'School Level ADM'!$A$5:$A$359,$A298),0)</f>
        <v>5559.7213333333339</v>
      </c>
      <c r="Q298" s="199">
        <f t="shared" si="34"/>
        <v>5.1664913866700482E-2</v>
      </c>
      <c r="R298" s="200">
        <f>SUM((('School Level Inst. Resources'!I298/'Model Data Inputs'!$B$8)*(1+'Model Data Inputs'!$B$9)),(SUM('School Level Inst. Resources'!J298:K298)/'Model Data Inputs'!$C$8)*(1+'Model Data Inputs'!$C$9),'School Level Inst. Resources'!K298/400)</f>
        <v>19.149501587301589</v>
      </c>
      <c r="S298" s="200">
        <f t="shared" si="35"/>
        <v>19.149501587301589</v>
      </c>
      <c r="T298" s="201">
        <f>IF($G298="T",VLOOKUP($A298,'Total O &amp; M Resources'!$A$5:$K$52,3),0)</f>
        <v>38978907.979999989</v>
      </c>
      <c r="U298" s="202">
        <f>IF($G298="F",0,$S298/'Model Data Inputs'!$B$140)</f>
        <v>1.4730385836385838</v>
      </c>
      <c r="V298" s="202">
        <f>IF($G298="F",0,$O298/'Model Data Inputs'!$B$141)</f>
        <v>0.88382315018315027</v>
      </c>
      <c r="W298" s="202">
        <f>IF($G298="F",0,$N298/'Model Data Inputs'!$B$142)</f>
        <v>2.9230769230769229</v>
      </c>
      <c r="X298" s="202">
        <f>IF($G298="F",0,$K298/'Model Data Inputs'!$B$143)</f>
        <v>2.6050694444444447</v>
      </c>
      <c r="Y298" s="202">
        <f t="shared" si="29"/>
        <v>1.9712520253357755</v>
      </c>
      <c r="Z298" s="202">
        <f>IF(OR($G298="F",$F298="E"),0,'Model Data Inputs'!$B$144)</f>
        <v>0</v>
      </c>
      <c r="AA298" s="202">
        <f>IF(AND($O298&lt;='Model Data Inputs'!$B$139,$F298="E"),0,IF(AND($O298&lt;='Model Data Inputs'!$B$139,$F298="M"),0,IF(AND($O298&lt;='Model Data Inputs'!$B$139,$F298="H"),0,IF(SUM($Y298:$Z298)&lt;1,1,SUM($Y298:$Z298)))))</f>
        <v>1.9712520253357755</v>
      </c>
      <c r="AB298" s="202">
        <f>($K298/'Model Data Inputs'!$B$143)*'Model Data Inputs'!$B$145</f>
        <v>0.2605069444444445</v>
      </c>
      <c r="AC298" s="202">
        <f t="shared" si="30"/>
        <v>2.2317589697802198</v>
      </c>
      <c r="AD298" s="202">
        <f>IF($G298="F",0,'Model Data Inputs'!$B$147)</f>
        <v>1.1000000000000001</v>
      </c>
      <c r="AE298" s="202">
        <f>IF($G298="F",0,($K298/'Model Data Inputs'!$B$148)*'Model Data Inputs'!$B$149)</f>
        <v>0.93782499999999991</v>
      </c>
      <c r="AF298" s="202">
        <f>IF($G298="F",0,($O298/'Model Data Inputs'!$B$150)*'Model Data Inputs'!$B$151)</f>
        <v>0.37341528095238102</v>
      </c>
      <c r="AG298" s="202">
        <f>IF($G298="F",0,(($Q298*$T298)/'Model Data Inputs'!$B$152)*'Model Data Inputs'!$B$153)</f>
        <v>0.48332206161713837</v>
      </c>
      <c r="AH298" s="202">
        <f t="shared" si="31"/>
        <v>0.72364058564237976</v>
      </c>
      <c r="AI298" s="203">
        <f>IF(OR($G298="F",$F298="M",$F298="H"),0,($AH298*'Model Data Inputs'!$B$154)-$AH298)</f>
        <v>-0.14472811712847589</v>
      </c>
      <c r="AJ298" s="202">
        <f>IF(OR($G298="F",$F298="E",$F298="H"),0,($AH298*'Model Data Inputs'!$B$155)-$AH298)</f>
        <v>0</v>
      </c>
      <c r="AK298" s="203">
        <f>IF(OR($G298="F",$F298="E",$F298="M"),0,($AH298*'Model Data Inputs'!$B$156)-$AH298)</f>
        <v>0</v>
      </c>
      <c r="AL298" s="203">
        <f>IF($G298="F",0,IF($M298&lt;'Model Data Inputs'!$B$158,$AH298*('Model Data Inputs'!$B$159-1),0))</f>
        <v>0</v>
      </c>
      <c r="AM298" s="202">
        <f>IF($G298="F",0,IF($M298&gt;'Model Data Inputs'!$B$160,$AH298*('Model Data Inputs'!$B$161-1),0))</f>
        <v>7.236405856423804E-2</v>
      </c>
      <c r="AN298" s="202">
        <f>IF($G298="F",0,IF($P298&lt;'Model Data Inputs'!$B$162,SUM($AH298,$AI298,$AJ298,$AK298,$AL298,$AM298)*('Model Data Inputs'!$B$163-1),0))</f>
        <v>0</v>
      </c>
      <c r="AO298" s="202">
        <f t="shared" si="32"/>
        <v>0.65127652707814188</v>
      </c>
      <c r="AP298" s="204">
        <f>$K298*'Model Data Inputs'!$B$166</f>
        <v>31417.137500000001</v>
      </c>
      <c r="AQ298" s="204">
        <f>($K298*'Model Data Inputs'!$B$145)*'Model Data Inputs'!$B$166</f>
        <v>3141.7137500000003</v>
      </c>
      <c r="AR298" s="50">
        <f t="shared" si="33"/>
        <v>34558.85125</v>
      </c>
    </row>
    <row r="299" spans="1:44" s="226" customFormat="1" x14ac:dyDescent="0.2">
      <c r="A299" s="210" t="str">
        <f>'School Level Inst. Resources'!A299</f>
        <v>1901000</v>
      </c>
      <c r="B299" s="210" t="str">
        <f>'School Level Inst. Resources'!B299</f>
        <v>Sweetwater #1</v>
      </c>
      <c r="C299" s="210" t="str">
        <f>'School Level Inst. Resources'!C299</f>
        <v>1901003</v>
      </c>
      <c r="D299" s="210" t="str">
        <f>'School Level Inst. Resources'!D299</f>
        <v>Farson-Eden Elementary</v>
      </c>
      <c r="E299" s="211" t="str">
        <f>'School Level Inst. Resources'!E299</f>
        <v>K-5</v>
      </c>
      <c r="F299" s="212" t="str">
        <f>'School Level Inst. Resources'!H299</f>
        <v>E</v>
      </c>
      <c r="G299" s="212" t="s">
        <v>1159</v>
      </c>
      <c r="H299" s="213">
        <v>0</v>
      </c>
      <c r="I299" s="213">
        <f>IF('SFD Allowable GSF Calculation'!$D$2=1,'SFD Allowable GSF Calculation'!$P299,'SFD Allowable GSF Calculation'!$X299)</f>
        <v>0</v>
      </c>
      <c r="J299" s="214">
        <f>$I299*'Model Data Inputs'!$B$165</f>
        <v>0</v>
      </c>
      <c r="K299" s="214">
        <f>IF($L299&gt;='Model Data Inputs'!$B$164,$H299,MIN($H299,$J299))</f>
        <v>0</v>
      </c>
      <c r="L299" s="233">
        <v>0</v>
      </c>
      <c r="M299" s="196" t="str">
        <f>IF($L299&gt;0,'Model Data Inputs'!$B$157-$L299,"")</f>
        <v/>
      </c>
      <c r="N299" s="216">
        <v>0</v>
      </c>
      <c r="O299" s="217">
        <v>0</v>
      </c>
      <c r="P299" s="218">
        <f>IF($G299="T",SUMIFS('School Level ADM'!$S$5:$S$359,'School Level ADM'!$A$5:$A$359,$A299),0)</f>
        <v>0</v>
      </c>
      <c r="Q299" s="219">
        <f t="shared" si="34"/>
        <v>0</v>
      </c>
      <c r="R299" s="220">
        <f>SUM((('School Level Inst. Resources'!I299/'Model Data Inputs'!$B$8)*(1+'Model Data Inputs'!$B$9)),(SUM('School Level Inst. Resources'!J299:K299)/'Model Data Inputs'!$C$8)*(1+'Model Data Inputs'!$C$9),'School Level Inst. Resources'!K299/400)</f>
        <v>4.6945555555555556</v>
      </c>
      <c r="S299" s="220">
        <v>0</v>
      </c>
      <c r="T299" s="221">
        <f>IF($G299="T",VLOOKUP($A299,'Total O &amp; M Resources'!$A$5:$K$52,3),0)</f>
        <v>0</v>
      </c>
      <c r="U299" s="222">
        <f>IF($G299="F",0,$S299/'Model Data Inputs'!$B$140)</f>
        <v>0</v>
      </c>
      <c r="V299" s="222">
        <f>IF($G299="F",0,$O299/'Model Data Inputs'!$B$141)</f>
        <v>0</v>
      </c>
      <c r="W299" s="222">
        <f>IF($G299="F",0,$N299/'Model Data Inputs'!$B$142)</f>
        <v>0</v>
      </c>
      <c r="X299" s="222">
        <f>IF($G299="F",0,$K299/'Model Data Inputs'!$B$143)</f>
        <v>0</v>
      </c>
      <c r="Y299" s="222">
        <f t="shared" si="29"/>
        <v>0</v>
      </c>
      <c r="Z299" s="222">
        <f>IF(OR($G299="F",$F299="E"),0,'Model Data Inputs'!$B$144)</f>
        <v>0</v>
      </c>
      <c r="AA299" s="222">
        <f>IF(AND($O299&lt;='Model Data Inputs'!$B$139,$F299="E"),0,IF(AND($O299&lt;='Model Data Inputs'!$B$139,$F299="M"),0,IF(AND($O299&lt;='Model Data Inputs'!$B$139,$F299="H"),0,IF(SUM($Y299:$Z299)&lt;1,1,SUM($Y299:$Z299)))))</f>
        <v>0</v>
      </c>
      <c r="AB299" s="222">
        <f>($K299/'Model Data Inputs'!$B$143)*'Model Data Inputs'!$B$145</f>
        <v>0</v>
      </c>
      <c r="AC299" s="222">
        <f t="shared" si="30"/>
        <v>0</v>
      </c>
      <c r="AD299" s="222">
        <f>IF($G299="F",0,'Model Data Inputs'!$B$147)</f>
        <v>0</v>
      </c>
      <c r="AE299" s="222">
        <f>IF($G299="F",0,($K299/'Model Data Inputs'!$B$148)*'Model Data Inputs'!$B$149)</f>
        <v>0</v>
      </c>
      <c r="AF299" s="222">
        <f>IF($G299="F",0,($O299/'Model Data Inputs'!$B$150)*'Model Data Inputs'!$B$151)</f>
        <v>0</v>
      </c>
      <c r="AG299" s="222">
        <f>IF($G299="F",0,(($Q299*$T299)/'Model Data Inputs'!$B$152)*'Model Data Inputs'!$B$153)</f>
        <v>0</v>
      </c>
      <c r="AH299" s="222">
        <f t="shared" si="31"/>
        <v>0</v>
      </c>
      <c r="AI299" s="223">
        <f>IF(OR($G299="F",$F299="M",$F299="H"),0,($AH299*'Model Data Inputs'!$B$154)-$AH299)</f>
        <v>0</v>
      </c>
      <c r="AJ299" s="222">
        <f>IF(OR($G299="F",$F299="E",$F299="H"),0,($AH299*'Model Data Inputs'!$B$155)-$AH299)</f>
        <v>0</v>
      </c>
      <c r="AK299" s="223">
        <f>IF(OR($G299="F",$F299="E",$F299="M"),0,($AH299*'Model Data Inputs'!$B$156)-$AH299)</f>
        <v>0</v>
      </c>
      <c r="AL299" s="223">
        <f>IF($G299="F",0,IF($M299&lt;'Model Data Inputs'!$B$158,$AH299*('Model Data Inputs'!$B$159-1),0))</f>
        <v>0</v>
      </c>
      <c r="AM299" s="222">
        <f>IF($G299="F",0,IF($M299&gt;'Model Data Inputs'!$B$160,$AH299*('Model Data Inputs'!$B$161-1),0))</f>
        <v>0</v>
      </c>
      <c r="AN299" s="222">
        <f>IF($G299="F",0,IF($P299&lt;'Model Data Inputs'!$B$162,SUM($AH299,$AI299,$AJ299,$AK299,$AL299,$AM299)*('Model Data Inputs'!$B$163-1),0))</f>
        <v>0</v>
      </c>
      <c r="AO299" s="222">
        <f t="shared" si="32"/>
        <v>0</v>
      </c>
      <c r="AP299" s="224">
        <f>$K299*'Model Data Inputs'!$B$166</f>
        <v>0</v>
      </c>
      <c r="AQ299" s="224">
        <f>($K299*'Model Data Inputs'!$B$145)*'Model Data Inputs'!$B$166</f>
        <v>0</v>
      </c>
      <c r="AR299" s="225">
        <f t="shared" si="33"/>
        <v>0</v>
      </c>
    </row>
    <row r="300" spans="1:44" x14ac:dyDescent="0.2">
      <c r="A300" s="227" t="str">
        <f>'School Level Inst. Resources'!A300</f>
        <v>1901000</v>
      </c>
      <c r="B300" s="227" t="str">
        <f>'School Level Inst. Resources'!B300</f>
        <v>Sweetwater #1</v>
      </c>
      <c r="C300" s="227" t="str">
        <f>'School Level Inst. Resources'!C300</f>
        <v>1901004</v>
      </c>
      <c r="D300" s="227" t="str">
        <f>'School Level Inst. Resources'!D300</f>
        <v>Eastside Elementary</v>
      </c>
      <c r="E300" s="228" t="str">
        <f>'School Level Inst. Resources'!E300</f>
        <v>5-6</v>
      </c>
      <c r="F300" s="229" t="str">
        <f>'School Level Inst. Resources'!H300</f>
        <v>E</v>
      </c>
      <c r="G300" s="229" t="s">
        <v>1158</v>
      </c>
      <c r="H300" s="207">
        <v>66353</v>
      </c>
      <c r="I300" s="207">
        <f>IF('SFD Allowable GSF Calculation'!$D$2=1,'SFD Allowable GSF Calculation'!$P300,'SFD Allowable GSF Calculation'!$X300)</f>
        <v>60132</v>
      </c>
      <c r="J300" s="194">
        <f>$I300*'Model Data Inputs'!$B$165</f>
        <v>69151.799999999988</v>
      </c>
      <c r="K300" s="194">
        <f>IF($L300&gt;='Model Data Inputs'!$B$164,$H300,MIN($H300,$J300))</f>
        <v>66353</v>
      </c>
      <c r="L300" s="208">
        <v>2013</v>
      </c>
      <c r="M300" s="196">
        <f>IF($L300&gt;0,'Model Data Inputs'!$B$157-$L300,"")</f>
        <v>4</v>
      </c>
      <c r="N300" s="209">
        <v>41</v>
      </c>
      <c r="O300" s="198">
        <f>'School Level Inst. Resources'!$L300</f>
        <v>441.19766666666663</v>
      </c>
      <c r="P300" s="198">
        <f>IF($G300="T",SUMIFS('School Level ADM'!$S$5:$S$359,'School Level ADM'!$A$5:$A$359,$A300),0)</f>
        <v>5559.7213333333339</v>
      </c>
      <c r="Q300" s="199">
        <f t="shared" si="34"/>
        <v>7.9356075640241913E-2</v>
      </c>
      <c r="R300" s="200">
        <f>SUM((('School Level Inst. Resources'!I300/'Model Data Inputs'!$B$8)*(1+'Model Data Inputs'!$B$9)),(SUM('School Level Inst. Resources'!J300:K300)/'Model Data Inputs'!$C$8)*(1+'Model Data Inputs'!$C$9),'School Level Inst. Resources'!K300/400)</f>
        <v>29.413177777777776</v>
      </c>
      <c r="S300" s="200">
        <f t="shared" si="35"/>
        <v>29.413177777777776</v>
      </c>
      <c r="T300" s="201">
        <f>IF($G300="T",VLOOKUP($A300,'Total O &amp; M Resources'!$A$5:$K$52,3),0)</f>
        <v>38978907.979999989</v>
      </c>
      <c r="U300" s="202">
        <f>IF($G300="F",0,$S300/'Model Data Inputs'!$B$140)</f>
        <v>2.2625521367521366</v>
      </c>
      <c r="V300" s="202">
        <f>IF($G300="F",0,$O300/'Model Data Inputs'!$B$141)</f>
        <v>1.3575312820512819</v>
      </c>
      <c r="W300" s="202">
        <f>IF($G300="F",0,$N300/'Model Data Inputs'!$B$142)</f>
        <v>3.1538461538461537</v>
      </c>
      <c r="X300" s="202">
        <f>IF($G300="F",0,$K300/'Model Data Inputs'!$B$143)</f>
        <v>3.6862777777777778</v>
      </c>
      <c r="Y300" s="202">
        <f t="shared" si="29"/>
        <v>2.6150518376068375</v>
      </c>
      <c r="Z300" s="202">
        <f>IF(OR($G300="F",$F300="E"),0,'Model Data Inputs'!$B$144)</f>
        <v>0</v>
      </c>
      <c r="AA300" s="202">
        <f>IF(AND($O300&lt;='Model Data Inputs'!$B$139,$F300="E"),0,IF(AND($O300&lt;='Model Data Inputs'!$B$139,$F300="M"),0,IF(AND($O300&lt;='Model Data Inputs'!$B$139,$F300="H"),0,IF(SUM($Y300:$Z300)&lt;1,1,SUM($Y300:$Z300)))))</f>
        <v>2.6150518376068375</v>
      </c>
      <c r="AB300" s="202">
        <f>($K300/'Model Data Inputs'!$B$143)*'Model Data Inputs'!$B$145</f>
        <v>0.36862777777777778</v>
      </c>
      <c r="AC300" s="202">
        <f t="shared" si="30"/>
        <v>2.9836796153846152</v>
      </c>
      <c r="AD300" s="202">
        <f>IF($G300="F",0,'Model Data Inputs'!$B$147)</f>
        <v>1.1000000000000001</v>
      </c>
      <c r="AE300" s="202">
        <f>IF($G300="F",0,($K300/'Model Data Inputs'!$B$148)*'Model Data Inputs'!$B$149)</f>
        <v>1.3270599999999999</v>
      </c>
      <c r="AF300" s="202">
        <f>IF($G300="F",0,($O300/'Model Data Inputs'!$B$150)*'Model Data Inputs'!$B$151)</f>
        <v>0.57355696666666667</v>
      </c>
      <c r="AG300" s="202">
        <f>IF($G300="F",0,(($Q300*$T300)/'Model Data Inputs'!$B$152)*'Model Data Inputs'!$B$153)</f>
        <v>0.74237116080837795</v>
      </c>
      <c r="AH300" s="202">
        <f t="shared" si="31"/>
        <v>0.93574703186876118</v>
      </c>
      <c r="AI300" s="203">
        <f>IF(OR($G300="F",$F300="M",$F300="H"),0,($AH300*'Model Data Inputs'!$B$154)-$AH300)</f>
        <v>-0.18714940637375221</v>
      </c>
      <c r="AJ300" s="202">
        <f>IF(OR($G300="F",$F300="E",$F300="H"),0,($AH300*'Model Data Inputs'!$B$155)-$AH300)</f>
        <v>0</v>
      </c>
      <c r="AK300" s="203">
        <f>IF(OR($G300="F",$F300="E",$F300="M"),0,($AH300*'Model Data Inputs'!$B$156)-$AH300)</f>
        <v>0</v>
      </c>
      <c r="AL300" s="203">
        <f>IF($G300="F",0,IF($M300&lt;'Model Data Inputs'!$B$158,$AH300*('Model Data Inputs'!$B$159-1),0))</f>
        <v>-4.6787351593438102E-2</v>
      </c>
      <c r="AM300" s="202">
        <f>IF($G300="F",0,IF($M300&gt;'Model Data Inputs'!$B$160,$AH300*('Model Data Inputs'!$B$161-1),0))</f>
        <v>0</v>
      </c>
      <c r="AN300" s="202">
        <f>IF($G300="F",0,IF($P300&lt;'Model Data Inputs'!$B$162,SUM($AH300,$AI300,$AJ300,$AK300,$AL300,$AM300)*('Model Data Inputs'!$B$163-1),0))</f>
        <v>0</v>
      </c>
      <c r="AO300" s="202">
        <f t="shared" si="32"/>
        <v>0.70181027390157091</v>
      </c>
      <c r="AP300" s="204">
        <f>$K300*'Model Data Inputs'!$B$166</f>
        <v>44456.51</v>
      </c>
      <c r="AQ300" s="204">
        <f>($K300*'Model Data Inputs'!$B$145)*'Model Data Inputs'!$B$166</f>
        <v>4445.6510000000007</v>
      </c>
      <c r="AR300" s="50">
        <f t="shared" si="33"/>
        <v>48902.161</v>
      </c>
    </row>
    <row r="301" spans="1:44" x14ac:dyDescent="0.2">
      <c r="A301" s="227" t="str">
        <f>'School Level Inst. Resources'!A301</f>
        <v>1901000</v>
      </c>
      <c r="B301" s="227" t="str">
        <f>'School Level Inst. Resources'!B301</f>
        <v>Sweetwater #1</v>
      </c>
      <c r="C301" s="227" t="str">
        <f>'School Level Inst. Resources'!C301</f>
        <v>1901006</v>
      </c>
      <c r="D301" s="227" t="str">
        <f>'School Level Inst. Resources'!D301</f>
        <v>Overland Elementary</v>
      </c>
      <c r="E301" s="228" t="str">
        <f>'School Level Inst. Resources'!E301</f>
        <v>K-4</v>
      </c>
      <c r="F301" s="229" t="str">
        <f>'School Level Inst. Resources'!H301</f>
        <v>E</v>
      </c>
      <c r="G301" s="229" t="s">
        <v>1158</v>
      </c>
      <c r="H301" s="207">
        <v>48625</v>
      </c>
      <c r="I301" s="207">
        <f>IF('SFD Allowable GSF Calculation'!$D$2=1,'SFD Allowable GSF Calculation'!$P301,'SFD Allowable GSF Calculation'!$X301)</f>
        <v>40952</v>
      </c>
      <c r="J301" s="194">
        <f>$I301*'Model Data Inputs'!$B$165</f>
        <v>47094.799999999996</v>
      </c>
      <c r="K301" s="194">
        <f>IF($L301&gt;='Model Data Inputs'!$B$164,$H301,MIN($H301,$J301))</f>
        <v>47094.799999999996</v>
      </c>
      <c r="L301" s="208">
        <v>1976</v>
      </c>
      <c r="M301" s="196">
        <f>IF($L301&gt;0,'Model Data Inputs'!$B$157-$L301,"")</f>
        <v>41</v>
      </c>
      <c r="N301" s="209">
        <v>28</v>
      </c>
      <c r="O301" s="198">
        <f>'School Level Inst. Resources'!$L301</f>
        <v>272.54485714285715</v>
      </c>
      <c r="P301" s="198">
        <f>IF($G301="T",SUMIFS('School Level ADM'!$S$5:$S$359,'School Level ADM'!$A$5:$A$359,$A301),0)</f>
        <v>5559.7213333333339</v>
      </c>
      <c r="Q301" s="199">
        <f t="shared" si="34"/>
        <v>4.9021316142018351E-2</v>
      </c>
      <c r="R301" s="200">
        <f>SUM((('School Level Inst. Resources'!I301/'Model Data Inputs'!$B$8)*(1+'Model Data Inputs'!$B$9)),(SUM('School Level Inst. Resources'!J301:K301)/'Model Data Inputs'!$C$8)*(1+'Model Data Inputs'!$C$9),'School Level Inst. Resources'!K301/400)</f>
        <v>18.169657142857144</v>
      </c>
      <c r="S301" s="200">
        <f t="shared" si="35"/>
        <v>18.169657142857144</v>
      </c>
      <c r="T301" s="201">
        <f>IF($G301="T",VLOOKUP($A301,'Total O &amp; M Resources'!$A$5:$K$52,3),0)</f>
        <v>38978907.979999989</v>
      </c>
      <c r="U301" s="202">
        <f>IF($G301="F",0,$S301/'Model Data Inputs'!$B$140)</f>
        <v>1.3976659340659341</v>
      </c>
      <c r="V301" s="202">
        <f>IF($G301="F",0,$O301/'Model Data Inputs'!$B$141)</f>
        <v>0.83859956043956052</v>
      </c>
      <c r="W301" s="202">
        <f>IF($G301="F",0,$N301/'Model Data Inputs'!$B$142)</f>
        <v>2.1538461538461537</v>
      </c>
      <c r="X301" s="202">
        <f>IF($G301="F",0,$K301/'Model Data Inputs'!$B$143)</f>
        <v>2.6163777777777777</v>
      </c>
      <c r="Y301" s="202">
        <f t="shared" si="29"/>
        <v>1.7516223565323568</v>
      </c>
      <c r="Z301" s="202">
        <f>IF(OR($G301="F",$F301="E"),0,'Model Data Inputs'!$B$144)</f>
        <v>0</v>
      </c>
      <c r="AA301" s="202">
        <f>IF(AND($O301&lt;='Model Data Inputs'!$B$139,$F301="E"),0,IF(AND($O301&lt;='Model Data Inputs'!$B$139,$F301="M"),0,IF(AND($O301&lt;='Model Data Inputs'!$B$139,$F301="H"),0,IF(SUM($Y301:$Z301)&lt;1,1,SUM($Y301:$Z301)))))</f>
        <v>1.7516223565323568</v>
      </c>
      <c r="AB301" s="202">
        <f>($K301/'Model Data Inputs'!$B$143)*'Model Data Inputs'!$B$145</f>
        <v>0.2616377777777778</v>
      </c>
      <c r="AC301" s="202">
        <f t="shared" si="30"/>
        <v>2.0132601343101344</v>
      </c>
      <c r="AD301" s="202">
        <f>IF($G301="F",0,'Model Data Inputs'!$B$147)</f>
        <v>1.1000000000000001</v>
      </c>
      <c r="AE301" s="202">
        <f>IF($G301="F",0,($K301/'Model Data Inputs'!$B$148)*'Model Data Inputs'!$B$149)</f>
        <v>0.94189599999999984</v>
      </c>
      <c r="AF301" s="202">
        <f>IF($G301="F",0,($O301/'Model Data Inputs'!$B$150)*'Model Data Inputs'!$B$151)</f>
        <v>0.3543083142857143</v>
      </c>
      <c r="AG301" s="202">
        <f>IF($G301="F",0,(($Q301*$T301)/'Model Data Inputs'!$B$152)*'Model Data Inputs'!$B$153)</f>
        <v>0.45859136902997311</v>
      </c>
      <c r="AH301" s="202">
        <f t="shared" si="31"/>
        <v>0.71369892082892183</v>
      </c>
      <c r="AI301" s="203">
        <f>IF(OR($G301="F",$F301="M",$F301="H"),0,($AH301*'Model Data Inputs'!$B$154)-$AH301)</f>
        <v>-0.14273978416578437</v>
      </c>
      <c r="AJ301" s="202">
        <f>IF(OR($G301="F",$F301="E",$F301="H"),0,($AH301*'Model Data Inputs'!$B$155)-$AH301)</f>
        <v>0</v>
      </c>
      <c r="AK301" s="203">
        <f>IF(OR($G301="F",$F301="E",$F301="M"),0,($AH301*'Model Data Inputs'!$B$156)-$AH301)</f>
        <v>0</v>
      </c>
      <c r="AL301" s="203">
        <f>IF($G301="F",0,IF($M301&lt;'Model Data Inputs'!$B$158,$AH301*('Model Data Inputs'!$B$159-1),0))</f>
        <v>0</v>
      </c>
      <c r="AM301" s="202">
        <f>IF($G301="F",0,IF($M301&gt;'Model Data Inputs'!$B$160,$AH301*('Model Data Inputs'!$B$161-1),0))</f>
        <v>7.1369892082892253E-2</v>
      </c>
      <c r="AN301" s="202">
        <f>IF($G301="F",0,IF($P301&lt;'Model Data Inputs'!$B$162,SUM($AH301,$AI301,$AJ301,$AK301,$AL301,$AM301)*('Model Data Inputs'!$B$163-1),0))</f>
        <v>0</v>
      </c>
      <c r="AO301" s="202">
        <f t="shared" si="32"/>
        <v>0.64232902874602971</v>
      </c>
      <c r="AP301" s="204">
        <f>$K301*'Model Data Inputs'!$B$166</f>
        <v>31553.516</v>
      </c>
      <c r="AQ301" s="204">
        <f>($K301*'Model Data Inputs'!$B$145)*'Model Data Inputs'!$B$166</f>
        <v>3155.3516</v>
      </c>
      <c r="AR301" s="50">
        <f t="shared" si="33"/>
        <v>34708.867599999998</v>
      </c>
    </row>
    <row r="302" spans="1:44" x14ac:dyDescent="0.2">
      <c r="A302" s="227" t="str">
        <f>'School Level Inst. Resources'!A302</f>
        <v>1901000</v>
      </c>
      <c r="B302" s="227" t="str">
        <f>'School Level Inst. Resources'!B302</f>
        <v>Sweetwater #1</v>
      </c>
      <c r="C302" s="227" t="str">
        <f>'School Level Inst. Resources'!C302</f>
        <v>1901010</v>
      </c>
      <c r="D302" s="227" t="str">
        <f>'School Level Inst. Resources'!D302</f>
        <v>Walnut Elementary</v>
      </c>
      <c r="E302" s="228" t="str">
        <f>'School Level Inst. Resources'!E302</f>
        <v>K-4</v>
      </c>
      <c r="F302" s="229" t="str">
        <f>'School Level Inst. Resources'!H302</f>
        <v>E</v>
      </c>
      <c r="G302" s="229" t="s">
        <v>1158</v>
      </c>
      <c r="H302" s="207">
        <v>36856</v>
      </c>
      <c r="I302" s="207">
        <f>IF('SFD Allowable GSF Calculation'!$D$2=1,'SFD Allowable GSF Calculation'!$P302,'SFD Allowable GSF Calculation'!$X302)</f>
        <v>37870</v>
      </c>
      <c r="J302" s="194">
        <f>$I302*'Model Data Inputs'!$B$165</f>
        <v>43550.5</v>
      </c>
      <c r="K302" s="194">
        <f>IF($L302&gt;='Model Data Inputs'!$B$164,$H302,MIN($H302,$J302))</f>
        <v>36856</v>
      </c>
      <c r="L302" s="208">
        <v>1975</v>
      </c>
      <c r="M302" s="196">
        <f>IF($L302&gt;0,'Model Data Inputs'!$B$157-$L302,"")</f>
        <v>42</v>
      </c>
      <c r="N302" s="209">
        <v>23</v>
      </c>
      <c r="O302" s="198">
        <f>'School Level Inst. Resources'!$L302</f>
        <v>263.62819047619053</v>
      </c>
      <c r="P302" s="198">
        <f>IF($G302="T",SUMIFS('School Level ADM'!$S$5:$S$359,'School Level ADM'!$A$5:$A$359,$A302),0)</f>
        <v>5559.7213333333339</v>
      </c>
      <c r="Q302" s="199">
        <f t="shared" si="34"/>
        <v>4.7417518733467189E-2</v>
      </c>
      <c r="R302" s="200">
        <f>SUM((('School Level Inst. Resources'!I302/'Model Data Inputs'!$B$8)*(1+'Model Data Inputs'!$B$9)),(SUM('School Level Inst. Resources'!J302:K302)/'Model Data Inputs'!$C$8)*(1+'Model Data Inputs'!$C$9),'School Level Inst. Resources'!K302/400)</f>
        <v>17.575212698412699</v>
      </c>
      <c r="S302" s="200">
        <f t="shared" si="35"/>
        <v>17.575212698412699</v>
      </c>
      <c r="T302" s="201">
        <f>IF($G302="T",VLOOKUP($A302,'Total O &amp; M Resources'!$A$5:$K$52,3),0)</f>
        <v>38978907.979999989</v>
      </c>
      <c r="U302" s="202">
        <f>IF($G302="F",0,$S302/'Model Data Inputs'!$B$140)</f>
        <v>1.3519394383394383</v>
      </c>
      <c r="V302" s="202">
        <f>IF($G302="F",0,$O302/'Model Data Inputs'!$B$141)</f>
        <v>0.81116366300366316</v>
      </c>
      <c r="W302" s="202">
        <f>IF($G302="F",0,$N302/'Model Data Inputs'!$B$142)</f>
        <v>1.7692307692307692</v>
      </c>
      <c r="X302" s="202">
        <f>IF($G302="F",0,$K302/'Model Data Inputs'!$B$143)</f>
        <v>2.0475555555555554</v>
      </c>
      <c r="Y302" s="202">
        <f t="shared" si="29"/>
        <v>1.4949723565323565</v>
      </c>
      <c r="Z302" s="202">
        <f>IF(OR($G302="F",$F302="E"),0,'Model Data Inputs'!$B$144)</f>
        <v>0</v>
      </c>
      <c r="AA302" s="202">
        <f>IF(AND($O302&lt;='Model Data Inputs'!$B$139,$F302="E"),0,IF(AND($O302&lt;='Model Data Inputs'!$B$139,$F302="M"),0,IF(AND($O302&lt;='Model Data Inputs'!$B$139,$F302="H"),0,IF(SUM($Y302:$Z302)&lt;1,1,SUM($Y302:$Z302)))))</f>
        <v>1.4949723565323565</v>
      </c>
      <c r="AB302" s="202">
        <f>($K302/'Model Data Inputs'!$B$143)*'Model Data Inputs'!$B$145</f>
        <v>0.20475555555555555</v>
      </c>
      <c r="AC302" s="202">
        <f t="shared" si="30"/>
        <v>1.6997279120879121</v>
      </c>
      <c r="AD302" s="202">
        <f>IF($G302="F",0,'Model Data Inputs'!$B$147)</f>
        <v>1.1000000000000001</v>
      </c>
      <c r="AE302" s="202">
        <f>IF($G302="F",0,($K302/'Model Data Inputs'!$B$148)*'Model Data Inputs'!$B$149)</f>
        <v>0.73711999999999989</v>
      </c>
      <c r="AF302" s="202">
        <f>IF($G302="F",0,($O302/'Model Data Inputs'!$B$150)*'Model Data Inputs'!$B$151)</f>
        <v>0.34271664761904769</v>
      </c>
      <c r="AG302" s="202">
        <f>IF($G302="F",0,(($Q302*$T302)/'Model Data Inputs'!$B$152)*'Model Data Inputs'!$B$153)</f>
        <v>0.44358794384441835</v>
      </c>
      <c r="AH302" s="202">
        <f t="shared" si="31"/>
        <v>0.65585614786586643</v>
      </c>
      <c r="AI302" s="203">
        <f>IF(OR($G302="F",$F302="M",$F302="H"),0,($AH302*'Model Data Inputs'!$B$154)-$AH302)</f>
        <v>-0.13117122957317329</v>
      </c>
      <c r="AJ302" s="202">
        <f>IF(OR($G302="F",$F302="E",$F302="H"),0,($AH302*'Model Data Inputs'!$B$155)-$AH302)</f>
        <v>0</v>
      </c>
      <c r="AK302" s="203">
        <f>IF(OR($G302="F",$F302="E",$F302="M"),0,($AH302*'Model Data Inputs'!$B$156)-$AH302)</f>
        <v>0</v>
      </c>
      <c r="AL302" s="203">
        <f>IF($G302="F",0,IF($M302&lt;'Model Data Inputs'!$B$158,$AH302*('Model Data Inputs'!$B$159-1),0))</f>
        <v>0</v>
      </c>
      <c r="AM302" s="202">
        <f>IF($G302="F",0,IF($M302&gt;'Model Data Inputs'!$B$160,$AH302*('Model Data Inputs'!$B$161-1),0))</f>
        <v>6.5585614786586699E-2</v>
      </c>
      <c r="AN302" s="202">
        <f>IF($G302="F",0,IF($P302&lt;'Model Data Inputs'!$B$162,SUM($AH302,$AI302,$AJ302,$AK302,$AL302,$AM302)*('Model Data Inputs'!$B$163-1),0))</f>
        <v>0</v>
      </c>
      <c r="AO302" s="202">
        <f t="shared" si="32"/>
        <v>0.5902705330792799</v>
      </c>
      <c r="AP302" s="204">
        <f>$K302*'Model Data Inputs'!$B$166</f>
        <v>24693.52</v>
      </c>
      <c r="AQ302" s="204">
        <f>($K302*'Model Data Inputs'!$B$145)*'Model Data Inputs'!$B$166</f>
        <v>2469.3520000000003</v>
      </c>
      <c r="AR302" s="50">
        <f t="shared" si="33"/>
        <v>27162.871999999999</v>
      </c>
    </row>
    <row r="303" spans="1:44" x14ac:dyDescent="0.2">
      <c r="A303" s="227" t="str">
        <f>'School Level Inst. Resources'!A303</f>
        <v>1901000</v>
      </c>
      <c r="B303" s="227" t="str">
        <f>'School Level Inst. Resources'!B303</f>
        <v>Sweetwater #1</v>
      </c>
      <c r="C303" s="227" t="str">
        <f>'School Level Inst. Resources'!C303</f>
        <v>1901013</v>
      </c>
      <c r="D303" s="227" t="str">
        <f>'School Level Inst. Resources'!D303</f>
        <v>Northpark Elementary</v>
      </c>
      <c r="E303" s="228" t="str">
        <f>'School Level Inst. Resources'!E303</f>
        <v>K-4</v>
      </c>
      <c r="F303" s="229" t="str">
        <f>'School Level Inst. Resources'!H303</f>
        <v>E</v>
      </c>
      <c r="G303" s="229" t="s">
        <v>1158</v>
      </c>
      <c r="H303" s="207">
        <v>50417</v>
      </c>
      <c r="I303" s="207">
        <f>IF('SFD Allowable GSF Calculation'!$D$2=1,'SFD Allowable GSF Calculation'!$P303,'SFD Allowable GSF Calculation'!$X303)</f>
        <v>47138</v>
      </c>
      <c r="J303" s="194">
        <f>$I303*'Model Data Inputs'!$B$165</f>
        <v>54208.7</v>
      </c>
      <c r="K303" s="194">
        <f>IF($L303&gt;='Model Data Inputs'!$B$164,$H303,MIN($H303,$J303))</f>
        <v>50417</v>
      </c>
      <c r="L303" s="208">
        <v>1982</v>
      </c>
      <c r="M303" s="196">
        <f>IF($L303&gt;0,'Model Data Inputs'!$B$157-$L303,"")</f>
        <v>35</v>
      </c>
      <c r="N303" s="209">
        <v>29</v>
      </c>
      <c r="O303" s="198">
        <f>'School Level Inst. Resources'!$L303</f>
        <v>320.75952380952378</v>
      </c>
      <c r="P303" s="198">
        <f>IF($G303="T",SUMIFS('School Level ADM'!$S$5:$S$359,'School Level ADM'!$A$5:$A$359,$A303),0)</f>
        <v>5559.7213333333339</v>
      </c>
      <c r="Q303" s="199">
        <f t="shared" si="34"/>
        <v>5.7693453426596875E-2</v>
      </c>
      <c r="R303" s="200">
        <f>SUM((('School Level Inst. Resources'!I303/'Model Data Inputs'!$B$8)*(1+'Model Data Inputs'!$B$9)),(SUM('School Level Inst. Resources'!J303:K303)/'Model Data Inputs'!$C$8)*(1+'Model Data Inputs'!$C$9),'School Level Inst. Resources'!K303/400)</f>
        <v>21.383968253968252</v>
      </c>
      <c r="S303" s="200">
        <f t="shared" si="35"/>
        <v>21.383968253968252</v>
      </c>
      <c r="T303" s="201">
        <f>IF($G303="T",VLOOKUP($A303,'Total O &amp; M Resources'!$A$5:$K$52,3),0)</f>
        <v>38978907.979999989</v>
      </c>
      <c r="U303" s="202">
        <f>IF($G303="F",0,$S303/'Model Data Inputs'!$B$140)</f>
        <v>1.6449206349206347</v>
      </c>
      <c r="V303" s="202">
        <f>IF($G303="F",0,$O303/'Model Data Inputs'!$B$141)</f>
        <v>0.98695238095238091</v>
      </c>
      <c r="W303" s="202">
        <f>IF($G303="F",0,$N303/'Model Data Inputs'!$B$142)</f>
        <v>2.2307692307692308</v>
      </c>
      <c r="X303" s="202">
        <f>IF($G303="F",0,$K303/'Model Data Inputs'!$B$143)</f>
        <v>2.8009444444444442</v>
      </c>
      <c r="Y303" s="202">
        <f t="shared" si="29"/>
        <v>1.9158966727716726</v>
      </c>
      <c r="Z303" s="202">
        <f>IF(OR($G303="F",$F303="E"),0,'Model Data Inputs'!$B$144)</f>
        <v>0</v>
      </c>
      <c r="AA303" s="202">
        <f>IF(AND($O303&lt;='Model Data Inputs'!$B$139,$F303="E"),0,IF(AND($O303&lt;='Model Data Inputs'!$B$139,$F303="M"),0,IF(AND($O303&lt;='Model Data Inputs'!$B$139,$F303="H"),0,IF(SUM($Y303:$Z303)&lt;1,1,SUM($Y303:$Z303)))))</f>
        <v>1.9158966727716726</v>
      </c>
      <c r="AB303" s="202">
        <f>($K303/'Model Data Inputs'!$B$143)*'Model Data Inputs'!$B$145</f>
        <v>0.28009444444444442</v>
      </c>
      <c r="AC303" s="202">
        <f t="shared" si="30"/>
        <v>2.1959911172161171</v>
      </c>
      <c r="AD303" s="202">
        <f>IF($G303="F",0,'Model Data Inputs'!$B$147)</f>
        <v>1.1000000000000001</v>
      </c>
      <c r="AE303" s="202">
        <f>IF($G303="F",0,($K303/'Model Data Inputs'!$B$148)*'Model Data Inputs'!$B$149)</f>
        <v>1.00834</v>
      </c>
      <c r="AF303" s="202">
        <f>IF($G303="F",0,($O303/'Model Data Inputs'!$B$150)*'Model Data Inputs'!$B$151)</f>
        <v>0.41698738095238091</v>
      </c>
      <c r="AG303" s="202">
        <f>IF($G303="F",0,(($Q303*$T303)/'Model Data Inputs'!$B$152)*'Model Data Inputs'!$B$153)</f>
        <v>0.53971867491929637</v>
      </c>
      <c r="AH303" s="202">
        <f t="shared" si="31"/>
        <v>0.76626151396791942</v>
      </c>
      <c r="AI303" s="203">
        <f>IF(OR($G303="F",$F303="M",$F303="H"),0,($AH303*'Model Data Inputs'!$B$154)-$AH303)</f>
        <v>-0.15325230279358382</v>
      </c>
      <c r="AJ303" s="202">
        <f>IF(OR($G303="F",$F303="E",$F303="H"),0,($AH303*'Model Data Inputs'!$B$155)-$AH303)</f>
        <v>0</v>
      </c>
      <c r="AK303" s="203">
        <f>IF(OR($G303="F",$F303="E",$F303="M"),0,($AH303*'Model Data Inputs'!$B$156)-$AH303)</f>
        <v>0</v>
      </c>
      <c r="AL303" s="203">
        <f>IF($G303="F",0,IF($M303&lt;'Model Data Inputs'!$B$158,$AH303*('Model Data Inputs'!$B$159-1),0))</f>
        <v>0</v>
      </c>
      <c r="AM303" s="202">
        <f>IF($G303="F",0,IF($M303&gt;'Model Data Inputs'!$B$160,$AH303*('Model Data Inputs'!$B$161-1),0))</f>
        <v>7.6626151396792005E-2</v>
      </c>
      <c r="AN303" s="202">
        <f>IF($G303="F",0,IF($P303&lt;'Model Data Inputs'!$B$162,SUM($AH303,$AI303,$AJ303,$AK303,$AL303,$AM303)*('Model Data Inputs'!$B$163-1),0))</f>
        <v>0</v>
      </c>
      <c r="AO303" s="202">
        <f t="shared" si="32"/>
        <v>0.68963536257112756</v>
      </c>
      <c r="AP303" s="204">
        <f>$K303*'Model Data Inputs'!$B$166</f>
        <v>33779.39</v>
      </c>
      <c r="AQ303" s="204">
        <f>($K303*'Model Data Inputs'!$B$145)*'Model Data Inputs'!$B$166</f>
        <v>3377.9390000000008</v>
      </c>
      <c r="AR303" s="50">
        <f t="shared" si="33"/>
        <v>37157.328999999998</v>
      </c>
    </row>
    <row r="304" spans="1:44" x14ac:dyDescent="0.2">
      <c r="A304" s="227" t="str">
        <f>'School Level Inst. Resources'!A304</f>
        <v>1901000</v>
      </c>
      <c r="B304" s="227" t="str">
        <f>'School Level Inst. Resources'!B304</f>
        <v>Sweetwater #1</v>
      </c>
      <c r="C304" s="227" t="str">
        <f>'School Level Inst. Resources'!C304</f>
        <v>1901014</v>
      </c>
      <c r="D304" s="227" t="str">
        <f>'School Level Inst. Resources'!D304</f>
        <v>Westridge Elementary</v>
      </c>
      <c r="E304" s="228" t="str">
        <f>'School Level Inst. Resources'!E304</f>
        <v>K-4</v>
      </c>
      <c r="F304" s="229" t="str">
        <f>'School Level Inst. Resources'!H304</f>
        <v>E</v>
      </c>
      <c r="G304" s="229" t="s">
        <v>1158</v>
      </c>
      <c r="H304" s="207">
        <v>50301</v>
      </c>
      <c r="I304" s="207">
        <f>IF('SFD Allowable GSF Calculation'!$D$2=1,'SFD Allowable GSF Calculation'!$P304,'SFD Allowable GSF Calculation'!$X304)</f>
        <v>51275</v>
      </c>
      <c r="J304" s="194">
        <f>$I304*'Model Data Inputs'!$B$165</f>
        <v>58966.249999999993</v>
      </c>
      <c r="K304" s="194">
        <f>IF($L304&gt;='Model Data Inputs'!$B$164,$H304,MIN($H304,$J304))</f>
        <v>50301</v>
      </c>
      <c r="L304" s="208">
        <v>1982</v>
      </c>
      <c r="M304" s="196">
        <f>IF($L304&gt;0,'Model Data Inputs'!$B$157-$L304,"")</f>
        <v>35</v>
      </c>
      <c r="N304" s="209">
        <v>31</v>
      </c>
      <c r="O304" s="198">
        <f>'School Level Inst. Resources'!$L304</f>
        <v>359.07985714285712</v>
      </c>
      <c r="P304" s="198">
        <f>IF($G304="T",SUMIFS('School Level ADM'!$S$5:$S$359,'School Level ADM'!$A$5:$A$359,$A304),0)</f>
        <v>5559.7213333333339</v>
      </c>
      <c r="Q304" s="199">
        <f t="shared" si="34"/>
        <v>6.4585945160595057E-2</v>
      </c>
      <c r="R304" s="200">
        <f>SUM((('School Level Inst. Resources'!I304/'Model Data Inputs'!$B$8)*(1+'Model Data Inputs'!$B$9)),(SUM('School Level Inst. Resources'!J304:K304)/'Model Data Inputs'!$C$8)*(1+'Model Data Inputs'!$C$9),'School Level Inst. Resources'!K304/400)</f>
        <v>23.938657142857139</v>
      </c>
      <c r="S304" s="200">
        <f t="shared" si="35"/>
        <v>23.938657142857139</v>
      </c>
      <c r="T304" s="201">
        <f>IF($G304="T",VLOOKUP($A304,'Total O &amp; M Resources'!$A$5:$K$52,3),0)</f>
        <v>38978907.979999989</v>
      </c>
      <c r="U304" s="202">
        <f>IF($G304="F",0,$S304/'Model Data Inputs'!$B$140)</f>
        <v>1.8414351648351646</v>
      </c>
      <c r="V304" s="202">
        <f>IF($G304="F",0,$O304/'Model Data Inputs'!$B$141)</f>
        <v>1.1048610989010987</v>
      </c>
      <c r="W304" s="202">
        <f>IF($G304="F",0,$N304/'Model Data Inputs'!$B$142)</f>
        <v>2.3846153846153846</v>
      </c>
      <c r="X304" s="202">
        <f>IF($G304="F",0,$K304/'Model Data Inputs'!$B$143)</f>
        <v>2.7945000000000002</v>
      </c>
      <c r="Y304" s="202">
        <f t="shared" si="29"/>
        <v>2.0313529120879119</v>
      </c>
      <c r="Z304" s="202">
        <f>IF(OR($G304="F",$F304="E"),0,'Model Data Inputs'!$B$144)</f>
        <v>0</v>
      </c>
      <c r="AA304" s="202">
        <f>IF(AND($O304&lt;='Model Data Inputs'!$B$139,$F304="E"),0,IF(AND($O304&lt;='Model Data Inputs'!$B$139,$F304="M"),0,IF(AND($O304&lt;='Model Data Inputs'!$B$139,$F304="H"),0,IF(SUM($Y304:$Z304)&lt;1,1,SUM($Y304:$Z304)))))</f>
        <v>2.0313529120879119</v>
      </c>
      <c r="AB304" s="202">
        <f>($K304/'Model Data Inputs'!$B$143)*'Model Data Inputs'!$B$145</f>
        <v>0.27945000000000003</v>
      </c>
      <c r="AC304" s="202">
        <f t="shared" si="30"/>
        <v>2.3108029120879121</v>
      </c>
      <c r="AD304" s="202">
        <f>IF($G304="F",0,'Model Data Inputs'!$B$147)</f>
        <v>1.1000000000000001</v>
      </c>
      <c r="AE304" s="202">
        <f>IF($G304="F",0,($K304/'Model Data Inputs'!$B$148)*'Model Data Inputs'!$B$149)</f>
        <v>1.0060199999999999</v>
      </c>
      <c r="AF304" s="202">
        <f>IF($G304="F",0,($O304/'Model Data Inputs'!$B$150)*'Model Data Inputs'!$B$151)</f>
        <v>0.46680381428571427</v>
      </c>
      <c r="AG304" s="202">
        <f>IF($G304="F",0,(($Q304*$T304)/'Model Data Inputs'!$B$152)*'Model Data Inputs'!$B$153)</f>
        <v>0.60419750717187848</v>
      </c>
      <c r="AH304" s="202">
        <f t="shared" si="31"/>
        <v>0.7942553303643981</v>
      </c>
      <c r="AI304" s="203">
        <f>IF(OR($G304="F",$F304="M",$F304="H"),0,($AH304*'Model Data Inputs'!$B$154)-$AH304)</f>
        <v>-0.15885106607287958</v>
      </c>
      <c r="AJ304" s="202">
        <f>IF(OR($G304="F",$F304="E",$F304="H"),0,($AH304*'Model Data Inputs'!$B$155)-$AH304)</f>
        <v>0</v>
      </c>
      <c r="AK304" s="203">
        <f>IF(OR($G304="F",$F304="E",$F304="M"),0,($AH304*'Model Data Inputs'!$B$156)-$AH304)</f>
        <v>0</v>
      </c>
      <c r="AL304" s="203">
        <f>IF($G304="F",0,IF($M304&lt;'Model Data Inputs'!$B$158,$AH304*('Model Data Inputs'!$B$159-1),0))</f>
        <v>0</v>
      </c>
      <c r="AM304" s="202">
        <f>IF($G304="F",0,IF($M304&gt;'Model Data Inputs'!$B$160,$AH304*('Model Data Inputs'!$B$161-1),0))</f>
        <v>7.9425533036439885E-2</v>
      </c>
      <c r="AN304" s="202">
        <f>IF($G304="F",0,IF($P304&lt;'Model Data Inputs'!$B$162,SUM($AH304,$AI304,$AJ304,$AK304,$AL304,$AM304)*('Model Data Inputs'!$B$163-1),0))</f>
        <v>0</v>
      </c>
      <c r="AO304" s="202">
        <f t="shared" si="32"/>
        <v>0.71482979732795837</v>
      </c>
      <c r="AP304" s="204">
        <f>$K304*'Model Data Inputs'!$B$166</f>
        <v>33701.670000000006</v>
      </c>
      <c r="AQ304" s="204">
        <f>($K304*'Model Data Inputs'!$B$145)*'Model Data Inputs'!$B$166</f>
        <v>3370.1670000000004</v>
      </c>
      <c r="AR304" s="50">
        <f t="shared" si="33"/>
        <v>37071.837000000007</v>
      </c>
    </row>
    <row r="305" spans="1:44" x14ac:dyDescent="0.2">
      <c r="A305" s="227" t="str">
        <f>'School Level Inst. Resources'!A305</f>
        <v>1901000</v>
      </c>
      <c r="B305" s="227" t="str">
        <f>'School Level Inst. Resources'!B305</f>
        <v>Sweetwater #1</v>
      </c>
      <c r="C305" s="227" t="str">
        <f>'School Level Inst. Resources'!C305</f>
        <v>1901015</v>
      </c>
      <c r="D305" s="227" t="str">
        <f>'School Level Inst. Resources'!D305</f>
        <v>Pilot Butte Elementary</v>
      </c>
      <c r="E305" s="228" t="str">
        <f>'School Level Inst. Resources'!E305</f>
        <v>5-6</v>
      </c>
      <c r="F305" s="229" t="str">
        <f>'School Level Inst. Resources'!H305</f>
        <v>E</v>
      </c>
      <c r="G305" s="229" t="s">
        <v>1158</v>
      </c>
      <c r="H305" s="207">
        <v>70251</v>
      </c>
      <c r="I305" s="207">
        <f>IF('SFD Allowable GSF Calculation'!$D$2=1,'SFD Allowable GSF Calculation'!$P305,'SFD Allowable GSF Calculation'!$X305)</f>
        <v>59429</v>
      </c>
      <c r="J305" s="194">
        <f>$I305*'Model Data Inputs'!$B$165</f>
        <v>68343.349999999991</v>
      </c>
      <c r="K305" s="194">
        <f>IF($L305&gt;='Model Data Inputs'!$B$164,$H305,MIN($H305,$J305))</f>
        <v>70251</v>
      </c>
      <c r="L305" s="208">
        <v>2011</v>
      </c>
      <c r="M305" s="196">
        <f>IF($L305&gt;0,'Model Data Inputs'!$B$157-$L305,"")</f>
        <v>6</v>
      </c>
      <c r="N305" s="209">
        <v>39</v>
      </c>
      <c r="O305" s="198">
        <f>'School Level Inst. Resources'!$L305</f>
        <v>438.18766666666664</v>
      </c>
      <c r="P305" s="198">
        <f>IF($G305="T",SUMIFS('School Level ADM'!$S$5:$S$359,'School Level ADM'!$A$5:$A$359,$A305),0)</f>
        <v>5559.7213333333339</v>
      </c>
      <c r="Q305" s="199">
        <f t="shared" si="34"/>
        <v>7.8814681599149686E-2</v>
      </c>
      <c r="R305" s="200">
        <f>SUM((('School Level Inst. Resources'!I305/'Model Data Inputs'!$B$8)*(1+'Model Data Inputs'!$B$9)),(SUM('School Level Inst. Resources'!J305:K305)/'Model Data Inputs'!$C$8)*(1+'Model Data Inputs'!$C$9),'School Level Inst. Resources'!K305/400)</f>
        <v>29.212511111111109</v>
      </c>
      <c r="S305" s="200">
        <f t="shared" si="35"/>
        <v>29.212511111111109</v>
      </c>
      <c r="T305" s="201">
        <f>IF($G305="T",VLOOKUP($A305,'Total O &amp; M Resources'!$A$5:$K$52,3),0)</f>
        <v>38978907.979999989</v>
      </c>
      <c r="U305" s="202">
        <f>IF($G305="F",0,$S305/'Model Data Inputs'!$B$140)</f>
        <v>2.2471162393162389</v>
      </c>
      <c r="V305" s="202">
        <f>IF($G305="F",0,$O305/'Model Data Inputs'!$B$141)</f>
        <v>1.3482697435897435</v>
      </c>
      <c r="W305" s="202">
        <f>IF($G305="F",0,$N305/'Model Data Inputs'!$B$142)</f>
        <v>3</v>
      </c>
      <c r="X305" s="202">
        <f>IF($G305="F",0,$K305/'Model Data Inputs'!$B$143)</f>
        <v>3.9028333333333332</v>
      </c>
      <c r="Y305" s="202">
        <f t="shared" si="29"/>
        <v>2.6245548290598291</v>
      </c>
      <c r="Z305" s="202">
        <f>IF(OR($G305="F",$F305="E"),0,'Model Data Inputs'!$B$144)</f>
        <v>0</v>
      </c>
      <c r="AA305" s="202">
        <f>IF(AND($O305&lt;='Model Data Inputs'!$B$139,$F305="E"),0,IF(AND($O305&lt;='Model Data Inputs'!$B$139,$F305="M"),0,IF(AND($O305&lt;='Model Data Inputs'!$B$139,$F305="H"),0,IF(SUM($Y305:$Z305)&lt;1,1,SUM($Y305:$Z305)))))</f>
        <v>2.6245548290598291</v>
      </c>
      <c r="AB305" s="202">
        <f>($K305/'Model Data Inputs'!$B$143)*'Model Data Inputs'!$B$145</f>
        <v>0.39028333333333332</v>
      </c>
      <c r="AC305" s="202">
        <f t="shared" si="30"/>
        <v>3.0148381623931622</v>
      </c>
      <c r="AD305" s="202">
        <f>IF($G305="F",0,'Model Data Inputs'!$B$147)</f>
        <v>1.1000000000000001</v>
      </c>
      <c r="AE305" s="202">
        <f>IF($G305="F",0,($K305/'Model Data Inputs'!$B$148)*'Model Data Inputs'!$B$149)</f>
        <v>1.4050199999999999</v>
      </c>
      <c r="AF305" s="202">
        <f>IF($G305="F",0,($O305/'Model Data Inputs'!$B$150)*'Model Data Inputs'!$B$151)</f>
        <v>0.56964396666666661</v>
      </c>
      <c r="AG305" s="202">
        <f>IF($G305="F",0,(($Q305*$T305)/'Model Data Inputs'!$B$152)*'Model Data Inputs'!$B$153)</f>
        <v>0.73730645316630095</v>
      </c>
      <c r="AH305" s="202">
        <f t="shared" si="31"/>
        <v>0.95299260495824201</v>
      </c>
      <c r="AI305" s="203">
        <f>IF(OR($G305="F",$F305="M",$F305="H"),0,($AH305*'Model Data Inputs'!$B$154)-$AH305)</f>
        <v>-0.19059852099164831</v>
      </c>
      <c r="AJ305" s="202">
        <f>IF(OR($G305="F",$F305="E",$F305="H"),0,($AH305*'Model Data Inputs'!$B$155)-$AH305)</f>
        <v>0</v>
      </c>
      <c r="AK305" s="203">
        <f>IF(OR($G305="F",$F305="E",$F305="M"),0,($AH305*'Model Data Inputs'!$B$156)-$AH305)</f>
        <v>0</v>
      </c>
      <c r="AL305" s="203">
        <f>IF($G305="F",0,IF($M305&lt;'Model Data Inputs'!$B$158,$AH305*('Model Data Inputs'!$B$159-1),0))</f>
        <v>-4.7649630247912141E-2</v>
      </c>
      <c r="AM305" s="202">
        <f>IF($G305="F",0,IF($M305&gt;'Model Data Inputs'!$B$160,$AH305*('Model Data Inputs'!$B$161-1),0))</f>
        <v>0</v>
      </c>
      <c r="AN305" s="202">
        <f>IF($G305="F",0,IF($P305&lt;'Model Data Inputs'!$B$162,SUM($AH305,$AI305,$AJ305,$AK305,$AL305,$AM305)*('Model Data Inputs'!$B$163-1),0))</f>
        <v>0</v>
      </c>
      <c r="AO305" s="202">
        <f t="shared" si="32"/>
        <v>0.71474445371868156</v>
      </c>
      <c r="AP305" s="204">
        <f>$K305*'Model Data Inputs'!$B$166</f>
        <v>47068.170000000006</v>
      </c>
      <c r="AQ305" s="204">
        <f>($K305*'Model Data Inputs'!$B$145)*'Model Data Inputs'!$B$166</f>
        <v>4706.8170000000009</v>
      </c>
      <c r="AR305" s="50">
        <f t="shared" si="33"/>
        <v>51774.987000000008</v>
      </c>
    </row>
    <row r="306" spans="1:44" x14ac:dyDescent="0.2">
      <c r="A306" s="227" t="str">
        <f>'School Level Inst. Resources'!A306</f>
        <v>1901000</v>
      </c>
      <c r="B306" s="227" t="str">
        <f>'School Level Inst. Resources'!B306</f>
        <v>Sweetwater #1</v>
      </c>
      <c r="C306" s="227" t="str">
        <f>'School Level Inst. Resources'!C306</f>
        <v>1901016</v>
      </c>
      <c r="D306" s="227" t="str">
        <f>'School Level Inst. Resources'!D306</f>
        <v>Sage Elementary</v>
      </c>
      <c r="E306" s="228" t="str">
        <f>'School Level Inst. Resources'!E306</f>
        <v>K-4</v>
      </c>
      <c r="F306" s="229" t="str">
        <f>'School Level Inst. Resources'!H306</f>
        <v>E</v>
      </c>
      <c r="G306" s="229" t="s">
        <v>1158</v>
      </c>
      <c r="H306" s="207">
        <v>68699</v>
      </c>
      <c r="I306" s="207">
        <f>IF('SFD Allowable GSF Calculation'!$D$2=1,'SFD Allowable GSF Calculation'!$P306,'SFD Allowable GSF Calculation'!$X306)</f>
        <v>50238</v>
      </c>
      <c r="J306" s="194">
        <f>$I306*'Model Data Inputs'!$B$165</f>
        <v>57773.7</v>
      </c>
      <c r="K306" s="194">
        <f>IF($L306&gt;='Model Data Inputs'!$B$164,$H306,MIN($H306,$J306))</f>
        <v>68699</v>
      </c>
      <c r="L306" s="208">
        <v>2009</v>
      </c>
      <c r="M306" s="196">
        <f>IF($L306&gt;0,'Model Data Inputs'!$B$157-$L306,"")</f>
        <v>8</v>
      </c>
      <c r="N306" s="209">
        <v>36</v>
      </c>
      <c r="O306" s="198">
        <f>'School Level Inst. Resources'!$L306</f>
        <v>334.57152380952385</v>
      </c>
      <c r="P306" s="198">
        <f>IF($G306="T",SUMIFS('School Level ADM'!$S$5:$S$359,'School Level ADM'!$A$5:$A$359,$A306),0)</f>
        <v>5559.7213333333339</v>
      </c>
      <c r="Q306" s="199">
        <f t="shared" si="34"/>
        <v>6.0177750601203485E-2</v>
      </c>
      <c r="R306" s="200">
        <f>SUM((('School Level Inst. Resources'!I306/'Model Data Inputs'!$B$8)*(1+'Model Data Inputs'!$B$9)),(SUM('School Level Inst. Resources'!J306:K306)/'Model Data Inputs'!$C$8)*(1+'Model Data Inputs'!$C$9),'School Level Inst. Resources'!K306/400)</f>
        <v>22.304768253968255</v>
      </c>
      <c r="S306" s="200">
        <f t="shared" si="35"/>
        <v>22.304768253968255</v>
      </c>
      <c r="T306" s="201">
        <f>IF($G306="T",VLOOKUP($A306,'Total O &amp; M Resources'!$A$5:$K$52,3),0)</f>
        <v>38978907.979999989</v>
      </c>
      <c r="U306" s="202">
        <f>IF($G306="F",0,$S306/'Model Data Inputs'!$B$140)</f>
        <v>1.7157514041514044</v>
      </c>
      <c r="V306" s="202">
        <f>IF($G306="F",0,$O306/'Model Data Inputs'!$B$141)</f>
        <v>1.0294508424908426</v>
      </c>
      <c r="W306" s="202">
        <f>IF($G306="F",0,$N306/'Model Data Inputs'!$B$142)</f>
        <v>2.7692307692307692</v>
      </c>
      <c r="X306" s="202">
        <f>IF($G306="F",0,$K306/'Model Data Inputs'!$B$143)</f>
        <v>3.816611111111111</v>
      </c>
      <c r="Y306" s="202">
        <f t="shared" si="29"/>
        <v>2.3327610317460317</v>
      </c>
      <c r="Z306" s="202">
        <f>IF(OR($G306="F",$F306="E"),0,'Model Data Inputs'!$B$144)</f>
        <v>0</v>
      </c>
      <c r="AA306" s="202">
        <f>IF(AND($O306&lt;='Model Data Inputs'!$B$139,$F306="E"),0,IF(AND($O306&lt;='Model Data Inputs'!$B$139,$F306="M"),0,IF(AND($O306&lt;='Model Data Inputs'!$B$139,$F306="H"),0,IF(SUM($Y306:$Z306)&lt;1,1,SUM($Y306:$Z306)))))</f>
        <v>2.3327610317460317</v>
      </c>
      <c r="AB306" s="202">
        <f>($K306/'Model Data Inputs'!$B$143)*'Model Data Inputs'!$B$145</f>
        <v>0.38166111111111112</v>
      </c>
      <c r="AC306" s="202">
        <f t="shared" si="30"/>
        <v>2.7144221428571429</v>
      </c>
      <c r="AD306" s="202">
        <f>IF($G306="F",0,'Model Data Inputs'!$B$147)</f>
        <v>1.1000000000000001</v>
      </c>
      <c r="AE306" s="202">
        <f>IF($G306="F",0,($K306/'Model Data Inputs'!$B$148)*'Model Data Inputs'!$B$149)</f>
        <v>1.3739799999999998</v>
      </c>
      <c r="AF306" s="202">
        <f>IF($G306="F",0,($O306/'Model Data Inputs'!$B$150)*'Model Data Inputs'!$B$151)</f>
        <v>0.43494298095238104</v>
      </c>
      <c r="AG306" s="202">
        <f>IF($G306="F",0,(($Q306*$T306)/'Model Data Inputs'!$B$152)*'Model Data Inputs'!$B$153)</f>
        <v>0.56295912075064791</v>
      </c>
      <c r="AH306" s="202">
        <f t="shared" si="31"/>
        <v>0.86797052542575726</v>
      </c>
      <c r="AI306" s="203">
        <f>IF(OR($G306="F",$F306="M",$F306="H"),0,($AH306*'Model Data Inputs'!$B$154)-$AH306)</f>
        <v>-0.17359410508515138</v>
      </c>
      <c r="AJ306" s="202">
        <f>IF(OR($G306="F",$F306="E",$F306="H"),0,($AH306*'Model Data Inputs'!$B$155)-$AH306)</f>
        <v>0</v>
      </c>
      <c r="AK306" s="203">
        <f>IF(OR($G306="F",$F306="E",$F306="M"),0,($AH306*'Model Data Inputs'!$B$156)-$AH306)</f>
        <v>0</v>
      </c>
      <c r="AL306" s="203">
        <f>IF($G306="F",0,IF($M306&lt;'Model Data Inputs'!$B$158,$AH306*('Model Data Inputs'!$B$159-1),0))</f>
        <v>-4.3398526271287902E-2</v>
      </c>
      <c r="AM306" s="202">
        <f>IF($G306="F",0,IF($M306&gt;'Model Data Inputs'!$B$160,$AH306*('Model Data Inputs'!$B$161-1),0))</f>
        <v>0</v>
      </c>
      <c r="AN306" s="202">
        <f>IF($G306="F",0,IF($P306&lt;'Model Data Inputs'!$B$162,SUM($AH306,$AI306,$AJ306,$AK306,$AL306,$AM306)*('Model Data Inputs'!$B$163-1),0))</f>
        <v>0</v>
      </c>
      <c r="AO306" s="202">
        <f t="shared" si="32"/>
        <v>0.65097789406931794</v>
      </c>
      <c r="AP306" s="204">
        <f>$K306*'Model Data Inputs'!$B$166</f>
        <v>46028.33</v>
      </c>
      <c r="AQ306" s="204">
        <f>($K306*'Model Data Inputs'!$B$145)*'Model Data Inputs'!$B$166</f>
        <v>4602.8330000000005</v>
      </c>
      <c r="AR306" s="50">
        <f t="shared" si="33"/>
        <v>50631.163</v>
      </c>
    </row>
    <row r="307" spans="1:44" x14ac:dyDescent="0.2">
      <c r="A307" s="227" t="str">
        <f>'School Level Inst. Resources'!A307</f>
        <v>1901000</v>
      </c>
      <c r="B307" s="227" t="str">
        <f>'School Level Inst. Resources'!B307</f>
        <v>Sweetwater #1</v>
      </c>
      <c r="C307" s="227" t="str">
        <f>'School Level Inst. Resources'!C307</f>
        <v>1901018</v>
      </c>
      <c r="D307" s="227" t="str">
        <f>'School Level Inst. Resources'!D307</f>
        <v>Stagecoach Elementary</v>
      </c>
      <c r="E307" s="228" t="str">
        <f>'School Level Inst. Resources'!E307</f>
        <v>K-4</v>
      </c>
      <c r="F307" s="229" t="str">
        <f>'School Level Inst. Resources'!H307</f>
        <v>E</v>
      </c>
      <c r="G307" s="229" t="s">
        <v>1158</v>
      </c>
      <c r="H307" s="207">
        <v>74866</v>
      </c>
      <c r="I307" s="207">
        <f>IF('SFD Allowable GSF Calculation'!$D$2=1,'SFD Allowable GSF Calculation'!$P307,'SFD Allowable GSF Calculation'!$X307)</f>
        <v>57854</v>
      </c>
      <c r="J307" s="194">
        <f>$I307*'Model Data Inputs'!$B$165</f>
        <v>66532.099999999991</v>
      </c>
      <c r="K307" s="194">
        <f>IF($L307&gt;='Model Data Inputs'!$B$164,$H307,MIN($H307,$J307))</f>
        <v>74866</v>
      </c>
      <c r="L307" s="208">
        <v>2015</v>
      </c>
      <c r="M307" s="196">
        <f>IF($L307&gt;0,'Model Data Inputs'!$B$157-$L307,"")</f>
        <v>2</v>
      </c>
      <c r="N307" s="209">
        <v>41</v>
      </c>
      <c r="O307" s="198">
        <f>'School Level Inst. Resources'!$L307</f>
        <v>392.51919047619049</v>
      </c>
      <c r="P307" s="198">
        <f>IF($G307="T",SUMIFS('School Level ADM'!$S$5:$S$359,'School Level ADM'!$A$5:$A$359,$A307),0)</f>
        <v>5559.7213333333339</v>
      </c>
      <c r="Q307" s="199">
        <f t="shared" si="34"/>
        <v>7.0600515195400157E-2</v>
      </c>
      <c r="R307" s="200">
        <f>SUM((('School Level Inst. Resources'!I307/'Model Data Inputs'!$B$8)*(1+'Model Data Inputs'!$B$9)),(SUM('School Level Inst. Resources'!J307:K307)/'Model Data Inputs'!$C$8)*(1+'Model Data Inputs'!$C$9),'School Level Inst. Resources'!K307/400)</f>
        <v>26.167946031746034</v>
      </c>
      <c r="S307" s="200">
        <f t="shared" si="35"/>
        <v>26.167946031746034</v>
      </c>
      <c r="T307" s="201">
        <f>IF($G307="T",VLOOKUP($A307,'Total O &amp; M Resources'!$A$5:$K$52,3),0)</f>
        <v>38978907.979999989</v>
      </c>
      <c r="U307" s="202">
        <f>IF($G307="F",0,$S307/'Model Data Inputs'!$B$140)</f>
        <v>2.0129189255189255</v>
      </c>
      <c r="V307" s="202">
        <f>IF($G307="F",0,$O307/'Model Data Inputs'!$B$141)</f>
        <v>1.2077513553113552</v>
      </c>
      <c r="W307" s="202">
        <f>IF($G307="F",0,$N307/'Model Data Inputs'!$B$142)</f>
        <v>3.1538461538461537</v>
      </c>
      <c r="X307" s="202">
        <f>IF($G307="F",0,$K307/'Model Data Inputs'!$B$143)</f>
        <v>4.1592222222222226</v>
      </c>
      <c r="Y307" s="202">
        <f t="shared" si="29"/>
        <v>2.6334346642246644</v>
      </c>
      <c r="Z307" s="202">
        <f>IF(OR($G307="F",$F307="E"),0,'Model Data Inputs'!$B$144)</f>
        <v>0</v>
      </c>
      <c r="AA307" s="202">
        <f>IF(AND($O307&lt;='Model Data Inputs'!$B$139,$F307="E"),0,IF(AND($O307&lt;='Model Data Inputs'!$B$139,$F307="M"),0,IF(AND($O307&lt;='Model Data Inputs'!$B$139,$F307="H"),0,IF(SUM($Y307:$Z307)&lt;1,1,SUM($Y307:$Z307)))))</f>
        <v>2.6334346642246644</v>
      </c>
      <c r="AB307" s="202">
        <f>($K307/'Model Data Inputs'!$B$143)*'Model Data Inputs'!$B$145</f>
        <v>0.4159222222222223</v>
      </c>
      <c r="AC307" s="202">
        <f t="shared" si="30"/>
        <v>3.049356886446887</v>
      </c>
      <c r="AD307" s="202">
        <f>IF($G307="F",0,'Model Data Inputs'!$B$147)</f>
        <v>1.1000000000000001</v>
      </c>
      <c r="AE307" s="202">
        <f>IF($G307="F",0,($K307/'Model Data Inputs'!$B$148)*'Model Data Inputs'!$B$149)</f>
        <v>1.49732</v>
      </c>
      <c r="AF307" s="202">
        <f>IF($G307="F",0,($O307/'Model Data Inputs'!$B$150)*'Model Data Inputs'!$B$151)</f>
        <v>0.51027494761904768</v>
      </c>
      <c r="AG307" s="202">
        <f>IF($G307="F",0,(($Q307*$T307)/'Model Data Inputs'!$B$152)*'Model Data Inputs'!$B$153)</f>
        <v>0.66046343643410244</v>
      </c>
      <c r="AH307" s="202">
        <f t="shared" si="31"/>
        <v>0.94201459601328752</v>
      </c>
      <c r="AI307" s="203">
        <f>IF(OR($G307="F",$F307="M",$F307="H"),0,($AH307*'Model Data Inputs'!$B$154)-$AH307)</f>
        <v>-0.1884029192026575</v>
      </c>
      <c r="AJ307" s="202">
        <f>IF(OR($G307="F",$F307="E",$F307="H"),0,($AH307*'Model Data Inputs'!$B$155)-$AH307)</f>
        <v>0</v>
      </c>
      <c r="AK307" s="203">
        <f>IF(OR($G307="F",$F307="E",$F307="M"),0,($AH307*'Model Data Inputs'!$B$156)-$AH307)</f>
        <v>0</v>
      </c>
      <c r="AL307" s="203">
        <f>IF($G307="F",0,IF($M307&lt;'Model Data Inputs'!$B$158,$AH307*('Model Data Inputs'!$B$159-1),0))</f>
        <v>-4.7100729800664418E-2</v>
      </c>
      <c r="AM307" s="202">
        <f>IF($G307="F",0,IF($M307&gt;'Model Data Inputs'!$B$160,$AH307*('Model Data Inputs'!$B$161-1),0))</f>
        <v>0</v>
      </c>
      <c r="AN307" s="202">
        <f>IF($G307="F",0,IF($P307&lt;'Model Data Inputs'!$B$162,SUM($AH307,$AI307,$AJ307,$AK307,$AL307,$AM307)*('Model Data Inputs'!$B$163-1),0))</f>
        <v>0</v>
      </c>
      <c r="AO307" s="202">
        <f t="shared" si="32"/>
        <v>0.70651094700996564</v>
      </c>
      <c r="AP307" s="204">
        <f>$K307*'Model Data Inputs'!$B$166</f>
        <v>50160.22</v>
      </c>
      <c r="AQ307" s="204">
        <f>($K307*'Model Data Inputs'!$B$145)*'Model Data Inputs'!$B$166</f>
        <v>5016.0220000000008</v>
      </c>
      <c r="AR307" s="50">
        <f t="shared" si="33"/>
        <v>55176.241999999998</v>
      </c>
    </row>
    <row r="308" spans="1:44" x14ac:dyDescent="0.2">
      <c r="A308" s="230" t="str">
        <f>'School Level Inst. Resources'!A308</f>
        <v>1901000</v>
      </c>
      <c r="B308" s="230" t="str">
        <f>'School Level Inst. Resources'!B308</f>
        <v>Sweetwater #1</v>
      </c>
      <c r="C308" s="230" t="str">
        <f>'School Level Inst. Resources'!C308</f>
        <v>1901050</v>
      </c>
      <c r="D308" s="230" t="str">
        <f>'School Level Inst. Resources'!D308</f>
        <v>Rock Springs Junior High</v>
      </c>
      <c r="E308" s="231" t="str">
        <f>'School Level Inst. Resources'!E308</f>
        <v>7-8</v>
      </c>
      <c r="F308" s="232" t="str">
        <f>'School Level Inst. Resources'!H308</f>
        <v>M</v>
      </c>
      <c r="G308" s="232" t="s">
        <v>1158</v>
      </c>
      <c r="H308" s="207">
        <v>159169</v>
      </c>
      <c r="I308" s="207">
        <f>IF('SFD Allowable GSF Calculation'!$D$2=1,'SFD Allowable GSF Calculation'!$P308,'SFD Allowable GSF Calculation'!$X308)</f>
        <v>118357</v>
      </c>
      <c r="J308" s="194">
        <f>$I308*'Model Data Inputs'!$B$165</f>
        <v>136110.54999999999</v>
      </c>
      <c r="K308" s="194">
        <f>IF($L308&gt;='Model Data Inputs'!$B$164,$H308,MIN($H308,$J308))</f>
        <v>136110.54999999999</v>
      </c>
      <c r="L308" s="208">
        <v>1976</v>
      </c>
      <c r="M308" s="196">
        <f>IF($L308&gt;0,'Model Data Inputs'!$B$157-$L308,"")</f>
        <v>41</v>
      </c>
      <c r="N308" s="209">
        <v>66</v>
      </c>
      <c r="O308" s="198">
        <f>'School Level Inst. Resources'!$L308</f>
        <v>806.00900000000001</v>
      </c>
      <c r="P308" s="198">
        <f>IF($G308="T",SUMIFS('School Level ADM'!$S$5:$S$359,'School Level ADM'!$A$5:$A$359,$A308),0)</f>
        <v>5559.7213333333339</v>
      </c>
      <c r="Q308" s="199">
        <f t="shared" si="34"/>
        <v>0.14497291351053326</v>
      </c>
      <c r="R308" s="200">
        <f>SUM((('School Level Inst. Resources'!I308/'Model Data Inputs'!$B$8)*(1+'Model Data Inputs'!$B$9)),(SUM('School Level Inst. Resources'!J308:K308)/'Model Data Inputs'!$C$8)*(1+'Model Data Inputs'!$C$9),'School Level Inst. Resources'!K308/400)</f>
        <v>46.71347813043478</v>
      </c>
      <c r="S308" s="200">
        <f t="shared" si="35"/>
        <v>46.71347813043478</v>
      </c>
      <c r="T308" s="201">
        <f>IF($G308="T",VLOOKUP($A308,'Total O &amp; M Resources'!$A$5:$K$52,3),0)</f>
        <v>38978907.979999989</v>
      </c>
      <c r="U308" s="202">
        <f>IF($G308="F",0,$S308/'Model Data Inputs'!$B$140)</f>
        <v>3.5933444715719061</v>
      </c>
      <c r="V308" s="202">
        <f>IF($G308="F",0,$O308/'Model Data Inputs'!$B$141)</f>
        <v>2.4800276923076923</v>
      </c>
      <c r="W308" s="202">
        <f>IF($G308="F",0,$N308/'Model Data Inputs'!$B$142)</f>
        <v>5.0769230769230766</v>
      </c>
      <c r="X308" s="202">
        <f>IF($G308="F",0,$K308/'Model Data Inputs'!$B$143)</f>
        <v>7.5616972222222216</v>
      </c>
      <c r="Y308" s="202">
        <f t="shared" si="29"/>
        <v>4.6779981157562247</v>
      </c>
      <c r="Z308" s="202">
        <f>IF(OR($G308="F",$F308="E"),0,'Model Data Inputs'!$B$144)</f>
        <v>0.5</v>
      </c>
      <c r="AA308" s="202">
        <f>IF(AND($O308&lt;='Model Data Inputs'!$B$139,$F308="E"),0,IF(AND($O308&lt;='Model Data Inputs'!$B$139,$F308="M"),0,IF(AND($O308&lt;='Model Data Inputs'!$B$139,$F308="H"),0,IF(SUM($Y308:$Z308)&lt;1,1,SUM($Y308:$Z308)))))</f>
        <v>5.1779981157562247</v>
      </c>
      <c r="AB308" s="202">
        <f>($K308/'Model Data Inputs'!$B$143)*'Model Data Inputs'!$B$145</f>
        <v>0.75616972222222223</v>
      </c>
      <c r="AC308" s="202">
        <f t="shared" si="30"/>
        <v>5.934167837978447</v>
      </c>
      <c r="AD308" s="202">
        <f>IF($G308="F",0,'Model Data Inputs'!$B$147)</f>
        <v>1.1000000000000001</v>
      </c>
      <c r="AE308" s="202">
        <f>IF($G308="F",0,($K308/'Model Data Inputs'!$B$148)*'Model Data Inputs'!$B$149)</f>
        <v>2.7222109999999997</v>
      </c>
      <c r="AF308" s="202">
        <f>IF($G308="F",0,($O308/'Model Data Inputs'!$B$150)*'Model Data Inputs'!$B$151)</f>
        <v>1.0478117</v>
      </c>
      <c r="AG308" s="202">
        <f>IF($G308="F",0,(($Q308*$T308)/'Model Data Inputs'!$B$152)*'Model Data Inputs'!$B$153)</f>
        <v>1.3562126052766976</v>
      </c>
      <c r="AH308" s="202">
        <f t="shared" si="31"/>
        <v>1.5565588263191743</v>
      </c>
      <c r="AI308" s="203">
        <f>IF(OR($G308="F",$F308="M",$F308="H"),0,($AH308*'Model Data Inputs'!$B$154)-$AH308)</f>
        <v>0</v>
      </c>
      <c r="AJ308" s="202">
        <f>IF(OR($G308="F",$F308="E",$F308="H"),0,($AH308*'Model Data Inputs'!$B$155)-$AH308)</f>
        <v>0</v>
      </c>
      <c r="AK308" s="203">
        <f>IF(OR($G308="F",$F308="E",$F308="M"),0,($AH308*'Model Data Inputs'!$B$156)-$AH308)</f>
        <v>0</v>
      </c>
      <c r="AL308" s="203">
        <f>IF($G308="F",0,IF($M308&lt;'Model Data Inputs'!$B$158,$AH308*('Model Data Inputs'!$B$159-1),0))</f>
        <v>0</v>
      </c>
      <c r="AM308" s="202">
        <f>IF($G308="F",0,IF($M308&gt;'Model Data Inputs'!$B$160,$AH308*('Model Data Inputs'!$B$161-1),0))</f>
        <v>0.15565588263191757</v>
      </c>
      <c r="AN308" s="202">
        <f>IF($G308="F",0,IF($P308&lt;'Model Data Inputs'!$B$162,SUM($AH308,$AI308,$AJ308,$AK308,$AL308,$AM308)*('Model Data Inputs'!$B$163-1),0))</f>
        <v>0</v>
      </c>
      <c r="AO308" s="202">
        <f t="shared" si="32"/>
        <v>1.712214708951092</v>
      </c>
      <c r="AP308" s="204">
        <f>$K308*'Model Data Inputs'!$B$166</f>
        <v>91194.068499999994</v>
      </c>
      <c r="AQ308" s="204">
        <f>($K308*'Model Data Inputs'!$B$145)*'Model Data Inputs'!$B$166</f>
        <v>9119.4068500000012</v>
      </c>
      <c r="AR308" s="50">
        <f t="shared" si="33"/>
        <v>100313.47534999999</v>
      </c>
    </row>
    <row r="309" spans="1:44" s="226" customFormat="1" x14ac:dyDescent="0.2">
      <c r="A309" s="210" t="str">
        <f>'School Level Inst. Resources'!A309</f>
        <v>1901000</v>
      </c>
      <c r="B309" s="210" t="str">
        <f>'School Level Inst. Resources'!B309</f>
        <v>Sweetwater #1</v>
      </c>
      <c r="C309" s="210" t="str">
        <f>'School Level Inst. Resources'!C309</f>
        <v>1901053</v>
      </c>
      <c r="D309" s="210" t="str">
        <f>'School Level Inst. Resources'!D309</f>
        <v>Desert Middle School</v>
      </c>
      <c r="E309" s="211" t="str">
        <f>'School Level Inst. Resources'!E309</f>
        <v>7-8</v>
      </c>
      <c r="F309" s="212" t="str">
        <f>'School Level Inst. Resources'!H309</f>
        <v>M</v>
      </c>
      <c r="G309" s="212" t="s">
        <v>1158</v>
      </c>
      <c r="H309" s="213">
        <v>52837</v>
      </c>
      <c r="I309" s="213">
        <f>IF('SFD Allowable GSF Calculation'!$D$2=1,'SFD Allowable GSF Calculation'!$P309,'SFD Allowable GSF Calculation'!$X309)</f>
        <v>11087</v>
      </c>
      <c r="J309" s="214">
        <f>$I309*'Model Data Inputs'!$B$165</f>
        <v>12750.05</v>
      </c>
      <c r="K309" s="214">
        <f>IF($L309&gt;='Model Data Inputs'!$B$164,$H309,MIN($H309,$J309))</f>
        <v>12750.05</v>
      </c>
      <c r="L309" s="233">
        <v>1958</v>
      </c>
      <c r="M309" s="196">
        <f>IF($L309&gt;0,'Model Data Inputs'!$B$157-$L309,"")</f>
        <v>59</v>
      </c>
      <c r="N309" s="216">
        <v>19</v>
      </c>
      <c r="O309" s="218">
        <f>SUM('School Level Inst. Resources'!$L297,,'School Level Inst. Resources'!$L309)</f>
        <v>35.072000000000003</v>
      </c>
      <c r="P309" s="218">
        <f>IF($G309="T",SUMIFS('School Level ADM'!$S$5:$S$359,'School Level ADM'!$A$5:$A$359,$A309),0)</f>
        <v>5559.7213333333339</v>
      </c>
      <c r="Q309" s="219">
        <f t="shared" si="34"/>
        <v>6.3082298369390695E-3</v>
      </c>
      <c r="R309" s="234">
        <f>SUM((('School Level Inst. Resources'!I309/'Model Data Inputs'!$B$8)*(1+'Model Data Inputs'!$B$9)),(SUM('School Level Inst. Resources'!J309:K309)/'Model Data Inputs'!$C$8)*(1+'Model Data Inputs'!$C$9),'School Level Inst. Resources'!K309/400)</f>
        <v>0.42837597101449282</v>
      </c>
      <c r="S309" s="234">
        <f>SUM(R297,R309)</f>
        <v>2.2737537487922705</v>
      </c>
      <c r="T309" s="221">
        <f>IF($G309="T",VLOOKUP($A309,'Total O &amp; M Resources'!$A$5:$K$52,3),0)</f>
        <v>38978907.979999989</v>
      </c>
      <c r="U309" s="222">
        <f>IF($G309="F",0,$S309/'Model Data Inputs'!$B$140)</f>
        <v>0.17490413452248235</v>
      </c>
      <c r="V309" s="222">
        <f>IF($G309="F",0,$O309/'Model Data Inputs'!$B$141)</f>
        <v>0.10791384615384617</v>
      </c>
      <c r="W309" s="222">
        <f>IF($G309="F",0,$N309/'Model Data Inputs'!$B$142)</f>
        <v>1.4615384615384615</v>
      </c>
      <c r="X309" s="222">
        <f>IF($G309="F",0,$K309/'Model Data Inputs'!$B$143)</f>
        <v>0.70833611111111106</v>
      </c>
      <c r="Y309" s="222">
        <f t="shared" si="29"/>
        <v>0.61317313833147524</v>
      </c>
      <c r="Z309" s="222">
        <f>IF(OR($G309="F",$F309="E"),0,'Model Data Inputs'!$B$144)</f>
        <v>0.5</v>
      </c>
      <c r="AA309" s="222">
        <f>IF(AND($O309&lt;='Model Data Inputs'!$B$139,$F309="E"),0,IF(AND($O309&lt;='Model Data Inputs'!$B$139,$F309="M"),0,IF(AND($O309&lt;='Model Data Inputs'!$B$139,$F309="H"),0,IF(SUM($Y309:$Z309)&lt;1,1,SUM($Y309:$Z309)))))</f>
        <v>0</v>
      </c>
      <c r="AB309" s="222">
        <f>($K309/'Model Data Inputs'!$B$143)*'Model Data Inputs'!$B$145</f>
        <v>7.0833611111111111E-2</v>
      </c>
      <c r="AC309" s="222">
        <f t="shared" si="30"/>
        <v>7.0833611111111111E-2</v>
      </c>
      <c r="AD309" s="222">
        <f>IF($G309="F",0,'Model Data Inputs'!$B$147)</f>
        <v>1.1000000000000001</v>
      </c>
      <c r="AE309" s="222">
        <f>IF($G309="F",0,($K309/'Model Data Inputs'!$B$148)*'Model Data Inputs'!$B$149)</f>
        <v>0.25500099999999998</v>
      </c>
      <c r="AF309" s="222">
        <f>IF($G309="F",0,($O309/'Model Data Inputs'!$B$150)*'Model Data Inputs'!$B$151)</f>
        <v>4.5593600000000012E-2</v>
      </c>
      <c r="AG309" s="222">
        <f>IF($G309="F",0,(($Q309*$T309)/'Model Data Inputs'!$B$152)*'Model Data Inputs'!$B$153)</f>
        <v>5.9013098479377191E-2</v>
      </c>
      <c r="AH309" s="222">
        <f t="shared" si="31"/>
        <v>0.36490192461984439</v>
      </c>
      <c r="AI309" s="223">
        <f>IF(OR($G309="F",$F309="M",$F309="H"),0,($AH309*'Model Data Inputs'!$B$154)-$AH309)</f>
        <v>0</v>
      </c>
      <c r="AJ309" s="222">
        <f>IF(OR($G309="F",$F309="E",$F309="H"),0,($AH309*'Model Data Inputs'!$B$155)-$AH309)</f>
        <v>0</v>
      </c>
      <c r="AK309" s="223">
        <f>IF(OR($G309="F",$F309="E",$F309="M"),0,($AH309*'Model Data Inputs'!$B$156)-$AH309)</f>
        <v>0</v>
      </c>
      <c r="AL309" s="223">
        <f>IF($G309="F",0,IF($M309&lt;'Model Data Inputs'!$B$158,$AH309*('Model Data Inputs'!$B$159-1),0))</f>
        <v>0</v>
      </c>
      <c r="AM309" s="222">
        <f>IF($G309="F",0,IF($M309&gt;'Model Data Inputs'!$B$160,$AH309*('Model Data Inputs'!$B$161-1),0))</f>
        <v>3.6490192461984469E-2</v>
      </c>
      <c r="AN309" s="222">
        <f>IF($G309="F",0,IF($P309&lt;'Model Data Inputs'!$B$162,SUM($AH309,$AI309,$AJ309,$AK309,$AL309,$AM309)*('Model Data Inputs'!$B$163-1),0))</f>
        <v>0</v>
      </c>
      <c r="AO309" s="222">
        <f t="shared" si="32"/>
        <v>0.40139211708182887</v>
      </c>
      <c r="AP309" s="224">
        <f>$K309*'Model Data Inputs'!$B$166</f>
        <v>8542.5334999999995</v>
      </c>
      <c r="AQ309" s="224">
        <f>($K309*'Model Data Inputs'!$B$145)*'Model Data Inputs'!$B$166</f>
        <v>854.25335000000007</v>
      </c>
      <c r="AR309" s="225">
        <f t="shared" si="33"/>
        <v>9396.7868500000004</v>
      </c>
    </row>
    <row r="310" spans="1:44" s="226" customFormat="1" x14ac:dyDescent="0.2">
      <c r="A310" s="210" t="str">
        <f>'School Level Inst. Resources'!A310</f>
        <v>1901000</v>
      </c>
      <c r="B310" s="210" t="str">
        <f>'School Level Inst. Resources'!B310</f>
        <v>Sweetwater #1</v>
      </c>
      <c r="C310" s="210" t="str">
        <f>'School Level Inst. Resources'!C310</f>
        <v>1901054</v>
      </c>
      <c r="D310" s="210" t="str">
        <f>'School Level Inst. Resources'!D310</f>
        <v>Farson-Eden Middle School</v>
      </c>
      <c r="E310" s="211" t="str">
        <f>'School Level Inst. Resources'!E310</f>
        <v>6-8</v>
      </c>
      <c r="F310" s="212" t="str">
        <f>'School Level Inst. Resources'!H310</f>
        <v>M</v>
      </c>
      <c r="G310" s="212" t="s">
        <v>1159</v>
      </c>
      <c r="H310" s="213">
        <v>0</v>
      </c>
      <c r="I310" s="213">
        <f>IF('SFD Allowable GSF Calculation'!$D$2=1,'SFD Allowable GSF Calculation'!$P310,'SFD Allowable GSF Calculation'!$X310)</f>
        <v>0</v>
      </c>
      <c r="J310" s="214">
        <f>$I310*'Model Data Inputs'!$B$165</f>
        <v>0</v>
      </c>
      <c r="K310" s="214">
        <f>IF($L310&gt;='Model Data Inputs'!$B$164,$H310,MIN($H310,$J310))</f>
        <v>0</v>
      </c>
      <c r="L310" s="233">
        <v>0</v>
      </c>
      <c r="M310" s="196" t="str">
        <f>IF($L310&gt;0,'Model Data Inputs'!$B$157-$L310,"")</f>
        <v/>
      </c>
      <c r="N310" s="216">
        <v>0</v>
      </c>
      <c r="O310" s="217">
        <v>0</v>
      </c>
      <c r="P310" s="218">
        <f>IF($G310="T",SUMIFS('School Level ADM'!$S$5:$S$359,'School Level ADM'!$A$5:$A$359,$A310),0)</f>
        <v>0</v>
      </c>
      <c r="Q310" s="219">
        <f t="shared" si="34"/>
        <v>0</v>
      </c>
      <c r="R310" s="220">
        <f>SUM((('School Level Inst. Resources'!I310/'Model Data Inputs'!$B$8)*(1+'Model Data Inputs'!$B$9)),(SUM('School Level Inst. Resources'!J310:K310)/'Model Data Inputs'!$C$8)*(1+'Model Data Inputs'!$C$9),'School Level Inst. Resources'!K310/400)</f>
        <v>2.5791811304347827</v>
      </c>
      <c r="S310" s="220">
        <v>0</v>
      </c>
      <c r="T310" s="221">
        <f>IF($G310="T",VLOOKUP($A310,'Total O &amp; M Resources'!$A$5:$K$52,3),0)</f>
        <v>0</v>
      </c>
      <c r="U310" s="222">
        <f>IF($G310="F",0,$S310/'Model Data Inputs'!$B$140)</f>
        <v>0</v>
      </c>
      <c r="V310" s="222">
        <f>IF($G310="F",0,$O310/'Model Data Inputs'!$B$141)</f>
        <v>0</v>
      </c>
      <c r="W310" s="222">
        <f>IF($G310="F",0,$N310/'Model Data Inputs'!$B$142)</f>
        <v>0</v>
      </c>
      <c r="X310" s="222">
        <f>IF($G310="F",0,$K310/'Model Data Inputs'!$B$143)</f>
        <v>0</v>
      </c>
      <c r="Y310" s="222">
        <f t="shared" si="29"/>
        <v>0</v>
      </c>
      <c r="Z310" s="222">
        <f>IF(OR($G310="F",$F310="E"),0,'Model Data Inputs'!$B$144)</f>
        <v>0</v>
      </c>
      <c r="AA310" s="222">
        <f>IF(AND($O310&lt;='Model Data Inputs'!$B$139,$F310="E"),0,IF(AND($O310&lt;='Model Data Inputs'!$B$139,$F310="M"),0,IF(AND($O310&lt;='Model Data Inputs'!$B$139,$F310="H"),0,IF(SUM($Y310:$Z310)&lt;1,1,SUM($Y310:$Z310)))))</f>
        <v>0</v>
      </c>
      <c r="AB310" s="222">
        <f>($K310/'Model Data Inputs'!$B$143)*'Model Data Inputs'!$B$145</f>
        <v>0</v>
      </c>
      <c r="AC310" s="222">
        <f t="shared" si="30"/>
        <v>0</v>
      </c>
      <c r="AD310" s="222">
        <f>IF($G310="F",0,'Model Data Inputs'!$B$147)</f>
        <v>0</v>
      </c>
      <c r="AE310" s="222">
        <f>IF($G310="F",0,($K310/'Model Data Inputs'!$B$148)*'Model Data Inputs'!$B$149)</f>
        <v>0</v>
      </c>
      <c r="AF310" s="222">
        <f>IF($G310="F",0,($O310/'Model Data Inputs'!$B$150)*'Model Data Inputs'!$B$151)</f>
        <v>0</v>
      </c>
      <c r="AG310" s="222">
        <f>IF($G310="F",0,(($Q310*$T310)/'Model Data Inputs'!$B$152)*'Model Data Inputs'!$B$153)</f>
        <v>0</v>
      </c>
      <c r="AH310" s="222">
        <f t="shared" si="31"/>
        <v>0</v>
      </c>
      <c r="AI310" s="223">
        <f>IF(OR($G310="F",$F310="M",$F310="H"),0,($AH310*'Model Data Inputs'!$B$154)-$AH310)</f>
        <v>0</v>
      </c>
      <c r="AJ310" s="222">
        <f>IF(OR($G310="F",$F310="E",$F310="H"),0,($AH310*'Model Data Inputs'!$B$155)-$AH310)</f>
        <v>0</v>
      </c>
      <c r="AK310" s="223">
        <f>IF(OR($G310="F",$F310="E",$F310="M"),0,($AH310*'Model Data Inputs'!$B$156)-$AH310)</f>
        <v>0</v>
      </c>
      <c r="AL310" s="223">
        <f>IF($G310="F",0,IF($M310&lt;'Model Data Inputs'!$B$158,$AH310*('Model Data Inputs'!$B$159-1),0))</f>
        <v>0</v>
      </c>
      <c r="AM310" s="222">
        <f>IF($G310="F",0,IF($M310&gt;'Model Data Inputs'!$B$160,$AH310*('Model Data Inputs'!$B$161-1),0))</f>
        <v>0</v>
      </c>
      <c r="AN310" s="222">
        <f>IF($G310="F",0,IF($P310&lt;'Model Data Inputs'!$B$162,SUM($AH310,$AI310,$AJ310,$AK310,$AL310,$AM310)*('Model Data Inputs'!$B$163-1),0))</f>
        <v>0</v>
      </c>
      <c r="AO310" s="222">
        <f t="shared" si="32"/>
        <v>0</v>
      </c>
      <c r="AP310" s="224">
        <f>$K310*'Model Data Inputs'!$B$166</f>
        <v>0</v>
      </c>
      <c r="AQ310" s="224">
        <f>($K310*'Model Data Inputs'!$B$145)*'Model Data Inputs'!$B$166</f>
        <v>0</v>
      </c>
      <c r="AR310" s="225">
        <f t="shared" si="33"/>
        <v>0</v>
      </c>
    </row>
    <row r="311" spans="1:44" s="226" customFormat="1" x14ac:dyDescent="0.2">
      <c r="A311" s="210" t="str">
        <f>'School Level Inst. Resources'!A311</f>
        <v>1901000</v>
      </c>
      <c r="B311" s="210" t="str">
        <f>'School Level Inst. Resources'!B311</f>
        <v>Sweetwater #1</v>
      </c>
      <c r="C311" s="210" t="str">
        <f>'School Level Inst. Resources'!C311</f>
        <v>1901055</v>
      </c>
      <c r="D311" s="210" t="str">
        <f>'School Level Inst. Resources'!D311</f>
        <v>Farson-Eden High School</v>
      </c>
      <c r="E311" s="211" t="str">
        <f>'School Level Inst. Resources'!E311</f>
        <v>9-12</v>
      </c>
      <c r="F311" s="212" t="str">
        <f>'School Level Inst. Resources'!H311</f>
        <v>H</v>
      </c>
      <c r="G311" s="212" t="s">
        <v>1158</v>
      </c>
      <c r="H311" s="213">
        <v>71297</v>
      </c>
      <c r="I311" s="213">
        <f>IF('SFD Allowable GSF Calculation'!$D$2=1,'SFD Allowable GSF Calculation'!$P311,'SFD Allowable GSF Calculation'!$X311)</f>
        <v>61339</v>
      </c>
      <c r="J311" s="214">
        <f>$I311*'Model Data Inputs'!$B$165</f>
        <v>70539.849999999991</v>
      </c>
      <c r="K311" s="214">
        <f>IF($L311&gt;='Model Data Inputs'!$B$164,$H311,MIN($H311,$J311))</f>
        <v>71297</v>
      </c>
      <c r="L311" s="233">
        <v>2017</v>
      </c>
      <c r="M311" s="196">
        <f>IF($L311&gt;0,'Model Data Inputs'!$B$157-$L311,"")</f>
        <v>0</v>
      </c>
      <c r="N311" s="216">
        <v>32</v>
      </c>
      <c r="O311" s="218">
        <f>SUM('School Level Inst. Resources'!$L299,'School Level Inst. Resources'!$L310,,'School Level Inst. Resources'!$L311)</f>
        <v>169.23699999999999</v>
      </c>
      <c r="P311" s="218">
        <f>IF($G311="T",SUMIFS('School Level ADM'!$S$5:$S$359,'School Level ADM'!$A$5:$A$359,$A311),0)</f>
        <v>5559.7213333333339</v>
      </c>
      <c r="Q311" s="219">
        <f t="shared" si="34"/>
        <v>3.0439834994127998E-2</v>
      </c>
      <c r="R311" s="234">
        <f>SUM((('School Level Inst. Resources'!I311/'Model Data Inputs'!$B$8)*(1+'Model Data Inputs'!$B$9)),(SUM('School Level Inst. Resources'!J311:K311)/'Model Data Inputs'!$C$8)*(1+'Model Data Inputs'!$C$9),'School Level Inst. Resources'!K311/400)</f>
        <v>3.2837967391304348</v>
      </c>
      <c r="S311" s="234">
        <f>SUM(R299,R310:R311)</f>
        <v>10.557533425120774</v>
      </c>
      <c r="T311" s="221">
        <f>IF($G311="T",VLOOKUP($A311,'Total O &amp; M Resources'!$A$5:$K$52,3),0)</f>
        <v>38978907.979999989</v>
      </c>
      <c r="U311" s="222">
        <f>IF($G311="F",0,$S311/'Model Data Inputs'!$B$140)</f>
        <v>0.81211795577852108</v>
      </c>
      <c r="V311" s="222">
        <f>IF($G311="F",0,$O311/'Model Data Inputs'!$B$141)</f>
        <v>0.52072923076923072</v>
      </c>
      <c r="W311" s="222">
        <f>IF($G311="F",0,$N311/'Model Data Inputs'!$B$142)</f>
        <v>2.4615384615384617</v>
      </c>
      <c r="X311" s="222">
        <f>IF($G311="F",0,$K311/'Model Data Inputs'!$B$143)</f>
        <v>3.9609444444444444</v>
      </c>
      <c r="Y311" s="222">
        <f t="shared" si="29"/>
        <v>1.9388325231326644</v>
      </c>
      <c r="Z311" s="222">
        <f>IF(OR($G311="F",$F311="E"),0,'Model Data Inputs'!$B$144)</f>
        <v>0.5</v>
      </c>
      <c r="AA311" s="222">
        <f>IF(AND($O311&lt;='Model Data Inputs'!$B$139,$F311="E"),0,IF(AND($O311&lt;='Model Data Inputs'!$B$139,$F311="M"),0,IF(AND($O311&lt;='Model Data Inputs'!$B$139,$F311="H"),0,IF(SUM($Y311:$Z311)&lt;1,1,SUM($Y311:$Z311)))))</f>
        <v>2.4388325231326644</v>
      </c>
      <c r="AB311" s="222">
        <f>($K311/'Model Data Inputs'!$B$143)*'Model Data Inputs'!$B$145</f>
        <v>0.39609444444444447</v>
      </c>
      <c r="AC311" s="222">
        <f t="shared" si="30"/>
        <v>2.8349269675771089</v>
      </c>
      <c r="AD311" s="222">
        <f>IF($G311="F",0,'Model Data Inputs'!$B$147)</f>
        <v>1.1000000000000001</v>
      </c>
      <c r="AE311" s="222">
        <f>IF($G311="F",0,($K311/'Model Data Inputs'!$B$148)*'Model Data Inputs'!$B$149)</f>
        <v>1.42594</v>
      </c>
      <c r="AF311" s="222">
        <f>IF($G311="F",0,($O311/'Model Data Inputs'!$B$150)*'Model Data Inputs'!$B$151)</f>
        <v>0.22000810000000001</v>
      </c>
      <c r="AG311" s="222">
        <f>IF($G311="F",0,(($Q311*$T311)/'Model Data Inputs'!$B$152)*'Model Data Inputs'!$B$153)</f>
        <v>0.28476276651899968</v>
      </c>
      <c r="AH311" s="222">
        <f t="shared" si="31"/>
        <v>0.75767771662974992</v>
      </c>
      <c r="AI311" s="223">
        <f>IF(OR($G311="F",$F311="M",$F311="H"),0,($AH311*'Model Data Inputs'!$B$154)-$AH311)</f>
        <v>0</v>
      </c>
      <c r="AJ311" s="222">
        <f>IF(OR($G311="F",$F311="E",$F311="H"),0,($AH311*'Model Data Inputs'!$B$155)-$AH311)</f>
        <v>0</v>
      </c>
      <c r="AK311" s="223">
        <f>IF(OR($G311="F",$F311="E",$F311="M"),0,($AH311*'Model Data Inputs'!$B$156)-$AH311)</f>
        <v>0.75767771662974992</v>
      </c>
      <c r="AL311" s="223">
        <f>IF($G311="F",0,IF($M311&lt;'Model Data Inputs'!$B$158,$AH311*('Model Data Inputs'!$B$159-1),0))</f>
        <v>-3.7883885831487531E-2</v>
      </c>
      <c r="AM311" s="222">
        <f>IF($G311="F",0,IF($M311&gt;'Model Data Inputs'!$B$160,$AH311*('Model Data Inputs'!$B$161-1),0))</f>
        <v>0</v>
      </c>
      <c r="AN311" s="222">
        <f>IF($G311="F",0,IF($P311&lt;'Model Data Inputs'!$B$162,SUM($AH311,$AI311,$AJ311,$AK311,$AL311,$AM311)*('Model Data Inputs'!$B$163-1),0))</f>
        <v>0</v>
      </c>
      <c r="AO311" s="222">
        <f t="shared" si="32"/>
        <v>1.4774715474280122</v>
      </c>
      <c r="AP311" s="224">
        <f>$K311*'Model Data Inputs'!$B$166</f>
        <v>47768.990000000005</v>
      </c>
      <c r="AQ311" s="224">
        <f>($K311*'Model Data Inputs'!$B$145)*'Model Data Inputs'!$B$166</f>
        <v>4776.8990000000003</v>
      </c>
      <c r="AR311" s="225">
        <f t="shared" si="33"/>
        <v>52545.889000000003</v>
      </c>
    </row>
    <row r="312" spans="1:44" x14ac:dyDescent="0.2">
      <c r="A312" s="227" t="str">
        <f>'School Level Inst. Resources'!A312</f>
        <v>1901000</v>
      </c>
      <c r="B312" s="227" t="str">
        <f>'School Level Inst. Resources'!B312</f>
        <v>Sweetwater #1</v>
      </c>
      <c r="C312" s="227" t="str">
        <f>'School Level Inst. Resources'!C312</f>
        <v>1901056</v>
      </c>
      <c r="D312" s="227" t="str">
        <f>'School Level Inst. Resources'!D312</f>
        <v>Rock Springs High School</v>
      </c>
      <c r="E312" s="228" t="str">
        <f>'School Level Inst. Resources'!E312</f>
        <v>9-12</v>
      </c>
      <c r="F312" s="229" t="str">
        <f>'School Level Inst. Resources'!H312</f>
        <v>H</v>
      </c>
      <c r="G312" s="229" t="s">
        <v>1158</v>
      </c>
      <c r="H312" s="207">
        <v>317169</v>
      </c>
      <c r="I312" s="207">
        <f>IF('SFD Allowable GSF Calculation'!$D$2=1,'SFD Allowable GSF Calculation'!$P312,'SFD Allowable GSF Calculation'!$X312)</f>
        <v>222247</v>
      </c>
      <c r="J312" s="194">
        <f>$I312*'Model Data Inputs'!$B$165</f>
        <v>255584.05</v>
      </c>
      <c r="K312" s="194">
        <f>IF($L312&gt;='Model Data Inputs'!$B$164,$H312,MIN($H312,$J312))</f>
        <v>255584.05</v>
      </c>
      <c r="L312" s="208">
        <v>1971</v>
      </c>
      <c r="M312" s="196">
        <f>IF($L312&gt;0,'Model Data Inputs'!$B$157-$L312,"")</f>
        <v>46</v>
      </c>
      <c r="N312" s="209">
        <v>79</v>
      </c>
      <c r="O312" s="198">
        <f>'School Level Inst. Resources'!$L312</f>
        <v>1348.7190000000001</v>
      </c>
      <c r="P312" s="198">
        <f>IF($G312="T",SUMIFS('School Level ADM'!$S$5:$S$359,'School Level ADM'!$A$5:$A$359,$A312),0)</f>
        <v>5559.7213333333339</v>
      </c>
      <c r="Q312" s="199">
        <f t="shared" si="34"/>
        <v>0.24258751817537136</v>
      </c>
      <c r="R312" s="200">
        <f>SUM((('School Level Inst. Resources'!I312/'Model Data Inputs'!$B$8)*(1+'Model Data Inputs'!$B$9)),(SUM('School Level Inst. Resources'!J312:K312)/'Model Data Inputs'!$C$8)*(1+'Model Data Inputs'!$C$9),'School Level Inst. Resources'!K312/400)</f>
        <v>81.538859543478253</v>
      </c>
      <c r="S312" s="200">
        <f t="shared" si="35"/>
        <v>81.538859543478253</v>
      </c>
      <c r="T312" s="201">
        <f>IF($G312="T",VLOOKUP($A312,'Total O &amp; M Resources'!$A$5:$K$52,3),0)</f>
        <v>38978907.979999989</v>
      </c>
      <c r="U312" s="202">
        <f>IF($G312="F",0,$S312/'Model Data Inputs'!$B$140)</f>
        <v>6.2722199648829422</v>
      </c>
      <c r="V312" s="202">
        <f>IF($G312="F",0,$O312/'Model Data Inputs'!$B$141)</f>
        <v>4.1499046153846155</v>
      </c>
      <c r="W312" s="202">
        <f>IF($G312="F",0,$N312/'Model Data Inputs'!$B$142)</f>
        <v>6.0769230769230766</v>
      </c>
      <c r="X312" s="202">
        <f>IF($G312="F",0,$K312/'Model Data Inputs'!$B$143)</f>
        <v>14.199113888888888</v>
      </c>
      <c r="Y312" s="202">
        <f t="shared" si="29"/>
        <v>7.6745403865198805</v>
      </c>
      <c r="Z312" s="202">
        <f>IF(OR($G312="F",$F312="E"),0,'Model Data Inputs'!$B$144)</f>
        <v>0.5</v>
      </c>
      <c r="AA312" s="202">
        <f>IF(AND($O312&lt;='Model Data Inputs'!$B$139,$F312="E"),0,IF(AND($O312&lt;='Model Data Inputs'!$B$139,$F312="M"),0,IF(AND($O312&lt;='Model Data Inputs'!$B$139,$F312="H"),0,IF(SUM($Y312:$Z312)&lt;1,1,SUM($Y312:$Z312)))))</f>
        <v>8.1745403865198796</v>
      </c>
      <c r="AB312" s="202">
        <f>($K312/'Model Data Inputs'!$B$143)*'Model Data Inputs'!$B$145</f>
        <v>1.419911388888889</v>
      </c>
      <c r="AC312" s="202">
        <f t="shared" si="30"/>
        <v>9.5944517754087677</v>
      </c>
      <c r="AD312" s="202">
        <f>IF($G312="F",0,'Model Data Inputs'!$B$147)</f>
        <v>1.1000000000000001</v>
      </c>
      <c r="AE312" s="202">
        <f>IF($G312="F",0,($K312/'Model Data Inputs'!$B$148)*'Model Data Inputs'!$B$149)</f>
        <v>5.111680999999999</v>
      </c>
      <c r="AF312" s="202">
        <f>IF($G312="F",0,($O312/'Model Data Inputs'!$B$150)*'Model Data Inputs'!$B$151)</f>
        <v>1.7533347000000001</v>
      </c>
      <c r="AG312" s="202">
        <f>IF($G312="F",0,(($Q312*$T312)/'Model Data Inputs'!$B$152)*'Model Data Inputs'!$B$153)</f>
        <v>2.2693911715330497</v>
      </c>
      <c r="AH312" s="202">
        <f t="shared" si="31"/>
        <v>2.5586017178832621</v>
      </c>
      <c r="AI312" s="203">
        <f>IF(OR($G312="F",$F312="M",$F312="H"),0,($AH312*'Model Data Inputs'!$B$154)-$AH312)</f>
        <v>0</v>
      </c>
      <c r="AJ312" s="202">
        <f>IF(OR($G312="F",$F312="E",$F312="H"),0,($AH312*'Model Data Inputs'!$B$155)-$AH312)</f>
        <v>0</v>
      </c>
      <c r="AK312" s="203">
        <f>IF(OR($G312="F",$F312="E",$F312="M"),0,($AH312*'Model Data Inputs'!$B$156)-$AH312)</f>
        <v>2.5586017178832621</v>
      </c>
      <c r="AL312" s="203">
        <f>IF($G312="F",0,IF($M312&lt;'Model Data Inputs'!$B$158,$AH312*('Model Data Inputs'!$B$159-1),0))</f>
        <v>0</v>
      </c>
      <c r="AM312" s="202">
        <f>IF($G312="F",0,IF($M312&gt;'Model Data Inputs'!$B$160,$AH312*('Model Data Inputs'!$B$161-1),0))</f>
        <v>0.25586017178832643</v>
      </c>
      <c r="AN312" s="202">
        <f>IF($G312="F",0,IF($P312&lt;'Model Data Inputs'!$B$162,SUM($AH312,$AI312,$AJ312,$AK312,$AL312,$AM312)*('Model Data Inputs'!$B$163-1),0))</f>
        <v>0</v>
      </c>
      <c r="AO312" s="202">
        <f t="shared" si="32"/>
        <v>5.373063607554851</v>
      </c>
      <c r="AP312" s="204">
        <f>$K312*'Model Data Inputs'!$B$166</f>
        <v>171241.31349999999</v>
      </c>
      <c r="AQ312" s="204">
        <f>($K312*'Model Data Inputs'!$B$145)*'Model Data Inputs'!$B$166</f>
        <v>17124.13135</v>
      </c>
      <c r="AR312" s="50">
        <f t="shared" si="33"/>
        <v>188365.44485</v>
      </c>
    </row>
    <row r="313" spans="1:44" x14ac:dyDescent="0.2">
      <c r="A313" s="227" t="str">
        <f>'School Level Inst. Resources'!A313</f>
        <v>1901000</v>
      </c>
      <c r="B313" s="227" t="str">
        <f>'School Level Inst. Resources'!B313</f>
        <v>Sweetwater #1</v>
      </c>
      <c r="C313" s="227" t="str">
        <f>'School Level Inst. Resources'!C313</f>
        <v>1901057</v>
      </c>
      <c r="D313" s="227" t="str">
        <f>'School Level Inst. Resources'!D313</f>
        <v>Black Butte High School</v>
      </c>
      <c r="E313" s="228" t="str">
        <f>'School Level Inst. Resources'!E313</f>
        <v>9-12</v>
      </c>
      <c r="F313" s="229" t="str">
        <f>'School Level Inst. Resources'!H313</f>
        <v>H</v>
      </c>
      <c r="G313" s="229" t="s">
        <v>1158</v>
      </c>
      <c r="H313" s="207">
        <v>22533</v>
      </c>
      <c r="I313" s="207">
        <f>IF('SFD Allowable GSF Calculation'!$D$2=1,'SFD Allowable GSF Calculation'!$P313,'SFD Allowable GSF Calculation'!$X313)</f>
        <v>34230</v>
      </c>
      <c r="J313" s="194">
        <f>$I313*'Model Data Inputs'!$B$165</f>
        <v>39364.5</v>
      </c>
      <c r="K313" s="194">
        <f>IF($L313&gt;='Model Data Inputs'!$B$164,$H313,MIN($H313,$J313))</f>
        <v>22533</v>
      </c>
      <c r="L313" s="208">
        <v>2015</v>
      </c>
      <c r="M313" s="196">
        <f>IF($L313&gt;0,'Model Data Inputs'!$B$157-$L313,"")</f>
        <v>2</v>
      </c>
      <c r="N313" s="209">
        <v>11</v>
      </c>
      <c r="O313" s="198">
        <f>'School Level Inst. Resources'!$L313</f>
        <v>90.953333333333333</v>
      </c>
      <c r="P313" s="198">
        <f>IF($G313="T",SUMIFS('School Level ADM'!$S$5:$S$359,'School Level ADM'!$A$5:$A$359,$A313),0)</f>
        <v>5559.7213333333339</v>
      </c>
      <c r="Q313" s="199">
        <f t="shared" si="34"/>
        <v>1.6359333117655056E-2</v>
      </c>
      <c r="R313" s="200">
        <f>SUM((('School Level Inst. Resources'!I313/'Model Data Inputs'!$B$8)*(1+'Model Data Inputs'!$B$9)),(SUM('School Level Inst. Resources'!J313:K313)/'Model Data Inputs'!$C$8)*(1+'Model Data Inputs'!$C$9),'School Level Inst. Resources'!K313/400)</f>
        <v>5.498722173913043</v>
      </c>
      <c r="S313" s="200">
        <f t="shared" si="35"/>
        <v>5.498722173913043</v>
      </c>
      <c r="T313" s="201">
        <f>IF($G313="T",VLOOKUP($A313,'Total O &amp; M Resources'!$A$5:$K$52,3),0)</f>
        <v>38978907.979999989</v>
      </c>
      <c r="U313" s="202">
        <f>IF($G313="F",0,$S313/'Model Data Inputs'!$B$140)</f>
        <v>0.42297862876254178</v>
      </c>
      <c r="V313" s="202">
        <f>IF($G313="F",0,$O313/'Model Data Inputs'!$B$141)</f>
        <v>0.27985641025641028</v>
      </c>
      <c r="W313" s="202">
        <f>IF($G313="F",0,$N313/'Model Data Inputs'!$B$142)</f>
        <v>0.84615384615384615</v>
      </c>
      <c r="X313" s="202">
        <f>IF($G313="F",0,$K313/'Model Data Inputs'!$B$143)</f>
        <v>1.2518333333333334</v>
      </c>
      <c r="Y313" s="202">
        <f t="shared" si="29"/>
        <v>0.70020555462653289</v>
      </c>
      <c r="Z313" s="202">
        <f>IF(OR($G313="F",$F313="E"),0,'Model Data Inputs'!$B$144)</f>
        <v>0.5</v>
      </c>
      <c r="AA313" s="202">
        <f>IF(AND($O313&lt;='Model Data Inputs'!$B$139,$F313="E"),0,IF(AND($O313&lt;='Model Data Inputs'!$B$139,$F313="M"),0,IF(AND($O313&lt;='Model Data Inputs'!$B$139,$F313="H"),0,IF(SUM($Y313:$Z313)&lt;1,1,SUM($Y313:$Z313)))))</f>
        <v>1.2002055546265329</v>
      </c>
      <c r="AB313" s="202">
        <f>($K313/'Model Data Inputs'!$B$143)*'Model Data Inputs'!$B$145</f>
        <v>0.12518333333333334</v>
      </c>
      <c r="AC313" s="202">
        <f t="shared" si="30"/>
        <v>1.3253888879598663</v>
      </c>
      <c r="AD313" s="202">
        <f>IF($G313="F",0,'Model Data Inputs'!$B$147)</f>
        <v>1.1000000000000001</v>
      </c>
      <c r="AE313" s="202">
        <f>IF($G313="F",0,($K313/'Model Data Inputs'!$B$148)*'Model Data Inputs'!$B$149)</f>
        <v>0.45065999999999995</v>
      </c>
      <c r="AF313" s="202">
        <f>IF($G313="F",0,($O313/'Model Data Inputs'!$B$150)*'Model Data Inputs'!$B$151)</f>
        <v>0.11823933333333334</v>
      </c>
      <c r="AG313" s="202">
        <f>IF($G313="F",0,(($Q313*$T313)/'Model Data Inputs'!$B$152)*'Model Data Inputs'!$B$153)</f>
        <v>0.15304054564973826</v>
      </c>
      <c r="AH313" s="202">
        <f t="shared" si="31"/>
        <v>0.45548496974576796</v>
      </c>
      <c r="AI313" s="203">
        <f>IF(OR($G313="F",$F313="M",$F313="H"),0,($AH313*'Model Data Inputs'!$B$154)-$AH313)</f>
        <v>0</v>
      </c>
      <c r="AJ313" s="202">
        <f>IF(OR($G313="F",$F313="E",$F313="H"),0,($AH313*'Model Data Inputs'!$B$155)-$AH313)</f>
        <v>0</v>
      </c>
      <c r="AK313" s="203">
        <f>IF(OR($G313="F",$F313="E",$F313="M"),0,($AH313*'Model Data Inputs'!$B$156)-$AH313)</f>
        <v>0.45548496974576796</v>
      </c>
      <c r="AL313" s="203">
        <f>IF($G313="F",0,IF($M313&lt;'Model Data Inputs'!$B$158,$AH313*('Model Data Inputs'!$B$159-1),0))</f>
        <v>-2.2774248487288418E-2</v>
      </c>
      <c r="AM313" s="202">
        <f>IF($G313="F",0,IF($M313&gt;'Model Data Inputs'!$B$160,$AH313*('Model Data Inputs'!$B$161-1),0))</f>
        <v>0</v>
      </c>
      <c r="AN313" s="202">
        <f>IF($G313="F",0,IF($P313&lt;'Model Data Inputs'!$B$162,SUM($AH313,$AI313,$AJ313,$AK313,$AL313,$AM313)*('Model Data Inputs'!$B$163-1),0))</f>
        <v>0</v>
      </c>
      <c r="AO313" s="202">
        <f t="shared" si="32"/>
        <v>0.88819569100424756</v>
      </c>
      <c r="AP313" s="204">
        <f>$K313*'Model Data Inputs'!$B$166</f>
        <v>15097.11</v>
      </c>
      <c r="AQ313" s="204">
        <f>($K313*'Model Data Inputs'!$B$145)*'Model Data Inputs'!$B$166</f>
        <v>1509.7110000000002</v>
      </c>
      <c r="AR313" s="50">
        <f t="shared" si="33"/>
        <v>16606.821</v>
      </c>
    </row>
    <row r="314" spans="1:44" x14ac:dyDescent="0.2">
      <c r="A314" s="227" t="str">
        <f>'School Level Inst. Resources'!A314</f>
        <v>1902000</v>
      </c>
      <c r="B314" s="227" t="str">
        <f>'School Level Inst. Resources'!B314</f>
        <v>Sweetwater #2</v>
      </c>
      <c r="C314" s="227" t="str">
        <f>'School Level Inst. Resources'!C314</f>
        <v>1902001</v>
      </c>
      <c r="D314" s="227" t="str">
        <f>'School Level Inst. Resources'!D314</f>
        <v>Granger Elementary</v>
      </c>
      <c r="E314" s="228" t="str">
        <f>'School Level Inst. Resources'!E314</f>
        <v>K-4</v>
      </c>
      <c r="F314" s="229" t="str">
        <f>'School Level Inst. Resources'!H314</f>
        <v>E</v>
      </c>
      <c r="G314" s="229" t="s">
        <v>1158</v>
      </c>
      <c r="H314" s="207">
        <v>2932</v>
      </c>
      <c r="I314" s="207">
        <f>IF('SFD Allowable GSF Calculation'!$D$2=1,'SFD Allowable GSF Calculation'!$P314,'SFD Allowable GSF Calculation'!$X314)</f>
        <v>2915</v>
      </c>
      <c r="J314" s="194">
        <f>$I314*'Model Data Inputs'!$B$165</f>
        <v>3352.2499999999995</v>
      </c>
      <c r="K314" s="194">
        <f>IF($L314&gt;='Model Data Inputs'!$B$164,$H314,MIN($H314,$J314))</f>
        <v>2932</v>
      </c>
      <c r="L314" s="208">
        <v>2013</v>
      </c>
      <c r="M314" s="196">
        <f>IF($L314&gt;0,'Model Data Inputs'!$B$157-$L314,"")</f>
        <v>4</v>
      </c>
      <c r="N314" s="209">
        <v>3</v>
      </c>
      <c r="O314" s="198">
        <f>'School Level Inst. Resources'!$L314</f>
        <v>3.2943333333333333</v>
      </c>
      <c r="P314" s="198">
        <f>IF($G314="T",SUMIFS('School Level ADM'!$S$5:$S$359,'School Level ADM'!$A$5:$A$359,$A314),0)</f>
        <v>2622.5863333333332</v>
      </c>
      <c r="Q314" s="199">
        <f t="shared" si="34"/>
        <v>1.2561391369511955E-3</v>
      </c>
      <c r="R314" s="200">
        <f>SUM((('School Level Inst. Resources'!I314/'Model Data Inputs'!$B$8)*(1+'Model Data Inputs'!$B$9)),(SUM('School Level Inst. Resources'!J314:K314)/'Model Data Inputs'!$C$8)*(1+'Model Data Inputs'!$C$9),'School Level Inst. Resources'!K314/400)</f>
        <v>0.21962222222222222</v>
      </c>
      <c r="S314" s="200">
        <f t="shared" si="35"/>
        <v>0.21962222222222222</v>
      </c>
      <c r="T314" s="201">
        <f>IF($G314="T",VLOOKUP($A314,'Total O &amp; M Resources'!$A$5:$K$52,3),0)</f>
        <v>23673337.720000003</v>
      </c>
      <c r="U314" s="202">
        <f>IF($G314="F",0,$S314/'Model Data Inputs'!$B$140)</f>
        <v>1.6894017094017093E-2</v>
      </c>
      <c r="V314" s="202">
        <f>IF($G314="F",0,$O314/'Model Data Inputs'!$B$141)</f>
        <v>1.0136410256410256E-2</v>
      </c>
      <c r="W314" s="202">
        <f>IF($G314="F",0,$N314/'Model Data Inputs'!$B$142)</f>
        <v>0.23076923076923078</v>
      </c>
      <c r="X314" s="202">
        <f>IF($G314="F",0,$K314/'Model Data Inputs'!$B$143)</f>
        <v>0.16288888888888889</v>
      </c>
      <c r="Y314" s="202">
        <f t="shared" si="29"/>
        <v>0.10517213675213674</v>
      </c>
      <c r="Z314" s="202">
        <f>IF(OR($G314="F",$F314="E"),0,'Model Data Inputs'!$B$144)</f>
        <v>0</v>
      </c>
      <c r="AA314" s="202">
        <f>IF(AND($O314&lt;='Model Data Inputs'!$B$139,$F314="E"),0,IF(AND($O314&lt;='Model Data Inputs'!$B$139,$F314="M"),0,IF(AND($O314&lt;='Model Data Inputs'!$B$139,$F314="H"),0,IF(SUM($Y314:$Z314)&lt;1,1,SUM($Y314:$Z314)))))</f>
        <v>0</v>
      </c>
      <c r="AB314" s="202">
        <f>($K314/'Model Data Inputs'!$B$143)*'Model Data Inputs'!$B$145</f>
        <v>1.6288888888888891E-2</v>
      </c>
      <c r="AC314" s="202">
        <f t="shared" si="30"/>
        <v>1.6288888888888891E-2</v>
      </c>
      <c r="AD314" s="202">
        <f>IF($G314="F",0,'Model Data Inputs'!$B$147)</f>
        <v>1.1000000000000001</v>
      </c>
      <c r="AE314" s="202">
        <f>IF($G314="F",0,($K314/'Model Data Inputs'!$B$148)*'Model Data Inputs'!$B$149)</f>
        <v>5.8639999999999998E-2</v>
      </c>
      <c r="AF314" s="202">
        <f>IF($G314="F",0,($O314/'Model Data Inputs'!$B$150)*'Model Data Inputs'!$B$151)</f>
        <v>4.2826333333333333E-3</v>
      </c>
      <c r="AG314" s="202">
        <f>IF($G314="F",0,(($Q314*$T314)/'Model Data Inputs'!$B$152)*'Model Data Inputs'!$B$153)</f>
        <v>7.1368814429651961E-3</v>
      </c>
      <c r="AH314" s="202">
        <f t="shared" si="31"/>
        <v>0.29251487869407461</v>
      </c>
      <c r="AI314" s="203">
        <f>IF(OR($G314="F",$F314="M",$F314="H"),0,($AH314*'Model Data Inputs'!$B$154)-$AH314)</f>
        <v>-5.8502975738814911E-2</v>
      </c>
      <c r="AJ314" s="202">
        <f>IF(OR($G314="F",$F314="E",$F314="H"),0,($AH314*'Model Data Inputs'!$B$155)-$AH314)</f>
        <v>0</v>
      </c>
      <c r="AK314" s="203">
        <f>IF(OR($G314="F",$F314="E",$F314="M"),0,($AH314*'Model Data Inputs'!$B$156)-$AH314)</f>
        <v>0</v>
      </c>
      <c r="AL314" s="203">
        <f>IF($G314="F",0,IF($M314&lt;'Model Data Inputs'!$B$158,$AH314*('Model Data Inputs'!$B$159-1),0))</f>
        <v>-1.4625743934703743E-2</v>
      </c>
      <c r="AM314" s="202">
        <f>IF($G314="F",0,IF($M314&gt;'Model Data Inputs'!$B$160,$AH314*('Model Data Inputs'!$B$161-1),0))</f>
        <v>0</v>
      </c>
      <c r="AN314" s="202">
        <f>IF($G314="F",0,IF($P314&lt;'Model Data Inputs'!$B$162,SUM($AH314,$AI314,$AJ314,$AK314,$AL314,$AM314)*('Model Data Inputs'!$B$163-1),0))</f>
        <v>0</v>
      </c>
      <c r="AO314" s="202">
        <f t="shared" si="32"/>
        <v>0.21938615902055594</v>
      </c>
      <c r="AP314" s="204">
        <f>$K314*'Model Data Inputs'!$B$166</f>
        <v>1964.44</v>
      </c>
      <c r="AQ314" s="204">
        <f>($K314*'Model Data Inputs'!$B$145)*'Model Data Inputs'!$B$166</f>
        <v>196.44400000000002</v>
      </c>
      <c r="AR314" s="50">
        <f t="shared" si="33"/>
        <v>2160.884</v>
      </c>
    </row>
    <row r="315" spans="1:44" x14ac:dyDescent="0.2">
      <c r="A315" s="227" t="str">
        <f>'School Level Inst. Resources'!A315</f>
        <v>1902000</v>
      </c>
      <c r="B315" s="227" t="str">
        <f>'School Level Inst. Resources'!B315</f>
        <v>Sweetwater #2</v>
      </c>
      <c r="C315" s="227" t="str">
        <f>'School Level Inst. Resources'!C315</f>
        <v>1902002</v>
      </c>
      <c r="D315" s="227" t="str">
        <f>'School Level Inst. Resources'!D315</f>
        <v>Harrison Elementary</v>
      </c>
      <c r="E315" s="228" t="str">
        <f>'School Level Inst. Resources'!E315</f>
        <v>K-4</v>
      </c>
      <c r="F315" s="229" t="str">
        <f>'School Level Inst. Resources'!H315</f>
        <v>E</v>
      </c>
      <c r="G315" s="229" t="s">
        <v>1158</v>
      </c>
      <c r="H315" s="207">
        <v>52702</v>
      </c>
      <c r="I315" s="207">
        <f>IF('SFD Allowable GSF Calculation'!$D$2=1,'SFD Allowable GSF Calculation'!$P315,'SFD Allowable GSF Calculation'!$X315)</f>
        <v>39445</v>
      </c>
      <c r="J315" s="194">
        <f>$I315*'Model Data Inputs'!$B$165</f>
        <v>45361.75</v>
      </c>
      <c r="K315" s="194">
        <f>IF($L315&gt;='Model Data Inputs'!$B$164,$H315,MIN($H315,$J315))</f>
        <v>45361.75</v>
      </c>
      <c r="L315" s="208">
        <v>1977</v>
      </c>
      <c r="M315" s="196">
        <f>IF($L315&gt;0,'Model Data Inputs'!$B$157-$L315,"")</f>
        <v>40</v>
      </c>
      <c r="N315" s="209">
        <v>27</v>
      </c>
      <c r="O315" s="198">
        <f>'School Level Inst. Resources'!$L315</f>
        <v>256.57466666666664</v>
      </c>
      <c r="P315" s="198">
        <f>IF($G315="T",SUMIFS('School Level ADM'!$S$5:$S$359,'School Level ADM'!$A$5:$A$359,$A315),0)</f>
        <v>2622.5863333333332</v>
      </c>
      <c r="Q315" s="199">
        <f t="shared" si="34"/>
        <v>9.7832686537551547E-2</v>
      </c>
      <c r="R315" s="200">
        <f>SUM((('School Level Inst. Resources'!I315/'Model Data Inputs'!$B$8)*(1+'Model Data Inputs'!$B$9)),(SUM('School Level Inst. Resources'!J315:K315)/'Model Data Inputs'!$C$8)*(1+'Model Data Inputs'!$C$9),'School Level Inst. Resources'!K315/400)</f>
        <v>17.104977777777776</v>
      </c>
      <c r="S315" s="200">
        <f t="shared" si="35"/>
        <v>17.104977777777776</v>
      </c>
      <c r="T315" s="201">
        <f>IF($G315="T",VLOOKUP($A315,'Total O &amp; M Resources'!$A$5:$K$52,3),0)</f>
        <v>23673337.720000003</v>
      </c>
      <c r="U315" s="202">
        <f>IF($G315="F",0,$S315/'Model Data Inputs'!$B$140)</f>
        <v>1.3157675213675213</v>
      </c>
      <c r="V315" s="202">
        <f>IF($G315="F",0,$O315/'Model Data Inputs'!$B$141)</f>
        <v>0.78946051282051277</v>
      </c>
      <c r="W315" s="202">
        <f>IF($G315="F",0,$N315/'Model Data Inputs'!$B$142)</f>
        <v>2.0769230769230771</v>
      </c>
      <c r="X315" s="202">
        <f>IF($G315="F",0,$K315/'Model Data Inputs'!$B$143)</f>
        <v>2.5200972222222222</v>
      </c>
      <c r="Y315" s="202">
        <f t="shared" si="29"/>
        <v>1.6755620833333333</v>
      </c>
      <c r="Z315" s="202">
        <f>IF(OR($G315="F",$F315="E"),0,'Model Data Inputs'!$B$144)</f>
        <v>0</v>
      </c>
      <c r="AA315" s="202">
        <f>IF(AND($O315&lt;='Model Data Inputs'!$B$139,$F315="E"),0,IF(AND($O315&lt;='Model Data Inputs'!$B$139,$F315="M"),0,IF(AND($O315&lt;='Model Data Inputs'!$B$139,$F315="H"),0,IF(SUM($Y315:$Z315)&lt;1,1,SUM($Y315:$Z315)))))</f>
        <v>1.6755620833333333</v>
      </c>
      <c r="AB315" s="202">
        <f>($K315/'Model Data Inputs'!$B$143)*'Model Data Inputs'!$B$145</f>
        <v>0.25200972222222223</v>
      </c>
      <c r="AC315" s="202">
        <f t="shared" si="30"/>
        <v>1.9275718055555555</v>
      </c>
      <c r="AD315" s="202">
        <f>IF($G315="F",0,'Model Data Inputs'!$B$147)</f>
        <v>1.1000000000000001</v>
      </c>
      <c r="AE315" s="202">
        <f>IF($G315="F",0,($K315/'Model Data Inputs'!$B$148)*'Model Data Inputs'!$B$149)</f>
        <v>0.9072349999999999</v>
      </c>
      <c r="AF315" s="202">
        <f>IF($G315="F",0,($O315/'Model Data Inputs'!$B$150)*'Model Data Inputs'!$B$151)</f>
        <v>0.33354706666666661</v>
      </c>
      <c r="AG315" s="202">
        <f>IF($G315="F",0,(($Q315*$T315)/'Model Data Inputs'!$B$152)*'Model Data Inputs'!$B$153)</f>
        <v>0.55584629483000536</v>
      </c>
      <c r="AH315" s="202">
        <f t="shared" si="31"/>
        <v>0.72415709037416809</v>
      </c>
      <c r="AI315" s="203">
        <f>IF(OR($G315="F",$F315="M",$F315="H"),0,($AH315*'Model Data Inputs'!$B$154)-$AH315)</f>
        <v>-0.14483141807483357</v>
      </c>
      <c r="AJ315" s="202">
        <f>IF(OR($G315="F",$F315="E",$F315="H"),0,($AH315*'Model Data Inputs'!$B$155)-$AH315)</f>
        <v>0</v>
      </c>
      <c r="AK315" s="203">
        <f>IF(OR($G315="F",$F315="E",$F315="M"),0,($AH315*'Model Data Inputs'!$B$156)-$AH315)</f>
        <v>0</v>
      </c>
      <c r="AL315" s="203">
        <f>IF($G315="F",0,IF($M315&lt;'Model Data Inputs'!$B$158,$AH315*('Model Data Inputs'!$B$159-1),0))</f>
        <v>0</v>
      </c>
      <c r="AM315" s="202">
        <f>IF($G315="F",0,IF($M315&gt;'Model Data Inputs'!$B$160,$AH315*('Model Data Inputs'!$B$161-1),0))</f>
        <v>7.241570903741687E-2</v>
      </c>
      <c r="AN315" s="202">
        <f>IF($G315="F",0,IF($P315&lt;'Model Data Inputs'!$B$162,SUM($AH315,$AI315,$AJ315,$AK315,$AL315,$AM315)*('Model Data Inputs'!$B$163-1),0))</f>
        <v>0</v>
      </c>
      <c r="AO315" s="202">
        <f t="shared" si="32"/>
        <v>0.65174138133675141</v>
      </c>
      <c r="AP315" s="204">
        <f>$K315*'Model Data Inputs'!$B$166</f>
        <v>30392.372500000001</v>
      </c>
      <c r="AQ315" s="204">
        <f>($K315*'Model Data Inputs'!$B$145)*'Model Data Inputs'!$B$166</f>
        <v>3039.2372500000001</v>
      </c>
      <c r="AR315" s="50">
        <f t="shared" si="33"/>
        <v>33431.609750000003</v>
      </c>
    </row>
    <row r="316" spans="1:44" x14ac:dyDescent="0.2">
      <c r="A316" s="227" t="str">
        <f>'School Level Inst. Resources'!A316</f>
        <v>1902000</v>
      </c>
      <c r="B316" s="227" t="str">
        <f>'School Level Inst. Resources'!B316</f>
        <v>Sweetwater #2</v>
      </c>
      <c r="C316" s="227" t="str">
        <f>'School Level Inst. Resources'!C316</f>
        <v>1902004</v>
      </c>
      <c r="D316" s="227" t="str">
        <f>'School Level Inst. Resources'!D316</f>
        <v>McKinnon Elementary</v>
      </c>
      <c r="E316" s="228" t="str">
        <f>'School Level Inst. Resources'!E316</f>
        <v>K-5</v>
      </c>
      <c r="F316" s="229" t="str">
        <f>'School Level Inst. Resources'!H316</f>
        <v>E</v>
      </c>
      <c r="G316" s="229" t="s">
        <v>1158</v>
      </c>
      <c r="H316" s="207">
        <v>5108</v>
      </c>
      <c r="I316" s="207">
        <f>IF('SFD Allowable GSF Calculation'!$D$2=1,'SFD Allowable GSF Calculation'!$P316,'SFD Allowable GSF Calculation'!$X316)</f>
        <v>2915</v>
      </c>
      <c r="J316" s="194">
        <f>$I316*'Model Data Inputs'!$B$165</f>
        <v>3352.2499999999995</v>
      </c>
      <c r="K316" s="194">
        <f>IF($L316&gt;='Model Data Inputs'!$B$164,$H316,MIN($H316,$J316))</f>
        <v>3352.2499999999995</v>
      </c>
      <c r="L316" s="208">
        <v>1971</v>
      </c>
      <c r="M316" s="196">
        <f>IF($L316&gt;0,'Model Data Inputs'!$B$157-$L316,"")</f>
        <v>46</v>
      </c>
      <c r="N316" s="209">
        <v>5</v>
      </c>
      <c r="O316" s="198">
        <f>'School Level Inst. Resources'!$L316</f>
        <v>17.387000000000004</v>
      </c>
      <c r="P316" s="198">
        <f>IF($G316="T",SUMIFS('School Level ADM'!$S$5:$S$359,'School Level ADM'!$A$5:$A$359,$A316),0)</f>
        <v>2622.5863333333332</v>
      </c>
      <c r="Q316" s="199">
        <f t="shared" si="34"/>
        <v>6.6297150179612787E-3</v>
      </c>
      <c r="R316" s="200">
        <f>SUM((('School Level Inst. Resources'!I316/'Model Data Inputs'!$B$8)*(1+'Model Data Inputs'!$B$9)),(SUM('School Level Inst. Resources'!J316:K316)/'Model Data Inputs'!$C$8)*(1+'Model Data Inputs'!$C$9),'School Level Inst. Resources'!K316/400)</f>
        <v>1.1591333333333336</v>
      </c>
      <c r="S316" s="200">
        <f t="shared" si="35"/>
        <v>1.1591333333333336</v>
      </c>
      <c r="T316" s="201">
        <f>IF($G316="T",VLOOKUP($A316,'Total O &amp; M Resources'!$A$5:$K$52,3),0)</f>
        <v>23673337.720000003</v>
      </c>
      <c r="U316" s="202">
        <f>IF($G316="F",0,$S316/'Model Data Inputs'!$B$140)</f>
        <v>8.9164102564102579E-2</v>
      </c>
      <c r="V316" s="202">
        <f>IF($G316="F",0,$O316/'Model Data Inputs'!$B$141)</f>
        <v>5.349846153846155E-2</v>
      </c>
      <c r="W316" s="202">
        <f>IF($G316="F",0,$N316/'Model Data Inputs'!$B$142)</f>
        <v>0.38461538461538464</v>
      </c>
      <c r="X316" s="202">
        <f>IF($G316="F",0,$K316/'Model Data Inputs'!$B$143)</f>
        <v>0.18623611111111107</v>
      </c>
      <c r="Y316" s="202">
        <f t="shared" si="29"/>
        <v>0.17837851495726495</v>
      </c>
      <c r="Z316" s="202">
        <f>IF(OR($G316="F",$F316="E"),0,'Model Data Inputs'!$B$144)</f>
        <v>0</v>
      </c>
      <c r="AA316" s="202">
        <f>IF(AND($O316&lt;='Model Data Inputs'!$B$139,$F316="E"),0,IF(AND($O316&lt;='Model Data Inputs'!$B$139,$F316="M"),0,IF(AND($O316&lt;='Model Data Inputs'!$B$139,$F316="H"),0,IF(SUM($Y316:$Z316)&lt;1,1,SUM($Y316:$Z316)))))</f>
        <v>0</v>
      </c>
      <c r="AB316" s="202">
        <f>($K316/'Model Data Inputs'!$B$143)*'Model Data Inputs'!$B$145</f>
        <v>1.8623611111111108E-2</v>
      </c>
      <c r="AC316" s="202">
        <f t="shared" si="30"/>
        <v>1.8623611111111108E-2</v>
      </c>
      <c r="AD316" s="202">
        <f>IF($G316="F",0,'Model Data Inputs'!$B$147)</f>
        <v>1.1000000000000001</v>
      </c>
      <c r="AE316" s="202">
        <f>IF($G316="F",0,($K316/'Model Data Inputs'!$B$148)*'Model Data Inputs'!$B$149)</f>
        <v>6.7044999999999993E-2</v>
      </c>
      <c r="AF316" s="202">
        <f>IF($G316="F",0,($O316/'Model Data Inputs'!$B$150)*'Model Data Inputs'!$B$151)</f>
        <v>2.2603100000000004E-2</v>
      </c>
      <c r="AG316" s="202">
        <f>IF($G316="F",0,(($Q316*$T316)/'Model Data Inputs'!$B$152)*'Model Data Inputs'!$B$153)</f>
        <v>3.7667395825812779E-2</v>
      </c>
      <c r="AH316" s="202">
        <f t="shared" si="31"/>
        <v>0.3068288739564532</v>
      </c>
      <c r="AI316" s="203">
        <f>IF(OR($G316="F",$F316="M",$F316="H"),0,($AH316*'Model Data Inputs'!$B$154)-$AH316)</f>
        <v>-6.1365774791290628E-2</v>
      </c>
      <c r="AJ316" s="202">
        <f>IF(OR($G316="F",$F316="E",$F316="H"),0,($AH316*'Model Data Inputs'!$B$155)-$AH316)</f>
        <v>0</v>
      </c>
      <c r="AK316" s="203">
        <f>IF(OR($G316="F",$F316="E",$F316="M"),0,($AH316*'Model Data Inputs'!$B$156)-$AH316)</f>
        <v>0</v>
      </c>
      <c r="AL316" s="203">
        <f>IF($G316="F",0,IF($M316&lt;'Model Data Inputs'!$B$158,$AH316*('Model Data Inputs'!$B$159-1),0))</f>
        <v>0</v>
      </c>
      <c r="AM316" s="202">
        <f>IF($G316="F",0,IF($M316&gt;'Model Data Inputs'!$B$160,$AH316*('Model Data Inputs'!$B$161-1),0))</f>
        <v>3.0682887395645345E-2</v>
      </c>
      <c r="AN316" s="202">
        <f>IF($G316="F",0,IF($P316&lt;'Model Data Inputs'!$B$162,SUM($AH316,$AI316,$AJ316,$AK316,$AL316,$AM316)*('Model Data Inputs'!$B$163-1),0))</f>
        <v>0</v>
      </c>
      <c r="AO316" s="202">
        <f t="shared" si="32"/>
        <v>0.27614598656080791</v>
      </c>
      <c r="AP316" s="204">
        <f>$K316*'Model Data Inputs'!$B$166</f>
        <v>2246.0074999999997</v>
      </c>
      <c r="AQ316" s="204">
        <f>($K316*'Model Data Inputs'!$B$145)*'Model Data Inputs'!$B$166</f>
        <v>224.60074999999998</v>
      </c>
      <c r="AR316" s="50">
        <f t="shared" si="33"/>
        <v>2470.6082499999998</v>
      </c>
    </row>
    <row r="317" spans="1:44" x14ac:dyDescent="0.2">
      <c r="A317" s="227" t="str">
        <f>'School Level Inst. Resources'!A317</f>
        <v>1902000</v>
      </c>
      <c r="B317" s="227" t="str">
        <f>'School Level Inst. Resources'!B317</f>
        <v>Sweetwater #2</v>
      </c>
      <c r="C317" s="227" t="str">
        <f>'School Level Inst. Resources'!C317</f>
        <v>1902006</v>
      </c>
      <c r="D317" s="227" t="str">
        <f>'School Level Inst. Resources'!D317</f>
        <v>Thoman Ranch Elementary</v>
      </c>
      <c r="E317" s="228" t="str">
        <f>'School Level Inst. Resources'!E317</f>
        <v>K-8</v>
      </c>
      <c r="F317" s="229" t="str">
        <f>'School Level Inst. Resources'!H317</f>
        <v>E</v>
      </c>
      <c r="G317" s="229" t="s">
        <v>1158</v>
      </c>
      <c r="H317" s="207">
        <v>1399</v>
      </c>
      <c r="I317" s="207">
        <f>IF('SFD Allowable GSF Calculation'!$D$2=1,'SFD Allowable GSF Calculation'!$P317,'SFD Allowable GSF Calculation'!$X317)</f>
        <v>3505</v>
      </c>
      <c r="J317" s="194">
        <f>$I317*'Model Data Inputs'!$B$165</f>
        <v>4030.7499999999995</v>
      </c>
      <c r="K317" s="194">
        <f>IF($L317&gt;='Model Data Inputs'!$B$164,$H317,MIN($H317,$J317))</f>
        <v>1399</v>
      </c>
      <c r="L317" s="208">
        <v>2016</v>
      </c>
      <c r="M317" s="196">
        <f>IF($L317&gt;0,'Model Data Inputs'!$B$157-$L317,"")</f>
        <v>1</v>
      </c>
      <c r="N317" s="209">
        <v>2</v>
      </c>
      <c r="O317" s="198">
        <f>'School Level Inst. Resources'!$L317</f>
        <v>1.5653333333333332</v>
      </c>
      <c r="P317" s="198">
        <f>IF($G317="T",SUMIFS('School Level ADM'!$S$5:$S$359,'School Level ADM'!$A$5:$A$359,$A317),0)</f>
        <v>2622.5863333333332</v>
      </c>
      <c r="Q317" s="199">
        <f t="shared" si="34"/>
        <v>5.9686627411947922E-4</v>
      </c>
      <c r="R317" s="200">
        <f>SUM((('School Level Inst. Resources'!I317/'Model Data Inputs'!$B$8)*(1+'Model Data Inputs'!$B$9)),(SUM('School Level Inst. Resources'!J317:K317)/'Model Data Inputs'!$C$8)*(1+'Model Data Inputs'!$C$9),'School Level Inst. Resources'!K317/400)</f>
        <v>0.10435555555555555</v>
      </c>
      <c r="S317" s="200">
        <f t="shared" si="35"/>
        <v>0.10435555555555555</v>
      </c>
      <c r="T317" s="201">
        <f>IF($G317="T",VLOOKUP($A317,'Total O &amp; M Resources'!$A$5:$K$52,3),0)</f>
        <v>23673337.720000003</v>
      </c>
      <c r="U317" s="202">
        <f>IF($G317="F",0,$S317/'Model Data Inputs'!$B$140)</f>
        <v>8.0273504273504267E-3</v>
      </c>
      <c r="V317" s="202">
        <f>IF($G317="F",0,$O317/'Model Data Inputs'!$B$141)</f>
        <v>4.816410256410256E-3</v>
      </c>
      <c r="W317" s="202">
        <f>IF($G317="F",0,$N317/'Model Data Inputs'!$B$142)</f>
        <v>0.15384615384615385</v>
      </c>
      <c r="X317" s="202">
        <f>IF($G317="F",0,$K317/'Model Data Inputs'!$B$143)</f>
        <v>7.772222222222222E-2</v>
      </c>
      <c r="Y317" s="202">
        <f t="shared" si="29"/>
        <v>6.1103034188034193E-2</v>
      </c>
      <c r="Z317" s="202">
        <f>IF(OR($G317="F",$F317="E"),0,'Model Data Inputs'!$B$144)</f>
        <v>0</v>
      </c>
      <c r="AA317" s="202">
        <f>IF(AND($O317&lt;='Model Data Inputs'!$B$139,$F317="E"),0,IF(AND($O317&lt;='Model Data Inputs'!$B$139,$F317="M"),0,IF(AND($O317&lt;='Model Data Inputs'!$B$139,$F317="H"),0,IF(SUM($Y317:$Z317)&lt;1,1,SUM($Y317:$Z317)))))</f>
        <v>0</v>
      </c>
      <c r="AB317" s="202">
        <f>($K317/'Model Data Inputs'!$B$143)*'Model Data Inputs'!$B$145</f>
        <v>7.772222222222222E-3</v>
      </c>
      <c r="AC317" s="202">
        <f t="shared" si="30"/>
        <v>7.772222222222222E-3</v>
      </c>
      <c r="AD317" s="202">
        <f>IF($G317="F",0,'Model Data Inputs'!$B$147)</f>
        <v>1.1000000000000001</v>
      </c>
      <c r="AE317" s="202">
        <f>IF($G317="F",0,($K317/'Model Data Inputs'!$B$148)*'Model Data Inputs'!$B$149)</f>
        <v>2.7979999999999998E-2</v>
      </c>
      <c r="AF317" s="202">
        <f>IF($G317="F",0,($O317/'Model Data Inputs'!$B$150)*'Model Data Inputs'!$B$151)</f>
        <v>2.0349333333333332E-3</v>
      </c>
      <c r="AG317" s="202">
        <f>IF($G317="F",0,(($Q317*$T317)/'Model Data Inputs'!$B$152)*'Model Data Inputs'!$B$153)</f>
        <v>3.3911560514180471E-3</v>
      </c>
      <c r="AH317" s="202">
        <f t="shared" si="31"/>
        <v>0.28335152234618788</v>
      </c>
      <c r="AI317" s="203">
        <f>IF(OR($G317="F",$F317="M",$F317="H"),0,($AH317*'Model Data Inputs'!$B$154)-$AH317)</f>
        <v>-5.667030446923757E-2</v>
      </c>
      <c r="AJ317" s="202">
        <f>IF(OR($G317="F",$F317="E",$F317="H"),0,($AH317*'Model Data Inputs'!$B$155)-$AH317)</f>
        <v>0</v>
      </c>
      <c r="AK317" s="203">
        <f>IF(OR($G317="F",$F317="E",$F317="M"),0,($AH317*'Model Data Inputs'!$B$156)-$AH317)</f>
        <v>0</v>
      </c>
      <c r="AL317" s="203">
        <f>IF($G317="F",0,IF($M317&lt;'Model Data Inputs'!$B$158,$AH317*('Model Data Inputs'!$B$159-1),0))</f>
        <v>-1.4167576117309406E-2</v>
      </c>
      <c r="AM317" s="202">
        <f>IF($G317="F",0,IF($M317&gt;'Model Data Inputs'!$B$160,$AH317*('Model Data Inputs'!$B$161-1),0))</f>
        <v>0</v>
      </c>
      <c r="AN317" s="202">
        <f>IF($G317="F",0,IF($P317&lt;'Model Data Inputs'!$B$162,SUM($AH317,$AI317,$AJ317,$AK317,$AL317,$AM317)*('Model Data Inputs'!$B$163-1),0))</f>
        <v>0</v>
      </c>
      <c r="AO317" s="202">
        <f t="shared" si="32"/>
        <v>0.21251364175964091</v>
      </c>
      <c r="AP317" s="204">
        <f>$K317*'Model Data Inputs'!$B$166</f>
        <v>937.33</v>
      </c>
      <c r="AQ317" s="204">
        <f>($K317*'Model Data Inputs'!$B$145)*'Model Data Inputs'!$B$166</f>
        <v>93.733000000000004</v>
      </c>
      <c r="AR317" s="50">
        <f t="shared" si="33"/>
        <v>1031.0630000000001</v>
      </c>
    </row>
    <row r="318" spans="1:44" x14ac:dyDescent="0.2">
      <c r="A318" s="227" t="str">
        <f>'School Level Inst. Resources'!A318</f>
        <v>1902000</v>
      </c>
      <c r="B318" s="227" t="str">
        <f>'School Level Inst. Resources'!B318</f>
        <v>Sweetwater #2</v>
      </c>
      <c r="C318" s="227" t="str">
        <f>'School Level Inst. Resources'!C318</f>
        <v>1902007</v>
      </c>
      <c r="D318" s="227" t="str">
        <f>'School Level Inst. Resources'!D318</f>
        <v>Washington Elementary</v>
      </c>
      <c r="E318" s="228" t="str">
        <f>'School Level Inst. Resources'!E318</f>
        <v>K-4</v>
      </c>
      <c r="F318" s="229" t="str">
        <f>'School Level Inst. Resources'!H318</f>
        <v>E</v>
      </c>
      <c r="G318" s="229" t="s">
        <v>1158</v>
      </c>
      <c r="H318" s="207">
        <v>46821</v>
      </c>
      <c r="I318" s="207">
        <f>IF('SFD Allowable GSF Calculation'!$D$2=1,'SFD Allowable GSF Calculation'!$P318,'SFD Allowable GSF Calculation'!$X318)</f>
        <v>33610</v>
      </c>
      <c r="J318" s="194">
        <f>$I318*'Model Data Inputs'!$B$165</f>
        <v>38651.5</v>
      </c>
      <c r="K318" s="194">
        <f>IF($L318&gt;='Model Data Inputs'!$B$164,$H318,MIN($H318,$J318))</f>
        <v>38651.5</v>
      </c>
      <c r="L318" s="208">
        <v>1978</v>
      </c>
      <c r="M318" s="196">
        <f>IF($L318&gt;0,'Model Data Inputs'!$B$157-$L318,"")</f>
        <v>39</v>
      </c>
      <c r="N318" s="209">
        <v>26</v>
      </c>
      <c r="O318" s="198">
        <f>'School Level Inst. Resources'!$L318</f>
        <v>207.09133333333332</v>
      </c>
      <c r="P318" s="198">
        <f>IF($G318="T",SUMIFS('School Level ADM'!$S$5:$S$359,'School Level ADM'!$A$5:$A$359,$A318),0)</f>
        <v>2622.5863333333332</v>
      </c>
      <c r="Q318" s="199">
        <f t="shared" si="34"/>
        <v>7.8964543779238797E-2</v>
      </c>
      <c r="R318" s="200">
        <f>SUM((('School Level Inst. Resources'!I318/'Model Data Inputs'!$B$8)*(1+'Model Data Inputs'!$B$9)),(SUM('School Level Inst. Resources'!J318:K318)/'Model Data Inputs'!$C$8)*(1+'Model Data Inputs'!$C$9),'School Level Inst. Resources'!K318/400)</f>
        <v>13.806088888888889</v>
      </c>
      <c r="S318" s="200">
        <f t="shared" si="35"/>
        <v>13.806088888888889</v>
      </c>
      <c r="T318" s="201">
        <f>IF($G318="T",VLOOKUP($A318,'Total O &amp; M Resources'!$A$5:$K$52,3),0)</f>
        <v>23673337.720000003</v>
      </c>
      <c r="U318" s="202">
        <f>IF($G318="F",0,$S318/'Model Data Inputs'!$B$140)</f>
        <v>1.0620068376068377</v>
      </c>
      <c r="V318" s="202">
        <f>IF($G318="F",0,$O318/'Model Data Inputs'!$B$141)</f>
        <v>0.63720410256410254</v>
      </c>
      <c r="W318" s="202">
        <f>IF($G318="F",0,$N318/'Model Data Inputs'!$B$142)</f>
        <v>2</v>
      </c>
      <c r="X318" s="202">
        <f>IF($G318="F",0,$K318/'Model Data Inputs'!$B$143)</f>
        <v>2.1473055555555556</v>
      </c>
      <c r="Y318" s="202">
        <f t="shared" si="29"/>
        <v>1.4616291239316239</v>
      </c>
      <c r="Z318" s="202">
        <f>IF(OR($G318="F",$F318="E"),0,'Model Data Inputs'!$B$144)</f>
        <v>0</v>
      </c>
      <c r="AA318" s="202">
        <f>IF(AND($O318&lt;='Model Data Inputs'!$B$139,$F318="E"),0,IF(AND($O318&lt;='Model Data Inputs'!$B$139,$F318="M"),0,IF(AND($O318&lt;='Model Data Inputs'!$B$139,$F318="H"),0,IF(SUM($Y318:$Z318)&lt;1,1,SUM($Y318:$Z318)))))</f>
        <v>1.4616291239316239</v>
      </c>
      <c r="AB318" s="202">
        <f>($K318/'Model Data Inputs'!$B$143)*'Model Data Inputs'!$B$145</f>
        <v>0.21473055555555556</v>
      </c>
      <c r="AC318" s="202">
        <f t="shared" si="30"/>
        <v>1.6763596794871796</v>
      </c>
      <c r="AD318" s="202">
        <f>IF($G318="F",0,'Model Data Inputs'!$B$147)</f>
        <v>1.1000000000000001</v>
      </c>
      <c r="AE318" s="202">
        <f>IF($G318="F",0,($K318/'Model Data Inputs'!$B$148)*'Model Data Inputs'!$B$149)</f>
        <v>0.77302999999999999</v>
      </c>
      <c r="AF318" s="202">
        <f>IF($G318="F",0,($O318/'Model Data Inputs'!$B$150)*'Model Data Inputs'!$B$151)</f>
        <v>0.26921873333333335</v>
      </c>
      <c r="AG318" s="202">
        <f>IF($G318="F",0,(($Q318*$T318)/'Model Data Inputs'!$B$152)*'Model Data Inputs'!$B$153)</f>
        <v>0.44864503506999487</v>
      </c>
      <c r="AH318" s="202">
        <f t="shared" si="31"/>
        <v>0.64772344210083199</v>
      </c>
      <c r="AI318" s="203">
        <f>IF(OR($G318="F",$F318="M",$F318="H"),0,($AH318*'Model Data Inputs'!$B$154)-$AH318)</f>
        <v>-0.12954468842016642</v>
      </c>
      <c r="AJ318" s="202">
        <f>IF(OR($G318="F",$F318="E",$F318="H"),0,($AH318*'Model Data Inputs'!$B$155)-$AH318)</f>
        <v>0</v>
      </c>
      <c r="AK318" s="203">
        <f>IF(OR($G318="F",$F318="E",$F318="M"),0,($AH318*'Model Data Inputs'!$B$156)-$AH318)</f>
        <v>0</v>
      </c>
      <c r="AL318" s="203">
        <f>IF($G318="F",0,IF($M318&lt;'Model Data Inputs'!$B$158,$AH318*('Model Data Inputs'!$B$159-1),0))</f>
        <v>0</v>
      </c>
      <c r="AM318" s="202">
        <f>IF($G318="F",0,IF($M318&gt;'Model Data Inputs'!$B$160,$AH318*('Model Data Inputs'!$B$161-1),0))</f>
        <v>6.4772344210083252E-2</v>
      </c>
      <c r="AN318" s="202">
        <f>IF($G318="F",0,IF($P318&lt;'Model Data Inputs'!$B$162,SUM($AH318,$AI318,$AJ318,$AK318,$AL318,$AM318)*('Model Data Inputs'!$B$163-1),0))</f>
        <v>0</v>
      </c>
      <c r="AO318" s="202">
        <f t="shared" si="32"/>
        <v>0.58295109789074884</v>
      </c>
      <c r="AP318" s="204">
        <f>$K318*'Model Data Inputs'!$B$166</f>
        <v>25896.505000000001</v>
      </c>
      <c r="AQ318" s="204">
        <f>($K318*'Model Data Inputs'!$B$145)*'Model Data Inputs'!$B$166</f>
        <v>2589.6505000000002</v>
      </c>
      <c r="AR318" s="50">
        <f t="shared" si="33"/>
        <v>28486.155500000001</v>
      </c>
    </row>
    <row r="319" spans="1:44" x14ac:dyDescent="0.2">
      <c r="A319" s="227" t="str">
        <f>'School Level Inst. Resources'!A319</f>
        <v>1902000</v>
      </c>
      <c r="B319" s="227" t="str">
        <f>'School Level Inst. Resources'!B319</f>
        <v>Sweetwater #2</v>
      </c>
      <c r="C319" s="227" t="str">
        <f>'School Level Inst. Resources'!C319</f>
        <v>1902010</v>
      </c>
      <c r="D319" s="227" t="str">
        <f>'School Level Inst. Resources'!D319</f>
        <v>Jackson Elementary</v>
      </c>
      <c r="E319" s="228" t="str">
        <f>'School Level Inst. Resources'!E319</f>
        <v>K-4</v>
      </c>
      <c r="F319" s="229" t="str">
        <f>'School Level Inst. Resources'!H319</f>
        <v>E</v>
      </c>
      <c r="G319" s="229" t="s">
        <v>1158</v>
      </c>
      <c r="H319" s="207">
        <v>49557</v>
      </c>
      <c r="I319" s="207">
        <f>IF('SFD Allowable GSF Calculation'!$D$2=1,'SFD Allowable GSF Calculation'!$P319,'SFD Allowable GSF Calculation'!$X319)</f>
        <v>38376</v>
      </c>
      <c r="J319" s="194">
        <f>$I319*'Model Data Inputs'!$B$165</f>
        <v>44132.399999999994</v>
      </c>
      <c r="K319" s="194">
        <f>IF($L319&gt;='Model Data Inputs'!$B$164,$H319,MIN($H319,$J319))</f>
        <v>44132.399999999994</v>
      </c>
      <c r="L319" s="208">
        <v>1982</v>
      </c>
      <c r="M319" s="196">
        <f>IF($L319&gt;0,'Model Data Inputs'!$B$157-$L319,"")</f>
        <v>35</v>
      </c>
      <c r="N319" s="209">
        <v>28</v>
      </c>
      <c r="O319" s="198">
        <f>'School Level Inst. Resources'!$L319</f>
        <v>237.21499999999997</v>
      </c>
      <c r="P319" s="198">
        <f>IF($G319="T",SUMIFS('School Level ADM'!$S$5:$S$359,'School Level ADM'!$A$5:$A$359,$A319),0)</f>
        <v>2622.5863333333332</v>
      </c>
      <c r="Q319" s="199">
        <f t="shared" si="34"/>
        <v>9.0450787829164561E-2</v>
      </c>
      <c r="R319" s="200">
        <f>SUM((('School Level Inst. Resources'!I319/'Model Data Inputs'!$B$8)*(1+'Model Data Inputs'!$B$9)),(SUM('School Level Inst. Resources'!J319:K319)/'Model Data Inputs'!$C$8)*(1+'Model Data Inputs'!$C$9),'School Level Inst. Resources'!K319/400)</f>
        <v>15.81433333333333</v>
      </c>
      <c r="S319" s="200">
        <f t="shared" si="35"/>
        <v>15.81433333333333</v>
      </c>
      <c r="T319" s="201">
        <f>IF($G319="T",VLOOKUP($A319,'Total O &amp; M Resources'!$A$5:$K$52,3),0)</f>
        <v>23673337.720000003</v>
      </c>
      <c r="U319" s="202">
        <f>IF($G319="F",0,$S319/'Model Data Inputs'!$B$140)</f>
        <v>1.2164871794871792</v>
      </c>
      <c r="V319" s="202">
        <f>IF($G319="F",0,$O319/'Model Data Inputs'!$B$141)</f>
        <v>0.72989230769230762</v>
      </c>
      <c r="W319" s="202">
        <f>IF($G319="F",0,$N319/'Model Data Inputs'!$B$142)</f>
        <v>2.1538461538461537</v>
      </c>
      <c r="X319" s="202">
        <f>IF($G319="F",0,$K319/'Model Data Inputs'!$B$143)</f>
        <v>2.4517999999999995</v>
      </c>
      <c r="Y319" s="202">
        <f t="shared" si="29"/>
        <v>1.63800641025641</v>
      </c>
      <c r="Z319" s="202">
        <f>IF(OR($G319="F",$F319="E"),0,'Model Data Inputs'!$B$144)</f>
        <v>0</v>
      </c>
      <c r="AA319" s="202">
        <f>IF(AND($O319&lt;='Model Data Inputs'!$B$139,$F319="E"),0,IF(AND($O319&lt;='Model Data Inputs'!$B$139,$F319="M"),0,IF(AND($O319&lt;='Model Data Inputs'!$B$139,$F319="H"),0,IF(SUM($Y319:$Z319)&lt;1,1,SUM($Y319:$Z319)))))</f>
        <v>1.63800641025641</v>
      </c>
      <c r="AB319" s="202">
        <f>($K319/'Model Data Inputs'!$B$143)*'Model Data Inputs'!$B$145</f>
        <v>0.24517999999999995</v>
      </c>
      <c r="AC319" s="202">
        <f t="shared" si="30"/>
        <v>1.88318641025641</v>
      </c>
      <c r="AD319" s="202">
        <f>IF($G319="F",0,'Model Data Inputs'!$B$147)</f>
        <v>1.1000000000000001</v>
      </c>
      <c r="AE319" s="202">
        <f>IF($G319="F",0,($K319/'Model Data Inputs'!$B$148)*'Model Data Inputs'!$B$149)</f>
        <v>0.88264799999999977</v>
      </c>
      <c r="AF319" s="202">
        <f>IF($G319="F",0,($O319/'Model Data Inputs'!$B$150)*'Model Data Inputs'!$B$151)</f>
        <v>0.30837949999999997</v>
      </c>
      <c r="AG319" s="202">
        <f>IF($G319="F",0,(($Q319*$T319)/'Model Data Inputs'!$B$152)*'Model Data Inputs'!$B$153)</f>
        <v>0.51390529135677077</v>
      </c>
      <c r="AH319" s="202">
        <f t="shared" si="31"/>
        <v>0.70123319783919258</v>
      </c>
      <c r="AI319" s="203">
        <f>IF(OR($G319="F",$F319="M",$F319="H"),0,($AH319*'Model Data Inputs'!$B$154)-$AH319)</f>
        <v>-0.14024663956783845</v>
      </c>
      <c r="AJ319" s="202">
        <f>IF(OR($G319="F",$F319="E",$F319="H"),0,($AH319*'Model Data Inputs'!$B$155)-$AH319)</f>
        <v>0</v>
      </c>
      <c r="AK319" s="203">
        <f>IF(OR($G319="F",$F319="E",$F319="M"),0,($AH319*'Model Data Inputs'!$B$156)-$AH319)</f>
        <v>0</v>
      </c>
      <c r="AL319" s="203">
        <f>IF($G319="F",0,IF($M319&lt;'Model Data Inputs'!$B$158,$AH319*('Model Data Inputs'!$B$159-1),0))</f>
        <v>0</v>
      </c>
      <c r="AM319" s="202">
        <f>IF($G319="F",0,IF($M319&gt;'Model Data Inputs'!$B$160,$AH319*('Model Data Inputs'!$B$161-1),0))</f>
        <v>7.0123319783919322E-2</v>
      </c>
      <c r="AN319" s="202">
        <f>IF($G319="F",0,IF($P319&lt;'Model Data Inputs'!$B$162,SUM($AH319,$AI319,$AJ319,$AK319,$AL319,$AM319)*('Model Data Inputs'!$B$163-1),0))</f>
        <v>0</v>
      </c>
      <c r="AO319" s="202">
        <f t="shared" si="32"/>
        <v>0.63110987805527341</v>
      </c>
      <c r="AP319" s="204">
        <f>$K319*'Model Data Inputs'!$B$166</f>
        <v>29568.707999999999</v>
      </c>
      <c r="AQ319" s="204">
        <f>($K319*'Model Data Inputs'!$B$145)*'Model Data Inputs'!$B$166</f>
        <v>2956.8708000000001</v>
      </c>
      <c r="AR319" s="50">
        <f t="shared" si="33"/>
        <v>32525.578799999999</v>
      </c>
    </row>
    <row r="320" spans="1:44" x14ac:dyDescent="0.2">
      <c r="A320" s="227" t="str">
        <f>'School Level Inst. Resources'!A320</f>
        <v>1902000</v>
      </c>
      <c r="B320" s="227" t="str">
        <f>'School Level Inst. Resources'!B320</f>
        <v>Sweetwater #2</v>
      </c>
      <c r="C320" s="227" t="str">
        <f>'School Level Inst. Resources'!C320</f>
        <v>1902011</v>
      </c>
      <c r="D320" s="227" t="str">
        <f>'School Level Inst. Resources'!D320</f>
        <v>Truman Elementary</v>
      </c>
      <c r="E320" s="228" t="str">
        <f>'School Level Inst. Resources'!E320</f>
        <v>K-4</v>
      </c>
      <c r="F320" s="229" t="str">
        <f>'School Level Inst. Resources'!H320</f>
        <v>E</v>
      </c>
      <c r="G320" s="229" t="s">
        <v>1158</v>
      </c>
      <c r="H320" s="207">
        <v>53682</v>
      </c>
      <c r="I320" s="207">
        <f>IF('SFD Allowable GSF Calculation'!$D$2=1,'SFD Allowable GSF Calculation'!$P320,'SFD Allowable GSF Calculation'!$X320)</f>
        <v>45859</v>
      </c>
      <c r="J320" s="194">
        <f>$I320*'Model Data Inputs'!$B$165</f>
        <v>52737.85</v>
      </c>
      <c r="K320" s="194">
        <f>IF($L320&gt;='Model Data Inputs'!$B$164,$H320,MIN($H320,$J320))</f>
        <v>52737.85</v>
      </c>
      <c r="L320" s="208">
        <v>1982</v>
      </c>
      <c r="M320" s="196">
        <f>IF($L320&gt;0,'Model Data Inputs'!$B$157-$L320,"")</f>
        <v>35</v>
      </c>
      <c r="N320" s="209">
        <v>31</v>
      </c>
      <c r="O320" s="198">
        <f>'School Level Inst. Resources'!$L320</f>
        <v>302.39499999999998</v>
      </c>
      <c r="P320" s="198">
        <f>IF($G320="T",SUMIFS('School Level ADM'!$S$5:$S$359,'School Level ADM'!$A$5:$A$359,$A320),0)</f>
        <v>2622.5863333333332</v>
      </c>
      <c r="Q320" s="199">
        <f t="shared" si="34"/>
        <v>0.11530411645806639</v>
      </c>
      <c r="R320" s="200">
        <f>SUM((('School Level Inst. Resources'!I320/'Model Data Inputs'!$B$8)*(1+'Model Data Inputs'!$B$9)),(SUM('School Level Inst. Resources'!J320:K320)/'Model Data Inputs'!$C$8)*(1+'Model Data Inputs'!$C$9),'School Level Inst. Resources'!K320/400)</f>
        <v>20.159666666666666</v>
      </c>
      <c r="S320" s="200">
        <f t="shared" si="35"/>
        <v>20.159666666666666</v>
      </c>
      <c r="T320" s="201">
        <f>IF($G320="T",VLOOKUP($A320,'Total O &amp; M Resources'!$A$5:$K$52,3),0)</f>
        <v>23673337.720000003</v>
      </c>
      <c r="U320" s="202">
        <f>IF($G320="F",0,$S320/'Model Data Inputs'!$B$140)</f>
        <v>1.5507435897435897</v>
      </c>
      <c r="V320" s="202">
        <f>IF($G320="F",0,$O320/'Model Data Inputs'!$B$141)</f>
        <v>0.93044615384615381</v>
      </c>
      <c r="W320" s="202">
        <f>IF($G320="F",0,$N320/'Model Data Inputs'!$B$142)</f>
        <v>2.3846153846153846</v>
      </c>
      <c r="X320" s="202">
        <f>IF($G320="F",0,$K320/'Model Data Inputs'!$B$143)</f>
        <v>2.9298805555555556</v>
      </c>
      <c r="Y320" s="202">
        <f t="shared" si="29"/>
        <v>1.9489214209401711</v>
      </c>
      <c r="Z320" s="202">
        <f>IF(OR($G320="F",$F320="E"),0,'Model Data Inputs'!$B$144)</f>
        <v>0</v>
      </c>
      <c r="AA320" s="202">
        <f>IF(AND($O320&lt;='Model Data Inputs'!$B$139,$F320="E"),0,IF(AND($O320&lt;='Model Data Inputs'!$B$139,$F320="M"),0,IF(AND($O320&lt;='Model Data Inputs'!$B$139,$F320="H"),0,IF(SUM($Y320:$Z320)&lt;1,1,SUM($Y320:$Z320)))))</f>
        <v>1.9489214209401711</v>
      </c>
      <c r="AB320" s="202">
        <f>($K320/'Model Data Inputs'!$B$143)*'Model Data Inputs'!$B$145</f>
        <v>0.29298805555555557</v>
      </c>
      <c r="AC320" s="202">
        <f t="shared" si="30"/>
        <v>2.2419094764957266</v>
      </c>
      <c r="AD320" s="202">
        <f>IF($G320="F",0,'Model Data Inputs'!$B$147)</f>
        <v>1.1000000000000001</v>
      </c>
      <c r="AE320" s="202">
        <f>IF($G320="F",0,($K320/'Model Data Inputs'!$B$148)*'Model Data Inputs'!$B$149)</f>
        <v>1.0547569999999999</v>
      </c>
      <c r="AF320" s="202">
        <f>IF($G320="F",0,($O320/'Model Data Inputs'!$B$150)*'Model Data Inputs'!$B$151)</f>
        <v>0.39311349999999995</v>
      </c>
      <c r="AG320" s="202">
        <f>IF($G320="F",0,(($Q320*$T320)/'Model Data Inputs'!$B$152)*'Model Data Inputs'!$B$153)</f>
        <v>0.65511198946032378</v>
      </c>
      <c r="AH320" s="202">
        <f t="shared" si="31"/>
        <v>0.80074562236508096</v>
      </c>
      <c r="AI320" s="203">
        <f>IF(OR($G320="F",$F320="M",$F320="H"),0,($AH320*'Model Data Inputs'!$B$154)-$AH320)</f>
        <v>-0.1601491244730161</v>
      </c>
      <c r="AJ320" s="202">
        <f>IF(OR($G320="F",$F320="E",$F320="H"),0,($AH320*'Model Data Inputs'!$B$155)-$AH320)</f>
        <v>0</v>
      </c>
      <c r="AK320" s="203">
        <f>IF(OR($G320="F",$F320="E",$F320="M"),0,($AH320*'Model Data Inputs'!$B$156)-$AH320)</f>
        <v>0</v>
      </c>
      <c r="AL320" s="203">
        <f>IF($G320="F",0,IF($M320&lt;'Model Data Inputs'!$B$158,$AH320*('Model Data Inputs'!$B$159-1),0))</f>
        <v>0</v>
      </c>
      <c r="AM320" s="202">
        <f>IF($G320="F",0,IF($M320&gt;'Model Data Inputs'!$B$160,$AH320*('Model Data Inputs'!$B$161-1),0))</f>
        <v>8.0074562236508162E-2</v>
      </c>
      <c r="AN320" s="202">
        <f>IF($G320="F",0,IF($P320&lt;'Model Data Inputs'!$B$162,SUM($AH320,$AI320,$AJ320,$AK320,$AL320,$AM320)*('Model Data Inputs'!$B$163-1),0))</f>
        <v>0</v>
      </c>
      <c r="AO320" s="202">
        <f t="shared" si="32"/>
        <v>0.72067106012857307</v>
      </c>
      <c r="AP320" s="204">
        <f>$K320*'Model Data Inputs'!$B$166</f>
        <v>35334.359499999999</v>
      </c>
      <c r="AQ320" s="204">
        <f>($K320*'Model Data Inputs'!$B$145)*'Model Data Inputs'!$B$166</f>
        <v>3533.43595</v>
      </c>
      <c r="AR320" s="50">
        <f t="shared" si="33"/>
        <v>38867.795449999998</v>
      </c>
    </row>
    <row r="321" spans="1:44" x14ac:dyDescent="0.2">
      <c r="A321" s="227" t="str">
        <f>'School Level Inst. Resources'!A321</f>
        <v>1902000</v>
      </c>
      <c r="B321" s="227" t="str">
        <f>'School Level Inst. Resources'!B321</f>
        <v>Sweetwater #2</v>
      </c>
      <c r="C321" s="227" t="str">
        <f>'School Level Inst. Resources'!C321</f>
        <v>1902012</v>
      </c>
      <c r="D321" s="227" t="str">
        <f>'School Level Inst. Resources'!D321</f>
        <v>Monroe Intermediate School</v>
      </c>
      <c r="E321" s="228" t="str">
        <f>'School Level Inst. Resources'!E321</f>
        <v>5-6</v>
      </c>
      <c r="F321" s="229" t="str">
        <f>'School Level Inst. Resources'!H321</f>
        <v>E</v>
      </c>
      <c r="G321" s="229" t="s">
        <v>1158</v>
      </c>
      <c r="H321" s="207">
        <v>89237</v>
      </c>
      <c r="I321" s="207">
        <f>IF('SFD Allowable GSF Calculation'!$D$2=1,'SFD Allowable GSF Calculation'!$P321,'SFD Allowable GSF Calculation'!$X321)</f>
        <v>54783</v>
      </c>
      <c r="J321" s="194">
        <f>$I321*'Model Data Inputs'!$B$165</f>
        <v>63000.45</v>
      </c>
      <c r="K321" s="194">
        <f>IF($L321&gt;='Model Data Inputs'!$B$164,$H321,MIN($H321,$J321))</f>
        <v>63000.45</v>
      </c>
      <c r="L321" s="208">
        <v>1962</v>
      </c>
      <c r="M321" s="196">
        <f>IF($L321&gt;0,'Model Data Inputs'!$B$157-$L321,"")</f>
        <v>55</v>
      </c>
      <c r="N321" s="209">
        <v>40</v>
      </c>
      <c r="O321" s="198">
        <f>'School Level Inst. Resources'!$L321</f>
        <v>388.65499999999997</v>
      </c>
      <c r="P321" s="198">
        <f>IF($G321="T",SUMIFS('School Level ADM'!$S$5:$S$359,'School Level ADM'!$A$5:$A$359,$A321),0)</f>
        <v>2622.5863333333332</v>
      </c>
      <c r="Q321" s="199">
        <f t="shared" si="34"/>
        <v>0.14819531203230804</v>
      </c>
      <c r="R321" s="200">
        <f>SUM((('School Level Inst. Resources'!I321/'Model Data Inputs'!$B$8)*(1+'Model Data Inputs'!$B$9)),(SUM('School Level Inst. Resources'!J321:K321)/'Model Data Inputs'!$C$8)*(1+'Model Data Inputs'!$C$9),'School Level Inst. Resources'!K321/400)</f>
        <v>25.91033333333333</v>
      </c>
      <c r="S321" s="200">
        <f t="shared" si="35"/>
        <v>25.91033333333333</v>
      </c>
      <c r="T321" s="201">
        <f>IF($G321="T",VLOOKUP($A321,'Total O &amp; M Resources'!$A$5:$K$52,3),0)</f>
        <v>23673337.720000003</v>
      </c>
      <c r="U321" s="202">
        <f>IF($G321="F",0,$S321/'Model Data Inputs'!$B$140)</f>
        <v>1.9931025641025639</v>
      </c>
      <c r="V321" s="202">
        <f>IF($G321="F",0,$O321/'Model Data Inputs'!$B$141)</f>
        <v>1.1958615384615383</v>
      </c>
      <c r="W321" s="202">
        <f>IF($G321="F",0,$N321/'Model Data Inputs'!$B$142)</f>
        <v>3.0769230769230771</v>
      </c>
      <c r="X321" s="202">
        <f>IF($G321="F",0,$K321/'Model Data Inputs'!$B$143)</f>
        <v>3.5000249999999999</v>
      </c>
      <c r="Y321" s="202">
        <f t="shared" si="29"/>
        <v>2.4414780448717952</v>
      </c>
      <c r="Z321" s="202">
        <f>IF(OR($G321="F",$F321="E"),0,'Model Data Inputs'!$B$144)</f>
        <v>0</v>
      </c>
      <c r="AA321" s="202">
        <f>IF(AND($O321&lt;='Model Data Inputs'!$B$139,$F321="E"),0,IF(AND($O321&lt;='Model Data Inputs'!$B$139,$F321="M"),0,IF(AND($O321&lt;='Model Data Inputs'!$B$139,$F321="H"),0,IF(SUM($Y321:$Z321)&lt;1,1,SUM($Y321:$Z321)))))</f>
        <v>2.4414780448717952</v>
      </c>
      <c r="AB321" s="202">
        <f>($K321/'Model Data Inputs'!$B$143)*'Model Data Inputs'!$B$145</f>
        <v>0.35000249999999999</v>
      </c>
      <c r="AC321" s="202">
        <f t="shared" si="30"/>
        <v>2.7914805448717952</v>
      </c>
      <c r="AD321" s="202">
        <f>IF($G321="F",0,'Model Data Inputs'!$B$147)</f>
        <v>1.1000000000000001</v>
      </c>
      <c r="AE321" s="202">
        <f>IF($G321="F",0,($K321/'Model Data Inputs'!$B$148)*'Model Data Inputs'!$B$149)</f>
        <v>1.2600089999999999</v>
      </c>
      <c r="AF321" s="202">
        <f>IF($G321="F",0,($O321/'Model Data Inputs'!$B$150)*'Model Data Inputs'!$B$151)</f>
        <v>0.50525149999999996</v>
      </c>
      <c r="AG321" s="202">
        <f>IF($G321="F",0,(($Q321*$T321)/'Model Data Inputs'!$B$152)*'Model Data Inputs'!$B$153)</f>
        <v>0.84198664086278596</v>
      </c>
      <c r="AH321" s="202">
        <f t="shared" si="31"/>
        <v>0.9268117852156964</v>
      </c>
      <c r="AI321" s="203">
        <f>IF(OR($G321="F",$F321="M",$F321="H"),0,($AH321*'Model Data Inputs'!$B$154)-$AH321)</f>
        <v>-0.18536235704313919</v>
      </c>
      <c r="AJ321" s="202">
        <f>IF(OR($G321="F",$F321="E",$F321="H"),0,($AH321*'Model Data Inputs'!$B$155)-$AH321)</f>
        <v>0</v>
      </c>
      <c r="AK321" s="203">
        <f>IF(OR($G321="F",$F321="E",$F321="M"),0,($AH321*'Model Data Inputs'!$B$156)-$AH321)</f>
        <v>0</v>
      </c>
      <c r="AL321" s="203">
        <f>IF($G321="F",0,IF($M321&lt;'Model Data Inputs'!$B$158,$AH321*('Model Data Inputs'!$B$159-1),0))</f>
        <v>0</v>
      </c>
      <c r="AM321" s="202">
        <f>IF($G321="F",0,IF($M321&gt;'Model Data Inputs'!$B$160,$AH321*('Model Data Inputs'!$B$161-1),0))</f>
        <v>9.2681178521569721E-2</v>
      </c>
      <c r="AN321" s="202">
        <f>IF($G321="F",0,IF($P321&lt;'Model Data Inputs'!$B$162,SUM($AH321,$AI321,$AJ321,$AK321,$AL321,$AM321)*('Model Data Inputs'!$B$163-1),0))</f>
        <v>0</v>
      </c>
      <c r="AO321" s="202">
        <f t="shared" si="32"/>
        <v>0.83413060669412697</v>
      </c>
      <c r="AP321" s="204">
        <f>$K321*'Model Data Inputs'!$B$166</f>
        <v>42210.301500000001</v>
      </c>
      <c r="AQ321" s="204">
        <f>($K321*'Model Data Inputs'!$B$145)*'Model Data Inputs'!$B$166</f>
        <v>4221.0301500000005</v>
      </c>
      <c r="AR321" s="50">
        <f t="shared" si="33"/>
        <v>46431.33165</v>
      </c>
    </row>
    <row r="322" spans="1:44" x14ac:dyDescent="0.2">
      <c r="A322" s="227" t="str">
        <f>'School Level Inst. Resources'!A322</f>
        <v>1902000</v>
      </c>
      <c r="B322" s="227" t="str">
        <f>'School Level Inst. Resources'!B322</f>
        <v>Sweetwater #2</v>
      </c>
      <c r="C322" s="227" t="str">
        <f>'School Level Inst. Resources'!C322</f>
        <v>1902050</v>
      </c>
      <c r="D322" s="227" t="str">
        <f>'School Level Inst. Resources'!D322</f>
        <v>Lincoln Middle School</v>
      </c>
      <c r="E322" s="228" t="str">
        <f>'School Level Inst. Resources'!E322</f>
        <v>7-8</v>
      </c>
      <c r="F322" s="229" t="str">
        <f>'School Level Inst. Resources'!H322</f>
        <v>M</v>
      </c>
      <c r="G322" s="229" t="s">
        <v>1158</v>
      </c>
      <c r="H322" s="207">
        <v>144115</v>
      </c>
      <c r="I322" s="207">
        <f>IF('SFD Allowable GSF Calculation'!$D$2=1,'SFD Allowable GSF Calculation'!$P322,'SFD Allowable GSF Calculation'!$X322)</f>
        <v>72681</v>
      </c>
      <c r="J322" s="194">
        <f>$I322*'Model Data Inputs'!$B$165</f>
        <v>83583.149999999994</v>
      </c>
      <c r="K322" s="194">
        <f>IF($L322&gt;='Model Data Inputs'!$B$164,$H322,MIN($H322,$J322))</f>
        <v>83583.149999999994</v>
      </c>
      <c r="L322" s="208">
        <v>1975</v>
      </c>
      <c r="M322" s="196">
        <f>IF($L322&gt;0,'Model Data Inputs'!$B$157-$L322,"")</f>
        <v>42</v>
      </c>
      <c r="N322" s="209">
        <v>41</v>
      </c>
      <c r="O322" s="198">
        <f>'School Level Inst. Resources'!$L322</f>
        <v>395.8846666666667</v>
      </c>
      <c r="P322" s="198">
        <f>IF($G322="T",SUMIFS('School Level ADM'!$S$5:$S$359,'School Level ADM'!$A$5:$A$359,$A322),0)</f>
        <v>2622.5863333333332</v>
      </c>
      <c r="Q322" s="199">
        <f t="shared" si="34"/>
        <v>0.15095200552025045</v>
      </c>
      <c r="R322" s="200">
        <f>SUM((('School Level Inst. Resources'!I322/'Model Data Inputs'!$B$8)*(1+'Model Data Inputs'!$B$9)),(SUM('School Level Inst. Resources'!J322:K322)/'Model Data Inputs'!$C$8)*(1+'Model Data Inputs'!$C$9),'School Level Inst. Resources'!K322/400)</f>
        <v>22.944098289855074</v>
      </c>
      <c r="S322" s="200">
        <f t="shared" si="35"/>
        <v>22.944098289855074</v>
      </c>
      <c r="T322" s="201">
        <f>IF($G322="T",VLOOKUP($A322,'Total O &amp; M Resources'!$A$5:$K$52,3),0)</f>
        <v>23673337.720000003</v>
      </c>
      <c r="U322" s="202">
        <f>IF($G322="F",0,$S322/'Model Data Inputs'!$B$140)</f>
        <v>1.7649306376811595</v>
      </c>
      <c r="V322" s="202">
        <f>IF($G322="F",0,$O322/'Model Data Inputs'!$B$141)</f>
        <v>1.2181066666666667</v>
      </c>
      <c r="W322" s="202">
        <f>IF($G322="F",0,$N322/'Model Data Inputs'!$B$142)</f>
        <v>3.1538461538461537</v>
      </c>
      <c r="X322" s="202">
        <f>IF($G322="F",0,$K322/'Model Data Inputs'!$B$143)</f>
        <v>4.6435083333333331</v>
      </c>
      <c r="Y322" s="202">
        <f t="shared" si="29"/>
        <v>2.6950979478818282</v>
      </c>
      <c r="Z322" s="202">
        <f>IF(OR($G322="F",$F322="E"),0,'Model Data Inputs'!$B$144)</f>
        <v>0.5</v>
      </c>
      <c r="AA322" s="202">
        <f>IF(AND($O322&lt;='Model Data Inputs'!$B$139,$F322="E"),0,IF(AND($O322&lt;='Model Data Inputs'!$B$139,$F322="M"),0,IF(AND($O322&lt;='Model Data Inputs'!$B$139,$F322="H"),0,IF(SUM($Y322:$Z322)&lt;1,1,SUM($Y322:$Z322)))))</f>
        <v>3.1950979478818282</v>
      </c>
      <c r="AB322" s="202">
        <f>($K322/'Model Data Inputs'!$B$143)*'Model Data Inputs'!$B$145</f>
        <v>0.46435083333333332</v>
      </c>
      <c r="AC322" s="202">
        <f t="shared" si="30"/>
        <v>3.6594487812151617</v>
      </c>
      <c r="AD322" s="202">
        <f>IF($G322="F",0,'Model Data Inputs'!$B$147)</f>
        <v>1.1000000000000001</v>
      </c>
      <c r="AE322" s="202">
        <f>IF($G322="F",0,($K322/'Model Data Inputs'!$B$148)*'Model Data Inputs'!$B$149)</f>
        <v>1.6716629999999997</v>
      </c>
      <c r="AF322" s="202">
        <f>IF($G322="F",0,($O322/'Model Data Inputs'!$B$150)*'Model Data Inputs'!$B$151)</f>
        <v>0.51465006666666679</v>
      </c>
      <c r="AG322" s="202">
        <f>IF($G322="F",0,(($Q322*$T322)/'Model Data Inputs'!$B$152)*'Model Data Inputs'!$B$153)</f>
        <v>0.8576490734861264</v>
      </c>
      <c r="AH322" s="202">
        <f t="shared" si="31"/>
        <v>1.0359905350381982</v>
      </c>
      <c r="AI322" s="203">
        <f>IF(OR($G322="F",$F322="M",$F322="H"),0,($AH322*'Model Data Inputs'!$B$154)-$AH322)</f>
        <v>0</v>
      </c>
      <c r="AJ322" s="202">
        <f>IF(OR($G322="F",$F322="E",$F322="H"),0,($AH322*'Model Data Inputs'!$B$155)-$AH322)</f>
        <v>0</v>
      </c>
      <c r="AK322" s="203">
        <f>IF(OR($G322="F",$F322="E",$F322="M"),0,($AH322*'Model Data Inputs'!$B$156)-$AH322)</f>
        <v>0</v>
      </c>
      <c r="AL322" s="203">
        <f>IF($G322="F",0,IF($M322&lt;'Model Data Inputs'!$B$158,$AH322*('Model Data Inputs'!$B$159-1),0))</f>
        <v>0</v>
      </c>
      <c r="AM322" s="202">
        <f>IF($G322="F",0,IF($M322&gt;'Model Data Inputs'!$B$160,$AH322*('Model Data Inputs'!$B$161-1),0))</f>
        <v>0.10359905350381991</v>
      </c>
      <c r="AN322" s="202">
        <f>IF($G322="F",0,IF($P322&lt;'Model Data Inputs'!$B$162,SUM($AH322,$AI322,$AJ322,$AK322,$AL322,$AM322)*('Model Data Inputs'!$B$163-1),0))</f>
        <v>0</v>
      </c>
      <c r="AO322" s="202">
        <f t="shared" si="32"/>
        <v>1.139589588542018</v>
      </c>
      <c r="AP322" s="204">
        <f>$K322*'Model Data Inputs'!$B$166</f>
        <v>56000.710500000001</v>
      </c>
      <c r="AQ322" s="204">
        <f>($K322*'Model Data Inputs'!$B$145)*'Model Data Inputs'!$B$166</f>
        <v>5600.0710500000005</v>
      </c>
      <c r="AR322" s="50">
        <f t="shared" si="33"/>
        <v>61600.78155</v>
      </c>
    </row>
    <row r="323" spans="1:44" x14ac:dyDescent="0.2">
      <c r="A323" s="227" t="str">
        <f>'School Level Inst. Resources'!A323</f>
        <v>1902000</v>
      </c>
      <c r="B323" s="227" t="str">
        <f>'School Level Inst. Resources'!B323</f>
        <v>Sweetwater #2</v>
      </c>
      <c r="C323" s="227" t="str">
        <f>'School Level Inst. Resources'!C323</f>
        <v>1902055</v>
      </c>
      <c r="D323" s="227" t="str">
        <f>'School Level Inst. Resources'!D323</f>
        <v>Green River High School</v>
      </c>
      <c r="E323" s="228" t="str">
        <f>'School Level Inst. Resources'!E323</f>
        <v>9-12</v>
      </c>
      <c r="F323" s="229" t="str">
        <f>'School Level Inst. Resources'!H323</f>
        <v>H</v>
      </c>
      <c r="G323" s="229" t="s">
        <v>1158</v>
      </c>
      <c r="H323" s="207">
        <v>241879</v>
      </c>
      <c r="I323" s="207">
        <f>IF('SFD Allowable GSF Calculation'!$D$2=1,'SFD Allowable GSF Calculation'!$P323,'SFD Allowable GSF Calculation'!$X323)</f>
        <v>143317</v>
      </c>
      <c r="J323" s="194">
        <f>$I323*'Model Data Inputs'!$B$165</f>
        <v>164814.54999999999</v>
      </c>
      <c r="K323" s="194">
        <f>IF($L323&gt;='Model Data Inputs'!$B$164,$H323,MIN($H323,$J323))</f>
        <v>164814.54999999999</v>
      </c>
      <c r="L323" s="208">
        <v>1998</v>
      </c>
      <c r="M323" s="196">
        <f>IF($L323&gt;0,'Model Data Inputs'!$B$157-$L323,"")</f>
        <v>19</v>
      </c>
      <c r="N323" s="209">
        <v>81</v>
      </c>
      <c r="O323" s="198">
        <f>'School Level Inst. Resources'!$L323</f>
        <v>764.18633333333332</v>
      </c>
      <c r="P323" s="198">
        <f>IF($G323="T",SUMIFS('School Level ADM'!$S$5:$S$359,'School Level ADM'!$A$5:$A$359,$A323),0)</f>
        <v>2622.5863333333332</v>
      </c>
      <c r="Q323" s="199">
        <f t="shared" si="34"/>
        <v>0.29138653077706117</v>
      </c>
      <c r="R323" s="200">
        <f>SUM((('School Level Inst. Resources'!I323/'Model Data Inputs'!$B$8)*(1+'Model Data Inputs'!$B$9)),(SUM('School Level Inst. Resources'!J323:K323)/'Model Data Inputs'!$C$8)*(1+'Model Data Inputs'!$C$9),'School Level Inst. Resources'!K323/400)</f>
        <v>46.200047673913041</v>
      </c>
      <c r="S323" s="200">
        <f t="shared" si="35"/>
        <v>46.200047673913041</v>
      </c>
      <c r="T323" s="201">
        <f>IF($G323="T",VLOOKUP($A323,'Total O &amp; M Resources'!$A$5:$K$52,3),0)</f>
        <v>23673337.720000003</v>
      </c>
      <c r="U323" s="202">
        <f>IF($G323="F",0,$S323/'Model Data Inputs'!$B$140)</f>
        <v>3.5538498210702341</v>
      </c>
      <c r="V323" s="202">
        <f>IF($G323="F",0,$O323/'Model Data Inputs'!$B$141)</f>
        <v>2.351342564102564</v>
      </c>
      <c r="W323" s="202">
        <f>IF($G323="F",0,$N323/'Model Data Inputs'!$B$142)</f>
        <v>6.2307692307692308</v>
      </c>
      <c r="X323" s="202">
        <f>IF($G323="F",0,$K323/'Model Data Inputs'!$B$143)</f>
        <v>9.1563638888888885</v>
      </c>
      <c r="Y323" s="202">
        <f t="shared" si="29"/>
        <v>5.32308137620773</v>
      </c>
      <c r="Z323" s="202">
        <f>IF(OR($G323="F",$F323="E"),0,'Model Data Inputs'!$B$144)</f>
        <v>0.5</v>
      </c>
      <c r="AA323" s="202">
        <f>IF(AND($O323&lt;='Model Data Inputs'!$B$139,$F323="E"),0,IF(AND($O323&lt;='Model Data Inputs'!$B$139,$F323="M"),0,IF(AND($O323&lt;='Model Data Inputs'!$B$139,$F323="H"),0,IF(SUM($Y323:$Z323)&lt;1,1,SUM($Y323:$Z323)))))</f>
        <v>5.82308137620773</v>
      </c>
      <c r="AB323" s="202">
        <f>($K323/'Model Data Inputs'!$B$143)*'Model Data Inputs'!$B$145</f>
        <v>0.91563638888888887</v>
      </c>
      <c r="AC323" s="202">
        <f t="shared" si="30"/>
        <v>6.7387177650966192</v>
      </c>
      <c r="AD323" s="202">
        <f>IF($G323="F",0,'Model Data Inputs'!$B$147)</f>
        <v>1.1000000000000001</v>
      </c>
      <c r="AE323" s="202">
        <f>IF($G323="F",0,($K323/'Model Data Inputs'!$B$148)*'Model Data Inputs'!$B$149)</f>
        <v>3.2962909999999996</v>
      </c>
      <c r="AF323" s="202">
        <f>IF($G323="F",0,($O323/'Model Data Inputs'!$B$150)*'Model Data Inputs'!$B$151)</f>
        <v>0.99344223333333337</v>
      </c>
      <c r="AG323" s="202">
        <f>IF($G323="F",0,(($Q323*$T323)/'Model Data Inputs'!$B$152)*'Model Data Inputs'!$B$153)</f>
        <v>1.6555420200346904</v>
      </c>
      <c r="AH323" s="202">
        <f t="shared" si="31"/>
        <v>1.7613188133420059</v>
      </c>
      <c r="AI323" s="203">
        <f>IF(OR($G323="F",$F323="M",$F323="H"),0,($AH323*'Model Data Inputs'!$B$154)-$AH323)</f>
        <v>0</v>
      </c>
      <c r="AJ323" s="202">
        <f>IF(OR($G323="F",$F323="E",$F323="H"),0,($AH323*'Model Data Inputs'!$B$155)-$AH323)</f>
        <v>0</v>
      </c>
      <c r="AK323" s="203">
        <f>IF(OR($G323="F",$F323="E",$F323="M"),0,($AH323*'Model Data Inputs'!$B$156)-$AH323)</f>
        <v>1.7613188133420059</v>
      </c>
      <c r="AL323" s="203">
        <f>IF($G323="F",0,IF($M323&lt;'Model Data Inputs'!$B$158,$AH323*('Model Data Inputs'!$B$159-1),0))</f>
        <v>0</v>
      </c>
      <c r="AM323" s="202">
        <f>IF($G323="F",0,IF($M323&gt;'Model Data Inputs'!$B$160,$AH323*('Model Data Inputs'!$B$161-1),0))</f>
        <v>0</v>
      </c>
      <c r="AN323" s="202">
        <f>IF($G323="F",0,IF($P323&lt;'Model Data Inputs'!$B$162,SUM($AH323,$AI323,$AJ323,$AK323,$AL323,$AM323)*('Model Data Inputs'!$B$163-1),0))</f>
        <v>0</v>
      </c>
      <c r="AO323" s="202">
        <f t="shared" si="32"/>
        <v>3.5226376266840118</v>
      </c>
      <c r="AP323" s="204">
        <f>$K323*'Model Data Inputs'!$B$166</f>
        <v>110425.7485</v>
      </c>
      <c r="AQ323" s="204">
        <f>($K323*'Model Data Inputs'!$B$145)*'Model Data Inputs'!$B$166</f>
        <v>11042.574849999999</v>
      </c>
      <c r="AR323" s="50">
        <f t="shared" si="33"/>
        <v>121468.32335000001</v>
      </c>
    </row>
    <row r="324" spans="1:44" x14ac:dyDescent="0.2">
      <c r="A324" s="227" t="str">
        <f>'School Level Inst. Resources'!A324</f>
        <v>1902000</v>
      </c>
      <c r="B324" s="227" t="str">
        <f>'School Level Inst. Resources'!B324</f>
        <v>Sweetwater #2</v>
      </c>
      <c r="C324" s="227" t="str">
        <f>'School Level Inst. Resources'!C324</f>
        <v>1902056</v>
      </c>
      <c r="D324" s="227" t="str">
        <f>'School Level Inst. Resources'!D324</f>
        <v>Expedition Academy</v>
      </c>
      <c r="E324" s="228" t="str">
        <f>'School Level Inst. Resources'!E324</f>
        <v>9-12</v>
      </c>
      <c r="F324" s="229" t="str">
        <f>'School Level Inst. Resources'!H324</f>
        <v>H</v>
      </c>
      <c r="G324" s="229" t="s">
        <v>1158</v>
      </c>
      <c r="H324" s="207">
        <v>13735</v>
      </c>
      <c r="I324" s="207">
        <f>IF('SFD Allowable GSF Calculation'!$D$2=1,'SFD Allowable GSF Calculation'!$P324,'SFD Allowable GSF Calculation'!$X324)</f>
        <v>17975</v>
      </c>
      <c r="J324" s="194">
        <f>$I324*'Model Data Inputs'!$B$165</f>
        <v>20671.25</v>
      </c>
      <c r="K324" s="194">
        <f>IF($L324&gt;='Model Data Inputs'!$B$164,$H324,MIN($H324,$J324))</f>
        <v>13735</v>
      </c>
      <c r="L324" s="208">
        <v>1998</v>
      </c>
      <c r="M324" s="196">
        <f>IF($L324&gt;0,'Model Data Inputs'!$B$157-$L324,"")</f>
        <v>19</v>
      </c>
      <c r="N324" s="209">
        <v>10</v>
      </c>
      <c r="O324" s="198">
        <f>'School Level Inst. Resources'!$L324</f>
        <v>48.337666666666671</v>
      </c>
      <c r="P324" s="198">
        <f>IF($G324="T",SUMIFS('School Level ADM'!$S$5:$S$359,'School Level ADM'!$A$5:$A$359,$A324),0)</f>
        <v>2622.5863333333332</v>
      </c>
      <c r="Q324" s="199">
        <f t="shared" si="34"/>
        <v>1.8431296637327101E-2</v>
      </c>
      <c r="R324" s="200">
        <f>SUM((('School Level Inst. Resources'!I324/'Model Data Inputs'!$B$8)*(1+'Model Data Inputs'!$B$9)),(SUM('School Level Inst. Resources'!J324:K324)/'Model Data Inputs'!$C$8)*(1+'Model Data Inputs'!$C$9),'School Level Inst. Resources'!K324/400)</f>
        <v>2.9223271956521741</v>
      </c>
      <c r="S324" s="200">
        <f t="shared" si="35"/>
        <v>2.9223271956521741</v>
      </c>
      <c r="T324" s="201">
        <f>IF($G324="T",VLOOKUP($A324,'Total O &amp; M Resources'!$A$5:$K$52,3),0)</f>
        <v>23673337.720000003</v>
      </c>
      <c r="U324" s="202">
        <f>IF($G324="F",0,$S324/'Model Data Inputs'!$B$140)</f>
        <v>0.22479439966555187</v>
      </c>
      <c r="V324" s="202">
        <f>IF($G324="F",0,$O324/'Model Data Inputs'!$B$141)</f>
        <v>0.14873128205128205</v>
      </c>
      <c r="W324" s="202">
        <f>IF($G324="F",0,$N324/'Model Data Inputs'!$B$142)</f>
        <v>0.76923076923076927</v>
      </c>
      <c r="X324" s="202">
        <f>IF($G324="F",0,$K324/'Model Data Inputs'!$B$143)</f>
        <v>0.7630555555555556</v>
      </c>
      <c r="Y324" s="202">
        <f t="shared" si="29"/>
        <v>0.47645300162578968</v>
      </c>
      <c r="Z324" s="202">
        <f>IF(OR($G324="F",$F324="E"),0,'Model Data Inputs'!$B$144)</f>
        <v>0.5</v>
      </c>
      <c r="AA324" s="202">
        <f>IF(AND($O324&lt;='Model Data Inputs'!$B$139,$F324="E"),0,IF(AND($O324&lt;='Model Data Inputs'!$B$139,$F324="M"),0,IF(AND($O324&lt;='Model Data Inputs'!$B$139,$F324="H"),0,IF(SUM($Y324:$Z324)&lt;1,1,SUM($Y324:$Z324)))))</f>
        <v>0</v>
      </c>
      <c r="AB324" s="202">
        <f>($K324/'Model Data Inputs'!$B$143)*'Model Data Inputs'!$B$145</f>
        <v>7.6305555555555571E-2</v>
      </c>
      <c r="AC324" s="202">
        <f t="shared" si="30"/>
        <v>7.6305555555555571E-2</v>
      </c>
      <c r="AD324" s="202">
        <f>IF($G324="F",0,'Model Data Inputs'!$B$147)</f>
        <v>1.1000000000000001</v>
      </c>
      <c r="AE324" s="202">
        <f>IF($G324="F",0,($K324/'Model Data Inputs'!$B$148)*'Model Data Inputs'!$B$149)</f>
        <v>0.2747</v>
      </c>
      <c r="AF324" s="202">
        <f>IF($G324="F",0,($O324/'Model Data Inputs'!$B$150)*'Model Data Inputs'!$B$151)</f>
        <v>6.2838966666666676E-2</v>
      </c>
      <c r="AG324" s="202">
        <f>IF($G324="F",0,(($Q324*$T324)/'Model Data Inputs'!$B$152)*'Model Data Inputs'!$B$153)</f>
        <v>0.10471927437910676</v>
      </c>
      <c r="AH324" s="202">
        <f t="shared" si="31"/>
        <v>0.38556456026144337</v>
      </c>
      <c r="AI324" s="203">
        <f>IF(OR($G324="F",$F324="M",$F324="H"),0,($AH324*'Model Data Inputs'!$B$154)-$AH324)</f>
        <v>0</v>
      </c>
      <c r="AJ324" s="202">
        <f>IF(OR($G324="F",$F324="E",$F324="H"),0,($AH324*'Model Data Inputs'!$B$155)-$AH324)</f>
        <v>0</v>
      </c>
      <c r="AK324" s="203">
        <f>IF(OR($G324="F",$F324="E",$F324="M"),0,($AH324*'Model Data Inputs'!$B$156)-$AH324)</f>
        <v>0.38556456026144337</v>
      </c>
      <c r="AL324" s="203">
        <f>IF($G324="F",0,IF($M324&lt;'Model Data Inputs'!$B$158,$AH324*('Model Data Inputs'!$B$159-1),0))</f>
        <v>0</v>
      </c>
      <c r="AM324" s="202">
        <f>IF($G324="F",0,IF($M324&gt;'Model Data Inputs'!$B$160,$AH324*('Model Data Inputs'!$B$161-1),0))</f>
        <v>0</v>
      </c>
      <c r="AN324" s="202">
        <f>IF($G324="F",0,IF($P324&lt;'Model Data Inputs'!$B$162,SUM($AH324,$AI324,$AJ324,$AK324,$AL324,$AM324)*('Model Data Inputs'!$B$163-1),0))</f>
        <v>0</v>
      </c>
      <c r="AO324" s="202">
        <f t="shared" si="32"/>
        <v>0.77112912052288674</v>
      </c>
      <c r="AP324" s="204">
        <f>$K324*'Model Data Inputs'!$B$166</f>
        <v>9202.4500000000007</v>
      </c>
      <c r="AQ324" s="204">
        <f>($K324*'Model Data Inputs'!$B$145)*'Model Data Inputs'!$B$166</f>
        <v>920.245</v>
      </c>
      <c r="AR324" s="50">
        <f t="shared" si="33"/>
        <v>10122.695000000002</v>
      </c>
    </row>
    <row r="325" spans="1:44" x14ac:dyDescent="0.2">
      <c r="A325" s="227" t="str">
        <f>'School Level Inst. Resources'!A325</f>
        <v>2001000</v>
      </c>
      <c r="B325" s="227" t="str">
        <f>'School Level Inst. Resources'!B325</f>
        <v>Teton #1</v>
      </c>
      <c r="C325" s="227" t="str">
        <f>'School Level Inst. Resources'!C325</f>
        <v>2001001</v>
      </c>
      <c r="D325" s="227" t="str">
        <f>'School Level Inst. Resources'!D325</f>
        <v>Alta Elementary</v>
      </c>
      <c r="E325" s="228" t="str">
        <f>'School Level Inst. Resources'!E325</f>
        <v>K-6</v>
      </c>
      <c r="F325" s="229" t="str">
        <f>'School Level Inst. Resources'!H325</f>
        <v>E</v>
      </c>
      <c r="G325" s="229" t="s">
        <v>1158</v>
      </c>
      <c r="H325" s="207">
        <v>12226</v>
      </c>
      <c r="I325" s="207">
        <f>IF('SFD Allowable GSF Calculation'!$D$2=1,'SFD Allowable GSF Calculation'!$P325,'SFD Allowable GSF Calculation'!$X325)</f>
        <v>10800</v>
      </c>
      <c r="J325" s="194">
        <f>$I325*'Model Data Inputs'!$B$165</f>
        <v>12419.999999999998</v>
      </c>
      <c r="K325" s="194">
        <f>IF($L325&gt;='Model Data Inputs'!$B$164,$H325,MIN($H325,$J325))</f>
        <v>12226</v>
      </c>
      <c r="L325" s="208">
        <v>1980</v>
      </c>
      <c r="M325" s="196">
        <f>IF($L325&gt;0,'Model Data Inputs'!$B$157-$L325,"")</f>
        <v>37</v>
      </c>
      <c r="N325" s="209">
        <v>7</v>
      </c>
      <c r="O325" s="198">
        <f>'School Level Inst. Resources'!$L325</f>
        <v>46.295000000000002</v>
      </c>
      <c r="P325" s="198">
        <f>IF($G325="T",SUMIFS('School Level ADM'!$S$5:$S$359,'School Level ADM'!$A$5:$A$359,$A325),0)</f>
        <v>2819.07</v>
      </c>
      <c r="Q325" s="199">
        <f t="shared" si="34"/>
        <v>1.6422082459818309E-2</v>
      </c>
      <c r="R325" s="200">
        <f>SUM((('School Level Inst. Resources'!I325/'Model Data Inputs'!$B$8)*(1+'Model Data Inputs'!$B$9)),(SUM('School Level Inst. Resources'!J325:K325)/'Model Data Inputs'!$C$8)*(1+'Model Data Inputs'!$C$9),'School Level Inst. Resources'!K325/400)</f>
        <v>3.0863333333333336</v>
      </c>
      <c r="S325" s="200">
        <f t="shared" si="35"/>
        <v>3.0863333333333336</v>
      </c>
      <c r="T325" s="201">
        <f>IF($G325="T",VLOOKUP($A325,'Total O &amp; M Resources'!$A$5:$K$52,3),0)</f>
        <v>23273213.290000003</v>
      </c>
      <c r="U325" s="202">
        <f>IF($G325="F",0,$S325/'Model Data Inputs'!$B$140)</f>
        <v>0.23741025641025643</v>
      </c>
      <c r="V325" s="202">
        <f>IF($G325="F",0,$O325/'Model Data Inputs'!$B$141)</f>
        <v>0.14244615384615386</v>
      </c>
      <c r="W325" s="202">
        <f>IF($G325="F",0,$N325/'Model Data Inputs'!$B$142)</f>
        <v>0.53846153846153844</v>
      </c>
      <c r="X325" s="202">
        <f>IF($G325="F",0,$K325/'Model Data Inputs'!$B$143)</f>
        <v>0.67922222222222217</v>
      </c>
      <c r="Y325" s="202">
        <f t="shared" si="29"/>
        <v>0.39938504273504272</v>
      </c>
      <c r="Z325" s="202">
        <f>IF(OR($G325="F",$F325="E"),0,'Model Data Inputs'!$B$144)</f>
        <v>0</v>
      </c>
      <c r="AA325" s="202">
        <f>IF(AND($O325&lt;='Model Data Inputs'!$B$139,$F325="E"),0,IF(AND($O325&lt;='Model Data Inputs'!$B$139,$F325="M"),0,IF(AND($O325&lt;='Model Data Inputs'!$B$139,$F325="H"),0,IF(SUM($Y325:$Z325)&lt;1,1,SUM($Y325:$Z325)))))</f>
        <v>0</v>
      </c>
      <c r="AB325" s="202">
        <f>($K325/'Model Data Inputs'!$B$143)*'Model Data Inputs'!$B$145</f>
        <v>6.7922222222222217E-2</v>
      </c>
      <c r="AC325" s="202">
        <f t="shared" si="30"/>
        <v>6.7922222222222217E-2</v>
      </c>
      <c r="AD325" s="202">
        <f>IF($G325="F",0,'Model Data Inputs'!$B$147)</f>
        <v>1.1000000000000001</v>
      </c>
      <c r="AE325" s="202">
        <f>IF($G325="F",0,($K325/'Model Data Inputs'!$B$148)*'Model Data Inputs'!$B$149)</f>
        <v>0.24452000000000002</v>
      </c>
      <c r="AF325" s="202">
        <f>IF($G325="F",0,($O325/'Model Data Inputs'!$B$150)*'Model Data Inputs'!$B$151)</f>
        <v>6.0183500000000008E-2</v>
      </c>
      <c r="AG325" s="202">
        <f>IF($G325="F",0,(($Q325*$T325)/'Model Data Inputs'!$B$152)*'Model Data Inputs'!$B$153)</f>
        <v>9.1726710660796656E-2</v>
      </c>
      <c r="AH325" s="202">
        <f t="shared" si="31"/>
        <v>0.37410755266519918</v>
      </c>
      <c r="AI325" s="203">
        <f>IF(OR($G325="F",$F325="M",$F325="H"),0,($AH325*'Model Data Inputs'!$B$154)-$AH325)</f>
        <v>-7.4821510533039814E-2</v>
      </c>
      <c r="AJ325" s="202">
        <f>IF(OR($G325="F",$F325="E",$F325="H"),0,($AH325*'Model Data Inputs'!$B$155)-$AH325)</f>
        <v>0</v>
      </c>
      <c r="AK325" s="203">
        <f>IF(OR($G325="F",$F325="E",$F325="M"),0,($AH325*'Model Data Inputs'!$B$156)-$AH325)</f>
        <v>0</v>
      </c>
      <c r="AL325" s="203">
        <f>IF($G325="F",0,IF($M325&lt;'Model Data Inputs'!$B$158,$AH325*('Model Data Inputs'!$B$159-1),0))</f>
        <v>0</v>
      </c>
      <c r="AM325" s="202">
        <f>IF($G325="F",0,IF($M325&gt;'Model Data Inputs'!$B$160,$AH325*('Model Data Inputs'!$B$161-1),0))</f>
        <v>3.7410755266519949E-2</v>
      </c>
      <c r="AN325" s="202">
        <f>IF($G325="F",0,IF($P325&lt;'Model Data Inputs'!$B$162,SUM($AH325,$AI325,$AJ325,$AK325,$AL325,$AM325)*('Model Data Inputs'!$B$163-1),0))</f>
        <v>0</v>
      </c>
      <c r="AO325" s="202">
        <f t="shared" si="32"/>
        <v>0.3366967973986793</v>
      </c>
      <c r="AP325" s="204">
        <f>$K325*'Model Data Inputs'!$B$166</f>
        <v>8191.42</v>
      </c>
      <c r="AQ325" s="204">
        <f>($K325*'Model Data Inputs'!$B$145)*'Model Data Inputs'!$B$166</f>
        <v>819.14200000000017</v>
      </c>
      <c r="AR325" s="50">
        <f t="shared" si="33"/>
        <v>9010.5619999999999</v>
      </c>
    </row>
    <row r="326" spans="1:44" x14ac:dyDescent="0.2">
      <c r="A326" s="227" t="str">
        <f>'School Level Inst. Resources'!A326</f>
        <v>2001000</v>
      </c>
      <c r="B326" s="227" t="str">
        <f>'School Level Inst. Resources'!B326</f>
        <v>Teton #1</v>
      </c>
      <c r="C326" s="227" t="str">
        <f>'School Level Inst. Resources'!C326</f>
        <v>2001003</v>
      </c>
      <c r="D326" s="227" t="str">
        <f>'School Level Inst. Resources'!D326</f>
        <v>Kelly Elementary</v>
      </c>
      <c r="E326" s="228" t="str">
        <f>'School Level Inst. Resources'!E326</f>
        <v>K-5</v>
      </c>
      <c r="F326" s="229" t="str">
        <f>'School Level Inst. Resources'!H326</f>
        <v>E</v>
      </c>
      <c r="G326" s="229" t="s">
        <v>1158</v>
      </c>
      <c r="H326" s="207">
        <v>10032</v>
      </c>
      <c r="I326" s="207">
        <f>IF('SFD Allowable GSF Calculation'!$D$2=1,'SFD Allowable GSF Calculation'!$P326,'SFD Allowable GSF Calculation'!$X326)</f>
        <v>9363</v>
      </c>
      <c r="J326" s="194">
        <f>$I326*'Model Data Inputs'!$B$165</f>
        <v>10767.449999999999</v>
      </c>
      <c r="K326" s="194">
        <f>IF($L326&gt;='Model Data Inputs'!$B$164,$H326,MIN($H326,$J326))</f>
        <v>10032</v>
      </c>
      <c r="L326" s="208">
        <v>1972</v>
      </c>
      <c r="M326" s="196">
        <f>IF($L326&gt;0,'Model Data Inputs'!$B$157-$L326,"")</f>
        <v>45</v>
      </c>
      <c r="N326" s="209">
        <v>5</v>
      </c>
      <c r="O326" s="198">
        <f>'School Level Inst. Resources'!$L326</f>
        <v>51.220000000000006</v>
      </c>
      <c r="P326" s="198">
        <f>IF($G326="T",SUMIFS('School Level ADM'!$S$5:$S$359,'School Level ADM'!$A$5:$A$359,$A326),0)</f>
        <v>2819.07</v>
      </c>
      <c r="Q326" s="199">
        <f t="shared" si="34"/>
        <v>1.8169112508735152E-2</v>
      </c>
      <c r="R326" s="200">
        <f>SUM((('School Level Inst. Resources'!I326/'Model Data Inputs'!$B$8)*(1+'Model Data Inputs'!$B$9)),(SUM('School Level Inst. Resources'!J326:K326)/'Model Data Inputs'!$C$8)*(1+'Model Data Inputs'!$C$9),'School Level Inst. Resources'!K326/400)</f>
        <v>3.4146666666666667</v>
      </c>
      <c r="S326" s="200">
        <f t="shared" si="35"/>
        <v>3.4146666666666667</v>
      </c>
      <c r="T326" s="201">
        <f>IF($G326="T",VLOOKUP($A326,'Total O &amp; M Resources'!$A$5:$K$52,3),0)</f>
        <v>23273213.290000003</v>
      </c>
      <c r="U326" s="202">
        <f>IF($G326="F",0,$S326/'Model Data Inputs'!$B$140)</f>
        <v>0.26266666666666666</v>
      </c>
      <c r="V326" s="202">
        <f>IF($G326="F",0,$O326/'Model Data Inputs'!$B$141)</f>
        <v>0.15760000000000002</v>
      </c>
      <c r="W326" s="202">
        <f>IF($G326="F",0,$N326/'Model Data Inputs'!$B$142)</f>
        <v>0.38461538461538464</v>
      </c>
      <c r="X326" s="202">
        <f>IF($G326="F",0,$K326/'Model Data Inputs'!$B$143)</f>
        <v>0.55733333333333335</v>
      </c>
      <c r="Y326" s="202">
        <f t="shared" ref="Y326:Y359" si="36">AVERAGE(U326:X326)</f>
        <v>0.34055384615384621</v>
      </c>
      <c r="Z326" s="202">
        <f>IF(OR($G326="F",$F326="E"),0,'Model Data Inputs'!$B$144)</f>
        <v>0</v>
      </c>
      <c r="AA326" s="202">
        <f>IF(AND($O326&lt;='Model Data Inputs'!$B$139,$F326="E"),0,IF(AND($O326&lt;='Model Data Inputs'!$B$139,$F326="M"),0,IF(AND($O326&lt;='Model Data Inputs'!$B$139,$F326="H"),0,IF(SUM($Y326:$Z326)&lt;1,1,SUM($Y326:$Z326)))))</f>
        <v>1</v>
      </c>
      <c r="AB326" s="202">
        <f>($K326/'Model Data Inputs'!$B$143)*'Model Data Inputs'!$B$145</f>
        <v>5.5733333333333336E-2</v>
      </c>
      <c r="AC326" s="202">
        <f t="shared" ref="AC326:AC359" si="37">SUM(AA326:AB326)</f>
        <v>1.0557333333333334</v>
      </c>
      <c r="AD326" s="202">
        <f>IF($G326="F",0,'Model Data Inputs'!$B$147)</f>
        <v>1.1000000000000001</v>
      </c>
      <c r="AE326" s="202">
        <f>IF($G326="F",0,($K326/'Model Data Inputs'!$B$148)*'Model Data Inputs'!$B$149)</f>
        <v>0.20063999999999999</v>
      </c>
      <c r="AF326" s="202">
        <f>IF($G326="F",0,($O326/'Model Data Inputs'!$B$150)*'Model Data Inputs'!$B$151)</f>
        <v>6.658600000000002E-2</v>
      </c>
      <c r="AG326" s="202">
        <f>IF($G326="F",0,(($Q326*$T326)/'Model Data Inputs'!$B$152)*'Model Data Inputs'!$B$153)</f>
        <v>0.10148487136939206</v>
      </c>
      <c r="AH326" s="202">
        <f t="shared" ref="AH326:AH359" si="38">AVERAGE($AD326:$AG326)</f>
        <v>0.36717771784234804</v>
      </c>
      <c r="AI326" s="203">
        <f>IF(OR($G326="F",$F326="M",$F326="H"),0,($AH326*'Model Data Inputs'!$B$154)-$AH326)</f>
        <v>-7.3435543568469597E-2</v>
      </c>
      <c r="AJ326" s="202">
        <f>IF(OR($G326="F",$F326="E",$F326="H"),0,($AH326*'Model Data Inputs'!$B$155)-$AH326)</f>
        <v>0</v>
      </c>
      <c r="AK326" s="203">
        <f>IF(OR($G326="F",$F326="E",$F326="M"),0,($AH326*'Model Data Inputs'!$B$156)-$AH326)</f>
        <v>0</v>
      </c>
      <c r="AL326" s="203">
        <f>IF($G326="F",0,IF($M326&lt;'Model Data Inputs'!$B$158,$AH326*('Model Data Inputs'!$B$159-1),0))</f>
        <v>0</v>
      </c>
      <c r="AM326" s="202">
        <f>IF($G326="F",0,IF($M326&gt;'Model Data Inputs'!$B$160,$AH326*('Model Data Inputs'!$B$161-1),0))</f>
        <v>3.671777178423484E-2</v>
      </c>
      <c r="AN326" s="202">
        <f>IF($G326="F",0,IF($P326&lt;'Model Data Inputs'!$B$162,SUM($AH326,$AI326,$AJ326,$AK326,$AL326,$AM326)*('Model Data Inputs'!$B$163-1),0))</f>
        <v>0</v>
      </c>
      <c r="AO326" s="202">
        <f t="shared" ref="AO326:AO359" si="39">SUM(AH326:AN326)</f>
        <v>0.3304599460581133</v>
      </c>
      <c r="AP326" s="204">
        <f>$K326*'Model Data Inputs'!$B$166</f>
        <v>6721.4400000000005</v>
      </c>
      <c r="AQ326" s="204">
        <f>($K326*'Model Data Inputs'!$B$145)*'Model Data Inputs'!$B$166</f>
        <v>672.14400000000012</v>
      </c>
      <c r="AR326" s="50">
        <f t="shared" ref="AR326:AR359" si="40">SUM(AP326:AQ326)</f>
        <v>7393.5840000000007</v>
      </c>
    </row>
    <row r="327" spans="1:44" x14ac:dyDescent="0.2">
      <c r="A327" s="227" t="str">
        <f>'School Level Inst. Resources'!A327</f>
        <v>2001000</v>
      </c>
      <c r="B327" s="227" t="str">
        <f>'School Level Inst. Resources'!B327</f>
        <v>Teton #1</v>
      </c>
      <c r="C327" s="227" t="str">
        <f>'School Level Inst. Resources'!C327</f>
        <v>2001004</v>
      </c>
      <c r="D327" s="227" t="str">
        <f>'School Level Inst. Resources'!D327</f>
        <v>Moran Elementary</v>
      </c>
      <c r="E327" s="228" t="str">
        <f>'School Level Inst. Resources'!E327</f>
        <v>K-5</v>
      </c>
      <c r="F327" s="229" t="str">
        <f>'School Level Inst. Resources'!H327</f>
        <v>E</v>
      </c>
      <c r="G327" s="229" t="s">
        <v>1158</v>
      </c>
      <c r="H327" s="207">
        <v>8765</v>
      </c>
      <c r="I327" s="207">
        <f>IF('SFD Allowable GSF Calculation'!$D$2=1,'SFD Allowable GSF Calculation'!$P327,'SFD Allowable GSF Calculation'!$X327)</f>
        <v>2915</v>
      </c>
      <c r="J327" s="194">
        <f>$I327*'Model Data Inputs'!$B$165</f>
        <v>3352.2499999999995</v>
      </c>
      <c r="K327" s="194">
        <f>IF($L327&gt;='Model Data Inputs'!$B$164,$H327,MIN($H327,$J327))</f>
        <v>3352.2499999999995</v>
      </c>
      <c r="L327" s="208">
        <v>1960</v>
      </c>
      <c r="M327" s="196">
        <f>IF($L327&gt;0,'Model Data Inputs'!$B$157-$L327,"")</f>
        <v>57</v>
      </c>
      <c r="N327" s="209">
        <v>3</v>
      </c>
      <c r="O327" s="198">
        <f>'School Level Inst. Resources'!$L327</f>
        <v>17.73</v>
      </c>
      <c r="P327" s="198">
        <f>IF($G327="T",SUMIFS('School Level ADM'!$S$5:$S$359,'School Level ADM'!$A$5:$A$359,$A327),0)</f>
        <v>2819.07</v>
      </c>
      <c r="Q327" s="199">
        <f t="shared" ref="Q327:Q359" si="41">IF($G327="F",0,$O327/$P327)</f>
        <v>6.2893081761006284E-3</v>
      </c>
      <c r="R327" s="200">
        <f>SUM((('School Level Inst. Resources'!I327/'Model Data Inputs'!$B$8)*(1+'Model Data Inputs'!$B$9)),(SUM('School Level Inst. Resources'!J327:K327)/'Model Data Inputs'!$C$8)*(1+'Model Data Inputs'!$C$9),'School Level Inst. Resources'!K327/400)</f>
        <v>1.1819999999999999</v>
      </c>
      <c r="S327" s="200">
        <f t="shared" ref="S327:S359" si="42">R327</f>
        <v>1.1819999999999999</v>
      </c>
      <c r="T327" s="201">
        <f>IF($G327="T",VLOOKUP($A327,'Total O &amp; M Resources'!$A$5:$K$52,3),0)</f>
        <v>23273213.290000003</v>
      </c>
      <c r="U327" s="202">
        <f>IF($G327="F",0,$S327/'Model Data Inputs'!$B$140)</f>
        <v>9.0923076923076912E-2</v>
      </c>
      <c r="V327" s="202">
        <f>IF($G327="F",0,$O327/'Model Data Inputs'!$B$141)</f>
        <v>5.4553846153846154E-2</v>
      </c>
      <c r="W327" s="202">
        <f>IF($G327="F",0,$N327/'Model Data Inputs'!$B$142)</f>
        <v>0.23076923076923078</v>
      </c>
      <c r="X327" s="202">
        <f>IF($G327="F",0,$K327/'Model Data Inputs'!$B$143)</f>
        <v>0.18623611111111107</v>
      </c>
      <c r="Y327" s="202">
        <f t="shared" si="36"/>
        <v>0.14062056623931624</v>
      </c>
      <c r="Z327" s="202">
        <f>IF(OR($G327="F",$F327="E"),0,'Model Data Inputs'!$B$144)</f>
        <v>0</v>
      </c>
      <c r="AA327" s="202">
        <f>IF(AND($O327&lt;='Model Data Inputs'!$B$139,$F327="E"),0,IF(AND($O327&lt;='Model Data Inputs'!$B$139,$F327="M"),0,IF(AND($O327&lt;='Model Data Inputs'!$B$139,$F327="H"),0,IF(SUM($Y327:$Z327)&lt;1,1,SUM($Y327:$Z327)))))</f>
        <v>0</v>
      </c>
      <c r="AB327" s="202">
        <f>($K327/'Model Data Inputs'!$B$143)*'Model Data Inputs'!$B$145</f>
        <v>1.8623611111111108E-2</v>
      </c>
      <c r="AC327" s="202">
        <f t="shared" si="37"/>
        <v>1.8623611111111108E-2</v>
      </c>
      <c r="AD327" s="202">
        <f>IF($G327="F",0,'Model Data Inputs'!$B$147)</f>
        <v>1.1000000000000001</v>
      </c>
      <c r="AE327" s="202">
        <f>IF($G327="F",0,($K327/'Model Data Inputs'!$B$148)*'Model Data Inputs'!$B$149)</f>
        <v>6.7044999999999993E-2</v>
      </c>
      <c r="AF327" s="202">
        <f>IF($G327="F",0,($O327/'Model Data Inputs'!$B$150)*'Model Data Inputs'!$B$151)</f>
        <v>2.3049E-2</v>
      </c>
      <c r="AG327" s="202">
        <f>IF($G327="F",0,(($Q327*$T327)/'Model Data Inputs'!$B$152)*'Model Data Inputs'!$B$153)</f>
        <v>3.5129378550943398E-2</v>
      </c>
      <c r="AH327" s="202">
        <f t="shared" si="38"/>
        <v>0.30630584463773591</v>
      </c>
      <c r="AI327" s="203">
        <f>IF(OR($G327="F",$F327="M",$F327="H"),0,($AH327*'Model Data Inputs'!$B$154)-$AH327)</f>
        <v>-6.1261168927547183E-2</v>
      </c>
      <c r="AJ327" s="202">
        <f>IF(OR($G327="F",$F327="E",$F327="H"),0,($AH327*'Model Data Inputs'!$B$155)-$AH327)</f>
        <v>0</v>
      </c>
      <c r="AK327" s="203">
        <f>IF(OR($G327="F",$F327="E",$F327="M"),0,($AH327*'Model Data Inputs'!$B$156)-$AH327)</f>
        <v>0</v>
      </c>
      <c r="AL327" s="203">
        <f>IF($G327="F",0,IF($M327&lt;'Model Data Inputs'!$B$158,$AH327*('Model Data Inputs'!$B$159-1),0))</f>
        <v>0</v>
      </c>
      <c r="AM327" s="202">
        <f>IF($G327="F",0,IF($M327&gt;'Model Data Inputs'!$B$160,$AH327*('Model Data Inputs'!$B$161-1),0))</f>
        <v>3.0630584463773619E-2</v>
      </c>
      <c r="AN327" s="202">
        <f>IF($G327="F",0,IF($P327&lt;'Model Data Inputs'!$B$162,SUM($AH327,$AI327,$AJ327,$AK327,$AL327,$AM327)*('Model Data Inputs'!$B$163-1),0))</f>
        <v>0</v>
      </c>
      <c r="AO327" s="202">
        <f t="shared" si="39"/>
        <v>0.27567526017396238</v>
      </c>
      <c r="AP327" s="204">
        <f>$K327*'Model Data Inputs'!$B$166</f>
        <v>2246.0074999999997</v>
      </c>
      <c r="AQ327" s="204">
        <f>($K327*'Model Data Inputs'!$B$145)*'Model Data Inputs'!$B$166</f>
        <v>224.60074999999998</v>
      </c>
      <c r="AR327" s="50">
        <f t="shared" si="40"/>
        <v>2470.6082499999998</v>
      </c>
    </row>
    <row r="328" spans="1:44" x14ac:dyDescent="0.2">
      <c r="A328" s="227" t="str">
        <f>'School Level Inst. Resources'!A328</f>
        <v>2001000</v>
      </c>
      <c r="B328" s="227" t="str">
        <f>'School Level Inst. Resources'!B328</f>
        <v>Teton #1</v>
      </c>
      <c r="C328" s="227" t="str">
        <f>'School Level Inst. Resources'!C328</f>
        <v>2001005</v>
      </c>
      <c r="D328" s="227" t="str">
        <f>'School Level Inst. Resources'!D328</f>
        <v>Wilson Elementary</v>
      </c>
      <c r="E328" s="228" t="str">
        <f>'School Level Inst. Resources'!E328</f>
        <v>K-5</v>
      </c>
      <c r="F328" s="229" t="str">
        <f>'School Level Inst. Resources'!H328</f>
        <v>E</v>
      </c>
      <c r="G328" s="229" t="s">
        <v>1158</v>
      </c>
      <c r="H328" s="207">
        <v>44355</v>
      </c>
      <c r="I328" s="207">
        <f>IF('SFD Allowable GSF Calculation'!$D$2=1,'SFD Allowable GSF Calculation'!$P328,'SFD Allowable GSF Calculation'!$X328)</f>
        <v>35946</v>
      </c>
      <c r="J328" s="194">
        <f>$I328*'Model Data Inputs'!$B$165</f>
        <v>41337.899999999994</v>
      </c>
      <c r="K328" s="194">
        <f>IF($L328&gt;='Model Data Inputs'!$B$164,$H328,MIN($H328,$J328))</f>
        <v>41337.899999999994</v>
      </c>
      <c r="L328" s="208">
        <v>1999</v>
      </c>
      <c r="M328" s="196">
        <f>IF($L328&gt;0,'Model Data Inputs'!$B$157-$L328,"")</f>
        <v>18</v>
      </c>
      <c r="N328" s="209">
        <v>18</v>
      </c>
      <c r="O328" s="198">
        <f>'School Level Inst. Resources'!$L328</f>
        <v>220.64000000000004</v>
      </c>
      <c r="P328" s="198">
        <f>IF($G328="T",SUMIFS('School Level ADM'!$S$5:$S$359,'School Level ADM'!$A$5:$A$359,$A328),0)</f>
        <v>2819.07</v>
      </c>
      <c r="Q328" s="199">
        <f t="shared" si="41"/>
        <v>7.8266946191474507E-2</v>
      </c>
      <c r="R328" s="200">
        <f>SUM((('School Level Inst. Resources'!I328/'Model Data Inputs'!$B$8)*(1+'Model Data Inputs'!$B$9)),(SUM('School Level Inst. Resources'!J328:K328)/'Model Data Inputs'!$C$8)*(1+'Model Data Inputs'!$C$9),'School Level Inst. Resources'!K328/400)</f>
        <v>14.709333333333337</v>
      </c>
      <c r="S328" s="200">
        <f t="shared" si="42"/>
        <v>14.709333333333337</v>
      </c>
      <c r="T328" s="201">
        <f>IF($G328="T",VLOOKUP($A328,'Total O &amp; M Resources'!$A$5:$K$52,3),0)</f>
        <v>23273213.290000003</v>
      </c>
      <c r="U328" s="202">
        <f>IF($G328="F",0,$S328/'Model Data Inputs'!$B$140)</f>
        <v>1.1314871794871797</v>
      </c>
      <c r="V328" s="202">
        <f>IF($G328="F",0,$O328/'Model Data Inputs'!$B$141)</f>
        <v>0.67889230769230779</v>
      </c>
      <c r="W328" s="202">
        <f>IF($G328="F",0,$N328/'Model Data Inputs'!$B$142)</f>
        <v>1.3846153846153846</v>
      </c>
      <c r="X328" s="202">
        <f>IF($G328="F",0,$K328/'Model Data Inputs'!$B$143)</f>
        <v>2.2965499999999999</v>
      </c>
      <c r="Y328" s="202">
        <f t="shared" si="36"/>
        <v>1.372886217948718</v>
      </c>
      <c r="Z328" s="202">
        <f>IF(OR($G328="F",$F328="E"),0,'Model Data Inputs'!$B$144)</f>
        <v>0</v>
      </c>
      <c r="AA328" s="202">
        <f>IF(AND($O328&lt;='Model Data Inputs'!$B$139,$F328="E"),0,IF(AND($O328&lt;='Model Data Inputs'!$B$139,$F328="M"),0,IF(AND($O328&lt;='Model Data Inputs'!$B$139,$F328="H"),0,IF(SUM($Y328:$Z328)&lt;1,1,SUM($Y328:$Z328)))))</f>
        <v>1.372886217948718</v>
      </c>
      <c r="AB328" s="202">
        <f>($K328/'Model Data Inputs'!$B$143)*'Model Data Inputs'!$B$145</f>
        <v>0.229655</v>
      </c>
      <c r="AC328" s="202">
        <f t="shared" si="37"/>
        <v>1.602541217948718</v>
      </c>
      <c r="AD328" s="202">
        <f>IF($G328="F",0,'Model Data Inputs'!$B$147)</f>
        <v>1.1000000000000001</v>
      </c>
      <c r="AE328" s="202">
        <f>IF($G328="F",0,($K328/'Model Data Inputs'!$B$148)*'Model Data Inputs'!$B$149)</f>
        <v>0.82675799999999988</v>
      </c>
      <c r="AF328" s="202">
        <f>IF($G328="F",0,($O328/'Model Data Inputs'!$B$150)*'Model Data Inputs'!$B$151)</f>
        <v>0.28683200000000003</v>
      </c>
      <c r="AG328" s="202">
        <f>IF($G328="F",0,(($Q328*$T328)/'Model Data Inputs'!$B$152)*'Model Data Inputs'!$B$153)</f>
        <v>0.43716559974507352</v>
      </c>
      <c r="AH328" s="202">
        <f t="shared" si="38"/>
        <v>0.66268889993626834</v>
      </c>
      <c r="AI328" s="203">
        <f>IF(OR($G328="F",$F328="M",$F328="H"),0,($AH328*'Model Data Inputs'!$B$154)-$AH328)</f>
        <v>-0.13253777998725369</v>
      </c>
      <c r="AJ328" s="202">
        <f>IF(OR($G328="F",$F328="E",$F328="H"),0,($AH328*'Model Data Inputs'!$B$155)-$AH328)</f>
        <v>0</v>
      </c>
      <c r="AK328" s="203">
        <f>IF(OR($G328="F",$F328="E",$F328="M"),0,($AH328*'Model Data Inputs'!$B$156)-$AH328)</f>
        <v>0</v>
      </c>
      <c r="AL328" s="203">
        <f>IF($G328="F",0,IF($M328&lt;'Model Data Inputs'!$B$158,$AH328*('Model Data Inputs'!$B$159-1),0))</f>
        <v>0</v>
      </c>
      <c r="AM328" s="202">
        <f>IF($G328="F",0,IF($M328&gt;'Model Data Inputs'!$B$160,$AH328*('Model Data Inputs'!$B$161-1),0))</f>
        <v>0</v>
      </c>
      <c r="AN328" s="202">
        <f>IF($G328="F",0,IF($P328&lt;'Model Data Inputs'!$B$162,SUM($AH328,$AI328,$AJ328,$AK328,$AL328,$AM328)*('Model Data Inputs'!$B$163-1),0))</f>
        <v>0</v>
      </c>
      <c r="AO328" s="202">
        <f t="shared" si="39"/>
        <v>0.53015111994901465</v>
      </c>
      <c r="AP328" s="204">
        <f>$K328*'Model Data Inputs'!$B$166</f>
        <v>27696.392999999996</v>
      </c>
      <c r="AQ328" s="204">
        <f>($K328*'Model Data Inputs'!$B$145)*'Model Data Inputs'!$B$166</f>
        <v>2769.6393000000003</v>
      </c>
      <c r="AR328" s="50">
        <f t="shared" si="40"/>
        <v>30466.032299999995</v>
      </c>
    </row>
    <row r="329" spans="1:44" x14ac:dyDescent="0.2">
      <c r="A329" s="227" t="str">
        <f>'School Level Inst. Resources'!A329</f>
        <v>2001000</v>
      </c>
      <c r="B329" s="227" t="str">
        <f>'School Level Inst. Resources'!B329</f>
        <v>Teton #1</v>
      </c>
      <c r="C329" s="227" t="str">
        <f>'School Level Inst. Resources'!C329</f>
        <v>2001009</v>
      </c>
      <c r="D329" s="227" t="str">
        <f>'School Level Inst. Resources'!D329</f>
        <v>Colter Elementary</v>
      </c>
      <c r="E329" s="228" t="str">
        <f>'School Level Inst. Resources'!E329</f>
        <v>K-5</v>
      </c>
      <c r="F329" s="229" t="str">
        <f>'School Level Inst. Resources'!H329</f>
        <v>E</v>
      </c>
      <c r="G329" s="229" t="s">
        <v>1158</v>
      </c>
      <c r="H329" s="207">
        <v>70519</v>
      </c>
      <c r="I329" s="207">
        <f>IF('SFD Allowable GSF Calculation'!$D$2=1,'SFD Allowable GSF Calculation'!$P329,'SFD Allowable GSF Calculation'!$X329)</f>
        <v>74674</v>
      </c>
      <c r="J329" s="194">
        <f>$I329*'Model Data Inputs'!$B$165</f>
        <v>85875.099999999991</v>
      </c>
      <c r="K329" s="194">
        <f>IF($L329&gt;='Model Data Inputs'!$B$164,$H329,MIN($H329,$J329))</f>
        <v>70519</v>
      </c>
      <c r="L329" s="208">
        <v>2002</v>
      </c>
      <c r="M329" s="196">
        <f>IF($L329&gt;0,'Model Data Inputs'!$B$157-$L329,"")</f>
        <v>15</v>
      </c>
      <c r="N329" s="209">
        <v>43</v>
      </c>
      <c r="O329" s="198">
        <f>'School Level Inst. Resources'!$L329</f>
        <v>524.02</v>
      </c>
      <c r="P329" s="198">
        <f>IF($G329="T",SUMIFS('School Level ADM'!$S$5:$S$359,'School Level ADM'!$A$5:$A$359,$A329),0)</f>
        <v>2819.07</v>
      </c>
      <c r="Q329" s="199">
        <f t="shared" si="41"/>
        <v>0.18588399720475191</v>
      </c>
      <c r="R329" s="200">
        <f>SUM((('School Level Inst. Resources'!I329/'Model Data Inputs'!$B$8)*(1+'Model Data Inputs'!$B$9)),(SUM('School Level Inst. Resources'!J329:K329)/'Model Data Inputs'!$C$8)*(1+'Model Data Inputs'!$C$9),'School Level Inst. Resources'!K329/400)</f>
        <v>34.934666666666665</v>
      </c>
      <c r="S329" s="200">
        <f t="shared" si="42"/>
        <v>34.934666666666665</v>
      </c>
      <c r="T329" s="201">
        <f>IF($G329="T",VLOOKUP($A329,'Total O &amp; M Resources'!$A$5:$K$52,3),0)</f>
        <v>23273213.290000003</v>
      </c>
      <c r="U329" s="202">
        <f>IF($G329="F",0,$S329/'Model Data Inputs'!$B$140)</f>
        <v>2.6872820512820512</v>
      </c>
      <c r="V329" s="202">
        <f>IF($G329="F",0,$O329/'Model Data Inputs'!$B$141)</f>
        <v>1.6123692307692308</v>
      </c>
      <c r="W329" s="202">
        <f>IF($G329="F",0,$N329/'Model Data Inputs'!$B$142)</f>
        <v>3.3076923076923075</v>
      </c>
      <c r="X329" s="202">
        <f>IF($G329="F",0,$K329/'Model Data Inputs'!$B$143)</f>
        <v>3.9177222222222223</v>
      </c>
      <c r="Y329" s="202">
        <f t="shared" si="36"/>
        <v>2.8812664529914529</v>
      </c>
      <c r="Z329" s="202">
        <f>IF(OR($G329="F",$F329="E"),0,'Model Data Inputs'!$B$144)</f>
        <v>0</v>
      </c>
      <c r="AA329" s="202">
        <f>IF(AND($O329&lt;='Model Data Inputs'!$B$139,$F329="E"),0,IF(AND($O329&lt;='Model Data Inputs'!$B$139,$F329="M"),0,IF(AND($O329&lt;='Model Data Inputs'!$B$139,$F329="H"),0,IF(SUM($Y329:$Z329)&lt;1,1,SUM($Y329:$Z329)))))</f>
        <v>2.8812664529914529</v>
      </c>
      <c r="AB329" s="202">
        <f>($K329/'Model Data Inputs'!$B$143)*'Model Data Inputs'!$B$145</f>
        <v>0.39177222222222224</v>
      </c>
      <c r="AC329" s="202">
        <f t="shared" si="37"/>
        <v>3.2730386752136753</v>
      </c>
      <c r="AD329" s="202">
        <f>IF($G329="F",0,'Model Data Inputs'!$B$147)</f>
        <v>1.1000000000000001</v>
      </c>
      <c r="AE329" s="202">
        <f>IF($G329="F",0,($K329/'Model Data Inputs'!$B$148)*'Model Data Inputs'!$B$149)</f>
        <v>1.4103799999999997</v>
      </c>
      <c r="AF329" s="202">
        <f>IF($G329="F",0,($O329/'Model Data Inputs'!$B$150)*'Model Data Inputs'!$B$151)</f>
        <v>0.68122599999999989</v>
      </c>
      <c r="AG329" s="202">
        <f>IF($G329="F",0,(($Q329*$T329)/'Model Data Inputs'!$B$152)*'Model Data Inputs'!$B$153)</f>
        <v>1.0382682993945493</v>
      </c>
      <c r="AH329" s="202">
        <f t="shared" si="38"/>
        <v>1.0574685748486372</v>
      </c>
      <c r="AI329" s="203">
        <f>IF(OR($G329="F",$F329="M",$F329="H"),0,($AH329*'Model Data Inputs'!$B$154)-$AH329)</f>
        <v>-0.21149371496972735</v>
      </c>
      <c r="AJ329" s="202">
        <f>IF(OR($G329="F",$F329="E",$F329="H"),0,($AH329*'Model Data Inputs'!$B$155)-$AH329)</f>
        <v>0</v>
      </c>
      <c r="AK329" s="203">
        <f>IF(OR($G329="F",$F329="E",$F329="M"),0,($AH329*'Model Data Inputs'!$B$156)-$AH329)</f>
        <v>0</v>
      </c>
      <c r="AL329" s="203">
        <f>IF($G329="F",0,IF($M329&lt;'Model Data Inputs'!$B$158,$AH329*('Model Data Inputs'!$B$159-1),0))</f>
        <v>0</v>
      </c>
      <c r="AM329" s="202">
        <f>IF($G329="F",0,IF($M329&gt;'Model Data Inputs'!$B$160,$AH329*('Model Data Inputs'!$B$161-1),0))</f>
        <v>0</v>
      </c>
      <c r="AN329" s="202">
        <f>IF($G329="F",0,IF($P329&lt;'Model Data Inputs'!$B$162,SUM($AH329,$AI329,$AJ329,$AK329,$AL329,$AM329)*('Model Data Inputs'!$B$163-1),0))</f>
        <v>0</v>
      </c>
      <c r="AO329" s="202">
        <f t="shared" si="39"/>
        <v>0.84597485987890986</v>
      </c>
      <c r="AP329" s="204">
        <f>$K329*'Model Data Inputs'!$B$166</f>
        <v>47247.73</v>
      </c>
      <c r="AQ329" s="204">
        <f>($K329*'Model Data Inputs'!$B$145)*'Model Data Inputs'!$B$166</f>
        <v>4724.773000000001</v>
      </c>
      <c r="AR329" s="50">
        <f t="shared" si="40"/>
        <v>51972.503000000004</v>
      </c>
    </row>
    <row r="330" spans="1:44" x14ac:dyDescent="0.2">
      <c r="A330" s="227" t="str">
        <f>'School Level Inst. Resources'!A330</f>
        <v>2001000</v>
      </c>
      <c r="B330" s="227" t="str">
        <f>'School Level Inst. Resources'!B330</f>
        <v>Teton #1</v>
      </c>
      <c r="C330" s="227" t="str">
        <f>'School Level Inst. Resources'!C330</f>
        <v>2001010</v>
      </c>
      <c r="D330" s="227" t="str">
        <f>'School Level Inst. Resources'!D330</f>
        <v>Jackson Elementary</v>
      </c>
      <c r="E330" s="228" t="str">
        <f>'School Level Inst. Resources'!E330</f>
        <v>K-5</v>
      </c>
      <c r="F330" s="229" t="str">
        <f>'School Level Inst. Resources'!H330</f>
        <v>E</v>
      </c>
      <c r="G330" s="229" t="s">
        <v>1158</v>
      </c>
      <c r="H330" s="207">
        <v>79543</v>
      </c>
      <c r="I330" s="207">
        <f>IF('SFD Allowable GSF Calculation'!$D$2=1,'SFD Allowable GSF Calculation'!$P330,'SFD Allowable GSF Calculation'!$X330)</f>
        <v>74674</v>
      </c>
      <c r="J330" s="194">
        <f>$I330*'Model Data Inputs'!$B$165</f>
        <v>85875.099999999991</v>
      </c>
      <c r="K330" s="194">
        <f>IF($L330&gt;='Model Data Inputs'!$B$164,$H330,MIN($H330,$J330))</f>
        <v>79543</v>
      </c>
      <c r="L330" s="208">
        <v>2009</v>
      </c>
      <c r="M330" s="196">
        <f>IF($L330&gt;0,'Model Data Inputs'!$B$157-$L330,"")</f>
        <v>8</v>
      </c>
      <c r="N330" s="209">
        <v>53</v>
      </c>
      <c r="O330" s="198">
        <f>'School Level Inst. Resources'!$L330</f>
        <v>561.45000000000016</v>
      </c>
      <c r="P330" s="198">
        <f>IF($G330="T",SUMIFS('School Level ADM'!$S$5:$S$359,'School Level ADM'!$A$5:$A$359,$A330),0)</f>
        <v>2819.07</v>
      </c>
      <c r="Q330" s="199">
        <f t="shared" si="41"/>
        <v>0.19916142557651997</v>
      </c>
      <c r="R330" s="200">
        <f>SUM((('School Level Inst. Resources'!I330/'Model Data Inputs'!$B$8)*(1+'Model Data Inputs'!$B$9)),(SUM('School Level Inst. Resources'!J330:K330)/'Model Data Inputs'!$C$8)*(1+'Model Data Inputs'!$C$9),'School Level Inst. Resources'!K330/400)</f>
        <v>37.430000000000014</v>
      </c>
      <c r="S330" s="200">
        <f t="shared" si="42"/>
        <v>37.430000000000014</v>
      </c>
      <c r="T330" s="201">
        <f>IF($G330="T",VLOOKUP($A330,'Total O &amp; M Resources'!$A$5:$K$52,3),0)</f>
        <v>23273213.290000003</v>
      </c>
      <c r="U330" s="202">
        <f>IF($G330="F",0,$S330/'Model Data Inputs'!$B$140)</f>
        <v>2.8792307692307704</v>
      </c>
      <c r="V330" s="202">
        <f>IF($G330="F",0,$O330/'Model Data Inputs'!$B$141)</f>
        <v>1.7275384615384621</v>
      </c>
      <c r="W330" s="202">
        <f>IF($G330="F",0,$N330/'Model Data Inputs'!$B$142)</f>
        <v>4.0769230769230766</v>
      </c>
      <c r="X330" s="202">
        <f>IF($G330="F",0,$K330/'Model Data Inputs'!$B$143)</f>
        <v>4.4190555555555555</v>
      </c>
      <c r="Y330" s="202">
        <f t="shared" si="36"/>
        <v>3.2756869658119663</v>
      </c>
      <c r="Z330" s="202">
        <f>IF(OR($G330="F",$F330="E"),0,'Model Data Inputs'!$B$144)</f>
        <v>0</v>
      </c>
      <c r="AA330" s="202">
        <f>IF(AND($O330&lt;='Model Data Inputs'!$B$139,$F330="E"),0,IF(AND($O330&lt;='Model Data Inputs'!$B$139,$F330="M"),0,IF(AND($O330&lt;='Model Data Inputs'!$B$139,$F330="H"),0,IF(SUM($Y330:$Z330)&lt;1,1,SUM($Y330:$Z330)))))</f>
        <v>3.2756869658119663</v>
      </c>
      <c r="AB330" s="202">
        <f>($K330/'Model Data Inputs'!$B$143)*'Model Data Inputs'!$B$145</f>
        <v>0.44190555555555555</v>
      </c>
      <c r="AC330" s="202">
        <f t="shared" si="37"/>
        <v>3.7175925213675218</v>
      </c>
      <c r="AD330" s="202">
        <f>IF($G330="F",0,'Model Data Inputs'!$B$147)</f>
        <v>1.1000000000000001</v>
      </c>
      <c r="AE330" s="202">
        <f>IF($G330="F",0,($K330/'Model Data Inputs'!$B$148)*'Model Data Inputs'!$B$149)</f>
        <v>1.5908599999999999</v>
      </c>
      <c r="AF330" s="202">
        <f>IF($G330="F",0,($O330/'Model Data Inputs'!$B$150)*'Model Data Inputs'!$B$151)</f>
        <v>0.72988500000000023</v>
      </c>
      <c r="AG330" s="202">
        <f>IF($G330="F",0,(($Q330*$T330)/'Model Data Inputs'!$B$152)*'Model Data Inputs'!$B$153)</f>
        <v>1.1124303207798747</v>
      </c>
      <c r="AH330" s="202">
        <f t="shared" si="38"/>
        <v>1.1332938301949687</v>
      </c>
      <c r="AI330" s="203">
        <f>IF(OR($G330="F",$F330="M",$F330="H"),0,($AH330*'Model Data Inputs'!$B$154)-$AH330)</f>
        <v>-0.22665876603899371</v>
      </c>
      <c r="AJ330" s="202">
        <f>IF(OR($G330="F",$F330="E",$F330="H"),0,($AH330*'Model Data Inputs'!$B$155)-$AH330)</f>
        <v>0</v>
      </c>
      <c r="AK330" s="203">
        <f>IF(OR($G330="F",$F330="E",$F330="M"),0,($AH330*'Model Data Inputs'!$B$156)-$AH330)</f>
        <v>0</v>
      </c>
      <c r="AL330" s="203">
        <f>IF($G330="F",0,IF($M330&lt;'Model Data Inputs'!$B$158,$AH330*('Model Data Inputs'!$B$159-1),0))</f>
        <v>-5.6664691509748483E-2</v>
      </c>
      <c r="AM330" s="202">
        <f>IF($G330="F",0,IF($M330&gt;'Model Data Inputs'!$B$160,$AH330*('Model Data Inputs'!$B$161-1),0))</f>
        <v>0</v>
      </c>
      <c r="AN330" s="202">
        <f>IF($G330="F",0,IF($P330&lt;'Model Data Inputs'!$B$162,SUM($AH330,$AI330,$AJ330,$AK330,$AL330,$AM330)*('Model Data Inputs'!$B$163-1),0))</f>
        <v>0</v>
      </c>
      <c r="AO330" s="202">
        <f t="shared" si="39"/>
        <v>0.84997037264622644</v>
      </c>
      <c r="AP330" s="204">
        <f>$K330*'Model Data Inputs'!$B$166</f>
        <v>53293.810000000005</v>
      </c>
      <c r="AQ330" s="204">
        <f>($K330*'Model Data Inputs'!$B$145)*'Model Data Inputs'!$B$166</f>
        <v>5329.3810000000003</v>
      </c>
      <c r="AR330" s="50">
        <f t="shared" si="40"/>
        <v>58623.191000000006</v>
      </c>
    </row>
    <row r="331" spans="1:44" x14ac:dyDescent="0.2">
      <c r="A331" s="227" t="str">
        <f>'School Level Inst. Resources'!A331</f>
        <v>2001000</v>
      </c>
      <c r="B331" s="227" t="str">
        <f>'School Level Inst. Resources'!B331</f>
        <v>Teton #1</v>
      </c>
      <c r="C331" s="227" t="str">
        <f>'School Level Inst. Resources'!C331</f>
        <v>2001050</v>
      </c>
      <c r="D331" s="227" t="str">
        <f>'School Level Inst. Resources'!D331</f>
        <v>Jackson Hole Middle School</v>
      </c>
      <c r="E331" s="228" t="str">
        <f>'School Level Inst. Resources'!E331</f>
        <v>6-8</v>
      </c>
      <c r="F331" s="229" t="str">
        <f>'School Level Inst. Resources'!H331</f>
        <v>M</v>
      </c>
      <c r="G331" s="229" t="s">
        <v>1158</v>
      </c>
      <c r="H331" s="207">
        <v>107451</v>
      </c>
      <c r="I331" s="207">
        <f>IF('SFD Allowable GSF Calculation'!$D$2=1,'SFD Allowable GSF Calculation'!$P331,'SFD Allowable GSF Calculation'!$X331)</f>
        <v>96618</v>
      </c>
      <c r="J331" s="194">
        <f>$I331*'Model Data Inputs'!$B$165</f>
        <v>111110.7</v>
      </c>
      <c r="K331" s="194">
        <f>IF($L331&gt;='Model Data Inputs'!$B$164,$H331,MIN($H331,$J331))</f>
        <v>107451</v>
      </c>
      <c r="L331" s="208">
        <v>1992</v>
      </c>
      <c r="M331" s="196">
        <f>IF($L331&gt;0,'Model Data Inputs'!$B$157-$L331,"")</f>
        <v>25</v>
      </c>
      <c r="N331" s="209">
        <v>47</v>
      </c>
      <c r="O331" s="198">
        <f>'School Level Inst. Resources'!$L331</f>
        <v>682.60500000000002</v>
      </c>
      <c r="P331" s="198">
        <f>IF($G331="T",SUMIFS('School Level ADM'!$S$5:$S$359,'School Level ADM'!$A$5:$A$359,$A331),0)</f>
        <v>2819.07</v>
      </c>
      <c r="Q331" s="199">
        <f t="shared" si="41"/>
        <v>0.24213836477987422</v>
      </c>
      <c r="R331" s="200">
        <f>SUM((('School Level Inst. Resources'!I331/'Model Data Inputs'!$B$8)*(1+'Model Data Inputs'!$B$9)),(SUM('School Level Inst. Resources'!J331:K331)/'Model Data Inputs'!$C$8)*(1+'Model Data Inputs'!$C$9),'School Level Inst. Resources'!K331/400)</f>
        <v>39.561411521739132</v>
      </c>
      <c r="S331" s="200">
        <f t="shared" si="42"/>
        <v>39.561411521739132</v>
      </c>
      <c r="T331" s="201">
        <f>IF($G331="T",VLOOKUP($A331,'Total O &amp; M Resources'!$A$5:$K$52,3),0)</f>
        <v>23273213.290000003</v>
      </c>
      <c r="U331" s="202">
        <f>IF($G331="F",0,$S331/'Model Data Inputs'!$B$140)</f>
        <v>3.0431855016722409</v>
      </c>
      <c r="V331" s="202">
        <f>IF($G331="F",0,$O331/'Model Data Inputs'!$B$141)</f>
        <v>2.1003230769230772</v>
      </c>
      <c r="W331" s="202">
        <f>IF($G331="F",0,$N331/'Model Data Inputs'!$B$142)</f>
        <v>3.6153846153846154</v>
      </c>
      <c r="X331" s="202">
        <f>IF($G331="F",0,$K331/'Model Data Inputs'!$B$143)</f>
        <v>5.9695</v>
      </c>
      <c r="Y331" s="202">
        <f t="shared" si="36"/>
        <v>3.6820982984949833</v>
      </c>
      <c r="Z331" s="202">
        <f>IF(OR($G331="F",$F331="E"),0,'Model Data Inputs'!$B$144)</f>
        <v>0.5</v>
      </c>
      <c r="AA331" s="202">
        <f>IF(AND($O331&lt;='Model Data Inputs'!$B$139,$F331="E"),0,IF(AND($O331&lt;='Model Data Inputs'!$B$139,$F331="M"),0,IF(AND($O331&lt;='Model Data Inputs'!$B$139,$F331="H"),0,IF(SUM($Y331:$Z331)&lt;1,1,SUM($Y331:$Z331)))))</f>
        <v>4.1820982984949833</v>
      </c>
      <c r="AB331" s="202">
        <f>($K331/'Model Data Inputs'!$B$143)*'Model Data Inputs'!$B$145</f>
        <v>0.59694999999999998</v>
      </c>
      <c r="AC331" s="202">
        <f t="shared" si="37"/>
        <v>4.7790482984949829</v>
      </c>
      <c r="AD331" s="202">
        <f>IF($G331="F",0,'Model Data Inputs'!$B$147)</f>
        <v>1.1000000000000001</v>
      </c>
      <c r="AE331" s="202">
        <f>IF($G331="F",0,($K331/'Model Data Inputs'!$B$148)*'Model Data Inputs'!$B$149)</f>
        <v>2.1490200000000002</v>
      </c>
      <c r="AF331" s="202">
        <f>IF($G331="F",0,($O331/'Model Data Inputs'!$B$150)*'Model Data Inputs'!$B$151)</f>
        <v>0.88738650000000008</v>
      </c>
      <c r="AG331" s="202">
        <f>IF($G331="F",0,(($Q331*$T331)/'Model Data Inputs'!$B$152)*'Model Data Inputs'!$B$153)</f>
        <v>1.3524810742113209</v>
      </c>
      <c r="AH331" s="202">
        <f t="shared" si="38"/>
        <v>1.3722218935528303</v>
      </c>
      <c r="AI331" s="203">
        <f>IF(OR($G331="F",$F331="M",$F331="H"),0,($AH331*'Model Data Inputs'!$B$154)-$AH331)</f>
        <v>0</v>
      </c>
      <c r="AJ331" s="202">
        <f>IF(OR($G331="F",$F331="E",$F331="H"),0,($AH331*'Model Data Inputs'!$B$155)-$AH331)</f>
        <v>0</v>
      </c>
      <c r="AK331" s="203">
        <f>IF(OR($G331="F",$F331="E",$F331="M"),0,($AH331*'Model Data Inputs'!$B$156)-$AH331)</f>
        <v>0</v>
      </c>
      <c r="AL331" s="203">
        <f>IF($G331="F",0,IF($M331&lt;'Model Data Inputs'!$B$158,$AH331*('Model Data Inputs'!$B$159-1),0))</f>
        <v>0</v>
      </c>
      <c r="AM331" s="202">
        <f>IF($G331="F",0,IF($M331&gt;'Model Data Inputs'!$B$160,$AH331*('Model Data Inputs'!$B$161-1),0))</f>
        <v>0</v>
      </c>
      <c r="AN331" s="202">
        <f>IF($G331="F",0,IF($P331&lt;'Model Data Inputs'!$B$162,SUM($AH331,$AI331,$AJ331,$AK331,$AL331,$AM331)*('Model Data Inputs'!$B$163-1),0))</f>
        <v>0</v>
      </c>
      <c r="AO331" s="202">
        <f t="shared" si="39"/>
        <v>1.3722218935528303</v>
      </c>
      <c r="AP331" s="204">
        <f>$K331*'Model Data Inputs'!$B$166</f>
        <v>71992.17</v>
      </c>
      <c r="AQ331" s="204">
        <f>($K331*'Model Data Inputs'!$B$145)*'Model Data Inputs'!$B$166</f>
        <v>7199.2170000000006</v>
      </c>
      <c r="AR331" s="50">
        <f t="shared" si="40"/>
        <v>79191.387000000002</v>
      </c>
    </row>
    <row r="332" spans="1:44" x14ac:dyDescent="0.2">
      <c r="A332" s="227" t="str">
        <f>'School Level Inst. Resources'!A332</f>
        <v>2001000</v>
      </c>
      <c r="B332" s="227" t="str">
        <f>'School Level Inst. Resources'!B332</f>
        <v>Teton #1</v>
      </c>
      <c r="C332" s="227" t="str">
        <f>'School Level Inst. Resources'!C332</f>
        <v>2001055</v>
      </c>
      <c r="D332" s="227" t="str">
        <f>'School Level Inst. Resources'!D332</f>
        <v>Jackson Hole High School</v>
      </c>
      <c r="E332" s="228" t="str">
        <f>'School Level Inst. Resources'!E332</f>
        <v>9-12</v>
      </c>
      <c r="F332" s="229" t="str">
        <f>'School Level Inst. Resources'!H332</f>
        <v>H</v>
      </c>
      <c r="G332" s="229" t="s">
        <v>1158</v>
      </c>
      <c r="H332" s="207">
        <v>165049</v>
      </c>
      <c r="I332" s="207">
        <f>IF('SFD Allowable GSF Calculation'!$D$2=1,'SFD Allowable GSF Calculation'!$P332,'SFD Allowable GSF Calculation'!$X332)</f>
        <v>131536</v>
      </c>
      <c r="J332" s="194">
        <f>$I332*'Model Data Inputs'!$B$165</f>
        <v>151266.4</v>
      </c>
      <c r="K332" s="194">
        <f>IF($L332&gt;='Model Data Inputs'!$B$164,$H332,MIN($H332,$J332))</f>
        <v>151266.4</v>
      </c>
      <c r="L332" s="208">
        <v>2000</v>
      </c>
      <c r="M332" s="196">
        <f>IF($L332&gt;0,'Model Data Inputs'!$B$157-$L332,"")</f>
        <v>17</v>
      </c>
      <c r="N332" s="209">
        <v>65</v>
      </c>
      <c r="O332" s="198">
        <f>'School Level Inst. Resources'!$L332</f>
        <v>668.81499999999994</v>
      </c>
      <c r="P332" s="198">
        <f>IF($G332="T",SUMIFS('School Level ADM'!$S$5:$S$359,'School Level ADM'!$A$5:$A$359,$A332),0)</f>
        <v>2819.07</v>
      </c>
      <c r="Q332" s="199">
        <f t="shared" si="41"/>
        <v>0.23724668064290702</v>
      </c>
      <c r="R332" s="200">
        <f>SUM((('School Level Inst. Resources'!I332/'Model Data Inputs'!$B$8)*(1+'Model Data Inputs'!$B$9)),(SUM('School Level Inst. Resources'!J332:K332)/'Model Data Inputs'!$C$8)*(1+'Model Data Inputs'!$C$9),'School Level Inst. Resources'!K332/400)</f>
        <v>40.434228586956522</v>
      </c>
      <c r="S332" s="200">
        <f t="shared" si="42"/>
        <v>40.434228586956522</v>
      </c>
      <c r="T332" s="201">
        <f>IF($G332="T",VLOOKUP($A332,'Total O &amp; M Resources'!$A$5:$K$52,3),0)</f>
        <v>23273213.290000003</v>
      </c>
      <c r="U332" s="202">
        <f>IF($G332="F",0,$S332/'Model Data Inputs'!$B$140)</f>
        <v>3.1103252759197324</v>
      </c>
      <c r="V332" s="202">
        <f>IF($G332="F",0,$O332/'Model Data Inputs'!$B$141)</f>
        <v>2.0578923076923075</v>
      </c>
      <c r="W332" s="202">
        <f>IF($G332="F",0,$N332/'Model Data Inputs'!$B$142)</f>
        <v>5</v>
      </c>
      <c r="X332" s="202">
        <f>IF($G332="F",0,$K332/'Model Data Inputs'!$B$143)</f>
        <v>8.4036888888888885</v>
      </c>
      <c r="Y332" s="202">
        <f t="shared" si="36"/>
        <v>4.6429766181252319</v>
      </c>
      <c r="Z332" s="202">
        <f>IF(OR($G332="F",$F332="E"),0,'Model Data Inputs'!$B$144)</f>
        <v>0.5</v>
      </c>
      <c r="AA332" s="202">
        <f>IF(AND($O332&lt;='Model Data Inputs'!$B$139,$F332="E"),0,IF(AND($O332&lt;='Model Data Inputs'!$B$139,$F332="M"),0,IF(AND($O332&lt;='Model Data Inputs'!$B$139,$F332="H"),0,IF(SUM($Y332:$Z332)&lt;1,1,SUM($Y332:$Z332)))))</f>
        <v>5.1429766181252319</v>
      </c>
      <c r="AB332" s="202">
        <f>($K332/'Model Data Inputs'!$B$143)*'Model Data Inputs'!$B$145</f>
        <v>0.84036888888888894</v>
      </c>
      <c r="AC332" s="202">
        <f t="shared" si="37"/>
        <v>5.9833455070141213</v>
      </c>
      <c r="AD332" s="202">
        <f>IF($G332="F",0,'Model Data Inputs'!$B$147)</f>
        <v>1.1000000000000001</v>
      </c>
      <c r="AE332" s="202">
        <f>IF($G332="F",0,($K332/'Model Data Inputs'!$B$148)*'Model Data Inputs'!$B$149)</f>
        <v>3.0253279999999996</v>
      </c>
      <c r="AF332" s="202">
        <f>IF($G332="F",0,($O332/'Model Data Inputs'!$B$150)*'Model Data Inputs'!$B$151)</f>
        <v>0.86945949999999994</v>
      </c>
      <c r="AG332" s="202">
        <f>IF($G332="F",0,(($Q332*$T332)/'Model Data Inputs'!$B$152)*'Model Data Inputs'!$B$153)</f>
        <v>1.3251582242272535</v>
      </c>
      <c r="AH332" s="202">
        <f t="shared" si="38"/>
        <v>1.5799864310568132</v>
      </c>
      <c r="AI332" s="203">
        <f>IF(OR($G332="F",$F332="M",$F332="H"),0,($AH332*'Model Data Inputs'!$B$154)-$AH332)</f>
        <v>0</v>
      </c>
      <c r="AJ332" s="202">
        <f>IF(OR($G332="F",$F332="E",$F332="H"),0,($AH332*'Model Data Inputs'!$B$155)-$AH332)</f>
        <v>0</v>
      </c>
      <c r="AK332" s="203">
        <f>IF(OR($G332="F",$F332="E",$F332="M"),0,($AH332*'Model Data Inputs'!$B$156)-$AH332)</f>
        <v>1.5799864310568132</v>
      </c>
      <c r="AL332" s="203">
        <f>IF($G332="F",0,IF($M332&lt;'Model Data Inputs'!$B$158,$AH332*('Model Data Inputs'!$B$159-1),0))</f>
        <v>0</v>
      </c>
      <c r="AM332" s="202">
        <f>IF($G332="F",0,IF($M332&gt;'Model Data Inputs'!$B$160,$AH332*('Model Data Inputs'!$B$161-1),0))</f>
        <v>0</v>
      </c>
      <c r="AN332" s="202">
        <f>IF($G332="F",0,IF($P332&lt;'Model Data Inputs'!$B$162,SUM($AH332,$AI332,$AJ332,$AK332,$AL332,$AM332)*('Model Data Inputs'!$B$163-1),0))</f>
        <v>0</v>
      </c>
      <c r="AO332" s="202">
        <f t="shared" si="39"/>
        <v>3.1599728621136265</v>
      </c>
      <c r="AP332" s="204">
        <f>$K332*'Model Data Inputs'!$B$166</f>
        <v>101348.488</v>
      </c>
      <c r="AQ332" s="204">
        <f>($K332*'Model Data Inputs'!$B$145)*'Model Data Inputs'!$B$166</f>
        <v>10134.8488</v>
      </c>
      <c r="AR332" s="50">
        <f t="shared" si="40"/>
        <v>111483.33679999999</v>
      </c>
    </row>
    <row r="333" spans="1:44" x14ac:dyDescent="0.2">
      <c r="A333" s="227" t="str">
        <f>'School Level Inst. Resources'!A333</f>
        <v>2001000</v>
      </c>
      <c r="B333" s="227" t="str">
        <f>'School Level Inst. Resources'!B333</f>
        <v>Teton #1</v>
      </c>
      <c r="C333" s="227" t="str">
        <f>'School Level Inst. Resources'!C333</f>
        <v>2001056</v>
      </c>
      <c r="D333" s="227" t="str">
        <f>'School Level Inst. Resources'!D333</f>
        <v>Summit High School</v>
      </c>
      <c r="E333" s="228" t="str">
        <f>'School Level Inst. Resources'!E333</f>
        <v>9-12</v>
      </c>
      <c r="F333" s="229" t="str">
        <f>'School Level Inst. Resources'!H333</f>
        <v>H</v>
      </c>
      <c r="G333" s="229" t="s">
        <v>1158</v>
      </c>
      <c r="H333" s="207">
        <v>10196</v>
      </c>
      <c r="I333" s="207">
        <f>IF('SFD Allowable GSF Calculation'!$D$2=1,'SFD Allowable GSF Calculation'!$P333,'SFD Allowable GSF Calculation'!$X333)</f>
        <v>21249</v>
      </c>
      <c r="J333" s="194">
        <f>$I333*'Model Data Inputs'!$B$165</f>
        <v>24436.35</v>
      </c>
      <c r="K333" s="194">
        <f>IF($L333&gt;='Model Data Inputs'!$B$164,$H333,MIN($H333,$J333))</f>
        <v>10196</v>
      </c>
      <c r="L333" s="208">
        <v>2004</v>
      </c>
      <c r="M333" s="196">
        <f>IF($L333&gt;0,'Model Data Inputs'!$B$157-$L333,"")</f>
        <v>13</v>
      </c>
      <c r="N333" s="209">
        <v>6</v>
      </c>
      <c r="O333" s="198">
        <f>'School Level Inst. Resources'!$L333</f>
        <v>46.295000000000002</v>
      </c>
      <c r="P333" s="198">
        <f>IF($G333="T",SUMIFS('School Level ADM'!$S$5:$S$359,'School Level ADM'!$A$5:$A$359,$A333),0)</f>
        <v>2819.07</v>
      </c>
      <c r="Q333" s="199">
        <f t="shared" si="41"/>
        <v>1.6422082459818309E-2</v>
      </c>
      <c r="R333" s="200">
        <f>SUM((('School Level Inst. Resources'!I333/'Model Data Inputs'!$B$8)*(1+'Model Data Inputs'!$B$9)),(SUM('School Level Inst. Resources'!J333:K333)/'Model Data Inputs'!$C$8)*(1+'Model Data Inputs'!$C$9),'School Level Inst. Resources'!K333/400)</f>
        <v>2.7988346739130434</v>
      </c>
      <c r="S333" s="200">
        <f t="shared" si="42"/>
        <v>2.7988346739130434</v>
      </c>
      <c r="T333" s="201">
        <f>IF($G333="T",VLOOKUP($A333,'Total O &amp; M Resources'!$A$5:$K$52,3),0)</f>
        <v>23273213.290000003</v>
      </c>
      <c r="U333" s="202">
        <f>IF($G333="F",0,$S333/'Model Data Inputs'!$B$140)</f>
        <v>0.21529497491638797</v>
      </c>
      <c r="V333" s="202">
        <f>IF($G333="F",0,$O333/'Model Data Inputs'!$B$141)</f>
        <v>0.14244615384615386</v>
      </c>
      <c r="W333" s="202">
        <f>IF($G333="F",0,$N333/'Model Data Inputs'!$B$142)</f>
        <v>0.46153846153846156</v>
      </c>
      <c r="X333" s="202">
        <f>IF($G333="F",0,$K333/'Model Data Inputs'!$B$143)</f>
        <v>0.56644444444444442</v>
      </c>
      <c r="Y333" s="202">
        <f t="shared" si="36"/>
        <v>0.34643100868636195</v>
      </c>
      <c r="Z333" s="202">
        <f>IF(OR($G333="F",$F333="E"),0,'Model Data Inputs'!$B$144)</f>
        <v>0.5</v>
      </c>
      <c r="AA333" s="202">
        <f>IF(AND($O333&lt;='Model Data Inputs'!$B$139,$F333="E"),0,IF(AND($O333&lt;='Model Data Inputs'!$B$139,$F333="M"),0,IF(AND($O333&lt;='Model Data Inputs'!$B$139,$F333="H"),0,IF(SUM($Y333:$Z333)&lt;1,1,SUM($Y333:$Z333)))))</f>
        <v>0</v>
      </c>
      <c r="AB333" s="202">
        <f>($K333/'Model Data Inputs'!$B$143)*'Model Data Inputs'!$B$145</f>
        <v>5.6644444444444442E-2</v>
      </c>
      <c r="AC333" s="202">
        <f t="shared" si="37"/>
        <v>5.6644444444444442E-2</v>
      </c>
      <c r="AD333" s="202">
        <f>IF($G333="F",0,'Model Data Inputs'!$B$147)</f>
        <v>1.1000000000000001</v>
      </c>
      <c r="AE333" s="202">
        <f>IF($G333="F",0,($K333/'Model Data Inputs'!$B$148)*'Model Data Inputs'!$B$149)</f>
        <v>0.20391999999999999</v>
      </c>
      <c r="AF333" s="202">
        <f>IF($G333="F",0,($O333/'Model Data Inputs'!$B$150)*'Model Data Inputs'!$B$151)</f>
        <v>6.0183500000000008E-2</v>
      </c>
      <c r="AG333" s="202">
        <f>IF($G333="F",0,(($Q333*$T333)/'Model Data Inputs'!$B$152)*'Model Data Inputs'!$B$153)</f>
        <v>9.1726710660796656E-2</v>
      </c>
      <c r="AH333" s="202">
        <f t="shared" si="38"/>
        <v>0.36395755266519919</v>
      </c>
      <c r="AI333" s="203">
        <f>IF(OR($G333="F",$F333="M",$F333="H"),0,($AH333*'Model Data Inputs'!$B$154)-$AH333)</f>
        <v>0</v>
      </c>
      <c r="AJ333" s="202">
        <f>IF(OR($G333="F",$F333="E",$F333="H"),0,($AH333*'Model Data Inputs'!$B$155)-$AH333)</f>
        <v>0</v>
      </c>
      <c r="AK333" s="203">
        <f>IF(OR($G333="F",$F333="E",$F333="M"),0,($AH333*'Model Data Inputs'!$B$156)-$AH333)</f>
        <v>0.36395755266519919</v>
      </c>
      <c r="AL333" s="203">
        <f>IF($G333="F",0,IF($M333&lt;'Model Data Inputs'!$B$158,$AH333*('Model Data Inputs'!$B$159-1),0))</f>
        <v>0</v>
      </c>
      <c r="AM333" s="202">
        <f>IF($G333="F",0,IF($M333&gt;'Model Data Inputs'!$B$160,$AH333*('Model Data Inputs'!$B$161-1),0))</f>
        <v>0</v>
      </c>
      <c r="AN333" s="202">
        <f>IF($G333="F",0,IF($P333&lt;'Model Data Inputs'!$B$162,SUM($AH333,$AI333,$AJ333,$AK333,$AL333,$AM333)*('Model Data Inputs'!$B$163-1),0))</f>
        <v>0</v>
      </c>
      <c r="AO333" s="202">
        <f t="shared" si="39"/>
        <v>0.72791510533039838</v>
      </c>
      <c r="AP333" s="204">
        <f>$K333*'Model Data Inputs'!$B$166</f>
        <v>6831.3200000000006</v>
      </c>
      <c r="AQ333" s="204">
        <f>($K333*'Model Data Inputs'!$B$145)*'Model Data Inputs'!$B$166</f>
        <v>683.13200000000006</v>
      </c>
      <c r="AR333" s="50">
        <f t="shared" si="40"/>
        <v>7514.4520000000011</v>
      </c>
    </row>
    <row r="334" spans="1:44" x14ac:dyDescent="0.2">
      <c r="A334" s="227" t="str">
        <f>'School Level Inst. Resources'!A334</f>
        <v>2101000</v>
      </c>
      <c r="B334" s="227" t="str">
        <f>'School Level Inst. Resources'!B334</f>
        <v>Uinta #1</v>
      </c>
      <c r="C334" s="227" t="str">
        <f>'School Level Inst. Resources'!C334</f>
        <v>2101002</v>
      </c>
      <c r="D334" s="227" t="str">
        <f>'School Level Inst. Resources'!D334</f>
        <v>Clark Elementary</v>
      </c>
      <c r="E334" s="228" t="str">
        <f>'School Level Inst. Resources'!E334</f>
        <v>K-5</v>
      </c>
      <c r="F334" s="229" t="str">
        <f>'School Level Inst. Resources'!H334</f>
        <v>E</v>
      </c>
      <c r="G334" s="229" t="s">
        <v>1158</v>
      </c>
      <c r="H334" s="207">
        <v>35931</v>
      </c>
      <c r="I334" s="207">
        <f>IF('SFD Allowable GSF Calculation'!$D$2=1,'SFD Allowable GSF Calculation'!$P334,'SFD Allowable GSF Calculation'!$X334)</f>
        <v>33009</v>
      </c>
      <c r="J334" s="194">
        <f>$I334*'Model Data Inputs'!$B$165</f>
        <v>37960.35</v>
      </c>
      <c r="K334" s="194">
        <f>IF($L334&gt;='Model Data Inputs'!$B$164,$H334,MIN($H334,$J334))</f>
        <v>35931</v>
      </c>
      <c r="L334" s="208">
        <v>2007</v>
      </c>
      <c r="M334" s="196">
        <f>IF($L334&gt;0,'Model Data Inputs'!$B$157-$L334,"")</f>
        <v>10</v>
      </c>
      <c r="N334" s="209">
        <v>21</v>
      </c>
      <c r="O334" s="198">
        <f>'School Level Inst. Resources'!$L334</f>
        <v>205.03033333333332</v>
      </c>
      <c r="P334" s="198">
        <f>IF($G334="T",SUMIFS('School Level ADM'!$S$5:$S$359,'School Level ADM'!$A$5:$A$359,$A334),0)</f>
        <v>2715.8859999999995</v>
      </c>
      <c r="Q334" s="199">
        <f t="shared" si="41"/>
        <v>7.5492982155117461E-2</v>
      </c>
      <c r="R334" s="200">
        <f>SUM((('School Level Inst. Resources'!I334/'Model Data Inputs'!$B$8)*(1+'Model Data Inputs'!$B$9)),(SUM('School Level Inst. Resources'!J334:K334)/'Model Data Inputs'!$C$8)*(1+'Model Data Inputs'!$C$9),'School Level Inst. Resources'!K334/400)</f>
        <v>13.668688888888889</v>
      </c>
      <c r="S334" s="200">
        <f t="shared" si="42"/>
        <v>13.668688888888889</v>
      </c>
      <c r="T334" s="201">
        <f>IF($G334="T",VLOOKUP($A334,'Total O &amp; M Resources'!$A$5:$K$52,3),0)</f>
        <v>26934277.339999996</v>
      </c>
      <c r="U334" s="202">
        <f>IF($G334="F",0,$S334/'Model Data Inputs'!$B$140)</f>
        <v>1.0514376068376068</v>
      </c>
      <c r="V334" s="202">
        <f>IF($G334="F",0,$O334/'Model Data Inputs'!$B$141)</f>
        <v>0.63086256410256403</v>
      </c>
      <c r="W334" s="202">
        <f>IF($G334="F",0,$N334/'Model Data Inputs'!$B$142)</f>
        <v>1.6153846153846154</v>
      </c>
      <c r="X334" s="202">
        <f>IF($G334="F",0,$K334/'Model Data Inputs'!$B$143)</f>
        <v>1.9961666666666666</v>
      </c>
      <c r="Y334" s="202">
        <f t="shared" si="36"/>
        <v>1.3234628632478631</v>
      </c>
      <c r="Z334" s="202">
        <f>IF(OR($G334="F",$F334="E"),0,'Model Data Inputs'!$B$144)</f>
        <v>0</v>
      </c>
      <c r="AA334" s="202">
        <f>IF(AND($O334&lt;='Model Data Inputs'!$B$139,$F334="E"),0,IF(AND($O334&lt;='Model Data Inputs'!$B$139,$F334="M"),0,IF(AND($O334&lt;='Model Data Inputs'!$B$139,$F334="H"),0,IF(SUM($Y334:$Z334)&lt;1,1,SUM($Y334:$Z334)))))</f>
        <v>1.3234628632478631</v>
      </c>
      <c r="AB334" s="202">
        <f>($K334/'Model Data Inputs'!$B$143)*'Model Data Inputs'!$B$145</f>
        <v>0.19961666666666666</v>
      </c>
      <c r="AC334" s="202">
        <f t="shared" si="37"/>
        <v>1.5230795299145297</v>
      </c>
      <c r="AD334" s="202">
        <f>IF($G334="F",0,'Model Data Inputs'!$B$147)</f>
        <v>1.1000000000000001</v>
      </c>
      <c r="AE334" s="202">
        <f>IF($G334="F",0,($K334/'Model Data Inputs'!$B$148)*'Model Data Inputs'!$B$149)</f>
        <v>0.71861999999999993</v>
      </c>
      <c r="AF334" s="202">
        <f>IF($G334="F",0,($O334/'Model Data Inputs'!$B$150)*'Model Data Inputs'!$B$151)</f>
        <v>0.2665394333333333</v>
      </c>
      <c r="AG334" s="202">
        <f>IF($G334="F",0,(($Q334*$T334)/'Model Data Inputs'!$B$152)*'Model Data Inputs'!$B$153)</f>
        <v>0.48800374046150496</v>
      </c>
      <c r="AH334" s="202">
        <f t="shared" si="38"/>
        <v>0.64329079344870965</v>
      </c>
      <c r="AI334" s="203">
        <f>IF(OR($G334="F",$F334="M",$F334="H"),0,($AH334*'Model Data Inputs'!$B$154)-$AH334)</f>
        <v>-0.12865815868974195</v>
      </c>
      <c r="AJ334" s="202">
        <f>IF(OR($G334="F",$F334="E",$F334="H"),0,($AH334*'Model Data Inputs'!$B$155)-$AH334)</f>
        <v>0</v>
      </c>
      <c r="AK334" s="203">
        <f>IF(OR($G334="F",$F334="E",$F334="M"),0,($AH334*'Model Data Inputs'!$B$156)-$AH334)</f>
        <v>0</v>
      </c>
      <c r="AL334" s="203">
        <f>IF($G334="F",0,IF($M334&lt;'Model Data Inputs'!$B$158,$AH334*('Model Data Inputs'!$B$159-1),0))</f>
        <v>0</v>
      </c>
      <c r="AM334" s="202">
        <f>IF($G334="F",0,IF($M334&gt;'Model Data Inputs'!$B$160,$AH334*('Model Data Inputs'!$B$161-1),0))</f>
        <v>0</v>
      </c>
      <c r="AN334" s="202">
        <f>IF($G334="F",0,IF($P334&lt;'Model Data Inputs'!$B$162,SUM($AH334,$AI334,$AJ334,$AK334,$AL334,$AM334)*('Model Data Inputs'!$B$163-1),0))</f>
        <v>0</v>
      </c>
      <c r="AO334" s="202">
        <f t="shared" si="39"/>
        <v>0.5146326347589677</v>
      </c>
      <c r="AP334" s="204">
        <f>$K334*'Model Data Inputs'!$B$166</f>
        <v>24073.77</v>
      </c>
      <c r="AQ334" s="204">
        <f>($K334*'Model Data Inputs'!$B$145)*'Model Data Inputs'!$B$166</f>
        <v>2407.3770000000004</v>
      </c>
      <c r="AR334" s="50">
        <f t="shared" si="40"/>
        <v>26481.147000000001</v>
      </c>
    </row>
    <row r="335" spans="1:44" x14ac:dyDescent="0.2">
      <c r="A335" s="227" t="str">
        <f>'School Level Inst. Resources'!A335</f>
        <v>2101000</v>
      </c>
      <c r="B335" s="227" t="str">
        <f>'School Level Inst. Resources'!B335</f>
        <v>Uinta #1</v>
      </c>
      <c r="C335" s="227" t="str">
        <f>'School Level Inst. Resources'!C335</f>
        <v>2101004</v>
      </c>
      <c r="D335" s="227" t="str">
        <f>'School Level Inst. Resources'!D335</f>
        <v>Uinta Meadows Elementary</v>
      </c>
      <c r="E335" s="228" t="str">
        <f>'School Level Inst. Resources'!E335</f>
        <v>K-5</v>
      </c>
      <c r="F335" s="229" t="str">
        <f>'School Level Inst. Resources'!H335</f>
        <v>E</v>
      </c>
      <c r="G335" s="229" t="s">
        <v>1158</v>
      </c>
      <c r="H335" s="207">
        <v>66242</v>
      </c>
      <c r="I335" s="207">
        <f>IF('SFD Allowable GSF Calculation'!$D$2=1,'SFD Allowable GSF Calculation'!$P335,'SFD Allowable GSF Calculation'!$X335)</f>
        <v>64996</v>
      </c>
      <c r="J335" s="194">
        <f>$I335*'Model Data Inputs'!$B$165</f>
        <v>74745.399999999994</v>
      </c>
      <c r="K335" s="194">
        <f>IF($L335&gt;='Model Data Inputs'!$B$164,$H335,MIN($H335,$J335))</f>
        <v>66242</v>
      </c>
      <c r="L335" s="208">
        <v>1982</v>
      </c>
      <c r="M335" s="196">
        <f>IF($L335&gt;0,'Model Data Inputs'!$B$157-$L335,"")</f>
        <v>35</v>
      </c>
      <c r="N335" s="209">
        <v>40</v>
      </c>
      <c r="O335" s="198">
        <f>'School Level Inst. Resources'!$L335</f>
        <v>475.61866666666668</v>
      </c>
      <c r="P335" s="198">
        <f>IF($G335="T",SUMIFS('School Level ADM'!$S$5:$S$359,'School Level ADM'!$A$5:$A$359,$A335),0)</f>
        <v>2715.8859999999995</v>
      </c>
      <c r="Q335" s="199">
        <f t="shared" si="41"/>
        <v>0.17512468000006876</v>
      </c>
      <c r="R335" s="200">
        <f>SUM((('School Level Inst. Resources'!I335/'Model Data Inputs'!$B$8)*(1+'Model Data Inputs'!$B$9)),(SUM('School Level Inst. Resources'!J335:K335)/'Model Data Inputs'!$C$8)*(1+'Model Data Inputs'!$C$9),'School Level Inst. Resources'!K335/400)</f>
        <v>31.707911111111112</v>
      </c>
      <c r="S335" s="200">
        <f t="shared" si="42"/>
        <v>31.707911111111112</v>
      </c>
      <c r="T335" s="201">
        <f>IF($G335="T",VLOOKUP($A335,'Total O &amp; M Resources'!$A$5:$K$52,3),0)</f>
        <v>26934277.339999996</v>
      </c>
      <c r="U335" s="202">
        <f>IF($G335="F",0,$S335/'Model Data Inputs'!$B$140)</f>
        <v>2.4390700854700857</v>
      </c>
      <c r="V335" s="202">
        <f>IF($G335="F",0,$O335/'Model Data Inputs'!$B$141)</f>
        <v>1.4634420512820514</v>
      </c>
      <c r="W335" s="202">
        <f>IF($G335="F",0,$N335/'Model Data Inputs'!$B$142)</f>
        <v>3.0769230769230771</v>
      </c>
      <c r="X335" s="202">
        <f>IF($G335="F",0,$K335/'Model Data Inputs'!$B$143)</f>
        <v>3.6801111111111111</v>
      </c>
      <c r="Y335" s="202">
        <f t="shared" si="36"/>
        <v>2.6648865811965816</v>
      </c>
      <c r="Z335" s="202">
        <f>IF(OR($G335="F",$F335="E"),0,'Model Data Inputs'!$B$144)</f>
        <v>0</v>
      </c>
      <c r="AA335" s="202">
        <f>IF(AND($O335&lt;='Model Data Inputs'!$B$139,$F335="E"),0,IF(AND($O335&lt;='Model Data Inputs'!$B$139,$F335="M"),0,IF(AND($O335&lt;='Model Data Inputs'!$B$139,$F335="H"),0,IF(SUM($Y335:$Z335)&lt;1,1,SUM($Y335:$Z335)))))</f>
        <v>2.6648865811965816</v>
      </c>
      <c r="AB335" s="202">
        <f>($K335/'Model Data Inputs'!$B$143)*'Model Data Inputs'!$B$145</f>
        <v>0.36801111111111112</v>
      </c>
      <c r="AC335" s="202">
        <f t="shared" si="37"/>
        <v>3.0328976923076927</v>
      </c>
      <c r="AD335" s="202">
        <f>IF($G335="F",0,'Model Data Inputs'!$B$147)</f>
        <v>1.1000000000000001</v>
      </c>
      <c r="AE335" s="202">
        <f>IF($G335="F",0,($K335/'Model Data Inputs'!$B$148)*'Model Data Inputs'!$B$149)</f>
        <v>1.32484</v>
      </c>
      <c r="AF335" s="202">
        <f>IF($G335="F",0,($O335/'Model Data Inputs'!$B$150)*'Model Data Inputs'!$B$151)</f>
        <v>0.61830426666666671</v>
      </c>
      <c r="AG335" s="202">
        <f>IF($G335="F",0,(($Q335*$T335)/'Model Data Inputs'!$B$152)*'Model Data Inputs'!$B$153)</f>
        <v>1.1320456080481445</v>
      </c>
      <c r="AH335" s="202">
        <f t="shared" si="38"/>
        <v>1.0437974686787028</v>
      </c>
      <c r="AI335" s="203">
        <f>IF(OR($G335="F",$F335="M",$F335="H"),0,($AH335*'Model Data Inputs'!$B$154)-$AH335)</f>
        <v>-0.20875949373574054</v>
      </c>
      <c r="AJ335" s="202">
        <f>IF(OR($G335="F",$F335="E",$F335="H"),0,($AH335*'Model Data Inputs'!$B$155)-$AH335)</f>
        <v>0</v>
      </c>
      <c r="AK335" s="203">
        <f>IF(OR($G335="F",$F335="E",$F335="M"),0,($AH335*'Model Data Inputs'!$B$156)-$AH335)</f>
        <v>0</v>
      </c>
      <c r="AL335" s="203">
        <f>IF($G335="F",0,IF($M335&lt;'Model Data Inputs'!$B$158,$AH335*('Model Data Inputs'!$B$159-1),0))</f>
        <v>0</v>
      </c>
      <c r="AM335" s="202">
        <f>IF($G335="F",0,IF($M335&gt;'Model Data Inputs'!$B$160,$AH335*('Model Data Inputs'!$B$161-1),0))</f>
        <v>0.10437974686787037</v>
      </c>
      <c r="AN335" s="202">
        <f>IF($G335="F",0,IF($P335&lt;'Model Data Inputs'!$B$162,SUM($AH335,$AI335,$AJ335,$AK335,$AL335,$AM335)*('Model Data Inputs'!$B$163-1),0))</f>
        <v>0</v>
      </c>
      <c r="AO335" s="202">
        <f t="shared" si="39"/>
        <v>0.93941772181083261</v>
      </c>
      <c r="AP335" s="204">
        <f>$K335*'Model Data Inputs'!$B$166</f>
        <v>44382.14</v>
      </c>
      <c r="AQ335" s="204">
        <f>($K335*'Model Data Inputs'!$B$145)*'Model Data Inputs'!$B$166</f>
        <v>4438.2140000000009</v>
      </c>
      <c r="AR335" s="50">
        <f t="shared" si="40"/>
        <v>48820.353999999999</v>
      </c>
    </row>
    <row r="336" spans="1:44" x14ac:dyDescent="0.2">
      <c r="A336" s="227" t="str">
        <f>'School Level Inst. Resources'!A336</f>
        <v>2101000</v>
      </c>
      <c r="B336" s="227" t="str">
        <f>'School Level Inst. Resources'!B336</f>
        <v>Uinta #1</v>
      </c>
      <c r="C336" s="227" t="str">
        <f>'School Level Inst. Resources'!C336</f>
        <v>2101005</v>
      </c>
      <c r="D336" s="227" t="str">
        <f>'School Level Inst. Resources'!D336</f>
        <v>North Evanston Elementary</v>
      </c>
      <c r="E336" s="228" t="str">
        <f>'School Level Inst. Resources'!E336</f>
        <v>K-5</v>
      </c>
      <c r="F336" s="229" t="str">
        <f>'School Level Inst. Resources'!H336</f>
        <v>E</v>
      </c>
      <c r="G336" s="229" t="s">
        <v>1158</v>
      </c>
      <c r="H336" s="207">
        <v>57735</v>
      </c>
      <c r="I336" s="207">
        <f>IF('SFD Allowable GSF Calculation'!$D$2=1,'SFD Allowable GSF Calculation'!$P336,'SFD Allowable GSF Calculation'!$X336)</f>
        <v>46079</v>
      </c>
      <c r="J336" s="194">
        <f>$I336*'Model Data Inputs'!$B$165</f>
        <v>52990.85</v>
      </c>
      <c r="K336" s="194">
        <f>IF($L336&gt;='Model Data Inputs'!$B$164,$H336,MIN($H336,$J336))</f>
        <v>52990.85</v>
      </c>
      <c r="L336" s="208">
        <v>1982</v>
      </c>
      <c r="M336" s="196">
        <f>IF($L336&gt;0,'Model Data Inputs'!$B$157-$L336,"")</f>
        <v>35</v>
      </c>
      <c r="N336" s="209">
        <v>34</v>
      </c>
      <c r="O336" s="198">
        <f>'School Level Inst. Resources'!$L336</f>
        <v>321.59966666666668</v>
      </c>
      <c r="P336" s="198">
        <f>IF($G336="T",SUMIFS('School Level ADM'!$S$5:$S$359,'School Level ADM'!$A$5:$A$359,$A336),0)</f>
        <v>2715.8859999999995</v>
      </c>
      <c r="Q336" s="199">
        <f t="shared" si="41"/>
        <v>0.11841427315677711</v>
      </c>
      <c r="R336" s="200">
        <f>SUM((('School Level Inst. Resources'!I336/'Model Data Inputs'!$B$8)*(1+'Model Data Inputs'!$B$9)),(SUM('School Level Inst. Resources'!J336:K336)/'Model Data Inputs'!$C$8)*(1+'Model Data Inputs'!$C$9),'School Level Inst. Resources'!K336/400)</f>
        <v>21.439977777777777</v>
      </c>
      <c r="S336" s="200">
        <f t="shared" si="42"/>
        <v>21.439977777777777</v>
      </c>
      <c r="T336" s="201">
        <f>IF($G336="T",VLOOKUP($A336,'Total O &amp; M Resources'!$A$5:$K$52,3),0)</f>
        <v>26934277.339999996</v>
      </c>
      <c r="U336" s="202">
        <f>IF($G336="F",0,$S336/'Model Data Inputs'!$B$140)</f>
        <v>1.6492290598290598</v>
      </c>
      <c r="V336" s="202">
        <f>IF($G336="F",0,$O336/'Model Data Inputs'!$B$141)</f>
        <v>0.98953743589743592</v>
      </c>
      <c r="W336" s="202">
        <f>IF($G336="F",0,$N336/'Model Data Inputs'!$B$142)</f>
        <v>2.6153846153846154</v>
      </c>
      <c r="X336" s="202">
        <f>IF($G336="F",0,$K336/'Model Data Inputs'!$B$143)</f>
        <v>2.9439361111111109</v>
      </c>
      <c r="Y336" s="202">
        <f t="shared" si="36"/>
        <v>2.0495218055555555</v>
      </c>
      <c r="Z336" s="202">
        <f>IF(OR($G336="F",$F336="E"),0,'Model Data Inputs'!$B$144)</f>
        <v>0</v>
      </c>
      <c r="AA336" s="202">
        <f>IF(AND($O336&lt;='Model Data Inputs'!$B$139,$F336="E"),0,IF(AND($O336&lt;='Model Data Inputs'!$B$139,$F336="M"),0,IF(AND($O336&lt;='Model Data Inputs'!$B$139,$F336="H"),0,IF(SUM($Y336:$Z336)&lt;1,1,SUM($Y336:$Z336)))))</f>
        <v>2.0495218055555555</v>
      </c>
      <c r="AB336" s="202">
        <f>($K336/'Model Data Inputs'!$B$143)*'Model Data Inputs'!$B$145</f>
        <v>0.29439361111111112</v>
      </c>
      <c r="AC336" s="202">
        <f t="shared" si="37"/>
        <v>2.3439154166666665</v>
      </c>
      <c r="AD336" s="202">
        <f>IF($G336="F",0,'Model Data Inputs'!$B$147)</f>
        <v>1.1000000000000001</v>
      </c>
      <c r="AE336" s="202">
        <f>IF($G336="F",0,($K336/'Model Data Inputs'!$B$148)*'Model Data Inputs'!$B$149)</f>
        <v>1.059817</v>
      </c>
      <c r="AF336" s="202">
        <f>IF($G336="F",0,($O336/'Model Data Inputs'!$B$150)*'Model Data Inputs'!$B$151)</f>
        <v>0.41807956666666668</v>
      </c>
      <c r="AG336" s="202">
        <f>IF($G336="F",0,(($Q336*$T336)/'Model Data Inputs'!$B$152)*'Model Data Inputs'!$B$153)</f>
        <v>0.76545668981259618</v>
      </c>
      <c r="AH336" s="202">
        <f t="shared" si="38"/>
        <v>0.8358383141198158</v>
      </c>
      <c r="AI336" s="203">
        <f>IF(OR($G336="F",$F336="M",$F336="H"),0,($AH336*'Model Data Inputs'!$B$154)-$AH336)</f>
        <v>-0.16716766282396311</v>
      </c>
      <c r="AJ336" s="202">
        <f>IF(OR($G336="F",$F336="E",$F336="H"),0,($AH336*'Model Data Inputs'!$B$155)-$AH336)</f>
        <v>0</v>
      </c>
      <c r="AK336" s="203">
        <f>IF(OR($G336="F",$F336="E",$F336="M"),0,($AH336*'Model Data Inputs'!$B$156)-$AH336)</f>
        <v>0</v>
      </c>
      <c r="AL336" s="203">
        <f>IF($G336="F",0,IF($M336&lt;'Model Data Inputs'!$B$158,$AH336*('Model Data Inputs'!$B$159-1),0))</f>
        <v>0</v>
      </c>
      <c r="AM336" s="202">
        <f>IF($G336="F",0,IF($M336&gt;'Model Data Inputs'!$B$160,$AH336*('Model Data Inputs'!$B$161-1),0))</f>
        <v>8.3583831411981654E-2</v>
      </c>
      <c r="AN336" s="202">
        <f>IF($G336="F",0,IF($P336&lt;'Model Data Inputs'!$B$162,SUM($AH336,$AI336,$AJ336,$AK336,$AL336,$AM336)*('Model Data Inputs'!$B$163-1),0))</f>
        <v>0</v>
      </c>
      <c r="AO336" s="202">
        <f t="shared" si="39"/>
        <v>0.75225448270783435</v>
      </c>
      <c r="AP336" s="204">
        <f>$K336*'Model Data Inputs'!$B$166</f>
        <v>35503.869500000001</v>
      </c>
      <c r="AQ336" s="204">
        <f>($K336*'Model Data Inputs'!$B$145)*'Model Data Inputs'!$B$166</f>
        <v>3550.3869500000001</v>
      </c>
      <c r="AR336" s="50">
        <f t="shared" si="40"/>
        <v>39054.256450000001</v>
      </c>
    </row>
    <row r="337" spans="1:44" x14ac:dyDescent="0.2">
      <c r="A337" s="227" t="str">
        <f>'School Level Inst. Resources'!A337</f>
        <v>2101000</v>
      </c>
      <c r="B337" s="227" t="str">
        <f>'School Level Inst. Resources'!B337</f>
        <v>Uinta #1</v>
      </c>
      <c r="C337" s="227" t="str">
        <f>'School Level Inst. Resources'!C337</f>
        <v>2101006</v>
      </c>
      <c r="D337" s="227" t="str">
        <f>'School Level Inst. Resources'!D337</f>
        <v>Aspen Elementary</v>
      </c>
      <c r="E337" s="228" t="str">
        <f>'School Level Inst. Resources'!E337</f>
        <v>K-5</v>
      </c>
      <c r="F337" s="229" t="str">
        <f>'School Level Inst. Resources'!H337</f>
        <v>E</v>
      </c>
      <c r="G337" s="229" t="s">
        <v>1158</v>
      </c>
      <c r="H337" s="207">
        <v>61028</v>
      </c>
      <c r="I337" s="207">
        <f>IF('SFD Allowable GSF Calculation'!$D$2=1,'SFD Allowable GSF Calculation'!$P337,'SFD Allowable GSF Calculation'!$X337)</f>
        <v>43915</v>
      </c>
      <c r="J337" s="194">
        <f>$I337*'Model Data Inputs'!$B$165</f>
        <v>50502.249999999993</v>
      </c>
      <c r="K337" s="194">
        <f>IF($L337&gt;='Model Data Inputs'!$B$164,$H337,MIN($H337,$J337))</f>
        <v>50502.249999999993</v>
      </c>
      <c r="L337" s="208">
        <v>1985</v>
      </c>
      <c r="M337" s="196">
        <f>IF($L337&gt;0,'Model Data Inputs'!$B$157-$L337,"")</f>
        <v>32</v>
      </c>
      <c r="N337" s="209">
        <v>34</v>
      </c>
      <c r="O337" s="198">
        <f>'School Level Inst. Resources'!$L337</f>
        <v>302.17166666666662</v>
      </c>
      <c r="P337" s="198">
        <f>IF($G337="T",SUMIFS('School Level ADM'!$S$5:$S$359,'School Level ADM'!$A$5:$A$359,$A337),0)</f>
        <v>2715.8859999999995</v>
      </c>
      <c r="Q337" s="199">
        <f t="shared" si="41"/>
        <v>0.11126080647960433</v>
      </c>
      <c r="R337" s="200">
        <f>SUM((('School Level Inst. Resources'!I337/'Model Data Inputs'!$B$8)*(1+'Model Data Inputs'!$B$9)),(SUM('School Level Inst. Resources'!J337:K337)/'Model Data Inputs'!$C$8)*(1+'Model Data Inputs'!$C$9),'School Level Inst. Resources'!K337/400)</f>
        <v>20.144777777777776</v>
      </c>
      <c r="S337" s="200">
        <f t="shared" si="42"/>
        <v>20.144777777777776</v>
      </c>
      <c r="T337" s="201">
        <f>IF($G337="T",VLOOKUP($A337,'Total O &amp; M Resources'!$A$5:$K$52,3),0)</f>
        <v>26934277.339999996</v>
      </c>
      <c r="U337" s="202">
        <f>IF($G337="F",0,$S337/'Model Data Inputs'!$B$140)</f>
        <v>1.5495982905982904</v>
      </c>
      <c r="V337" s="202">
        <f>IF($G337="F",0,$O337/'Model Data Inputs'!$B$141)</f>
        <v>0.92975897435897426</v>
      </c>
      <c r="W337" s="202">
        <f>IF($G337="F",0,$N337/'Model Data Inputs'!$B$142)</f>
        <v>2.6153846153846154</v>
      </c>
      <c r="X337" s="202">
        <f>IF($G337="F",0,$K337/'Model Data Inputs'!$B$143)</f>
        <v>2.8056805555555551</v>
      </c>
      <c r="Y337" s="202">
        <f t="shared" si="36"/>
        <v>1.9751056089743588</v>
      </c>
      <c r="Z337" s="202">
        <f>IF(OR($G337="F",$F337="E"),0,'Model Data Inputs'!$B$144)</f>
        <v>0</v>
      </c>
      <c r="AA337" s="202">
        <f>IF(AND($O337&lt;='Model Data Inputs'!$B$139,$F337="E"),0,IF(AND($O337&lt;='Model Data Inputs'!$B$139,$F337="M"),0,IF(AND($O337&lt;='Model Data Inputs'!$B$139,$F337="H"),0,IF(SUM($Y337:$Z337)&lt;1,1,SUM($Y337:$Z337)))))</f>
        <v>1.9751056089743588</v>
      </c>
      <c r="AB337" s="202">
        <f>($K337/'Model Data Inputs'!$B$143)*'Model Data Inputs'!$B$145</f>
        <v>0.28056805555555553</v>
      </c>
      <c r="AC337" s="202">
        <f t="shared" si="37"/>
        <v>2.2556736645299145</v>
      </c>
      <c r="AD337" s="202">
        <f>IF($G337="F",0,'Model Data Inputs'!$B$147)</f>
        <v>1.1000000000000001</v>
      </c>
      <c r="AE337" s="202">
        <f>IF($G337="F",0,($K337/'Model Data Inputs'!$B$148)*'Model Data Inputs'!$B$149)</f>
        <v>1.0100449999999999</v>
      </c>
      <c r="AF337" s="202">
        <f>IF($G337="F",0,($O337/'Model Data Inputs'!$B$150)*'Model Data Inputs'!$B$151)</f>
        <v>0.39282316666666661</v>
      </c>
      <c r="AG337" s="202">
        <f>IF($G337="F",0,(($Q337*$T337)/'Model Data Inputs'!$B$152)*'Model Data Inputs'!$B$153)</f>
        <v>0.71921506051049555</v>
      </c>
      <c r="AH337" s="202">
        <f t="shared" si="38"/>
        <v>0.8055208067942905</v>
      </c>
      <c r="AI337" s="203">
        <f>IF(OR($G337="F",$F337="M",$F337="H"),0,($AH337*'Model Data Inputs'!$B$154)-$AH337)</f>
        <v>-0.16110416135885808</v>
      </c>
      <c r="AJ337" s="202">
        <f>IF(OR($G337="F",$F337="E",$F337="H"),0,($AH337*'Model Data Inputs'!$B$155)-$AH337)</f>
        <v>0</v>
      </c>
      <c r="AK337" s="203">
        <f>IF(OR($G337="F",$F337="E",$F337="M"),0,($AH337*'Model Data Inputs'!$B$156)-$AH337)</f>
        <v>0</v>
      </c>
      <c r="AL337" s="203">
        <f>IF($G337="F",0,IF($M337&lt;'Model Data Inputs'!$B$158,$AH337*('Model Data Inputs'!$B$159-1),0))</f>
        <v>0</v>
      </c>
      <c r="AM337" s="202">
        <f>IF($G337="F",0,IF($M337&gt;'Model Data Inputs'!$B$160,$AH337*('Model Data Inputs'!$B$161-1),0))</f>
        <v>8.0552080679429122E-2</v>
      </c>
      <c r="AN337" s="202">
        <f>IF($G337="F",0,IF($P337&lt;'Model Data Inputs'!$B$162,SUM($AH337,$AI337,$AJ337,$AK337,$AL337,$AM337)*('Model Data Inputs'!$B$163-1),0))</f>
        <v>0</v>
      </c>
      <c r="AO337" s="202">
        <f t="shared" si="39"/>
        <v>0.72496872611486152</v>
      </c>
      <c r="AP337" s="204">
        <f>$K337*'Model Data Inputs'!$B$166</f>
        <v>33836.5075</v>
      </c>
      <c r="AQ337" s="204">
        <f>($K337*'Model Data Inputs'!$B$145)*'Model Data Inputs'!$B$166</f>
        <v>3383.6507499999998</v>
      </c>
      <c r="AR337" s="50">
        <f t="shared" si="40"/>
        <v>37220.15825</v>
      </c>
    </row>
    <row r="338" spans="1:44" x14ac:dyDescent="0.2">
      <c r="A338" s="227" t="str">
        <f>'School Level Inst. Resources'!A338</f>
        <v>2101000</v>
      </c>
      <c r="B338" s="227" t="str">
        <f>'School Level Inst. Resources'!B338</f>
        <v>Uinta #1</v>
      </c>
      <c r="C338" s="227" t="str">
        <f>'School Level Inst. Resources'!C338</f>
        <v>2101050</v>
      </c>
      <c r="D338" s="227" t="str">
        <f>'School Level Inst. Resources'!D338</f>
        <v>Davis Middle School</v>
      </c>
      <c r="E338" s="228" t="str">
        <f>'School Level Inst. Resources'!E338</f>
        <v>6-8</v>
      </c>
      <c r="F338" s="229" t="str">
        <f>'School Level Inst. Resources'!H338</f>
        <v>M</v>
      </c>
      <c r="G338" s="229" t="s">
        <v>1158</v>
      </c>
      <c r="H338" s="207">
        <v>135522</v>
      </c>
      <c r="I338" s="207">
        <f>IF('SFD Allowable GSF Calculation'!$D$2=1,'SFD Allowable GSF Calculation'!$P338,'SFD Allowable GSF Calculation'!$X338)</f>
        <v>64370</v>
      </c>
      <c r="J338" s="194">
        <f>$I338*'Model Data Inputs'!$B$165</f>
        <v>74025.5</v>
      </c>
      <c r="K338" s="194">
        <f>IF($L338&gt;='Model Data Inputs'!$B$164,$H338,MIN($H338,$J338))</f>
        <v>74025.5</v>
      </c>
      <c r="L338" s="208">
        <v>1982</v>
      </c>
      <c r="M338" s="196">
        <f>IF($L338&gt;0,'Model Data Inputs'!$B$157-$L338,"")</f>
        <v>35</v>
      </c>
      <c r="N338" s="209">
        <v>37</v>
      </c>
      <c r="O338" s="198">
        <f>'School Level Inst. Resources'!$L338</f>
        <v>311.23766666666666</v>
      </c>
      <c r="P338" s="198">
        <f>IF($G338="T",SUMIFS('School Level ADM'!$S$5:$S$359,'School Level ADM'!$A$5:$A$359,$A338),0)</f>
        <v>2715.8859999999995</v>
      </c>
      <c r="Q338" s="199">
        <f t="shared" si="41"/>
        <v>0.1145989436473647</v>
      </c>
      <c r="R338" s="200">
        <f>SUM((('School Level Inst. Resources'!I338/'Model Data Inputs'!$B$8)*(1+'Model Data Inputs'!$B$9)),(SUM('School Level Inst. Resources'!J338:K338)/'Model Data Inputs'!$C$8)*(1+'Model Data Inputs'!$C$9),'School Level Inst. Resources'!K338/400)</f>
        <v>18.038252594202898</v>
      </c>
      <c r="S338" s="200">
        <f t="shared" si="42"/>
        <v>18.038252594202898</v>
      </c>
      <c r="T338" s="201">
        <f>IF($G338="T",VLOOKUP($A338,'Total O &amp; M Resources'!$A$5:$K$52,3),0)</f>
        <v>26934277.339999996</v>
      </c>
      <c r="U338" s="202">
        <f>IF($G338="F",0,$S338/'Model Data Inputs'!$B$140)</f>
        <v>1.3875578918617615</v>
      </c>
      <c r="V338" s="202">
        <f>IF($G338="F",0,$O338/'Model Data Inputs'!$B$141)</f>
        <v>0.95765435897435891</v>
      </c>
      <c r="W338" s="202">
        <f>IF($G338="F",0,$N338/'Model Data Inputs'!$B$142)</f>
        <v>2.8461538461538463</v>
      </c>
      <c r="X338" s="202">
        <f>IF($G338="F",0,$K338/'Model Data Inputs'!$B$143)</f>
        <v>4.1125277777777773</v>
      </c>
      <c r="Y338" s="202">
        <f t="shared" si="36"/>
        <v>2.3259734686919362</v>
      </c>
      <c r="Z338" s="202">
        <f>IF(OR($G338="F",$F338="E"),0,'Model Data Inputs'!$B$144)</f>
        <v>0.5</v>
      </c>
      <c r="AA338" s="202">
        <f>IF(AND($O338&lt;='Model Data Inputs'!$B$139,$F338="E"),0,IF(AND($O338&lt;='Model Data Inputs'!$B$139,$F338="M"),0,IF(AND($O338&lt;='Model Data Inputs'!$B$139,$F338="H"),0,IF(SUM($Y338:$Z338)&lt;1,1,SUM($Y338:$Z338)))))</f>
        <v>2.8259734686919362</v>
      </c>
      <c r="AB338" s="202">
        <f>($K338/'Model Data Inputs'!$B$143)*'Model Data Inputs'!$B$145</f>
        <v>0.41125277777777774</v>
      </c>
      <c r="AC338" s="202">
        <f t="shared" si="37"/>
        <v>3.2372262464697141</v>
      </c>
      <c r="AD338" s="202">
        <f>IF($G338="F",0,'Model Data Inputs'!$B$147)</f>
        <v>1.1000000000000001</v>
      </c>
      <c r="AE338" s="202">
        <f>IF($G338="F",0,($K338/'Model Data Inputs'!$B$148)*'Model Data Inputs'!$B$149)</f>
        <v>1.48051</v>
      </c>
      <c r="AF338" s="202">
        <f>IF($G338="F",0,($O338/'Model Data Inputs'!$B$150)*'Model Data Inputs'!$B$151)</f>
        <v>0.40460896666666663</v>
      </c>
      <c r="AG338" s="202">
        <f>IF($G338="F",0,(($Q338*$T338)/'Model Data Inputs'!$B$152)*'Model Data Inputs'!$B$153)</f>
        <v>0.74079353545659632</v>
      </c>
      <c r="AH338" s="202">
        <f t="shared" si="38"/>
        <v>0.93147812553081588</v>
      </c>
      <c r="AI338" s="203">
        <f>IF(OR($G338="F",$F338="M",$F338="H"),0,($AH338*'Model Data Inputs'!$B$154)-$AH338)</f>
        <v>0</v>
      </c>
      <c r="AJ338" s="202">
        <f>IF(OR($G338="F",$F338="E",$F338="H"),0,($AH338*'Model Data Inputs'!$B$155)-$AH338)</f>
        <v>0</v>
      </c>
      <c r="AK338" s="203">
        <f>IF(OR($G338="F",$F338="E",$F338="M"),0,($AH338*'Model Data Inputs'!$B$156)-$AH338)</f>
        <v>0</v>
      </c>
      <c r="AL338" s="203">
        <f>IF($G338="F",0,IF($M338&lt;'Model Data Inputs'!$B$158,$AH338*('Model Data Inputs'!$B$159-1),0))</f>
        <v>0</v>
      </c>
      <c r="AM338" s="202">
        <f>IF($G338="F",0,IF($M338&gt;'Model Data Inputs'!$B$160,$AH338*('Model Data Inputs'!$B$161-1),0))</f>
        <v>9.3147812553081674E-2</v>
      </c>
      <c r="AN338" s="202">
        <f>IF($G338="F",0,IF($P338&lt;'Model Data Inputs'!$B$162,SUM($AH338,$AI338,$AJ338,$AK338,$AL338,$AM338)*('Model Data Inputs'!$B$163-1),0))</f>
        <v>0</v>
      </c>
      <c r="AO338" s="202">
        <f t="shared" si="39"/>
        <v>1.0246259380838976</v>
      </c>
      <c r="AP338" s="204">
        <f>$K338*'Model Data Inputs'!$B$166</f>
        <v>49597.085000000006</v>
      </c>
      <c r="AQ338" s="204">
        <f>($K338*'Model Data Inputs'!$B$145)*'Model Data Inputs'!$B$166</f>
        <v>4959.7085000000006</v>
      </c>
      <c r="AR338" s="50">
        <f t="shared" si="40"/>
        <v>54556.793500000007</v>
      </c>
    </row>
    <row r="339" spans="1:44" x14ac:dyDescent="0.2">
      <c r="A339" s="227" t="str">
        <f>'School Level Inst. Resources'!A339</f>
        <v>2101000</v>
      </c>
      <c r="B339" s="227" t="str">
        <f>'School Level Inst. Resources'!B339</f>
        <v>Uinta #1</v>
      </c>
      <c r="C339" s="227" t="str">
        <f>'School Level Inst. Resources'!C339</f>
        <v>2101051</v>
      </c>
      <c r="D339" s="227" t="str">
        <f>'School Level Inst. Resources'!D339</f>
        <v>Evanston Middle School</v>
      </c>
      <c r="E339" s="228" t="str">
        <f>'School Level Inst. Resources'!E339</f>
        <v>6-8</v>
      </c>
      <c r="F339" s="229" t="str">
        <f>'School Level Inst. Resources'!H339</f>
        <v>M</v>
      </c>
      <c r="G339" s="229" t="s">
        <v>1158</v>
      </c>
      <c r="H339" s="207">
        <v>88419</v>
      </c>
      <c r="I339" s="207">
        <f>IF('SFD Allowable GSF Calculation'!$D$2=1,'SFD Allowable GSF Calculation'!$P339,'SFD Allowable GSF Calculation'!$X339)</f>
        <v>65565</v>
      </c>
      <c r="J339" s="194">
        <f>$I339*'Model Data Inputs'!$B$165</f>
        <v>75399.75</v>
      </c>
      <c r="K339" s="194">
        <f>IF($L339&gt;='Model Data Inputs'!$B$164,$H339,MIN($H339,$J339))</f>
        <v>75399.75</v>
      </c>
      <c r="L339" s="208">
        <v>1968</v>
      </c>
      <c r="M339" s="196">
        <f>IF($L339&gt;0,'Model Data Inputs'!$B$157-$L339,"")</f>
        <v>49</v>
      </c>
      <c r="N339" s="209">
        <v>40</v>
      </c>
      <c r="O339" s="198">
        <f>'School Level Inst. Resources'!$L339</f>
        <v>307.37599999999998</v>
      </c>
      <c r="P339" s="198">
        <f>IF($G339="T",SUMIFS('School Level ADM'!$S$5:$S$359,'School Level ADM'!$A$5:$A$359,$A339),0)</f>
        <v>2715.8859999999995</v>
      </c>
      <c r="Q339" s="199">
        <f t="shared" si="41"/>
        <v>0.11317706266021477</v>
      </c>
      <c r="R339" s="200">
        <f>SUM((('School Level Inst. Resources'!I339/'Model Data Inputs'!$B$8)*(1+'Model Data Inputs'!$B$9)),(SUM('School Level Inst. Resources'!J339:K339)/'Model Data Inputs'!$C$8)*(1+'Model Data Inputs'!$C$9),'School Level Inst. Resources'!K339/400)</f>
        <v>17.814443826086954</v>
      </c>
      <c r="S339" s="200">
        <f t="shared" si="42"/>
        <v>17.814443826086954</v>
      </c>
      <c r="T339" s="201">
        <f>IF($G339="T",VLOOKUP($A339,'Total O &amp; M Resources'!$A$5:$K$52,3),0)</f>
        <v>26934277.339999996</v>
      </c>
      <c r="U339" s="202">
        <f>IF($G339="F",0,$S339/'Model Data Inputs'!$B$140)</f>
        <v>1.3703418327759196</v>
      </c>
      <c r="V339" s="202">
        <f>IF($G339="F",0,$O339/'Model Data Inputs'!$B$141)</f>
        <v>0.94577230769230758</v>
      </c>
      <c r="W339" s="202">
        <f>IF($G339="F",0,$N339/'Model Data Inputs'!$B$142)</f>
        <v>3.0769230769230771</v>
      </c>
      <c r="X339" s="202">
        <f>IF($G339="F",0,$K339/'Model Data Inputs'!$B$143)</f>
        <v>4.1888750000000003</v>
      </c>
      <c r="Y339" s="202">
        <f t="shared" si="36"/>
        <v>2.3954780543478265</v>
      </c>
      <c r="Z339" s="202">
        <f>IF(OR($G339="F",$F339="E"),0,'Model Data Inputs'!$B$144)</f>
        <v>0.5</v>
      </c>
      <c r="AA339" s="202">
        <f>IF(AND($O339&lt;='Model Data Inputs'!$B$139,$F339="E"),0,IF(AND($O339&lt;='Model Data Inputs'!$B$139,$F339="M"),0,IF(AND($O339&lt;='Model Data Inputs'!$B$139,$F339="H"),0,IF(SUM($Y339:$Z339)&lt;1,1,SUM($Y339:$Z339)))))</f>
        <v>2.8954780543478265</v>
      </c>
      <c r="AB339" s="202">
        <f>($K339/'Model Data Inputs'!$B$143)*'Model Data Inputs'!$B$145</f>
        <v>0.41888750000000008</v>
      </c>
      <c r="AC339" s="202">
        <f t="shared" si="37"/>
        <v>3.3143655543478268</v>
      </c>
      <c r="AD339" s="202">
        <f>IF($G339="F",0,'Model Data Inputs'!$B$147)</f>
        <v>1.1000000000000001</v>
      </c>
      <c r="AE339" s="202">
        <f>IF($G339="F",0,($K339/'Model Data Inputs'!$B$148)*'Model Data Inputs'!$B$149)</f>
        <v>1.507995</v>
      </c>
      <c r="AF339" s="202">
        <f>IF($G339="F",0,($O339/'Model Data Inputs'!$B$150)*'Model Data Inputs'!$B$151)</f>
        <v>0.39958879999999997</v>
      </c>
      <c r="AG339" s="202">
        <f>IF($G339="F",0,(($Q339*$T339)/'Model Data Inputs'!$B$152)*'Model Data Inputs'!$B$153)</f>
        <v>0.73160217461202781</v>
      </c>
      <c r="AH339" s="202">
        <f t="shared" si="38"/>
        <v>0.93479649365300688</v>
      </c>
      <c r="AI339" s="203">
        <f>IF(OR($G339="F",$F339="M",$F339="H"),0,($AH339*'Model Data Inputs'!$B$154)-$AH339)</f>
        <v>0</v>
      </c>
      <c r="AJ339" s="202">
        <f>IF(OR($G339="F",$F339="E",$F339="H"),0,($AH339*'Model Data Inputs'!$B$155)-$AH339)</f>
        <v>0</v>
      </c>
      <c r="AK339" s="203">
        <f>IF(OR($G339="F",$F339="E",$F339="M"),0,($AH339*'Model Data Inputs'!$B$156)-$AH339)</f>
        <v>0</v>
      </c>
      <c r="AL339" s="203">
        <f>IF($G339="F",0,IF($M339&lt;'Model Data Inputs'!$B$158,$AH339*('Model Data Inputs'!$B$159-1),0))</f>
        <v>0</v>
      </c>
      <c r="AM339" s="202">
        <f>IF($G339="F",0,IF($M339&gt;'Model Data Inputs'!$B$160,$AH339*('Model Data Inputs'!$B$161-1),0))</f>
        <v>9.3479649365300774E-2</v>
      </c>
      <c r="AN339" s="202">
        <f>IF($G339="F",0,IF($P339&lt;'Model Data Inputs'!$B$162,SUM($AH339,$AI339,$AJ339,$AK339,$AL339,$AM339)*('Model Data Inputs'!$B$163-1),0))</f>
        <v>0</v>
      </c>
      <c r="AO339" s="202">
        <f t="shared" si="39"/>
        <v>1.0282761430183076</v>
      </c>
      <c r="AP339" s="204">
        <f>$K339*'Model Data Inputs'!$B$166</f>
        <v>50517.832500000004</v>
      </c>
      <c r="AQ339" s="204">
        <f>($K339*'Model Data Inputs'!$B$145)*'Model Data Inputs'!$B$166</f>
        <v>5051.7832500000004</v>
      </c>
      <c r="AR339" s="50">
        <f t="shared" si="40"/>
        <v>55569.615750000004</v>
      </c>
    </row>
    <row r="340" spans="1:44" x14ac:dyDescent="0.2">
      <c r="A340" s="227" t="str">
        <f>'School Level Inst. Resources'!A340</f>
        <v>2101000</v>
      </c>
      <c r="B340" s="227" t="str">
        <f>'School Level Inst. Resources'!B340</f>
        <v>Uinta #1</v>
      </c>
      <c r="C340" s="227" t="str">
        <f>'School Level Inst. Resources'!C340</f>
        <v>2101055</v>
      </c>
      <c r="D340" s="227" t="str">
        <f>'School Level Inst. Resources'!D340</f>
        <v>Evanston High School</v>
      </c>
      <c r="E340" s="228" t="str">
        <f>'School Level Inst. Resources'!E340</f>
        <v>9-12</v>
      </c>
      <c r="F340" s="229" t="str">
        <f>'School Level Inst. Resources'!H340</f>
        <v>H</v>
      </c>
      <c r="G340" s="229" t="s">
        <v>1158</v>
      </c>
      <c r="H340" s="207">
        <v>294491</v>
      </c>
      <c r="I340" s="207">
        <f>IF('SFD Allowable GSF Calculation'!$D$2=1,'SFD Allowable GSF Calculation'!$P340,'SFD Allowable GSF Calculation'!$X340)</f>
        <v>138631</v>
      </c>
      <c r="J340" s="194">
        <f>$I340*'Model Data Inputs'!$B$165</f>
        <v>159425.65</v>
      </c>
      <c r="K340" s="194">
        <f>IF($L340&gt;='Model Data Inputs'!$B$164,$H340,MIN($H340,$J340))</f>
        <v>159425.65</v>
      </c>
      <c r="L340" s="208">
        <v>1985</v>
      </c>
      <c r="M340" s="196">
        <f>IF($L340&gt;0,'Model Data Inputs'!$B$157-$L340,"")</f>
        <v>32</v>
      </c>
      <c r="N340" s="209">
        <v>63</v>
      </c>
      <c r="O340" s="198">
        <f>'School Level Inst. Resources'!$L340</f>
        <v>736.125</v>
      </c>
      <c r="P340" s="198">
        <f>IF($G340="T",SUMIFS('School Level ADM'!$S$5:$S$359,'School Level ADM'!$A$5:$A$359,$A340),0)</f>
        <v>2715.8859999999995</v>
      </c>
      <c r="Q340" s="199">
        <f t="shared" si="41"/>
        <v>0.27104414544645838</v>
      </c>
      <c r="R340" s="200">
        <f>SUM((('School Level Inst. Resources'!I340/'Model Data Inputs'!$B$8)*(1+'Model Data Inputs'!$B$9)),(SUM('School Level Inst. Resources'!J340:K340)/'Model Data Inputs'!$C$8)*(1+'Model Data Inputs'!$C$9),'School Level Inst. Resources'!K340/400)</f>
        <v>44.503557065217393</v>
      </c>
      <c r="S340" s="200">
        <f t="shared" si="42"/>
        <v>44.503557065217393</v>
      </c>
      <c r="T340" s="201">
        <f>IF($G340="T",VLOOKUP($A340,'Total O &amp; M Resources'!$A$5:$K$52,3),0)</f>
        <v>26934277.339999996</v>
      </c>
      <c r="U340" s="202">
        <f>IF($G340="F",0,$S340/'Model Data Inputs'!$B$140)</f>
        <v>3.4233505434782612</v>
      </c>
      <c r="V340" s="202">
        <f>IF($G340="F",0,$O340/'Model Data Inputs'!$B$141)</f>
        <v>2.2650000000000001</v>
      </c>
      <c r="W340" s="202">
        <f>IF($G340="F",0,$N340/'Model Data Inputs'!$B$142)</f>
        <v>4.8461538461538458</v>
      </c>
      <c r="X340" s="202">
        <f>IF($G340="F",0,$K340/'Model Data Inputs'!$B$143)</f>
        <v>8.8569805555555554</v>
      </c>
      <c r="Y340" s="202">
        <f t="shared" si="36"/>
        <v>4.8478712362969159</v>
      </c>
      <c r="Z340" s="202">
        <f>IF(OR($G340="F",$F340="E"),0,'Model Data Inputs'!$B$144)</f>
        <v>0.5</v>
      </c>
      <c r="AA340" s="202">
        <f>IF(AND($O340&lt;='Model Data Inputs'!$B$139,$F340="E"),0,IF(AND($O340&lt;='Model Data Inputs'!$B$139,$F340="M"),0,IF(AND($O340&lt;='Model Data Inputs'!$B$139,$F340="H"),0,IF(SUM($Y340:$Z340)&lt;1,1,SUM($Y340:$Z340)))))</f>
        <v>5.3478712362969159</v>
      </c>
      <c r="AB340" s="202">
        <f>($K340/'Model Data Inputs'!$B$143)*'Model Data Inputs'!$B$145</f>
        <v>0.88569805555555559</v>
      </c>
      <c r="AC340" s="202">
        <f t="shared" si="37"/>
        <v>6.2335692918524712</v>
      </c>
      <c r="AD340" s="202">
        <f>IF($G340="F",0,'Model Data Inputs'!$B$147)</f>
        <v>1.1000000000000001</v>
      </c>
      <c r="AE340" s="202">
        <f>IF($G340="F",0,($K340/'Model Data Inputs'!$B$148)*'Model Data Inputs'!$B$149)</f>
        <v>3.1885129999999999</v>
      </c>
      <c r="AF340" s="202">
        <f>IF($G340="F",0,($O340/'Model Data Inputs'!$B$150)*'Model Data Inputs'!$B$151)</f>
        <v>0.95696250000000005</v>
      </c>
      <c r="AG340" s="202">
        <f>IF($G340="F",0,(($Q340*$T340)/'Model Data Inputs'!$B$152)*'Model Data Inputs'!$B$153)</f>
        <v>1.7520907643611698</v>
      </c>
      <c r="AH340" s="202">
        <f t="shared" si="38"/>
        <v>1.7493915660902926</v>
      </c>
      <c r="AI340" s="203">
        <f>IF(OR($G340="F",$F340="M",$F340="H"),0,($AH340*'Model Data Inputs'!$B$154)-$AH340)</f>
        <v>0</v>
      </c>
      <c r="AJ340" s="202">
        <f>IF(OR($G340="F",$F340="E",$F340="H"),0,($AH340*'Model Data Inputs'!$B$155)-$AH340)</f>
        <v>0</v>
      </c>
      <c r="AK340" s="203">
        <f>IF(OR($G340="F",$F340="E",$F340="M"),0,($AH340*'Model Data Inputs'!$B$156)-$AH340)</f>
        <v>1.7493915660902926</v>
      </c>
      <c r="AL340" s="203">
        <f>IF($G340="F",0,IF($M340&lt;'Model Data Inputs'!$B$158,$AH340*('Model Data Inputs'!$B$159-1),0))</f>
        <v>0</v>
      </c>
      <c r="AM340" s="202">
        <f>IF($G340="F",0,IF($M340&gt;'Model Data Inputs'!$B$160,$AH340*('Model Data Inputs'!$B$161-1),0))</f>
        <v>0.17493915660902942</v>
      </c>
      <c r="AN340" s="202">
        <f>IF($G340="F",0,IF($P340&lt;'Model Data Inputs'!$B$162,SUM($AH340,$AI340,$AJ340,$AK340,$AL340,$AM340)*('Model Data Inputs'!$B$163-1),0))</f>
        <v>0</v>
      </c>
      <c r="AO340" s="202">
        <f t="shared" si="39"/>
        <v>3.6737222887896146</v>
      </c>
      <c r="AP340" s="204">
        <f>$K340*'Model Data Inputs'!$B$166</f>
        <v>106815.18550000001</v>
      </c>
      <c r="AQ340" s="204">
        <f>($K340*'Model Data Inputs'!$B$145)*'Model Data Inputs'!$B$166</f>
        <v>10681.518550000001</v>
      </c>
      <c r="AR340" s="50">
        <f t="shared" si="40"/>
        <v>117496.70405</v>
      </c>
    </row>
    <row r="341" spans="1:44" x14ac:dyDescent="0.2">
      <c r="A341" s="227" t="str">
        <f>'School Level Inst. Resources'!A341</f>
        <v>2101000</v>
      </c>
      <c r="B341" s="227" t="str">
        <f>'School Level Inst. Resources'!B341</f>
        <v>Uinta #1</v>
      </c>
      <c r="C341" s="227" t="str">
        <f>'School Level Inst. Resources'!C341</f>
        <v>2101056</v>
      </c>
      <c r="D341" s="227" t="str">
        <f>'School Level Inst. Resources'!D341</f>
        <v>Horizon Alternative School</v>
      </c>
      <c r="E341" s="228" t="str">
        <f>'School Level Inst. Resources'!E341</f>
        <v>7-12</v>
      </c>
      <c r="F341" s="229" t="str">
        <f>'School Level Inst. Resources'!H341</f>
        <v>H</v>
      </c>
      <c r="G341" s="229" t="s">
        <v>1158</v>
      </c>
      <c r="H341" s="207">
        <v>32791</v>
      </c>
      <c r="I341" s="207">
        <f>IF('SFD Allowable GSF Calculation'!$D$2=1,'SFD Allowable GSF Calculation'!$P341,'SFD Allowable GSF Calculation'!$X341)</f>
        <v>30616</v>
      </c>
      <c r="J341" s="194">
        <f>$I341*'Model Data Inputs'!$B$165</f>
        <v>35208.399999999994</v>
      </c>
      <c r="K341" s="194">
        <f>IF($L341&gt;='Model Data Inputs'!$B$164,$H341,MIN($H341,$J341))</f>
        <v>32791</v>
      </c>
      <c r="L341" s="208">
        <v>2011</v>
      </c>
      <c r="M341" s="196">
        <f>IF($L341&gt;0,'Model Data Inputs'!$B$157-$L341,"")</f>
        <v>6</v>
      </c>
      <c r="N341" s="209">
        <v>11</v>
      </c>
      <c r="O341" s="198">
        <f>'School Level Inst. Resources'!$L341</f>
        <v>56.727000000000004</v>
      </c>
      <c r="P341" s="198">
        <f>IF($G341="T",SUMIFS('School Level ADM'!$S$5:$S$359,'School Level ADM'!$A$5:$A$359,$A341),0)</f>
        <v>2715.8859999999995</v>
      </c>
      <c r="Q341" s="199">
        <f t="shared" si="41"/>
        <v>2.0887106454394629E-2</v>
      </c>
      <c r="R341" s="200">
        <f>SUM((('School Level Inst. Resources'!I341/'Model Data Inputs'!$B$8)*(1+'Model Data Inputs'!$B$9)),(SUM('School Level Inst. Resources'!J341:K341)/'Model Data Inputs'!$C$8)*(1+'Model Data Inputs'!$C$9),'School Level Inst. Resources'!K341/400)</f>
        <v>3.412698775362319</v>
      </c>
      <c r="S341" s="200">
        <f t="shared" si="42"/>
        <v>3.412698775362319</v>
      </c>
      <c r="T341" s="201">
        <f>IF($G341="T",VLOOKUP($A341,'Total O &amp; M Resources'!$A$5:$K$52,3),0)</f>
        <v>26934277.339999996</v>
      </c>
      <c r="U341" s="202">
        <f>IF($G341="F",0,$S341/'Model Data Inputs'!$B$140)</f>
        <v>0.26251529041248606</v>
      </c>
      <c r="V341" s="202">
        <f>IF($G341="F",0,$O341/'Model Data Inputs'!$B$141)</f>
        <v>0.17454461538461541</v>
      </c>
      <c r="W341" s="202">
        <f>IF($G341="F",0,$N341/'Model Data Inputs'!$B$142)</f>
        <v>0.84615384615384615</v>
      </c>
      <c r="X341" s="202">
        <f>IF($G341="F",0,$K341/'Model Data Inputs'!$B$143)</f>
        <v>1.8217222222222222</v>
      </c>
      <c r="Y341" s="202">
        <f t="shared" si="36"/>
        <v>0.77623399354329248</v>
      </c>
      <c r="Z341" s="202">
        <f>IF(OR($G341="F",$F341="E"),0,'Model Data Inputs'!$B$144)</f>
        <v>0.5</v>
      </c>
      <c r="AA341" s="202">
        <f>IF(AND($O341&lt;='Model Data Inputs'!$B$139,$F341="E"),0,IF(AND($O341&lt;='Model Data Inputs'!$B$139,$F341="M"),0,IF(AND($O341&lt;='Model Data Inputs'!$B$139,$F341="H"),0,IF(SUM($Y341:$Z341)&lt;1,1,SUM($Y341:$Z341)))))</f>
        <v>1.2762339935432925</v>
      </c>
      <c r="AB341" s="202">
        <f>($K341/'Model Data Inputs'!$B$143)*'Model Data Inputs'!$B$145</f>
        <v>0.18217222222222224</v>
      </c>
      <c r="AC341" s="202">
        <f t="shared" si="37"/>
        <v>1.4584062157655147</v>
      </c>
      <c r="AD341" s="202">
        <f>IF($G341="F",0,'Model Data Inputs'!$B$147)</f>
        <v>1.1000000000000001</v>
      </c>
      <c r="AE341" s="202">
        <f>IF($G341="F",0,($K341/'Model Data Inputs'!$B$148)*'Model Data Inputs'!$B$149)</f>
        <v>0.65581999999999996</v>
      </c>
      <c r="AF341" s="202">
        <f>IF($G341="F",0,($O341/'Model Data Inputs'!$B$150)*'Model Data Inputs'!$B$151)</f>
        <v>7.3745100000000008E-2</v>
      </c>
      <c r="AG341" s="202">
        <f>IF($G341="F",0,(($Q341*$T341)/'Model Data Inputs'!$B$152)*'Model Data Inputs'!$B$153)</f>
        <v>0.13501898833746453</v>
      </c>
      <c r="AH341" s="202">
        <f t="shared" si="38"/>
        <v>0.49114602208436614</v>
      </c>
      <c r="AI341" s="203">
        <f>IF(OR($G341="F",$F341="M",$F341="H"),0,($AH341*'Model Data Inputs'!$B$154)-$AH341)</f>
        <v>0</v>
      </c>
      <c r="AJ341" s="202">
        <f>IF(OR($G341="F",$F341="E",$F341="H"),0,($AH341*'Model Data Inputs'!$B$155)-$AH341)</f>
        <v>0</v>
      </c>
      <c r="AK341" s="203">
        <f>IF(OR($G341="F",$F341="E",$F341="M"),0,($AH341*'Model Data Inputs'!$B$156)-$AH341)</f>
        <v>0.49114602208436614</v>
      </c>
      <c r="AL341" s="203">
        <f>IF($G341="F",0,IF($M341&lt;'Model Data Inputs'!$B$158,$AH341*('Model Data Inputs'!$B$159-1),0))</f>
        <v>-2.4557301104218329E-2</v>
      </c>
      <c r="AM341" s="202">
        <f>IF($G341="F",0,IF($M341&gt;'Model Data Inputs'!$B$160,$AH341*('Model Data Inputs'!$B$161-1),0))</f>
        <v>0</v>
      </c>
      <c r="AN341" s="202">
        <f>IF($G341="F",0,IF($P341&lt;'Model Data Inputs'!$B$162,SUM($AH341,$AI341,$AJ341,$AK341,$AL341,$AM341)*('Model Data Inputs'!$B$163-1),0))</f>
        <v>0</v>
      </c>
      <c r="AO341" s="202">
        <f t="shared" si="39"/>
        <v>0.957734743064514</v>
      </c>
      <c r="AP341" s="204">
        <f>$K341*'Model Data Inputs'!$B$166</f>
        <v>21969.97</v>
      </c>
      <c r="AQ341" s="204">
        <f>($K341*'Model Data Inputs'!$B$145)*'Model Data Inputs'!$B$166</f>
        <v>2196.9970000000003</v>
      </c>
      <c r="AR341" s="50">
        <f t="shared" si="40"/>
        <v>24166.967000000001</v>
      </c>
    </row>
    <row r="342" spans="1:44" x14ac:dyDescent="0.2">
      <c r="A342" s="227" t="str">
        <f>'School Level Inst. Resources'!A342</f>
        <v>2104000</v>
      </c>
      <c r="B342" s="227" t="str">
        <f>'School Level Inst. Resources'!B342</f>
        <v>Uinta #4</v>
      </c>
      <c r="C342" s="227" t="str">
        <f>'School Level Inst. Resources'!C342</f>
        <v>2104020</v>
      </c>
      <c r="D342" s="227" t="str">
        <f>'School Level Inst. Resources'!D342</f>
        <v>Mountain View K-8</v>
      </c>
      <c r="E342" s="228" t="str">
        <f>'School Level Inst. Resources'!E342</f>
        <v>K-8</v>
      </c>
      <c r="F342" s="245" t="str">
        <f>'School Level Inst. Resources'!H342</f>
        <v>M</v>
      </c>
      <c r="G342" s="245" t="s">
        <v>1158</v>
      </c>
      <c r="H342" s="207">
        <v>131870</v>
      </c>
      <c r="I342" s="207">
        <f>IF('SFD Allowable GSF Calculation'!$D$2=1,'SFD Allowable GSF Calculation'!$P342,'SFD Allowable GSF Calculation'!$X342)</f>
        <v>115419</v>
      </c>
      <c r="J342" s="194">
        <f>$I342*'Model Data Inputs'!$B$165</f>
        <v>132731.84999999998</v>
      </c>
      <c r="K342" s="194">
        <f>IF($L342&gt;='Model Data Inputs'!$B$164,$H342,MIN($H342,$J342))</f>
        <v>131870</v>
      </c>
      <c r="L342" s="208">
        <v>2014</v>
      </c>
      <c r="M342" s="196">
        <f>IF($L342&gt;0,'Model Data Inputs'!$B$157-$L342,"")</f>
        <v>3</v>
      </c>
      <c r="N342" s="209">
        <v>71</v>
      </c>
      <c r="O342" s="198">
        <f>'School Level Inst. Resources'!$L342</f>
        <v>605.84199999999998</v>
      </c>
      <c r="P342" s="198">
        <f>IF($G342="T",SUMIFS('School Level ADM'!$S$5:$S$359,'School Level ADM'!$A$5:$A$359,$A342),0)</f>
        <v>835.97699999999998</v>
      </c>
      <c r="Q342" s="199">
        <f t="shared" si="41"/>
        <v>0.72471132579006359</v>
      </c>
      <c r="R342" s="200">
        <f>SUM((('School Level Inst. Resources'!I342/'Model Data Inputs'!$B$8)*(1+'Model Data Inputs'!$B$9)),(SUM('School Level Inst. Resources'!J342:K342)/'Model Data Inputs'!$C$8)*(1+'Model Data Inputs'!$C$9),'School Level Inst. Resources'!K342/400)</f>
        <v>38.585052719806761</v>
      </c>
      <c r="S342" s="200">
        <f t="shared" si="42"/>
        <v>38.585052719806761</v>
      </c>
      <c r="T342" s="201">
        <f>IF($G342="T",VLOOKUP($A342,'Total O &amp; M Resources'!$A$5:$K$52,3),0)</f>
        <v>6771442.4500000011</v>
      </c>
      <c r="U342" s="202">
        <f>IF($G342="F",0,$S342/'Model Data Inputs'!$B$140)</f>
        <v>2.968080978446674</v>
      </c>
      <c r="V342" s="202">
        <f>IF($G342="F",0,$O342/'Model Data Inputs'!$B$141)</f>
        <v>1.8641292307692308</v>
      </c>
      <c r="W342" s="202">
        <f>IF($G342="F",0,$N342/'Model Data Inputs'!$B$142)</f>
        <v>5.4615384615384617</v>
      </c>
      <c r="X342" s="202">
        <f>IF($G342="F",0,$K342/'Model Data Inputs'!$B$143)</f>
        <v>7.3261111111111115</v>
      </c>
      <c r="Y342" s="202">
        <f t="shared" si="36"/>
        <v>4.4049649454663697</v>
      </c>
      <c r="Z342" s="202">
        <f>IF(OR($G342="F",$F342="E"),0,'Model Data Inputs'!$B$144)</f>
        <v>0.5</v>
      </c>
      <c r="AA342" s="202">
        <f>IF(AND($O342&lt;='Model Data Inputs'!$B$139,$F342="E"),0,IF(AND($O342&lt;='Model Data Inputs'!$B$139,$F342="M"),0,IF(AND($O342&lt;='Model Data Inputs'!$B$139,$F342="H"),0,IF(SUM($Y342:$Z342)&lt;1,1,SUM($Y342:$Z342)))))</f>
        <v>4.9049649454663697</v>
      </c>
      <c r="AB342" s="202">
        <f>($K342/'Model Data Inputs'!$B$143)*'Model Data Inputs'!$B$145</f>
        <v>0.73261111111111121</v>
      </c>
      <c r="AC342" s="202">
        <f t="shared" si="37"/>
        <v>5.6375760565774806</v>
      </c>
      <c r="AD342" s="202">
        <f>IF($G342="F",0,'Model Data Inputs'!$B$147)</f>
        <v>1.1000000000000001</v>
      </c>
      <c r="AE342" s="202">
        <f>IF($G342="F",0,($K342/'Model Data Inputs'!$B$148)*'Model Data Inputs'!$B$149)</f>
        <v>2.6374</v>
      </c>
      <c r="AF342" s="202">
        <f>IF($G342="F",0,($O342/'Model Data Inputs'!$B$150)*'Model Data Inputs'!$B$151)</f>
        <v>0.78759460000000003</v>
      </c>
      <c r="AG342" s="202">
        <f>IF($G342="F",0,(($Q342*$T342)/'Model Data Inputs'!$B$152)*'Model Data Inputs'!$B$153)</f>
        <v>1.177761848508148</v>
      </c>
      <c r="AH342" s="202">
        <f t="shared" si="38"/>
        <v>1.4256891121270372</v>
      </c>
      <c r="AI342" s="203">
        <f>IF(OR($G342="F",$F342="M",$F342="H"),0,($AH342*'Model Data Inputs'!$B$154)-$AH342)</f>
        <v>0</v>
      </c>
      <c r="AJ342" s="202">
        <f>IF(OR($G342="F",$F342="E",$F342="H"),0,($AH342*'Model Data Inputs'!$B$155)-$AH342)</f>
        <v>0</v>
      </c>
      <c r="AK342" s="203">
        <f>IF(OR($G342="F",$F342="E",$F342="M"),0,($AH342*'Model Data Inputs'!$B$156)-$AH342)</f>
        <v>0</v>
      </c>
      <c r="AL342" s="203">
        <f>IF($G342="F",0,IF($M342&lt;'Model Data Inputs'!$B$158,$AH342*('Model Data Inputs'!$B$159-1),0))</f>
        <v>-7.1284455606351924E-2</v>
      </c>
      <c r="AM342" s="202">
        <f>IF($G342="F",0,IF($M342&gt;'Model Data Inputs'!$B$160,$AH342*('Model Data Inputs'!$B$161-1),0))</f>
        <v>0</v>
      </c>
      <c r="AN342" s="202">
        <f>IF($G342="F",0,IF($P342&lt;'Model Data Inputs'!$B$162,SUM($AH342,$AI342,$AJ342,$AK342,$AL342,$AM342)*('Model Data Inputs'!$B$163-1),0))</f>
        <v>0.13544046565206866</v>
      </c>
      <c r="AO342" s="202">
        <f t="shared" si="39"/>
        <v>1.489845122172754</v>
      </c>
      <c r="AP342" s="204">
        <f>$K342*'Model Data Inputs'!$B$166</f>
        <v>88352.900000000009</v>
      </c>
      <c r="AQ342" s="204">
        <f>($K342*'Model Data Inputs'!$B$145)*'Model Data Inputs'!$B$166</f>
        <v>8835.2900000000009</v>
      </c>
      <c r="AR342" s="50">
        <f t="shared" si="40"/>
        <v>97188.19</v>
      </c>
    </row>
    <row r="343" spans="1:44" x14ac:dyDescent="0.2">
      <c r="A343" s="227" t="str">
        <f>'School Level Inst. Resources'!A343</f>
        <v>2104000</v>
      </c>
      <c r="B343" s="227" t="str">
        <f>'School Level Inst. Resources'!B343</f>
        <v>Uinta #4</v>
      </c>
      <c r="C343" s="227" t="str">
        <f>'School Level Inst. Resources'!C343</f>
        <v>2104055</v>
      </c>
      <c r="D343" s="227" t="str">
        <f>'School Level Inst. Resources'!D343</f>
        <v>Mountain View High School</v>
      </c>
      <c r="E343" s="228" t="str">
        <f>'School Level Inst. Resources'!E343</f>
        <v>9-12</v>
      </c>
      <c r="F343" s="229" t="str">
        <f>'School Level Inst. Resources'!H343</f>
        <v>H</v>
      </c>
      <c r="G343" s="229" t="s">
        <v>1158</v>
      </c>
      <c r="H343" s="207">
        <v>164734</v>
      </c>
      <c r="I343" s="207">
        <f>IF('SFD Allowable GSF Calculation'!$D$2=1,'SFD Allowable GSF Calculation'!$P343,'SFD Allowable GSF Calculation'!$X343)</f>
        <v>68738</v>
      </c>
      <c r="J343" s="194">
        <f>$I343*'Model Data Inputs'!$B$165</f>
        <v>79048.7</v>
      </c>
      <c r="K343" s="194">
        <f>IF($L343&gt;='Model Data Inputs'!$B$164,$H343,MIN($H343,$J343))</f>
        <v>79048.7</v>
      </c>
      <c r="L343" s="208">
        <v>1981</v>
      </c>
      <c r="M343" s="196">
        <f>IF($L343&gt;0,'Model Data Inputs'!$B$157-$L343,"")</f>
        <v>36</v>
      </c>
      <c r="N343" s="209">
        <v>39</v>
      </c>
      <c r="O343" s="198">
        <f>'School Level Inst. Resources'!$L343</f>
        <v>230.13499999999999</v>
      </c>
      <c r="P343" s="198">
        <f>IF($G343="T",SUMIFS('School Level ADM'!$S$5:$S$359,'School Level ADM'!$A$5:$A$359,$A343),0)</f>
        <v>835.97699999999998</v>
      </c>
      <c r="Q343" s="199">
        <f t="shared" si="41"/>
        <v>0.27528867420993641</v>
      </c>
      <c r="R343" s="200">
        <f>SUM((('School Level Inst. Resources'!I343/'Model Data Inputs'!$B$8)*(1+'Model Data Inputs'!$B$9)),(SUM('School Level Inst. Resources'!J343:K343)/'Model Data Inputs'!$C$8)*(1+'Model Data Inputs'!$C$9),'School Level Inst. Resources'!K343/400)</f>
        <v>13.913161630434782</v>
      </c>
      <c r="S343" s="200">
        <f t="shared" si="42"/>
        <v>13.913161630434782</v>
      </c>
      <c r="T343" s="201">
        <f>IF($G343="T",VLOOKUP($A343,'Total O &amp; M Resources'!$A$5:$K$52,3),0)</f>
        <v>6771442.4500000011</v>
      </c>
      <c r="U343" s="202">
        <f>IF($G343="F",0,$S343/'Model Data Inputs'!$B$140)</f>
        <v>1.070243202341137</v>
      </c>
      <c r="V343" s="202">
        <f>IF($G343="F",0,$O343/'Model Data Inputs'!$B$141)</f>
        <v>0.70810769230769233</v>
      </c>
      <c r="W343" s="202">
        <f>IF($G343="F",0,$N343/'Model Data Inputs'!$B$142)</f>
        <v>3</v>
      </c>
      <c r="X343" s="202">
        <f>IF($G343="F",0,$K343/'Model Data Inputs'!$B$143)</f>
        <v>4.3915944444444444</v>
      </c>
      <c r="Y343" s="202">
        <f t="shared" si="36"/>
        <v>2.2924863347733186</v>
      </c>
      <c r="Z343" s="202">
        <f>IF(OR($G343="F",$F343="E"),0,'Model Data Inputs'!$B$144)</f>
        <v>0.5</v>
      </c>
      <c r="AA343" s="202">
        <f>IF(AND($O343&lt;='Model Data Inputs'!$B$139,$F343="E"),0,IF(AND($O343&lt;='Model Data Inputs'!$B$139,$F343="M"),0,IF(AND($O343&lt;='Model Data Inputs'!$B$139,$F343="H"),0,IF(SUM($Y343:$Z343)&lt;1,1,SUM($Y343:$Z343)))))</f>
        <v>2.7924863347733186</v>
      </c>
      <c r="AB343" s="202">
        <f>($K343/'Model Data Inputs'!$B$143)*'Model Data Inputs'!$B$145</f>
        <v>0.43915944444444444</v>
      </c>
      <c r="AC343" s="202">
        <f t="shared" si="37"/>
        <v>3.2316457792177631</v>
      </c>
      <c r="AD343" s="202">
        <f>IF($G343="F",0,'Model Data Inputs'!$B$147)</f>
        <v>1.1000000000000001</v>
      </c>
      <c r="AE343" s="202">
        <f>IF($G343="F",0,($K343/'Model Data Inputs'!$B$148)*'Model Data Inputs'!$B$149)</f>
        <v>1.5809739999999999</v>
      </c>
      <c r="AF343" s="202">
        <f>IF($G343="F",0,($O343/'Model Data Inputs'!$B$150)*'Model Data Inputs'!$B$151)</f>
        <v>0.29917549999999998</v>
      </c>
      <c r="AG343" s="202">
        <f>IF($G343="F",0,(($Q343*$T343)/'Model Data Inputs'!$B$152)*'Model Data Inputs'!$B$153)</f>
        <v>0.44738433949185213</v>
      </c>
      <c r="AH343" s="202">
        <f t="shared" si="38"/>
        <v>0.85688345987296299</v>
      </c>
      <c r="AI343" s="203">
        <f>IF(OR($G343="F",$F343="M",$F343="H"),0,($AH343*'Model Data Inputs'!$B$154)-$AH343)</f>
        <v>0</v>
      </c>
      <c r="AJ343" s="202">
        <f>IF(OR($G343="F",$F343="E",$F343="H"),0,($AH343*'Model Data Inputs'!$B$155)-$AH343)</f>
        <v>0</v>
      </c>
      <c r="AK343" s="203">
        <f>IF(OR($G343="F",$F343="E",$F343="M"),0,($AH343*'Model Data Inputs'!$B$156)-$AH343)</f>
        <v>0.85688345987296299</v>
      </c>
      <c r="AL343" s="203">
        <f>IF($G343="F",0,IF($M343&lt;'Model Data Inputs'!$B$158,$AH343*('Model Data Inputs'!$B$159-1),0))</f>
        <v>0</v>
      </c>
      <c r="AM343" s="202">
        <f>IF($G343="F",0,IF($M343&gt;'Model Data Inputs'!$B$160,$AH343*('Model Data Inputs'!$B$161-1),0))</f>
        <v>8.5688345987296369E-2</v>
      </c>
      <c r="AN343" s="202">
        <f>IF($G343="F",0,IF($P343&lt;'Model Data Inputs'!$B$162,SUM($AH343,$AI343,$AJ343,$AK343,$AL343,$AM343)*('Model Data Inputs'!$B$163-1),0))</f>
        <v>0.17994552657332238</v>
      </c>
      <c r="AO343" s="202">
        <f t="shared" si="39"/>
        <v>1.9794007923065446</v>
      </c>
      <c r="AP343" s="204">
        <f>$K343*'Model Data Inputs'!$B$166</f>
        <v>52962.629000000001</v>
      </c>
      <c r="AQ343" s="204">
        <f>($K343*'Model Data Inputs'!$B$145)*'Model Data Inputs'!$B$166</f>
        <v>5296.2629000000006</v>
      </c>
      <c r="AR343" s="50">
        <f t="shared" si="40"/>
        <v>58258.891900000002</v>
      </c>
    </row>
    <row r="344" spans="1:44" x14ac:dyDescent="0.2">
      <c r="A344" s="227" t="str">
        <f>'School Level Inst. Resources'!A344</f>
        <v>2106000</v>
      </c>
      <c r="B344" s="227" t="str">
        <f>'School Level Inst. Resources'!B344</f>
        <v>Uinta #6</v>
      </c>
      <c r="C344" s="227" t="str">
        <f>'School Level Inst. Resources'!C344</f>
        <v>2106002</v>
      </c>
      <c r="D344" s="227" t="str">
        <f>'School Level Inst. Resources'!D344</f>
        <v>Urie Elementary</v>
      </c>
      <c r="E344" s="228" t="str">
        <f>'School Level Inst. Resources'!E344</f>
        <v>K-4</v>
      </c>
      <c r="F344" s="229" t="str">
        <f>'School Level Inst. Resources'!H344</f>
        <v>E</v>
      </c>
      <c r="G344" s="229" t="s">
        <v>1158</v>
      </c>
      <c r="H344" s="207">
        <v>47549</v>
      </c>
      <c r="I344" s="207">
        <f>IF('SFD Allowable GSF Calculation'!$D$2=1,'SFD Allowable GSF Calculation'!$P344,'SFD Allowable GSF Calculation'!$X344)</f>
        <v>43491</v>
      </c>
      <c r="J344" s="194">
        <f>$I344*'Model Data Inputs'!$B$165</f>
        <v>50014.649999999994</v>
      </c>
      <c r="K344" s="194">
        <f>IF($L344&gt;='Model Data Inputs'!$B$164,$H344,MIN($H344,$J344))</f>
        <v>47549</v>
      </c>
      <c r="L344" s="208">
        <v>1982</v>
      </c>
      <c r="M344" s="196">
        <f>IF($L344&gt;0,'Model Data Inputs'!$B$157-$L344,"")</f>
        <v>35</v>
      </c>
      <c r="N344" s="209">
        <v>35</v>
      </c>
      <c r="O344" s="198">
        <f>'School Level Inst. Resources'!$L344</f>
        <v>277.77</v>
      </c>
      <c r="P344" s="198">
        <f>IF($G344="T",SUMIFS('School Level ADM'!$S$5:$S$359,'School Level ADM'!$A$5:$A$359,$A344),0)</f>
        <v>727.91500000000008</v>
      </c>
      <c r="Q344" s="199">
        <f t="shared" si="41"/>
        <v>0.3815967523680649</v>
      </c>
      <c r="R344" s="200">
        <f>SUM((('School Level Inst. Resources'!I344/'Model Data Inputs'!$B$8)*(1+'Model Data Inputs'!$B$9)),(SUM('School Level Inst. Resources'!J344:K344)/'Model Data Inputs'!$C$8)*(1+'Model Data Inputs'!$C$9),'School Level Inst. Resources'!K344/400)</f>
        <v>18.517999999999997</v>
      </c>
      <c r="S344" s="200">
        <f t="shared" si="42"/>
        <v>18.517999999999997</v>
      </c>
      <c r="T344" s="201">
        <f>IF($G344="T",VLOOKUP($A344,'Total O &amp; M Resources'!$A$5:$K$52,3),0)</f>
        <v>7308629.9200000027</v>
      </c>
      <c r="U344" s="202">
        <f>IF($G344="F",0,$S344/'Model Data Inputs'!$B$140)</f>
        <v>1.4244615384615382</v>
      </c>
      <c r="V344" s="202">
        <f>IF($G344="F",0,$O344/'Model Data Inputs'!$B$141)</f>
        <v>0.854676923076923</v>
      </c>
      <c r="W344" s="202">
        <f>IF($G344="F",0,$N344/'Model Data Inputs'!$B$142)</f>
        <v>2.6923076923076925</v>
      </c>
      <c r="X344" s="202">
        <f>IF($G344="F",0,$K344/'Model Data Inputs'!$B$143)</f>
        <v>2.6416111111111111</v>
      </c>
      <c r="Y344" s="202">
        <f t="shared" si="36"/>
        <v>1.9032643162393161</v>
      </c>
      <c r="Z344" s="202">
        <f>IF(OR($G344="F",$F344="E"),0,'Model Data Inputs'!$B$144)</f>
        <v>0</v>
      </c>
      <c r="AA344" s="202">
        <f>IF(AND($O344&lt;='Model Data Inputs'!$B$139,$F344="E"),0,IF(AND($O344&lt;='Model Data Inputs'!$B$139,$F344="M"),0,IF(AND($O344&lt;='Model Data Inputs'!$B$139,$F344="H"),0,IF(SUM($Y344:$Z344)&lt;1,1,SUM($Y344:$Z344)))))</f>
        <v>1.9032643162393161</v>
      </c>
      <c r="AB344" s="202">
        <f>($K344/'Model Data Inputs'!$B$143)*'Model Data Inputs'!$B$145</f>
        <v>0.26416111111111112</v>
      </c>
      <c r="AC344" s="202">
        <f t="shared" si="37"/>
        <v>2.1674254273504272</v>
      </c>
      <c r="AD344" s="202">
        <f>IF($G344="F",0,'Model Data Inputs'!$B$147)</f>
        <v>1.1000000000000001</v>
      </c>
      <c r="AE344" s="202">
        <f>IF($G344="F",0,($K344/'Model Data Inputs'!$B$148)*'Model Data Inputs'!$B$149)</f>
        <v>0.95097999999999994</v>
      </c>
      <c r="AF344" s="202">
        <f>IF($G344="F",0,($O344/'Model Data Inputs'!$B$150)*'Model Data Inputs'!$B$151)</f>
        <v>0.36110099999999995</v>
      </c>
      <c r="AG344" s="202">
        <f>IF($G344="F",0,(($Q344*$T344)/'Model Data Inputs'!$B$152)*'Model Data Inputs'!$B$153)</f>
        <v>0.66934786601569696</v>
      </c>
      <c r="AH344" s="202">
        <f t="shared" si="38"/>
        <v>0.7703572165039243</v>
      </c>
      <c r="AI344" s="203">
        <f>IF(OR($G344="F",$F344="M",$F344="H"),0,($AH344*'Model Data Inputs'!$B$154)-$AH344)</f>
        <v>-0.15407144330078482</v>
      </c>
      <c r="AJ344" s="202">
        <f>IF(OR($G344="F",$F344="E",$F344="H"),0,($AH344*'Model Data Inputs'!$B$155)-$AH344)</f>
        <v>0</v>
      </c>
      <c r="AK344" s="203">
        <f>IF(OR($G344="F",$F344="E",$F344="M"),0,($AH344*'Model Data Inputs'!$B$156)-$AH344)</f>
        <v>0</v>
      </c>
      <c r="AL344" s="203">
        <f>IF($G344="F",0,IF($M344&lt;'Model Data Inputs'!$B$158,$AH344*('Model Data Inputs'!$B$159-1),0))</f>
        <v>0</v>
      </c>
      <c r="AM344" s="202">
        <f>IF($G344="F",0,IF($M344&gt;'Model Data Inputs'!$B$160,$AH344*('Model Data Inputs'!$B$161-1),0))</f>
        <v>7.7035721650392505E-2</v>
      </c>
      <c r="AN344" s="202">
        <f>IF($G344="F",0,IF($P344&lt;'Model Data Inputs'!$B$162,SUM($AH344,$AI344,$AJ344,$AK344,$AL344,$AM344)*('Model Data Inputs'!$B$163-1),0))</f>
        <v>6.9332149485353267E-2</v>
      </c>
      <c r="AO344" s="202">
        <f t="shared" si="39"/>
        <v>0.76265364433888527</v>
      </c>
      <c r="AP344" s="204">
        <f>$K344*'Model Data Inputs'!$B$166</f>
        <v>31857.83</v>
      </c>
      <c r="AQ344" s="204">
        <f>($K344*'Model Data Inputs'!$B$145)*'Model Data Inputs'!$B$166</f>
        <v>3185.7830000000004</v>
      </c>
      <c r="AR344" s="50">
        <f t="shared" si="40"/>
        <v>35043.613000000005</v>
      </c>
    </row>
    <row r="345" spans="1:44" x14ac:dyDescent="0.2">
      <c r="A345" s="227" t="str">
        <f>'School Level Inst. Resources'!A345</f>
        <v>2106000</v>
      </c>
      <c r="B345" s="227" t="str">
        <f>'School Level Inst. Resources'!B345</f>
        <v>Uinta #6</v>
      </c>
      <c r="C345" s="227" t="str">
        <f>'School Level Inst. Resources'!C345</f>
        <v>2106050</v>
      </c>
      <c r="D345" s="227" t="str">
        <f>'School Level Inst. Resources'!D345</f>
        <v>Lyman Intermediate School</v>
      </c>
      <c r="E345" s="228" t="str">
        <f>'School Level Inst. Resources'!E345</f>
        <v>5-8</v>
      </c>
      <c r="F345" s="229" t="str">
        <f>'School Level Inst. Resources'!H345</f>
        <v>M</v>
      </c>
      <c r="G345" s="229" t="s">
        <v>1158</v>
      </c>
      <c r="H345" s="207">
        <v>75953</v>
      </c>
      <c r="I345" s="207">
        <f>IF('SFD Allowable GSF Calculation'!$D$2=1,'SFD Allowable GSF Calculation'!$P345,'SFD Allowable GSF Calculation'!$X345)</f>
        <v>57045</v>
      </c>
      <c r="J345" s="194">
        <f>$I345*'Model Data Inputs'!$B$165</f>
        <v>65601.75</v>
      </c>
      <c r="K345" s="194">
        <f>IF($L345&gt;='Model Data Inputs'!$B$164,$H345,MIN($H345,$J345))</f>
        <v>75953</v>
      </c>
      <c r="L345" s="208">
        <v>2009</v>
      </c>
      <c r="M345" s="196">
        <f>IF($L345&gt;0,'Model Data Inputs'!$B$157-$L345,"")</f>
        <v>8</v>
      </c>
      <c r="N345" s="209">
        <v>45</v>
      </c>
      <c r="O345" s="198">
        <f>'School Level Inst. Resources'!$L345</f>
        <v>234.43</v>
      </c>
      <c r="P345" s="198">
        <f>IF($G345="T",SUMIFS('School Level ADM'!$S$5:$S$359,'School Level ADM'!$A$5:$A$359,$A345),0)</f>
        <v>727.91500000000008</v>
      </c>
      <c r="Q345" s="199">
        <f t="shared" si="41"/>
        <v>0.32205683355886333</v>
      </c>
      <c r="R345" s="200">
        <f>SUM((('School Level Inst. Resources'!I345/'Model Data Inputs'!$B$8)*(1+'Model Data Inputs'!$B$9)),(SUM('School Level Inst. Resources'!J345:K345)/'Model Data Inputs'!$C$8)*(1+'Model Data Inputs'!$C$9),'School Level Inst. Resources'!K345/400)</f>
        <v>13.586747391304348</v>
      </c>
      <c r="S345" s="200">
        <f t="shared" si="42"/>
        <v>13.586747391304348</v>
      </c>
      <c r="T345" s="201">
        <f>IF($G345="T",VLOOKUP($A345,'Total O &amp; M Resources'!$A$5:$K$52,3),0)</f>
        <v>7308629.9200000027</v>
      </c>
      <c r="U345" s="202">
        <f>IF($G345="F",0,$S345/'Model Data Inputs'!$B$140)</f>
        <v>1.0451344147157191</v>
      </c>
      <c r="V345" s="202">
        <f>IF($G345="F",0,$O345/'Model Data Inputs'!$B$141)</f>
        <v>0.72132307692307696</v>
      </c>
      <c r="W345" s="202">
        <f>IF($G345="F",0,$N345/'Model Data Inputs'!$B$142)</f>
        <v>3.4615384615384617</v>
      </c>
      <c r="X345" s="202">
        <f>IF($G345="F",0,$K345/'Model Data Inputs'!$B$143)</f>
        <v>4.219611111111111</v>
      </c>
      <c r="Y345" s="202">
        <f t="shared" si="36"/>
        <v>2.3619017660720925</v>
      </c>
      <c r="Z345" s="202">
        <f>IF(OR($G345="F",$F345="E"),0,'Model Data Inputs'!$B$144)</f>
        <v>0.5</v>
      </c>
      <c r="AA345" s="202">
        <f>IF(AND($O345&lt;='Model Data Inputs'!$B$139,$F345="E"),0,IF(AND($O345&lt;='Model Data Inputs'!$B$139,$F345="M"),0,IF(AND($O345&lt;='Model Data Inputs'!$B$139,$F345="H"),0,IF(SUM($Y345:$Z345)&lt;1,1,SUM($Y345:$Z345)))))</f>
        <v>2.8619017660720925</v>
      </c>
      <c r="AB345" s="202">
        <f>($K345/'Model Data Inputs'!$B$143)*'Model Data Inputs'!$B$145</f>
        <v>0.42196111111111112</v>
      </c>
      <c r="AC345" s="202">
        <f t="shared" si="37"/>
        <v>3.2838628771832035</v>
      </c>
      <c r="AD345" s="202">
        <f>IF($G345="F",0,'Model Data Inputs'!$B$147)</f>
        <v>1.1000000000000001</v>
      </c>
      <c r="AE345" s="202">
        <f>IF($G345="F",0,($K345/'Model Data Inputs'!$B$148)*'Model Data Inputs'!$B$149)</f>
        <v>1.5190599999999999</v>
      </c>
      <c r="AF345" s="202">
        <f>IF($G345="F",0,($O345/'Model Data Inputs'!$B$150)*'Model Data Inputs'!$B$151)</f>
        <v>0.304759</v>
      </c>
      <c r="AG345" s="202">
        <f>IF($G345="F",0,(($Q345*$T345)/'Model Data Inputs'!$B$152)*'Model Data Inputs'!$B$153)</f>
        <v>0.56491061032530465</v>
      </c>
      <c r="AH345" s="202">
        <f t="shared" si="38"/>
        <v>0.87218240258132618</v>
      </c>
      <c r="AI345" s="203">
        <f>IF(OR($G345="F",$F345="M",$F345="H"),0,($AH345*'Model Data Inputs'!$B$154)-$AH345)</f>
        <v>0</v>
      </c>
      <c r="AJ345" s="202">
        <f>IF(OR($G345="F",$F345="E",$F345="H"),0,($AH345*'Model Data Inputs'!$B$155)-$AH345)</f>
        <v>0</v>
      </c>
      <c r="AK345" s="203">
        <f>IF(OR($G345="F",$F345="E",$F345="M"),0,($AH345*'Model Data Inputs'!$B$156)-$AH345)</f>
        <v>0</v>
      </c>
      <c r="AL345" s="203">
        <f>IF($G345="F",0,IF($M345&lt;'Model Data Inputs'!$B$158,$AH345*('Model Data Inputs'!$B$159-1),0))</f>
        <v>-4.3609120129066349E-2</v>
      </c>
      <c r="AM345" s="202">
        <f>IF($G345="F",0,IF($M345&gt;'Model Data Inputs'!$B$160,$AH345*('Model Data Inputs'!$B$161-1),0))</f>
        <v>0</v>
      </c>
      <c r="AN345" s="202">
        <f>IF($G345="F",0,IF($P345&lt;'Model Data Inputs'!$B$162,SUM($AH345,$AI345,$AJ345,$AK345,$AL345,$AM345)*('Model Data Inputs'!$B$163-1),0))</f>
        <v>8.2857328245226056E-2</v>
      </c>
      <c r="AO345" s="202">
        <f t="shared" si="39"/>
        <v>0.91143061069748588</v>
      </c>
      <c r="AP345" s="204">
        <f>$K345*'Model Data Inputs'!$B$166</f>
        <v>50888.51</v>
      </c>
      <c r="AQ345" s="204">
        <f>($K345*'Model Data Inputs'!$B$145)*'Model Data Inputs'!$B$166</f>
        <v>5088.8510000000006</v>
      </c>
      <c r="AR345" s="50">
        <f t="shared" si="40"/>
        <v>55977.361000000004</v>
      </c>
    </row>
    <row r="346" spans="1:44" x14ac:dyDescent="0.2">
      <c r="A346" s="227" t="str">
        <f>'School Level Inst. Resources'!A346</f>
        <v>2106000</v>
      </c>
      <c r="B346" s="227" t="str">
        <f>'School Level Inst. Resources'!B346</f>
        <v>Uinta #6</v>
      </c>
      <c r="C346" s="227" t="str">
        <f>'School Level Inst. Resources'!C346</f>
        <v>2106055</v>
      </c>
      <c r="D346" s="227" t="str">
        <f>'School Level Inst. Resources'!D346</f>
        <v>Lyman High School</v>
      </c>
      <c r="E346" s="228" t="str">
        <f>'School Level Inst. Resources'!E346</f>
        <v>9-12</v>
      </c>
      <c r="F346" s="229" t="str">
        <f>'School Level Inst. Resources'!H346</f>
        <v>H</v>
      </c>
      <c r="G346" s="229" t="s">
        <v>1158</v>
      </c>
      <c r="H346" s="207">
        <v>116318</v>
      </c>
      <c r="I346" s="207">
        <f>IF('SFD Allowable GSF Calculation'!$D$2=1,'SFD Allowable GSF Calculation'!$P346,'SFD Allowable GSF Calculation'!$X346)</f>
        <v>61167</v>
      </c>
      <c r="J346" s="194">
        <f>$I346*'Model Data Inputs'!$B$165</f>
        <v>70342.049999999988</v>
      </c>
      <c r="K346" s="194">
        <f>IF($L346&gt;='Model Data Inputs'!$B$164,$H346,MIN($H346,$J346))</f>
        <v>70342.049999999988</v>
      </c>
      <c r="L346" s="208">
        <v>1984</v>
      </c>
      <c r="M346" s="196">
        <f>IF($L346&gt;0,'Model Data Inputs'!$B$157-$L346,"")</f>
        <v>33</v>
      </c>
      <c r="N346" s="209">
        <v>35</v>
      </c>
      <c r="O346" s="198">
        <f>'School Level Inst. Resources'!$L346</f>
        <v>215.71500000000003</v>
      </c>
      <c r="P346" s="198">
        <f>IF($G346="T",SUMIFS('School Level ADM'!$S$5:$S$359,'School Level ADM'!$A$5:$A$359,$A346),0)</f>
        <v>727.91500000000008</v>
      </c>
      <c r="Q346" s="199">
        <f t="shared" si="41"/>
        <v>0.29634641407307172</v>
      </c>
      <c r="R346" s="200">
        <f>SUM((('School Level Inst. Resources'!I346/'Model Data Inputs'!$B$8)*(1+'Model Data Inputs'!$B$9)),(SUM('School Level Inst. Resources'!J346:K346)/'Model Data Inputs'!$C$8)*(1+'Model Data Inputs'!$C$9),'School Level Inst. Resources'!K346/400)</f>
        <v>13.041378586956522</v>
      </c>
      <c r="S346" s="200">
        <f t="shared" si="42"/>
        <v>13.041378586956522</v>
      </c>
      <c r="T346" s="201">
        <f>IF($G346="T",VLOOKUP($A346,'Total O &amp; M Resources'!$A$5:$K$52,3),0)</f>
        <v>7308629.9200000027</v>
      </c>
      <c r="U346" s="202">
        <f>IF($G346="F",0,$S346/'Model Data Inputs'!$B$140)</f>
        <v>1.0031829682274247</v>
      </c>
      <c r="V346" s="202">
        <f>IF($G346="F",0,$O346/'Model Data Inputs'!$B$141)</f>
        <v>0.66373846153846161</v>
      </c>
      <c r="W346" s="202">
        <f>IF($G346="F",0,$N346/'Model Data Inputs'!$B$142)</f>
        <v>2.6923076923076925</v>
      </c>
      <c r="X346" s="202">
        <f>IF($G346="F",0,$K346/'Model Data Inputs'!$B$143)</f>
        <v>3.9078916666666661</v>
      </c>
      <c r="Y346" s="202">
        <f t="shared" si="36"/>
        <v>2.0667801971850612</v>
      </c>
      <c r="Z346" s="202">
        <f>IF(OR($G346="F",$F346="E"),0,'Model Data Inputs'!$B$144)</f>
        <v>0.5</v>
      </c>
      <c r="AA346" s="202">
        <f>IF(AND($O346&lt;='Model Data Inputs'!$B$139,$F346="E"),0,IF(AND($O346&lt;='Model Data Inputs'!$B$139,$F346="M"),0,IF(AND($O346&lt;='Model Data Inputs'!$B$139,$F346="H"),0,IF(SUM($Y346:$Z346)&lt;1,1,SUM($Y346:$Z346)))))</f>
        <v>2.5667801971850612</v>
      </c>
      <c r="AB346" s="202">
        <f>($K346/'Model Data Inputs'!$B$143)*'Model Data Inputs'!$B$145</f>
        <v>0.39078916666666663</v>
      </c>
      <c r="AC346" s="202">
        <f t="shared" si="37"/>
        <v>2.9575693638517278</v>
      </c>
      <c r="AD346" s="202">
        <f>IF($G346="F",0,'Model Data Inputs'!$B$147)</f>
        <v>1.1000000000000001</v>
      </c>
      <c r="AE346" s="202">
        <f>IF($G346="F",0,($K346/'Model Data Inputs'!$B$148)*'Model Data Inputs'!$B$149)</f>
        <v>1.4068409999999998</v>
      </c>
      <c r="AF346" s="202">
        <f>IF($G346="F",0,($O346/'Model Data Inputs'!$B$150)*'Model Data Inputs'!$B$151)</f>
        <v>0.28042950000000005</v>
      </c>
      <c r="AG346" s="202">
        <f>IF($G346="F",0,(($Q346*$T346)/'Model Data Inputs'!$B$152)*'Model Data Inputs'!$B$153)</f>
        <v>0.51981270445899874</v>
      </c>
      <c r="AH346" s="202">
        <f t="shared" si="38"/>
        <v>0.82677080111474954</v>
      </c>
      <c r="AI346" s="203">
        <f>IF(OR($G346="F",$F346="M",$F346="H"),0,($AH346*'Model Data Inputs'!$B$154)-$AH346)</f>
        <v>0</v>
      </c>
      <c r="AJ346" s="202">
        <f>IF(OR($G346="F",$F346="E",$F346="H"),0,($AH346*'Model Data Inputs'!$B$155)-$AH346)</f>
        <v>0</v>
      </c>
      <c r="AK346" s="203">
        <f>IF(OR($G346="F",$F346="E",$F346="M"),0,($AH346*'Model Data Inputs'!$B$156)-$AH346)</f>
        <v>0.82677080111474954</v>
      </c>
      <c r="AL346" s="203">
        <f>IF($G346="F",0,IF($M346&lt;'Model Data Inputs'!$B$158,$AH346*('Model Data Inputs'!$B$159-1),0))</f>
        <v>0</v>
      </c>
      <c r="AM346" s="202">
        <f>IF($G346="F",0,IF($M346&gt;'Model Data Inputs'!$B$160,$AH346*('Model Data Inputs'!$B$161-1),0))</f>
        <v>8.2677080111475024E-2</v>
      </c>
      <c r="AN346" s="202">
        <f>IF($G346="F",0,IF($P346&lt;'Model Data Inputs'!$B$162,SUM($AH346,$AI346,$AJ346,$AK346,$AL346,$AM346)*('Model Data Inputs'!$B$163-1),0))</f>
        <v>0.17362186823409759</v>
      </c>
      <c r="AO346" s="202">
        <f t="shared" si="39"/>
        <v>1.9098405505750717</v>
      </c>
      <c r="AP346" s="204">
        <f>$K346*'Model Data Inputs'!$B$166</f>
        <v>47129.173499999997</v>
      </c>
      <c r="AQ346" s="204">
        <f>($K346*'Model Data Inputs'!$B$145)*'Model Data Inputs'!$B$166</f>
        <v>4712.9173499999997</v>
      </c>
      <c r="AR346" s="50">
        <f t="shared" si="40"/>
        <v>51842.090849999993</v>
      </c>
    </row>
    <row r="347" spans="1:44" x14ac:dyDescent="0.2">
      <c r="A347" s="227" t="str">
        <f>'School Level Inst. Resources'!A347</f>
        <v>2201000</v>
      </c>
      <c r="B347" s="227" t="str">
        <f>'School Level Inst. Resources'!B347</f>
        <v>Washakie #1</v>
      </c>
      <c r="C347" s="227" t="str">
        <f>'School Level Inst. Resources'!C347</f>
        <v>2201004</v>
      </c>
      <c r="D347" s="227" t="str">
        <f>'School Level Inst. Resources'!D347</f>
        <v>East Side Elementary</v>
      </c>
      <c r="E347" s="228" t="str">
        <f>'School Level Inst. Resources'!E347</f>
        <v>K-1</v>
      </c>
      <c r="F347" s="229" t="str">
        <f>'School Level Inst. Resources'!H347</f>
        <v>E</v>
      </c>
      <c r="G347" s="229" t="s">
        <v>1158</v>
      </c>
      <c r="H347" s="207">
        <v>37039</v>
      </c>
      <c r="I347" s="207">
        <f>IF('SFD Allowable GSF Calculation'!$D$2=1,'SFD Allowable GSF Calculation'!$P347,'SFD Allowable GSF Calculation'!$X347)</f>
        <v>32537</v>
      </c>
      <c r="J347" s="194">
        <f>$I347*'Model Data Inputs'!$B$165</f>
        <v>37417.549999999996</v>
      </c>
      <c r="K347" s="194">
        <f>IF($L347&gt;='Model Data Inputs'!$B$164,$H347,MIN($H347,$J347))</f>
        <v>37039</v>
      </c>
      <c r="L347" s="208">
        <v>1953</v>
      </c>
      <c r="M347" s="196">
        <f>IF($L347&gt;0,'Model Data Inputs'!$B$157-$L347,"")</f>
        <v>64</v>
      </c>
      <c r="N347" s="209">
        <v>25</v>
      </c>
      <c r="O347" s="198">
        <f>'School Level Inst. Resources'!$L347</f>
        <v>190.28300000000002</v>
      </c>
      <c r="P347" s="198">
        <f>IF($G347="T",SUMIFS('School Level ADM'!$S$5:$S$359,'School Level ADM'!$A$5:$A$359,$A347),0)</f>
        <v>1308.692</v>
      </c>
      <c r="Q347" s="199">
        <f t="shared" si="41"/>
        <v>0.14539937586536789</v>
      </c>
      <c r="R347" s="200">
        <f>SUM((('School Level Inst. Resources'!I347/'Model Data Inputs'!$B$8)*(1+'Model Data Inputs'!$B$9)),(SUM('School Level Inst. Resources'!J347:K347)/'Model Data Inputs'!$C$8)*(1+'Model Data Inputs'!$C$9),'School Level Inst. Resources'!K347/400)</f>
        <v>12.685533333333334</v>
      </c>
      <c r="S347" s="200">
        <f t="shared" si="42"/>
        <v>12.685533333333334</v>
      </c>
      <c r="T347" s="201">
        <f>IF($G347="T",VLOOKUP($A347,'Total O &amp; M Resources'!$A$5:$K$52,3),0)</f>
        <v>11632706.17</v>
      </c>
      <c r="U347" s="202">
        <f>IF($G347="F",0,$S347/'Model Data Inputs'!$B$140)</f>
        <v>0.97581025641025643</v>
      </c>
      <c r="V347" s="202">
        <f>IF($G347="F",0,$O347/'Model Data Inputs'!$B$141)</f>
        <v>0.58548615384615388</v>
      </c>
      <c r="W347" s="202">
        <f>IF($G347="F",0,$N347/'Model Data Inputs'!$B$142)</f>
        <v>1.9230769230769231</v>
      </c>
      <c r="X347" s="202">
        <f>IF($G347="F",0,$K347/'Model Data Inputs'!$B$143)</f>
        <v>2.057722222222222</v>
      </c>
      <c r="Y347" s="202">
        <f t="shared" si="36"/>
        <v>1.3855238888888888</v>
      </c>
      <c r="Z347" s="202">
        <f>IF(OR($G347="F",$F347="E"),0,'Model Data Inputs'!$B$144)</f>
        <v>0</v>
      </c>
      <c r="AA347" s="202">
        <f>IF(AND($O347&lt;='Model Data Inputs'!$B$139,$F347="E"),0,IF(AND($O347&lt;='Model Data Inputs'!$B$139,$F347="M"),0,IF(AND($O347&lt;='Model Data Inputs'!$B$139,$F347="H"),0,IF(SUM($Y347:$Z347)&lt;1,1,SUM($Y347:$Z347)))))</f>
        <v>1.3855238888888888</v>
      </c>
      <c r="AB347" s="202">
        <f>($K347/'Model Data Inputs'!$B$143)*'Model Data Inputs'!$B$145</f>
        <v>0.20577222222222222</v>
      </c>
      <c r="AC347" s="202">
        <f t="shared" si="37"/>
        <v>1.591296111111111</v>
      </c>
      <c r="AD347" s="202">
        <f>IF($G347="F",0,'Model Data Inputs'!$B$147)</f>
        <v>1.1000000000000001</v>
      </c>
      <c r="AE347" s="202">
        <f>IF($G347="F",0,($K347/'Model Data Inputs'!$B$148)*'Model Data Inputs'!$B$149)</f>
        <v>0.74077999999999988</v>
      </c>
      <c r="AF347" s="202">
        <f>IF($G347="F",0,($O347/'Model Data Inputs'!$B$150)*'Model Data Inputs'!$B$151)</f>
        <v>0.24736790000000003</v>
      </c>
      <c r="AG347" s="202">
        <f>IF($G347="F",0,(($Q347*$T347)/'Model Data Inputs'!$B$152)*'Model Data Inputs'!$B$153)</f>
        <v>0.40593317201837137</v>
      </c>
      <c r="AH347" s="202">
        <f t="shared" si="38"/>
        <v>0.62352026800459281</v>
      </c>
      <c r="AI347" s="203">
        <f>IF(OR($G347="F",$F347="M",$F347="H"),0,($AH347*'Model Data Inputs'!$B$154)-$AH347)</f>
        <v>-0.12470405360091852</v>
      </c>
      <c r="AJ347" s="202">
        <f>IF(OR($G347="F",$F347="E",$F347="H"),0,($AH347*'Model Data Inputs'!$B$155)-$AH347)</f>
        <v>0</v>
      </c>
      <c r="AK347" s="203">
        <f>IF(OR($G347="F",$F347="E",$F347="M"),0,($AH347*'Model Data Inputs'!$B$156)-$AH347)</f>
        <v>0</v>
      </c>
      <c r="AL347" s="203">
        <f>IF($G347="F",0,IF($M347&lt;'Model Data Inputs'!$B$158,$AH347*('Model Data Inputs'!$B$159-1),0))</f>
        <v>0</v>
      </c>
      <c r="AM347" s="202">
        <f>IF($G347="F",0,IF($M347&gt;'Model Data Inputs'!$B$160,$AH347*('Model Data Inputs'!$B$161-1),0))</f>
        <v>6.2352026800459336E-2</v>
      </c>
      <c r="AN347" s="202">
        <f>IF($G347="F",0,IF($P347&lt;'Model Data Inputs'!$B$162,SUM($AH347,$AI347,$AJ347,$AK347,$AL347,$AM347)*('Model Data Inputs'!$B$163-1),0))</f>
        <v>0</v>
      </c>
      <c r="AO347" s="202">
        <f t="shared" si="39"/>
        <v>0.56116824120413367</v>
      </c>
      <c r="AP347" s="204">
        <f>$K347*'Model Data Inputs'!$B$166</f>
        <v>24816.13</v>
      </c>
      <c r="AQ347" s="204">
        <f>($K347*'Model Data Inputs'!$B$145)*'Model Data Inputs'!$B$166</f>
        <v>2481.6130000000003</v>
      </c>
      <c r="AR347" s="50">
        <f t="shared" si="40"/>
        <v>27297.743000000002</v>
      </c>
    </row>
    <row r="348" spans="1:44" x14ac:dyDescent="0.2">
      <c r="A348" s="227" t="str">
        <f>'School Level Inst. Resources'!A348</f>
        <v>2201000</v>
      </c>
      <c r="B348" s="227" t="str">
        <f>'School Level Inst. Resources'!B348</f>
        <v>Washakie #1</v>
      </c>
      <c r="C348" s="227" t="str">
        <f>'School Level Inst. Resources'!C348</f>
        <v>2201005</v>
      </c>
      <c r="D348" s="227" t="str">
        <f>'School Level Inst. Resources'!D348</f>
        <v>South Side Elementary</v>
      </c>
      <c r="E348" s="228" t="str">
        <f>'School Level Inst. Resources'!E348</f>
        <v>2-3</v>
      </c>
      <c r="F348" s="229" t="str">
        <f>'School Level Inst. Resources'!H348</f>
        <v>E</v>
      </c>
      <c r="G348" s="229" t="s">
        <v>1158</v>
      </c>
      <c r="H348" s="207">
        <v>26678</v>
      </c>
      <c r="I348" s="207">
        <f>IF('SFD Allowable GSF Calculation'!$D$2=1,'SFD Allowable GSF Calculation'!$P348,'SFD Allowable GSF Calculation'!$X348)</f>
        <v>29112</v>
      </c>
      <c r="J348" s="194">
        <f>$I348*'Model Data Inputs'!$B$165</f>
        <v>33478.799999999996</v>
      </c>
      <c r="K348" s="194">
        <f>IF($L348&gt;='Model Data Inputs'!$B$164,$H348,MIN($H348,$J348))</f>
        <v>26678</v>
      </c>
      <c r="L348" s="208">
        <v>1952</v>
      </c>
      <c r="M348" s="196">
        <f>IF($L348&gt;0,'Model Data Inputs'!$B$157-$L348,"")</f>
        <v>65</v>
      </c>
      <c r="N348" s="209">
        <v>20</v>
      </c>
      <c r="O348" s="198">
        <f>'School Level Inst. Resources'!$L348</f>
        <v>179.23366666666669</v>
      </c>
      <c r="P348" s="198">
        <f>IF($G348="T",SUMIFS('School Level ADM'!$S$5:$S$359,'School Level ADM'!$A$5:$A$359,$A348),0)</f>
        <v>1308.692</v>
      </c>
      <c r="Q348" s="199">
        <f t="shared" si="41"/>
        <v>0.13695634012179084</v>
      </c>
      <c r="R348" s="200">
        <f>SUM((('School Level Inst. Resources'!I348/'Model Data Inputs'!$B$8)*(1+'Model Data Inputs'!$B$9)),(SUM('School Level Inst. Resources'!J348:K348)/'Model Data Inputs'!$C$8)*(1+'Model Data Inputs'!$C$9),'School Level Inst. Resources'!K348/400)</f>
        <v>11.948911111111112</v>
      </c>
      <c r="S348" s="200">
        <f t="shared" si="42"/>
        <v>11.948911111111112</v>
      </c>
      <c r="T348" s="201">
        <f>IF($G348="T",VLOOKUP($A348,'Total O &amp; M Resources'!$A$5:$K$52,3),0)</f>
        <v>11632706.17</v>
      </c>
      <c r="U348" s="202">
        <f>IF($G348="F",0,$S348/'Model Data Inputs'!$B$140)</f>
        <v>0.91914700854700859</v>
      </c>
      <c r="V348" s="202">
        <f>IF($G348="F",0,$O348/'Model Data Inputs'!$B$141)</f>
        <v>0.55148820512820518</v>
      </c>
      <c r="W348" s="202">
        <f>IF($G348="F",0,$N348/'Model Data Inputs'!$B$142)</f>
        <v>1.5384615384615385</v>
      </c>
      <c r="X348" s="202">
        <f>IF($G348="F",0,$K348/'Model Data Inputs'!$B$143)</f>
        <v>1.4821111111111112</v>
      </c>
      <c r="Y348" s="202">
        <f t="shared" si="36"/>
        <v>1.1228019658119659</v>
      </c>
      <c r="Z348" s="202">
        <f>IF(OR($G348="F",$F348="E"),0,'Model Data Inputs'!$B$144)</f>
        <v>0</v>
      </c>
      <c r="AA348" s="202">
        <f>IF(AND($O348&lt;='Model Data Inputs'!$B$139,$F348="E"),0,IF(AND($O348&lt;='Model Data Inputs'!$B$139,$F348="M"),0,IF(AND($O348&lt;='Model Data Inputs'!$B$139,$F348="H"),0,IF(SUM($Y348:$Z348)&lt;1,1,SUM($Y348:$Z348)))))</f>
        <v>1.1228019658119659</v>
      </c>
      <c r="AB348" s="202">
        <f>($K348/'Model Data Inputs'!$B$143)*'Model Data Inputs'!$B$145</f>
        <v>0.14821111111111113</v>
      </c>
      <c r="AC348" s="202">
        <f t="shared" si="37"/>
        <v>1.271013076923077</v>
      </c>
      <c r="AD348" s="202">
        <f>IF($G348="F",0,'Model Data Inputs'!$B$147)</f>
        <v>1.1000000000000001</v>
      </c>
      <c r="AE348" s="202">
        <f>IF($G348="F",0,($K348/'Model Data Inputs'!$B$148)*'Model Data Inputs'!$B$149)</f>
        <v>0.53355999999999992</v>
      </c>
      <c r="AF348" s="202">
        <f>IF($G348="F",0,($O348/'Model Data Inputs'!$B$150)*'Model Data Inputs'!$B$151)</f>
        <v>0.2330037666666667</v>
      </c>
      <c r="AG348" s="202">
        <f>IF($G348="F",0,(($Q348*$T348)/'Model Data Inputs'!$B$152)*'Model Data Inputs'!$B$153)</f>
        <v>0.38236148706128997</v>
      </c>
      <c r="AH348" s="202">
        <f t="shared" si="38"/>
        <v>0.56223131343198918</v>
      </c>
      <c r="AI348" s="203">
        <f>IF(OR($G348="F",$F348="M",$F348="H"),0,($AH348*'Model Data Inputs'!$B$154)-$AH348)</f>
        <v>-0.11244626268639779</v>
      </c>
      <c r="AJ348" s="202">
        <f>IF(OR($G348="F",$F348="E",$F348="H"),0,($AH348*'Model Data Inputs'!$B$155)-$AH348)</f>
        <v>0</v>
      </c>
      <c r="AK348" s="203">
        <f>IF(OR($G348="F",$F348="E",$F348="M"),0,($AH348*'Model Data Inputs'!$B$156)-$AH348)</f>
        <v>0</v>
      </c>
      <c r="AL348" s="203">
        <f>IF($G348="F",0,IF($M348&lt;'Model Data Inputs'!$B$158,$AH348*('Model Data Inputs'!$B$159-1),0))</f>
        <v>0</v>
      </c>
      <c r="AM348" s="202">
        <f>IF($G348="F",0,IF($M348&gt;'Model Data Inputs'!$B$160,$AH348*('Model Data Inputs'!$B$161-1),0))</f>
        <v>5.6223131343198965E-2</v>
      </c>
      <c r="AN348" s="202">
        <f>IF($G348="F",0,IF($P348&lt;'Model Data Inputs'!$B$162,SUM($AH348,$AI348,$AJ348,$AK348,$AL348,$AM348)*('Model Data Inputs'!$B$163-1),0))</f>
        <v>0</v>
      </c>
      <c r="AO348" s="202">
        <f t="shared" si="39"/>
        <v>0.50600818208879039</v>
      </c>
      <c r="AP348" s="204">
        <f>$K348*'Model Data Inputs'!$B$166</f>
        <v>17874.260000000002</v>
      </c>
      <c r="AQ348" s="204">
        <f>($K348*'Model Data Inputs'!$B$145)*'Model Data Inputs'!$B$166</f>
        <v>1787.4260000000002</v>
      </c>
      <c r="AR348" s="50">
        <f t="shared" si="40"/>
        <v>19661.686000000002</v>
      </c>
    </row>
    <row r="349" spans="1:44" x14ac:dyDescent="0.2">
      <c r="A349" s="227" t="str">
        <f>'School Level Inst. Resources'!A349</f>
        <v>2201000</v>
      </c>
      <c r="B349" s="227" t="str">
        <f>'School Level Inst. Resources'!B349</f>
        <v>Washakie #1</v>
      </c>
      <c r="C349" s="227" t="str">
        <f>'School Level Inst. Resources'!C349</f>
        <v>2201006</v>
      </c>
      <c r="D349" s="227" t="str">
        <f>'School Level Inst. Resources'!D349</f>
        <v>West Side Elementary</v>
      </c>
      <c r="E349" s="228" t="str">
        <f>'School Level Inst. Resources'!E349</f>
        <v>4-5</v>
      </c>
      <c r="F349" s="229" t="str">
        <f>'School Level Inst. Resources'!H349</f>
        <v>E</v>
      </c>
      <c r="G349" s="229" t="s">
        <v>1158</v>
      </c>
      <c r="H349" s="207">
        <v>38352</v>
      </c>
      <c r="I349" s="207">
        <f>IF('SFD Allowable GSF Calculation'!$D$2=1,'SFD Allowable GSF Calculation'!$P349,'SFD Allowable GSF Calculation'!$X349)</f>
        <v>36145</v>
      </c>
      <c r="J349" s="194">
        <f>$I349*'Model Data Inputs'!$B$165</f>
        <v>41566.75</v>
      </c>
      <c r="K349" s="194">
        <f>IF($L349&gt;='Model Data Inputs'!$B$164,$H349,MIN($H349,$J349))</f>
        <v>38352</v>
      </c>
      <c r="L349" s="208">
        <v>1961</v>
      </c>
      <c r="M349" s="196">
        <f>IF($L349&gt;0,'Model Data Inputs'!$B$157-$L349,"")</f>
        <v>56</v>
      </c>
      <c r="N349" s="209">
        <v>25</v>
      </c>
      <c r="O349" s="198">
        <f>'School Level Inst. Resources'!$L349</f>
        <v>218.02300000000002</v>
      </c>
      <c r="P349" s="198">
        <f>IF($G349="T",SUMIFS('School Level ADM'!$S$5:$S$359,'School Level ADM'!$A$5:$A$359,$A349),0)</f>
        <v>1308.692</v>
      </c>
      <c r="Q349" s="199">
        <f t="shared" si="41"/>
        <v>0.16659611275991604</v>
      </c>
      <c r="R349" s="200">
        <f>SUM((('School Level Inst. Resources'!I349/'Model Data Inputs'!$B$8)*(1+'Model Data Inputs'!$B$9)),(SUM('School Level Inst. Resources'!J349:K349)/'Model Data Inputs'!$C$8)*(1+'Model Data Inputs'!$C$9),'School Level Inst. Resources'!K349/400)</f>
        <v>14.534866666666668</v>
      </c>
      <c r="S349" s="200">
        <f t="shared" si="42"/>
        <v>14.534866666666668</v>
      </c>
      <c r="T349" s="201">
        <f>IF($G349="T",VLOOKUP($A349,'Total O &amp; M Resources'!$A$5:$K$52,3),0)</f>
        <v>11632706.17</v>
      </c>
      <c r="U349" s="202">
        <f>IF($G349="F",0,$S349/'Model Data Inputs'!$B$140)</f>
        <v>1.1180666666666668</v>
      </c>
      <c r="V349" s="202">
        <f>IF($G349="F",0,$O349/'Model Data Inputs'!$B$141)</f>
        <v>0.6708400000000001</v>
      </c>
      <c r="W349" s="202">
        <f>IF($G349="F",0,$N349/'Model Data Inputs'!$B$142)</f>
        <v>1.9230769230769231</v>
      </c>
      <c r="X349" s="202">
        <f>IF($G349="F",0,$K349/'Model Data Inputs'!$B$143)</f>
        <v>2.1306666666666665</v>
      </c>
      <c r="Y349" s="202">
        <f t="shared" si="36"/>
        <v>1.4606625641025641</v>
      </c>
      <c r="Z349" s="202">
        <f>IF(OR($G349="F",$F349="E"),0,'Model Data Inputs'!$B$144)</f>
        <v>0</v>
      </c>
      <c r="AA349" s="202">
        <f>IF(AND($O349&lt;='Model Data Inputs'!$B$139,$F349="E"),0,IF(AND($O349&lt;='Model Data Inputs'!$B$139,$F349="M"),0,IF(AND($O349&lt;='Model Data Inputs'!$B$139,$F349="H"),0,IF(SUM($Y349:$Z349)&lt;1,1,SUM($Y349:$Z349)))))</f>
        <v>1.4606625641025641</v>
      </c>
      <c r="AB349" s="202">
        <f>($K349/'Model Data Inputs'!$B$143)*'Model Data Inputs'!$B$145</f>
        <v>0.21306666666666665</v>
      </c>
      <c r="AC349" s="202">
        <f t="shared" si="37"/>
        <v>1.6737292307692309</v>
      </c>
      <c r="AD349" s="202">
        <f>IF($G349="F",0,'Model Data Inputs'!$B$147)</f>
        <v>1.1000000000000001</v>
      </c>
      <c r="AE349" s="202">
        <f>IF($G349="F",0,($K349/'Model Data Inputs'!$B$148)*'Model Data Inputs'!$B$149)</f>
        <v>0.76703999999999994</v>
      </c>
      <c r="AF349" s="202">
        <f>IF($G349="F",0,($O349/'Model Data Inputs'!$B$150)*'Model Data Inputs'!$B$151)</f>
        <v>0.28342990000000001</v>
      </c>
      <c r="AG349" s="202">
        <f>IF($G349="F",0,(($Q349*$T349)/'Model Data Inputs'!$B$152)*'Model Data Inputs'!$B$153)</f>
        <v>0.46511127091206983</v>
      </c>
      <c r="AH349" s="202">
        <f t="shared" si="38"/>
        <v>0.6538952927280175</v>
      </c>
      <c r="AI349" s="203">
        <f>IF(OR($G349="F",$F349="M",$F349="H"),0,($AH349*'Model Data Inputs'!$B$154)-$AH349)</f>
        <v>-0.13077905854560345</v>
      </c>
      <c r="AJ349" s="202">
        <f>IF(OR($G349="F",$F349="E",$F349="H"),0,($AH349*'Model Data Inputs'!$B$155)-$AH349)</f>
        <v>0</v>
      </c>
      <c r="AK349" s="203">
        <f>IF(OR($G349="F",$F349="E",$F349="M"),0,($AH349*'Model Data Inputs'!$B$156)-$AH349)</f>
        <v>0</v>
      </c>
      <c r="AL349" s="203">
        <f>IF($G349="F",0,IF($M349&lt;'Model Data Inputs'!$B$158,$AH349*('Model Data Inputs'!$B$159-1),0))</f>
        <v>0</v>
      </c>
      <c r="AM349" s="202">
        <f>IF($G349="F",0,IF($M349&gt;'Model Data Inputs'!$B$160,$AH349*('Model Data Inputs'!$B$161-1),0))</f>
        <v>6.5389529272801811E-2</v>
      </c>
      <c r="AN349" s="202">
        <f>IF($G349="F",0,IF($P349&lt;'Model Data Inputs'!$B$162,SUM($AH349,$AI349,$AJ349,$AK349,$AL349,$AM349)*('Model Data Inputs'!$B$163-1),0))</f>
        <v>0</v>
      </c>
      <c r="AO349" s="202">
        <f t="shared" si="39"/>
        <v>0.58850576345521588</v>
      </c>
      <c r="AP349" s="204">
        <f>$K349*'Model Data Inputs'!$B$166</f>
        <v>25695.84</v>
      </c>
      <c r="AQ349" s="204">
        <f>($K349*'Model Data Inputs'!$B$145)*'Model Data Inputs'!$B$166</f>
        <v>2569.5840000000003</v>
      </c>
      <c r="AR349" s="50">
        <f t="shared" si="40"/>
        <v>28265.423999999999</v>
      </c>
    </row>
    <row r="350" spans="1:44" x14ac:dyDescent="0.2">
      <c r="A350" s="227" t="str">
        <f>'School Level Inst. Resources'!A350</f>
        <v>2201000</v>
      </c>
      <c r="B350" s="227" t="str">
        <f>'School Level Inst. Resources'!B350</f>
        <v>Washakie #1</v>
      </c>
      <c r="C350" s="227" t="str">
        <f>'School Level Inst. Resources'!C350</f>
        <v>2201050</v>
      </c>
      <c r="D350" s="227" t="str">
        <f>'School Level Inst. Resources'!D350</f>
        <v>Worland Middle School</v>
      </c>
      <c r="E350" s="228" t="str">
        <f>'School Level Inst. Resources'!E350</f>
        <v>6-8</v>
      </c>
      <c r="F350" s="229" t="str">
        <f>'School Level Inst. Resources'!H350</f>
        <v>M</v>
      </c>
      <c r="G350" s="229" t="s">
        <v>1158</v>
      </c>
      <c r="H350" s="207">
        <v>84013</v>
      </c>
      <c r="I350" s="207">
        <f>IF('SFD Allowable GSF Calculation'!$D$2=1,'SFD Allowable GSF Calculation'!$P350,'SFD Allowable GSF Calculation'!$X350)</f>
        <v>66327</v>
      </c>
      <c r="J350" s="194">
        <f>$I350*'Model Data Inputs'!$B$165</f>
        <v>76276.049999999988</v>
      </c>
      <c r="K350" s="194">
        <f>IF($L350&gt;='Model Data Inputs'!$B$164,$H350,MIN($H350,$J350))</f>
        <v>84013</v>
      </c>
      <c r="L350" s="208">
        <v>2004</v>
      </c>
      <c r="M350" s="196">
        <f>IF($L350&gt;0,'Model Data Inputs'!$B$157-$L350,"")</f>
        <v>13</v>
      </c>
      <c r="N350" s="209">
        <v>28</v>
      </c>
      <c r="O350" s="198">
        <f>'School Level Inst. Resources'!$L350</f>
        <v>329.89</v>
      </c>
      <c r="P350" s="198">
        <f>IF($G350="T",SUMIFS('School Level ADM'!$S$5:$S$359,'School Level ADM'!$A$5:$A$359,$A350),0)</f>
        <v>1308.692</v>
      </c>
      <c r="Q350" s="199">
        <f t="shared" si="41"/>
        <v>0.25207611875063041</v>
      </c>
      <c r="R350" s="200">
        <f>SUM((('School Level Inst. Resources'!I350/'Model Data Inputs'!$B$8)*(1+'Model Data Inputs'!$B$9)),(SUM('School Level Inst. Resources'!J350:K350)/'Model Data Inputs'!$C$8)*(1+'Model Data Inputs'!$C$9),'School Level Inst. Resources'!K350/400)</f>
        <v>19.119276956521738</v>
      </c>
      <c r="S350" s="200">
        <f t="shared" si="42"/>
        <v>19.119276956521738</v>
      </c>
      <c r="T350" s="201">
        <f>IF($G350="T",VLOOKUP($A350,'Total O &amp; M Resources'!$A$5:$K$52,3),0)</f>
        <v>11632706.17</v>
      </c>
      <c r="U350" s="202">
        <f>IF($G350="F",0,$S350/'Model Data Inputs'!$B$140)</f>
        <v>1.4707136120401336</v>
      </c>
      <c r="V350" s="202">
        <f>IF($G350="F",0,$O350/'Model Data Inputs'!$B$141)</f>
        <v>1.0150461538461537</v>
      </c>
      <c r="W350" s="202">
        <f>IF($G350="F",0,$N350/'Model Data Inputs'!$B$142)</f>
        <v>2.1538461538461537</v>
      </c>
      <c r="X350" s="202">
        <f>IF($G350="F",0,$K350/'Model Data Inputs'!$B$143)</f>
        <v>4.6673888888888886</v>
      </c>
      <c r="Y350" s="202">
        <f t="shared" si="36"/>
        <v>2.3267487021553324</v>
      </c>
      <c r="Z350" s="202">
        <f>IF(OR($G350="F",$F350="E"),0,'Model Data Inputs'!$B$144)</f>
        <v>0.5</v>
      </c>
      <c r="AA350" s="202">
        <f>IF(AND($O350&lt;='Model Data Inputs'!$B$139,$F350="E"),0,IF(AND($O350&lt;='Model Data Inputs'!$B$139,$F350="M"),0,IF(AND($O350&lt;='Model Data Inputs'!$B$139,$F350="H"),0,IF(SUM($Y350:$Z350)&lt;1,1,SUM($Y350:$Z350)))))</f>
        <v>2.8267487021553324</v>
      </c>
      <c r="AB350" s="202">
        <f>($K350/'Model Data Inputs'!$B$143)*'Model Data Inputs'!$B$145</f>
        <v>0.46673888888888887</v>
      </c>
      <c r="AC350" s="202">
        <f t="shared" si="37"/>
        <v>3.2934875910442214</v>
      </c>
      <c r="AD350" s="202">
        <f>IF($G350="F",0,'Model Data Inputs'!$B$147)</f>
        <v>1.1000000000000001</v>
      </c>
      <c r="AE350" s="202">
        <f>IF($G350="F",0,($K350/'Model Data Inputs'!$B$148)*'Model Data Inputs'!$B$149)</f>
        <v>1.6802599999999999</v>
      </c>
      <c r="AF350" s="202">
        <f>IF($G350="F",0,($O350/'Model Data Inputs'!$B$150)*'Model Data Inputs'!$B$151)</f>
        <v>0.42885699999999999</v>
      </c>
      <c r="AG350" s="202">
        <f>IF($G350="F",0,(($Q350*$T350)/'Model Data Inputs'!$B$152)*'Model Data Inputs'!$B$153)</f>
        <v>0.70375858125602653</v>
      </c>
      <c r="AH350" s="202">
        <f t="shared" si="38"/>
        <v>0.97821889531400663</v>
      </c>
      <c r="AI350" s="203">
        <f>IF(OR($G350="F",$F350="M",$F350="H"),0,($AH350*'Model Data Inputs'!$B$154)-$AH350)</f>
        <v>0</v>
      </c>
      <c r="AJ350" s="202">
        <f>IF(OR($G350="F",$F350="E",$F350="H"),0,($AH350*'Model Data Inputs'!$B$155)-$AH350)</f>
        <v>0</v>
      </c>
      <c r="AK350" s="203">
        <f>IF(OR($G350="F",$F350="E",$F350="M"),0,($AH350*'Model Data Inputs'!$B$156)-$AH350)</f>
        <v>0</v>
      </c>
      <c r="AL350" s="203">
        <f>IF($G350="F",0,IF($M350&lt;'Model Data Inputs'!$B$158,$AH350*('Model Data Inputs'!$B$159-1),0))</f>
        <v>0</v>
      </c>
      <c r="AM350" s="202">
        <f>IF($G350="F",0,IF($M350&gt;'Model Data Inputs'!$B$160,$AH350*('Model Data Inputs'!$B$161-1),0))</f>
        <v>0</v>
      </c>
      <c r="AN350" s="202">
        <f>IF($G350="F",0,IF($P350&lt;'Model Data Inputs'!$B$162,SUM($AH350,$AI350,$AJ350,$AK350,$AL350,$AM350)*('Model Data Inputs'!$B$163-1),0))</f>
        <v>0</v>
      </c>
      <c r="AO350" s="202">
        <f t="shared" si="39"/>
        <v>0.97821889531400663</v>
      </c>
      <c r="AP350" s="204">
        <f>$K350*'Model Data Inputs'!$B$166</f>
        <v>56288.710000000006</v>
      </c>
      <c r="AQ350" s="204">
        <f>($K350*'Model Data Inputs'!$B$145)*'Model Data Inputs'!$B$166</f>
        <v>5628.871000000001</v>
      </c>
      <c r="AR350" s="50">
        <f t="shared" si="40"/>
        <v>61917.581000000006</v>
      </c>
    </row>
    <row r="351" spans="1:44" x14ac:dyDescent="0.2">
      <c r="A351" s="227" t="str">
        <f>'School Level Inst. Resources'!A351</f>
        <v>2201000</v>
      </c>
      <c r="B351" s="227" t="str">
        <f>'School Level Inst. Resources'!B351</f>
        <v>Washakie #1</v>
      </c>
      <c r="C351" s="227" t="str">
        <f>'School Level Inst. Resources'!C351</f>
        <v>2201055</v>
      </c>
      <c r="D351" s="227" t="str">
        <f>'School Level Inst. Resources'!D351</f>
        <v>Worland High School</v>
      </c>
      <c r="E351" s="228" t="str">
        <f>'School Level Inst. Resources'!E351</f>
        <v>9-12</v>
      </c>
      <c r="F351" s="229" t="str">
        <f>'School Level Inst. Resources'!H351</f>
        <v>H</v>
      </c>
      <c r="G351" s="229" t="s">
        <v>1158</v>
      </c>
      <c r="H351" s="207">
        <v>173547</v>
      </c>
      <c r="I351" s="207">
        <f>IF('SFD Allowable GSF Calculation'!$D$2=1,'SFD Allowable GSF Calculation'!$P351,'SFD Allowable GSF Calculation'!$X351)</f>
        <v>93328</v>
      </c>
      <c r="J351" s="194">
        <f>$I351*'Model Data Inputs'!$B$165</f>
        <v>107327.2</v>
      </c>
      <c r="K351" s="194">
        <f>IF($L351&gt;='Model Data Inputs'!$B$164,$H351,MIN($H351,$J351))</f>
        <v>107327.2</v>
      </c>
      <c r="L351" s="208">
        <v>1965</v>
      </c>
      <c r="M351" s="196">
        <f>IF($L351&gt;0,'Model Data Inputs'!$B$157-$L351,"")</f>
        <v>52</v>
      </c>
      <c r="N351" s="209">
        <v>40</v>
      </c>
      <c r="O351" s="198">
        <f>'School Level Inst. Resources'!$L351</f>
        <v>391.26233333333329</v>
      </c>
      <c r="P351" s="198">
        <f>IF($G351="T",SUMIFS('School Level ADM'!$S$5:$S$359,'School Level ADM'!$A$5:$A$359,$A351),0)</f>
        <v>1308.692</v>
      </c>
      <c r="Q351" s="199">
        <f t="shared" si="41"/>
        <v>0.29897205250229486</v>
      </c>
      <c r="R351" s="200">
        <f>SUM((('School Level Inst. Resources'!I351/'Model Data Inputs'!$B$8)*(1+'Model Data Inputs'!$B$9)),(SUM('School Level Inst. Resources'!J351:K351)/'Model Data Inputs'!$C$8)*(1+'Model Data Inputs'!$C$9),'School Level Inst. Resources'!K351/400)</f>
        <v>23.654359760869561</v>
      </c>
      <c r="S351" s="200">
        <f t="shared" si="42"/>
        <v>23.654359760869561</v>
      </c>
      <c r="T351" s="201">
        <f>IF($G351="T",VLOOKUP($A351,'Total O &amp; M Resources'!$A$5:$K$52,3),0)</f>
        <v>11632706.17</v>
      </c>
      <c r="U351" s="202">
        <f>IF($G351="F",0,$S351/'Model Data Inputs'!$B$140)</f>
        <v>1.8195661354515047</v>
      </c>
      <c r="V351" s="202">
        <f>IF($G351="F",0,$O351/'Model Data Inputs'!$B$141)</f>
        <v>1.2038841025641025</v>
      </c>
      <c r="W351" s="202">
        <f>IF($G351="F",0,$N351/'Model Data Inputs'!$B$142)</f>
        <v>3.0769230769230771</v>
      </c>
      <c r="X351" s="202">
        <f>IF($G351="F",0,$K351/'Model Data Inputs'!$B$143)</f>
        <v>5.9626222222222225</v>
      </c>
      <c r="Y351" s="202">
        <f t="shared" si="36"/>
        <v>3.0157488842902267</v>
      </c>
      <c r="Z351" s="202">
        <f>IF(OR($G351="F",$F351="E"),0,'Model Data Inputs'!$B$144)</f>
        <v>0.5</v>
      </c>
      <c r="AA351" s="202">
        <f>IF(AND($O351&lt;='Model Data Inputs'!$B$139,$F351="E"),0,IF(AND($O351&lt;='Model Data Inputs'!$B$139,$F351="M"),0,IF(AND($O351&lt;='Model Data Inputs'!$B$139,$F351="H"),0,IF(SUM($Y351:$Z351)&lt;1,1,SUM($Y351:$Z351)))))</f>
        <v>3.5157488842902267</v>
      </c>
      <c r="AB351" s="202">
        <f>($K351/'Model Data Inputs'!$B$143)*'Model Data Inputs'!$B$145</f>
        <v>0.59626222222222225</v>
      </c>
      <c r="AC351" s="202">
        <f t="shared" si="37"/>
        <v>4.1120111065124494</v>
      </c>
      <c r="AD351" s="202">
        <f>IF($G351="F",0,'Model Data Inputs'!$B$147)</f>
        <v>1.1000000000000001</v>
      </c>
      <c r="AE351" s="202">
        <f>IF($G351="F",0,($K351/'Model Data Inputs'!$B$148)*'Model Data Inputs'!$B$149)</f>
        <v>2.1465439999999996</v>
      </c>
      <c r="AF351" s="202">
        <f>IF($G351="F",0,($O351/'Model Data Inputs'!$B$150)*'Model Data Inputs'!$B$151)</f>
        <v>0.50864103333333321</v>
      </c>
      <c r="AG351" s="202">
        <f>IF($G351="F",0,(($Q351*$T351)/'Model Data Inputs'!$B$152)*'Model Data Inputs'!$B$153)</f>
        <v>0.83468496955224225</v>
      </c>
      <c r="AH351" s="202">
        <f t="shared" si="38"/>
        <v>1.1474675007213939</v>
      </c>
      <c r="AI351" s="203">
        <f>IF(OR($G351="F",$F351="M",$F351="H"),0,($AH351*'Model Data Inputs'!$B$154)-$AH351)</f>
        <v>0</v>
      </c>
      <c r="AJ351" s="202">
        <f>IF(OR($G351="F",$F351="E",$F351="H"),0,($AH351*'Model Data Inputs'!$B$155)-$AH351)</f>
        <v>0</v>
      </c>
      <c r="AK351" s="203">
        <f>IF(OR($G351="F",$F351="E",$F351="M"),0,($AH351*'Model Data Inputs'!$B$156)-$AH351)</f>
        <v>1.1474675007213939</v>
      </c>
      <c r="AL351" s="203">
        <f>IF($G351="F",0,IF($M351&lt;'Model Data Inputs'!$B$158,$AH351*('Model Data Inputs'!$B$159-1),0))</f>
        <v>0</v>
      </c>
      <c r="AM351" s="202">
        <f>IF($G351="F",0,IF($M351&gt;'Model Data Inputs'!$B$160,$AH351*('Model Data Inputs'!$B$161-1),0))</f>
        <v>0.1147467500721395</v>
      </c>
      <c r="AN351" s="202">
        <f>IF($G351="F",0,IF($P351&lt;'Model Data Inputs'!$B$162,SUM($AH351,$AI351,$AJ351,$AK351,$AL351,$AM351)*('Model Data Inputs'!$B$163-1),0))</f>
        <v>0</v>
      </c>
      <c r="AO351" s="202">
        <f t="shared" si="39"/>
        <v>2.4096817515149271</v>
      </c>
      <c r="AP351" s="204">
        <f>$K351*'Model Data Inputs'!$B$166</f>
        <v>71909.224000000002</v>
      </c>
      <c r="AQ351" s="204">
        <f>($K351*'Model Data Inputs'!$B$145)*'Model Data Inputs'!$B$166</f>
        <v>7190.9224000000013</v>
      </c>
      <c r="AR351" s="50">
        <f t="shared" si="40"/>
        <v>79100.146399999998</v>
      </c>
    </row>
    <row r="352" spans="1:44" x14ac:dyDescent="0.2">
      <c r="A352" s="227" t="str">
        <f>'School Level Inst. Resources'!A352</f>
        <v>2202000</v>
      </c>
      <c r="B352" s="227" t="str">
        <f>'School Level Inst. Resources'!B352</f>
        <v>Washakie #2</v>
      </c>
      <c r="C352" s="227" t="str">
        <f>'School Level Inst. Resources'!C352</f>
        <v>2202049</v>
      </c>
      <c r="D352" s="227" t="str">
        <f>'School Level Inst. Resources'!D352</f>
        <v>Ten Sleep K-12</v>
      </c>
      <c r="E352" s="228" t="str">
        <f>'School Level Inst. Resources'!E352</f>
        <v>K-12</v>
      </c>
      <c r="F352" s="229" t="str">
        <f>'School Level Inst. Resources'!H352</f>
        <v>H</v>
      </c>
      <c r="G352" s="229" t="s">
        <v>1158</v>
      </c>
      <c r="H352" s="207">
        <v>54646</v>
      </c>
      <c r="I352" s="207">
        <f>IF('SFD Allowable GSF Calculation'!$D$2=1,'SFD Allowable GSF Calculation'!$P352,'SFD Allowable GSF Calculation'!$X352)</f>
        <v>48497</v>
      </c>
      <c r="J352" s="194">
        <f>$I352*'Model Data Inputs'!$B$165</f>
        <v>55771.549999999996</v>
      </c>
      <c r="K352" s="194">
        <f>IF($L352&gt;='Model Data Inputs'!$B$164,$H352,MIN($H352,$J352))</f>
        <v>54646</v>
      </c>
      <c r="L352" s="208">
        <v>1935</v>
      </c>
      <c r="M352" s="196">
        <f>IF($L352&gt;0,'Model Data Inputs'!$B$157-$L352,"")</f>
        <v>82</v>
      </c>
      <c r="N352" s="209">
        <v>22</v>
      </c>
      <c r="O352" s="198">
        <f>'School Level Inst. Resources'!$L352</f>
        <v>107.16066666666666</v>
      </c>
      <c r="P352" s="198">
        <f>IF($G352="T",SUMIFS('School Level ADM'!$S$5:$S$359,'School Level ADM'!$A$5:$A$359,$A352),0)</f>
        <v>107.16066666666666</v>
      </c>
      <c r="Q352" s="199">
        <f t="shared" si="41"/>
        <v>1</v>
      </c>
      <c r="R352" s="200">
        <f>SUM((('School Level Inst. Resources'!I352/'Model Data Inputs'!$B$8)*(1+'Model Data Inputs'!$B$9)),(SUM('School Level Inst. Resources'!J352:K352)/'Model Data Inputs'!$C$8)*(1+'Model Data Inputs'!$C$9),'School Level Inst. Resources'!K352/400)</f>
        <v>6.7043829734299507</v>
      </c>
      <c r="S352" s="200">
        <f t="shared" si="42"/>
        <v>6.7043829734299507</v>
      </c>
      <c r="T352" s="201">
        <f>IF($G352="T",VLOOKUP($A352,'Total O &amp; M Resources'!$A$5:$K$52,3),0)</f>
        <v>1857268.44</v>
      </c>
      <c r="U352" s="202">
        <f>IF($G352="F",0,$S352/'Model Data Inputs'!$B$140)</f>
        <v>0.51572176718691931</v>
      </c>
      <c r="V352" s="202">
        <f>IF($G352="F",0,$O352/'Model Data Inputs'!$B$141)</f>
        <v>0.32972512820512817</v>
      </c>
      <c r="W352" s="202">
        <f>IF($G352="F",0,$N352/'Model Data Inputs'!$B$142)</f>
        <v>1.6923076923076923</v>
      </c>
      <c r="X352" s="202">
        <f>IF($G352="F",0,$K352/'Model Data Inputs'!$B$143)</f>
        <v>3.0358888888888891</v>
      </c>
      <c r="Y352" s="202">
        <f t="shared" si="36"/>
        <v>1.3934108691471572</v>
      </c>
      <c r="Z352" s="202">
        <f>IF(OR($G352="F",$F352="E"),0,'Model Data Inputs'!$B$144)</f>
        <v>0.5</v>
      </c>
      <c r="AA352" s="202">
        <f>IF(AND($O352&lt;='Model Data Inputs'!$B$139,$F352="E"),0,IF(AND($O352&lt;='Model Data Inputs'!$B$139,$F352="M"),0,IF(AND($O352&lt;='Model Data Inputs'!$B$139,$F352="H"),0,IF(SUM($Y352:$Z352)&lt;1,1,SUM($Y352:$Z352)))))</f>
        <v>1.8934108691471572</v>
      </c>
      <c r="AB352" s="202">
        <f>($K352/'Model Data Inputs'!$B$143)*'Model Data Inputs'!$B$145</f>
        <v>0.30358888888888891</v>
      </c>
      <c r="AC352" s="202">
        <f t="shared" si="37"/>
        <v>2.1969997580360463</v>
      </c>
      <c r="AD352" s="202">
        <f>IF($G352="F",0,'Model Data Inputs'!$B$147)</f>
        <v>1.1000000000000001</v>
      </c>
      <c r="AE352" s="202">
        <f>IF($G352="F",0,($K352/'Model Data Inputs'!$B$148)*'Model Data Inputs'!$B$149)</f>
        <v>1.0929199999999999</v>
      </c>
      <c r="AF352" s="202">
        <f>IF($G352="F",0,($O352/'Model Data Inputs'!$B$150)*'Model Data Inputs'!$B$151)</f>
        <v>0.13930886666666664</v>
      </c>
      <c r="AG352" s="202">
        <f>IF($G352="F",0,(($Q352*$T352)/'Model Data Inputs'!$B$152)*'Model Data Inputs'!$B$153)</f>
        <v>0.44574442559999999</v>
      </c>
      <c r="AH352" s="202">
        <f t="shared" si="38"/>
        <v>0.69449332306666667</v>
      </c>
      <c r="AI352" s="203">
        <f>IF(OR($G352="F",$F352="M",$F352="H"),0,($AH352*'Model Data Inputs'!$B$154)-$AH352)</f>
        <v>0</v>
      </c>
      <c r="AJ352" s="202">
        <f>IF(OR($G352="F",$F352="E",$F352="H"),0,($AH352*'Model Data Inputs'!$B$155)-$AH352)</f>
        <v>0</v>
      </c>
      <c r="AK352" s="203">
        <f>IF(OR($G352="F",$F352="E",$F352="M"),0,($AH352*'Model Data Inputs'!$B$156)-$AH352)</f>
        <v>0.69449332306666667</v>
      </c>
      <c r="AL352" s="203">
        <f>IF($G352="F",0,IF($M352&lt;'Model Data Inputs'!$B$158,$AH352*('Model Data Inputs'!$B$159-1),0))</f>
        <v>0</v>
      </c>
      <c r="AM352" s="202">
        <f>IF($G352="F",0,IF($M352&gt;'Model Data Inputs'!$B$160,$AH352*('Model Data Inputs'!$B$161-1),0))</f>
        <v>6.9449332306666722E-2</v>
      </c>
      <c r="AN352" s="202">
        <f>IF($G352="F",0,IF($P352&lt;'Model Data Inputs'!$B$162,SUM($AH352,$AI352,$AJ352,$AK352,$AL352,$AM352)*('Model Data Inputs'!$B$163-1),0))</f>
        <v>0.14584359784400014</v>
      </c>
      <c r="AO352" s="202">
        <f t="shared" si="39"/>
        <v>1.6042795762840001</v>
      </c>
      <c r="AP352" s="204">
        <f>$K352*'Model Data Inputs'!$B$166</f>
        <v>36612.82</v>
      </c>
      <c r="AQ352" s="204">
        <f>($K352*'Model Data Inputs'!$B$145)*'Model Data Inputs'!$B$166</f>
        <v>3661.2820000000006</v>
      </c>
      <c r="AR352" s="50">
        <f t="shared" si="40"/>
        <v>40274.101999999999</v>
      </c>
    </row>
    <row r="353" spans="1:44" s="226" customFormat="1" x14ac:dyDescent="0.2">
      <c r="A353" s="210" t="str">
        <f>'School Level Inst. Resources'!A353</f>
        <v>2301000</v>
      </c>
      <c r="B353" s="210" t="str">
        <f>'School Level Inst. Resources'!B353</f>
        <v>Weston #1</v>
      </c>
      <c r="C353" s="210" t="str">
        <f>'School Level Inst. Resources'!C353</f>
        <v>2301001</v>
      </c>
      <c r="D353" s="210" t="str">
        <f>'School Level Inst. Resources'!D353</f>
        <v>Newcastle Elementary 3-5</v>
      </c>
      <c r="E353" s="211" t="str">
        <f>'School Level Inst. Resources'!E353</f>
        <v>3-5</v>
      </c>
      <c r="F353" s="212" t="str">
        <f>'School Level Inst. Resources'!H353</f>
        <v>E</v>
      </c>
      <c r="G353" s="212" t="s">
        <v>1158</v>
      </c>
      <c r="H353" s="213">
        <v>64518</v>
      </c>
      <c r="I353" s="213">
        <f>IF('SFD Allowable GSF Calculation'!$D$2=1,'SFD Allowable GSF Calculation'!$P353,'SFD Allowable GSF Calculation'!$X353)</f>
        <v>49197</v>
      </c>
      <c r="J353" s="214">
        <f>$I353*'Model Data Inputs'!$B$165</f>
        <v>56576.549999999996</v>
      </c>
      <c r="K353" s="214">
        <f>IF($L353&gt;='Model Data Inputs'!$B$164,$H353,MIN($H353,$J353))</f>
        <v>64518</v>
      </c>
      <c r="L353" s="233">
        <v>2002</v>
      </c>
      <c r="M353" s="196">
        <f>IF($L353&gt;0,'Model Data Inputs'!$B$157-$L353,"")</f>
        <v>15</v>
      </c>
      <c r="N353" s="216">
        <v>42</v>
      </c>
      <c r="O353" s="218">
        <f>SUM('School Level Inst. Resources'!$L353,'School Level Inst. Resources'!$L354)</f>
        <v>352.19133333333332</v>
      </c>
      <c r="P353" s="218">
        <f>IF($G353="T",SUMIFS('School Level ADM'!$S$5:$S$359,'School Level ADM'!$A$5:$A$359,$A353),0)</f>
        <v>765.25600000000009</v>
      </c>
      <c r="Q353" s="219">
        <f t="shared" si="41"/>
        <v>0.46022681734391274</v>
      </c>
      <c r="R353" s="234">
        <f>SUM((('School Level Inst. Resources'!I353/'Model Data Inputs'!$B$8)*(1+'Model Data Inputs'!$B$9)),(SUM('School Level Inst. Resources'!J353:K353)/'Model Data Inputs'!$C$8)*(1+'Model Data Inputs'!$C$9),'School Level Inst. Resources'!K353/400)</f>
        <v>11.873511111111112</v>
      </c>
      <c r="S353" s="234">
        <f>SUM(R353:R354)</f>
        <v>23.479422222222222</v>
      </c>
      <c r="T353" s="221">
        <f>IF($G353="T",VLOOKUP($A353,'Total O &amp; M Resources'!$A$5:$K$52,3),0)</f>
        <v>7880216.9699999997</v>
      </c>
      <c r="U353" s="222">
        <f>IF($G353="F",0,$S353/'Model Data Inputs'!$B$140)</f>
        <v>1.8061094017094017</v>
      </c>
      <c r="V353" s="222">
        <f>IF($G353="F",0,$O353/'Model Data Inputs'!$B$141)</f>
        <v>1.0836656410256409</v>
      </c>
      <c r="W353" s="222">
        <f>IF($G353="F",0,$N353/'Model Data Inputs'!$B$142)</f>
        <v>3.2307692307692308</v>
      </c>
      <c r="X353" s="222">
        <f>IF($G353="F",0,$K353/'Model Data Inputs'!$B$143)</f>
        <v>3.5843333333333334</v>
      </c>
      <c r="Y353" s="222">
        <f t="shared" si="36"/>
        <v>2.4262194017094014</v>
      </c>
      <c r="Z353" s="222">
        <f>IF(OR($G353="F",$F353="E"),0,'Model Data Inputs'!$B$144)</f>
        <v>0</v>
      </c>
      <c r="AA353" s="222">
        <f>IF(AND($O353&lt;='Model Data Inputs'!$B$139,$F353="E"),0,IF(AND($O353&lt;='Model Data Inputs'!$B$139,$F353="M"),0,IF(AND($O353&lt;='Model Data Inputs'!$B$139,$F353="H"),0,IF(SUM($Y353:$Z353)&lt;1,1,SUM($Y353:$Z353)))))</f>
        <v>2.4262194017094014</v>
      </c>
      <c r="AB353" s="222">
        <f>($K353/'Model Data Inputs'!$B$143)*'Model Data Inputs'!$B$145</f>
        <v>0.35843333333333338</v>
      </c>
      <c r="AC353" s="222">
        <f t="shared" si="37"/>
        <v>2.7846527350427346</v>
      </c>
      <c r="AD353" s="222">
        <f>IF($G353="F",0,'Model Data Inputs'!$B$147)</f>
        <v>1.1000000000000001</v>
      </c>
      <c r="AE353" s="222">
        <f>IF($G353="F",0,($K353/'Model Data Inputs'!$B$148)*'Model Data Inputs'!$B$149)</f>
        <v>1.29036</v>
      </c>
      <c r="AF353" s="222">
        <f>IF($G353="F",0,($O353/'Model Data Inputs'!$B$150)*'Model Data Inputs'!$B$151)</f>
        <v>0.45784873333333331</v>
      </c>
      <c r="AG353" s="222">
        <f>IF($G353="F",0,(($Q353*$T353)/'Model Data Inputs'!$B$152)*'Model Data Inputs'!$B$153)</f>
        <v>0.87040492225982191</v>
      </c>
      <c r="AH353" s="222">
        <f t="shared" si="38"/>
        <v>0.92965341389828893</v>
      </c>
      <c r="AI353" s="223">
        <f>IF(OR($G353="F",$F353="M",$F353="H"),0,($AH353*'Model Data Inputs'!$B$154)-$AH353)</f>
        <v>-0.18593068277965774</v>
      </c>
      <c r="AJ353" s="222">
        <f>IF(OR($G353="F",$F353="E",$F353="H"),0,($AH353*'Model Data Inputs'!$B$155)-$AH353)</f>
        <v>0</v>
      </c>
      <c r="AK353" s="223">
        <f>IF(OR($G353="F",$F353="E",$F353="M"),0,($AH353*'Model Data Inputs'!$B$156)-$AH353)</f>
        <v>0</v>
      </c>
      <c r="AL353" s="223">
        <f>IF($G353="F",0,IF($M353&lt;'Model Data Inputs'!$B$158,$AH353*('Model Data Inputs'!$B$159-1),0))</f>
        <v>0</v>
      </c>
      <c r="AM353" s="222">
        <f>IF($G353="F",0,IF($M353&gt;'Model Data Inputs'!$B$160,$AH353*('Model Data Inputs'!$B$161-1),0))</f>
        <v>0</v>
      </c>
      <c r="AN353" s="222">
        <f>IF($G353="F",0,IF($P353&lt;'Model Data Inputs'!$B$162,SUM($AH353,$AI353,$AJ353,$AK353,$AL353,$AM353)*('Model Data Inputs'!$B$163-1),0))</f>
        <v>7.4372273111863188E-2</v>
      </c>
      <c r="AO353" s="222">
        <f t="shared" si="39"/>
        <v>0.81809500423049442</v>
      </c>
      <c r="AP353" s="224">
        <f>$K353*'Model Data Inputs'!$B$166</f>
        <v>43227.060000000005</v>
      </c>
      <c r="AQ353" s="224">
        <f>($K353*'Model Data Inputs'!$B$145)*'Model Data Inputs'!$B$166</f>
        <v>4322.7060000000001</v>
      </c>
      <c r="AR353" s="225">
        <f t="shared" si="40"/>
        <v>47549.766000000003</v>
      </c>
    </row>
    <row r="354" spans="1:44" s="226" customFormat="1" x14ac:dyDescent="0.2">
      <c r="A354" s="210" t="str">
        <f>'School Level Inst. Resources'!A354</f>
        <v>2301000</v>
      </c>
      <c r="B354" s="210" t="str">
        <f>'School Level Inst. Resources'!B354</f>
        <v>Weston #1</v>
      </c>
      <c r="C354" s="210" t="str">
        <f>'School Level Inst. Resources'!C354</f>
        <v>2301003</v>
      </c>
      <c r="D354" s="210" t="str">
        <f>'School Level Inst. Resources'!D354</f>
        <v>Newcastle Elementary K-2</v>
      </c>
      <c r="E354" s="211" t="str">
        <f>'School Level Inst. Resources'!E354</f>
        <v>K-2</v>
      </c>
      <c r="F354" s="212" t="str">
        <f>'School Level Inst. Resources'!H354</f>
        <v>E</v>
      </c>
      <c r="G354" s="212" t="s">
        <v>1159</v>
      </c>
      <c r="H354" s="213">
        <v>0</v>
      </c>
      <c r="I354" s="213">
        <f>IF('SFD Allowable GSF Calculation'!$D$2=1,'SFD Allowable GSF Calculation'!$P354,'SFD Allowable GSF Calculation'!$X354)</f>
        <v>0</v>
      </c>
      <c r="J354" s="214">
        <f>$I354*'Model Data Inputs'!$B$165</f>
        <v>0</v>
      </c>
      <c r="K354" s="214">
        <f>IF($L354&gt;='Model Data Inputs'!$B$164,$H354,MIN($H354,$J354))</f>
        <v>0</v>
      </c>
      <c r="L354" s="233">
        <v>0</v>
      </c>
      <c r="M354" s="196" t="str">
        <f>IF($L354&gt;0,'Model Data Inputs'!$B$157-$L354,"")</f>
        <v/>
      </c>
      <c r="N354" s="216">
        <v>0</v>
      </c>
      <c r="O354" s="217">
        <v>0</v>
      </c>
      <c r="P354" s="218">
        <f>IF($G354="T",SUMIFS('School Level ADM'!$S$5:$S$359,'School Level ADM'!$A$5:$A$359,$A354),0)</f>
        <v>0</v>
      </c>
      <c r="Q354" s="219">
        <f t="shared" si="41"/>
        <v>0</v>
      </c>
      <c r="R354" s="220">
        <f>SUM((('School Level Inst. Resources'!I354/'Model Data Inputs'!$B$8)*(1+'Model Data Inputs'!$B$9)),(SUM('School Level Inst. Resources'!J354:K354)/'Model Data Inputs'!$C$8)*(1+'Model Data Inputs'!$C$9),'School Level Inst. Resources'!K354/400)</f>
        <v>11.60591111111111</v>
      </c>
      <c r="S354" s="220">
        <v>0</v>
      </c>
      <c r="T354" s="221">
        <f>IF($G354="T",VLOOKUP($A354,'Total O &amp; M Resources'!$A$5:$K$52,3),0)</f>
        <v>0</v>
      </c>
      <c r="U354" s="222">
        <f>IF($G354="F",0,$S354/'Model Data Inputs'!$B$140)</f>
        <v>0</v>
      </c>
      <c r="V354" s="222">
        <f>IF($G354="F",0,$O354/'Model Data Inputs'!$B$141)</f>
        <v>0</v>
      </c>
      <c r="W354" s="222">
        <f>IF($G354="F",0,$N354/'Model Data Inputs'!$B$142)</f>
        <v>0</v>
      </c>
      <c r="X354" s="222">
        <f>IF($G354="F",0,$K354/'Model Data Inputs'!$B$143)</f>
        <v>0</v>
      </c>
      <c r="Y354" s="222">
        <f t="shared" si="36"/>
        <v>0</v>
      </c>
      <c r="Z354" s="222">
        <f>IF(OR($G354="F",$F354="E"),0,'Model Data Inputs'!$B$144)</f>
        <v>0</v>
      </c>
      <c r="AA354" s="222">
        <f>IF(AND($O354&lt;='Model Data Inputs'!$B$139,$F354="E"),0,IF(AND($O354&lt;='Model Data Inputs'!$B$139,$F354="M"),0,IF(AND($O354&lt;='Model Data Inputs'!$B$139,$F354="H"),0,IF(SUM($Y354:$Z354)&lt;1,1,SUM($Y354:$Z354)))))</f>
        <v>0</v>
      </c>
      <c r="AB354" s="222">
        <f>($K354/'Model Data Inputs'!$B$143)*'Model Data Inputs'!$B$145</f>
        <v>0</v>
      </c>
      <c r="AC354" s="222">
        <f t="shared" si="37"/>
        <v>0</v>
      </c>
      <c r="AD354" s="222">
        <f>IF($G354="F",0,'Model Data Inputs'!$B$147)</f>
        <v>0</v>
      </c>
      <c r="AE354" s="222">
        <f>IF($G354="F",0,($K354/'Model Data Inputs'!$B$148)*'Model Data Inputs'!$B$149)</f>
        <v>0</v>
      </c>
      <c r="AF354" s="222">
        <f>IF($G354="F",0,($O354/'Model Data Inputs'!$B$150)*'Model Data Inputs'!$B$151)</f>
        <v>0</v>
      </c>
      <c r="AG354" s="222">
        <f>IF($G354="F",0,(($Q354*$T354)/'Model Data Inputs'!$B$152)*'Model Data Inputs'!$B$153)</f>
        <v>0</v>
      </c>
      <c r="AH354" s="222">
        <f t="shared" si="38"/>
        <v>0</v>
      </c>
      <c r="AI354" s="223">
        <f>IF(OR($G354="F",$F354="M",$F354="H"),0,($AH354*'Model Data Inputs'!$B$154)-$AH354)</f>
        <v>0</v>
      </c>
      <c r="AJ354" s="222">
        <f>IF(OR($G354="F",$F354="E",$F354="H"),0,($AH354*'Model Data Inputs'!$B$155)-$AH354)</f>
        <v>0</v>
      </c>
      <c r="AK354" s="223">
        <f>IF(OR($G354="F",$F354="E",$F354="M"),0,($AH354*'Model Data Inputs'!$B$156)-$AH354)</f>
        <v>0</v>
      </c>
      <c r="AL354" s="223">
        <f>IF($G354="F",0,IF($M354&lt;'Model Data Inputs'!$B$158,$AH354*('Model Data Inputs'!$B$159-1),0))</f>
        <v>0</v>
      </c>
      <c r="AM354" s="222">
        <f>IF($G354="F",0,IF($M354&gt;'Model Data Inputs'!$B$160,$AH354*('Model Data Inputs'!$B$161-1),0))</f>
        <v>0</v>
      </c>
      <c r="AN354" s="222">
        <f>IF($G354="F",0,IF($P354&lt;'Model Data Inputs'!$B$162,SUM($AH354,$AI354,$AJ354,$AK354,$AL354,$AM354)*('Model Data Inputs'!$B$163-1),0))</f>
        <v>0</v>
      </c>
      <c r="AO354" s="222">
        <f t="shared" si="39"/>
        <v>0</v>
      </c>
      <c r="AP354" s="224">
        <f>$K354*'Model Data Inputs'!$B$166</f>
        <v>0</v>
      </c>
      <c r="AQ354" s="224">
        <f>($K354*'Model Data Inputs'!$B$145)*'Model Data Inputs'!$B$166</f>
        <v>0</v>
      </c>
      <c r="AR354" s="225">
        <f t="shared" si="40"/>
        <v>0</v>
      </c>
    </row>
    <row r="355" spans="1:44" x14ac:dyDescent="0.2">
      <c r="A355" s="227" t="str">
        <f>'School Level Inst. Resources'!A355</f>
        <v>2301000</v>
      </c>
      <c r="B355" s="227" t="str">
        <f>'School Level Inst. Resources'!B355</f>
        <v>Weston #1</v>
      </c>
      <c r="C355" s="227" t="str">
        <f>'School Level Inst. Resources'!C355</f>
        <v>2301050</v>
      </c>
      <c r="D355" s="227" t="str">
        <f>'School Level Inst. Resources'!D355</f>
        <v>Newcastle Middle School</v>
      </c>
      <c r="E355" s="228" t="str">
        <f>'School Level Inst. Resources'!E355</f>
        <v>6-8</v>
      </c>
      <c r="F355" s="229" t="str">
        <f>'School Level Inst. Resources'!H355</f>
        <v>M</v>
      </c>
      <c r="G355" s="229" t="s">
        <v>1158</v>
      </c>
      <c r="H355" s="207">
        <v>92053</v>
      </c>
      <c r="I355" s="207">
        <f>IF('SFD Allowable GSF Calculation'!$D$2=1,'SFD Allowable GSF Calculation'!$P355,'SFD Allowable GSF Calculation'!$X355)</f>
        <v>52247</v>
      </c>
      <c r="J355" s="194">
        <f>$I355*'Model Data Inputs'!$B$165</f>
        <v>60084.049999999996</v>
      </c>
      <c r="K355" s="194">
        <f>IF($L355&gt;='Model Data Inputs'!$B$164,$H355,MIN($H355,$J355))</f>
        <v>60084.049999999996</v>
      </c>
      <c r="L355" s="208">
        <v>1978</v>
      </c>
      <c r="M355" s="196">
        <f>IF($L355&gt;0,'Model Data Inputs'!$B$157-$L355,"")</f>
        <v>39</v>
      </c>
      <c r="N355" s="209">
        <v>25</v>
      </c>
      <c r="O355" s="198">
        <f>'School Level Inst. Resources'!$L355</f>
        <v>200.97966666666667</v>
      </c>
      <c r="P355" s="198">
        <f>IF($G355="T",SUMIFS('School Level ADM'!$S$5:$S$359,'School Level ADM'!$A$5:$A$359,$A355),0)</f>
        <v>765.25600000000009</v>
      </c>
      <c r="Q355" s="199">
        <f t="shared" si="41"/>
        <v>0.26263063166661438</v>
      </c>
      <c r="R355" s="200">
        <f>SUM((('School Level Inst. Resources'!I355/'Model Data Inputs'!$B$8)*(1+'Model Data Inputs'!$B$9)),(SUM('School Level Inst. Resources'!J355:K355)/'Model Data Inputs'!$C$8)*(1+'Model Data Inputs'!$C$9),'School Level Inst. Resources'!K355/400)</f>
        <v>11.648082420289853</v>
      </c>
      <c r="S355" s="200">
        <f t="shared" si="42"/>
        <v>11.648082420289853</v>
      </c>
      <c r="T355" s="201">
        <f>IF($G355="T",VLOOKUP($A355,'Total O &amp; M Resources'!$A$5:$K$52,3),0)</f>
        <v>7880216.9699999997</v>
      </c>
      <c r="U355" s="202">
        <f>IF($G355="F",0,$S355/'Model Data Inputs'!$B$140)</f>
        <v>0.8960063400222964</v>
      </c>
      <c r="V355" s="202">
        <f>IF($G355="F",0,$O355/'Model Data Inputs'!$B$141)</f>
        <v>0.6183989743589744</v>
      </c>
      <c r="W355" s="202">
        <f>IF($G355="F",0,$N355/'Model Data Inputs'!$B$142)</f>
        <v>1.9230769230769231</v>
      </c>
      <c r="X355" s="202">
        <f>IF($G355="F",0,$K355/'Model Data Inputs'!$B$143)</f>
        <v>3.3380027777777777</v>
      </c>
      <c r="Y355" s="202">
        <f t="shared" si="36"/>
        <v>1.6938712538089928</v>
      </c>
      <c r="Z355" s="202">
        <f>IF(OR($G355="F",$F355="E"),0,'Model Data Inputs'!$B$144)</f>
        <v>0.5</v>
      </c>
      <c r="AA355" s="202">
        <f>IF(AND($O355&lt;='Model Data Inputs'!$B$139,$F355="E"),0,IF(AND($O355&lt;='Model Data Inputs'!$B$139,$F355="M"),0,IF(AND($O355&lt;='Model Data Inputs'!$B$139,$F355="H"),0,IF(SUM($Y355:$Z355)&lt;1,1,SUM($Y355:$Z355)))))</f>
        <v>2.1938712538089931</v>
      </c>
      <c r="AB355" s="202">
        <f>($K355/'Model Data Inputs'!$B$143)*'Model Data Inputs'!$B$145</f>
        <v>0.33380027777777777</v>
      </c>
      <c r="AC355" s="202">
        <f t="shared" si="37"/>
        <v>2.5276715315867708</v>
      </c>
      <c r="AD355" s="202">
        <f>IF($G355="F",0,'Model Data Inputs'!$B$147)</f>
        <v>1.1000000000000001</v>
      </c>
      <c r="AE355" s="202">
        <f>IF($G355="F",0,($K355/'Model Data Inputs'!$B$148)*'Model Data Inputs'!$B$149)</f>
        <v>1.201681</v>
      </c>
      <c r="AF355" s="202">
        <f>IF($G355="F",0,($O355/'Model Data Inputs'!$B$150)*'Model Data Inputs'!$B$151)</f>
        <v>0.26127356666666668</v>
      </c>
      <c r="AG355" s="202">
        <f>IF($G355="F",0,(($Q355*$T355)/'Model Data Inputs'!$B$152)*'Model Data Inputs'!$B$153)</f>
        <v>0.49670072652025771</v>
      </c>
      <c r="AH355" s="202">
        <f t="shared" si="38"/>
        <v>0.76491382329673119</v>
      </c>
      <c r="AI355" s="203">
        <f>IF(OR($G355="F",$F355="M",$F355="H"),0,($AH355*'Model Data Inputs'!$B$154)-$AH355)</f>
        <v>0</v>
      </c>
      <c r="AJ355" s="202">
        <f>IF(OR($G355="F",$F355="E",$F355="H"),0,($AH355*'Model Data Inputs'!$B$155)-$AH355)</f>
        <v>0</v>
      </c>
      <c r="AK355" s="203">
        <f>IF(OR($G355="F",$F355="E",$F355="M"),0,($AH355*'Model Data Inputs'!$B$156)-$AH355)</f>
        <v>0</v>
      </c>
      <c r="AL355" s="203">
        <f>IF($G355="F",0,IF($M355&lt;'Model Data Inputs'!$B$158,$AH355*('Model Data Inputs'!$B$159-1),0))</f>
        <v>0</v>
      </c>
      <c r="AM355" s="202">
        <f>IF($G355="F",0,IF($M355&gt;'Model Data Inputs'!$B$160,$AH355*('Model Data Inputs'!$B$161-1),0))</f>
        <v>7.6491382329673188E-2</v>
      </c>
      <c r="AN355" s="202">
        <f>IF($G355="F",0,IF($P355&lt;'Model Data Inputs'!$B$162,SUM($AH355,$AI355,$AJ355,$AK355,$AL355,$AM355)*('Model Data Inputs'!$B$163-1),0))</f>
        <v>8.4140520562640514E-2</v>
      </c>
      <c r="AO355" s="202">
        <f t="shared" si="39"/>
        <v>0.92554572618904496</v>
      </c>
      <c r="AP355" s="204">
        <f>$K355*'Model Data Inputs'!$B$166</f>
        <v>40256.313499999997</v>
      </c>
      <c r="AQ355" s="204">
        <f>($K355*'Model Data Inputs'!$B$145)*'Model Data Inputs'!$B$166</f>
        <v>4025.6313500000001</v>
      </c>
      <c r="AR355" s="50">
        <f t="shared" si="40"/>
        <v>44281.94485</v>
      </c>
    </row>
    <row r="356" spans="1:44" x14ac:dyDescent="0.2">
      <c r="A356" s="227" t="str">
        <f>'School Level Inst. Resources'!A356</f>
        <v>2301000</v>
      </c>
      <c r="B356" s="227" t="str">
        <f>'School Level Inst. Resources'!B356</f>
        <v>Weston #1</v>
      </c>
      <c r="C356" s="227" t="str">
        <f>'School Level Inst. Resources'!C356</f>
        <v>2301055</v>
      </c>
      <c r="D356" s="227" t="str">
        <f>'School Level Inst. Resources'!D356</f>
        <v>Newcastle High School</v>
      </c>
      <c r="E356" s="228" t="str">
        <f>'School Level Inst. Resources'!E356</f>
        <v>9-12</v>
      </c>
      <c r="F356" s="229" t="str">
        <f>'School Level Inst. Resources'!H356</f>
        <v>H</v>
      </c>
      <c r="G356" s="229" t="s">
        <v>1158</v>
      </c>
      <c r="H356" s="207">
        <v>94716</v>
      </c>
      <c r="I356" s="207">
        <f>IF('SFD Allowable GSF Calculation'!$D$2=1,'SFD Allowable GSF Calculation'!$P356,'SFD Allowable GSF Calculation'!$X356)</f>
        <v>64478</v>
      </c>
      <c r="J356" s="194">
        <f>$I356*'Model Data Inputs'!$B$165</f>
        <v>74149.7</v>
      </c>
      <c r="K356" s="194">
        <f>IF($L356&gt;='Model Data Inputs'!$B$164,$H356,MIN($H356,$J356))</f>
        <v>94716</v>
      </c>
      <c r="L356" s="208">
        <v>2002</v>
      </c>
      <c r="M356" s="196">
        <f>IF($L356&gt;0,'Model Data Inputs'!$B$157-$L356,"")</f>
        <v>15</v>
      </c>
      <c r="N356" s="209">
        <v>33</v>
      </c>
      <c r="O356" s="198">
        <f>'School Level Inst. Resources'!$L356</f>
        <v>212.08500000000001</v>
      </c>
      <c r="P356" s="198">
        <f>IF($G356="T",SUMIFS('School Level ADM'!$S$5:$S$359,'School Level ADM'!$A$5:$A$359,$A356),0)</f>
        <v>765.25600000000009</v>
      </c>
      <c r="Q356" s="199">
        <f t="shared" si="41"/>
        <v>0.27714255098947277</v>
      </c>
      <c r="R356" s="200">
        <f>SUM((('School Level Inst. Resources'!I356/'Model Data Inputs'!$B$8)*(1+'Model Data Inputs'!$B$9)),(SUM('School Level Inst. Resources'!J356:K356)/'Model Data Inputs'!$C$8)*(1+'Model Data Inputs'!$C$9),'School Level Inst. Resources'!K356/400)</f>
        <v>12.821921413043478</v>
      </c>
      <c r="S356" s="200">
        <f t="shared" si="42"/>
        <v>12.821921413043478</v>
      </c>
      <c r="T356" s="201">
        <f>IF($G356="T",VLOOKUP($A356,'Total O &amp; M Resources'!$A$5:$K$52,3),0)</f>
        <v>7880216.9699999997</v>
      </c>
      <c r="U356" s="202">
        <f>IF($G356="F",0,$S356/'Model Data Inputs'!$B$140)</f>
        <v>0.9863016471571906</v>
      </c>
      <c r="V356" s="202">
        <f>IF($G356="F",0,$O356/'Model Data Inputs'!$B$141)</f>
        <v>0.65256923076923079</v>
      </c>
      <c r="W356" s="202">
        <f>IF($G356="F",0,$N356/'Model Data Inputs'!$B$142)</f>
        <v>2.5384615384615383</v>
      </c>
      <c r="X356" s="202">
        <f>IF($G356="F",0,$K356/'Model Data Inputs'!$B$143)</f>
        <v>5.2619999999999996</v>
      </c>
      <c r="Y356" s="202">
        <f t="shared" si="36"/>
        <v>2.3598331040969898</v>
      </c>
      <c r="Z356" s="202">
        <f>IF(OR($G356="F",$F356="E"),0,'Model Data Inputs'!$B$144)</f>
        <v>0.5</v>
      </c>
      <c r="AA356" s="202">
        <f>IF(AND($O356&lt;='Model Data Inputs'!$B$139,$F356="E"),0,IF(AND($O356&lt;='Model Data Inputs'!$B$139,$F356="M"),0,IF(AND($O356&lt;='Model Data Inputs'!$B$139,$F356="H"),0,IF(SUM($Y356:$Z356)&lt;1,1,SUM($Y356:$Z356)))))</f>
        <v>2.8598331040969898</v>
      </c>
      <c r="AB356" s="202">
        <f>($K356/'Model Data Inputs'!$B$143)*'Model Data Inputs'!$B$145</f>
        <v>0.5262</v>
      </c>
      <c r="AC356" s="202">
        <f t="shared" si="37"/>
        <v>3.38603310409699</v>
      </c>
      <c r="AD356" s="202">
        <f>IF($G356="F",0,'Model Data Inputs'!$B$147)</f>
        <v>1.1000000000000001</v>
      </c>
      <c r="AE356" s="202">
        <f>IF($G356="F",0,($K356/'Model Data Inputs'!$B$148)*'Model Data Inputs'!$B$149)</f>
        <v>1.89432</v>
      </c>
      <c r="AF356" s="202">
        <f>IF($G356="F",0,($O356/'Model Data Inputs'!$B$150)*'Model Data Inputs'!$B$151)</f>
        <v>0.27571050000000003</v>
      </c>
      <c r="AG356" s="202">
        <f>IF($G356="F",0,(($Q356*$T356)/'Model Data Inputs'!$B$152)*'Model Data Inputs'!$B$153)</f>
        <v>0.52414642401992007</v>
      </c>
      <c r="AH356" s="202">
        <f t="shared" si="38"/>
        <v>0.94854423100498009</v>
      </c>
      <c r="AI356" s="203">
        <f>IF(OR($G356="F",$F356="M",$F356="H"),0,($AH356*'Model Data Inputs'!$B$154)-$AH356)</f>
        <v>0</v>
      </c>
      <c r="AJ356" s="202">
        <f>IF(OR($G356="F",$F356="E",$F356="H"),0,($AH356*'Model Data Inputs'!$B$155)-$AH356)</f>
        <v>0</v>
      </c>
      <c r="AK356" s="203">
        <f>IF(OR($G356="F",$F356="E",$F356="M"),0,($AH356*'Model Data Inputs'!$B$156)-$AH356)</f>
        <v>0.94854423100498009</v>
      </c>
      <c r="AL356" s="203">
        <f>IF($G356="F",0,IF($M356&lt;'Model Data Inputs'!$B$158,$AH356*('Model Data Inputs'!$B$159-1),0))</f>
        <v>0</v>
      </c>
      <c r="AM356" s="202">
        <f>IF($G356="F",0,IF($M356&gt;'Model Data Inputs'!$B$160,$AH356*('Model Data Inputs'!$B$161-1),0))</f>
        <v>0</v>
      </c>
      <c r="AN356" s="202">
        <f>IF($G356="F",0,IF($P356&lt;'Model Data Inputs'!$B$162,SUM($AH356,$AI356,$AJ356,$AK356,$AL356,$AM356)*('Model Data Inputs'!$B$163-1),0))</f>
        <v>0.18970884620099618</v>
      </c>
      <c r="AO356" s="202">
        <f t="shared" si="39"/>
        <v>2.0867973082109565</v>
      </c>
      <c r="AP356" s="204">
        <f>$K356*'Model Data Inputs'!$B$166</f>
        <v>63459.72</v>
      </c>
      <c r="AQ356" s="204">
        <f>($K356*'Model Data Inputs'!$B$145)*'Model Data Inputs'!$B$166</f>
        <v>6345.9720000000007</v>
      </c>
      <c r="AR356" s="50">
        <f t="shared" si="40"/>
        <v>69805.691999999995</v>
      </c>
    </row>
    <row r="357" spans="1:44" s="226" customFormat="1" x14ac:dyDescent="0.2">
      <c r="A357" s="210" t="str">
        <f>'School Level Inst. Resources'!A357</f>
        <v>2307000</v>
      </c>
      <c r="B357" s="210" t="str">
        <f>'School Level Inst. Resources'!B357</f>
        <v>Weston #7</v>
      </c>
      <c r="C357" s="210" t="str">
        <f>'School Level Inst. Resources'!C357</f>
        <v>2307001</v>
      </c>
      <c r="D357" s="210" t="str">
        <f>'School Level Inst. Resources'!D357</f>
        <v>Upton Elementary</v>
      </c>
      <c r="E357" s="211" t="str">
        <f>'School Level Inst. Resources'!E357</f>
        <v>K-5</v>
      </c>
      <c r="F357" s="212" t="str">
        <f>'School Level Inst. Resources'!H357</f>
        <v>E</v>
      </c>
      <c r="G357" s="212" t="s">
        <v>1159</v>
      </c>
      <c r="H357" s="213">
        <v>0</v>
      </c>
      <c r="I357" s="213">
        <f>IF('SFD Allowable GSF Calculation'!$D$2=1,'SFD Allowable GSF Calculation'!$P357,'SFD Allowable GSF Calculation'!$X357)</f>
        <v>0</v>
      </c>
      <c r="J357" s="214">
        <f>$I357*'Model Data Inputs'!$B$165</f>
        <v>0</v>
      </c>
      <c r="K357" s="214">
        <f>IF($L357&gt;='Model Data Inputs'!$B$164,$H357,MIN($H357,$J357))</f>
        <v>0</v>
      </c>
      <c r="L357" s="233">
        <v>0</v>
      </c>
      <c r="M357" s="196" t="str">
        <f>IF($L357&gt;0,'Model Data Inputs'!$B$157-$L357,"")</f>
        <v/>
      </c>
      <c r="N357" s="216">
        <v>0</v>
      </c>
      <c r="O357" s="217">
        <v>0</v>
      </c>
      <c r="P357" s="218">
        <f>IF($G357="T",SUMIFS('School Level ADM'!$S$5:$S$359,'School Level ADM'!$A$5:$A$359,$A357),0)</f>
        <v>0</v>
      </c>
      <c r="Q357" s="219">
        <f t="shared" si="41"/>
        <v>0</v>
      </c>
      <c r="R357" s="220">
        <f>SUM((('School Level Inst. Resources'!I357/'Model Data Inputs'!$B$8)*(1+'Model Data Inputs'!$B$9)),(SUM('School Level Inst. Resources'!J357:K357)/'Model Data Inputs'!$C$8)*(1+'Model Data Inputs'!$C$9),'School Level Inst. Resources'!K357/400)</f>
        <v>8.2160666666666664</v>
      </c>
      <c r="S357" s="220">
        <v>0</v>
      </c>
      <c r="T357" s="221">
        <f>IF($G357="T",VLOOKUP($A357,'Total O &amp; M Resources'!$A$5:$K$52,3),0)</f>
        <v>0</v>
      </c>
      <c r="U357" s="222">
        <f>IF($G357="F",0,$S357/'Model Data Inputs'!$B$140)</f>
        <v>0</v>
      </c>
      <c r="V357" s="222">
        <f>IF($G357="F",0,$O357/'Model Data Inputs'!$B$141)</f>
        <v>0</v>
      </c>
      <c r="W357" s="222">
        <f>IF($G357="F",0,$N357/'Model Data Inputs'!$B$142)</f>
        <v>0</v>
      </c>
      <c r="X357" s="222">
        <f>IF($G357="F",0,$K357/'Model Data Inputs'!$B$143)</f>
        <v>0</v>
      </c>
      <c r="Y357" s="222">
        <f t="shared" si="36"/>
        <v>0</v>
      </c>
      <c r="Z357" s="222">
        <f>IF(OR($G357="F",$F357="E"),0,'Model Data Inputs'!$B$144)</f>
        <v>0</v>
      </c>
      <c r="AA357" s="222">
        <f>IF(AND($O357&lt;='Model Data Inputs'!$B$139,$F357="E"),0,IF(AND($O357&lt;='Model Data Inputs'!$B$139,$F357="M"),0,IF(AND($O357&lt;='Model Data Inputs'!$B$139,$F357="H"),0,IF(SUM($Y357:$Z357)&lt;1,1,SUM($Y357:$Z357)))))</f>
        <v>0</v>
      </c>
      <c r="AB357" s="222">
        <f>($K357/'Model Data Inputs'!$B$143)*'Model Data Inputs'!$B$145</f>
        <v>0</v>
      </c>
      <c r="AC357" s="222">
        <f t="shared" si="37"/>
        <v>0</v>
      </c>
      <c r="AD357" s="222">
        <f>IF($G357="F",0,'Model Data Inputs'!$B$147)</f>
        <v>0</v>
      </c>
      <c r="AE357" s="222">
        <f>IF($G357="F",0,($K357/'Model Data Inputs'!$B$148)*'Model Data Inputs'!$B$149)</f>
        <v>0</v>
      </c>
      <c r="AF357" s="222">
        <f>IF($G357="F",0,($O357/'Model Data Inputs'!$B$150)*'Model Data Inputs'!$B$151)</f>
        <v>0</v>
      </c>
      <c r="AG357" s="222">
        <f>IF($G357="F",0,(($Q357*$T357)/'Model Data Inputs'!$B$152)*'Model Data Inputs'!$B$153)</f>
        <v>0</v>
      </c>
      <c r="AH357" s="222">
        <f t="shared" si="38"/>
        <v>0</v>
      </c>
      <c r="AI357" s="223">
        <f>IF(OR($G357="F",$F357="M",$F357="H"),0,($AH357*'Model Data Inputs'!$B$154)-$AH357)</f>
        <v>0</v>
      </c>
      <c r="AJ357" s="222">
        <f>IF(OR($G357="F",$F357="E",$F357="H"),0,($AH357*'Model Data Inputs'!$B$155)-$AH357)</f>
        <v>0</v>
      </c>
      <c r="AK357" s="223">
        <f>IF(OR($G357="F",$F357="E",$F357="M"),0,($AH357*'Model Data Inputs'!$B$156)-$AH357)</f>
        <v>0</v>
      </c>
      <c r="AL357" s="223">
        <f>IF($G357="F",0,IF($M357&lt;'Model Data Inputs'!$B$158,$AH357*('Model Data Inputs'!$B$159-1),0))</f>
        <v>0</v>
      </c>
      <c r="AM357" s="222">
        <f>IF($G357="F",0,IF($M357&gt;'Model Data Inputs'!$B$160,$AH357*('Model Data Inputs'!$B$161-1),0))</f>
        <v>0</v>
      </c>
      <c r="AN357" s="222">
        <f>IF($G357="F",0,IF($P357&lt;'Model Data Inputs'!$B$162,SUM($AH357,$AI357,$AJ357,$AK357,$AL357,$AM357)*('Model Data Inputs'!$B$163-1),0))</f>
        <v>0</v>
      </c>
      <c r="AO357" s="222">
        <f t="shared" si="39"/>
        <v>0</v>
      </c>
      <c r="AP357" s="224">
        <f>$K357*'Model Data Inputs'!$B$166</f>
        <v>0</v>
      </c>
      <c r="AQ357" s="224">
        <f>($K357*'Model Data Inputs'!$B$145)*'Model Data Inputs'!$B$166</f>
        <v>0</v>
      </c>
      <c r="AR357" s="225">
        <f t="shared" si="40"/>
        <v>0</v>
      </c>
    </row>
    <row r="358" spans="1:44" s="226" customFormat="1" x14ac:dyDescent="0.2">
      <c r="A358" s="210" t="str">
        <f>'School Level Inst. Resources'!A358</f>
        <v>2307000</v>
      </c>
      <c r="B358" s="210" t="str">
        <f>'School Level Inst. Resources'!B358</f>
        <v>Weston #7</v>
      </c>
      <c r="C358" s="210" t="str">
        <f>'School Level Inst. Resources'!C358</f>
        <v>2307050</v>
      </c>
      <c r="D358" s="210" t="str">
        <f>'School Level Inst. Resources'!D358</f>
        <v>Upton Middle School</v>
      </c>
      <c r="E358" s="211" t="str">
        <f>'School Level Inst. Resources'!E358</f>
        <v>6-8</v>
      </c>
      <c r="F358" s="212" t="str">
        <f>'School Level Inst. Resources'!H358</f>
        <v>M</v>
      </c>
      <c r="G358" s="212" t="s">
        <v>1158</v>
      </c>
      <c r="H358" s="213">
        <v>55363</v>
      </c>
      <c r="I358" s="213">
        <f>IF('SFD Allowable GSF Calculation'!$D$2=1,'SFD Allowable GSF Calculation'!$P358,'SFD Allowable GSF Calculation'!$X358)</f>
        <v>46022</v>
      </c>
      <c r="J358" s="214">
        <f>$I358*'Model Data Inputs'!$B$165</f>
        <v>52925.299999999996</v>
      </c>
      <c r="K358" s="214">
        <f>IF($L358&gt;='Model Data Inputs'!$B$164,$H358,MIN($H358,$J358))</f>
        <v>52925.299999999996</v>
      </c>
      <c r="L358" s="233">
        <v>1992</v>
      </c>
      <c r="M358" s="196">
        <f>IF($L358&gt;0,'Model Data Inputs'!$B$157-$L358,"")</f>
        <v>25</v>
      </c>
      <c r="N358" s="216">
        <v>22</v>
      </c>
      <c r="O358" s="218">
        <f>SUM('School Level Inst. Resources'!$L357,'School Level Inst. Resources'!$L358)</f>
        <v>175.05166666666665</v>
      </c>
      <c r="P358" s="218">
        <f>IF($G358="T",SUMIFS('School Level ADM'!$S$5:$S$359,'School Level ADM'!$A$5:$A$359,$A358),0)</f>
        <v>255.91166666666663</v>
      </c>
      <c r="Q358" s="219">
        <f t="shared" si="41"/>
        <v>0.68403159944512104</v>
      </c>
      <c r="R358" s="234">
        <f>SUM((('School Level Inst. Resources'!I358/'Model Data Inputs'!$B$8)*(1+'Model Data Inputs'!$B$9)),(SUM('School Level Inst. Resources'!J358:K358)/'Model Data Inputs'!$C$8)*(1+'Model Data Inputs'!$C$9),'School Level Inst. Resources'!K358/400)</f>
        <v>3.0027660289855067</v>
      </c>
      <c r="S358" s="234">
        <f>SUM(R357:R358)</f>
        <v>11.218832695652173</v>
      </c>
      <c r="T358" s="221">
        <f>IF($G358="T",VLOOKUP($A358,'Total O &amp; M Resources'!$A$5:$K$52,3),0)</f>
        <v>3262428.04</v>
      </c>
      <c r="U358" s="222">
        <f>IF($G358="F",0,$S358/'Model Data Inputs'!$B$140)</f>
        <v>0.86298713043478259</v>
      </c>
      <c r="V358" s="222">
        <f>IF($G358="F",0,$O358/'Model Data Inputs'!$B$141)</f>
        <v>0.53862051282051271</v>
      </c>
      <c r="W358" s="222">
        <f>IF($G358="F",0,$N358/'Model Data Inputs'!$B$142)</f>
        <v>1.6923076923076923</v>
      </c>
      <c r="X358" s="222">
        <f>IF($G358="F",0,$K358/'Model Data Inputs'!$B$143)</f>
        <v>2.9402944444444441</v>
      </c>
      <c r="Y358" s="222">
        <f t="shared" si="36"/>
        <v>1.5085524450018579</v>
      </c>
      <c r="Z358" s="222">
        <f>IF(OR($G358="F",$F358="E"),0,'Model Data Inputs'!$B$144)</f>
        <v>0.5</v>
      </c>
      <c r="AA358" s="222">
        <f>IF(AND($O358&lt;='Model Data Inputs'!$B$139,$F358="E"),0,IF(AND($O358&lt;='Model Data Inputs'!$B$139,$F358="M"),0,IF(AND($O358&lt;='Model Data Inputs'!$B$139,$F358="H"),0,IF(SUM($Y358:$Z358)&lt;1,1,SUM($Y358:$Z358)))))</f>
        <v>2.0085524450018579</v>
      </c>
      <c r="AB358" s="222">
        <f>($K358/'Model Data Inputs'!$B$143)*'Model Data Inputs'!$B$145</f>
        <v>0.2940294444444444</v>
      </c>
      <c r="AC358" s="222">
        <f t="shared" si="37"/>
        <v>2.3025818894463024</v>
      </c>
      <c r="AD358" s="222">
        <f>IF($G358="F",0,'Model Data Inputs'!$B$147)</f>
        <v>1.1000000000000001</v>
      </c>
      <c r="AE358" s="222">
        <f>IF($G358="F",0,($K358/'Model Data Inputs'!$B$148)*'Model Data Inputs'!$B$149)</f>
        <v>1.0585059999999999</v>
      </c>
      <c r="AF358" s="222">
        <f>IF($G358="F",0,($O358/'Model Data Inputs'!$B$150)*'Model Data Inputs'!$B$151)</f>
        <v>0.22756716666666665</v>
      </c>
      <c r="AG358" s="222">
        <f>IF($G358="F",0,(($Q358*$T358)/'Model Data Inputs'!$B$152)*'Model Data Inputs'!$B$153)</f>
        <v>0.53558492886619469</v>
      </c>
      <c r="AH358" s="222">
        <f t="shared" si="38"/>
        <v>0.73041452388321537</v>
      </c>
      <c r="AI358" s="223">
        <f>IF(OR($G358="F",$F358="M",$F358="H"),0,($AH358*'Model Data Inputs'!$B$154)-$AH358)</f>
        <v>0</v>
      </c>
      <c r="AJ358" s="222">
        <f>IF(OR($G358="F",$F358="E",$F358="H"),0,($AH358*'Model Data Inputs'!$B$155)-$AH358)</f>
        <v>0</v>
      </c>
      <c r="AK358" s="223">
        <f>IF(OR($G358="F",$F358="E",$F358="M"),0,($AH358*'Model Data Inputs'!$B$156)-$AH358)</f>
        <v>0</v>
      </c>
      <c r="AL358" s="223">
        <f>IF($G358="F",0,IF($M358&lt;'Model Data Inputs'!$B$158,$AH358*('Model Data Inputs'!$B$159-1),0))</f>
        <v>0</v>
      </c>
      <c r="AM358" s="222">
        <f>IF($G358="F",0,IF($M358&gt;'Model Data Inputs'!$B$160,$AH358*('Model Data Inputs'!$B$161-1),0))</f>
        <v>0</v>
      </c>
      <c r="AN358" s="222">
        <f>IF($G358="F",0,IF($P358&lt;'Model Data Inputs'!$B$162,SUM($AH358,$AI358,$AJ358,$AK358,$AL358,$AM358)*('Model Data Inputs'!$B$163-1),0))</f>
        <v>7.3041452388321604E-2</v>
      </c>
      <c r="AO358" s="222">
        <f t="shared" si="39"/>
        <v>0.80345597627153698</v>
      </c>
      <c r="AP358" s="224">
        <f>$K358*'Model Data Inputs'!$B$166</f>
        <v>35459.951000000001</v>
      </c>
      <c r="AQ358" s="224">
        <f>($K358*'Model Data Inputs'!$B$145)*'Model Data Inputs'!$B$166</f>
        <v>3545.9951000000001</v>
      </c>
      <c r="AR358" s="225">
        <f t="shared" si="40"/>
        <v>39005.946100000001</v>
      </c>
    </row>
    <row r="359" spans="1:44" x14ac:dyDescent="0.2">
      <c r="A359" s="205" t="str">
        <f>'School Level Inst. Resources'!A359</f>
        <v>2307000</v>
      </c>
      <c r="B359" s="205" t="str">
        <f>'School Level Inst. Resources'!B359</f>
        <v>Weston #7</v>
      </c>
      <c r="C359" s="205" t="str">
        <f>'School Level Inst. Resources'!C359</f>
        <v>2307055</v>
      </c>
      <c r="D359" s="205" t="str">
        <f>'School Level Inst. Resources'!D359</f>
        <v>Upton High School</v>
      </c>
      <c r="E359" s="206" t="str">
        <f>'School Level Inst. Resources'!E359</f>
        <v>9-12</v>
      </c>
      <c r="F359" s="206" t="str">
        <f>'School Level Inst. Resources'!H359</f>
        <v>H</v>
      </c>
      <c r="G359" s="206" t="s">
        <v>1158</v>
      </c>
      <c r="H359" s="207">
        <v>61176</v>
      </c>
      <c r="I359" s="207">
        <f>IF('SFD Allowable GSF Calculation'!$D$2=1,'SFD Allowable GSF Calculation'!$P359,'SFD Allowable GSF Calculation'!$X359)</f>
        <v>27643</v>
      </c>
      <c r="J359" s="194">
        <f>$I359*'Model Data Inputs'!$B$165</f>
        <v>31789.449999999997</v>
      </c>
      <c r="K359" s="194">
        <f>IF($L359&gt;='Model Data Inputs'!$B$164,$H359,MIN($H359,$J359))</f>
        <v>61176</v>
      </c>
      <c r="L359" s="208">
        <v>2002</v>
      </c>
      <c r="M359" s="196">
        <f>IF($L359&gt;0,'Model Data Inputs'!$B$157-$L359,"")</f>
        <v>15</v>
      </c>
      <c r="N359" s="209">
        <v>23</v>
      </c>
      <c r="O359" s="198">
        <f>'School Level Inst. Resources'!$L359</f>
        <v>80.86</v>
      </c>
      <c r="P359" s="198">
        <f>IF($G359="T",SUMIFS('School Level ADM'!$S$5:$S$359,'School Level ADM'!$A$5:$A$359,$A359),0)</f>
        <v>255.91166666666663</v>
      </c>
      <c r="Q359" s="199">
        <f t="shared" si="41"/>
        <v>0.31596840055487901</v>
      </c>
      <c r="R359" s="200">
        <f>SUM((('School Level Inst. Resources'!I359/'Model Data Inputs'!$B$8)*(1+'Model Data Inputs'!$B$9)),(SUM('School Level Inst. Resources'!J359:K359)/'Model Data Inputs'!$C$8)*(1+'Model Data Inputs'!$C$9),'School Level Inst. Resources'!K359/400)</f>
        <v>4.888514347826086</v>
      </c>
      <c r="S359" s="200">
        <f t="shared" si="42"/>
        <v>4.888514347826086</v>
      </c>
      <c r="T359" s="201">
        <f>IF($G359="T",VLOOKUP($A359,'Total O &amp; M Resources'!$A$5:$K$52,3),0)</f>
        <v>3262428.04</v>
      </c>
      <c r="U359" s="202">
        <f>IF($G359="F",0,$S359/'Model Data Inputs'!$B$140)</f>
        <v>0.37603956521739124</v>
      </c>
      <c r="V359" s="202">
        <f>IF($G359="F",0,$O359/'Model Data Inputs'!$B$141)</f>
        <v>0.24879999999999999</v>
      </c>
      <c r="W359" s="202">
        <f>IF($G359="F",0,$N359/'Model Data Inputs'!$B$142)</f>
        <v>1.7692307692307692</v>
      </c>
      <c r="X359" s="202">
        <f>IF($G359="F",0,$K359/'Model Data Inputs'!$B$143)</f>
        <v>3.3986666666666667</v>
      </c>
      <c r="Y359" s="202">
        <f t="shared" si="36"/>
        <v>1.4481842502787068</v>
      </c>
      <c r="Z359" s="202">
        <f>IF(OR($G359="F",$F359="E"),0,'Model Data Inputs'!$B$144)</f>
        <v>0.5</v>
      </c>
      <c r="AA359" s="202">
        <f>IF(AND($O359&lt;='Model Data Inputs'!$B$139,$F359="E"),0,IF(AND($O359&lt;='Model Data Inputs'!$B$139,$F359="M"),0,IF(AND($O359&lt;='Model Data Inputs'!$B$139,$F359="H"),0,IF(SUM($Y359:$Z359)&lt;1,1,SUM($Y359:$Z359)))))</f>
        <v>1.9481842502787068</v>
      </c>
      <c r="AB359" s="202">
        <f>($K359/'Model Data Inputs'!$B$143)*'Model Data Inputs'!$B$145</f>
        <v>0.33986666666666671</v>
      </c>
      <c r="AC359" s="202">
        <f t="shared" si="37"/>
        <v>2.2880509169453735</v>
      </c>
      <c r="AD359" s="202">
        <f>IF($G359="F",0,'Model Data Inputs'!$B$147)</f>
        <v>1.1000000000000001</v>
      </c>
      <c r="AE359" s="202">
        <f>IF($G359="F",0,($K359/'Model Data Inputs'!$B$148)*'Model Data Inputs'!$B$149)</f>
        <v>1.2235199999999999</v>
      </c>
      <c r="AF359" s="202">
        <f>IF($G359="F",0,($O359/'Model Data Inputs'!$B$150)*'Model Data Inputs'!$B$151)</f>
        <v>0.105118</v>
      </c>
      <c r="AG359" s="202">
        <f>IF($G359="F",0,(($Q359*$T359)/'Model Data Inputs'!$B$152)*'Model Data Inputs'!$B$153)</f>
        <v>0.24739780073380532</v>
      </c>
      <c r="AH359" s="202">
        <f t="shared" si="38"/>
        <v>0.66900895018345141</v>
      </c>
      <c r="AI359" s="203">
        <f>IF(OR($G359="F",$F359="M",$F359="H"),0,($AH359*'Model Data Inputs'!$B$154)-$AH359)</f>
        <v>0</v>
      </c>
      <c r="AJ359" s="202">
        <f>IF(OR($G359="F",$F359="E",$F359="H"),0,($AH359*'Model Data Inputs'!$B$155)-$AH359)</f>
        <v>0</v>
      </c>
      <c r="AK359" s="203">
        <f>IF(OR($G359="F",$F359="E",$F359="M"),0,($AH359*'Model Data Inputs'!$B$156)-$AH359)</f>
        <v>0.66900895018345141</v>
      </c>
      <c r="AL359" s="203">
        <f>IF($G359="F",0,IF($M359&lt;'Model Data Inputs'!$B$158,$AH359*('Model Data Inputs'!$B$159-1),0))</f>
        <v>0</v>
      </c>
      <c r="AM359" s="202">
        <f>IF($G359="F",0,IF($M359&gt;'Model Data Inputs'!$B$160,$AH359*('Model Data Inputs'!$B$161-1),0))</f>
        <v>0</v>
      </c>
      <c r="AN359" s="202">
        <f>IF($G359="F",0,IF($P359&lt;'Model Data Inputs'!$B$162,SUM($AH359,$AI359,$AJ359,$AK359,$AL359,$AM359)*('Model Data Inputs'!$B$163-1),0))</f>
        <v>0.1338017900366904</v>
      </c>
      <c r="AO359" s="202">
        <f t="shared" si="39"/>
        <v>1.4718196904035932</v>
      </c>
      <c r="AP359" s="204">
        <f>$K359*'Model Data Inputs'!$B$166</f>
        <v>40987.920000000006</v>
      </c>
      <c r="AQ359" s="204">
        <f>($K359*'Model Data Inputs'!$B$145)*'Model Data Inputs'!$B$166</f>
        <v>4098.7920000000004</v>
      </c>
      <c r="AR359" s="50">
        <f t="shared" si="40"/>
        <v>45086.712000000007</v>
      </c>
    </row>
    <row r="361" spans="1:44" ht="13.5" thickBot="1" x14ac:dyDescent="0.25">
      <c r="G361" s="283">
        <f>COUNTIF($G$5:$G$359,"T")</f>
        <v>325</v>
      </c>
      <c r="H361" s="284">
        <f t="shared" ref="H361:P361" si="43">SUM(H5:H359)</f>
        <v>23105566</v>
      </c>
      <c r="I361" s="284">
        <f t="shared" si="43"/>
        <v>16803740</v>
      </c>
      <c r="J361" s="284">
        <f t="shared" si="43"/>
        <v>19324301</v>
      </c>
      <c r="K361" s="284">
        <f t="shared" si="43"/>
        <v>19708134.849999994</v>
      </c>
      <c r="L361" s="284"/>
      <c r="M361" s="284"/>
      <c r="N361" s="284">
        <f t="shared" si="43"/>
        <v>9518</v>
      </c>
      <c r="O361" s="285">
        <f t="shared" si="43"/>
        <v>92369.294999999969</v>
      </c>
      <c r="P361" s="285">
        <f t="shared" si="43"/>
        <v>1576374.7003333354</v>
      </c>
      <c r="Q361" s="285"/>
      <c r="R361" s="286">
        <f>SUM(R5:R359)</f>
        <v>5830.850304219809</v>
      </c>
      <c r="S361" s="286">
        <f>SUM(S5:S359)</f>
        <v>5830.8503042198099</v>
      </c>
      <c r="T361" s="287"/>
      <c r="U361" s="286">
        <f t="shared" ref="U361:AR361" si="44">SUM(U5:U359)</f>
        <v>448.52694647844692</v>
      </c>
      <c r="V361" s="286">
        <f t="shared" si="44"/>
        <v>284.21321538461524</v>
      </c>
      <c r="W361" s="286">
        <f t="shared" si="44"/>
        <v>732.15384615384698</v>
      </c>
      <c r="X361" s="286">
        <f t="shared" si="44"/>
        <v>1094.8963805555563</v>
      </c>
      <c r="Y361" s="286">
        <f t="shared" si="44"/>
        <v>639.94759714311579</v>
      </c>
      <c r="Z361" s="286">
        <f t="shared" si="44"/>
        <v>71.5</v>
      </c>
      <c r="AA361" s="286">
        <f t="shared" si="44"/>
        <v>690.33153192990505</v>
      </c>
      <c r="AB361" s="286">
        <f t="shared" si="44"/>
        <v>109.4896380555555</v>
      </c>
      <c r="AC361" s="286">
        <f t="shared" si="44"/>
        <v>799.82116998546087</v>
      </c>
      <c r="AD361" s="286">
        <f t="shared" si="44"/>
        <v>357.50000000000119</v>
      </c>
      <c r="AE361" s="286">
        <f t="shared" si="44"/>
        <v>394.16269700000009</v>
      </c>
      <c r="AF361" s="286">
        <f t="shared" si="44"/>
        <v>120.08008350000003</v>
      </c>
      <c r="AG361" s="286">
        <f t="shared" si="44"/>
        <v>186.25790829120004</v>
      </c>
      <c r="AH361" s="286">
        <f t="shared" si="44"/>
        <v>264.50017219779988</v>
      </c>
      <c r="AI361" s="288">
        <f t="shared" si="44"/>
        <v>-24.431777915640385</v>
      </c>
      <c r="AJ361" s="288">
        <f t="shared" si="44"/>
        <v>0</v>
      </c>
      <c r="AK361" s="288">
        <f t="shared" si="44"/>
        <v>89.918783947857875</v>
      </c>
      <c r="AL361" s="288">
        <f t="shared" si="44"/>
        <v>-4.0537536461425976</v>
      </c>
      <c r="AM361" s="288">
        <f t="shared" si="44"/>
        <v>12.556975546220327</v>
      </c>
      <c r="AN361" s="288">
        <f t="shared" si="44"/>
        <v>7.0353589123921534</v>
      </c>
      <c r="AO361" s="288">
        <f t="shared" si="44"/>
        <v>345.52575904248772</v>
      </c>
      <c r="AP361" s="289">
        <f t="shared" si="44"/>
        <v>13204450.34950001</v>
      </c>
      <c r="AQ361" s="289">
        <f t="shared" si="44"/>
        <v>1320445.0349499995</v>
      </c>
      <c r="AR361" s="289">
        <f t="shared" si="44"/>
        <v>14524895.38445</v>
      </c>
    </row>
    <row r="362" spans="1:44" ht="13.5" thickTop="1" x14ac:dyDescent="0.2">
      <c r="S362" s="290"/>
    </row>
  </sheetData>
  <sheetProtection algorithmName="SHA-512" hashValue="Y5MNT/xD+puubhSUWlapksNw1deWraF5zREi8EI9XPlR/gPUNrF/27diTRZC7X/rYvHY1iTnbsDcyW6k1B50KQ==" saltValue="IWzdLS4mr5LtgXWcsJbEuA==" spinCount="100000" sheet="1" objects="1" scenarios="1"/>
  <mergeCells count="1">
    <mergeCell ref="A1:AR1"/>
  </mergeCells>
  <pageMargins left="0.5" right="0.5" top="0.5" bottom="0.5" header="0.25" footer="0.25"/>
  <pageSetup scale="51" fitToWidth="3" fitToHeight="11" orientation="landscape" r:id="rId1"/>
  <headerFooter>
    <oddHeader>&amp;L&amp;"Calibri,Bold"&amp;12School Level Routine Operations and Maintenance Personnel and Non-Personnel Resources</oddHead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362"/>
  <sheetViews>
    <sheetView showGridLines="0" zoomScale="85" zoomScaleNormal="85" workbookViewId="0">
      <pane xSplit="4" ySplit="4" topLeftCell="E5" activePane="bottomRight" state="frozen"/>
      <selection sqref="A1:M1"/>
      <selection pane="topRight" sqref="A1:M1"/>
      <selection pane="bottomLeft" sqref="A1:M1"/>
      <selection pane="bottomRight" sqref="A1:C1"/>
    </sheetView>
  </sheetViews>
  <sheetFormatPr defaultColWidth="8.85546875" defaultRowHeight="12.75" x14ac:dyDescent="0.2"/>
  <cols>
    <col min="1" max="1" width="12.7109375" style="189" customWidth="1"/>
    <col min="2" max="2" width="15.28515625" style="189" customWidth="1"/>
    <col min="3" max="3" width="12.7109375" style="189" customWidth="1"/>
    <col min="4" max="4" width="30" style="189" customWidth="1"/>
    <col min="5" max="5" width="13.7109375" style="282" customWidth="1"/>
    <col min="6" max="24" width="13.7109375" style="189" customWidth="1"/>
    <col min="25" max="16384" width="8.85546875" style="189"/>
  </cols>
  <sheetData>
    <row r="1" spans="1:24" ht="15.75" x14ac:dyDescent="0.25">
      <c r="A1" s="485" t="s">
        <v>1160</v>
      </c>
      <c r="B1" s="485"/>
      <c r="C1" s="485"/>
      <c r="D1" s="291"/>
      <c r="E1" s="291"/>
      <c r="F1" s="291"/>
      <c r="G1" s="291"/>
      <c r="H1" s="291"/>
      <c r="I1" s="291"/>
      <c r="J1" s="291"/>
      <c r="K1" s="291"/>
      <c r="L1" s="291"/>
      <c r="M1" s="291"/>
      <c r="N1" s="291"/>
      <c r="O1" s="291"/>
      <c r="P1" s="291"/>
      <c r="Q1" s="291"/>
    </row>
    <row r="2" spans="1:24" x14ac:dyDescent="0.2">
      <c r="A2" s="486" t="s">
        <v>1161</v>
      </c>
      <c r="B2" s="486"/>
      <c r="C2" s="486"/>
      <c r="D2" s="292">
        <v>2</v>
      </c>
    </row>
    <row r="3" spans="1:24" x14ac:dyDescent="0.2">
      <c r="I3" s="487" t="s">
        <v>1162</v>
      </c>
      <c r="J3" s="487"/>
      <c r="K3" s="487"/>
      <c r="L3" s="487"/>
      <c r="M3" s="487"/>
      <c r="N3" s="487"/>
      <c r="O3" s="487"/>
      <c r="P3" s="487"/>
      <c r="Q3" s="487" t="s">
        <v>1163</v>
      </c>
      <c r="R3" s="487"/>
      <c r="S3" s="487"/>
      <c r="T3" s="487"/>
      <c r="U3" s="487"/>
      <c r="V3" s="487"/>
      <c r="W3" s="487"/>
      <c r="X3" s="487"/>
    </row>
    <row r="4" spans="1:24" ht="39" thickBot="1" x14ac:dyDescent="0.25">
      <c r="A4" s="190" t="s">
        <v>1</v>
      </c>
      <c r="B4" s="190" t="s">
        <v>2</v>
      </c>
      <c r="C4" s="190" t="s">
        <v>312</v>
      </c>
      <c r="D4" s="190" t="s">
        <v>313</v>
      </c>
      <c r="E4" s="190" t="s">
        <v>314</v>
      </c>
      <c r="F4" s="190" t="s">
        <v>1122</v>
      </c>
      <c r="G4" s="190" t="s">
        <v>1123</v>
      </c>
      <c r="H4" s="190" t="s">
        <v>1164</v>
      </c>
      <c r="I4" s="190" t="s">
        <v>1165</v>
      </c>
      <c r="J4" s="190" t="s">
        <v>1166</v>
      </c>
      <c r="K4" s="190" t="s">
        <v>1167</v>
      </c>
      <c r="L4" s="190" t="s">
        <v>1168</v>
      </c>
      <c r="M4" s="190" t="s">
        <v>1169</v>
      </c>
      <c r="N4" s="190" t="s">
        <v>1170</v>
      </c>
      <c r="O4" s="190" t="s">
        <v>1171</v>
      </c>
      <c r="P4" s="190" t="s">
        <v>1172</v>
      </c>
      <c r="Q4" s="190" t="s">
        <v>1173</v>
      </c>
      <c r="R4" s="190" t="s">
        <v>1166</v>
      </c>
      <c r="S4" s="190" t="s">
        <v>1167</v>
      </c>
      <c r="T4" s="190" t="s">
        <v>1168</v>
      </c>
      <c r="U4" s="190" t="s">
        <v>1169</v>
      </c>
      <c r="V4" s="190" t="s">
        <v>1170</v>
      </c>
      <c r="W4" s="190" t="s">
        <v>1171</v>
      </c>
      <c r="X4" s="190" t="s">
        <v>1172</v>
      </c>
    </row>
    <row r="5" spans="1:24" x14ac:dyDescent="0.2">
      <c r="A5" s="191" t="str">
        <f>'School Level Inst. Resources'!A5</f>
        <v>0101000</v>
      </c>
      <c r="B5" s="191" t="str">
        <f>'School Level Inst. Resources'!B5</f>
        <v>Albany #1</v>
      </c>
      <c r="C5" s="191" t="str">
        <f>'School Level Inst. Resources'!C5</f>
        <v>0101001</v>
      </c>
      <c r="D5" s="191" t="str">
        <f>'School Level Inst. Resources'!D5</f>
        <v>Snowy Range Academy</v>
      </c>
      <c r="E5" s="192" t="str">
        <f>'School Level Inst. Resources'!E5</f>
        <v>K-9</v>
      </c>
      <c r="F5" s="192" t="str">
        <f>'School Level Inst. Resources'!H5</f>
        <v>M</v>
      </c>
      <c r="G5" s="192" t="s">
        <v>1158</v>
      </c>
      <c r="H5" s="192" t="str">
        <f>IF(OR(E5="P-8",E5="K-8",E5="K-9"),"K-8",IF(OR(E5="P-12",E5="K-12"),"K-12",IF(OR(E5="6-12",E5="7-12"),"6-12",F5)))</f>
        <v>K-8</v>
      </c>
      <c r="I5" s="198">
        <f>'School Level ADM'!$BI5</f>
        <v>196.49799999999999</v>
      </c>
      <c r="J5" s="194">
        <f>IF(OR($G5="F",$F5&lt;&gt;"E"),0,IF($I5&lt;19,2915,IF($I5&gt;456,ROUND((132.39*$I5),0),ROUND((0.0002128*$I5^3-0.2644484*$I5^2+208.6966777*$I5+16.4242391),0))))</f>
        <v>0</v>
      </c>
      <c r="K5" s="194">
        <f>IF(OR($G5="F",$H5&lt;&gt;"M"),0,IF($I5&lt;150,ROUND((300.63*$I5),0),IF($I5&gt;750,ROUND((148.26*$I5),0),ROUND((0.000146*$I5^3-0.1993016*$I5^2+187.7071094*$I5+20929.8632813),0))))</f>
        <v>0</v>
      </c>
      <c r="L5" s="194">
        <f>IF(OR($G5="F",$H5&lt;&gt;"H"),0,IF($I5&lt;150,ROUND((361.73*$I5),0),IF($I5&gt;1350,ROUND((167.67*$I5),0),ROUND((0.0000446*$I5^3-0.1033081*$I5^2+207.0604979*$I5+25374.374907),0))))</f>
        <v>0</v>
      </c>
      <c r="M5" s="194">
        <f>IF(OR($G5="F",$H5&lt;&gt;"K-8"),0,IF($I5&lt;85,ROUND((341.99*$I5),0),IF($I5&gt;342,ROUND((186.46*$I5),0),ROUND((-0.3239548*$I5^2+273.3488359*$I5+8175.0727129),0))))</f>
        <v>49379</v>
      </c>
      <c r="N5" s="194">
        <f>IF(OR($G5="F",$H5&lt;&gt;"6-12"),0,IF($I5&lt;75,ROUND((530.59*$I5),0),IF($I5&gt;350,ROUND((260.77*$I5),0),ROUND((0.0025644*$I5^3-1.7519279*$I5^2+535.8785137*$I5+8376.2839819),0))))</f>
        <v>0</v>
      </c>
      <c r="O5" s="194">
        <f>IF(OR($G5="F",$H5&lt;&gt;"K-12"),0,IF($I5&lt;75,ROUND((500.08*$I5),0),IF($I5&gt;350,ROUND((251.34*$I5),0),ROUND((0.0017301*$I5^3-1.3373171*$I5^2+484.7783098*$I5+7940.3304431),0))))</f>
        <v>0</v>
      </c>
      <c r="P5" s="194">
        <f>SUM(J5:O5)</f>
        <v>49379</v>
      </c>
      <c r="Q5" s="198">
        <f>'School Level ADM'!$AU5</f>
        <v>200.94</v>
      </c>
      <c r="R5" s="194">
        <f>IF(OR($G5="F",$F5&lt;&gt;"E"),0,IF($Q5&lt;19,2915,IF($Q5&gt;456,ROUND((132.39*$Q5),0),ROUND((0.0002128*$Q5^3-0.2644484*$Q5^2+208.6966777*$Q5+16.4242391),0))))</f>
        <v>0</v>
      </c>
      <c r="S5" s="194">
        <f>IF(OR($G5="F",$H5&lt;&gt;"M"),0,IF($Q5&lt;150,ROUND((300.63*$Q5),0),IF($Q5&gt;750,ROUND((148.26*$Q5),0),ROUND((0.000146*$Q5^3-0.1993016*$Q5^2+187.7071094*$Q5+20929.8632813),0))))</f>
        <v>0</v>
      </c>
      <c r="T5" s="194">
        <f>IF(OR($G5="F",$H5&lt;&gt;"H"),0,IF($Q5&lt;150,ROUND((361.73*$Q5),0),IF($Q5&gt;1350,ROUND((167.67*$Q5),0),ROUND((0.0000446*$Q5^3-0.1033081*$Q5^2+207.0604979*$Q5+25374.374907),0))))</f>
        <v>0</v>
      </c>
      <c r="U5" s="194">
        <f>IF(OR($G5="F",$H5&lt;&gt;"K-8"),0,IF($Q5&lt;85,ROUND((341.99*$Q5),0),IF($Q5&gt;342,ROUND((186.46*$Q5),0),ROUND((-0.3239548*$Q5^2+273.3488359*$Q5+8175.0727129),0))))</f>
        <v>50022</v>
      </c>
      <c r="V5" s="194">
        <f>IF(OR($G5="F",$H5&lt;&gt;"6-12"),0,IF($Q5&lt;75,ROUND((530.59*$Q5),0),IF($Q5&gt;350,ROUND((260.77*$Q5),0),ROUND((0.0025644*$Q5^3-1.7519279*$Q5^2+535.8785137*$Q5+8376.2839819),0))))</f>
        <v>0</v>
      </c>
      <c r="W5" s="194">
        <f>IF(OR($G5="F",$H5&lt;&gt;"K-12"),0,IF($Q5&lt;75,ROUND((500.08*$Q5),0),IF($Q5&gt;350,ROUND((251.34*$Q5),0),ROUND((0.0017301*$Q5^3-1.3373171*$Q5^2+484.7783098*$Q5+7940.3304431),0))))</f>
        <v>0</v>
      </c>
      <c r="X5" s="194">
        <f>SUM(R5:W5)</f>
        <v>50022</v>
      </c>
    </row>
    <row r="6" spans="1:24" x14ac:dyDescent="0.2">
      <c r="A6" s="205" t="str">
        <f>'School Level Inst. Resources'!A6</f>
        <v>0101000</v>
      </c>
      <c r="B6" s="205" t="str">
        <f>'School Level Inst. Resources'!B6</f>
        <v>Albany #1</v>
      </c>
      <c r="C6" s="205" t="str">
        <f>'School Level Inst. Resources'!C6</f>
        <v>0101002</v>
      </c>
      <c r="D6" s="205" t="str">
        <f>'School Level Inst. Resources'!D6</f>
        <v>Beitel Elementary</v>
      </c>
      <c r="E6" s="206" t="str">
        <f>'School Level Inst. Resources'!E6</f>
        <v>K-5</v>
      </c>
      <c r="F6" s="206" t="str">
        <f>'School Level Inst. Resources'!H6</f>
        <v>E</v>
      </c>
      <c r="G6" s="206" t="s">
        <v>1158</v>
      </c>
      <c r="H6" s="206" t="str">
        <f t="shared" ref="H6:H69" si="0">IF(OR(E6="P-8",E6="K-8",E6="K-9"),"K-8",IF(OR(E6="P-12",E6="K-12"),"K-12",IF(OR(E6="6-12",E6="7-12"),"6-12",F6)))</f>
        <v>E</v>
      </c>
      <c r="I6" s="198">
        <f>'School Level ADM'!$BI6</f>
        <v>244.44499999999999</v>
      </c>
      <c r="J6" s="194">
        <f t="shared" ref="J6:J69" si="1">IF(OR($G6="F",$F6&lt;&gt;"E"),0,IF($I6&lt;19,2915,IF($I6&gt;456,ROUND((132.39*$I6),0),ROUND((0.0002128*$I6^3-0.2644484*$I6^2+208.6966777*$I6+16.4242391),0))))</f>
        <v>38338</v>
      </c>
      <c r="K6" s="194">
        <f t="shared" ref="K6:K69" si="2">IF(OR($G6="F",$H6&lt;&gt;"M"),0,IF($I6&lt;150,ROUND((300.63*$I6),0),IF($I6&gt;750,ROUND((148.26*$I6),0),ROUND((0.000146*$I6^3-0.1993016*$I6^2+187.7071094*$I6+20929.8632813),0))))</f>
        <v>0</v>
      </c>
      <c r="L6" s="194">
        <f t="shared" ref="L6:L69" si="3">IF(OR($G6="F",$H6&lt;&gt;"H"),0,IF($I6&lt;150,ROUND((361.73*$I6),0),IF($I6&gt;1350,ROUND((167.67*$I6),0),ROUND((0.0000446*$I6^3-0.1033081*$I6^2+207.0604979*$I6+25374.374907),0))))</f>
        <v>0</v>
      </c>
      <c r="M6" s="194">
        <f t="shared" ref="M6:M69" si="4">IF(OR($G6="F",$H6&lt;&gt;"K-8"),0,IF($I6&lt;85,ROUND((341.99*$I6),0),IF($I6&gt;342,ROUND((186.46*$I6),0),ROUND((-0.3239548*$I6^2+273.3488359*$I6+8175.0727129),0))))</f>
        <v>0</v>
      </c>
      <c r="N6" s="194">
        <f t="shared" ref="N6:N69" si="5">IF(OR($G6="F",$H6&lt;&gt;"6-12"),0,IF($I6&lt;75,ROUND((530.59*$I6),0),IF($I6&gt;350,ROUND((260.77*$I6),0),ROUND((0.0025644*$I6^3-1.7519279*$I6^2+535.8785137*$I6+8376.2839819),0))))</f>
        <v>0</v>
      </c>
      <c r="O6" s="194">
        <f t="shared" ref="O6:O69" si="6">IF(OR($G6="F",$H6&lt;&gt;"K-12"),0,IF($I6&lt;75,ROUND((500.08*$I6),0),IF($I6&gt;350,ROUND((251.34*$I6),0),ROUND((0.0017301*$I6^3-1.3373171*$I6^2+484.7783098*$I6+7940.3304431),0))))</f>
        <v>0</v>
      </c>
      <c r="P6" s="194">
        <f t="shared" ref="P6:P69" si="7">SUM(J6:O6)</f>
        <v>38338</v>
      </c>
      <c r="Q6" s="198">
        <f>'School Level ADM'!$AU6</f>
        <v>238.37</v>
      </c>
      <c r="R6" s="194">
        <f t="shared" ref="R6:R69" si="8">IF(OR($G6="F",$F6&lt;&gt;"E"),0,IF($I6&lt;19,2915,IF($I6&gt;456,ROUND((132.39*$I6),0),ROUND((0.0002128*$I6^3-0.2644484*$I6^2+208.6966777*$I6+16.4242391),0))))</f>
        <v>38338</v>
      </c>
      <c r="S6" s="194">
        <f t="shared" ref="S6:S69" si="9">IF(OR($G6="F",$H6&lt;&gt;"M"),0,IF($I6&lt;150,ROUND((300.63*$I6),0),IF($I6&gt;750,ROUND((148.26*$I6),0),ROUND((0.000146*$I6^3-0.1993016*$I6^2+187.7071094*$I6+20929.8632813),0))))</f>
        <v>0</v>
      </c>
      <c r="T6" s="194">
        <f t="shared" ref="T6:T69" si="10">IF(OR($G6="F",$H6&lt;&gt;"H"),0,IF($I6&lt;150,ROUND((361.73*$I6),0),IF($I6&gt;1350,ROUND((167.67*$I6),0),ROUND((0.0000446*$I6^3-0.1033081*$I6^2+207.0604979*$I6+25374.374907),0))))</f>
        <v>0</v>
      </c>
      <c r="U6" s="194">
        <f t="shared" ref="U6:U69" si="11">IF(OR($G6="F",$H6&lt;&gt;"K-8"),0,IF($I6&lt;85,ROUND((341.99*$I6),0),IF($I6&gt;342,ROUND((186.46*$I6),0),ROUND((-0.3239548*$I6^2+273.3488359*$I6+8175.0727129),0))))</f>
        <v>0</v>
      </c>
      <c r="V6" s="194">
        <f t="shared" ref="V6:V69" si="12">IF(OR($G6="F",$H6&lt;&gt;"6-12"),0,IF($I6&lt;75,ROUND((530.59*$I6),0),IF($I6&gt;350,ROUND((260.77*$I6),0),ROUND((0.0025644*$I6^3-1.7519279*$I6^2+535.8785137*$I6+8376.2839819),0))))</f>
        <v>0</v>
      </c>
      <c r="W6" s="194">
        <f t="shared" ref="W6:W69" si="13">IF(OR($G6="F",$H6&lt;&gt;"K-12"),0,IF($I6&lt;75,ROUND((500.08*$I6),0),IF($I6&gt;350,ROUND((251.34*$I6),0),ROUND((0.0017301*$I6^3-1.3373171*$I6^2+484.7783098*$I6+7940.3304431),0))))</f>
        <v>0</v>
      </c>
      <c r="X6" s="194">
        <f t="shared" ref="X6:X69" si="14">SUM(R6:W6)</f>
        <v>38338</v>
      </c>
    </row>
    <row r="7" spans="1:24" x14ac:dyDescent="0.2">
      <c r="A7" s="205" t="str">
        <f>'School Level Inst. Resources'!A7</f>
        <v>0101000</v>
      </c>
      <c r="B7" s="205" t="str">
        <f>'School Level Inst. Resources'!B7</f>
        <v>Albany #1</v>
      </c>
      <c r="C7" s="205" t="str">
        <f>'School Level Inst. Resources'!C7</f>
        <v>0101005</v>
      </c>
      <c r="D7" s="205" t="str">
        <f>'School Level Inst. Resources'!D7</f>
        <v>Centennial Elementary</v>
      </c>
      <c r="E7" s="206" t="str">
        <f>'School Level Inst. Resources'!E7</f>
        <v>K-6</v>
      </c>
      <c r="F7" s="206" t="str">
        <f>'School Level Inst. Resources'!H7</f>
        <v>E</v>
      </c>
      <c r="G7" s="206" t="s">
        <v>1158</v>
      </c>
      <c r="H7" s="206" t="str">
        <f t="shared" si="0"/>
        <v>E</v>
      </c>
      <c r="I7" s="198">
        <f>'School Level ADM'!$BI7</f>
        <v>7.1079999999999997</v>
      </c>
      <c r="J7" s="194">
        <f t="shared" si="1"/>
        <v>2915</v>
      </c>
      <c r="K7" s="194">
        <f t="shared" si="2"/>
        <v>0</v>
      </c>
      <c r="L7" s="194">
        <f t="shared" si="3"/>
        <v>0</v>
      </c>
      <c r="M7" s="194">
        <f t="shared" si="4"/>
        <v>0</v>
      </c>
      <c r="N7" s="194">
        <f t="shared" si="5"/>
        <v>0</v>
      </c>
      <c r="O7" s="194">
        <f t="shared" si="6"/>
        <v>0</v>
      </c>
      <c r="P7" s="194">
        <f t="shared" si="7"/>
        <v>2915</v>
      </c>
      <c r="Q7" s="198">
        <f>'School Level ADM'!$AU7</f>
        <v>7.8800000000000008</v>
      </c>
      <c r="R7" s="194">
        <f t="shared" si="8"/>
        <v>2915</v>
      </c>
      <c r="S7" s="194">
        <f t="shared" si="9"/>
        <v>0</v>
      </c>
      <c r="T7" s="194">
        <f t="shared" si="10"/>
        <v>0</v>
      </c>
      <c r="U7" s="194">
        <f t="shared" si="11"/>
        <v>0</v>
      </c>
      <c r="V7" s="194">
        <f t="shared" si="12"/>
        <v>0</v>
      </c>
      <c r="W7" s="194">
        <f t="shared" si="13"/>
        <v>0</v>
      </c>
      <c r="X7" s="194">
        <f t="shared" si="14"/>
        <v>2915</v>
      </c>
    </row>
    <row r="8" spans="1:24" x14ac:dyDescent="0.2">
      <c r="A8" s="205" t="str">
        <f>'School Level Inst. Resources'!A8</f>
        <v>0101000</v>
      </c>
      <c r="B8" s="205" t="str">
        <f>'School Level Inst. Resources'!B8</f>
        <v>Albany #1</v>
      </c>
      <c r="C8" s="205" t="str">
        <f>'School Level Inst. Resources'!C8</f>
        <v>0101009</v>
      </c>
      <c r="D8" s="205" t="str">
        <f>'School Level Inst. Resources'!D8</f>
        <v>Harmony Elementary</v>
      </c>
      <c r="E8" s="206" t="str">
        <f>'School Level Inst. Resources'!E8</f>
        <v>K-6</v>
      </c>
      <c r="F8" s="206" t="str">
        <f>'School Level Inst. Resources'!H8</f>
        <v>E</v>
      </c>
      <c r="G8" s="206" t="s">
        <v>1158</v>
      </c>
      <c r="H8" s="206" t="str">
        <f t="shared" si="0"/>
        <v>E</v>
      </c>
      <c r="I8" s="198">
        <f>'School Level ADM'!$BI8</f>
        <v>24.141999999999999</v>
      </c>
      <c r="J8" s="194">
        <f t="shared" si="1"/>
        <v>4904</v>
      </c>
      <c r="K8" s="194">
        <f t="shared" si="2"/>
        <v>0</v>
      </c>
      <c r="L8" s="194">
        <f t="shared" si="3"/>
        <v>0</v>
      </c>
      <c r="M8" s="194">
        <f t="shared" si="4"/>
        <v>0</v>
      </c>
      <c r="N8" s="194">
        <f t="shared" si="5"/>
        <v>0</v>
      </c>
      <c r="O8" s="194">
        <f t="shared" si="6"/>
        <v>0</v>
      </c>
      <c r="P8" s="194">
        <f t="shared" si="7"/>
        <v>4904</v>
      </c>
      <c r="Q8" s="198">
        <f>'School Level ADM'!$AU8</f>
        <v>23.64</v>
      </c>
      <c r="R8" s="194">
        <f t="shared" si="8"/>
        <v>4904</v>
      </c>
      <c r="S8" s="194">
        <f t="shared" si="9"/>
        <v>0</v>
      </c>
      <c r="T8" s="194">
        <f t="shared" si="10"/>
        <v>0</v>
      </c>
      <c r="U8" s="194">
        <f t="shared" si="11"/>
        <v>0</v>
      </c>
      <c r="V8" s="194">
        <f t="shared" si="12"/>
        <v>0</v>
      </c>
      <c r="W8" s="194">
        <f t="shared" si="13"/>
        <v>0</v>
      </c>
      <c r="X8" s="194">
        <f t="shared" si="14"/>
        <v>4904</v>
      </c>
    </row>
    <row r="9" spans="1:24" s="226" customFormat="1" x14ac:dyDescent="0.2">
      <c r="A9" s="210" t="str">
        <f>'School Level Inst. Resources'!A9</f>
        <v>0101000</v>
      </c>
      <c r="B9" s="210" t="str">
        <f>'School Level Inst. Resources'!B9</f>
        <v>Albany #1</v>
      </c>
      <c r="C9" s="210" t="str">
        <f>'School Level Inst. Resources'!C9</f>
        <v>0101015</v>
      </c>
      <c r="D9" s="210" t="str">
        <f>'School Level Inst. Resources'!D9</f>
        <v>Rock River Elementary</v>
      </c>
      <c r="E9" s="211" t="str">
        <f>'School Level Inst. Resources'!E9</f>
        <v>P-6</v>
      </c>
      <c r="F9" s="212" t="str">
        <f>'School Level Inst. Resources'!H9</f>
        <v>E</v>
      </c>
      <c r="G9" s="212" t="s">
        <v>1159</v>
      </c>
      <c r="H9" s="212" t="str">
        <f t="shared" si="0"/>
        <v>E</v>
      </c>
      <c r="I9" s="217">
        <v>0</v>
      </c>
      <c r="J9" s="293">
        <f t="shared" si="1"/>
        <v>0</v>
      </c>
      <c r="K9" s="293">
        <f t="shared" si="2"/>
        <v>0</v>
      </c>
      <c r="L9" s="293">
        <f t="shared" si="3"/>
        <v>0</v>
      </c>
      <c r="M9" s="293">
        <f t="shared" si="4"/>
        <v>0</v>
      </c>
      <c r="N9" s="293">
        <f t="shared" si="5"/>
        <v>0</v>
      </c>
      <c r="O9" s="293">
        <f t="shared" si="6"/>
        <v>0</v>
      </c>
      <c r="P9" s="293">
        <f t="shared" si="7"/>
        <v>0</v>
      </c>
      <c r="Q9" s="217">
        <v>0</v>
      </c>
      <c r="R9" s="293">
        <f t="shared" si="8"/>
        <v>0</v>
      </c>
      <c r="S9" s="293">
        <f t="shared" si="9"/>
        <v>0</v>
      </c>
      <c r="T9" s="293">
        <f t="shared" si="10"/>
        <v>0</v>
      </c>
      <c r="U9" s="293">
        <f t="shared" si="11"/>
        <v>0</v>
      </c>
      <c r="V9" s="293">
        <f t="shared" si="12"/>
        <v>0</v>
      </c>
      <c r="W9" s="293">
        <f t="shared" si="13"/>
        <v>0</v>
      </c>
      <c r="X9" s="293">
        <f t="shared" si="14"/>
        <v>0</v>
      </c>
    </row>
    <row r="10" spans="1:24" x14ac:dyDescent="0.2">
      <c r="A10" s="227" t="str">
        <f>'School Level Inst. Resources'!A10</f>
        <v>0101000</v>
      </c>
      <c r="B10" s="227" t="str">
        <f>'School Level Inst. Resources'!B10</f>
        <v>Albany #1</v>
      </c>
      <c r="C10" s="227" t="str">
        <f>'School Level Inst. Resources'!C10</f>
        <v>0101017</v>
      </c>
      <c r="D10" s="227" t="str">
        <f>'School Level Inst. Resources'!D10</f>
        <v>Slade Elementary</v>
      </c>
      <c r="E10" s="228" t="str">
        <f>'School Level Inst. Resources'!E10</f>
        <v>P-5</v>
      </c>
      <c r="F10" s="229" t="str">
        <f>'School Level Inst. Resources'!H10</f>
        <v>E</v>
      </c>
      <c r="G10" s="229" t="s">
        <v>1158</v>
      </c>
      <c r="H10" s="229" t="str">
        <f t="shared" si="0"/>
        <v>E</v>
      </c>
      <c r="I10" s="198">
        <f>'School Level ADM'!$BI10</f>
        <v>257.22800000000001</v>
      </c>
      <c r="J10" s="194">
        <f t="shared" si="1"/>
        <v>39823</v>
      </c>
      <c r="K10" s="194">
        <f t="shared" si="2"/>
        <v>0</v>
      </c>
      <c r="L10" s="194">
        <f t="shared" si="3"/>
        <v>0</v>
      </c>
      <c r="M10" s="194">
        <f t="shared" si="4"/>
        <v>0</v>
      </c>
      <c r="N10" s="194">
        <f t="shared" si="5"/>
        <v>0</v>
      </c>
      <c r="O10" s="194">
        <f t="shared" si="6"/>
        <v>0</v>
      </c>
      <c r="P10" s="194">
        <f t="shared" si="7"/>
        <v>39823</v>
      </c>
      <c r="Q10" s="198">
        <f>'School Level ADM'!$AU10</f>
        <v>246.25</v>
      </c>
      <c r="R10" s="194">
        <f t="shared" si="8"/>
        <v>39823</v>
      </c>
      <c r="S10" s="194">
        <f t="shared" si="9"/>
        <v>0</v>
      </c>
      <c r="T10" s="194">
        <f t="shared" si="10"/>
        <v>0</v>
      </c>
      <c r="U10" s="194">
        <f t="shared" si="11"/>
        <v>0</v>
      </c>
      <c r="V10" s="194">
        <f t="shared" si="12"/>
        <v>0</v>
      </c>
      <c r="W10" s="194">
        <f t="shared" si="13"/>
        <v>0</v>
      </c>
      <c r="X10" s="194">
        <f t="shared" si="14"/>
        <v>39823</v>
      </c>
    </row>
    <row r="11" spans="1:24" x14ac:dyDescent="0.2">
      <c r="A11" s="227" t="str">
        <f>'School Level Inst. Resources'!A11</f>
        <v>0101000</v>
      </c>
      <c r="B11" s="227" t="str">
        <f>'School Level Inst. Resources'!B11</f>
        <v>Albany #1</v>
      </c>
      <c r="C11" s="227" t="str">
        <f>'School Level Inst. Resources'!C11</f>
        <v>0101019</v>
      </c>
      <c r="D11" s="227" t="str">
        <f>'School Level Inst. Resources'!D11</f>
        <v>Valley View Elementary</v>
      </c>
      <c r="E11" s="228" t="str">
        <f>'School Level Inst. Resources'!E11</f>
        <v>K-6</v>
      </c>
      <c r="F11" s="229" t="str">
        <f>'School Level Inst. Resources'!H11</f>
        <v>E</v>
      </c>
      <c r="G11" s="229" t="s">
        <v>1158</v>
      </c>
      <c r="H11" s="229" t="str">
        <f t="shared" si="0"/>
        <v>E</v>
      </c>
      <c r="I11" s="198">
        <f>'School Level ADM'!$BI11</f>
        <v>7.4920000000000009</v>
      </c>
      <c r="J11" s="194">
        <f t="shared" si="1"/>
        <v>2915</v>
      </c>
      <c r="K11" s="194">
        <f t="shared" si="2"/>
        <v>0</v>
      </c>
      <c r="L11" s="194">
        <f t="shared" si="3"/>
        <v>0</v>
      </c>
      <c r="M11" s="194">
        <f t="shared" si="4"/>
        <v>0</v>
      </c>
      <c r="N11" s="194">
        <f t="shared" si="5"/>
        <v>0</v>
      </c>
      <c r="O11" s="194">
        <f t="shared" si="6"/>
        <v>0</v>
      </c>
      <c r="P11" s="194">
        <f t="shared" si="7"/>
        <v>2915</v>
      </c>
      <c r="Q11" s="198">
        <f>'School Level ADM'!$AU11</f>
        <v>4.9249999999999998</v>
      </c>
      <c r="R11" s="194">
        <f t="shared" si="8"/>
        <v>2915</v>
      </c>
      <c r="S11" s="194">
        <f t="shared" si="9"/>
        <v>0</v>
      </c>
      <c r="T11" s="194">
        <f t="shared" si="10"/>
        <v>0</v>
      </c>
      <c r="U11" s="194">
        <f t="shared" si="11"/>
        <v>0</v>
      </c>
      <c r="V11" s="194">
        <f t="shared" si="12"/>
        <v>0</v>
      </c>
      <c r="W11" s="194">
        <f t="shared" si="13"/>
        <v>0</v>
      </c>
      <c r="X11" s="194">
        <f t="shared" si="14"/>
        <v>2915</v>
      </c>
    </row>
    <row r="12" spans="1:24" x14ac:dyDescent="0.2">
      <c r="A12" s="227" t="str">
        <f>'School Level Inst. Resources'!A12</f>
        <v>0101000</v>
      </c>
      <c r="B12" s="227" t="str">
        <f>'School Level Inst. Resources'!B12</f>
        <v>Albany #1</v>
      </c>
      <c r="C12" s="227" t="str">
        <f>'School Level Inst. Resources'!C12</f>
        <v>0101020</v>
      </c>
      <c r="D12" s="227" t="str">
        <f>'School Level Inst. Resources'!D12</f>
        <v>Velma Linford Elementary</v>
      </c>
      <c r="E12" s="228" t="str">
        <f>'School Level Inst. Resources'!E12</f>
        <v>P-5</v>
      </c>
      <c r="F12" s="229" t="str">
        <f>'School Level Inst. Resources'!H12</f>
        <v>E</v>
      </c>
      <c r="G12" s="229" t="s">
        <v>1158</v>
      </c>
      <c r="H12" s="229" t="str">
        <f t="shared" si="0"/>
        <v>E</v>
      </c>
      <c r="I12" s="198">
        <f>'School Level ADM'!$BI12</f>
        <v>345.58800000000002</v>
      </c>
      <c r="J12" s="194">
        <f t="shared" si="1"/>
        <v>49339</v>
      </c>
      <c r="K12" s="194">
        <f t="shared" si="2"/>
        <v>0</v>
      </c>
      <c r="L12" s="194">
        <f t="shared" si="3"/>
        <v>0</v>
      </c>
      <c r="M12" s="194">
        <f t="shared" si="4"/>
        <v>0</v>
      </c>
      <c r="N12" s="194">
        <f t="shared" si="5"/>
        <v>0</v>
      </c>
      <c r="O12" s="194">
        <f t="shared" si="6"/>
        <v>0</v>
      </c>
      <c r="P12" s="194">
        <f t="shared" si="7"/>
        <v>49339</v>
      </c>
      <c r="Q12" s="198">
        <f>'School Level ADM'!$AU12</f>
        <v>313.22999999999996</v>
      </c>
      <c r="R12" s="194">
        <f t="shared" si="8"/>
        <v>49339</v>
      </c>
      <c r="S12" s="194">
        <f t="shared" si="9"/>
        <v>0</v>
      </c>
      <c r="T12" s="194">
        <f t="shared" si="10"/>
        <v>0</v>
      </c>
      <c r="U12" s="194">
        <f t="shared" si="11"/>
        <v>0</v>
      </c>
      <c r="V12" s="194">
        <f t="shared" si="12"/>
        <v>0</v>
      </c>
      <c r="W12" s="194">
        <f t="shared" si="13"/>
        <v>0</v>
      </c>
      <c r="X12" s="194">
        <f t="shared" si="14"/>
        <v>49339</v>
      </c>
    </row>
    <row r="13" spans="1:24" x14ac:dyDescent="0.2">
      <c r="A13" s="227" t="str">
        <f>'School Level Inst. Resources'!A13</f>
        <v>0101000</v>
      </c>
      <c r="B13" s="227" t="str">
        <f>'School Level Inst. Resources'!B13</f>
        <v>Albany #1</v>
      </c>
      <c r="C13" s="227" t="str">
        <f>'School Level Inst. Resources'!C13</f>
        <v>0101027</v>
      </c>
      <c r="D13" s="227" t="str">
        <f>'School Level Inst. Resources'!D13</f>
        <v>Spring Creek Elementary</v>
      </c>
      <c r="E13" s="228" t="str">
        <f>'School Level Inst. Resources'!E13</f>
        <v>K-5</v>
      </c>
      <c r="F13" s="229" t="str">
        <f>'School Level Inst. Resources'!H13</f>
        <v>E</v>
      </c>
      <c r="G13" s="229" t="s">
        <v>1158</v>
      </c>
      <c r="H13" s="229" t="str">
        <f t="shared" si="0"/>
        <v>E</v>
      </c>
      <c r="I13" s="198">
        <f>'School Level ADM'!$BI13</f>
        <v>331.01699999999994</v>
      </c>
      <c r="J13" s="194">
        <f t="shared" si="1"/>
        <v>47841</v>
      </c>
      <c r="K13" s="194">
        <f t="shared" si="2"/>
        <v>0</v>
      </c>
      <c r="L13" s="194">
        <f t="shared" si="3"/>
        <v>0</v>
      </c>
      <c r="M13" s="194">
        <f t="shared" si="4"/>
        <v>0</v>
      </c>
      <c r="N13" s="194">
        <f t="shared" si="5"/>
        <v>0</v>
      </c>
      <c r="O13" s="194">
        <f t="shared" si="6"/>
        <v>0</v>
      </c>
      <c r="P13" s="194">
        <f t="shared" si="7"/>
        <v>47841</v>
      </c>
      <c r="Q13" s="198">
        <f>'School Level ADM'!$AU13</f>
        <v>321.11</v>
      </c>
      <c r="R13" s="194">
        <f t="shared" si="8"/>
        <v>47841</v>
      </c>
      <c r="S13" s="194">
        <f t="shared" si="9"/>
        <v>0</v>
      </c>
      <c r="T13" s="194">
        <f t="shared" si="10"/>
        <v>0</v>
      </c>
      <c r="U13" s="194">
        <f t="shared" si="11"/>
        <v>0</v>
      </c>
      <c r="V13" s="194">
        <f t="shared" si="12"/>
        <v>0</v>
      </c>
      <c r="W13" s="194">
        <f t="shared" si="13"/>
        <v>0</v>
      </c>
      <c r="X13" s="194">
        <f t="shared" si="14"/>
        <v>47841</v>
      </c>
    </row>
    <row r="14" spans="1:24" x14ac:dyDescent="0.2">
      <c r="A14" s="227" t="str">
        <f>'School Level Inst. Resources'!A14</f>
        <v>0101000</v>
      </c>
      <c r="B14" s="227" t="str">
        <f>'School Level Inst. Resources'!B14</f>
        <v>Albany #1</v>
      </c>
      <c r="C14" s="227" t="str">
        <f>'School Level Inst. Resources'!C14</f>
        <v>0101028</v>
      </c>
      <c r="D14" s="227" t="str">
        <f>'School Level Inst. Resources'!D14</f>
        <v>Indian Paintbrush  Elementary</v>
      </c>
      <c r="E14" s="228" t="str">
        <f>'School Level Inst. Resources'!E14</f>
        <v>K-5</v>
      </c>
      <c r="F14" s="229" t="str">
        <f>'School Level Inst. Resources'!H14</f>
        <v>E</v>
      </c>
      <c r="G14" s="229" t="s">
        <v>1158</v>
      </c>
      <c r="H14" s="229" t="str">
        <f t="shared" si="0"/>
        <v>E</v>
      </c>
      <c r="I14" s="198">
        <f>'School Level ADM'!$BI14</f>
        <v>331.31499999999994</v>
      </c>
      <c r="J14" s="194">
        <f t="shared" si="1"/>
        <v>47872</v>
      </c>
      <c r="K14" s="194">
        <f t="shared" si="2"/>
        <v>0</v>
      </c>
      <c r="L14" s="194">
        <f t="shared" si="3"/>
        <v>0</v>
      </c>
      <c r="M14" s="194">
        <f t="shared" si="4"/>
        <v>0</v>
      </c>
      <c r="N14" s="194">
        <f t="shared" si="5"/>
        <v>0</v>
      </c>
      <c r="O14" s="194">
        <f t="shared" si="6"/>
        <v>0</v>
      </c>
      <c r="P14" s="194">
        <f t="shared" si="7"/>
        <v>47872</v>
      </c>
      <c r="Q14" s="198">
        <f>'School Level ADM'!$AU14</f>
        <v>330.96</v>
      </c>
      <c r="R14" s="194">
        <f t="shared" si="8"/>
        <v>47872</v>
      </c>
      <c r="S14" s="194">
        <f t="shared" si="9"/>
        <v>0</v>
      </c>
      <c r="T14" s="194">
        <f t="shared" si="10"/>
        <v>0</v>
      </c>
      <c r="U14" s="194">
        <f t="shared" si="11"/>
        <v>0</v>
      </c>
      <c r="V14" s="194">
        <f t="shared" si="12"/>
        <v>0</v>
      </c>
      <c r="W14" s="194">
        <f t="shared" si="13"/>
        <v>0</v>
      </c>
      <c r="X14" s="194">
        <f t="shared" si="14"/>
        <v>47872</v>
      </c>
    </row>
    <row r="15" spans="1:24" x14ac:dyDescent="0.2">
      <c r="A15" s="227" t="str">
        <f>'School Level Inst. Resources'!A15</f>
        <v>0101000</v>
      </c>
      <c r="B15" s="227" t="str">
        <f>'School Level Inst. Resources'!B15</f>
        <v>Albany #1</v>
      </c>
      <c r="C15" s="227" t="str">
        <f>'School Level Inst. Resources'!C15</f>
        <v>0101030</v>
      </c>
      <c r="D15" s="227" t="str">
        <f>'School Level Inst. Resources'!D15</f>
        <v>UW Laboratory School</v>
      </c>
      <c r="E15" s="228" t="str">
        <f>'School Level Inst. Resources'!E15</f>
        <v>K-8</v>
      </c>
      <c r="F15" s="229" t="str">
        <f>'School Level Inst. Resources'!H15</f>
        <v>M</v>
      </c>
      <c r="G15" s="229" t="s">
        <v>1158</v>
      </c>
      <c r="H15" s="229" t="str">
        <f t="shared" si="0"/>
        <v>K-8</v>
      </c>
      <c r="I15" s="198">
        <f>'School Level ADM'!$BI15</f>
        <v>263.685</v>
      </c>
      <c r="J15" s="194">
        <f t="shared" si="1"/>
        <v>0</v>
      </c>
      <c r="K15" s="194">
        <f t="shared" si="2"/>
        <v>0</v>
      </c>
      <c r="L15" s="194">
        <f t="shared" si="3"/>
        <v>0</v>
      </c>
      <c r="M15" s="194">
        <f t="shared" si="4"/>
        <v>57729</v>
      </c>
      <c r="N15" s="194">
        <f t="shared" si="5"/>
        <v>0</v>
      </c>
      <c r="O15" s="194">
        <f t="shared" si="6"/>
        <v>0</v>
      </c>
      <c r="P15" s="194">
        <f t="shared" si="7"/>
        <v>57729</v>
      </c>
      <c r="Q15" s="198">
        <f>'School Level ADM'!$AU15</f>
        <v>262.995</v>
      </c>
      <c r="R15" s="194">
        <f t="shared" si="8"/>
        <v>0</v>
      </c>
      <c r="S15" s="194">
        <f t="shared" si="9"/>
        <v>0</v>
      </c>
      <c r="T15" s="194">
        <f t="shared" si="10"/>
        <v>0</v>
      </c>
      <c r="U15" s="194">
        <f t="shared" si="11"/>
        <v>57729</v>
      </c>
      <c r="V15" s="194">
        <f t="shared" si="12"/>
        <v>0</v>
      </c>
      <c r="W15" s="194">
        <f t="shared" si="13"/>
        <v>0</v>
      </c>
      <c r="X15" s="194">
        <f t="shared" si="14"/>
        <v>57729</v>
      </c>
    </row>
    <row r="16" spans="1:24" x14ac:dyDescent="0.2">
      <c r="A16" s="227" t="str">
        <f>'School Level Inst. Resources'!A16</f>
        <v>0101000</v>
      </c>
      <c r="B16" s="227" t="str">
        <f>'School Level Inst. Resources'!B16</f>
        <v>Albany #1</v>
      </c>
      <c r="C16" s="227" t="str">
        <f>'School Level Inst. Resources'!C16</f>
        <v>0101031</v>
      </c>
      <c r="D16" s="227" t="str">
        <f>'School Level Inst. Resources'!D16</f>
        <v>Laramie Montessori</v>
      </c>
      <c r="E16" s="228" t="str">
        <f>'School Level Inst. Resources'!E16</f>
        <v>K-6</v>
      </c>
      <c r="F16" s="229" t="str">
        <f>'School Level Inst. Resources'!H16</f>
        <v>E</v>
      </c>
      <c r="G16" s="229" t="s">
        <v>1158</v>
      </c>
      <c r="H16" s="229" t="str">
        <f t="shared" si="0"/>
        <v>E</v>
      </c>
      <c r="I16" s="198">
        <f>'School Level ADM'!$BI16</f>
        <v>71.658000000000001</v>
      </c>
      <c r="J16" s="194">
        <f t="shared" si="1"/>
        <v>13692</v>
      </c>
      <c r="K16" s="194">
        <f t="shared" si="2"/>
        <v>0</v>
      </c>
      <c r="L16" s="194">
        <f t="shared" si="3"/>
        <v>0</v>
      </c>
      <c r="M16" s="194">
        <f t="shared" si="4"/>
        <v>0</v>
      </c>
      <c r="N16" s="194">
        <f t="shared" si="5"/>
        <v>0</v>
      </c>
      <c r="O16" s="194">
        <f t="shared" si="6"/>
        <v>0</v>
      </c>
      <c r="P16" s="194">
        <f t="shared" si="7"/>
        <v>13692</v>
      </c>
      <c r="Q16" s="198">
        <f>'School Level ADM'!$AU16</f>
        <v>78.8</v>
      </c>
      <c r="R16" s="194">
        <f t="shared" si="8"/>
        <v>13692</v>
      </c>
      <c r="S16" s="194">
        <f t="shared" si="9"/>
        <v>0</v>
      </c>
      <c r="T16" s="194">
        <f t="shared" si="10"/>
        <v>0</v>
      </c>
      <c r="U16" s="194">
        <f t="shared" si="11"/>
        <v>0</v>
      </c>
      <c r="V16" s="194">
        <f t="shared" si="12"/>
        <v>0</v>
      </c>
      <c r="W16" s="194">
        <f t="shared" si="13"/>
        <v>0</v>
      </c>
      <c r="X16" s="194">
        <f t="shared" si="14"/>
        <v>13692</v>
      </c>
    </row>
    <row r="17" spans="1:24" x14ac:dyDescent="0.2">
      <c r="A17" s="227" t="str">
        <f>'School Level Inst. Resources'!A17</f>
        <v>0101000</v>
      </c>
      <c r="B17" s="227" t="str">
        <f>'School Level Inst. Resources'!B17</f>
        <v>Albany #1</v>
      </c>
      <c r="C17" s="227" t="str">
        <f>'School Level Inst. Resources'!C17</f>
        <v>0101032</v>
      </c>
      <c r="D17" s="227" t="str">
        <f>'School Level Inst. Resources'!D17</f>
        <v>Notch Peak Elementary</v>
      </c>
      <c r="E17" s="228" t="str">
        <f>'School Level Inst. Resources'!E17</f>
        <v>K-8</v>
      </c>
      <c r="F17" s="229" t="str">
        <f>'School Level Inst. Resources'!H17</f>
        <v>E</v>
      </c>
      <c r="G17" s="229" t="s">
        <v>1158</v>
      </c>
      <c r="H17" s="229" t="str">
        <f t="shared" si="0"/>
        <v>K-8</v>
      </c>
      <c r="I17" s="198">
        <f>'School Level ADM'!$BI17</f>
        <v>1</v>
      </c>
      <c r="J17" s="194">
        <f t="shared" si="1"/>
        <v>2915</v>
      </c>
      <c r="K17" s="194">
        <f t="shared" si="2"/>
        <v>0</v>
      </c>
      <c r="L17" s="194">
        <f t="shared" si="3"/>
        <v>0</v>
      </c>
      <c r="M17" s="194">
        <f t="shared" si="4"/>
        <v>342</v>
      </c>
      <c r="N17" s="194">
        <f t="shared" si="5"/>
        <v>0</v>
      </c>
      <c r="O17" s="194">
        <f t="shared" si="6"/>
        <v>0</v>
      </c>
      <c r="P17" s="194">
        <f t="shared" si="7"/>
        <v>3257</v>
      </c>
      <c r="Q17" s="198">
        <f>'School Level ADM'!$AU17</f>
        <v>0.98499999999999999</v>
      </c>
      <c r="R17" s="194">
        <f t="shared" si="8"/>
        <v>2915</v>
      </c>
      <c r="S17" s="194">
        <f t="shared" si="9"/>
        <v>0</v>
      </c>
      <c r="T17" s="194">
        <f t="shared" si="10"/>
        <v>0</v>
      </c>
      <c r="U17" s="194">
        <f t="shared" si="11"/>
        <v>342</v>
      </c>
      <c r="V17" s="194">
        <f t="shared" si="12"/>
        <v>0</v>
      </c>
      <c r="W17" s="194">
        <f t="shared" si="13"/>
        <v>0</v>
      </c>
      <c r="X17" s="194">
        <f t="shared" si="14"/>
        <v>3257</v>
      </c>
    </row>
    <row r="18" spans="1:24" x14ac:dyDescent="0.2">
      <c r="A18" s="230" t="str">
        <f>'School Level Inst. Resources'!A18</f>
        <v>0101000</v>
      </c>
      <c r="B18" s="230" t="str">
        <f>'School Level Inst. Resources'!B18</f>
        <v>Albany #1</v>
      </c>
      <c r="C18" s="230" t="str">
        <f>'School Level Inst. Resources'!C18</f>
        <v>0101050</v>
      </c>
      <c r="D18" s="230" t="str">
        <f>'School Level Inst. Resources'!D18</f>
        <v>Laramie Middle School</v>
      </c>
      <c r="E18" s="231" t="str">
        <f>'School Level Inst. Resources'!E18</f>
        <v>6-8</v>
      </c>
      <c r="F18" s="232" t="str">
        <f>'School Level Inst. Resources'!H18</f>
        <v>M</v>
      </c>
      <c r="G18" s="232" t="s">
        <v>1158</v>
      </c>
      <c r="H18" s="232" t="str">
        <f t="shared" si="0"/>
        <v>M</v>
      </c>
      <c r="I18" s="198">
        <f>'School Level ADM'!$BI18</f>
        <v>741.351</v>
      </c>
      <c r="J18" s="194">
        <f t="shared" si="1"/>
        <v>0</v>
      </c>
      <c r="K18" s="194">
        <f t="shared" si="2"/>
        <v>110038</v>
      </c>
      <c r="L18" s="194">
        <f t="shared" si="3"/>
        <v>0</v>
      </c>
      <c r="M18" s="194">
        <f t="shared" si="4"/>
        <v>0</v>
      </c>
      <c r="N18" s="194">
        <f t="shared" si="5"/>
        <v>0</v>
      </c>
      <c r="O18" s="194">
        <f t="shared" si="6"/>
        <v>0</v>
      </c>
      <c r="P18" s="194">
        <f t="shared" si="7"/>
        <v>110038</v>
      </c>
      <c r="Q18" s="198">
        <f>'School Level ADM'!$AU18</f>
        <v>757.46500000000003</v>
      </c>
      <c r="R18" s="194">
        <f t="shared" si="8"/>
        <v>0</v>
      </c>
      <c r="S18" s="194">
        <f t="shared" si="9"/>
        <v>110038</v>
      </c>
      <c r="T18" s="194">
        <f t="shared" si="10"/>
        <v>0</v>
      </c>
      <c r="U18" s="194">
        <f t="shared" si="11"/>
        <v>0</v>
      </c>
      <c r="V18" s="194">
        <f t="shared" si="12"/>
        <v>0</v>
      </c>
      <c r="W18" s="194">
        <f t="shared" si="13"/>
        <v>0</v>
      </c>
      <c r="X18" s="194">
        <f t="shared" si="14"/>
        <v>110038</v>
      </c>
    </row>
    <row r="19" spans="1:24" s="226" customFormat="1" x14ac:dyDescent="0.2">
      <c r="A19" s="210" t="str">
        <f>'School Level Inst. Resources'!A19</f>
        <v>0101000</v>
      </c>
      <c r="B19" s="210" t="str">
        <f>'School Level Inst. Resources'!B19</f>
        <v>Albany #1</v>
      </c>
      <c r="C19" s="210" t="str">
        <f>'School Level Inst. Resources'!C19</f>
        <v>0101051</v>
      </c>
      <c r="D19" s="210" t="str">
        <f>'School Level Inst. Resources'!D19</f>
        <v>Rock River Junior High School</v>
      </c>
      <c r="E19" s="211" t="str">
        <f>'School Level Inst. Resources'!E19</f>
        <v>7-8</v>
      </c>
      <c r="F19" s="212" t="str">
        <f>'School Level Inst. Resources'!H19</f>
        <v>M</v>
      </c>
      <c r="G19" s="212" t="s">
        <v>1159</v>
      </c>
      <c r="H19" s="212" t="str">
        <f t="shared" si="0"/>
        <v>M</v>
      </c>
      <c r="I19" s="217">
        <v>0</v>
      </c>
      <c r="J19" s="293">
        <f t="shared" si="1"/>
        <v>0</v>
      </c>
      <c r="K19" s="293">
        <f t="shared" si="2"/>
        <v>0</v>
      </c>
      <c r="L19" s="293">
        <f t="shared" si="3"/>
        <v>0</v>
      </c>
      <c r="M19" s="293">
        <f t="shared" si="4"/>
        <v>0</v>
      </c>
      <c r="N19" s="293">
        <f t="shared" si="5"/>
        <v>0</v>
      </c>
      <c r="O19" s="293">
        <f t="shared" si="6"/>
        <v>0</v>
      </c>
      <c r="P19" s="293">
        <f t="shared" si="7"/>
        <v>0</v>
      </c>
      <c r="Q19" s="217">
        <v>0</v>
      </c>
      <c r="R19" s="293">
        <f t="shared" si="8"/>
        <v>0</v>
      </c>
      <c r="S19" s="293">
        <f t="shared" si="9"/>
        <v>0</v>
      </c>
      <c r="T19" s="293">
        <f t="shared" si="10"/>
        <v>0</v>
      </c>
      <c r="U19" s="293">
        <f t="shared" si="11"/>
        <v>0</v>
      </c>
      <c r="V19" s="293">
        <f t="shared" si="12"/>
        <v>0</v>
      </c>
      <c r="W19" s="293">
        <f t="shared" si="13"/>
        <v>0</v>
      </c>
      <c r="X19" s="293">
        <f t="shared" si="14"/>
        <v>0</v>
      </c>
    </row>
    <row r="20" spans="1:24" x14ac:dyDescent="0.2">
      <c r="A20" s="230" t="str">
        <f>'School Level Inst. Resources'!A20</f>
        <v>0101000</v>
      </c>
      <c r="B20" s="230" t="str">
        <f>'School Level Inst. Resources'!B20</f>
        <v>Albany #1</v>
      </c>
      <c r="C20" s="230" t="str">
        <f>'School Level Inst. Resources'!C20</f>
        <v>0101055</v>
      </c>
      <c r="D20" s="230" t="str">
        <f>'School Level Inst. Resources'!D20</f>
        <v>Laramie High School</v>
      </c>
      <c r="E20" s="231" t="str">
        <f>'School Level Inst. Resources'!E20</f>
        <v>9-12</v>
      </c>
      <c r="F20" s="232" t="str">
        <f>'School Level Inst. Resources'!H20</f>
        <v>H</v>
      </c>
      <c r="G20" s="232" t="s">
        <v>1158</v>
      </c>
      <c r="H20" s="232" t="str">
        <f t="shared" si="0"/>
        <v>H</v>
      </c>
      <c r="I20" s="198">
        <f>'School Level ADM'!$BI20</f>
        <v>990.24499999999989</v>
      </c>
      <c r="J20" s="194">
        <f t="shared" si="1"/>
        <v>0</v>
      </c>
      <c r="K20" s="194">
        <f t="shared" si="2"/>
        <v>0</v>
      </c>
      <c r="L20" s="194">
        <f t="shared" si="3"/>
        <v>172420</v>
      </c>
      <c r="M20" s="194">
        <f t="shared" si="4"/>
        <v>0</v>
      </c>
      <c r="N20" s="194">
        <f t="shared" si="5"/>
        <v>0</v>
      </c>
      <c r="O20" s="194">
        <f t="shared" si="6"/>
        <v>0</v>
      </c>
      <c r="P20" s="194">
        <f t="shared" si="7"/>
        <v>172420</v>
      </c>
      <c r="Q20" s="198">
        <f>'School Level ADM'!$AU20</f>
        <v>1063.8</v>
      </c>
      <c r="R20" s="194">
        <f t="shared" si="8"/>
        <v>0</v>
      </c>
      <c r="S20" s="194">
        <f t="shared" si="9"/>
        <v>0</v>
      </c>
      <c r="T20" s="194">
        <f t="shared" si="10"/>
        <v>172420</v>
      </c>
      <c r="U20" s="194">
        <f t="shared" si="11"/>
        <v>0</v>
      </c>
      <c r="V20" s="194">
        <f t="shared" si="12"/>
        <v>0</v>
      </c>
      <c r="W20" s="194">
        <f t="shared" si="13"/>
        <v>0</v>
      </c>
      <c r="X20" s="194">
        <f t="shared" si="14"/>
        <v>172420</v>
      </c>
    </row>
    <row r="21" spans="1:24" s="226" customFormat="1" x14ac:dyDescent="0.2">
      <c r="A21" s="210" t="str">
        <f>'School Level Inst. Resources'!A21</f>
        <v>0101000</v>
      </c>
      <c r="B21" s="210" t="str">
        <f>'School Level Inst. Resources'!B21</f>
        <v>Albany #1</v>
      </c>
      <c r="C21" s="210" t="str">
        <f>'School Level Inst. Resources'!C21</f>
        <v>0101056</v>
      </c>
      <c r="D21" s="210" t="str">
        <f>'School Level Inst. Resources'!D21</f>
        <v>Rock River High School</v>
      </c>
      <c r="E21" s="211" t="str">
        <f>'School Level Inst. Resources'!E21</f>
        <v>9-12</v>
      </c>
      <c r="F21" s="212" t="str">
        <f>'School Level Inst. Resources'!H21</f>
        <v>H</v>
      </c>
      <c r="G21" s="212" t="s">
        <v>1158</v>
      </c>
      <c r="H21" s="212" t="s">
        <v>474</v>
      </c>
      <c r="I21" s="218">
        <f>SUM('School Level ADM'!$BI9,'School Level ADM'!$BI19,'School Level ADM'!$BI21)</f>
        <v>81.301000000000002</v>
      </c>
      <c r="J21" s="214">
        <f t="shared" si="1"/>
        <v>0</v>
      </c>
      <c r="K21" s="214">
        <f t="shared" si="2"/>
        <v>0</v>
      </c>
      <c r="L21" s="214">
        <f t="shared" si="3"/>
        <v>0</v>
      </c>
      <c r="M21" s="214">
        <f t="shared" si="4"/>
        <v>0</v>
      </c>
      <c r="N21" s="214">
        <f t="shared" si="5"/>
        <v>0</v>
      </c>
      <c r="O21" s="214">
        <f t="shared" si="6"/>
        <v>39444</v>
      </c>
      <c r="P21" s="214">
        <f t="shared" si="7"/>
        <v>39444</v>
      </c>
      <c r="Q21" s="218">
        <f>SUM('School Level ADM'!$AU9,'School Level ADM'!$AU19,'School Level ADM'!$AU21)</f>
        <v>77.814999999999998</v>
      </c>
      <c r="R21" s="214">
        <f t="shared" si="8"/>
        <v>0</v>
      </c>
      <c r="S21" s="214">
        <f t="shared" si="9"/>
        <v>0</v>
      </c>
      <c r="T21" s="214">
        <f t="shared" si="10"/>
        <v>0</v>
      </c>
      <c r="U21" s="214">
        <f t="shared" si="11"/>
        <v>0</v>
      </c>
      <c r="V21" s="214">
        <f t="shared" si="12"/>
        <v>0</v>
      </c>
      <c r="W21" s="214">
        <f t="shared" si="13"/>
        <v>39444</v>
      </c>
      <c r="X21" s="214">
        <f t="shared" si="14"/>
        <v>39444</v>
      </c>
    </row>
    <row r="22" spans="1:24" x14ac:dyDescent="0.2">
      <c r="A22" s="227" t="str">
        <f>'School Level Inst. Resources'!A22</f>
        <v>0101000</v>
      </c>
      <c r="B22" s="227" t="str">
        <f>'School Level Inst. Resources'!B22</f>
        <v>Albany #1</v>
      </c>
      <c r="C22" s="227" t="str">
        <f>'School Level Inst. Resources'!C22</f>
        <v>0101057</v>
      </c>
      <c r="D22" s="227" t="str">
        <f>'School Level Inst. Resources'!D22</f>
        <v>Whiting High School</v>
      </c>
      <c r="E22" s="228" t="str">
        <f>'School Level Inst. Resources'!E22</f>
        <v>9-12</v>
      </c>
      <c r="F22" s="229" t="str">
        <f>'School Level Inst. Resources'!H22</f>
        <v>H</v>
      </c>
      <c r="G22" s="229" t="s">
        <v>1158</v>
      </c>
      <c r="H22" s="229" t="str">
        <f t="shared" si="0"/>
        <v>H</v>
      </c>
      <c r="I22" s="198">
        <f>'School Level ADM'!$BI22</f>
        <v>50.244</v>
      </c>
      <c r="J22" s="194">
        <f t="shared" si="1"/>
        <v>0</v>
      </c>
      <c r="K22" s="194">
        <f t="shared" si="2"/>
        <v>0</v>
      </c>
      <c r="L22" s="194">
        <f t="shared" si="3"/>
        <v>18175</v>
      </c>
      <c r="M22" s="194">
        <f t="shared" si="4"/>
        <v>0</v>
      </c>
      <c r="N22" s="194">
        <f t="shared" si="5"/>
        <v>0</v>
      </c>
      <c r="O22" s="194">
        <f t="shared" si="6"/>
        <v>0</v>
      </c>
      <c r="P22" s="194">
        <f t="shared" si="7"/>
        <v>18175</v>
      </c>
      <c r="Q22" s="198">
        <f>'School Level ADM'!$AU22</f>
        <v>36.445</v>
      </c>
      <c r="R22" s="194">
        <f t="shared" si="8"/>
        <v>0</v>
      </c>
      <c r="S22" s="194">
        <f t="shared" si="9"/>
        <v>0</v>
      </c>
      <c r="T22" s="194">
        <f t="shared" si="10"/>
        <v>18175</v>
      </c>
      <c r="U22" s="194">
        <f t="shared" si="11"/>
        <v>0</v>
      </c>
      <c r="V22" s="194">
        <f t="shared" si="12"/>
        <v>0</v>
      </c>
      <c r="W22" s="194">
        <f t="shared" si="13"/>
        <v>0</v>
      </c>
      <c r="X22" s="194">
        <f t="shared" si="14"/>
        <v>18175</v>
      </c>
    </row>
    <row r="23" spans="1:24" s="226" customFormat="1" x14ac:dyDescent="0.2">
      <c r="A23" s="210" t="str">
        <f>'School Level Inst. Resources'!A23</f>
        <v>0201000</v>
      </c>
      <c r="B23" s="210" t="str">
        <f>'School Level Inst. Resources'!B23</f>
        <v>Big Horn #1</v>
      </c>
      <c r="C23" s="210" t="str">
        <f>'School Level Inst. Resources'!C23</f>
        <v>0201001</v>
      </c>
      <c r="D23" s="210" t="str">
        <f>'School Level Inst. Resources'!D23</f>
        <v>Burlington Elementary</v>
      </c>
      <c r="E23" s="211" t="str">
        <f>'School Level Inst. Resources'!E23</f>
        <v>P-5</v>
      </c>
      <c r="F23" s="212" t="str">
        <f>'School Level Inst. Resources'!H23</f>
        <v>E</v>
      </c>
      <c r="G23" s="212" t="s">
        <v>1159</v>
      </c>
      <c r="H23" s="212" t="str">
        <f t="shared" si="0"/>
        <v>E</v>
      </c>
      <c r="I23" s="217">
        <v>0</v>
      </c>
      <c r="J23" s="293">
        <f t="shared" si="1"/>
        <v>0</v>
      </c>
      <c r="K23" s="293">
        <f t="shared" si="2"/>
        <v>0</v>
      </c>
      <c r="L23" s="293">
        <f t="shared" si="3"/>
        <v>0</v>
      </c>
      <c r="M23" s="293">
        <f t="shared" si="4"/>
        <v>0</v>
      </c>
      <c r="N23" s="293">
        <f t="shared" si="5"/>
        <v>0</v>
      </c>
      <c r="O23" s="293">
        <f t="shared" si="6"/>
        <v>0</v>
      </c>
      <c r="P23" s="293">
        <f t="shared" si="7"/>
        <v>0</v>
      </c>
      <c r="Q23" s="217">
        <v>0</v>
      </c>
      <c r="R23" s="293">
        <f t="shared" si="8"/>
        <v>0</v>
      </c>
      <c r="S23" s="293">
        <f t="shared" si="9"/>
        <v>0</v>
      </c>
      <c r="T23" s="293">
        <f t="shared" si="10"/>
        <v>0</v>
      </c>
      <c r="U23" s="293">
        <f t="shared" si="11"/>
        <v>0</v>
      </c>
      <c r="V23" s="293">
        <f t="shared" si="12"/>
        <v>0</v>
      </c>
      <c r="W23" s="293">
        <f t="shared" si="13"/>
        <v>0</v>
      </c>
      <c r="X23" s="293">
        <f t="shared" si="14"/>
        <v>0</v>
      </c>
    </row>
    <row r="24" spans="1:24" x14ac:dyDescent="0.2">
      <c r="A24" s="227" t="str">
        <f>'School Level Inst. Resources'!A24</f>
        <v>0201000</v>
      </c>
      <c r="B24" s="227" t="str">
        <f>'School Level Inst. Resources'!B24</f>
        <v>Big Horn #1</v>
      </c>
      <c r="C24" s="227" t="str">
        <f>'School Level Inst. Resources'!C24</f>
        <v>0201004</v>
      </c>
      <c r="D24" s="227" t="str">
        <f>'School Level Inst. Resources'!D24</f>
        <v>Rocky Mountain Elementary</v>
      </c>
      <c r="E24" s="228" t="str">
        <f>'School Level Inst. Resources'!E24</f>
        <v>P-5</v>
      </c>
      <c r="F24" s="229" t="str">
        <f>'School Level Inst. Resources'!H24</f>
        <v>E</v>
      </c>
      <c r="G24" s="229" t="s">
        <v>1158</v>
      </c>
      <c r="H24" s="229" t="str">
        <f t="shared" si="0"/>
        <v>E</v>
      </c>
      <c r="I24" s="198">
        <f>'School Level ADM'!$BI24</f>
        <v>277.02600000000001</v>
      </c>
      <c r="J24" s="194">
        <f t="shared" si="1"/>
        <v>42060</v>
      </c>
      <c r="K24" s="194">
        <f t="shared" si="2"/>
        <v>0</v>
      </c>
      <c r="L24" s="194">
        <f t="shared" si="3"/>
        <v>0</v>
      </c>
      <c r="M24" s="194">
        <f t="shared" si="4"/>
        <v>0</v>
      </c>
      <c r="N24" s="194">
        <f t="shared" si="5"/>
        <v>0</v>
      </c>
      <c r="O24" s="194">
        <f t="shared" si="6"/>
        <v>0</v>
      </c>
      <c r="P24" s="194">
        <f t="shared" si="7"/>
        <v>42060</v>
      </c>
      <c r="Q24" s="198">
        <f>'School Level ADM'!$AU24</f>
        <v>290.57499999999999</v>
      </c>
      <c r="R24" s="194">
        <f t="shared" si="8"/>
        <v>42060</v>
      </c>
      <c r="S24" s="194">
        <f t="shared" si="9"/>
        <v>0</v>
      </c>
      <c r="T24" s="194">
        <f t="shared" si="10"/>
        <v>0</v>
      </c>
      <c r="U24" s="194">
        <f t="shared" si="11"/>
        <v>0</v>
      </c>
      <c r="V24" s="194">
        <f t="shared" si="12"/>
        <v>0</v>
      </c>
      <c r="W24" s="194">
        <f t="shared" si="13"/>
        <v>0</v>
      </c>
      <c r="X24" s="194">
        <f t="shared" si="14"/>
        <v>42060</v>
      </c>
    </row>
    <row r="25" spans="1:24" s="226" customFormat="1" x14ac:dyDescent="0.2">
      <c r="A25" s="210" t="str">
        <f>'School Level Inst. Resources'!A25</f>
        <v>0201000</v>
      </c>
      <c r="B25" s="210" t="str">
        <f>'School Level Inst. Resources'!B25</f>
        <v>Big Horn #1</v>
      </c>
      <c r="C25" s="210" t="str">
        <f>'School Level Inst. Resources'!C25</f>
        <v>0201050</v>
      </c>
      <c r="D25" s="210" t="str">
        <f>'School Level Inst. Resources'!D25</f>
        <v>Burlington Middle School</v>
      </c>
      <c r="E25" s="211" t="str">
        <f>'School Level Inst. Resources'!E25</f>
        <v>6-8</v>
      </c>
      <c r="F25" s="212" t="str">
        <f>'School Level Inst. Resources'!H25</f>
        <v>M</v>
      </c>
      <c r="G25" s="212" t="s">
        <v>1159</v>
      </c>
      <c r="H25" s="212" t="str">
        <f t="shared" si="0"/>
        <v>M</v>
      </c>
      <c r="I25" s="217">
        <v>0</v>
      </c>
      <c r="J25" s="293">
        <f t="shared" si="1"/>
        <v>0</v>
      </c>
      <c r="K25" s="293">
        <f t="shared" si="2"/>
        <v>0</v>
      </c>
      <c r="L25" s="293">
        <f t="shared" si="3"/>
        <v>0</v>
      </c>
      <c r="M25" s="293">
        <f t="shared" si="4"/>
        <v>0</v>
      </c>
      <c r="N25" s="293">
        <f t="shared" si="5"/>
        <v>0</v>
      </c>
      <c r="O25" s="293">
        <f t="shared" si="6"/>
        <v>0</v>
      </c>
      <c r="P25" s="293">
        <f t="shared" si="7"/>
        <v>0</v>
      </c>
      <c r="Q25" s="217">
        <v>0</v>
      </c>
      <c r="R25" s="293">
        <f t="shared" si="8"/>
        <v>0</v>
      </c>
      <c r="S25" s="293">
        <f t="shared" si="9"/>
        <v>0</v>
      </c>
      <c r="T25" s="293">
        <f t="shared" si="10"/>
        <v>0</v>
      </c>
      <c r="U25" s="293">
        <f t="shared" si="11"/>
        <v>0</v>
      </c>
      <c r="V25" s="293">
        <f t="shared" si="12"/>
        <v>0</v>
      </c>
      <c r="W25" s="293">
        <f t="shared" si="13"/>
        <v>0</v>
      </c>
      <c r="X25" s="293">
        <f t="shared" si="14"/>
        <v>0</v>
      </c>
    </row>
    <row r="26" spans="1:24" s="226" customFormat="1" x14ac:dyDescent="0.2">
      <c r="A26" s="210" t="str">
        <f>'School Level Inst. Resources'!A26</f>
        <v>0201000</v>
      </c>
      <c r="B26" s="210" t="str">
        <f>'School Level Inst. Resources'!B26</f>
        <v>Big Horn #1</v>
      </c>
      <c r="C26" s="210" t="str">
        <f>'School Level Inst. Resources'!C26</f>
        <v>0201051</v>
      </c>
      <c r="D26" s="210" t="str">
        <f>'School Level Inst. Resources'!D26</f>
        <v>Rocky Mountain Middle School</v>
      </c>
      <c r="E26" s="211" t="str">
        <f>'School Level Inst. Resources'!E26</f>
        <v>6-8</v>
      </c>
      <c r="F26" s="212" t="str">
        <f>'School Level Inst. Resources'!H26</f>
        <v>M</v>
      </c>
      <c r="G26" s="212" t="s">
        <v>1159</v>
      </c>
      <c r="H26" s="212" t="str">
        <f t="shared" si="0"/>
        <v>M</v>
      </c>
      <c r="I26" s="217">
        <v>0</v>
      </c>
      <c r="J26" s="293">
        <f t="shared" si="1"/>
        <v>0</v>
      </c>
      <c r="K26" s="293">
        <f t="shared" si="2"/>
        <v>0</v>
      </c>
      <c r="L26" s="293">
        <f t="shared" si="3"/>
        <v>0</v>
      </c>
      <c r="M26" s="293">
        <f t="shared" si="4"/>
        <v>0</v>
      </c>
      <c r="N26" s="293">
        <f t="shared" si="5"/>
        <v>0</v>
      </c>
      <c r="O26" s="293">
        <f t="shared" si="6"/>
        <v>0</v>
      </c>
      <c r="P26" s="293">
        <f t="shared" si="7"/>
        <v>0</v>
      </c>
      <c r="Q26" s="217">
        <v>0</v>
      </c>
      <c r="R26" s="293">
        <f t="shared" si="8"/>
        <v>0</v>
      </c>
      <c r="S26" s="293">
        <f t="shared" si="9"/>
        <v>0</v>
      </c>
      <c r="T26" s="293">
        <f t="shared" si="10"/>
        <v>0</v>
      </c>
      <c r="U26" s="293">
        <f t="shared" si="11"/>
        <v>0</v>
      </c>
      <c r="V26" s="293">
        <f t="shared" si="12"/>
        <v>0</v>
      </c>
      <c r="W26" s="293">
        <f t="shared" si="13"/>
        <v>0</v>
      </c>
      <c r="X26" s="293">
        <f t="shared" si="14"/>
        <v>0</v>
      </c>
    </row>
    <row r="27" spans="1:24" s="226" customFormat="1" x14ac:dyDescent="0.2">
      <c r="A27" s="210" t="str">
        <f>'School Level Inst. Resources'!A27</f>
        <v>0201000</v>
      </c>
      <c r="B27" s="210" t="str">
        <f>'School Level Inst. Resources'!B27</f>
        <v>Big Horn #1</v>
      </c>
      <c r="C27" s="210" t="str">
        <f>'School Level Inst. Resources'!C27</f>
        <v>0201055</v>
      </c>
      <c r="D27" s="210" t="str">
        <f>'School Level Inst. Resources'!D27</f>
        <v>Burlington High School</v>
      </c>
      <c r="E27" s="211" t="str">
        <f>'School Level Inst. Resources'!E27</f>
        <v>9-12</v>
      </c>
      <c r="F27" s="212" t="str">
        <f>'School Level Inst. Resources'!H27</f>
        <v>H</v>
      </c>
      <c r="G27" s="212" t="s">
        <v>1158</v>
      </c>
      <c r="H27" s="212" t="s">
        <v>474</v>
      </c>
      <c r="I27" s="218">
        <f>SUM('School Level ADM'!$BI23,'School Level ADM'!$BI25,'School Level ADM'!$BI27)</f>
        <v>228.852</v>
      </c>
      <c r="J27" s="214">
        <f t="shared" si="1"/>
        <v>0</v>
      </c>
      <c r="K27" s="214">
        <f t="shared" si="2"/>
        <v>0</v>
      </c>
      <c r="L27" s="214">
        <f t="shared" si="3"/>
        <v>0</v>
      </c>
      <c r="M27" s="214">
        <f t="shared" si="4"/>
        <v>0</v>
      </c>
      <c r="N27" s="214">
        <f t="shared" si="5"/>
        <v>0</v>
      </c>
      <c r="O27" s="214">
        <f t="shared" si="6"/>
        <v>69580</v>
      </c>
      <c r="P27" s="214">
        <f t="shared" si="7"/>
        <v>69580</v>
      </c>
      <c r="Q27" s="218">
        <f>SUM('School Level ADM'!$AU23,'School Level ADM'!$AU25,'School Level ADM'!$AU27)</f>
        <v>230.49</v>
      </c>
      <c r="R27" s="214">
        <f t="shared" si="8"/>
        <v>0</v>
      </c>
      <c r="S27" s="214">
        <f t="shared" si="9"/>
        <v>0</v>
      </c>
      <c r="T27" s="214">
        <f t="shared" si="10"/>
        <v>0</v>
      </c>
      <c r="U27" s="214">
        <f t="shared" si="11"/>
        <v>0</v>
      </c>
      <c r="V27" s="214">
        <f t="shared" si="12"/>
        <v>0</v>
      </c>
      <c r="W27" s="214">
        <f t="shared" si="13"/>
        <v>69580</v>
      </c>
      <c r="X27" s="214">
        <f t="shared" si="14"/>
        <v>69580</v>
      </c>
    </row>
    <row r="28" spans="1:24" s="226" customFormat="1" x14ac:dyDescent="0.2">
      <c r="A28" s="210" t="str">
        <f>'School Level Inst. Resources'!A28</f>
        <v>0201000</v>
      </c>
      <c r="B28" s="210" t="str">
        <f>'School Level Inst. Resources'!B28</f>
        <v>Big Horn #1</v>
      </c>
      <c r="C28" s="210" t="str">
        <f>'School Level Inst. Resources'!C28</f>
        <v>0201056</v>
      </c>
      <c r="D28" s="210" t="str">
        <f>'School Level Inst. Resources'!D28</f>
        <v>Rocky Mountain High School</v>
      </c>
      <c r="E28" s="211" t="str">
        <f>'School Level Inst. Resources'!E28</f>
        <v>9-12</v>
      </c>
      <c r="F28" s="212" t="str">
        <f>'School Level Inst. Resources'!H28</f>
        <v>H</v>
      </c>
      <c r="G28" s="212" t="s">
        <v>1158</v>
      </c>
      <c r="H28" s="212" t="s">
        <v>422</v>
      </c>
      <c r="I28" s="218">
        <f>SUM('School Level ADM'!$BI26,'School Level ADM'!$BI28)</f>
        <v>466.24299999999999</v>
      </c>
      <c r="J28" s="214">
        <f t="shared" si="1"/>
        <v>0</v>
      </c>
      <c r="K28" s="214">
        <f t="shared" si="2"/>
        <v>0</v>
      </c>
      <c r="L28" s="214">
        <f t="shared" si="3"/>
        <v>0</v>
      </c>
      <c r="M28" s="214">
        <f t="shared" si="4"/>
        <v>0</v>
      </c>
      <c r="N28" s="214">
        <f t="shared" si="5"/>
        <v>121582</v>
      </c>
      <c r="O28" s="214">
        <f t="shared" si="6"/>
        <v>0</v>
      </c>
      <c r="P28" s="214">
        <f t="shared" si="7"/>
        <v>121582</v>
      </c>
      <c r="Q28" s="218">
        <f>SUM('School Level ADM'!$AU26,'School Level ADM'!$AU28)</f>
        <v>507.27499999999998</v>
      </c>
      <c r="R28" s="214">
        <f t="shared" si="8"/>
        <v>0</v>
      </c>
      <c r="S28" s="214">
        <f t="shared" si="9"/>
        <v>0</v>
      </c>
      <c r="T28" s="214">
        <f t="shared" si="10"/>
        <v>0</v>
      </c>
      <c r="U28" s="214">
        <f t="shared" si="11"/>
        <v>0</v>
      </c>
      <c r="V28" s="214">
        <f t="shared" si="12"/>
        <v>121582</v>
      </c>
      <c r="W28" s="214">
        <f t="shared" si="13"/>
        <v>0</v>
      </c>
      <c r="X28" s="214">
        <f t="shared" si="14"/>
        <v>121582</v>
      </c>
    </row>
    <row r="29" spans="1:24" x14ac:dyDescent="0.2">
      <c r="A29" s="227" t="str">
        <f>'School Level Inst. Resources'!A29</f>
        <v>0202000</v>
      </c>
      <c r="B29" s="227" t="str">
        <f>'School Level Inst. Resources'!B29</f>
        <v>Big Horn #2</v>
      </c>
      <c r="C29" s="227" t="str">
        <f>'School Level Inst. Resources'!C29</f>
        <v>0202001</v>
      </c>
      <c r="D29" s="227" t="str">
        <f>'School Level Inst. Resources'!D29</f>
        <v>Lovell Elementary</v>
      </c>
      <c r="E29" s="228" t="str">
        <f>'School Level Inst. Resources'!E29</f>
        <v>K-5</v>
      </c>
      <c r="F29" s="229" t="str">
        <f>'School Level Inst. Resources'!H29</f>
        <v>E</v>
      </c>
      <c r="G29" s="229" t="s">
        <v>1158</v>
      </c>
      <c r="H29" s="229" t="str">
        <f t="shared" si="0"/>
        <v>E</v>
      </c>
      <c r="I29" s="198">
        <f>'School Level ADM'!$BI29</f>
        <v>339.94600000000003</v>
      </c>
      <c r="J29" s="194">
        <f t="shared" si="1"/>
        <v>48761</v>
      </c>
      <c r="K29" s="194">
        <f t="shared" si="2"/>
        <v>0</v>
      </c>
      <c r="L29" s="194">
        <f t="shared" si="3"/>
        <v>0</v>
      </c>
      <c r="M29" s="194">
        <f t="shared" si="4"/>
        <v>0</v>
      </c>
      <c r="N29" s="194">
        <f t="shared" si="5"/>
        <v>0</v>
      </c>
      <c r="O29" s="194">
        <f t="shared" si="6"/>
        <v>0</v>
      </c>
      <c r="P29" s="194">
        <f t="shared" si="7"/>
        <v>48761</v>
      </c>
      <c r="Q29" s="198">
        <f>'School Level ADM'!$AU29</f>
        <v>331.94499999999999</v>
      </c>
      <c r="R29" s="194">
        <f t="shared" si="8"/>
        <v>48761</v>
      </c>
      <c r="S29" s="194">
        <f t="shared" si="9"/>
        <v>0</v>
      </c>
      <c r="T29" s="194">
        <f t="shared" si="10"/>
        <v>0</v>
      </c>
      <c r="U29" s="194">
        <f t="shared" si="11"/>
        <v>0</v>
      </c>
      <c r="V29" s="194">
        <f t="shared" si="12"/>
        <v>0</v>
      </c>
      <c r="W29" s="194">
        <f t="shared" si="13"/>
        <v>0</v>
      </c>
      <c r="X29" s="194">
        <f t="shared" si="14"/>
        <v>48761</v>
      </c>
    </row>
    <row r="30" spans="1:24" x14ac:dyDescent="0.2">
      <c r="A30" s="227" t="str">
        <f>'School Level Inst. Resources'!A30</f>
        <v>0202000</v>
      </c>
      <c r="B30" s="227" t="str">
        <f>'School Level Inst. Resources'!B30</f>
        <v>Big Horn #2</v>
      </c>
      <c r="C30" s="227" t="str">
        <f>'School Level Inst. Resources'!C30</f>
        <v>0202050</v>
      </c>
      <c r="D30" s="227" t="str">
        <f>'School Level Inst. Resources'!D30</f>
        <v>Lovell Middle School</v>
      </c>
      <c r="E30" s="228" t="str">
        <f>'School Level Inst. Resources'!E30</f>
        <v>6-8</v>
      </c>
      <c r="F30" s="229" t="str">
        <f>'School Level Inst. Resources'!H30</f>
        <v>M</v>
      </c>
      <c r="G30" s="229" t="s">
        <v>1158</v>
      </c>
      <c r="H30" s="229" t="str">
        <f t="shared" si="0"/>
        <v>M</v>
      </c>
      <c r="I30" s="198">
        <f>'School Level ADM'!$BI30</f>
        <v>169.685</v>
      </c>
      <c r="J30" s="194">
        <f t="shared" si="1"/>
        <v>0</v>
      </c>
      <c r="K30" s="194">
        <f t="shared" si="2"/>
        <v>47756</v>
      </c>
      <c r="L30" s="194">
        <f t="shared" si="3"/>
        <v>0</v>
      </c>
      <c r="M30" s="194">
        <f t="shared" si="4"/>
        <v>0</v>
      </c>
      <c r="N30" s="194">
        <f t="shared" si="5"/>
        <v>0</v>
      </c>
      <c r="O30" s="194">
        <f t="shared" si="6"/>
        <v>0</v>
      </c>
      <c r="P30" s="194">
        <f t="shared" si="7"/>
        <v>47756</v>
      </c>
      <c r="Q30" s="198">
        <f>'School Level ADM'!$AU30</f>
        <v>164.495</v>
      </c>
      <c r="R30" s="194">
        <f t="shared" si="8"/>
        <v>0</v>
      </c>
      <c r="S30" s="194">
        <f t="shared" si="9"/>
        <v>47756</v>
      </c>
      <c r="T30" s="194">
        <f t="shared" si="10"/>
        <v>0</v>
      </c>
      <c r="U30" s="194">
        <f t="shared" si="11"/>
        <v>0</v>
      </c>
      <c r="V30" s="194">
        <f t="shared" si="12"/>
        <v>0</v>
      </c>
      <c r="W30" s="194">
        <f t="shared" si="13"/>
        <v>0</v>
      </c>
      <c r="X30" s="194">
        <f t="shared" si="14"/>
        <v>47756</v>
      </c>
    </row>
    <row r="31" spans="1:24" x14ac:dyDescent="0.2">
      <c r="A31" s="227" t="str">
        <f>'School Level Inst. Resources'!A31</f>
        <v>0202000</v>
      </c>
      <c r="B31" s="227" t="str">
        <f>'School Level Inst. Resources'!B31</f>
        <v>Big Horn #2</v>
      </c>
      <c r="C31" s="227" t="str">
        <f>'School Level Inst. Resources'!C31</f>
        <v>0202055</v>
      </c>
      <c r="D31" s="227" t="str">
        <f>'School Level Inst. Resources'!D31</f>
        <v>Lovell High School</v>
      </c>
      <c r="E31" s="228" t="str">
        <f>'School Level Inst. Resources'!E31</f>
        <v>9-12</v>
      </c>
      <c r="F31" s="229" t="str">
        <f>'School Level Inst. Resources'!H31</f>
        <v>H</v>
      </c>
      <c r="G31" s="229" t="s">
        <v>1158</v>
      </c>
      <c r="H31" s="229" t="str">
        <f t="shared" si="0"/>
        <v>H</v>
      </c>
      <c r="I31" s="198">
        <f>'School Level ADM'!$BI31</f>
        <v>204.52699999999999</v>
      </c>
      <c r="J31" s="194">
        <f t="shared" si="1"/>
        <v>0</v>
      </c>
      <c r="K31" s="194">
        <f t="shared" si="2"/>
        <v>0</v>
      </c>
      <c r="L31" s="194">
        <f t="shared" si="3"/>
        <v>63784</v>
      </c>
      <c r="M31" s="194">
        <f t="shared" si="4"/>
        <v>0</v>
      </c>
      <c r="N31" s="194">
        <f t="shared" si="5"/>
        <v>0</v>
      </c>
      <c r="O31" s="194">
        <f t="shared" si="6"/>
        <v>0</v>
      </c>
      <c r="P31" s="194">
        <f t="shared" si="7"/>
        <v>63784</v>
      </c>
      <c r="Q31" s="198">
        <f>'School Level ADM'!$AU31</f>
        <v>210.79</v>
      </c>
      <c r="R31" s="194">
        <f t="shared" si="8"/>
        <v>0</v>
      </c>
      <c r="S31" s="194">
        <f t="shared" si="9"/>
        <v>0</v>
      </c>
      <c r="T31" s="194">
        <f t="shared" si="10"/>
        <v>63784</v>
      </c>
      <c r="U31" s="194">
        <f t="shared" si="11"/>
        <v>0</v>
      </c>
      <c r="V31" s="194">
        <f t="shared" si="12"/>
        <v>0</v>
      </c>
      <c r="W31" s="194">
        <f t="shared" si="13"/>
        <v>0</v>
      </c>
      <c r="X31" s="194">
        <f t="shared" si="14"/>
        <v>63784</v>
      </c>
    </row>
    <row r="32" spans="1:24" x14ac:dyDescent="0.2">
      <c r="A32" s="227" t="str">
        <f>'School Level Inst. Resources'!A32</f>
        <v>0203000</v>
      </c>
      <c r="B32" s="227" t="str">
        <f>'School Level Inst. Resources'!B32</f>
        <v>Big Horn #3</v>
      </c>
      <c r="C32" s="227" t="str">
        <f>'School Level Inst. Resources'!C32</f>
        <v>0203002</v>
      </c>
      <c r="D32" s="227" t="str">
        <f>'School Level Inst. Resources'!D32</f>
        <v>Greybull Elementary</v>
      </c>
      <c r="E32" s="228" t="str">
        <f>'School Level Inst. Resources'!E32</f>
        <v>K-5</v>
      </c>
      <c r="F32" s="229" t="str">
        <f>'School Level Inst. Resources'!H32</f>
        <v>E</v>
      </c>
      <c r="G32" s="229" t="s">
        <v>1158</v>
      </c>
      <c r="H32" s="229" t="str">
        <f t="shared" si="0"/>
        <v>E</v>
      </c>
      <c r="I32" s="198">
        <f>'School Level ADM'!$BI32</f>
        <v>207.77199999999999</v>
      </c>
      <c r="J32" s="194">
        <f t="shared" si="1"/>
        <v>33870</v>
      </c>
      <c r="K32" s="194">
        <f t="shared" si="2"/>
        <v>0</v>
      </c>
      <c r="L32" s="194">
        <f t="shared" si="3"/>
        <v>0</v>
      </c>
      <c r="M32" s="194">
        <f t="shared" si="4"/>
        <v>0</v>
      </c>
      <c r="N32" s="194">
        <f t="shared" si="5"/>
        <v>0</v>
      </c>
      <c r="O32" s="194">
        <f t="shared" si="6"/>
        <v>0</v>
      </c>
      <c r="P32" s="194">
        <f t="shared" si="7"/>
        <v>33870</v>
      </c>
      <c r="Q32" s="198">
        <f>'School Level ADM'!$AU32</f>
        <v>201.92500000000001</v>
      </c>
      <c r="R32" s="194">
        <f t="shared" si="8"/>
        <v>33870</v>
      </c>
      <c r="S32" s="194">
        <f t="shared" si="9"/>
        <v>0</v>
      </c>
      <c r="T32" s="194">
        <f t="shared" si="10"/>
        <v>0</v>
      </c>
      <c r="U32" s="194">
        <f t="shared" si="11"/>
        <v>0</v>
      </c>
      <c r="V32" s="194">
        <f t="shared" si="12"/>
        <v>0</v>
      </c>
      <c r="W32" s="194">
        <f t="shared" si="13"/>
        <v>0</v>
      </c>
      <c r="X32" s="194">
        <f t="shared" si="14"/>
        <v>33870</v>
      </c>
    </row>
    <row r="33" spans="1:24" x14ac:dyDescent="0.2">
      <c r="A33" s="227" t="str">
        <f>'School Level Inst. Resources'!A33</f>
        <v>0203000</v>
      </c>
      <c r="B33" s="227" t="str">
        <f>'School Level Inst. Resources'!B33</f>
        <v>Big Horn #3</v>
      </c>
      <c r="C33" s="227" t="str">
        <f>'School Level Inst. Resources'!C33</f>
        <v>0203050</v>
      </c>
      <c r="D33" s="227" t="str">
        <f>'School Level Inst. Resources'!D33</f>
        <v>Greybull Middle School</v>
      </c>
      <c r="E33" s="228" t="str">
        <f>'School Level Inst. Resources'!E33</f>
        <v>6-8</v>
      </c>
      <c r="F33" s="229" t="str">
        <f>'School Level Inst. Resources'!H33</f>
        <v>M</v>
      </c>
      <c r="G33" s="229" t="s">
        <v>1158</v>
      </c>
      <c r="H33" s="229" t="str">
        <f t="shared" si="0"/>
        <v>M</v>
      </c>
      <c r="I33" s="198">
        <f>'School Level ADM'!$BI33</f>
        <v>110.114</v>
      </c>
      <c r="J33" s="194">
        <f t="shared" si="1"/>
        <v>0</v>
      </c>
      <c r="K33" s="194">
        <f t="shared" si="2"/>
        <v>33104</v>
      </c>
      <c r="L33" s="194">
        <f t="shared" si="3"/>
        <v>0</v>
      </c>
      <c r="M33" s="194">
        <f t="shared" si="4"/>
        <v>0</v>
      </c>
      <c r="N33" s="194">
        <f t="shared" si="5"/>
        <v>0</v>
      </c>
      <c r="O33" s="194">
        <f t="shared" si="6"/>
        <v>0</v>
      </c>
      <c r="P33" s="194">
        <f t="shared" si="7"/>
        <v>33104</v>
      </c>
      <c r="Q33" s="198">
        <f>'School Level ADM'!$AU33</f>
        <v>114.25999999999999</v>
      </c>
      <c r="R33" s="194">
        <f t="shared" si="8"/>
        <v>0</v>
      </c>
      <c r="S33" s="194">
        <f t="shared" si="9"/>
        <v>33104</v>
      </c>
      <c r="T33" s="194">
        <f t="shared" si="10"/>
        <v>0</v>
      </c>
      <c r="U33" s="194">
        <f t="shared" si="11"/>
        <v>0</v>
      </c>
      <c r="V33" s="194">
        <f t="shared" si="12"/>
        <v>0</v>
      </c>
      <c r="W33" s="194">
        <f t="shared" si="13"/>
        <v>0</v>
      </c>
      <c r="X33" s="194">
        <f t="shared" si="14"/>
        <v>33104</v>
      </c>
    </row>
    <row r="34" spans="1:24" x14ac:dyDescent="0.2">
      <c r="A34" s="227" t="str">
        <f>'School Level Inst. Resources'!A34</f>
        <v>0203000</v>
      </c>
      <c r="B34" s="227" t="str">
        <f>'School Level Inst. Resources'!B34</f>
        <v>Big Horn #3</v>
      </c>
      <c r="C34" s="227" t="str">
        <f>'School Level Inst. Resources'!C34</f>
        <v>0203055</v>
      </c>
      <c r="D34" s="227" t="str">
        <f>'School Level Inst. Resources'!D34</f>
        <v>Greybull High School</v>
      </c>
      <c r="E34" s="228" t="str">
        <f>'School Level Inst. Resources'!E34</f>
        <v>9-12</v>
      </c>
      <c r="F34" s="229" t="str">
        <f>'School Level Inst. Resources'!H34</f>
        <v>H</v>
      </c>
      <c r="G34" s="229" t="s">
        <v>1158</v>
      </c>
      <c r="H34" s="229" t="str">
        <f t="shared" si="0"/>
        <v>H</v>
      </c>
      <c r="I34" s="198">
        <f>'School Level ADM'!$BI34</f>
        <v>182.10200000000003</v>
      </c>
      <c r="J34" s="194">
        <f t="shared" si="1"/>
        <v>0</v>
      </c>
      <c r="K34" s="194">
        <f t="shared" si="2"/>
        <v>0</v>
      </c>
      <c r="L34" s="194">
        <f t="shared" si="3"/>
        <v>59924</v>
      </c>
      <c r="M34" s="194">
        <f t="shared" si="4"/>
        <v>0</v>
      </c>
      <c r="N34" s="194">
        <f t="shared" si="5"/>
        <v>0</v>
      </c>
      <c r="O34" s="194">
        <f t="shared" si="6"/>
        <v>0</v>
      </c>
      <c r="P34" s="194">
        <f t="shared" si="7"/>
        <v>59924</v>
      </c>
      <c r="Q34" s="198">
        <f>'School Level ADM'!$AU34</f>
        <v>152.67500000000001</v>
      </c>
      <c r="R34" s="194">
        <f t="shared" si="8"/>
        <v>0</v>
      </c>
      <c r="S34" s="194">
        <f t="shared" si="9"/>
        <v>0</v>
      </c>
      <c r="T34" s="194">
        <f t="shared" si="10"/>
        <v>59924</v>
      </c>
      <c r="U34" s="194">
        <f t="shared" si="11"/>
        <v>0</v>
      </c>
      <c r="V34" s="194">
        <f t="shared" si="12"/>
        <v>0</v>
      </c>
      <c r="W34" s="194">
        <f t="shared" si="13"/>
        <v>0</v>
      </c>
      <c r="X34" s="194">
        <f t="shared" si="14"/>
        <v>59924</v>
      </c>
    </row>
    <row r="35" spans="1:24" x14ac:dyDescent="0.2">
      <c r="A35" s="227" t="str">
        <f>'School Level Inst. Resources'!A35</f>
        <v>0204000</v>
      </c>
      <c r="B35" s="227" t="str">
        <f>'School Level Inst. Resources'!B35</f>
        <v>Big Horn #4</v>
      </c>
      <c r="C35" s="227" t="str">
        <f>'School Level Inst. Resources'!C35</f>
        <v>0204001</v>
      </c>
      <c r="D35" s="227" t="str">
        <f>'School Level Inst. Resources'!D35</f>
        <v>Laura Irwin Elementary</v>
      </c>
      <c r="E35" s="228" t="str">
        <f>'School Level Inst. Resources'!E35</f>
        <v>K-5</v>
      </c>
      <c r="F35" s="229" t="str">
        <f>'School Level Inst. Resources'!H35</f>
        <v>E</v>
      </c>
      <c r="G35" s="229" t="s">
        <v>1158</v>
      </c>
      <c r="H35" s="229" t="str">
        <f t="shared" si="0"/>
        <v>E</v>
      </c>
      <c r="I35" s="198">
        <f>'School Level ADM'!$BI35</f>
        <v>123.53700000000001</v>
      </c>
      <c r="J35" s="194">
        <f t="shared" si="1"/>
        <v>22164</v>
      </c>
      <c r="K35" s="194">
        <f t="shared" si="2"/>
        <v>0</v>
      </c>
      <c r="L35" s="194">
        <f t="shared" si="3"/>
        <v>0</v>
      </c>
      <c r="M35" s="194">
        <f t="shared" si="4"/>
        <v>0</v>
      </c>
      <c r="N35" s="194">
        <f t="shared" si="5"/>
        <v>0</v>
      </c>
      <c r="O35" s="194">
        <f t="shared" si="6"/>
        <v>0</v>
      </c>
      <c r="P35" s="194">
        <f t="shared" si="7"/>
        <v>22164</v>
      </c>
      <c r="Q35" s="198">
        <f>'School Level ADM'!$AU35</f>
        <v>111.30500000000001</v>
      </c>
      <c r="R35" s="194">
        <f t="shared" si="8"/>
        <v>22164</v>
      </c>
      <c r="S35" s="194">
        <f t="shared" si="9"/>
        <v>0</v>
      </c>
      <c r="T35" s="194">
        <f t="shared" si="10"/>
        <v>0</v>
      </c>
      <c r="U35" s="194">
        <f t="shared" si="11"/>
        <v>0</v>
      </c>
      <c r="V35" s="194">
        <f t="shared" si="12"/>
        <v>0</v>
      </c>
      <c r="W35" s="194">
        <f t="shared" si="13"/>
        <v>0</v>
      </c>
      <c r="X35" s="194">
        <f t="shared" si="14"/>
        <v>22164</v>
      </c>
    </row>
    <row r="36" spans="1:24" x14ac:dyDescent="0.2">
      <c r="A36" s="227" t="str">
        <f>'School Level Inst. Resources'!A36</f>
        <v>0204000</v>
      </c>
      <c r="B36" s="227" t="str">
        <f>'School Level Inst. Resources'!B36</f>
        <v>Big Horn #4</v>
      </c>
      <c r="C36" s="227" t="str">
        <f>'School Level Inst. Resources'!C36</f>
        <v>0204055</v>
      </c>
      <c r="D36" s="227" t="str">
        <f>'School Level Inst. Resources'!D36</f>
        <v>Riverside Middle/High School</v>
      </c>
      <c r="E36" s="228" t="str">
        <f>'School Level Inst. Resources'!E36</f>
        <v>6-12</v>
      </c>
      <c r="F36" s="229" t="str">
        <f>'School Level Inst. Resources'!H36</f>
        <v>H</v>
      </c>
      <c r="G36" s="229" t="s">
        <v>1158</v>
      </c>
      <c r="H36" s="229" t="str">
        <f t="shared" si="0"/>
        <v>6-12</v>
      </c>
      <c r="I36" s="198">
        <f>'School Level ADM'!$BI36</f>
        <v>154.983</v>
      </c>
      <c r="J36" s="194">
        <f t="shared" si="1"/>
        <v>0</v>
      </c>
      <c r="K36" s="194">
        <f t="shared" si="2"/>
        <v>0</v>
      </c>
      <c r="L36" s="194">
        <f t="shared" si="3"/>
        <v>0</v>
      </c>
      <c r="M36" s="194">
        <f t="shared" si="4"/>
        <v>0</v>
      </c>
      <c r="N36" s="194">
        <f t="shared" si="5"/>
        <v>58894</v>
      </c>
      <c r="O36" s="194">
        <f t="shared" si="6"/>
        <v>0</v>
      </c>
      <c r="P36" s="194">
        <f t="shared" si="7"/>
        <v>58894</v>
      </c>
      <c r="Q36" s="198">
        <f>'School Level ADM'!$AU36</f>
        <v>150.70500000000001</v>
      </c>
      <c r="R36" s="194">
        <f t="shared" si="8"/>
        <v>0</v>
      </c>
      <c r="S36" s="194">
        <f t="shared" si="9"/>
        <v>0</v>
      </c>
      <c r="T36" s="194">
        <f t="shared" si="10"/>
        <v>0</v>
      </c>
      <c r="U36" s="194">
        <f t="shared" si="11"/>
        <v>0</v>
      </c>
      <c r="V36" s="194">
        <f t="shared" si="12"/>
        <v>58894</v>
      </c>
      <c r="W36" s="194">
        <f t="shared" si="13"/>
        <v>0</v>
      </c>
      <c r="X36" s="194">
        <f t="shared" si="14"/>
        <v>58894</v>
      </c>
    </row>
    <row r="37" spans="1:24" x14ac:dyDescent="0.2">
      <c r="A37" s="227" t="str">
        <f>'School Level Inst. Resources'!A37</f>
        <v>0301000</v>
      </c>
      <c r="B37" s="227" t="str">
        <f>'School Level Inst. Resources'!B37</f>
        <v>Campbell #1</v>
      </c>
      <c r="C37" s="227" t="str">
        <f>'School Level Inst. Resources'!C37</f>
        <v>0301002</v>
      </c>
      <c r="D37" s="227" t="str">
        <f>'School Level Inst. Resources'!D37</f>
        <v>4-J Elementary School</v>
      </c>
      <c r="E37" s="228" t="str">
        <f>'School Level Inst. Resources'!E37</f>
        <v>K-6</v>
      </c>
      <c r="F37" s="229" t="str">
        <f>'School Level Inst. Resources'!H37</f>
        <v>E</v>
      </c>
      <c r="G37" s="229" t="s">
        <v>1158</v>
      </c>
      <c r="H37" s="229" t="str">
        <f t="shared" si="0"/>
        <v>E</v>
      </c>
      <c r="I37" s="198">
        <f>'School Level ADM'!$BI37</f>
        <v>42.481999999999999</v>
      </c>
      <c r="J37" s="194">
        <f t="shared" si="1"/>
        <v>8421</v>
      </c>
      <c r="K37" s="194">
        <f t="shared" si="2"/>
        <v>0</v>
      </c>
      <c r="L37" s="194">
        <f t="shared" si="3"/>
        <v>0</v>
      </c>
      <c r="M37" s="194">
        <f t="shared" si="4"/>
        <v>0</v>
      </c>
      <c r="N37" s="194">
        <f t="shared" si="5"/>
        <v>0</v>
      </c>
      <c r="O37" s="194">
        <f t="shared" si="6"/>
        <v>0</v>
      </c>
      <c r="P37" s="194">
        <f t="shared" si="7"/>
        <v>8421</v>
      </c>
      <c r="Q37" s="198">
        <f>'School Level ADM'!$AU37</f>
        <v>41.370000000000005</v>
      </c>
      <c r="R37" s="194">
        <f t="shared" si="8"/>
        <v>8421</v>
      </c>
      <c r="S37" s="194">
        <f t="shared" si="9"/>
        <v>0</v>
      </c>
      <c r="T37" s="194">
        <f t="shared" si="10"/>
        <v>0</v>
      </c>
      <c r="U37" s="194">
        <f t="shared" si="11"/>
        <v>0</v>
      </c>
      <c r="V37" s="194">
        <f t="shared" si="12"/>
        <v>0</v>
      </c>
      <c r="W37" s="194">
        <f t="shared" si="13"/>
        <v>0</v>
      </c>
      <c r="X37" s="194">
        <f t="shared" si="14"/>
        <v>8421</v>
      </c>
    </row>
    <row r="38" spans="1:24" x14ac:dyDescent="0.2">
      <c r="A38" s="227" t="str">
        <f>'School Level Inst. Resources'!A38</f>
        <v>0301000</v>
      </c>
      <c r="B38" s="227" t="str">
        <f>'School Level Inst. Resources'!B38</f>
        <v>Campbell #1</v>
      </c>
      <c r="C38" s="227" t="str">
        <f>'School Level Inst. Resources'!C38</f>
        <v>0301006</v>
      </c>
      <c r="D38" s="227" t="str">
        <f>'School Level Inst. Resources'!D38</f>
        <v>Cottonwood Elementary</v>
      </c>
      <c r="E38" s="228" t="str">
        <f>'School Level Inst. Resources'!E38</f>
        <v>P-6</v>
      </c>
      <c r="F38" s="229" t="str">
        <f>'School Level Inst. Resources'!H38</f>
        <v>E</v>
      </c>
      <c r="G38" s="229" t="s">
        <v>1158</v>
      </c>
      <c r="H38" s="229" t="str">
        <f t="shared" si="0"/>
        <v>E</v>
      </c>
      <c r="I38" s="198">
        <f>'School Level ADM'!$BI38</f>
        <v>219.97300000000001</v>
      </c>
      <c r="J38" s="194">
        <f t="shared" si="1"/>
        <v>35393</v>
      </c>
      <c r="K38" s="194">
        <f t="shared" si="2"/>
        <v>0</v>
      </c>
      <c r="L38" s="194">
        <f t="shared" si="3"/>
        <v>0</v>
      </c>
      <c r="M38" s="194">
        <f t="shared" si="4"/>
        <v>0</v>
      </c>
      <c r="N38" s="194">
        <f t="shared" si="5"/>
        <v>0</v>
      </c>
      <c r="O38" s="194">
        <f t="shared" si="6"/>
        <v>0</v>
      </c>
      <c r="P38" s="194">
        <f t="shared" si="7"/>
        <v>35393</v>
      </c>
      <c r="Q38" s="198">
        <f>'School Level ADM'!$AU38</f>
        <v>225.565</v>
      </c>
      <c r="R38" s="194">
        <f t="shared" si="8"/>
        <v>35393</v>
      </c>
      <c r="S38" s="194">
        <f t="shared" si="9"/>
        <v>0</v>
      </c>
      <c r="T38" s="194">
        <f t="shared" si="10"/>
        <v>0</v>
      </c>
      <c r="U38" s="194">
        <f t="shared" si="11"/>
        <v>0</v>
      </c>
      <c r="V38" s="194">
        <f t="shared" si="12"/>
        <v>0</v>
      </c>
      <c r="W38" s="194">
        <f t="shared" si="13"/>
        <v>0</v>
      </c>
      <c r="X38" s="194">
        <f t="shared" si="14"/>
        <v>35393</v>
      </c>
    </row>
    <row r="39" spans="1:24" x14ac:dyDescent="0.2">
      <c r="A39" s="227" t="str">
        <f>'School Level Inst. Resources'!A39</f>
        <v>0301000</v>
      </c>
      <c r="B39" s="227" t="str">
        <f>'School Level Inst. Resources'!B39</f>
        <v>Campbell #1</v>
      </c>
      <c r="C39" s="227" t="str">
        <f>'School Level Inst. Resources'!C39</f>
        <v>0301009</v>
      </c>
      <c r="D39" s="227" t="str">
        <f>'School Level Inst. Resources'!D39</f>
        <v>Hillcrest Elementary</v>
      </c>
      <c r="E39" s="228" t="str">
        <f>'School Level Inst. Resources'!E39</f>
        <v>K-6</v>
      </c>
      <c r="F39" s="229" t="str">
        <f>'School Level Inst. Resources'!H39</f>
        <v>E</v>
      </c>
      <c r="G39" s="229" t="s">
        <v>1158</v>
      </c>
      <c r="H39" s="229" t="str">
        <f t="shared" si="0"/>
        <v>E</v>
      </c>
      <c r="I39" s="198">
        <f>'School Level ADM'!$BI39</f>
        <v>414.661</v>
      </c>
      <c r="J39" s="194">
        <f t="shared" si="1"/>
        <v>56257</v>
      </c>
      <c r="K39" s="194">
        <f t="shared" si="2"/>
        <v>0</v>
      </c>
      <c r="L39" s="194">
        <f t="shared" si="3"/>
        <v>0</v>
      </c>
      <c r="M39" s="194">
        <f t="shared" si="4"/>
        <v>0</v>
      </c>
      <c r="N39" s="194">
        <f t="shared" si="5"/>
        <v>0</v>
      </c>
      <c r="O39" s="194">
        <f t="shared" si="6"/>
        <v>0</v>
      </c>
      <c r="P39" s="194">
        <f t="shared" si="7"/>
        <v>56257</v>
      </c>
      <c r="Q39" s="198">
        <f>'School Level ADM'!$AU39</f>
        <v>418.625</v>
      </c>
      <c r="R39" s="194">
        <f t="shared" si="8"/>
        <v>56257</v>
      </c>
      <c r="S39" s="194">
        <f t="shared" si="9"/>
        <v>0</v>
      </c>
      <c r="T39" s="194">
        <f t="shared" si="10"/>
        <v>0</v>
      </c>
      <c r="U39" s="194">
        <f t="shared" si="11"/>
        <v>0</v>
      </c>
      <c r="V39" s="194">
        <f t="shared" si="12"/>
        <v>0</v>
      </c>
      <c r="W39" s="194">
        <f t="shared" si="13"/>
        <v>0</v>
      </c>
      <c r="X39" s="194">
        <f t="shared" si="14"/>
        <v>56257</v>
      </c>
    </row>
    <row r="40" spans="1:24" x14ac:dyDescent="0.2">
      <c r="A40" s="227" t="str">
        <f>'School Level Inst. Resources'!A40</f>
        <v>0301000</v>
      </c>
      <c r="B40" s="227" t="str">
        <f>'School Level Inst. Resources'!B40</f>
        <v>Campbell #1</v>
      </c>
      <c r="C40" s="227" t="str">
        <f>'School Level Inst. Resources'!C40</f>
        <v>0301010</v>
      </c>
      <c r="D40" s="227" t="str">
        <f>'School Level Inst. Resources'!D40</f>
        <v>Little Powder Elementary</v>
      </c>
      <c r="E40" s="228" t="str">
        <f>'School Level Inst. Resources'!E40</f>
        <v>K-8</v>
      </c>
      <c r="F40" s="229" t="str">
        <f>'School Level Inst. Resources'!H40</f>
        <v>E</v>
      </c>
      <c r="G40" s="229" t="s">
        <v>1158</v>
      </c>
      <c r="H40" s="229" t="str">
        <f t="shared" si="0"/>
        <v>K-8</v>
      </c>
      <c r="I40" s="198">
        <f>'School Level ADM'!$BI40</f>
        <v>26.080000000000002</v>
      </c>
      <c r="J40" s="194">
        <f t="shared" si="1"/>
        <v>5283</v>
      </c>
      <c r="K40" s="194">
        <f t="shared" si="2"/>
        <v>0</v>
      </c>
      <c r="L40" s="194">
        <f t="shared" si="3"/>
        <v>0</v>
      </c>
      <c r="M40" s="194">
        <f t="shared" si="4"/>
        <v>8919</v>
      </c>
      <c r="N40" s="194">
        <f t="shared" si="5"/>
        <v>0</v>
      </c>
      <c r="O40" s="194">
        <f t="shared" si="6"/>
        <v>0</v>
      </c>
      <c r="P40" s="194">
        <f t="shared" si="7"/>
        <v>14202</v>
      </c>
      <c r="Q40" s="198">
        <f>'School Level ADM'!$AU40</f>
        <v>23.639999999999993</v>
      </c>
      <c r="R40" s="194">
        <f t="shared" si="8"/>
        <v>5283</v>
      </c>
      <c r="S40" s="194">
        <f t="shared" si="9"/>
        <v>0</v>
      </c>
      <c r="T40" s="194">
        <f t="shared" si="10"/>
        <v>0</v>
      </c>
      <c r="U40" s="194">
        <f t="shared" si="11"/>
        <v>8919</v>
      </c>
      <c r="V40" s="194">
        <f t="shared" si="12"/>
        <v>0</v>
      </c>
      <c r="W40" s="194">
        <f t="shared" si="13"/>
        <v>0</v>
      </c>
      <c r="X40" s="194">
        <f t="shared" si="14"/>
        <v>14202</v>
      </c>
    </row>
    <row r="41" spans="1:24" x14ac:dyDescent="0.2">
      <c r="A41" s="227" t="str">
        <f>'School Level Inst. Resources'!A41</f>
        <v>0301000</v>
      </c>
      <c r="B41" s="227" t="str">
        <f>'School Level Inst. Resources'!B41</f>
        <v>Campbell #1</v>
      </c>
      <c r="C41" s="227" t="str">
        <f>'School Level Inst. Resources'!C41</f>
        <v>0301011</v>
      </c>
      <c r="D41" s="227" t="str">
        <f>'School Level Inst. Resources'!D41</f>
        <v>Meadowlark Elementary</v>
      </c>
      <c r="E41" s="228" t="str">
        <f>'School Level Inst. Resources'!E41</f>
        <v>K-6</v>
      </c>
      <c r="F41" s="229" t="str">
        <f>'School Level Inst. Resources'!H41</f>
        <v>E</v>
      </c>
      <c r="G41" s="229" t="s">
        <v>1158</v>
      </c>
      <c r="H41" s="229" t="str">
        <f t="shared" si="0"/>
        <v>E</v>
      </c>
      <c r="I41" s="198">
        <f>'School Level ADM'!$BI41</f>
        <v>257.46299999999997</v>
      </c>
      <c r="J41" s="194">
        <f t="shared" si="1"/>
        <v>39850</v>
      </c>
      <c r="K41" s="194">
        <f t="shared" si="2"/>
        <v>0</v>
      </c>
      <c r="L41" s="194">
        <f t="shared" si="3"/>
        <v>0</v>
      </c>
      <c r="M41" s="194">
        <f t="shared" si="4"/>
        <v>0</v>
      </c>
      <c r="N41" s="194">
        <f t="shared" si="5"/>
        <v>0</v>
      </c>
      <c r="O41" s="194">
        <f t="shared" si="6"/>
        <v>0</v>
      </c>
      <c r="P41" s="194">
        <f t="shared" si="7"/>
        <v>39850</v>
      </c>
      <c r="Q41" s="198">
        <f>'School Level ADM'!$AU41</f>
        <v>246.25</v>
      </c>
      <c r="R41" s="194">
        <f t="shared" si="8"/>
        <v>39850</v>
      </c>
      <c r="S41" s="194">
        <f t="shared" si="9"/>
        <v>0</v>
      </c>
      <c r="T41" s="194">
        <f t="shared" si="10"/>
        <v>0</v>
      </c>
      <c r="U41" s="194">
        <f t="shared" si="11"/>
        <v>0</v>
      </c>
      <c r="V41" s="194">
        <f t="shared" si="12"/>
        <v>0</v>
      </c>
      <c r="W41" s="194">
        <f t="shared" si="13"/>
        <v>0</v>
      </c>
      <c r="X41" s="194">
        <f t="shared" si="14"/>
        <v>39850</v>
      </c>
    </row>
    <row r="42" spans="1:24" x14ac:dyDescent="0.2">
      <c r="A42" s="227" t="str">
        <f>'School Level Inst. Resources'!A42</f>
        <v>0301000</v>
      </c>
      <c r="B42" s="227" t="str">
        <f>'School Level Inst. Resources'!B42</f>
        <v>Campbell #1</v>
      </c>
      <c r="C42" s="227" t="str">
        <f>'School Level Inst. Resources'!C42</f>
        <v>0301012</v>
      </c>
      <c r="D42" s="227" t="str">
        <f>'School Level Inst. Resources'!D42</f>
        <v>Lakeview Elementary</v>
      </c>
      <c r="E42" s="228" t="str">
        <f>'School Level Inst. Resources'!E42</f>
        <v>K-6</v>
      </c>
      <c r="F42" s="229" t="str">
        <f>'School Level Inst. Resources'!H42</f>
        <v>E</v>
      </c>
      <c r="G42" s="229" t="s">
        <v>1158</v>
      </c>
      <c r="H42" s="229" t="str">
        <f t="shared" si="0"/>
        <v>E</v>
      </c>
      <c r="I42" s="198">
        <f>'School Level ADM'!$BI42</f>
        <v>478.863</v>
      </c>
      <c r="J42" s="194">
        <f t="shared" si="1"/>
        <v>63397</v>
      </c>
      <c r="K42" s="194">
        <f t="shared" si="2"/>
        <v>0</v>
      </c>
      <c r="L42" s="194">
        <f t="shared" si="3"/>
        <v>0</v>
      </c>
      <c r="M42" s="194">
        <f t="shared" si="4"/>
        <v>0</v>
      </c>
      <c r="N42" s="194">
        <f t="shared" si="5"/>
        <v>0</v>
      </c>
      <c r="O42" s="194">
        <f t="shared" si="6"/>
        <v>0</v>
      </c>
      <c r="P42" s="194">
        <f t="shared" si="7"/>
        <v>63397</v>
      </c>
      <c r="Q42" s="198">
        <f>'School Level ADM'!$AU42</f>
        <v>427.49</v>
      </c>
      <c r="R42" s="194">
        <f t="shared" si="8"/>
        <v>63397</v>
      </c>
      <c r="S42" s="194">
        <f t="shared" si="9"/>
        <v>0</v>
      </c>
      <c r="T42" s="194">
        <f t="shared" si="10"/>
        <v>0</v>
      </c>
      <c r="U42" s="194">
        <f t="shared" si="11"/>
        <v>0</v>
      </c>
      <c r="V42" s="194">
        <f t="shared" si="12"/>
        <v>0</v>
      </c>
      <c r="W42" s="194">
        <f t="shared" si="13"/>
        <v>0</v>
      </c>
      <c r="X42" s="194">
        <f t="shared" si="14"/>
        <v>63397</v>
      </c>
    </row>
    <row r="43" spans="1:24" x14ac:dyDescent="0.2">
      <c r="A43" s="227" t="str">
        <f>'School Level Inst. Resources'!A43</f>
        <v>0301000</v>
      </c>
      <c r="B43" s="227" t="str">
        <f>'School Level Inst. Resources'!B43</f>
        <v>Campbell #1</v>
      </c>
      <c r="C43" s="227" t="str">
        <f>'School Level Inst. Resources'!C43</f>
        <v>0301013</v>
      </c>
      <c r="D43" s="227" t="str">
        <f>'School Level Inst. Resources'!D43</f>
        <v>Rawhide Elementary</v>
      </c>
      <c r="E43" s="228" t="str">
        <f>'School Level Inst. Resources'!E43</f>
        <v>K-6</v>
      </c>
      <c r="F43" s="229" t="str">
        <f>'School Level Inst. Resources'!H43</f>
        <v>E</v>
      </c>
      <c r="G43" s="229" t="s">
        <v>1158</v>
      </c>
      <c r="H43" s="229" t="str">
        <f t="shared" si="0"/>
        <v>E</v>
      </c>
      <c r="I43" s="198">
        <f>'School Level ADM'!$BI43</f>
        <v>215.49199999999999</v>
      </c>
      <c r="J43" s="194">
        <f t="shared" si="1"/>
        <v>34838</v>
      </c>
      <c r="K43" s="194">
        <f t="shared" si="2"/>
        <v>0</v>
      </c>
      <c r="L43" s="194">
        <f t="shared" si="3"/>
        <v>0</v>
      </c>
      <c r="M43" s="194">
        <f t="shared" si="4"/>
        <v>0</v>
      </c>
      <c r="N43" s="194">
        <f t="shared" si="5"/>
        <v>0</v>
      </c>
      <c r="O43" s="194">
        <f t="shared" si="6"/>
        <v>0</v>
      </c>
      <c r="P43" s="194">
        <f t="shared" si="7"/>
        <v>34838</v>
      </c>
      <c r="Q43" s="198">
        <f>'School Level ADM'!$AU43</f>
        <v>242.31</v>
      </c>
      <c r="R43" s="194">
        <f t="shared" si="8"/>
        <v>34838</v>
      </c>
      <c r="S43" s="194">
        <f t="shared" si="9"/>
        <v>0</v>
      </c>
      <c r="T43" s="194">
        <f t="shared" si="10"/>
        <v>0</v>
      </c>
      <c r="U43" s="194">
        <f t="shared" si="11"/>
        <v>0</v>
      </c>
      <c r="V43" s="194">
        <f t="shared" si="12"/>
        <v>0</v>
      </c>
      <c r="W43" s="194">
        <f t="shared" si="13"/>
        <v>0</v>
      </c>
      <c r="X43" s="194">
        <f t="shared" si="14"/>
        <v>34838</v>
      </c>
    </row>
    <row r="44" spans="1:24" x14ac:dyDescent="0.2">
      <c r="A44" s="227" t="str">
        <f>'School Level Inst. Resources'!A44</f>
        <v>0301000</v>
      </c>
      <c r="B44" s="227" t="str">
        <f>'School Level Inst. Resources'!B44</f>
        <v>Campbell #1</v>
      </c>
      <c r="C44" s="227" t="str">
        <f>'School Level Inst. Resources'!C44</f>
        <v>0301014</v>
      </c>
      <c r="D44" s="227" t="str">
        <f>'School Level Inst. Resources'!D44</f>
        <v>Recluse School</v>
      </c>
      <c r="E44" s="228" t="str">
        <f>'School Level Inst. Resources'!E44</f>
        <v>K-8</v>
      </c>
      <c r="F44" s="229" t="str">
        <f>'School Level Inst. Resources'!H44</f>
        <v>M</v>
      </c>
      <c r="G44" s="229" t="s">
        <v>1158</v>
      </c>
      <c r="H44" s="229" t="str">
        <f t="shared" si="0"/>
        <v>K-8</v>
      </c>
      <c r="I44" s="198">
        <f>'School Level ADM'!$BI44</f>
        <v>22.782999999999998</v>
      </c>
      <c r="J44" s="194">
        <f t="shared" si="1"/>
        <v>0</v>
      </c>
      <c r="K44" s="194">
        <f t="shared" si="2"/>
        <v>0</v>
      </c>
      <c r="L44" s="194">
        <f t="shared" si="3"/>
        <v>0</v>
      </c>
      <c r="M44" s="194">
        <f t="shared" si="4"/>
        <v>7792</v>
      </c>
      <c r="N44" s="194">
        <f t="shared" si="5"/>
        <v>0</v>
      </c>
      <c r="O44" s="194">
        <f t="shared" si="6"/>
        <v>0</v>
      </c>
      <c r="P44" s="194">
        <f t="shared" si="7"/>
        <v>7792</v>
      </c>
      <c r="Q44" s="198">
        <f>'School Level ADM'!$AU44</f>
        <v>18.715</v>
      </c>
      <c r="R44" s="194">
        <f t="shared" si="8"/>
        <v>0</v>
      </c>
      <c r="S44" s="194">
        <f t="shared" si="9"/>
        <v>0</v>
      </c>
      <c r="T44" s="194">
        <f t="shared" si="10"/>
        <v>0</v>
      </c>
      <c r="U44" s="194">
        <f t="shared" si="11"/>
        <v>7792</v>
      </c>
      <c r="V44" s="194">
        <f t="shared" si="12"/>
        <v>0</v>
      </c>
      <c r="W44" s="194">
        <f t="shared" si="13"/>
        <v>0</v>
      </c>
      <c r="X44" s="194">
        <f t="shared" si="14"/>
        <v>7792</v>
      </c>
    </row>
    <row r="45" spans="1:24" x14ac:dyDescent="0.2">
      <c r="A45" s="227" t="str">
        <f>'School Level Inst. Resources'!A45</f>
        <v>0301000</v>
      </c>
      <c r="B45" s="227" t="str">
        <f>'School Level Inst. Resources'!B45</f>
        <v>Campbell #1</v>
      </c>
      <c r="C45" s="227" t="str">
        <f>'School Level Inst. Resources'!C45</f>
        <v>0301015</v>
      </c>
      <c r="D45" s="227" t="str">
        <f>'School Level Inst. Resources'!D45</f>
        <v>Rozet Elementary</v>
      </c>
      <c r="E45" s="228" t="str">
        <f>'School Level Inst. Resources'!E45</f>
        <v>K-6</v>
      </c>
      <c r="F45" s="229" t="str">
        <f>'School Level Inst. Resources'!H45</f>
        <v>E</v>
      </c>
      <c r="G45" s="229" t="s">
        <v>1158</v>
      </c>
      <c r="H45" s="229" t="str">
        <f t="shared" si="0"/>
        <v>E</v>
      </c>
      <c r="I45" s="198">
        <f>'School Level ADM'!$BI45</f>
        <v>326.863</v>
      </c>
      <c r="J45" s="194">
        <f t="shared" si="1"/>
        <v>47410</v>
      </c>
      <c r="K45" s="194">
        <f t="shared" si="2"/>
        <v>0</v>
      </c>
      <c r="L45" s="194">
        <f t="shared" si="3"/>
        <v>0</v>
      </c>
      <c r="M45" s="194">
        <f t="shared" si="4"/>
        <v>0</v>
      </c>
      <c r="N45" s="194">
        <f t="shared" si="5"/>
        <v>0</v>
      </c>
      <c r="O45" s="194">
        <f t="shared" si="6"/>
        <v>0</v>
      </c>
      <c r="P45" s="194">
        <f t="shared" si="7"/>
        <v>47410</v>
      </c>
      <c r="Q45" s="198">
        <f>'School Level ADM'!$AU45</f>
        <v>304.36500000000001</v>
      </c>
      <c r="R45" s="194">
        <f t="shared" si="8"/>
        <v>47410</v>
      </c>
      <c r="S45" s="194">
        <f t="shared" si="9"/>
        <v>0</v>
      </c>
      <c r="T45" s="194">
        <f t="shared" si="10"/>
        <v>0</v>
      </c>
      <c r="U45" s="194">
        <f t="shared" si="11"/>
        <v>0</v>
      </c>
      <c r="V45" s="194">
        <f t="shared" si="12"/>
        <v>0</v>
      </c>
      <c r="W45" s="194">
        <f t="shared" si="13"/>
        <v>0</v>
      </c>
      <c r="X45" s="194">
        <f t="shared" si="14"/>
        <v>47410</v>
      </c>
    </row>
    <row r="46" spans="1:24" x14ac:dyDescent="0.2">
      <c r="A46" s="227" t="str">
        <f>'School Level Inst. Resources'!A46</f>
        <v>0301000</v>
      </c>
      <c r="B46" s="227" t="str">
        <f>'School Level Inst. Resources'!B46</f>
        <v>Campbell #1</v>
      </c>
      <c r="C46" s="227" t="str">
        <f>'School Level Inst. Resources'!C46</f>
        <v>0301017</v>
      </c>
      <c r="D46" s="227" t="str">
        <f>'School Level Inst. Resources'!D46</f>
        <v>Prairie Wind Elementary</v>
      </c>
      <c r="E46" s="228" t="str">
        <f>'School Level Inst. Resources'!E46</f>
        <v>K-6</v>
      </c>
      <c r="F46" s="229" t="str">
        <f>'School Level Inst. Resources'!H46</f>
        <v>E</v>
      </c>
      <c r="G46" s="229" t="s">
        <v>1158</v>
      </c>
      <c r="H46" s="229" t="str">
        <f t="shared" si="0"/>
        <v>E</v>
      </c>
      <c r="I46" s="198">
        <f>'School Level ADM'!$BI46</f>
        <v>391.81800000000004</v>
      </c>
      <c r="J46" s="194">
        <f t="shared" si="1"/>
        <v>53990</v>
      </c>
      <c r="K46" s="194">
        <f t="shared" si="2"/>
        <v>0</v>
      </c>
      <c r="L46" s="194">
        <f t="shared" si="3"/>
        <v>0</v>
      </c>
      <c r="M46" s="194">
        <f t="shared" si="4"/>
        <v>0</v>
      </c>
      <c r="N46" s="194">
        <f t="shared" si="5"/>
        <v>0</v>
      </c>
      <c r="O46" s="194">
        <f t="shared" si="6"/>
        <v>0</v>
      </c>
      <c r="P46" s="194">
        <f t="shared" si="7"/>
        <v>53990</v>
      </c>
      <c r="Q46" s="198">
        <f>'School Level ADM'!$AU46</f>
        <v>376.27000000000004</v>
      </c>
      <c r="R46" s="194">
        <f t="shared" si="8"/>
        <v>53990</v>
      </c>
      <c r="S46" s="194">
        <f t="shared" si="9"/>
        <v>0</v>
      </c>
      <c r="T46" s="194">
        <f t="shared" si="10"/>
        <v>0</v>
      </c>
      <c r="U46" s="194">
        <f t="shared" si="11"/>
        <v>0</v>
      </c>
      <c r="V46" s="194">
        <f t="shared" si="12"/>
        <v>0</v>
      </c>
      <c r="W46" s="194">
        <f t="shared" si="13"/>
        <v>0</v>
      </c>
      <c r="X46" s="194">
        <f t="shared" si="14"/>
        <v>53990</v>
      </c>
    </row>
    <row r="47" spans="1:24" x14ac:dyDescent="0.2">
      <c r="A47" s="227" t="str">
        <f>'School Level Inst. Resources'!A47</f>
        <v>0301000</v>
      </c>
      <c r="B47" s="227" t="str">
        <f>'School Level Inst. Resources'!B47</f>
        <v>Campbell #1</v>
      </c>
      <c r="C47" s="227" t="str">
        <f>'School Level Inst. Resources'!C47</f>
        <v>0301019</v>
      </c>
      <c r="D47" s="227" t="str">
        <f>'School Level Inst. Resources'!D47</f>
        <v>Wagonwheel Elementary</v>
      </c>
      <c r="E47" s="228" t="str">
        <f>'School Level Inst. Resources'!E47</f>
        <v>K-6</v>
      </c>
      <c r="F47" s="229" t="str">
        <f>'School Level Inst. Resources'!H47</f>
        <v>E</v>
      </c>
      <c r="G47" s="229" t="s">
        <v>1158</v>
      </c>
      <c r="H47" s="229" t="str">
        <f t="shared" si="0"/>
        <v>E</v>
      </c>
      <c r="I47" s="198">
        <f>'School Level ADM'!$BI47</f>
        <v>329.37700000000001</v>
      </c>
      <c r="J47" s="194">
        <f t="shared" si="1"/>
        <v>47671</v>
      </c>
      <c r="K47" s="194">
        <f t="shared" si="2"/>
        <v>0</v>
      </c>
      <c r="L47" s="194">
        <f t="shared" si="3"/>
        <v>0</v>
      </c>
      <c r="M47" s="194">
        <f t="shared" si="4"/>
        <v>0</v>
      </c>
      <c r="N47" s="194">
        <f t="shared" si="5"/>
        <v>0</v>
      </c>
      <c r="O47" s="194">
        <f t="shared" si="6"/>
        <v>0</v>
      </c>
      <c r="P47" s="194">
        <f t="shared" si="7"/>
        <v>47671</v>
      </c>
      <c r="Q47" s="198">
        <f>'School Level ADM'!$AU47</f>
        <v>308.30500000000001</v>
      </c>
      <c r="R47" s="194">
        <f t="shared" si="8"/>
        <v>47671</v>
      </c>
      <c r="S47" s="194">
        <f t="shared" si="9"/>
        <v>0</v>
      </c>
      <c r="T47" s="194">
        <f t="shared" si="10"/>
        <v>0</v>
      </c>
      <c r="U47" s="194">
        <f t="shared" si="11"/>
        <v>0</v>
      </c>
      <c r="V47" s="194">
        <f t="shared" si="12"/>
        <v>0</v>
      </c>
      <c r="W47" s="194">
        <f t="shared" si="13"/>
        <v>0</v>
      </c>
      <c r="X47" s="194">
        <f t="shared" si="14"/>
        <v>47671</v>
      </c>
    </row>
    <row r="48" spans="1:24" x14ac:dyDescent="0.2">
      <c r="A48" s="227" t="str">
        <f>'School Level Inst. Resources'!A48</f>
        <v>0301000</v>
      </c>
      <c r="B48" s="227" t="str">
        <f>'School Level Inst. Resources'!B48</f>
        <v>Campbell #1</v>
      </c>
      <c r="C48" s="227" t="str">
        <f>'School Level Inst. Resources'!C48</f>
        <v>0301021</v>
      </c>
      <c r="D48" s="227" t="str">
        <f>'School Level Inst. Resources'!D48</f>
        <v>Paintbrush Elementary</v>
      </c>
      <c r="E48" s="228" t="str">
        <f>'School Level Inst. Resources'!E48</f>
        <v>K-6</v>
      </c>
      <c r="F48" s="229" t="str">
        <f>'School Level Inst. Resources'!H48</f>
        <v>E</v>
      </c>
      <c r="G48" s="229" t="s">
        <v>1158</v>
      </c>
      <c r="H48" s="229" t="str">
        <f t="shared" si="0"/>
        <v>E</v>
      </c>
      <c r="I48" s="198">
        <f>'School Level ADM'!$BI48</f>
        <v>379.10500000000002</v>
      </c>
      <c r="J48" s="194">
        <f t="shared" si="1"/>
        <v>52722</v>
      </c>
      <c r="K48" s="194">
        <f t="shared" si="2"/>
        <v>0</v>
      </c>
      <c r="L48" s="194">
        <f t="shared" si="3"/>
        <v>0</v>
      </c>
      <c r="M48" s="194">
        <f t="shared" si="4"/>
        <v>0</v>
      </c>
      <c r="N48" s="194">
        <f t="shared" si="5"/>
        <v>0</v>
      </c>
      <c r="O48" s="194">
        <f t="shared" si="6"/>
        <v>0</v>
      </c>
      <c r="P48" s="194">
        <f t="shared" si="7"/>
        <v>52722</v>
      </c>
      <c r="Q48" s="198">
        <f>'School Level ADM'!$AU48</f>
        <v>345.73500000000001</v>
      </c>
      <c r="R48" s="194">
        <f t="shared" si="8"/>
        <v>52722</v>
      </c>
      <c r="S48" s="194">
        <f t="shared" si="9"/>
        <v>0</v>
      </c>
      <c r="T48" s="194">
        <f t="shared" si="10"/>
        <v>0</v>
      </c>
      <c r="U48" s="194">
        <f t="shared" si="11"/>
        <v>0</v>
      </c>
      <c r="V48" s="194">
        <f t="shared" si="12"/>
        <v>0</v>
      </c>
      <c r="W48" s="194">
        <f t="shared" si="13"/>
        <v>0</v>
      </c>
      <c r="X48" s="194">
        <f t="shared" si="14"/>
        <v>52722</v>
      </c>
    </row>
    <row r="49" spans="1:24" x14ac:dyDescent="0.2">
      <c r="A49" s="227" t="str">
        <f>'School Level Inst. Resources'!A49</f>
        <v>0301000</v>
      </c>
      <c r="B49" s="227" t="str">
        <f>'School Level Inst. Resources'!B49</f>
        <v>Campbell #1</v>
      </c>
      <c r="C49" s="227" t="str">
        <f>'School Level Inst. Resources'!C49</f>
        <v>0301022</v>
      </c>
      <c r="D49" s="227" t="str">
        <f>'School Level Inst. Resources'!D49</f>
        <v>Conestoga Elementary</v>
      </c>
      <c r="E49" s="228" t="str">
        <f>'School Level Inst. Resources'!E49</f>
        <v>K-6</v>
      </c>
      <c r="F49" s="229" t="str">
        <f>'School Level Inst. Resources'!H49</f>
        <v>E</v>
      </c>
      <c r="G49" s="229" t="s">
        <v>1158</v>
      </c>
      <c r="H49" s="229" t="str">
        <f t="shared" si="0"/>
        <v>E</v>
      </c>
      <c r="I49" s="198">
        <f>'School Level ADM'!$BI49</f>
        <v>407.63300000000004</v>
      </c>
      <c r="J49" s="194">
        <f t="shared" si="1"/>
        <v>55560</v>
      </c>
      <c r="K49" s="194">
        <f t="shared" si="2"/>
        <v>0</v>
      </c>
      <c r="L49" s="194">
        <f t="shared" si="3"/>
        <v>0</v>
      </c>
      <c r="M49" s="194">
        <f t="shared" si="4"/>
        <v>0</v>
      </c>
      <c r="N49" s="194">
        <f t="shared" si="5"/>
        <v>0</v>
      </c>
      <c r="O49" s="194">
        <f t="shared" si="6"/>
        <v>0</v>
      </c>
      <c r="P49" s="194">
        <f t="shared" si="7"/>
        <v>55560</v>
      </c>
      <c r="Q49" s="198">
        <f>'School Level ADM'!$AU49</f>
        <v>386.12</v>
      </c>
      <c r="R49" s="194">
        <f t="shared" si="8"/>
        <v>55560</v>
      </c>
      <c r="S49" s="194">
        <f t="shared" si="9"/>
        <v>0</v>
      </c>
      <c r="T49" s="194">
        <f t="shared" si="10"/>
        <v>0</v>
      </c>
      <c r="U49" s="194">
        <f t="shared" si="11"/>
        <v>0</v>
      </c>
      <c r="V49" s="194">
        <f t="shared" si="12"/>
        <v>0</v>
      </c>
      <c r="W49" s="194">
        <f t="shared" si="13"/>
        <v>0</v>
      </c>
      <c r="X49" s="194">
        <f t="shared" si="14"/>
        <v>55560</v>
      </c>
    </row>
    <row r="50" spans="1:24" x14ac:dyDescent="0.2">
      <c r="A50" s="227" t="str">
        <f>'School Level Inst. Resources'!A50</f>
        <v>0301000</v>
      </c>
      <c r="B50" s="227" t="str">
        <f>'School Level Inst. Resources'!B50</f>
        <v>Campbell #1</v>
      </c>
      <c r="C50" s="227" t="str">
        <f>'School Level Inst. Resources'!C50</f>
        <v>0301023</v>
      </c>
      <c r="D50" s="227" t="str">
        <f>'School Level Inst. Resources'!D50</f>
        <v>Sunflower Elementary</v>
      </c>
      <c r="E50" s="228" t="str">
        <f>'School Level Inst. Resources'!E50</f>
        <v>K-6</v>
      </c>
      <c r="F50" s="229" t="str">
        <f>'School Level Inst. Resources'!H50</f>
        <v>E</v>
      </c>
      <c r="G50" s="229" t="s">
        <v>1158</v>
      </c>
      <c r="H50" s="229" t="str">
        <f t="shared" si="0"/>
        <v>E</v>
      </c>
      <c r="I50" s="198">
        <f>'School Level ADM'!$BI50</f>
        <v>388.29300000000001</v>
      </c>
      <c r="J50" s="194">
        <f t="shared" si="1"/>
        <v>53639</v>
      </c>
      <c r="K50" s="194">
        <f t="shared" si="2"/>
        <v>0</v>
      </c>
      <c r="L50" s="194">
        <f t="shared" si="3"/>
        <v>0</v>
      </c>
      <c r="M50" s="194">
        <f t="shared" si="4"/>
        <v>0</v>
      </c>
      <c r="N50" s="194">
        <f t="shared" si="5"/>
        <v>0</v>
      </c>
      <c r="O50" s="194">
        <f t="shared" si="6"/>
        <v>0</v>
      </c>
      <c r="P50" s="194">
        <f t="shared" si="7"/>
        <v>53639</v>
      </c>
      <c r="Q50" s="198">
        <f>'School Level ADM'!$AU50</f>
        <v>365.435</v>
      </c>
      <c r="R50" s="194">
        <f t="shared" si="8"/>
        <v>53639</v>
      </c>
      <c r="S50" s="194">
        <f t="shared" si="9"/>
        <v>0</v>
      </c>
      <c r="T50" s="194">
        <f t="shared" si="10"/>
        <v>0</v>
      </c>
      <c r="U50" s="194">
        <f t="shared" si="11"/>
        <v>0</v>
      </c>
      <c r="V50" s="194">
        <f t="shared" si="12"/>
        <v>0</v>
      </c>
      <c r="W50" s="194">
        <f t="shared" si="13"/>
        <v>0</v>
      </c>
      <c r="X50" s="194">
        <f t="shared" si="14"/>
        <v>53639</v>
      </c>
    </row>
    <row r="51" spans="1:24" x14ac:dyDescent="0.2">
      <c r="A51" s="227" t="str">
        <f>'School Level Inst. Resources'!A51</f>
        <v>0301000</v>
      </c>
      <c r="B51" s="227" t="str">
        <f>'School Level Inst. Resources'!B51</f>
        <v>Campbell #1</v>
      </c>
      <c r="C51" s="227" t="str">
        <f>'School Level Inst. Resources'!C51</f>
        <v>0301024</v>
      </c>
      <c r="D51" s="227" t="str">
        <f>'School Level Inst. Resources'!D51</f>
        <v>Pronghorn Elementary</v>
      </c>
      <c r="E51" s="228" t="str">
        <f>'School Level Inst. Resources'!E51</f>
        <v>K-6</v>
      </c>
      <c r="F51" s="229" t="str">
        <f>'School Level Inst. Resources'!H51</f>
        <v>E</v>
      </c>
      <c r="G51" s="229" t="s">
        <v>1158</v>
      </c>
      <c r="H51" s="229" t="str">
        <f t="shared" si="0"/>
        <v>E</v>
      </c>
      <c r="I51" s="198">
        <f>'School Level ADM'!$BI51</f>
        <v>424.81799999999998</v>
      </c>
      <c r="J51" s="194">
        <f t="shared" si="1"/>
        <v>57264</v>
      </c>
      <c r="K51" s="194">
        <f t="shared" si="2"/>
        <v>0</v>
      </c>
      <c r="L51" s="194">
        <f t="shared" si="3"/>
        <v>0</v>
      </c>
      <c r="M51" s="194">
        <f t="shared" si="4"/>
        <v>0</v>
      </c>
      <c r="N51" s="194">
        <f t="shared" si="5"/>
        <v>0</v>
      </c>
      <c r="O51" s="194">
        <f t="shared" si="6"/>
        <v>0</v>
      </c>
      <c r="P51" s="194">
        <f t="shared" si="7"/>
        <v>57264</v>
      </c>
      <c r="Q51" s="198">
        <f>'School Level ADM'!$AU51</f>
        <v>435.37</v>
      </c>
      <c r="R51" s="194">
        <f t="shared" si="8"/>
        <v>57264</v>
      </c>
      <c r="S51" s="194">
        <f t="shared" si="9"/>
        <v>0</v>
      </c>
      <c r="T51" s="194">
        <f t="shared" si="10"/>
        <v>0</v>
      </c>
      <c r="U51" s="194">
        <f t="shared" si="11"/>
        <v>0</v>
      </c>
      <c r="V51" s="194">
        <f t="shared" si="12"/>
        <v>0</v>
      </c>
      <c r="W51" s="194">
        <f t="shared" si="13"/>
        <v>0</v>
      </c>
      <c r="X51" s="194">
        <f t="shared" si="14"/>
        <v>57264</v>
      </c>
    </row>
    <row r="52" spans="1:24" x14ac:dyDescent="0.2">
      <c r="A52" s="227" t="str">
        <f>'School Level Inst. Resources'!A52</f>
        <v>0301000</v>
      </c>
      <c r="B52" s="227" t="str">
        <f>'School Level Inst. Resources'!B52</f>
        <v>Campbell #1</v>
      </c>
      <c r="C52" s="227" t="str">
        <f>'School Level Inst. Resources'!C52</f>
        <v>0301025</v>
      </c>
      <c r="D52" s="227" t="str">
        <f>'School Level Inst. Resources'!D52</f>
        <v>Buffalo Ridge Elementary</v>
      </c>
      <c r="E52" s="228" t="str">
        <f>'School Level Inst. Resources'!E52</f>
        <v>K-6</v>
      </c>
      <c r="F52" s="229" t="str">
        <f>'School Level Inst. Resources'!H52</f>
        <v>E</v>
      </c>
      <c r="G52" s="229" t="s">
        <v>1158</v>
      </c>
      <c r="H52" s="229" t="str">
        <f t="shared" si="0"/>
        <v>E</v>
      </c>
      <c r="I52" s="198">
        <f>'School Level ADM'!$BI52</f>
        <v>429.79799999999994</v>
      </c>
      <c r="J52" s="194">
        <f t="shared" si="1"/>
        <v>57759</v>
      </c>
      <c r="K52" s="194">
        <f t="shared" si="2"/>
        <v>0</v>
      </c>
      <c r="L52" s="194">
        <f t="shared" si="3"/>
        <v>0</v>
      </c>
      <c r="M52" s="194">
        <f t="shared" si="4"/>
        <v>0</v>
      </c>
      <c r="N52" s="194">
        <f t="shared" si="5"/>
        <v>0</v>
      </c>
      <c r="O52" s="194">
        <f t="shared" si="6"/>
        <v>0</v>
      </c>
      <c r="P52" s="194">
        <f t="shared" si="7"/>
        <v>57759</v>
      </c>
      <c r="Q52" s="198">
        <f>'School Level ADM'!$AU52</f>
        <v>430.44499999999999</v>
      </c>
      <c r="R52" s="194">
        <f t="shared" si="8"/>
        <v>57759</v>
      </c>
      <c r="S52" s="194">
        <f t="shared" si="9"/>
        <v>0</v>
      </c>
      <c r="T52" s="194">
        <f t="shared" si="10"/>
        <v>0</v>
      </c>
      <c r="U52" s="194">
        <f t="shared" si="11"/>
        <v>0</v>
      </c>
      <c r="V52" s="194">
        <f t="shared" si="12"/>
        <v>0</v>
      </c>
      <c r="W52" s="194">
        <f t="shared" si="13"/>
        <v>0</v>
      </c>
      <c r="X52" s="194">
        <f t="shared" si="14"/>
        <v>57759</v>
      </c>
    </row>
    <row r="53" spans="1:24" s="243" customFormat="1" x14ac:dyDescent="0.2">
      <c r="A53" s="227" t="str">
        <f>'School Level Inst. Resources'!A53</f>
        <v>0301000</v>
      </c>
      <c r="B53" s="227" t="str">
        <f>'School Level Inst. Resources'!B53</f>
        <v>Campbell #1</v>
      </c>
      <c r="C53" s="227" t="str">
        <f>'School Level Inst. Resources'!C53</f>
        <v>0301026</v>
      </c>
      <c r="D53" s="227" t="str">
        <f>'School Level Inst. Resources'!D53</f>
        <v>Stocktrail Elementary</v>
      </c>
      <c r="E53" s="228" t="str">
        <f>'School Level Inst. Resources'!E53</f>
        <v>P-6</v>
      </c>
      <c r="F53" s="229" t="str">
        <f>'School Level Inst. Resources'!H53</f>
        <v>E</v>
      </c>
      <c r="G53" s="229" t="s">
        <v>1158</v>
      </c>
      <c r="H53" s="229" t="str">
        <f t="shared" si="0"/>
        <v>E</v>
      </c>
      <c r="I53" s="236">
        <f>'School Level ADM'!$BI53</f>
        <v>234.15300000000002</v>
      </c>
      <c r="J53" s="235">
        <f t="shared" si="1"/>
        <v>37116</v>
      </c>
      <c r="K53" s="235">
        <f t="shared" si="2"/>
        <v>0</v>
      </c>
      <c r="L53" s="235">
        <f t="shared" si="3"/>
        <v>0</v>
      </c>
      <c r="M53" s="235">
        <f t="shared" si="4"/>
        <v>0</v>
      </c>
      <c r="N53" s="235">
        <f t="shared" si="5"/>
        <v>0</v>
      </c>
      <c r="O53" s="235">
        <f t="shared" si="6"/>
        <v>0</v>
      </c>
      <c r="P53" s="235">
        <f t="shared" si="7"/>
        <v>37116</v>
      </c>
      <c r="Q53" s="236">
        <f>'School Level ADM'!$AU53</f>
        <v>279.73999999999995</v>
      </c>
      <c r="R53" s="235">
        <f t="shared" si="8"/>
        <v>37116</v>
      </c>
      <c r="S53" s="235">
        <f t="shared" si="9"/>
        <v>0</v>
      </c>
      <c r="T53" s="235">
        <f t="shared" si="10"/>
        <v>0</v>
      </c>
      <c r="U53" s="235">
        <f t="shared" si="11"/>
        <v>0</v>
      </c>
      <c r="V53" s="235">
        <f t="shared" si="12"/>
        <v>0</v>
      </c>
      <c r="W53" s="235">
        <f t="shared" si="13"/>
        <v>0</v>
      </c>
      <c r="X53" s="235">
        <f t="shared" si="14"/>
        <v>37116</v>
      </c>
    </row>
    <row r="54" spans="1:24" x14ac:dyDescent="0.2">
      <c r="A54" s="227" t="str">
        <f>'School Level Inst. Resources'!A54</f>
        <v>0301000</v>
      </c>
      <c r="B54" s="227" t="str">
        <f>'School Level Inst. Resources'!B54</f>
        <v>Campbell #1</v>
      </c>
      <c r="C54" s="227" t="str">
        <f>'School Level Inst. Resources'!C54</f>
        <v>0301050</v>
      </c>
      <c r="D54" s="227" t="str">
        <f>'School Level Inst. Resources'!D54</f>
        <v>Twin Spruce Junior High School</v>
      </c>
      <c r="E54" s="228" t="str">
        <f>'School Level Inst. Resources'!E54</f>
        <v>7-8</v>
      </c>
      <c r="F54" s="229" t="str">
        <f>'School Level Inst. Resources'!H54</f>
        <v>M</v>
      </c>
      <c r="G54" s="229" t="s">
        <v>1158</v>
      </c>
      <c r="H54" s="229" t="str">
        <f t="shared" si="0"/>
        <v>M</v>
      </c>
      <c r="I54" s="198">
        <f>'School Level ADM'!$BI54</f>
        <v>565.42499999999995</v>
      </c>
      <c r="J54" s="194">
        <f t="shared" si="1"/>
        <v>0</v>
      </c>
      <c r="K54" s="194">
        <f t="shared" si="2"/>
        <v>89739</v>
      </c>
      <c r="L54" s="194">
        <f t="shared" si="3"/>
        <v>0</v>
      </c>
      <c r="M54" s="194">
        <f t="shared" si="4"/>
        <v>0</v>
      </c>
      <c r="N54" s="194">
        <f t="shared" si="5"/>
        <v>0</v>
      </c>
      <c r="O54" s="194">
        <f t="shared" si="6"/>
        <v>0</v>
      </c>
      <c r="P54" s="194">
        <f t="shared" si="7"/>
        <v>89739</v>
      </c>
      <c r="Q54" s="198">
        <f>'School Level ADM'!$AU54</f>
        <v>616.61</v>
      </c>
      <c r="R54" s="194">
        <f t="shared" si="8"/>
        <v>0</v>
      </c>
      <c r="S54" s="194">
        <f t="shared" si="9"/>
        <v>89739</v>
      </c>
      <c r="T54" s="194">
        <f t="shared" si="10"/>
        <v>0</v>
      </c>
      <c r="U54" s="194">
        <f t="shared" si="11"/>
        <v>0</v>
      </c>
      <c r="V54" s="194">
        <f t="shared" si="12"/>
        <v>0</v>
      </c>
      <c r="W54" s="194">
        <f t="shared" si="13"/>
        <v>0</v>
      </c>
      <c r="X54" s="194">
        <f t="shared" si="14"/>
        <v>89739</v>
      </c>
    </row>
    <row r="55" spans="1:24" x14ac:dyDescent="0.2">
      <c r="A55" s="227" t="str">
        <f>'School Level Inst. Resources'!A55</f>
        <v>0301000</v>
      </c>
      <c r="B55" s="227" t="str">
        <f>'School Level Inst. Resources'!B55</f>
        <v>Campbell #1</v>
      </c>
      <c r="C55" s="227" t="str">
        <f>'School Level Inst. Resources'!C55</f>
        <v>0301051</v>
      </c>
      <c r="D55" s="227" t="str">
        <f>'School Level Inst. Resources'!D55</f>
        <v>Sage Valley Junior High School</v>
      </c>
      <c r="E55" s="228" t="str">
        <f>'School Level Inst. Resources'!E55</f>
        <v>7-8</v>
      </c>
      <c r="F55" s="229" t="str">
        <f>'School Level Inst. Resources'!H55</f>
        <v>M</v>
      </c>
      <c r="G55" s="229" t="s">
        <v>1158</v>
      </c>
      <c r="H55" s="229" t="str">
        <f t="shared" si="0"/>
        <v>M</v>
      </c>
      <c r="I55" s="198">
        <f>'School Level ADM'!$BI55</f>
        <v>614.16200000000003</v>
      </c>
      <c r="J55" s="194">
        <f t="shared" si="1"/>
        <v>0</v>
      </c>
      <c r="K55" s="194">
        <f t="shared" si="2"/>
        <v>94859</v>
      </c>
      <c r="L55" s="194">
        <f t="shared" si="3"/>
        <v>0</v>
      </c>
      <c r="M55" s="194">
        <f t="shared" si="4"/>
        <v>0</v>
      </c>
      <c r="N55" s="194">
        <f t="shared" si="5"/>
        <v>0</v>
      </c>
      <c r="O55" s="194">
        <f t="shared" si="6"/>
        <v>0</v>
      </c>
      <c r="P55" s="194">
        <f t="shared" si="7"/>
        <v>94859</v>
      </c>
      <c r="Q55" s="198">
        <f>'School Level ADM'!$AU55</f>
        <v>614.64</v>
      </c>
      <c r="R55" s="194">
        <f t="shared" si="8"/>
        <v>0</v>
      </c>
      <c r="S55" s="194">
        <f t="shared" si="9"/>
        <v>94859</v>
      </c>
      <c r="T55" s="194">
        <f t="shared" si="10"/>
        <v>0</v>
      </c>
      <c r="U55" s="194">
        <f t="shared" si="11"/>
        <v>0</v>
      </c>
      <c r="V55" s="194">
        <f t="shared" si="12"/>
        <v>0</v>
      </c>
      <c r="W55" s="194">
        <f t="shared" si="13"/>
        <v>0</v>
      </c>
      <c r="X55" s="194">
        <f t="shared" si="14"/>
        <v>94859</v>
      </c>
    </row>
    <row r="56" spans="1:24" x14ac:dyDescent="0.2">
      <c r="A56" s="227" t="str">
        <f>'School Level Inst. Resources'!A56</f>
        <v>0301000</v>
      </c>
      <c r="B56" s="227" t="str">
        <f>'School Level Inst. Resources'!B56</f>
        <v>Campbell #1</v>
      </c>
      <c r="C56" s="227" t="str">
        <f>'School Level Inst. Resources'!C56</f>
        <v>0301055</v>
      </c>
      <c r="D56" s="227" t="str">
        <f>'School Level Inst. Resources'!D56</f>
        <v>Campbell County High School</v>
      </c>
      <c r="E56" s="228" t="str">
        <f>'School Level Inst. Resources'!E56</f>
        <v>9-12</v>
      </c>
      <c r="F56" s="229" t="str">
        <f>'School Level Inst. Resources'!H56</f>
        <v>H</v>
      </c>
      <c r="G56" s="229" t="s">
        <v>1158</v>
      </c>
      <c r="H56" s="229" t="str">
        <f t="shared" si="0"/>
        <v>H</v>
      </c>
      <c r="I56" s="198">
        <f>'School Level ADM'!$BI56</f>
        <v>1040.3915</v>
      </c>
      <c r="J56" s="194">
        <f t="shared" si="1"/>
        <v>0</v>
      </c>
      <c r="K56" s="194">
        <f t="shared" si="2"/>
        <v>0</v>
      </c>
      <c r="L56" s="194">
        <f t="shared" si="3"/>
        <v>179202</v>
      </c>
      <c r="M56" s="194">
        <f t="shared" si="4"/>
        <v>0</v>
      </c>
      <c r="N56" s="194">
        <f t="shared" si="5"/>
        <v>0</v>
      </c>
      <c r="O56" s="194">
        <f t="shared" si="6"/>
        <v>0</v>
      </c>
      <c r="P56" s="194">
        <f t="shared" si="7"/>
        <v>179202</v>
      </c>
      <c r="Q56" s="198">
        <f>'School Level ADM'!$AU56</f>
        <v>1086.4549999999999</v>
      </c>
      <c r="R56" s="194">
        <f t="shared" si="8"/>
        <v>0</v>
      </c>
      <c r="S56" s="194">
        <f t="shared" si="9"/>
        <v>0</v>
      </c>
      <c r="T56" s="194">
        <f t="shared" si="10"/>
        <v>179202</v>
      </c>
      <c r="U56" s="194">
        <f t="shared" si="11"/>
        <v>0</v>
      </c>
      <c r="V56" s="194">
        <f t="shared" si="12"/>
        <v>0</v>
      </c>
      <c r="W56" s="194">
        <f t="shared" si="13"/>
        <v>0</v>
      </c>
      <c r="X56" s="194">
        <f t="shared" si="14"/>
        <v>179202</v>
      </c>
    </row>
    <row r="57" spans="1:24" x14ac:dyDescent="0.2">
      <c r="A57" s="227" t="str">
        <f>'School Level Inst. Resources'!A57</f>
        <v>0301000</v>
      </c>
      <c r="B57" s="227" t="str">
        <f>'School Level Inst. Resources'!B57</f>
        <v>Campbell #1</v>
      </c>
      <c r="C57" s="227" t="str">
        <f>'School Level Inst. Resources'!C57</f>
        <v>0301056</v>
      </c>
      <c r="D57" s="227" t="str">
        <f>'School Level Inst. Resources'!D57</f>
        <v>Wright Jr. &amp; Sr. High School</v>
      </c>
      <c r="E57" s="228" t="str">
        <f>'School Level Inst. Resources'!E57</f>
        <v>7-12</v>
      </c>
      <c r="F57" s="229" t="str">
        <f>'School Level Inst. Resources'!H57</f>
        <v>H</v>
      </c>
      <c r="G57" s="229" t="s">
        <v>1158</v>
      </c>
      <c r="H57" s="229" t="str">
        <f t="shared" si="0"/>
        <v>6-12</v>
      </c>
      <c r="I57" s="198">
        <f>'School Level ADM'!$BI57</f>
        <v>181.904</v>
      </c>
      <c r="J57" s="194">
        <f t="shared" si="1"/>
        <v>0</v>
      </c>
      <c r="K57" s="194">
        <f t="shared" si="2"/>
        <v>0</v>
      </c>
      <c r="L57" s="194">
        <f t="shared" si="3"/>
        <v>0</v>
      </c>
      <c r="M57" s="194">
        <f t="shared" si="4"/>
        <v>0</v>
      </c>
      <c r="N57" s="194">
        <f t="shared" si="5"/>
        <v>63320</v>
      </c>
      <c r="O57" s="194">
        <f t="shared" si="6"/>
        <v>0</v>
      </c>
      <c r="P57" s="194">
        <f t="shared" si="7"/>
        <v>63320</v>
      </c>
      <c r="Q57" s="198">
        <f>'School Level ADM'!$AU57</f>
        <v>185.18</v>
      </c>
      <c r="R57" s="194">
        <f t="shared" si="8"/>
        <v>0</v>
      </c>
      <c r="S57" s="194">
        <f t="shared" si="9"/>
        <v>0</v>
      </c>
      <c r="T57" s="194">
        <f t="shared" si="10"/>
        <v>0</v>
      </c>
      <c r="U57" s="194">
        <f t="shared" si="11"/>
        <v>0</v>
      </c>
      <c r="V57" s="194">
        <f t="shared" si="12"/>
        <v>63320</v>
      </c>
      <c r="W57" s="194">
        <f t="shared" si="13"/>
        <v>0</v>
      </c>
      <c r="X57" s="194">
        <f t="shared" si="14"/>
        <v>63320</v>
      </c>
    </row>
    <row r="58" spans="1:24" x14ac:dyDescent="0.2">
      <c r="A58" s="227" t="str">
        <f>'School Level Inst. Resources'!A58</f>
        <v>0301000</v>
      </c>
      <c r="B58" s="227" t="str">
        <f>'School Level Inst. Resources'!B58</f>
        <v>Campbell #1</v>
      </c>
      <c r="C58" s="227" t="str">
        <f>'School Level Inst. Resources'!C58</f>
        <v>0301057</v>
      </c>
      <c r="D58" s="227" t="str">
        <f>'School Level Inst. Resources'!D58</f>
        <v>Westwood High School</v>
      </c>
      <c r="E58" s="228" t="str">
        <f>'School Level Inst. Resources'!E58</f>
        <v>9-12</v>
      </c>
      <c r="F58" s="229" t="str">
        <f>'School Level Inst. Resources'!H58</f>
        <v>H</v>
      </c>
      <c r="G58" s="229" t="s">
        <v>1158</v>
      </c>
      <c r="H58" s="229" t="str">
        <f t="shared" si="0"/>
        <v>H</v>
      </c>
      <c r="I58" s="198">
        <f>'School Level ADM'!$BI58</f>
        <v>135.44900000000001</v>
      </c>
      <c r="J58" s="194">
        <f t="shared" si="1"/>
        <v>0</v>
      </c>
      <c r="K58" s="194">
        <f t="shared" si="2"/>
        <v>0</v>
      </c>
      <c r="L58" s="194">
        <f t="shared" si="3"/>
        <v>48996</v>
      </c>
      <c r="M58" s="194">
        <f t="shared" si="4"/>
        <v>0</v>
      </c>
      <c r="N58" s="194">
        <f t="shared" si="5"/>
        <v>0</v>
      </c>
      <c r="O58" s="194">
        <f t="shared" si="6"/>
        <v>0</v>
      </c>
      <c r="P58" s="194">
        <f t="shared" si="7"/>
        <v>48996</v>
      </c>
      <c r="Q58" s="198">
        <f>'School Level ADM'!$AU58</f>
        <v>138.88500000000002</v>
      </c>
      <c r="R58" s="194">
        <f t="shared" si="8"/>
        <v>0</v>
      </c>
      <c r="S58" s="194">
        <f t="shared" si="9"/>
        <v>0</v>
      </c>
      <c r="T58" s="194">
        <f t="shared" si="10"/>
        <v>48996</v>
      </c>
      <c r="U58" s="194">
        <f t="shared" si="11"/>
        <v>0</v>
      </c>
      <c r="V58" s="194">
        <f t="shared" si="12"/>
        <v>0</v>
      </c>
      <c r="W58" s="194">
        <f t="shared" si="13"/>
        <v>0</v>
      </c>
      <c r="X58" s="194">
        <f t="shared" si="14"/>
        <v>48996</v>
      </c>
    </row>
    <row r="59" spans="1:24" x14ac:dyDescent="0.2">
      <c r="A59" s="227" t="str">
        <f>'School Level Inst. Resources'!A59</f>
        <v>0301000</v>
      </c>
      <c r="B59" s="227" t="str">
        <f>'School Level Inst. Resources'!B59</f>
        <v>Campbell #1</v>
      </c>
      <c r="C59" s="227" t="str">
        <f>'School Level Inst. Resources'!C59</f>
        <v>0301059</v>
      </c>
      <c r="D59" s="227" t="str">
        <f>'School Level Inst. Resources'!D59</f>
        <v>Thunder Basin High School</v>
      </c>
      <c r="E59" s="228" t="str">
        <f>'School Level Inst. Resources'!E59</f>
        <v>9-12</v>
      </c>
      <c r="F59" s="229" t="str">
        <f>'School Level Inst. Resources'!H59</f>
        <v>H</v>
      </c>
      <c r="G59" s="229" t="s">
        <v>1158</v>
      </c>
      <c r="H59" s="229" t="str">
        <f t="shared" si="0"/>
        <v>H</v>
      </c>
      <c r="I59" s="198">
        <f>'School Level ADM'!$BI59</f>
        <v>1040.3915</v>
      </c>
      <c r="J59" s="194">
        <f t="shared" si="1"/>
        <v>0</v>
      </c>
      <c r="K59" s="194">
        <f t="shared" si="2"/>
        <v>0</v>
      </c>
      <c r="L59" s="194">
        <f t="shared" si="3"/>
        <v>179202</v>
      </c>
      <c r="M59" s="194">
        <f t="shared" si="4"/>
        <v>0</v>
      </c>
      <c r="N59" s="194">
        <f t="shared" si="5"/>
        <v>0</v>
      </c>
      <c r="O59" s="194">
        <f t="shared" si="6"/>
        <v>0</v>
      </c>
      <c r="P59" s="194">
        <f t="shared" si="7"/>
        <v>179202</v>
      </c>
      <c r="Q59" s="198">
        <f>'School Level ADM'!$AU59</f>
        <v>1059.8599999999999</v>
      </c>
      <c r="R59" s="194">
        <f t="shared" si="8"/>
        <v>0</v>
      </c>
      <c r="S59" s="194">
        <f t="shared" si="9"/>
        <v>0</v>
      </c>
      <c r="T59" s="194">
        <f t="shared" si="10"/>
        <v>179202</v>
      </c>
      <c r="U59" s="194">
        <f t="shared" si="11"/>
        <v>0</v>
      </c>
      <c r="V59" s="194">
        <f t="shared" si="12"/>
        <v>0</v>
      </c>
      <c r="W59" s="194">
        <f t="shared" si="13"/>
        <v>0</v>
      </c>
      <c r="X59" s="194">
        <f t="shared" si="14"/>
        <v>179202</v>
      </c>
    </row>
    <row r="60" spans="1:24" x14ac:dyDescent="0.2">
      <c r="A60" s="227" t="str">
        <f>'School Level Inst. Resources'!A60</f>
        <v>0401000</v>
      </c>
      <c r="B60" s="227" t="str">
        <f>'School Level Inst. Resources'!B60</f>
        <v>Carbon #1</v>
      </c>
      <c r="C60" s="227" t="str">
        <f>'School Level Inst. Resources'!C60</f>
        <v>0401008</v>
      </c>
      <c r="D60" s="227" t="str">
        <f>'School Level Inst. Resources'!D60</f>
        <v>Rawlins Elementary</v>
      </c>
      <c r="E60" s="228" t="str">
        <f>'School Level Inst. Resources'!E60</f>
        <v>K-5</v>
      </c>
      <c r="F60" s="229" t="str">
        <f>'School Level Inst. Resources'!H60</f>
        <v>E</v>
      </c>
      <c r="G60" s="229" t="s">
        <v>1158</v>
      </c>
      <c r="H60" s="229" t="str">
        <f t="shared" si="0"/>
        <v>E</v>
      </c>
      <c r="I60" s="198">
        <f>'School Level ADM'!$BI60</f>
        <v>812.39300000000003</v>
      </c>
      <c r="J60" s="194">
        <f t="shared" si="1"/>
        <v>107553</v>
      </c>
      <c r="K60" s="194">
        <f t="shared" si="2"/>
        <v>0</v>
      </c>
      <c r="L60" s="194">
        <f t="shared" si="3"/>
        <v>0</v>
      </c>
      <c r="M60" s="194">
        <f t="shared" si="4"/>
        <v>0</v>
      </c>
      <c r="N60" s="194">
        <f t="shared" si="5"/>
        <v>0</v>
      </c>
      <c r="O60" s="194">
        <f t="shared" si="6"/>
        <v>0</v>
      </c>
      <c r="P60" s="194">
        <f t="shared" si="7"/>
        <v>107553</v>
      </c>
      <c r="Q60" s="198">
        <f>'School Level ADM'!$AU60</f>
        <v>739.73500000000013</v>
      </c>
      <c r="R60" s="194">
        <f t="shared" si="8"/>
        <v>107553</v>
      </c>
      <c r="S60" s="194">
        <f t="shared" si="9"/>
        <v>0</v>
      </c>
      <c r="T60" s="194">
        <f t="shared" si="10"/>
        <v>0</v>
      </c>
      <c r="U60" s="194">
        <f t="shared" si="11"/>
        <v>0</v>
      </c>
      <c r="V60" s="194">
        <f t="shared" si="12"/>
        <v>0</v>
      </c>
      <c r="W60" s="194">
        <f t="shared" si="13"/>
        <v>0</v>
      </c>
      <c r="X60" s="194">
        <f t="shared" si="14"/>
        <v>107553</v>
      </c>
    </row>
    <row r="61" spans="1:24" x14ac:dyDescent="0.2">
      <c r="A61" s="227" t="str">
        <f>'School Level Inst. Resources'!A61</f>
        <v>0401000</v>
      </c>
      <c r="B61" s="227" t="str">
        <f>'School Level Inst. Resources'!B61</f>
        <v>Carbon #1</v>
      </c>
      <c r="C61" s="227" t="str">
        <f>'School Level Inst. Resources'!C61</f>
        <v>0401049</v>
      </c>
      <c r="D61" s="227" t="str">
        <f>'School Level Inst. Resources'!D61</f>
        <v>Little Snake River Valley School</v>
      </c>
      <c r="E61" s="228" t="str">
        <f>'School Level Inst. Resources'!E61</f>
        <v>K-12</v>
      </c>
      <c r="F61" s="229" t="str">
        <f>'School Level Inst. Resources'!H61</f>
        <v>H</v>
      </c>
      <c r="G61" s="229" t="s">
        <v>1158</v>
      </c>
      <c r="H61" s="229" t="str">
        <f t="shared" si="0"/>
        <v>K-12</v>
      </c>
      <c r="I61" s="198">
        <f>'School Level ADM'!$BI61</f>
        <v>186.94699999999997</v>
      </c>
      <c r="J61" s="194">
        <f t="shared" si="1"/>
        <v>0</v>
      </c>
      <c r="K61" s="194">
        <f t="shared" si="2"/>
        <v>0</v>
      </c>
      <c r="L61" s="194">
        <f t="shared" si="3"/>
        <v>0</v>
      </c>
      <c r="M61" s="194">
        <f t="shared" si="4"/>
        <v>0</v>
      </c>
      <c r="N61" s="194">
        <f t="shared" si="5"/>
        <v>0</v>
      </c>
      <c r="O61" s="194">
        <f t="shared" si="6"/>
        <v>63134</v>
      </c>
      <c r="P61" s="194">
        <f t="shared" si="7"/>
        <v>63134</v>
      </c>
      <c r="Q61" s="198">
        <f>'School Level ADM'!$AU61</f>
        <v>195.03000000000003</v>
      </c>
      <c r="R61" s="194">
        <f t="shared" si="8"/>
        <v>0</v>
      </c>
      <c r="S61" s="194">
        <f t="shared" si="9"/>
        <v>0</v>
      </c>
      <c r="T61" s="194">
        <f t="shared" si="10"/>
        <v>0</v>
      </c>
      <c r="U61" s="194">
        <f t="shared" si="11"/>
        <v>0</v>
      </c>
      <c r="V61" s="194">
        <f t="shared" si="12"/>
        <v>0</v>
      </c>
      <c r="W61" s="194">
        <f t="shared" si="13"/>
        <v>63134</v>
      </c>
      <c r="X61" s="194">
        <f t="shared" si="14"/>
        <v>63134</v>
      </c>
    </row>
    <row r="62" spans="1:24" x14ac:dyDescent="0.2">
      <c r="A62" s="227" t="str">
        <f>'School Level Inst. Resources'!A62</f>
        <v>0401000</v>
      </c>
      <c r="B62" s="227" t="str">
        <f>'School Level Inst. Resources'!B62</f>
        <v>Carbon #1</v>
      </c>
      <c r="C62" s="227" t="str">
        <f>'School Level Inst. Resources'!C62</f>
        <v>0401050</v>
      </c>
      <c r="D62" s="227" t="str">
        <f>'School Level Inst. Resources'!D62</f>
        <v>Rawlins Middle School</v>
      </c>
      <c r="E62" s="228" t="str">
        <f>'School Level Inst. Resources'!E62</f>
        <v>6-8</v>
      </c>
      <c r="F62" s="229" t="str">
        <f>'School Level Inst. Resources'!H62</f>
        <v>M</v>
      </c>
      <c r="G62" s="229" t="s">
        <v>1158</v>
      </c>
      <c r="H62" s="229" t="str">
        <f t="shared" si="0"/>
        <v>M</v>
      </c>
      <c r="I62" s="198">
        <f>'School Level ADM'!$BI62</f>
        <v>342.54300000000001</v>
      </c>
      <c r="J62" s="194">
        <f t="shared" si="1"/>
        <v>0</v>
      </c>
      <c r="K62" s="194">
        <f t="shared" si="2"/>
        <v>67711</v>
      </c>
      <c r="L62" s="194">
        <f t="shared" si="3"/>
        <v>0</v>
      </c>
      <c r="M62" s="194">
        <f t="shared" si="4"/>
        <v>0</v>
      </c>
      <c r="N62" s="194">
        <f t="shared" si="5"/>
        <v>0</v>
      </c>
      <c r="O62" s="194">
        <f t="shared" si="6"/>
        <v>0</v>
      </c>
      <c r="P62" s="194">
        <f t="shared" si="7"/>
        <v>67711</v>
      </c>
      <c r="Q62" s="198">
        <f>'School Level ADM'!$AU62</f>
        <v>349.67500000000001</v>
      </c>
      <c r="R62" s="194">
        <f t="shared" si="8"/>
        <v>0</v>
      </c>
      <c r="S62" s="194">
        <f t="shared" si="9"/>
        <v>67711</v>
      </c>
      <c r="T62" s="194">
        <f t="shared" si="10"/>
        <v>0</v>
      </c>
      <c r="U62" s="194">
        <f t="shared" si="11"/>
        <v>0</v>
      </c>
      <c r="V62" s="194">
        <f t="shared" si="12"/>
        <v>0</v>
      </c>
      <c r="W62" s="194">
        <f t="shared" si="13"/>
        <v>0</v>
      </c>
      <c r="X62" s="194">
        <f t="shared" si="14"/>
        <v>67711</v>
      </c>
    </row>
    <row r="63" spans="1:24" x14ac:dyDescent="0.2">
      <c r="A63" s="227" t="str">
        <f>'School Level Inst. Resources'!A63</f>
        <v>0401000</v>
      </c>
      <c r="B63" s="227" t="str">
        <f>'School Level Inst. Resources'!B63</f>
        <v>Carbon #1</v>
      </c>
      <c r="C63" s="227" t="str">
        <f>'School Level Inst. Resources'!C63</f>
        <v>0401056</v>
      </c>
      <c r="D63" s="227" t="str">
        <f>'School Level Inst. Resources'!D63</f>
        <v>Rawlins High School</v>
      </c>
      <c r="E63" s="228" t="str">
        <f>'School Level Inst. Resources'!E63</f>
        <v>9-12</v>
      </c>
      <c r="F63" s="229" t="str">
        <f>'School Level Inst. Resources'!H63</f>
        <v>H</v>
      </c>
      <c r="G63" s="229" t="s">
        <v>1158</v>
      </c>
      <c r="H63" s="229" t="str">
        <f t="shared" si="0"/>
        <v>H</v>
      </c>
      <c r="I63" s="198">
        <f>'School Level ADM'!$BI63</f>
        <v>418.51000000000005</v>
      </c>
      <c r="J63" s="194">
        <f t="shared" si="1"/>
        <v>0</v>
      </c>
      <c r="K63" s="194">
        <f t="shared" si="2"/>
        <v>0</v>
      </c>
      <c r="L63" s="194">
        <f t="shared" si="3"/>
        <v>97206</v>
      </c>
      <c r="M63" s="194">
        <f t="shared" si="4"/>
        <v>0</v>
      </c>
      <c r="N63" s="194">
        <f t="shared" si="5"/>
        <v>0</v>
      </c>
      <c r="O63" s="194">
        <f t="shared" si="6"/>
        <v>0</v>
      </c>
      <c r="P63" s="194">
        <f t="shared" si="7"/>
        <v>97206</v>
      </c>
      <c r="Q63" s="198">
        <f>'School Level ADM'!$AU63</f>
        <v>421.58</v>
      </c>
      <c r="R63" s="194">
        <f t="shared" si="8"/>
        <v>0</v>
      </c>
      <c r="S63" s="194">
        <f t="shared" si="9"/>
        <v>0</v>
      </c>
      <c r="T63" s="194">
        <f t="shared" si="10"/>
        <v>97206</v>
      </c>
      <c r="U63" s="194">
        <f t="shared" si="11"/>
        <v>0</v>
      </c>
      <c r="V63" s="194">
        <f t="shared" si="12"/>
        <v>0</v>
      </c>
      <c r="W63" s="194">
        <f t="shared" si="13"/>
        <v>0</v>
      </c>
      <c r="X63" s="194">
        <f t="shared" si="14"/>
        <v>97206</v>
      </c>
    </row>
    <row r="64" spans="1:24" x14ac:dyDescent="0.2">
      <c r="A64" s="227" t="str">
        <f>'School Level Inst. Resources'!A64</f>
        <v>0401000</v>
      </c>
      <c r="B64" s="227" t="str">
        <f>'School Level Inst. Resources'!B64</f>
        <v>Carbon #1</v>
      </c>
      <c r="C64" s="227" t="str">
        <f>'School Level Inst. Resources'!C64</f>
        <v>0401057</v>
      </c>
      <c r="D64" s="227" t="str">
        <f>'School Level Inst. Resources'!D64</f>
        <v>Cooperative High</v>
      </c>
      <c r="E64" s="228" t="str">
        <f>'School Level Inst. Resources'!E64</f>
        <v>9-12</v>
      </c>
      <c r="F64" s="229" t="str">
        <f>'School Level Inst. Resources'!H64</f>
        <v>H</v>
      </c>
      <c r="G64" s="229" t="s">
        <v>1158</v>
      </c>
      <c r="H64" s="229" t="str">
        <f t="shared" si="0"/>
        <v>H</v>
      </c>
      <c r="I64" s="198">
        <f>'School Level ADM'!$BI64</f>
        <v>38.817</v>
      </c>
      <c r="J64" s="194">
        <f t="shared" si="1"/>
        <v>0</v>
      </c>
      <c r="K64" s="194">
        <f t="shared" si="2"/>
        <v>0</v>
      </c>
      <c r="L64" s="194">
        <f t="shared" si="3"/>
        <v>14041</v>
      </c>
      <c r="M64" s="194">
        <f t="shared" si="4"/>
        <v>0</v>
      </c>
      <c r="N64" s="194">
        <f t="shared" si="5"/>
        <v>0</v>
      </c>
      <c r="O64" s="194">
        <f t="shared" si="6"/>
        <v>0</v>
      </c>
      <c r="P64" s="194">
        <f t="shared" si="7"/>
        <v>14041</v>
      </c>
      <c r="Q64" s="198">
        <f>'School Level ADM'!$AU64</f>
        <v>29.55</v>
      </c>
      <c r="R64" s="194">
        <f t="shared" si="8"/>
        <v>0</v>
      </c>
      <c r="S64" s="194">
        <f t="shared" si="9"/>
        <v>0</v>
      </c>
      <c r="T64" s="194">
        <f t="shared" si="10"/>
        <v>14041</v>
      </c>
      <c r="U64" s="194">
        <f t="shared" si="11"/>
        <v>0</v>
      </c>
      <c r="V64" s="194">
        <f t="shared" si="12"/>
        <v>0</v>
      </c>
      <c r="W64" s="194">
        <f t="shared" si="13"/>
        <v>0</v>
      </c>
      <c r="X64" s="194">
        <f t="shared" si="14"/>
        <v>14041</v>
      </c>
    </row>
    <row r="65" spans="1:24" x14ac:dyDescent="0.2">
      <c r="A65" s="227" t="str">
        <f>'School Level Inst. Resources'!A65</f>
        <v>0402000</v>
      </c>
      <c r="B65" s="227" t="str">
        <f>'School Level Inst. Resources'!B65</f>
        <v>Carbon #2</v>
      </c>
      <c r="C65" s="227" t="str">
        <f>'School Level Inst. Resources'!C65</f>
        <v>0402001</v>
      </c>
      <c r="D65" s="227" t="str">
        <f>'School Level Inst. Resources'!D65</f>
        <v>Elk Mountain Elementary</v>
      </c>
      <c r="E65" s="228" t="str">
        <f>'School Level Inst. Resources'!E65</f>
        <v>K-6</v>
      </c>
      <c r="F65" s="229" t="str">
        <f>'School Level Inst. Resources'!H65</f>
        <v>E</v>
      </c>
      <c r="G65" s="229" t="s">
        <v>1158</v>
      </c>
      <c r="H65" s="229" t="str">
        <f t="shared" si="0"/>
        <v>E</v>
      </c>
      <c r="I65" s="198">
        <f>'School Level ADM'!$BI65</f>
        <v>13.29</v>
      </c>
      <c r="J65" s="194">
        <f t="shared" si="1"/>
        <v>2915</v>
      </c>
      <c r="K65" s="194">
        <f t="shared" si="2"/>
        <v>0</v>
      </c>
      <c r="L65" s="194">
        <f t="shared" si="3"/>
        <v>0</v>
      </c>
      <c r="M65" s="194">
        <f t="shared" si="4"/>
        <v>0</v>
      </c>
      <c r="N65" s="194">
        <f t="shared" si="5"/>
        <v>0</v>
      </c>
      <c r="O65" s="194">
        <f t="shared" si="6"/>
        <v>0</v>
      </c>
      <c r="P65" s="194">
        <f t="shared" si="7"/>
        <v>2915</v>
      </c>
      <c r="Q65" s="198">
        <f>'School Level ADM'!$AU65</f>
        <v>12.805000000000001</v>
      </c>
      <c r="R65" s="194">
        <f t="shared" si="8"/>
        <v>2915</v>
      </c>
      <c r="S65" s="194">
        <f t="shared" si="9"/>
        <v>0</v>
      </c>
      <c r="T65" s="194">
        <f t="shared" si="10"/>
        <v>0</v>
      </c>
      <c r="U65" s="194">
        <f t="shared" si="11"/>
        <v>0</v>
      </c>
      <c r="V65" s="194">
        <f t="shared" si="12"/>
        <v>0</v>
      </c>
      <c r="W65" s="194">
        <f t="shared" si="13"/>
        <v>0</v>
      </c>
      <c r="X65" s="194">
        <f t="shared" si="14"/>
        <v>2915</v>
      </c>
    </row>
    <row r="66" spans="1:24" x14ac:dyDescent="0.2">
      <c r="A66" s="227" t="str">
        <f>'School Level Inst. Resources'!A66</f>
        <v>0402000</v>
      </c>
      <c r="B66" s="227" t="str">
        <f>'School Level Inst. Resources'!B66</f>
        <v>Carbon #2</v>
      </c>
      <c r="C66" s="227" t="str">
        <f>'School Level Inst. Resources'!C66</f>
        <v>0402003</v>
      </c>
      <c r="D66" s="227" t="str">
        <f>'School Level Inst. Resources'!D66</f>
        <v>Hanna Elementary</v>
      </c>
      <c r="E66" s="228" t="str">
        <f>'School Level Inst. Resources'!E66</f>
        <v>K-6</v>
      </c>
      <c r="F66" s="229" t="str">
        <f>'School Level Inst. Resources'!H66</f>
        <v>E</v>
      </c>
      <c r="G66" s="229" t="s">
        <v>1158</v>
      </c>
      <c r="H66" s="229" t="str">
        <f t="shared" si="0"/>
        <v>E</v>
      </c>
      <c r="I66" s="198">
        <f>'School Level ADM'!$BI66</f>
        <v>79.027000000000001</v>
      </c>
      <c r="J66" s="194">
        <f t="shared" si="1"/>
        <v>14963</v>
      </c>
      <c r="K66" s="194">
        <f t="shared" si="2"/>
        <v>0</v>
      </c>
      <c r="L66" s="194">
        <f t="shared" si="3"/>
        <v>0</v>
      </c>
      <c r="M66" s="194">
        <f t="shared" si="4"/>
        <v>0</v>
      </c>
      <c r="N66" s="194">
        <f t="shared" si="5"/>
        <v>0</v>
      </c>
      <c r="O66" s="194">
        <f t="shared" si="6"/>
        <v>0</v>
      </c>
      <c r="P66" s="194">
        <f t="shared" si="7"/>
        <v>14963</v>
      </c>
      <c r="Q66" s="198">
        <f>'School Level ADM'!$AU66</f>
        <v>73.875</v>
      </c>
      <c r="R66" s="194">
        <f t="shared" si="8"/>
        <v>14963</v>
      </c>
      <c r="S66" s="194">
        <f t="shared" si="9"/>
        <v>0</v>
      </c>
      <c r="T66" s="194">
        <f t="shared" si="10"/>
        <v>0</v>
      </c>
      <c r="U66" s="194">
        <f t="shared" si="11"/>
        <v>0</v>
      </c>
      <c r="V66" s="194">
        <f t="shared" si="12"/>
        <v>0</v>
      </c>
      <c r="W66" s="194">
        <f t="shared" si="13"/>
        <v>0</v>
      </c>
      <c r="X66" s="194">
        <f t="shared" si="14"/>
        <v>14963</v>
      </c>
    </row>
    <row r="67" spans="1:24" x14ac:dyDescent="0.2">
      <c r="A67" s="227" t="str">
        <f>'School Level Inst. Resources'!A67</f>
        <v>0402000</v>
      </c>
      <c r="B67" s="227" t="str">
        <f>'School Level Inst. Resources'!B67</f>
        <v>Carbon #2</v>
      </c>
      <c r="C67" s="227" t="str">
        <f>'School Level Inst. Resources'!C67</f>
        <v>0402005</v>
      </c>
      <c r="D67" s="227" t="str">
        <f>'School Level Inst. Resources'!D67</f>
        <v>Medicine Bow Elementary</v>
      </c>
      <c r="E67" s="228" t="str">
        <f>'School Level Inst. Resources'!E67</f>
        <v>K-6</v>
      </c>
      <c r="F67" s="229" t="str">
        <f>'School Level Inst. Resources'!H67</f>
        <v>E</v>
      </c>
      <c r="G67" s="229" t="s">
        <v>1158</v>
      </c>
      <c r="H67" s="229" t="str">
        <f t="shared" si="0"/>
        <v>E</v>
      </c>
      <c r="I67" s="198">
        <f>'School Level ADM'!$BI67</f>
        <v>16.05</v>
      </c>
      <c r="J67" s="194">
        <f t="shared" si="1"/>
        <v>2915</v>
      </c>
      <c r="K67" s="194">
        <f t="shared" si="2"/>
        <v>0</v>
      </c>
      <c r="L67" s="194">
        <f t="shared" si="3"/>
        <v>0</v>
      </c>
      <c r="M67" s="194">
        <f t="shared" si="4"/>
        <v>0</v>
      </c>
      <c r="N67" s="194">
        <f t="shared" si="5"/>
        <v>0</v>
      </c>
      <c r="O67" s="194">
        <f t="shared" si="6"/>
        <v>0</v>
      </c>
      <c r="P67" s="194">
        <f t="shared" si="7"/>
        <v>2915</v>
      </c>
      <c r="Q67" s="198">
        <f>'School Level ADM'!$AU67</f>
        <v>10.834999999999999</v>
      </c>
      <c r="R67" s="194">
        <f t="shared" si="8"/>
        <v>2915</v>
      </c>
      <c r="S67" s="194">
        <f t="shared" si="9"/>
        <v>0</v>
      </c>
      <c r="T67" s="194">
        <f t="shared" si="10"/>
        <v>0</v>
      </c>
      <c r="U67" s="194">
        <f t="shared" si="11"/>
        <v>0</v>
      </c>
      <c r="V67" s="194">
        <f t="shared" si="12"/>
        <v>0</v>
      </c>
      <c r="W67" s="194">
        <f t="shared" si="13"/>
        <v>0</v>
      </c>
      <c r="X67" s="194">
        <f t="shared" si="14"/>
        <v>2915</v>
      </c>
    </row>
    <row r="68" spans="1:24" x14ac:dyDescent="0.2">
      <c r="A68" s="227" t="str">
        <f>'School Level Inst. Resources'!A68</f>
        <v>0402000</v>
      </c>
      <c r="B68" s="227" t="str">
        <f>'School Level Inst. Resources'!B68</f>
        <v>Carbon #2</v>
      </c>
      <c r="C68" s="227" t="str">
        <f>'School Level Inst. Resources'!C68</f>
        <v>0402006</v>
      </c>
      <c r="D68" s="227" t="str">
        <f>'School Level Inst. Resources'!D68</f>
        <v>Saratoga Elementary</v>
      </c>
      <c r="E68" s="228" t="str">
        <f>'School Level Inst. Resources'!E68</f>
        <v>K-6</v>
      </c>
      <c r="F68" s="229" t="str">
        <f>'School Level Inst. Resources'!H68</f>
        <v>E</v>
      </c>
      <c r="G68" s="229" t="s">
        <v>1158</v>
      </c>
      <c r="H68" s="229" t="str">
        <f t="shared" si="0"/>
        <v>E</v>
      </c>
      <c r="I68" s="198">
        <f>'School Level ADM'!$BI68</f>
        <v>150.12499999999997</v>
      </c>
      <c r="J68" s="194">
        <f t="shared" si="1"/>
        <v>26107</v>
      </c>
      <c r="K68" s="194">
        <f t="shared" si="2"/>
        <v>0</v>
      </c>
      <c r="L68" s="194">
        <f t="shared" si="3"/>
        <v>0</v>
      </c>
      <c r="M68" s="194">
        <f t="shared" si="4"/>
        <v>0</v>
      </c>
      <c r="N68" s="194">
        <f t="shared" si="5"/>
        <v>0</v>
      </c>
      <c r="O68" s="194">
        <f t="shared" si="6"/>
        <v>0</v>
      </c>
      <c r="P68" s="194">
        <f t="shared" si="7"/>
        <v>26107</v>
      </c>
      <c r="Q68" s="198">
        <f>'School Level ADM'!$AU68</f>
        <v>167.45</v>
      </c>
      <c r="R68" s="194">
        <f t="shared" si="8"/>
        <v>26107</v>
      </c>
      <c r="S68" s="194">
        <f t="shared" si="9"/>
        <v>0</v>
      </c>
      <c r="T68" s="194">
        <f t="shared" si="10"/>
        <v>0</v>
      </c>
      <c r="U68" s="194">
        <f t="shared" si="11"/>
        <v>0</v>
      </c>
      <c r="V68" s="194">
        <f t="shared" si="12"/>
        <v>0</v>
      </c>
      <c r="W68" s="194">
        <f t="shared" si="13"/>
        <v>0</v>
      </c>
      <c r="X68" s="194">
        <f t="shared" si="14"/>
        <v>26107</v>
      </c>
    </row>
    <row r="69" spans="1:24" x14ac:dyDescent="0.2">
      <c r="A69" s="227" t="str">
        <f>'School Level Inst. Resources'!A69</f>
        <v>0402000</v>
      </c>
      <c r="B69" s="227" t="str">
        <f>'School Level Inst. Resources'!B69</f>
        <v>Carbon #2</v>
      </c>
      <c r="C69" s="227" t="str">
        <f>'School Level Inst. Resources'!C69</f>
        <v>0402048</v>
      </c>
      <c r="D69" s="227" t="str">
        <f>'School Level Inst. Resources'!D69</f>
        <v>HEM Junior/Senior High School</v>
      </c>
      <c r="E69" s="228" t="str">
        <f>'School Level Inst. Resources'!E69</f>
        <v>7-12</v>
      </c>
      <c r="F69" s="229" t="str">
        <f>'School Level Inst. Resources'!H69</f>
        <v>H</v>
      </c>
      <c r="G69" s="229" t="s">
        <v>1158</v>
      </c>
      <c r="H69" s="229" t="str">
        <f t="shared" si="0"/>
        <v>6-12</v>
      </c>
      <c r="I69" s="198">
        <f>'School Level ADM'!$BI69</f>
        <v>92.057000000000002</v>
      </c>
      <c r="J69" s="194">
        <f t="shared" si="1"/>
        <v>0</v>
      </c>
      <c r="K69" s="194">
        <f t="shared" si="2"/>
        <v>0</v>
      </c>
      <c r="L69" s="194">
        <f t="shared" si="3"/>
        <v>0</v>
      </c>
      <c r="M69" s="194">
        <f t="shared" si="4"/>
        <v>0</v>
      </c>
      <c r="N69" s="194">
        <f t="shared" si="5"/>
        <v>44862</v>
      </c>
      <c r="O69" s="194">
        <f t="shared" si="6"/>
        <v>0</v>
      </c>
      <c r="P69" s="194">
        <f t="shared" si="7"/>
        <v>44862</v>
      </c>
      <c r="Q69" s="198">
        <f>'School Level ADM'!$AU69</f>
        <v>81.754999999999995</v>
      </c>
      <c r="R69" s="194">
        <f t="shared" si="8"/>
        <v>0</v>
      </c>
      <c r="S69" s="194">
        <f t="shared" si="9"/>
        <v>0</v>
      </c>
      <c r="T69" s="194">
        <f t="shared" si="10"/>
        <v>0</v>
      </c>
      <c r="U69" s="194">
        <f t="shared" si="11"/>
        <v>0</v>
      </c>
      <c r="V69" s="194">
        <f t="shared" si="12"/>
        <v>44862</v>
      </c>
      <c r="W69" s="194">
        <f t="shared" si="13"/>
        <v>0</v>
      </c>
      <c r="X69" s="194">
        <f t="shared" si="14"/>
        <v>44862</v>
      </c>
    </row>
    <row r="70" spans="1:24" x14ac:dyDescent="0.2">
      <c r="A70" s="227" t="str">
        <f>'School Level Inst. Resources'!A70</f>
        <v>0402000</v>
      </c>
      <c r="B70" s="227" t="str">
        <f>'School Level Inst. Resources'!B70</f>
        <v>Carbon #2</v>
      </c>
      <c r="C70" s="227" t="str">
        <f>'School Level Inst. Resources'!C70</f>
        <v>0402049</v>
      </c>
      <c r="D70" s="227" t="str">
        <f>'School Level Inst. Resources'!D70</f>
        <v>Encampment K-12 School</v>
      </c>
      <c r="E70" s="228" t="str">
        <f>'School Level Inst. Resources'!E70</f>
        <v>K-12</v>
      </c>
      <c r="F70" s="229" t="str">
        <f>'School Level Inst. Resources'!H70</f>
        <v>H</v>
      </c>
      <c r="G70" s="229" t="s">
        <v>1158</v>
      </c>
      <c r="H70" s="229" t="str">
        <f t="shared" ref="H70:H132" si="15">IF(OR(E70="P-8",E70="K-8",E70="K-9"),"K-8",IF(OR(E70="P-12",E70="K-12"),"K-12",IF(OR(E70="6-12",E70="7-12"),"6-12",F70)))</f>
        <v>K-12</v>
      </c>
      <c r="I70" s="198">
        <f>'School Level ADM'!$BI70</f>
        <v>135.25600000000003</v>
      </c>
      <c r="J70" s="194">
        <f t="shared" ref="J70:J133" si="16">IF(OR($G70="F",$F70&lt;&gt;"E"),0,IF($I70&lt;19,2915,IF($I70&gt;456,ROUND((132.39*$I70),0),ROUND((0.0002128*$I70^3-0.2644484*$I70^2+208.6966777*$I70+16.4242391),0))))</f>
        <v>0</v>
      </c>
      <c r="K70" s="194">
        <f t="shared" ref="K70:K133" si="17">IF(OR($G70="F",$H70&lt;&gt;"M"),0,IF($I70&lt;150,ROUND((300.63*$I70),0),IF($I70&gt;750,ROUND((148.26*$I70),0),ROUND((0.000146*$I70^3-0.1993016*$I70^2+187.7071094*$I70+20929.8632813),0))))</f>
        <v>0</v>
      </c>
      <c r="L70" s="194">
        <f t="shared" ref="L70:L133" si="18">IF(OR($G70="F",$H70&lt;&gt;"H"),0,IF($I70&lt;150,ROUND((361.73*$I70),0),IF($I70&gt;1350,ROUND((167.67*$I70),0),ROUND((0.0000446*$I70^3-0.1033081*$I70^2+207.0604979*$I70+25374.374907),0))))</f>
        <v>0</v>
      </c>
      <c r="M70" s="194">
        <f t="shared" ref="M70:M133" si="19">IF(OR($G70="F",$H70&lt;&gt;"K-8"),0,IF($I70&lt;85,ROUND((341.99*$I70),0),IF($I70&gt;342,ROUND((186.46*$I70),0),ROUND((-0.3239548*$I70^2+273.3488359*$I70+8175.0727129),0))))</f>
        <v>0</v>
      </c>
      <c r="N70" s="194">
        <f t="shared" ref="N70:N133" si="20">IF(OR($G70="F",$H70&lt;&gt;"6-12"),0,IF($I70&lt;75,ROUND((530.59*$I70),0),IF($I70&gt;350,ROUND((260.77*$I70),0),ROUND((0.0025644*$I70^3-1.7519279*$I70^2+535.8785137*$I70+8376.2839819),0))))</f>
        <v>0</v>
      </c>
      <c r="O70" s="194">
        <f t="shared" ref="O70:O133" si="21">IF(OR($G70="F",$H70&lt;&gt;"K-12"),0,IF($I70&lt;75,ROUND((500.08*$I70),0),IF($I70&gt;350,ROUND((251.34*$I70),0),ROUND((0.0017301*$I70^3-1.3373171*$I70^2+484.7783098*$I70+7940.3304431),0))))</f>
        <v>53325</v>
      </c>
      <c r="P70" s="194">
        <f t="shared" ref="P70:P133" si="22">SUM(J70:O70)</f>
        <v>53325</v>
      </c>
      <c r="Q70" s="198">
        <f>'School Level ADM'!$AU70</f>
        <v>126.08000000000001</v>
      </c>
      <c r="R70" s="194">
        <f t="shared" ref="R70:R133" si="23">IF(OR($G70="F",$F70&lt;&gt;"E"),0,IF($I70&lt;19,2915,IF($I70&gt;456,ROUND((132.39*$I70),0),ROUND((0.0002128*$I70^3-0.2644484*$I70^2+208.6966777*$I70+16.4242391),0))))</f>
        <v>0</v>
      </c>
      <c r="S70" s="194">
        <f t="shared" ref="S70:S133" si="24">IF(OR($G70="F",$H70&lt;&gt;"M"),0,IF($I70&lt;150,ROUND((300.63*$I70),0),IF($I70&gt;750,ROUND((148.26*$I70),0),ROUND((0.000146*$I70^3-0.1993016*$I70^2+187.7071094*$I70+20929.8632813),0))))</f>
        <v>0</v>
      </c>
      <c r="T70" s="194">
        <f t="shared" ref="T70:T133" si="25">IF(OR($G70="F",$H70&lt;&gt;"H"),0,IF($I70&lt;150,ROUND((361.73*$I70),0),IF($I70&gt;1350,ROUND((167.67*$I70),0),ROUND((0.0000446*$I70^3-0.1033081*$I70^2+207.0604979*$I70+25374.374907),0))))</f>
        <v>0</v>
      </c>
      <c r="U70" s="194">
        <f t="shared" ref="U70:U133" si="26">IF(OR($G70="F",$H70&lt;&gt;"K-8"),0,IF($I70&lt;85,ROUND((341.99*$I70),0),IF($I70&gt;342,ROUND((186.46*$I70),0),ROUND((-0.3239548*$I70^2+273.3488359*$I70+8175.0727129),0))))</f>
        <v>0</v>
      </c>
      <c r="V70" s="194">
        <f t="shared" ref="V70:V133" si="27">IF(OR($G70="F",$H70&lt;&gt;"6-12"),0,IF($I70&lt;75,ROUND((530.59*$I70),0),IF($I70&gt;350,ROUND((260.77*$I70),0),ROUND((0.0025644*$I70^3-1.7519279*$I70^2+535.8785137*$I70+8376.2839819),0))))</f>
        <v>0</v>
      </c>
      <c r="W70" s="194">
        <f t="shared" ref="W70:W133" si="28">IF(OR($G70="F",$H70&lt;&gt;"K-12"),0,IF($I70&lt;75,ROUND((500.08*$I70),0),IF($I70&gt;350,ROUND((251.34*$I70),0),ROUND((0.0017301*$I70^3-1.3373171*$I70^2+484.7783098*$I70+7940.3304431),0))))</f>
        <v>53325</v>
      </c>
      <c r="X70" s="194">
        <f t="shared" ref="X70:X133" si="29">SUM(R70:W70)</f>
        <v>53325</v>
      </c>
    </row>
    <row r="71" spans="1:24" x14ac:dyDescent="0.2">
      <c r="A71" s="227" t="str">
        <f>'School Level Inst. Resources'!A71</f>
        <v>0402000</v>
      </c>
      <c r="B71" s="227" t="str">
        <f>'School Level Inst. Resources'!B71</f>
        <v>Carbon #2</v>
      </c>
      <c r="C71" s="227" t="str">
        <f>'School Level Inst. Resources'!C71</f>
        <v>0402059</v>
      </c>
      <c r="D71" s="227" t="str">
        <f>'School Level Inst. Resources'!D71</f>
        <v>Saratoga Middle/High School</v>
      </c>
      <c r="E71" s="228" t="str">
        <f>'School Level Inst. Resources'!E71</f>
        <v>7-12</v>
      </c>
      <c r="F71" s="229" t="str">
        <f>'School Level Inst. Resources'!H71</f>
        <v>H</v>
      </c>
      <c r="G71" s="229" t="s">
        <v>1158</v>
      </c>
      <c r="H71" s="229" t="str">
        <f t="shared" si="15"/>
        <v>6-12</v>
      </c>
      <c r="I71" s="198">
        <f>'School Level ADM'!$BI71</f>
        <v>134.434</v>
      </c>
      <c r="J71" s="194">
        <f t="shared" si="16"/>
        <v>0</v>
      </c>
      <c r="K71" s="194">
        <f t="shared" si="17"/>
        <v>0</v>
      </c>
      <c r="L71" s="194">
        <f t="shared" si="18"/>
        <v>0</v>
      </c>
      <c r="M71" s="194">
        <f t="shared" si="19"/>
        <v>0</v>
      </c>
      <c r="N71" s="194">
        <f t="shared" si="20"/>
        <v>54985</v>
      </c>
      <c r="O71" s="194">
        <f t="shared" si="21"/>
        <v>0</v>
      </c>
      <c r="P71" s="194">
        <f t="shared" si="22"/>
        <v>54985</v>
      </c>
      <c r="Q71" s="198">
        <f>'School Level ADM'!$AU71</f>
        <v>121.155</v>
      </c>
      <c r="R71" s="194">
        <f t="shared" si="23"/>
        <v>0</v>
      </c>
      <c r="S71" s="194">
        <f t="shared" si="24"/>
        <v>0</v>
      </c>
      <c r="T71" s="194">
        <f t="shared" si="25"/>
        <v>0</v>
      </c>
      <c r="U71" s="194">
        <f t="shared" si="26"/>
        <v>0</v>
      </c>
      <c r="V71" s="194">
        <f t="shared" si="27"/>
        <v>54985</v>
      </c>
      <c r="W71" s="194">
        <f t="shared" si="28"/>
        <v>0</v>
      </c>
      <c r="X71" s="194">
        <f t="shared" si="29"/>
        <v>54985</v>
      </c>
    </row>
    <row r="72" spans="1:24" x14ac:dyDescent="0.2">
      <c r="A72" s="227" t="str">
        <f>'School Level Inst. Resources'!A72</f>
        <v>0501000</v>
      </c>
      <c r="B72" s="227" t="str">
        <f>'School Level Inst. Resources'!B72</f>
        <v>Converse #1</v>
      </c>
      <c r="C72" s="227" t="str">
        <f>'School Level Inst. Resources'!C72</f>
        <v>0501001</v>
      </c>
      <c r="D72" s="227" t="str">
        <f>'School Level Inst. Resources'!D72</f>
        <v>Dry Creek Elementary</v>
      </c>
      <c r="E72" s="228" t="str">
        <f>'School Level Inst. Resources'!E72</f>
        <v>K-8</v>
      </c>
      <c r="F72" s="229" t="str">
        <f>'School Level Inst. Resources'!H72</f>
        <v>M</v>
      </c>
      <c r="G72" s="229" t="s">
        <v>1158</v>
      </c>
      <c r="H72" s="229" t="str">
        <f t="shared" si="15"/>
        <v>K-8</v>
      </c>
      <c r="I72" s="198">
        <f>'School Level ADM'!$BI72</f>
        <v>13</v>
      </c>
      <c r="J72" s="194">
        <f t="shared" si="16"/>
        <v>0</v>
      </c>
      <c r="K72" s="194">
        <f t="shared" si="17"/>
        <v>0</v>
      </c>
      <c r="L72" s="194">
        <f t="shared" si="18"/>
        <v>0</v>
      </c>
      <c r="M72" s="194">
        <f t="shared" si="19"/>
        <v>4446</v>
      </c>
      <c r="N72" s="194">
        <f t="shared" si="20"/>
        <v>0</v>
      </c>
      <c r="O72" s="194">
        <f t="shared" si="21"/>
        <v>0</v>
      </c>
      <c r="P72" s="194">
        <f t="shared" si="22"/>
        <v>4446</v>
      </c>
      <c r="Q72" s="198">
        <f>'School Level ADM'!$AU72</f>
        <v>12.805</v>
      </c>
      <c r="R72" s="194">
        <f t="shared" si="23"/>
        <v>0</v>
      </c>
      <c r="S72" s="194">
        <f t="shared" si="24"/>
        <v>0</v>
      </c>
      <c r="T72" s="194">
        <f t="shared" si="25"/>
        <v>0</v>
      </c>
      <c r="U72" s="194">
        <f t="shared" si="26"/>
        <v>4446</v>
      </c>
      <c r="V72" s="194">
        <f t="shared" si="27"/>
        <v>0</v>
      </c>
      <c r="W72" s="194">
        <f t="shared" si="28"/>
        <v>0</v>
      </c>
      <c r="X72" s="194">
        <f t="shared" si="29"/>
        <v>4446</v>
      </c>
    </row>
    <row r="73" spans="1:24" x14ac:dyDescent="0.2">
      <c r="A73" s="227" t="str">
        <f>'School Level Inst. Resources'!A73</f>
        <v>0501000</v>
      </c>
      <c r="B73" s="227" t="str">
        <f>'School Level Inst. Resources'!B73</f>
        <v>Converse #1</v>
      </c>
      <c r="C73" s="227" t="str">
        <f>'School Level Inst. Resources'!C73</f>
        <v>0501002</v>
      </c>
      <c r="D73" s="227" t="str">
        <f>'School Level Inst. Resources'!D73</f>
        <v>Douglas Primary School</v>
      </c>
      <c r="E73" s="228" t="str">
        <f>'School Level Inst. Resources'!E73</f>
        <v>K-1</v>
      </c>
      <c r="F73" s="229" t="str">
        <f>'School Level Inst. Resources'!H73</f>
        <v>E</v>
      </c>
      <c r="G73" s="229" t="s">
        <v>1158</v>
      </c>
      <c r="H73" s="229" t="str">
        <f t="shared" si="15"/>
        <v>E</v>
      </c>
      <c r="I73" s="198">
        <f>'School Level ADM'!$BI73</f>
        <v>241.51400000000001</v>
      </c>
      <c r="J73" s="194">
        <f t="shared" si="16"/>
        <v>37992</v>
      </c>
      <c r="K73" s="194">
        <f t="shared" si="17"/>
        <v>0</v>
      </c>
      <c r="L73" s="194">
        <f t="shared" si="18"/>
        <v>0</v>
      </c>
      <c r="M73" s="194">
        <f t="shared" si="19"/>
        <v>0</v>
      </c>
      <c r="N73" s="194">
        <f t="shared" si="20"/>
        <v>0</v>
      </c>
      <c r="O73" s="194">
        <f t="shared" si="21"/>
        <v>0</v>
      </c>
      <c r="P73" s="194">
        <f t="shared" si="22"/>
        <v>37992</v>
      </c>
      <c r="Q73" s="198">
        <f>'School Level ADM'!$AU73</f>
        <v>245.26499999999999</v>
      </c>
      <c r="R73" s="194">
        <f t="shared" si="23"/>
        <v>37992</v>
      </c>
      <c r="S73" s="194">
        <f t="shared" si="24"/>
        <v>0</v>
      </c>
      <c r="T73" s="194">
        <f t="shared" si="25"/>
        <v>0</v>
      </c>
      <c r="U73" s="194">
        <f t="shared" si="26"/>
        <v>0</v>
      </c>
      <c r="V73" s="194">
        <f t="shared" si="27"/>
        <v>0</v>
      </c>
      <c r="W73" s="194">
        <f t="shared" si="28"/>
        <v>0</v>
      </c>
      <c r="X73" s="194">
        <f t="shared" si="29"/>
        <v>37992</v>
      </c>
    </row>
    <row r="74" spans="1:24" x14ac:dyDescent="0.2">
      <c r="A74" s="227" t="str">
        <f>'School Level Inst. Resources'!A74</f>
        <v>0501000</v>
      </c>
      <c r="B74" s="227" t="str">
        <f>'School Level Inst. Resources'!B74</f>
        <v>Converse #1</v>
      </c>
      <c r="C74" s="227" t="str">
        <f>'School Level Inst. Resources'!C74</f>
        <v>0501003</v>
      </c>
      <c r="D74" s="227" t="str">
        <f>'School Level Inst. Resources'!D74</f>
        <v>Moss Agate Elementary</v>
      </c>
      <c r="E74" s="228" t="str">
        <f>'School Level Inst. Resources'!E74</f>
        <v>K-8</v>
      </c>
      <c r="F74" s="229" t="str">
        <f>'School Level Inst. Resources'!H74</f>
        <v>M</v>
      </c>
      <c r="G74" s="229" t="s">
        <v>1158</v>
      </c>
      <c r="H74" s="229" t="str">
        <f t="shared" si="15"/>
        <v>K-8</v>
      </c>
      <c r="I74" s="198">
        <f>'School Level ADM'!$BI74</f>
        <v>17.401000000000003</v>
      </c>
      <c r="J74" s="194">
        <f t="shared" si="16"/>
        <v>0</v>
      </c>
      <c r="K74" s="194">
        <f t="shared" si="17"/>
        <v>0</v>
      </c>
      <c r="L74" s="194">
        <f t="shared" si="18"/>
        <v>0</v>
      </c>
      <c r="M74" s="194">
        <f t="shared" si="19"/>
        <v>5951</v>
      </c>
      <c r="N74" s="194">
        <f t="shared" si="20"/>
        <v>0</v>
      </c>
      <c r="O74" s="194">
        <f t="shared" si="21"/>
        <v>0</v>
      </c>
      <c r="P74" s="194">
        <f t="shared" si="22"/>
        <v>5951</v>
      </c>
      <c r="Q74" s="198">
        <f>'School Level ADM'!$AU74</f>
        <v>18.715</v>
      </c>
      <c r="R74" s="194">
        <f t="shared" si="23"/>
        <v>0</v>
      </c>
      <c r="S74" s="194">
        <f t="shared" si="24"/>
        <v>0</v>
      </c>
      <c r="T74" s="194">
        <f t="shared" si="25"/>
        <v>0</v>
      </c>
      <c r="U74" s="194">
        <f t="shared" si="26"/>
        <v>5951</v>
      </c>
      <c r="V74" s="194">
        <f t="shared" si="27"/>
        <v>0</v>
      </c>
      <c r="W74" s="194">
        <f t="shared" si="28"/>
        <v>0</v>
      </c>
      <c r="X74" s="194">
        <f t="shared" si="29"/>
        <v>5951</v>
      </c>
    </row>
    <row r="75" spans="1:24" x14ac:dyDescent="0.2">
      <c r="A75" s="227" t="str">
        <f>'School Level Inst. Resources'!A75</f>
        <v>0501000</v>
      </c>
      <c r="B75" s="227" t="str">
        <f>'School Level Inst. Resources'!B75</f>
        <v>Converse #1</v>
      </c>
      <c r="C75" s="227" t="str">
        <f>'School Level Inst. Resources'!C75</f>
        <v>0501006</v>
      </c>
      <c r="D75" s="227" t="str">
        <f>'School Level Inst. Resources'!D75</f>
        <v>Shawnee Elementary</v>
      </c>
      <c r="E75" s="228" t="str">
        <f>'School Level Inst. Resources'!E75</f>
        <v>K-8</v>
      </c>
      <c r="F75" s="229" t="str">
        <f>'School Level Inst. Resources'!H75</f>
        <v>M</v>
      </c>
      <c r="G75" s="229" t="s">
        <v>1158</v>
      </c>
      <c r="H75" s="229" t="str">
        <f t="shared" si="15"/>
        <v>K-8</v>
      </c>
      <c r="I75" s="198">
        <f>'School Level ADM'!$BI75</f>
        <v>12.474</v>
      </c>
      <c r="J75" s="194">
        <f t="shared" si="16"/>
        <v>0</v>
      </c>
      <c r="K75" s="194">
        <f t="shared" si="17"/>
        <v>0</v>
      </c>
      <c r="L75" s="194">
        <f t="shared" si="18"/>
        <v>0</v>
      </c>
      <c r="M75" s="194">
        <f t="shared" si="19"/>
        <v>4266</v>
      </c>
      <c r="N75" s="194">
        <f t="shared" si="20"/>
        <v>0</v>
      </c>
      <c r="O75" s="194">
        <f t="shared" si="21"/>
        <v>0</v>
      </c>
      <c r="P75" s="194">
        <f t="shared" si="22"/>
        <v>4266</v>
      </c>
      <c r="Q75" s="198">
        <f>'School Level ADM'!$AU75</f>
        <v>8.8650000000000002</v>
      </c>
      <c r="R75" s="194">
        <f t="shared" si="23"/>
        <v>0</v>
      </c>
      <c r="S75" s="194">
        <f t="shared" si="24"/>
        <v>0</v>
      </c>
      <c r="T75" s="194">
        <f t="shared" si="25"/>
        <v>0</v>
      </c>
      <c r="U75" s="194">
        <f t="shared" si="26"/>
        <v>4266</v>
      </c>
      <c r="V75" s="194">
        <f t="shared" si="27"/>
        <v>0</v>
      </c>
      <c r="W75" s="194">
        <f t="shared" si="28"/>
        <v>0</v>
      </c>
      <c r="X75" s="194">
        <f t="shared" si="29"/>
        <v>4266</v>
      </c>
    </row>
    <row r="76" spans="1:24" x14ac:dyDescent="0.2">
      <c r="A76" s="227" t="str">
        <f>'School Level Inst. Resources'!A76</f>
        <v>0501000</v>
      </c>
      <c r="B76" s="227" t="str">
        <f>'School Level Inst. Resources'!B76</f>
        <v>Converse #1</v>
      </c>
      <c r="C76" s="227" t="str">
        <f>'School Level Inst. Resources'!C76</f>
        <v>0501009</v>
      </c>
      <c r="D76" s="227" t="str">
        <f>'School Level Inst. Resources'!D76</f>
        <v>Walker Creek Elementary</v>
      </c>
      <c r="E76" s="228" t="str">
        <f>'School Level Inst. Resources'!E76</f>
        <v>K-8</v>
      </c>
      <c r="F76" s="229" t="str">
        <f>'School Level Inst. Resources'!H76</f>
        <v>E</v>
      </c>
      <c r="G76" s="229" t="s">
        <v>1158</v>
      </c>
      <c r="H76" s="229" t="str">
        <f t="shared" si="15"/>
        <v>K-8</v>
      </c>
      <c r="I76" s="198">
        <f>'School Level ADM'!$BI76</f>
        <v>6</v>
      </c>
      <c r="J76" s="194">
        <f t="shared" si="16"/>
        <v>2915</v>
      </c>
      <c r="K76" s="194">
        <f t="shared" si="17"/>
        <v>0</v>
      </c>
      <c r="L76" s="194">
        <f t="shared" si="18"/>
        <v>0</v>
      </c>
      <c r="M76" s="194">
        <f t="shared" si="19"/>
        <v>2052</v>
      </c>
      <c r="N76" s="194">
        <f t="shared" si="20"/>
        <v>0</v>
      </c>
      <c r="O76" s="194">
        <f t="shared" si="21"/>
        <v>0</v>
      </c>
      <c r="P76" s="194">
        <f t="shared" si="22"/>
        <v>4967</v>
      </c>
      <c r="Q76" s="198">
        <f>'School Level ADM'!$AU76</f>
        <v>7.88</v>
      </c>
      <c r="R76" s="194">
        <f t="shared" si="23"/>
        <v>2915</v>
      </c>
      <c r="S76" s="194">
        <f t="shared" si="24"/>
        <v>0</v>
      </c>
      <c r="T76" s="194">
        <f t="shared" si="25"/>
        <v>0</v>
      </c>
      <c r="U76" s="194">
        <f t="shared" si="26"/>
        <v>2052</v>
      </c>
      <c r="V76" s="194">
        <f t="shared" si="27"/>
        <v>0</v>
      </c>
      <c r="W76" s="194">
        <f t="shared" si="28"/>
        <v>0</v>
      </c>
      <c r="X76" s="194">
        <f t="shared" si="29"/>
        <v>4967</v>
      </c>
    </row>
    <row r="77" spans="1:24" x14ac:dyDescent="0.2">
      <c r="A77" s="227" t="str">
        <f>'School Level Inst. Resources'!A77</f>
        <v>0501000</v>
      </c>
      <c r="B77" s="227" t="str">
        <f>'School Level Inst. Resources'!B77</f>
        <v>Converse #1</v>
      </c>
      <c r="C77" s="227" t="str">
        <f>'School Level Inst. Resources'!C77</f>
        <v>0501010</v>
      </c>
      <c r="D77" s="227" t="str">
        <f>'School Level Inst. Resources'!D77</f>
        <v>Douglas Upper Elementary School</v>
      </c>
      <c r="E77" s="228" t="str">
        <f>'School Level Inst. Resources'!E77</f>
        <v>4-5</v>
      </c>
      <c r="F77" s="229" t="str">
        <f>'School Level Inst. Resources'!H77</f>
        <v>E</v>
      </c>
      <c r="G77" s="229" t="s">
        <v>1158</v>
      </c>
      <c r="H77" s="229" t="str">
        <f t="shared" si="15"/>
        <v>E</v>
      </c>
      <c r="I77" s="198">
        <f>'School Level ADM'!$BI77</f>
        <v>249.143</v>
      </c>
      <c r="J77" s="194">
        <f t="shared" si="16"/>
        <v>38888</v>
      </c>
      <c r="K77" s="194">
        <f t="shared" si="17"/>
        <v>0</v>
      </c>
      <c r="L77" s="194">
        <f t="shared" si="18"/>
        <v>0</v>
      </c>
      <c r="M77" s="194">
        <f t="shared" si="19"/>
        <v>0</v>
      </c>
      <c r="N77" s="194">
        <f t="shared" si="20"/>
        <v>0</v>
      </c>
      <c r="O77" s="194">
        <f t="shared" si="21"/>
        <v>0</v>
      </c>
      <c r="P77" s="194">
        <f t="shared" si="22"/>
        <v>38888</v>
      </c>
      <c r="Q77" s="198">
        <f>'School Level ADM'!$AU77</f>
        <v>244.28</v>
      </c>
      <c r="R77" s="194">
        <f t="shared" si="23"/>
        <v>38888</v>
      </c>
      <c r="S77" s="194">
        <f t="shared" si="24"/>
        <v>0</v>
      </c>
      <c r="T77" s="194">
        <f t="shared" si="25"/>
        <v>0</v>
      </c>
      <c r="U77" s="194">
        <f t="shared" si="26"/>
        <v>0</v>
      </c>
      <c r="V77" s="194">
        <f t="shared" si="27"/>
        <v>0</v>
      </c>
      <c r="W77" s="194">
        <f t="shared" si="28"/>
        <v>0</v>
      </c>
      <c r="X77" s="194">
        <f t="shared" si="29"/>
        <v>38888</v>
      </c>
    </row>
    <row r="78" spans="1:24" x14ac:dyDescent="0.2">
      <c r="A78" s="227" t="str">
        <f>'School Level Inst. Resources'!A78</f>
        <v>0501000</v>
      </c>
      <c r="B78" s="227" t="str">
        <f>'School Level Inst. Resources'!B78</f>
        <v>Converse #1</v>
      </c>
      <c r="C78" s="227" t="str">
        <f>'School Level Inst. Resources'!C78</f>
        <v>0501011</v>
      </c>
      <c r="D78" s="227" t="str">
        <f>'School Level Inst. Resources'!D78</f>
        <v>White Elementary</v>
      </c>
      <c r="E78" s="228" t="str">
        <f>'School Level Inst. Resources'!E78</f>
        <v>K-8</v>
      </c>
      <c r="F78" s="229" t="str">
        <f>'School Level Inst. Resources'!H78</f>
        <v>M</v>
      </c>
      <c r="G78" s="229" t="s">
        <v>1158</v>
      </c>
      <c r="H78" s="229" t="str">
        <f t="shared" si="15"/>
        <v>K-8</v>
      </c>
      <c r="I78" s="198">
        <f>'School Level ADM'!$BI78</f>
        <v>13.638</v>
      </c>
      <c r="J78" s="194">
        <f t="shared" si="16"/>
        <v>0</v>
      </c>
      <c r="K78" s="194">
        <f t="shared" si="17"/>
        <v>0</v>
      </c>
      <c r="L78" s="194">
        <f t="shared" si="18"/>
        <v>0</v>
      </c>
      <c r="M78" s="194">
        <f t="shared" si="19"/>
        <v>4664</v>
      </c>
      <c r="N78" s="194">
        <f t="shared" si="20"/>
        <v>0</v>
      </c>
      <c r="O78" s="194">
        <f t="shared" si="21"/>
        <v>0</v>
      </c>
      <c r="P78" s="194">
        <f t="shared" si="22"/>
        <v>4664</v>
      </c>
      <c r="Q78" s="198">
        <f>'School Level ADM'!$AU78</f>
        <v>10.834999999999999</v>
      </c>
      <c r="R78" s="194">
        <f t="shared" si="23"/>
        <v>0</v>
      </c>
      <c r="S78" s="194">
        <f t="shared" si="24"/>
        <v>0</v>
      </c>
      <c r="T78" s="194">
        <f t="shared" si="25"/>
        <v>0</v>
      </c>
      <c r="U78" s="194">
        <f t="shared" si="26"/>
        <v>4664</v>
      </c>
      <c r="V78" s="194">
        <f t="shared" si="27"/>
        <v>0</v>
      </c>
      <c r="W78" s="194">
        <f t="shared" si="28"/>
        <v>0</v>
      </c>
      <c r="X78" s="194">
        <f t="shared" si="29"/>
        <v>4664</v>
      </c>
    </row>
    <row r="79" spans="1:24" x14ac:dyDescent="0.2">
      <c r="A79" s="227" t="str">
        <f>'School Level Inst. Resources'!A79</f>
        <v>0501000</v>
      </c>
      <c r="B79" s="227" t="str">
        <f>'School Level Inst. Resources'!B79</f>
        <v>Converse #1</v>
      </c>
      <c r="C79" s="227" t="str">
        <f>'School Level Inst. Resources'!C79</f>
        <v>0501013</v>
      </c>
      <c r="D79" s="227" t="str">
        <f>'School Level Inst. Resources'!D79</f>
        <v>Douglas Intermediate School</v>
      </c>
      <c r="E79" s="228" t="str">
        <f>'School Level Inst. Resources'!E79</f>
        <v>2-3</v>
      </c>
      <c r="F79" s="229" t="str">
        <f>'School Level Inst. Resources'!H79</f>
        <v>E</v>
      </c>
      <c r="G79" s="229" t="s">
        <v>1158</v>
      </c>
      <c r="H79" s="229" t="str">
        <f t="shared" si="15"/>
        <v>E</v>
      </c>
      <c r="I79" s="198">
        <f>'School Level ADM'!$BI79</f>
        <v>232.94299999999998</v>
      </c>
      <c r="J79" s="194">
        <f t="shared" si="16"/>
        <v>36971</v>
      </c>
      <c r="K79" s="194">
        <f t="shared" si="17"/>
        <v>0</v>
      </c>
      <c r="L79" s="194">
        <f t="shared" si="18"/>
        <v>0</v>
      </c>
      <c r="M79" s="194">
        <f t="shared" si="19"/>
        <v>0</v>
      </c>
      <c r="N79" s="194">
        <f t="shared" si="20"/>
        <v>0</v>
      </c>
      <c r="O79" s="194">
        <f t="shared" si="21"/>
        <v>0</v>
      </c>
      <c r="P79" s="194">
        <f t="shared" si="22"/>
        <v>36971</v>
      </c>
      <c r="Q79" s="198">
        <f>'School Level ADM'!$AU79</f>
        <v>230.49</v>
      </c>
      <c r="R79" s="194">
        <f t="shared" si="23"/>
        <v>36971</v>
      </c>
      <c r="S79" s="194">
        <f t="shared" si="24"/>
        <v>0</v>
      </c>
      <c r="T79" s="194">
        <f t="shared" si="25"/>
        <v>0</v>
      </c>
      <c r="U79" s="194">
        <f t="shared" si="26"/>
        <v>0</v>
      </c>
      <c r="V79" s="194">
        <f t="shared" si="27"/>
        <v>0</v>
      </c>
      <c r="W79" s="194">
        <f t="shared" si="28"/>
        <v>0</v>
      </c>
      <c r="X79" s="194">
        <f t="shared" si="29"/>
        <v>36971</v>
      </c>
    </row>
    <row r="80" spans="1:24" x14ac:dyDescent="0.2">
      <c r="A80" s="227" t="str">
        <f>'School Level Inst. Resources'!A80</f>
        <v>0501000</v>
      </c>
      <c r="B80" s="227" t="str">
        <f>'School Level Inst. Resources'!B80</f>
        <v>Converse #1</v>
      </c>
      <c r="C80" s="227" t="str">
        <f>'School Level Inst. Resources'!C80</f>
        <v>0501050</v>
      </c>
      <c r="D80" s="227" t="str">
        <f>'School Level Inst. Resources'!D80</f>
        <v>Douglas Middle School</v>
      </c>
      <c r="E80" s="228" t="str">
        <f>'School Level Inst. Resources'!E80</f>
        <v>6-8</v>
      </c>
      <c r="F80" s="229" t="str">
        <f>'School Level Inst. Resources'!H80</f>
        <v>M</v>
      </c>
      <c r="G80" s="229" t="s">
        <v>1158</v>
      </c>
      <c r="H80" s="229" t="str">
        <f t="shared" si="15"/>
        <v>M</v>
      </c>
      <c r="I80" s="198">
        <f>'School Level ADM'!$BI80</f>
        <v>362.65699999999998</v>
      </c>
      <c r="J80" s="194">
        <f t="shared" si="16"/>
        <v>0</v>
      </c>
      <c r="K80" s="194">
        <f t="shared" si="17"/>
        <v>69755</v>
      </c>
      <c r="L80" s="194">
        <f t="shared" si="18"/>
        <v>0</v>
      </c>
      <c r="M80" s="194">
        <f t="shared" si="19"/>
        <v>0</v>
      </c>
      <c r="N80" s="194">
        <f t="shared" si="20"/>
        <v>0</v>
      </c>
      <c r="O80" s="194">
        <f t="shared" si="21"/>
        <v>0</v>
      </c>
      <c r="P80" s="194">
        <f t="shared" si="22"/>
        <v>69755</v>
      </c>
      <c r="Q80" s="198">
        <f>'School Level ADM'!$AU80</f>
        <v>398.92500000000001</v>
      </c>
      <c r="R80" s="194">
        <f t="shared" si="23"/>
        <v>0</v>
      </c>
      <c r="S80" s="194">
        <f t="shared" si="24"/>
        <v>69755</v>
      </c>
      <c r="T80" s="194">
        <f t="shared" si="25"/>
        <v>0</v>
      </c>
      <c r="U80" s="194">
        <f t="shared" si="26"/>
        <v>0</v>
      </c>
      <c r="V80" s="194">
        <f t="shared" si="27"/>
        <v>0</v>
      </c>
      <c r="W80" s="194">
        <f t="shared" si="28"/>
        <v>0</v>
      </c>
      <c r="X80" s="194">
        <f t="shared" si="29"/>
        <v>69755</v>
      </c>
    </row>
    <row r="81" spans="1:24" x14ac:dyDescent="0.2">
      <c r="A81" s="227" t="str">
        <f>'School Level Inst. Resources'!A81</f>
        <v>0501000</v>
      </c>
      <c r="B81" s="227" t="str">
        <f>'School Level Inst. Resources'!B81</f>
        <v>Converse #1</v>
      </c>
      <c r="C81" s="227" t="str">
        <f>'School Level Inst. Resources'!C81</f>
        <v>0501055</v>
      </c>
      <c r="D81" s="227" t="str">
        <f>'School Level Inst. Resources'!D81</f>
        <v>Douglas High School</v>
      </c>
      <c r="E81" s="228" t="str">
        <f>'School Level Inst. Resources'!E81</f>
        <v>9-12</v>
      </c>
      <c r="F81" s="229" t="str">
        <f>'School Level Inst. Resources'!H81</f>
        <v>H</v>
      </c>
      <c r="G81" s="229" t="s">
        <v>1158</v>
      </c>
      <c r="H81" s="229" t="str">
        <f t="shared" si="15"/>
        <v>H</v>
      </c>
      <c r="I81" s="198">
        <f>'School Level ADM'!$BI81</f>
        <v>513.548</v>
      </c>
      <c r="J81" s="194">
        <f t="shared" si="16"/>
        <v>0</v>
      </c>
      <c r="K81" s="194">
        <f t="shared" si="17"/>
        <v>0</v>
      </c>
      <c r="L81" s="194">
        <f t="shared" si="18"/>
        <v>110505</v>
      </c>
      <c r="M81" s="194">
        <f t="shared" si="19"/>
        <v>0</v>
      </c>
      <c r="N81" s="194">
        <f t="shared" si="20"/>
        <v>0</v>
      </c>
      <c r="O81" s="194">
        <f t="shared" si="21"/>
        <v>0</v>
      </c>
      <c r="P81" s="194">
        <f t="shared" si="22"/>
        <v>110505</v>
      </c>
      <c r="Q81" s="198">
        <f>'School Level ADM'!$AU81</f>
        <v>502.35</v>
      </c>
      <c r="R81" s="194">
        <f t="shared" si="23"/>
        <v>0</v>
      </c>
      <c r="S81" s="194">
        <f t="shared" si="24"/>
        <v>0</v>
      </c>
      <c r="T81" s="194">
        <f t="shared" si="25"/>
        <v>110505</v>
      </c>
      <c r="U81" s="194">
        <f t="shared" si="26"/>
        <v>0</v>
      </c>
      <c r="V81" s="194">
        <f t="shared" si="27"/>
        <v>0</v>
      </c>
      <c r="W81" s="194">
        <f t="shared" si="28"/>
        <v>0</v>
      </c>
      <c r="X81" s="194">
        <f t="shared" si="29"/>
        <v>110505</v>
      </c>
    </row>
    <row r="82" spans="1:24" x14ac:dyDescent="0.2">
      <c r="A82" s="227" t="str">
        <f>'School Level Inst. Resources'!A82</f>
        <v>0502000</v>
      </c>
      <c r="B82" s="227" t="str">
        <f>'School Level Inst. Resources'!B82</f>
        <v>Converse #2</v>
      </c>
      <c r="C82" s="227" t="str">
        <f>'School Level Inst. Resources'!C82</f>
        <v>0502001</v>
      </c>
      <c r="D82" s="227" t="str">
        <f>'School Level Inst. Resources'!D82</f>
        <v>Boxelder Elementary</v>
      </c>
      <c r="E82" s="228" t="str">
        <f>'School Level Inst. Resources'!E82</f>
        <v>K-6</v>
      </c>
      <c r="F82" s="229" t="str">
        <f>'School Level Inst. Resources'!H82</f>
        <v>E</v>
      </c>
      <c r="G82" s="229" t="s">
        <v>1158</v>
      </c>
      <c r="H82" s="229" t="str">
        <f t="shared" si="15"/>
        <v>E</v>
      </c>
      <c r="I82" s="198">
        <f>'School Level ADM'!$BI82</f>
        <v>8</v>
      </c>
      <c r="J82" s="194">
        <f t="shared" si="16"/>
        <v>2915</v>
      </c>
      <c r="K82" s="194">
        <f t="shared" si="17"/>
        <v>0</v>
      </c>
      <c r="L82" s="194">
        <f t="shared" si="18"/>
        <v>0</v>
      </c>
      <c r="M82" s="194">
        <f t="shared" si="19"/>
        <v>0</v>
      </c>
      <c r="N82" s="194">
        <f t="shared" si="20"/>
        <v>0</v>
      </c>
      <c r="O82" s="194">
        <f t="shared" si="21"/>
        <v>0</v>
      </c>
      <c r="P82" s="194">
        <f t="shared" si="22"/>
        <v>2915</v>
      </c>
      <c r="Q82" s="198">
        <f>'School Level ADM'!$AU82</f>
        <v>8.8650000000000002</v>
      </c>
      <c r="R82" s="194">
        <f t="shared" si="23"/>
        <v>2915</v>
      </c>
      <c r="S82" s="194">
        <f t="shared" si="24"/>
        <v>0</v>
      </c>
      <c r="T82" s="194">
        <f t="shared" si="25"/>
        <v>0</v>
      </c>
      <c r="U82" s="194">
        <f t="shared" si="26"/>
        <v>0</v>
      </c>
      <c r="V82" s="194">
        <f t="shared" si="27"/>
        <v>0</v>
      </c>
      <c r="W82" s="194">
        <f t="shared" si="28"/>
        <v>0</v>
      </c>
      <c r="X82" s="194">
        <f t="shared" si="29"/>
        <v>2915</v>
      </c>
    </row>
    <row r="83" spans="1:24" x14ac:dyDescent="0.2">
      <c r="A83" s="227" t="str">
        <f>'School Level Inst. Resources'!A83</f>
        <v>0502000</v>
      </c>
      <c r="B83" s="227" t="str">
        <f>'School Level Inst. Resources'!B83</f>
        <v>Converse #2</v>
      </c>
      <c r="C83" s="227" t="str">
        <f>'School Level Inst. Resources'!C83</f>
        <v>0502004</v>
      </c>
      <c r="D83" s="227" t="str">
        <f>'School Level Inst. Resources'!D83</f>
        <v>Grant Elementary</v>
      </c>
      <c r="E83" s="228" t="str">
        <f>'School Level Inst. Resources'!E83</f>
        <v>K-4</v>
      </c>
      <c r="F83" s="229" t="str">
        <f>'School Level Inst. Resources'!H83</f>
        <v>E</v>
      </c>
      <c r="G83" s="229" t="s">
        <v>1158</v>
      </c>
      <c r="H83" s="229" t="str">
        <f t="shared" si="15"/>
        <v>E</v>
      </c>
      <c r="I83" s="198">
        <f>'School Level ADM'!$BI83</f>
        <v>236.47700000000003</v>
      </c>
      <c r="J83" s="194">
        <f t="shared" si="16"/>
        <v>37394</v>
      </c>
      <c r="K83" s="194">
        <f t="shared" si="17"/>
        <v>0</v>
      </c>
      <c r="L83" s="194">
        <f t="shared" si="18"/>
        <v>0</v>
      </c>
      <c r="M83" s="194">
        <f t="shared" si="19"/>
        <v>0</v>
      </c>
      <c r="N83" s="194">
        <f t="shared" si="20"/>
        <v>0</v>
      </c>
      <c r="O83" s="194">
        <f t="shared" si="21"/>
        <v>0</v>
      </c>
      <c r="P83" s="194">
        <f t="shared" si="22"/>
        <v>37394</v>
      </c>
      <c r="Q83" s="198">
        <f>'School Level ADM'!$AU83</f>
        <v>211.77499999999998</v>
      </c>
      <c r="R83" s="194">
        <f t="shared" si="23"/>
        <v>37394</v>
      </c>
      <c r="S83" s="194">
        <f t="shared" si="24"/>
        <v>0</v>
      </c>
      <c r="T83" s="194">
        <f t="shared" si="25"/>
        <v>0</v>
      </c>
      <c r="U83" s="194">
        <f t="shared" si="26"/>
        <v>0</v>
      </c>
      <c r="V83" s="194">
        <f t="shared" si="27"/>
        <v>0</v>
      </c>
      <c r="W83" s="194">
        <f t="shared" si="28"/>
        <v>0</v>
      </c>
      <c r="X83" s="194">
        <f t="shared" si="29"/>
        <v>37394</v>
      </c>
    </row>
    <row r="84" spans="1:24" s="226" customFormat="1" x14ac:dyDescent="0.2">
      <c r="A84" s="210" t="str">
        <f>'School Level Inst. Resources'!A84</f>
        <v>0502000</v>
      </c>
      <c r="B84" s="210" t="str">
        <f>'School Level Inst. Resources'!B84</f>
        <v>Converse #2</v>
      </c>
      <c r="C84" s="210" t="str">
        <f>'School Level Inst. Resources'!C84</f>
        <v>0502007</v>
      </c>
      <c r="D84" s="210" t="str">
        <f>'School Level Inst. Resources'!D84</f>
        <v>Glenrock Intermediate School</v>
      </c>
      <c r="E84" s="211" t="str">
        <f>'School Level Inst. Resources'!E84</f>
        <v>5-6</v>
      </c>
      <c r="F84" s="212" t="str">
        <f>'School Level Inst. Resources'!H84</f>
        <v>E</v>
      </c>
      <c r="G84" s="212" t="s">
        <v>1159</v>
      </c>
      <c r="H84" s="212" t="str">
        <f t="shared" si="15"/>
        <v>E</v>
      </c>
      <c r="I84" s="217">
        <v>0</v>
      </c>
      <c r="J84" s="293">
        <f t="shared" si="16"/>
        <v>0</v>
      </c>
      <c r="K84" s="293">
        <f t="shared" si="17"/>
        <v>0</v>
      </c>
      <c r="L84" s="293">
        <f t="shared" si="18"/>
        <v>0</v>
      </c>
      <c r="M84" s="293">
        <f t="shared" si="19"/>
        <v>0</v>
      </c>
      <c r="N84" s="293">
        <f t="shared" si="20"/>
        <v>0</v>
      </c>
      <c r="O84" s="293">
        <f t="shared" si="21"/>
        <v>0</v>
      </c>
      <c r="P84" s="293">
        <f t="shared" si="22"/>
        <v>0</v>
      </c>
      <c r="Q84" s="217">
        <v>0</v>
      </c>
      <c r="R84" s="293">
        <f t="shared" si="23"/>
        <v>0</v>
      </c>
      <c r="S84" s="293">
        <f t="shared" si="24"/>
        <v>0</v>
      </c>
      <c r="T84" s="293">
        <f t="shared" si="25"/>
        <v>0</v>
      </c>
      <c r="U84" s="293">
        <f t="shared" si="26"/>
        <v>0</v>
      </c>
      <c r="V84" s="293">
        <f t="shared" si="27"/>
        <v>0</v>
      </c>
      <c r="W84" s="293">
        <f t="shared" si="28"/>
        <v>0</v>
      </c>
      <c r="X84" s="293">
        <f t="shared" si="29"/>
        <v>0</v>
      </c>
    </row>
    <row r="85" spans="1:24" s="226" customFormat="1" x14ac:dyDescent="0.2">
      <c r="A85" s="210" t="str">
        <f>'School Level Inst. Resources'!A85</f>
        <v>0502000</v>
      </c>
      <c r="B85" s="210" t="str">
        <f>'School Level Inst. Resources'!B85</f>
        <v>Converse #2</v>
      </c>
      <c r="C85" s="210" t="str">
        <f>'School Level Inst. Resources'!C85</f>
        <v>0502050</v>
      </c>
      <c r="D85" s="210" t="str">
        <f>'School Level Inst. Resources'!D85</f>
        <v>Glenrock Middle School</v>
      </c>
      <c r="E85" s="211" t="str">
        <f>'School Level Inst. Resources'!E85</f>
        <v>7-8</v>
      </c>
      <c r="F85" s="212" t="str">
        <f>'School Level Inst. Resources'!H85</f>
        <v>M</v>
      </c>
      <c r="G85" s="212" t="s">
        <v>1158</v>
      </c>
      <c r="H85" s="212" t="s">
        <v>376</v>
      </c>
      <c r="I85" s="218">
        <f>SUM('School Level ADM'!$BI84,'School Level ADM'!$BI85)</f>
        <v>184.79300000000001</v>
      </c>
      <c r="J85" s="214">
        <f t="shared" si="16"/>
        <v>0</v>
      </c>
      <c r="K85" s="214">
        <f t="shared" si="17"/>
        <v>0</v>
      </c>
      <c r="L85" s="214">
        <f t="shared" si="18"/>
        <v>0</v>
      </c>
      <c r="M85" s="214">
        <f t="shared" si="19"/>
        <v>47625</v>
      </c>
      <c r="N85" s="214">
        <f t="shared" si="20"/>
        <v>0</v>
      </c>
      <c r="O85" s="214">
        <f t="shared" si="21"/>
        <v>0</v>
      </c>
      <c r="P85" s="214">
        <f t="shared" si="22"/>
        <v>47625</v>
      </c>
      <c r="Q85" s="218">
        <f>SUM('School Level ADM'!$AU84,'School Level ADM'!$AU85)</f>
        <v>168.435</v>
      </c>
      <c r="R85" s="214">
        <f t="shared" si="23"/>
        <v>0</v>
      </c>
      <c r="S85" s="214">
        <f t="shared" si="24"/>
        <v>0</v>
      </c>
      <c r="T85" s="214">
        <f t="shared" si="25"/>
        <v>0</v>
      </c>
      <c r="U85" s="214">
        <f t="shared" si="26"/>
        <v>47625</v>
      </c>
      <c r="V85" s="214">
        <f t="shared" si="27"/>
        <v>0</v>
      </c>
      <c r="W85" s="214">
        <f t="shared" si="28"/>
        <v>0</v>
      </c>
      <c r="X85" s="214">
        <f t="shared" si="29"/>
        <v>47625</v>
      </c>
    </row>
    <row r="86" spans="1:24" x14ac:dyDescent="0.2">
      <c r="A86" s="227" t="str">
        <f>'School Level Inst. Resources'!A86</f>
        <v>0502000</v>
      </c>
      <c r="B86" s="227" t="str">
        <f>'School Level Inst. Resources'!B86</f>
        <v>Converse #2</v>
      </c>
      <c r="C86" s="227" t="str">
        <f>'School Level Inst. Resources'!C86</f>
        <v>0502055</v>
      </c>
      <c r="D86" s="227" t="str">
        <f>'School Level Inst. Resources'!D86</f>
        <v>Glenrock High School</v>
      </c>
      <c r="E86" s="228" t="str">
        <f>'School Level Inst. Resources'!E86</f>
        <v>9-12</v>
      </c>
      <c r="F86" s="229" t="str">
        <f>'School Level Inst. Resources'!H86</f>
        <v>H</v>
      </c>
      <c r="G86" s="229" t="s">
        <v>1158</v>
      </c>
      <c r="H86" s="229" t="str">
        <f t="shared" si="15"/>
        <v>H</v>
      </c>
      <c r="I86" s="198">
        <f>'School Level ADM'!$BI86</f>
        <v>179.68200000000002</v>
      </c>
      <c r="J86" s="194">
        <f t="shared" si="16"/>
        <v>0</v>
      </c>
      <c r="K86" s="194">
        <f t="shared" si="17"/>
        <v>0</v>
      </c>
      <c r="L86" s="194">
        <f t="shared" si="18"/>
        <v>59503</v>
      </c>
      <c r="M86" s="194">
        <f t="shared" si="19"/>
        <v>0</v>
      </c>
      <c r="N86" s="194">
        <f t="shared" si="20"/>
        <v>0</v>
      </c>
      <c r="O86" s="194">
        <f t="shared" si="21"/>
        <v>0</v>
      </c>
      <c r="P86" s="194">
        <f t="shared" si="22"/>
        <v>59503</v>
      </c>
      <c r="Q86" s="198">
        <f>'School Level ADM'!$AU86</f>
        <v>174.34499999999997</v>
      </c>
      <c r="R86" s="194">
        <f t="shared" si="23"/>
        <v>0</v>
      </c>
      <c r="S86" s="194">
        <f t="shared" si="24"/>
        <v>0</v>
      </c>
      <c r="T86" s="194">
        <f t="shared" si="25"/>
        <v>59503</v>
      </c>
      <c r="U86" s="194">
        <f t="shared" si="26"/>
        <v>0</v>
      </c>
      <c r="V86" s="194">
        <f t="shared" si="27"/>
        <v>0</v>
      </c>
      <c r="W86" s="194">
        <f t="shared" si="28"/>
        <v>0</v>
      </c>
      <c r="X86" s="194">
        <f t="shared" si="29"/>
        <v>59503</v>
      </c>
    </row>
    <row r="87" spans="1:24" x14ac:dyDescent="0.2">
      <c r="A87" s="227" t="str">
        <f>'School Level Inst. Resources'!A87</f>
        <v>0601000</v>
      </c>
      <c r="B87" s="227" t="str">
        <f>'School Level Inst. Resources'!B87</f>
        <v>Crook #1</v>
      </c>
      <c r="C87" s="227" t="str">
        <f>'School Level Inst. Resources'!C87</f>
        <v>0601007</v>
      </c>
      <c r="D87" s="227" t="str">
        <f>'School Level Inst. Resources'!D87</f>
        <v>Sundance Elementary</v>
      </c>
      <c r="E87" s="228" t="str">
        <f>'School Level Inst. Resources'!E87</f>
        <v>K-6</v>
      </c>
      <c r="F87" s="229" t="str">
        <f>'School Level Inst. Resources'!H87</f>
        <v>E</v>
      </c>
      <c r="G87" s="229" t="s">
        <v>1158</v>
      </c>
      <c r="H87" s="229" t="str">
        <f t="shared" si="15"/>
        <v>E</v>
      </c>
      <c r="I87" s="198">
        <f>'School Level ADM'!$BI87</f>
        <v>207.93199999999999</v>
      </c>
      <c r="J87" s="194">
        <f t="shared" si="16"/>
        <v>33891</v>
      </c>
      <c r="K87" s="194">
        <f t="shared" si="17"/>
        <v>0</v>
      </c>
      <c r="L87" s="194">
        <f t="shared" si="18"/>
        <v>0</v>
      </c>
      <c r="M87" s="194">
        <f t="shared" si="19"/>
        <v>0</v>
      </c>
      <c r="N87" s="194">
        <f t="shared" si="20"/>
        <v>0</v>
      </c>
      <c r="O87" s="194">
        <f t="shared" si="21"/>
        <v>0</v>
      </c>
      <c r="P87" s="194">
        <f t="shared" si="22"/>
        <v>33891</v>
      </c>
      <c r="Q87" s="198">
        <f>'School Level ADM'!$AU87</f>
        <v>196.01500000000001</v>
      </c>
      <c r="R87" s="194">
        <f t="shared" si="23"/>
        <v>33891</v>
      </c>
      <c r="S87" s="194">
        <f t="shared" si="24"/>
        <v>0</v>
      </c>
      <c r="T87" s="194">
        <f t="shared" si="25"/>
        <v>0</v>
      </c>
      <c r="U87" s="194">
        <f t="shared" si="26"/>
        <v>0</v>
      </c>
      <c r="V87" s="194">
        <f t="shared" si="27"/>
        <v>0</v>
      </c>
      <c r="W87" s="194">
        <f t="shared" si="28"/>
        <v>0</v>
      </c>
      <c r="X87" s="194">
        <f t="shared" si="29"/>
        <v>33891</v>
      </c>
    </row>
    <row r="88" spans="1:24" x14ac:dyDescent="0.2">
      <c r="A88" s="227" t="str">
        <f>'School Level Inst. Resources'!A88</f>
        <v>0601000</v>
      </c>
      <c r="B88" s="227" t="str">
        <f>'School Level Inst. Resources'!B88</f>
        <v>Crook #1</v>
      </c>
      <c r="C88" s="227" t="str">
        <f>'School Level Inst. Resources'!C88</f>
        <v>0601008</v>
      </c>
      <c r="D88" s="227" t="str">
        <f>'School Level Inst. Resources'!D88</f>
        <v>Moorcroft K-8</v>
      </c>
      <c r="E88" s="228" t="str">
        <f>'School Level Inst. Resources'!E88</f>
        <v>K-8</v>
      </c>
      <c r="F88" s="229" t="str">
        <f>'School Level Inst. Resources'!H88</f>
        <v>M</v>
      </c>
      <c r="G88" s="229" t="s">
        <v>1158</v>
      </c>
      <c r="H88" s="229" t="str">
        <f t="shared" si="15"/>
        <v>K-8</v>
      </c>
      <c r="I88" s="198">
        <f>'School Level ADM'!$BI88</f>
        <v>435.60599999999988</v>
      </c>
      <c r="J88" s="194">
        <f t="shared" si="16"/>
        <v>0</v>
      </c>
      <c r="K88" s="194">
        <f t="shared" si="17"/>
        <v>0</v>
      </c>
      <c r="L88" s="194">
        <f t="shared" si="18"/>
        <v>0</v>
      </c>
      <c r="M88" s="194">
        <f t="shared" si="19"/>
        <v>81223</v>
      </c>
      <c r="N88" s="194">
        <f t="shared" si="20"/>
        <v>0</v>
      </c>
      <c r="O88" s="194">
        <f t="shared" si="21"/>
        <v>0</v>
      </c>
      <c r="P88" s="194">
        <f t="shared" si="22"/>
        <v>81223</v>
      </c>
      <c r="Q88" s="198">
        <f>'School Level ADM'!$AU88</f>
        <v>446.20499999999998</v>
      </c>
      <c r="R88" s="194">
        <f t="shared" si="23"/>
        <v>0</v>
      </c>
      <c r="S88" s="194">
        <f t="shared" si="24"/>
        <v>0</v>
      </c>
      <c r="T88" s="194">
        <f t="shared" si="25"/>
        <v>0</v>
      </c>
      <c r="U88" s="194">
        <f t="shared" si="26"/>
        <v>81223</v>
      </c>
      <c r="V88" s="194">
        <f t="shared" si="27"/>
        <v>0</v>
      </c>
      <c r="W88" s="194">
        <f t="shared" si="28"/>
        <v>0</v>
      </c>
      <c r="X88" s="194">
        <f t="shared" si="29"/>
        <v>81223</v>
      </c>
    </row>
    <row r="89" spans="1:24" x14ac:dyDescent="0.2">
      <c r="A89" s="227" t="str">
        <f>'School Level Inst. Resources'!A89</f>
        <v>0601000</v>
      </c>
      <c r="B89" s="227" t="str">
        <f>'School Level Inst. Resources'!B89</f>
        <v>Crook #1</v>
      </c>
      <c r="C89" s="227" t="str">
        <f>'School Level Inst. Resources'!C89</f>
        <v>0601048</v>
      </c>
      <c r="D89" s="227" t="str">
        <f>'School Level Inst. Resources'!D89</f>
        <v>Sundance Secondary</v>
      </c>
      <c r="E89" s="228" t="str">
        <f>'School Level Inst. Resources'!E89</f>
        <v>7-12</v>
      </c>
      <c r="F89" s="229" t="str">
        <f>'School Level Inst. Resources'!H89</f>
        <v>H</v>
      </c>
      <c r="G89" s="229" t="s">
        <v>1158</v>
      </c>
      <c r="H89" s="229" t="str">
        <f t="shared" si="15"/>
        <v>6-12</v>
      </c>
      <c r="I89" s="198">
        <f>'School Level ADM'!$BI89</f>
        <v>171.73499999999999</v>
      </c>
      <c r="J89" s="194">
        <f t="shared" si="16"/>
        <v>0</v>
      </c>
      <c r="K89" s="194">
        <f t="shared" si="17"/>
        <v>0</v>
      </c>
      <c r="L89" s="194">
        <f t="shared" si="18"/>
        <v>0</v>
      </c>
      <c r="M89" s="194">
        <f t="shared" si="19"/>
        <v>0</v>
      </c>
      <c r="N89" s="194">
        <f t="shared" si="20"/>
        <v>61725</v>
      </c>
      <c r="O89" s="194">
        <f t="shared" si="21"/>
        <v>0</v>
      </c>
      <c r="P89" s="194">
        <f t="shared" si="22"/>
        <v>61725</v>
      </c>
      <c r="Q89" s="198">
        <f>'School Level ADM'!$AU89</f>
        <v>169.42</v>
      </c>
      <c r="R89" s="194">
        <f t="shared" si="23"/>
        <v>0</v>
      </c>
      <c r="S89" s="194">
        <f t="shared" si="24"/>
        <v>0</v>
      </c>
      <c r="T89" s="194">
        <f t="shared" si="25"/>
        <v>0</v>
      </c>
      <c r="U89" s="194">
        <f t="shared" si="26"/>
        <v>0</v>
      </c>
      <c r="V89" s="194">
        <f t="shared" si="27"/>
        <v>61725</v>
      </c>
      <c r="W89" s="194">
        <f t="shared" si="28"/>
        <v>0</v>
      </c>
      <c r="X89" s="194">
        <f t="shared" si="29"/>
        <v>61725</v>
      </c>
    </row>
    <row r="90" spans="1:24" x14ac:dyDescent="0.2">
      <c r="A90" s="227" t="str">
        <f>'School Level Inst. Resources'!A90</f>
        <v>0601000</v>
      </c>
      <c r="B90" s="227" t="str">
        <f>'School Level Inst. Resources'!B90</f>
        <v>Crook #1</v>
      </c>
      <c r="C90" s="227" t="str">
        <f>'School Level Inst. Resources'!C90</f>
        <v>0601049</v>
      </c>
      <c r="D90" s="227" t="str">
        <f>'School Level Inst. Resources'!D90</f>
        <v>Hulett School</v>
      </c>
      <c r="E90" s="228" t="str">
        <f>'School Level Inst. Resources'!E90</f>
        <v>K-12</v>
      </c>
      <c r="F90" s="229" t="str">
        <f>'School Level Inst. Resources'!H90</f>
        <v>H</v>
      </c>
      <c r="G90" s="229" t="s">
        <v>1158</v>
      </c>
      <c r="H90" s="229" t="str">
        <f t="shared" si="15"/>
        <v>K-12</v>
      </c>
      <c r="I90" s="198">
        <f>'School Level ADM'!$BI90</f>
        <v>136.74700000000001</v>
      </c>
      <c r="J90" s="194">
        <f t="shared" si="16"/>
        <v>0</v>
      </c>
      <c r="K90" s="194">
        <f t="shared" si="17"/>
        <v>0</v>
      </c>
      <c r="L90" s="194">
        <f t="shared" si="18"/>
        <v>0</v>
      </c>
      <c r="M90" s="194">
        <f t="shared" si="19"/>
        <v>0</v>
      </c>
      <c r="N90" s="194">
        <f t="shared" si="20"/>
        <v>0</v>
      </c>
      <c r="O90" s="194">
        <f t="shared" si="21"/>
        <v>53649</v>
      </c>
      <c r="P90" s="194">
        <f t="shared" si="22"/>
        <v>53649</v>
      </c>
      <c r="Q90" s="198">
        <f>'School Level ADM'!$AU90</f>
        <v>147.75</v>
      </c>
      <c r="R90" s="194">
        <f t="shared" si="23"/>
        <v>0</v>
      </c>
      <c r="S90" s="194">
        <f t="shared" si="24"/>
        <v>0</v>
      </c>
      <c r="T90" s="194">
        <f t="shared" si="25"/>
        <v>0</v>
      </c>
      <c r="U90" s="194">
        <f t="shared" si="26"/>
        <v>0</v>
      </c>
      <c r="V90" s="194">
        <f t="shared" si="27"/>
        <v>0</v>
      </c>
      <c r="W90" s="194">
        <f t="shared" si="28"/>
        <v>53649</v>
      </c>
      <c r="X90" s="194">
        <f t="shared" si="29"/>
        <v>53649</v>
      </c>
    </row>
    <row r="91" spans="1:24" x14ac:dyDescent="0.2">
      <c r="A91" s="227" t="str">
        <f>'School Level Inst. Resources'!A91</f>
        <v>0601000</v>
      </c>
      <c r="B91" s="227" t="str">
        <f>'School Level Inst. Resources'!B91</f>
        <v>Crook #1</v>
      </c>
      <c r="C91" s="227" t="str">
        <f>'School Level Inst. Resources'!C91</f>
        <v>0601056</v>
      </c>
      <c r="D91" s="227" t="str">
        <f>'School Level Inst. Resources'!D91</f>
        <v>Moorcroft High School</v>
      </c>
      <c r="E91" s="228" t="str">
        <f>'School Level Inst. Resources'!E91</f>
        <v>9-12</v>
      </c>
      <c r="F91" s="229" t="str">
        <f>'School Level Inst. Resources'!H91</f>
        <v>H</v>
      </c>
      <c r="G91" s="229" t="s">
        <v>1158</v>
      </c>
      <c r="H91" s="229" t="str">
        <f t="shared" si="15"/>
        <v>H</v>
      </c>
      <c r="I91" s="198">
        <f>'School Level ADM'!$BI91</f>
        <v>183.09700000000001</v>
      </c>
      <c r="J91" s="194">
        <f t="shared" si="16"/>
        <v>0</v>
      </c>
      <c r="K91" s="194">
        <f t="shared" si="17"/>
        <v>0</v>
      </c>
      <c r="L91" s="194">
        <f t="shared" si="18"/>
        <v>60097</v>
      </c>
      <c r="M91" s="194">
        <f t="shared" si="19"/>
        <v>0</v>
      </c>
      <c r="N91" s="194">
        <f t="shared" si="20"/>
        <v>0</v>
      </c>
      <c r="O91" s="194">
        <f t="shared" si="21"/>
        <v>0</v>
      </c>
      <c r="P91" s="194">
        <f t="shared" si="22"/>
        <v>60097</v>
      </c>
      <c r="Q91" s="198">
        <f>'School Level ADM'!$AU91</f>
        <v>168.435</v>
      </c>
      <c r="R91" s="194">
        <f t="shared" si="23"/>
        <v>0</v>
      </c>
      <c r="S91" s="194">
        <f t="shared" si="24"/>
        <v>0</v>
      </c>
      <c r="T91" s="194">
        <f t="shared" si="25"/>
        <v>60097</v>
      </c>
      <c r="U91" s="194">
        <f t="shared" si="26"/>
        <v>0</v>
      </c>
      <c r="V91" s="194">
        <f t="shared" si="27"/>
        <v>0</v>
      </c>
      <c r="W91" s="194">
        <f t="shared" si="28"/>
        <v>0</v>
      </c>
      <c r="X91" s="194">
        <f t="shared" si="29"/>
        <v>60097</v>
      </c>
    </row>
    <row r="92" spans="1:24" x14ac:dyDescent="0.2">
      <c r="A92" s="227" t="str">
        <f>'School Level Inst. Resources'!A92</f>
        <v>0701000</v>
      </c>
      <c r="B92" s="227" t="str">
        <f>'School Level Inst. Resources'!B92</f>
        <v>Fremont #1</v>
      </c>
      <c r="C92" s="227" t="str">
        <f>'School Level Inst. Resources'!C92</f>
        <v>0701006</v>
      </c>
      <c r="D92" s="227" t="str">
        <f>'School Level Inst. Resources'!D92</f>
        <v>Jeffrey City Elementary</v>
      </c>
      <c r="E92" s="228" t="str">
        <f>'School Level Inst. Resources'!E92</f>
        <v>K-6</v>
      </c>
      <c r="F92" s="229" t="str">
        <f>'School Level Inst. Resources'!H92</f>
        <v>E</v>
      </c>
      <c r="G92" s="229" t="s">
        <v>1158</v>
      </c>
      <c r="H92" s="229" t="str">
        <f t="shared" si="15"/>
        <v>E</v>
      </c>
      <c r="I92" s="198">
        <f>'School Level ADM'!$BI92</f>
        <v>8.077</v>
      </c>
      <c r="J92" s="194">
        <f t="shared" si="16"/>
        <v>2915</v>
      </c>
      <c r="K92" s="194">
        <f t="shared" si="17"/>
        <v>0</v>
      </c>
      <c r="L92" s="194">
        <f t="shared" si="18"/>
        <v>0</v>
      </c>
      <c r="M92" s="194">
        <f t="shared" si="19"/>
        <v>0</v>
      </c>
      <c r="N92" s="194">
        <f t="shared" si="20"/>
        <v>0</v>
      </c>
      <c r="O92" s="194">
        <f t="shared" si="21"/>
        <v>0</v>
      </c>
      <c r="P92" s="194">
        <f t="shared" si="22"/>
        <v>2915</v>
      </c>
      <c r="Q92" s="198">
        <f>'School Level ADM'!$AU92</f>
        <v>6.8950000000000005</v>
      </c>
      <c r="R92" s="194">
        <f t="shared" si="23"/>
        <v>2915</v>
      </c>
      <c r="S92" s="194">
        <f t="shared" si="24"/>
        <v>0</v>
      </c>
      <c r="T92" s="194">
        <f t="shared" si="25"/>
        <v>0</v>
      </c>
      <c r="U92" s="194">
        <f t="shared" si="26"/>
        <v>0</v>
      </c>
      <c r="V92" s="194">
        <f t="shared" si="27"/>
        <v>0</v>
      </c>
      <c r="W92" s="194">
        <f t="shared" si="28"/>
        <v>0</v>
      </c>
      <c r="X92" s="194">
        <f t="shared" si="29"/>
        <v>2915</v>
      </c>
    </row>
    <row r="93" spans="1:24" x14ac:dyDescent="0.2">
      <c r="A93" s="227" t="str">
        <f>'School Level Inst. Resources'!A93</f>
        <v>0701000</v>
      </c>
      <c r="B93" s="227" t="str">
        <f>'School Level Inst. Resources'!B93</f>
        <v>Fremont #1</v>
      </c>
      <c r="C93" s="227" t="str">
        <f>'School Level Inst. Resources'!C93</f>
        <v>0701008</v>
      </c>
      <c r="D93" s="227" t="str">
        <f>'School Level Inst. Resources'!D93</f>
        <v>Gannett Peak</v>
      </c>
      <c r="E93" s="228" t="str">
        <f>'School Level Inst. Resources'!E93</f>
        <v>K-3</v>
      </c>
      <c r="F93" s="229" t="str">
        <f>'School Level Inst. Resources'!H93</f>
        <v>E</v>
      </c>
      <c r="G93" s="229" t="s">
        <v>1158</v>
      </c>
      <c r="H93" s="229" t="str">
        <f t="shared" si="15"/>
        <v>E</v>
      </c>
      <c r="I93" s="198">
        <f>'School Level ADM'!$BI93</f>
        <v>562.02600000000007</v>
      </c>
      <c r="J93" s="194">
        <f t="shared" si="16"/>
        <v>74407</v>
      </c>
      <c r="K93" s="194">
        <f t="shared" si="17"/>
        <v>0</v>
      </c>
      <c r="L93" s="194">
        <f t="shared" si="18"/>
        <v>0</v>
      </c>
      <c r="M93" s="194">
        <f t="shared" si="19"/>
        <v>0</v>
      </c>
      <c r="N93" s="194">
        <f t="shared" si="20"/>
        <v>0</v>
      </c>
      <c r="O93" s="194">
        <f t="shared" si="21"/>
        <v>0</v>
      </c>
      <c r="P93" s="194">
        <f t="shared" si="22"/>
        <v>74407</v>
      </c>
      <c r="Q93" s="198">
        <f>'School Level ADM'!$AU93</f>
        <v>535.83999999999992</v>
      </c>
      <c r="R93" s="194">
        <f t="shared" si="23"/>
        <v>74407</v>
      </c>
      <c r="S93" s="194">
        <f t="shared" si="24"/>
        <v>0</v>
      </c>
      <c r="T93" s="194">
        <f t="shared" si="25"/>
        <v>0</v>
      </c>
      <c r="U93" s="194">
        <f t="shared" si="26"/>
        <v>0</v>
      </c>
      <c r="V93" s="194">
        <f t="shared" si="27"/>
        <v>0</v>
      </c>
      <c r="W93" s="194">
        <f t="shared" si="28"/>
        <v>0</v>
      </c>
      <c r="X93" s="194">
        <f t="shared" si="29"/>
        <v>74407</v>
      </c>
    </row>
    <row r="94" spans="1:24" x14ac:dyDescent="0.2">
      <c r="A94" s="227" t="str">
        <f>'School Level Inst. Resources'!A94</f>
        <v>0701000</v>
      </c>
      <c r="B94" s="227" t="str">
        <f>'School Level Inst. Resources'!B94</f>
        <v>Fremont #1</v>
      </c>
      <c r="C94" s="227" t="str">
        <f>'School Level Inst. Resources'!C94</f>
        <v>0701009</v>
      </c>
      <c r="D94" s="227" t="str">
        <f>'School Level Inst. Resources'!D94</f>
        <v>Baldwin Creek</v>
      </c>
      <c r="E94" s="228" t="str">
        <f>'School Level Inst. Resources'!E94</f>
        <v>4-5</v>
      </c>
      <c r="F94" s="229" t="str">
        <f>'School Level Inst. Resources'!H94</f>
        <v>E</v>
      </c>
      <c r="G94" s="229" t="s">
        <v>1158</v>
      </c>
      <c r="H94" s="229" t="str">
        <f t="shared" si="15"/>
        <v>E</v>
      </c>
      <c r="I94" s="198">
        <f>'School Level ADM'!$BI94</f>
        <v>300.19</v>
      </c>
      <c r="J94" s="194">
        <f t="shared" si="16"/>
        <v>44591</v>
      </c>
      <c r="K94" s="194">
        <f t="shared" si="17"/>
        <v>0</v>
      </c>
      <c r="L94" s="194">
        <f t="shared" si="18"/>
        <v>0</v>
      </c>
      <c r="M94" s="194">
        <f t="shared" si="19"/>
        <v>0</v>
      </c>
      <c r="N94" s="194">
        <f t="shared" si="20"/>
        <v>0</v>
      </c>
      <c r="O94" s="194">
        <f t="shared" si="21"/>
        <v>0</v>
      </c>
      <c r="P94" s="194">
        <f t="shared" si="22"/>
        <v>44591</v>
      </c>
      <c r="Q94" s="198">
        <f>'School Level ADM'!$AU94</f>
        <v>300.42499999999995</v>
      </c>
      <c r="R94" s="194">
        <f t="shared" si="23"/>
        <v>44591</v>
      </c>
      <c r="S94" s="194">
        <f t="shared" si="24"/>
        <v>0</v>
      </c>
      <c r="T94" s="194">
        <f t="shared" si="25"/>
        <v>0</v>
      </c>
      <c r="U94" s="194">
        <f t="shared" si="26"/>
        <v>0</v>
      </c>
      <c r="V94" s="194">
        <f t="shared" si="27"/>
        <v>0</v>
      </c>
      <c r="W94" s="194">
        <f t="shared" si="28"/>
        <v>0</v>
      </c>
      <c r="X94" s="194">
        <f t="shared" si="29"/>
        <v>44591</v>
      </c>
    </row>
    <row r="95" spans="1:24" x14ac:dyDescent="0.2">
      <c r="A95" s="227" t="str">
        <f>'School Level Inst. Resources'!A95</f>
        <v>0701000</v>
      </c>
      <c r="B95" s="227" t="str">
        <f>'School Level Inst. Resources'!B95</f>
        <v>Fremont #1</v>
      </c>
      <c r="C95" s="227" t="str">
        <f>'School Level Inst. Resources'!C95</f>
        <v>0701050</v>
      </c>
      <c r="D95" s="227" t="str">
        <f>'School Level Inst. Resources'!D95</f>
        <v>Lander Middle School</v>
      </c>
      <c r="E95" s="228" t="str">
        <f>'School Level Inst. Resources'!E95</f>
        <v>6-8</v>
      </c>
      <c r="F95" s="229" t="str">
        <f>'School Level Inst. Resources'!H95</f>
        <v>M</v>
      </c>
      <c r="G95" s="229" t="s">
        <v>1158</v>
      </c>
      <c r="H95" s="229" t="str">
        <f t="shared" si="15"/>
        <v>M</v>
      </c>
      <c r="I95" s="198">
        <f>'School Level ADM'!$BI95</f>
        <v>401.33500000000004</v>
      </c>
      <c r="J95" s="194">
        <f t="shared" si="16"/>
        <v>0</v>
      </c>
      <c r="K95" s="194">
        <f t="shared" si="17"/>
        <v>73600</v>
      </c>
      <c r="L95" s="194">
        <f t="shared" si="18"/>
        <v>0</v>
      </c>
      <c r="M95" s="194">
        <f t="shared" si="19"/>
        <v>0</v>
      </c>
      <c r="N95" s="194">
        <f t="shared" si="20"/>
        <v>0</v>
      </c>
      <c r="O95" s="194">
        <f t="shared" si="21"/>
        <v>0</v>
      </c>
      <c r="P95" s="194">
        <f t="shared" si="22"/>
        <v>73600</v>
      </c>
      <c r="Q95" s="198">
        <f>'School Level ADM'!$AU95</f>
        <v>409.76</v>
      </c>
      <c r="R95" s="194">
        <f t="shared" si="23"/>
        <v>0</v>
      </c>
      <c r="S95" s="194">
        <f t="shared" si="24"/>
        <v>73600</v>
      </c>
      <c r="T95" s="194">
        <f t="shared" si="25"/>
        <v>0</v>
      </c>
      <c r="U95" s="194">
        <f t="shared" si="26"/>
        <v>0</v>
      </c>
      <c r="V95" s="194">
        <f t="shared" si="27"/>
        <v>0</v>
      </c>
      <c r="W95" s="194">
        <f t="shared" si="28"/>
        <v>0</v>
      </c>
      <c r="X95" s="194">
        <f t="shared" si="29"/>
        <v>73600</v>
      </c>
    </row>
    <row r="96" spans="1:24" x14ac:dyDescent="0.2">
      <c r="A96" s="227" t="str">
        <f>'School Level Inst. Resources'!A96</f>
        <v>0701000</v>
      </c>
      <c r="B96" s="227" t="str">
        <f>'School Level Inst. Resources'!B96</f>
        <v>Fremont #1</v>
      </c>
      <c r="C96" s="227" t="str">
        <f>'School Level Inst. Resources'!C96</f>
        <v>0701055</v>
      </c>
      <c r="D96" s="227" t="str">
        <f>'School Level Inst. Resources'!D96</f>
        <v>Lander Valley High School</v>
      </c>
      <c r="E96" s="228" t="str">
        <f>'School Level Inst. Resources'!E96</f>
        <v>9-12</v>
      </c>
      <c r="F96" s="229" t="str">
        <f>'School Level Inst. Resources'!H96</f>
        <v>H</v>
      </c>
      <c r="G96" s="229" t="s">
        <v>1158</v>
      </c>
      <c r="H96" s="229" t="str">
        <f t="shared" si="15"/>
        <v>H</v>
      </c>
      <c r="I96" s="198">
        <f>'School Level ADM'!$BI96</f>
        <v>446.30900000000003</v>
      </c>
      <c r="J96" s="194">
        <f t="shared" si="16"/>
        <v>0</v>
      </c>
      <c r="K96" s="194">
        <f t="shared" si="17"/>
        <v>0</v>
      </c>
      <c r="L96" s="194">
        <f t="shared" si="18"/>
        <v>101174</v>
      </c>
      <c r="M96" s="194">
        <f t="shared" si="19"/>
        <v>0</v>
      </c>
      <c r="N96" s="194">
        <f t="shared" si="20"/>
        <v>0</v>
      </c>
      <c r="O96" s="194">
        <f t="shared" si="21"/>
        <v>0</v>
      </c>
      <c r="P96" s="194">
        <f t="shared" si="22"/>
        <v>101174</v>
      </c>
      <c r="Q96" s="198">
        <f>'School Level ADM'!$AU96</f>
        <v>472.79999999999995</v>
      </c>
      <c r="R96" s="194">
        <f t="shared" si="23"/>
        <v>0</v>
      </c>
      <c r="S96" s="194">
        <f t="shared" si="24"/>
        <v>0</v>
      </c>
      <c r="T96" s="194">
        <f t="shared" si="25"/>
        <v>101174</v>
      </c>
      <c r="U96" s="194">
        <f t="shared" si="26"/>
        <v>0</v>
      </c>
      <c r="V96" s="194">
        <f t="shared" si="27"/>
        <v>0</v>
      </c>
      <c r="W96" s="194">
        <f t="shared" si="28"/>
        <v>0</v>
      </c>
      <c r="X96" s="194">
        <f t="shared" si="29"/>
        <v>101174</v>
      </c>
    </row>
    <row r="97" spans="1:24" x14ac:dyDescent="0.2">
      <c r="A97" s="227" t="str">
        <f>'School Level Inst. Resources'!A97</f>
        <v>0701000</v>
      </c>
      <c r="B97" s="227" t="str">
        <f>'School Level Inst. Resources'!B97</f>
        <v>Fremont #1</v>
      </c>
      <c r="C97" s="227" t="str">
        <f>'School Level Inst. Resources'!C97</f>
        <v>0701056</v>
      </c>
      <c r="D97" s="227" t="str">
        <f>'School Level Inst. Resources'!D97</f>
        <v>Pathfinder High School</v>
      </c>
      <c r="E97" s="228" t="str">
        <f>'School Level Inst. Resources'!E97</f>
        <v>9-12</v>
      </c>
      <c r="F97" s="229" t="str">
        <f>'School Level Inst. Resources'!H97</f>
        <v>H</v>
      </c>
      <c r="G97" s="229" t="s">
        <v>1158</v>
      </c>
      <c r="H97" s="229" t="str">
        <f t="shared" si="15"/>
        <v>H</v>
      </c>
      <c r="I97" s="198">
        <f>'School Level ADM'!$BI97</f>
        <v>37.485999999999997</v>
      </c>
      <c r="J97" s="194">
        <f t="shared" si="16"/>
        <v>0</v>
      </c>
      <c r="K97" s="194">
        <f t="shared" si="17"/>
        <v>0</v>
      </c>
      <c r="L97" s="194">
        <f t="shared" si="18"/>
        <v>13560</v>
      </c>
      <c r="M97" s="194">
        <f t="shared" si="19"/>
        <v>0</v>
      </c>
      <c r="N97" s="194">
        <f t="shared" si="20"/>
        <v>0</v>
      </c>
      <c r="O97" s="194">
        <f t="shared" si="21"/>
        <v>0</v>
      </c>
      <c r="P97" s="194">
        <f t="shared" si="22"/>
        <v>13560</v>
      </c>
      <c r="Q97" s="198">
        <f>'School Level ADM'!$AU97</f>
        <v>34.475000000000001</v>
      </c>
      <c r="R97" s="194">
        <f t="shared" si="23"/>
        <v>0</v>
      </c>
      <c r="S97" s="194">
        <f t="shared" si="24"/>
        <v>0</v>
      </c>
      <c r="T97" s="194">
        <f t="shared" si="25"/>
        <v>13560</v>
      </c>
      <c r="U97" s="194">
        <f t="shared" si="26"/>
        <v>0</v>
      </c>
      <c r="V97" s="194">
        <f t="shared" si="27"/>
        <v>0</v>
      </c>
      <c r="W97" s="194">
        <f t="shared" si="28"/>
        <v>0</v>
      </c>
      <c r="X97" s="194">
        <f t="shared" si="29"/>
        <v>13560</v>
      </c>
    </row>
    <row r="98" spans="1:24" s="226" customFormat="1" x14ac:dyDescent="0.2">
      <c r="A98" s="210" t="str">
        <f>'School Level Inst. Resources'!A98</f>
        <v>0702000</v>
      </c>
      <c r="B98" s="210" t="str">
        <f>'School Level Inst. Resources'!B98</f>
        <v>Fremont #2</v>
      </c>
      <c r="C98" s="210" t="str">
        <f>'School Level Inst. Resources'!C98</f>
        <v>0702001</v>
      </c>
      <c r="D98" s="210" t="str">
        <f>'School Level Inst. Resources'!D98</f>
        <v>Dubois Elementary</v>
      </c>
      <c r="E98" s="211" t="str">
        <f>'School Level Inst. Resources'!E98</f>
        <v>K-5</v>
      </c>
      <c r="F98" s="212" t="str">
        <f>'School Level Inst. Resources'!H98</f>
        <v>E</v>
      </c>
      <c r="G98" s="212" t="s">
        <v>1159</v>
      </c>
      <c r="H98" s="212" t="str">
        <f t="shared" si="15"/>
        <v>E</v>
      </c>
      <c r="I98" s="217">
        <v>0</v>
      </c>
      <c r="J98" s="293">
        <f t="shared" si="16"/>
        <v>0</v>
      </c>
      <c r="K98" s="293">
        <f t="shared" si="17"/>
        <v>0</v>
      </c>
      <c r="L98" s="293">
        <f t="shared" si="18"/>
        <v>0</v>
      </c>
      <c r="M98" s="293">
        <f t="shared" si="19"/>
        <v>0</v>
      </c>
      <c r="N98" s="293">
        <f t="shared" si="20"/>
        <v>0</v>
      </c>
      <c r="O98" s="293">
        <f t="shared" si="21"/>
        <v>0</v>
      </c>
      <c r="P98" s="293">
        <f t="shared" si="22"/>
        <v>0</v>
      </c>
      <c r="Q98" s="217">
        <v>0</v>
      </c>
      <c r="R98" s="293">
        <f t="shared" si="23"/>
        <v>0</v>
      </c>
      <c r="S98" s="293">
        <f t="shared" si="24"/>
        <v>0</v>
      </c>
      <c r="T98" s="293">
        <f t="shared" si="25"/>
        <v>0</v>
      </c>
      <c r="U98" s="293">
        <f t="shared" si="26"/>
        <v>0</v>
      </c>
      <c r="V98" s="293">
        <f t="shared" si="27"/>
        <v>0</v>
      </c>
      <c r="W98" s="293">
        <f t="shared" si="28"/>
        <v>0</v>
      </c>
      <c r="X98" s="293">
        <f t="shared" si="29"/>
        <v>0</v>
      </c>
    </row>
    <row r="99" spans="1:24" s="226" customFormat="1" x14ac:dyDescent="0.2">
      <c r="A99" s="210" t="str">
        <f>'School Level Inst. Resources'!A99</f>
        <v>0702000</v>
      </c>
      <c r="B99" s="210" t="str">
        <f>'School Level Inst. Resources'!B99</f>
        <v>Fremont #2</v>
      </c>
      <c r="C99" s="210" t="str">
        <f>'School Level Inst. Resources'!C99</f>
        <v>0702050</v>
      </c>
      <c r="D99" s="210" t="str">
        <f>'School Level Inst. Resources'!D99</f>
        <v>Dubois Middle School</v>
      </c>
      <c r="E99" s="211" t="str">
        <f>'School Level Inst. Resources'!E99</f>
        <v>6-8</v>
      </c>
      <c r="F99" s="212" t="str">
        <f>'School Level Inst. Resources'!H99</f>
        <v>M</v>
      </c>
      <c r="G99" s="212" t="s">
        <v>1159</v>
      </c>
      <c r="H99" s="212" t="str">
        <f t="shared" si="15"/>
        <v>M</v>
      </c>
      <c r="I99" s="217">
        <v>0</v>
      </c>
      <c r="J99" s="293">
        <f t="shared" si="16"/>
        <v>0</v>
      </c>
      <c r="K99" s="293">
        <f t="shared" si="17"/>
        <v>0</v>
      </c>
      <c r="L99" s="293">
        <f t="shared" si="18"/>
        <v>0</v>
      </c>
      <c r="M99" s="293">
        <f t="shared" si="19"/>
        <v>0</v>
      </c>
      <c r="N99" s="293">
        <f t="shared" si="20"/>
        <v>0</v>
      </c>
      <c r="O99" s="293">
        <f t="shared" si="21"/>
        <v>0</v>
      </c>
      <c r="P99" s="293">
        <f t="shared" si="22"/>
        <v>0</v>
      </c>
      <c r="Q99" s="217">
        <v>0</v>
      </c>
      <c r="R99" s="293">
        <f t="shared" si="23"/>
        <v>0</v>
      </c>
      <c r="S99" s="293">
        <f t="shared" si="24"/>
        <v>0</v>
      </c>
      <c r="T99" s="293">
        <f t="shared" si="25"/>
        <v>0</v>
      </c>
      <c r="U99" s="293">
        <f t="shared" si="26"/>
        <v>0</v>
      </c>
      <c r="V99" s="293">
        <f t="shared" si="27"/>
        <v>0</v>
      </c>
      <c r="W99" s="293">
        <f t="shared" si="28"/>
        <v>0</v>
      </c>
      <c r="X99" s="293">
        <f t="shared" si="29"/>
        <v>0</v>
      </c>
    </row>
    <row r="100" spans="1:24" s="226" customFormat="1" x14ac:dyDescent="0.2">
      <c r="A100" s="210" t="str">
        <f>'School Level Inst. Resources'!A100</f>
        <v>0702000</v>
      </c>
      <c r="B100" s="210" t="str">
        <f>'School Level Inst. Resources'!B100</f>
        <v>Fremont #2</v>
      </c>
      <c r="C100" s="210" t="str">
        <f>'School Level Inst. Resources'!C100</f>
        <v>0702055</v>
      </c>
      <c r="D100" s="210" t="str">
        <f>'School Level Inst. Resources'!D100</f>
        <v>Dubois High School</v>
      </c>
      <c r="E100" s="211" t="str">
        <f>'School Level Inst. Resources'!E100</f>
        <v>9-12</v>
      </c>
      <c r="F100" s="212" t="str">
        <f>'School Level Inst. Resources'!H100</f>
        <v>H</v>
      </c>
      <c r="G100" s="212" t="s">
        <v>1158</v>
      </c>
      <c r="H100" s="212" t="s">
        <v>474</v>
      </c>
      <c r="I100" s="218">
        <f>SUM('School Level ADM'!$BI98,'School Level ADM'!$BI99,'School Level ADM'!$BI100)</f>
        <v>148.12800000000001</v>
      </c>
      <c r="J100" s="214">
        <f t="shared" si="16"/>
        <v>0</v>
      </c>
      <c r="K100" s="214">
        <f t="shared" si="17"/>
        <v>0</v>
      </c>
      <c r="L100" s="214">
        <f t="shared" si="18"/>
        <v>0</v>
      </c>
      <c r="M100" s="214">
        <f t="shared" si="19"/>
        <v>0</v>
      </c>
      <c r="N100" s="214">
        <f t="shared" si="20"/>
        <v>0</v>
      </c>
      <c r="O100" s="214">
        <f t="shared" si="21"/>
        <v>56029</v>
      </c>
      <c r="P100" s="214">
        <f t="shared" si="22"/>
        <v>56029</v>
      </c>
      <c r="Q100" s="218">
        <f>SUM('School Level ADM'!$AU98,'School Level ADM'!$AU99,'School Level ADM'!$AU100)</f>
        <v>148.73500000000001</v>
      </c>
      <c r="R100" s="214">
        <f t="shared" si="23"/>
        <v>0</v>
      </c>
      <c r="S100" s="214">
        <f t="shared" si="24"/>
        <v>0</v>
      </c>
      <c r="T100" s="214">
        <f t="shared" si="25"/>
        <v>0</v>
      </c>
      <c r="U100" s="214">
        <f t="shared" si="26"/>
        <v>0</v>
      </c>
      <c r="V100" s="214">
        <f t="shared" si="27"/>
        <v>0</v>
      </c>
      <c r="W100" s="214">
        <f t="shared" si="28"/>
        <v>56029</v>
      </c>
      <c r="X100" s="214">
        <f t="shared" si="29"/>
        <v>56029</v>
      </c>
    </row>
    <row r="101" spans="1:24" x14ac:dyDescent="0.2">
      <c r="A101" s="227" t="str">
        <f>'School Level Inst. Resources'!A101</f>
        <v>0706000</v>
      </c>
      <c r="B101" s="227" t="str">
        <f>'School Level Inst. Resources'!B101</f>
        <v>Fremont #6</v>
      </c>
      <c r="C101" s="227" t="str">
        <f>'School Level Inst. Resources'!C101</f>
        <v>0706001</v>
      </c>
      <c r="D101" s="227" t="str">
        <f>'School Level Inst. Resources'!D101</f>
        <v>Crowheart Elementary</v>
      </c>
      <c r="E101" s="228" t="str">
        <f>'School Level Inst. Resources'!E101</f>
        <v>P-3</v>
      </c>
      <c r="F101" s="229" t="str">
        <f>'School Level Inst. Resources'!H101</f>
        <v>E</v>
      </c>
      <c r="G101" s="229" t="s">
        <v>1158</v>
      </c>
      <c r="H101" s="229" t="str">
        <f t="shared" si="15"/>
        <v>E</v>
      </c>
      <c r="I101" s="198">
        <f>'School Level ADM'!$BI101</f>
        <v>14.079000000000001</v>
      </c>
      <c r="J101" s="194">
        <f t="shared" si="16"/>
        <v>2915</v>
      </c>
      <c r="K101" s="194">
        <f t="shared" si="17"/>
        <v>0</v>
      </c>
      <c r="L101" s="194">
        <f t="shared" si="18"/>
        <v>0</v>
      </c>
      <c r="M101" s="194">
        <f t="shared" si="19"/>
        <v>0</v>
      </c>
      <c r="N101" s="194">
        <f t="shared" si="20"/>
        <v>0</v>
      </c>
      <c r="O101" s="194">
        <f t="shared" si="21"/>
        <v>0</v>
      </c>
      <c r="P101" s="194">
        <f t="shared" si="22"/>
        <v>2915</v>
      </c>
      <c r="Q101" s="198">
        <f>'School Level ADM'!$AU101</f>
        <v>17.73</v>
      </c>
      <c r="R101" s="194">
        <f t="shared" si="23"/>
        <v>2915</v>
      </c>
      <c r="S101" s="194">
        <f t="shared" si="24"/>
        <v>0</v>
      </c>
      <c r="T101" s="194">
        <f t="shared" si="25"/>
        <v>0</v>
      </c>
      <c r="U101" s="194">
        <f t="shared" si="26"/>
        <v>0</v>
      </c>
      <c r="V101" s="194">
        <f t="shared" si="27"/>
        <v>0</v>
      </c>
      <c r="W101" s="194">
        <f t="shared" si="28"/>
        <v>0</v>
      </c>
      <c r="X101" s="194">
        <f t="shared" si="29"/>
        <v>2915</v>
      </c>
    </row>
    <row r="102" spans="1:24" x14ac:dyDescent="0.2">
      <c r="A102" s="227" t="str">
        <f>'School Level Inst. Resources'!A102</f>
        <v>0706000</v>
      </c>
      <c r="B102" s="227" t="str">
        <f>'School Level Inst. Resources'!B102</f>
        <v>Fremont #6</v>
      </c>
      <c r="C102" s="227" t="str">
        <f>'School Level Inst. Resources'!C102</f>
        <v>0706002</v>
      </c>
      <c r="D102" s="227" t="str">
        <f>'School Level Inst. Resources'!D102</f>
        <v>Wind River Elementary</v>
      </c>
      <c r="E102" s="228" t="str">
        <f>'School Level Inst. Resources'!E102</f>
        <v>P-5</v>
      </c>
      <c r="F102" s="229" t="str">
        <f>'School Level Inst. Resources'!H102</f>
        <v>E</v>
      </c>
      <c r="G102" s="229" t="s">
        <v>1158</v>
      </c>
      <c r="H102" s="229" t="str">
        <f t="shared" si="15"/>
        <v>E</v>
      </c>
      <c r="I102" s="198">
        <f>'School Level ADM'!$BI102</f>
        <v>156.47299999999998</v>
      </c>
      <c r="J102" s="194">
        <f t="shared" si="16"/>
        <v>27012</v>
      </c>
      <c r="K102" s="194">
        <f t="shared" si="17"/>
        <v>0</v>
      </c>
      <c r="L102" s="194">
        <f t="shared" si="18"/>
        <v>0</v>
      </c>
      <c r="M102" s="194">
        <f t="shared" si="19"/>
        <v>0</v>
      </c>
      <c r="N102" s="194">
        <f t="shared" si="20"/>
        <v>0</v>
      </c>
      <c r="O102" s="194">
        <f t="shared" si="21"/>
        <v>0</v>
      </c>
      <c r="P102" s="194">
        <f t="shared" si="22"/>
        <v>27012</v>
      </c>
      <c r="Q102" s="198">
        <f>'School Level ADM'!$AU102</f>
        <v>169.42000000000002</v>
      </c>
      <c r="R102" s="194">
        <f t="shared" si="23"/>
        <v>27012</v>
      </c>
      <c r="S102" s="194">
        <f t="shared" si="24"/>
        <v>0</v>
      </c>
      <c r="T102" s="194">
        <f t="shared" si="25"/>
        <v>0</v>
      </c>
      <c r="U102" s="194">
        <f t="shared" si="26"/>
        <v>0</v>
      </c>
      <c r="V102" s="194">
        <f t="shared" si="27"/>
        <v>0</v>
      </c>
      <c r="W102" s="194">
        <f t="shared" si="28"/>
        <v>0</v>
      </c>
      <c r="X102" s="194">
        <f t="shared" si="29"/>
        <v>27012</v>
      </c>
    </row>
    <row r="103" spans="1:24" s="226" customFormat="1" x14ac:dyDescent="0.2">
      <c r="A103" s="210" t="str">
        <f>'School Level Inst. Resources'!A103</f>
        <v>0706000</v>
      </c>
      <c r="B103" s="210" t="str">
        <f>'School Level Inst. Resources'!B103</f>
        <v>Fremont #6</v>
      </c>
      <c r="C103" s="210" t="str">
        <f>'School Level Inst. Resources'!C103</f>
        <v>0706050</v>
      </c>
      <c r="D103" s="210" t="str">
        <f>'School Level Inst. Resources'!D103</f>
        <v>Wind River Middle School</v>
      </c>
      <c r="E103" s="211" t="str">
        <f>'School Level Inst. Resources'!E103</f>
        <v>6-8</v>
      </c>
      <c r="F103" s="212" t="str">
        <f>'School Level Inst. Resources'!H103</f>
        <v>M</v>
      </c>
      <c r="G103" s="212" t="s">
        <v>1159</v>
      </c>
      <c r="H103" s="212" t="str">
        <f t="shared" si="15"/>
        <v>M</v>
      </c>
      <c r="I103" s="217">
        <v>0</v>
      </c>
      <c r="J103" s="293">
        <f t="shared" si="16"/>
        <v>0</v>
      </c>
      <c r="K103" s="293">
        <f t="shared" si="17"/>
        <v>0</v>
      </c>
      <c r="L103" s="293">
        <f t="shared" si="18"/>
        <v>0</v>
      </c>
      <c r="M103" s="293">
        <f t="shared" si="19"/>
        <v>0</v>
      </c>
      <c r="N103" s="293">
        <f t="shared" si="20"/>
        <v>0</v>
      </c>
      <c r="O103" s="293">
        <f t="shared" si="21"/>
        <v>0</v>
      </c>
      <c r="P103" s="293">
        <f t="shared" si="22"/>
        <v>0</v>
      </c>
      <c r="Q103" s="217">
        <v>0</v>
      </c>
      <c r="R103" s="293">
        <f t="shared" si="23"/>
        <v>0</v>
      </c>
      <c r="S103" s="293">
        <f t="shared" si="24"/>
        <v>0</v>
      </c>
      <c r="T103" s="293">
        <f t="shared" si="25"/>
        <v>0</v>
      </c>
      <c r="U103" s="293">
        <f t="shared" si="26"/>
        <v>0</v>
      </c>
      <c r="V103" s="293">
        <f t="shared" si="27"/>
        <v>0</v>
      </c>
      <c r="W103" s="293">
        <f t="shared" si="28"/>
        <v>0</v>
      </c>
      <c r="X103" s="293">
        <f t="shared" si="29"/>
        <v>0</v>
      </c>
    </row>
    <row r="104" spans="1:24" s="226" customFormat="1" x14ac:dyDescent="0.2">
      <c r="A104" s="210" t="str">
        <f>'School Level Inst. Resources'!A104</f>
        <v>0706000</v>
      </c>
      <c r="B104" s="210" t="str">
        <f>'School Level Inst. Resources'!B104</f>
        <v>Fremont #6</v>
      </c>
      <c r="C104" s="210" t="str">
        <f>'School Level Inst. Resources'!C104</f>
        <v>0706056</v>
      </c>
      <c r="D104" s="210" t="str">
        <f>'School Level Inst. Resources'!D104</f>
        <v>Wind River High School</v>
      </c>
      <c r="E104" s="211" t="str">
        <f>'School Level Inst. Resources'!E104</f>
        <v>9-12</v>
      </c>
      <c r="F104" s="212" t="str">
        <f>'School Level Inst. Resources'!H104</f>
        <v>H</v>
      </c>
      <c r="G104" s="212" t="s">
        <v>1158</v>
      </c>
      <c r="H104" s="212" t="s">
        <v>422</v>
      </c>
      <c r="I104" s="218">
        <f>SUM('School Level ADM'!$BI103,'School Level ADM'!$BI104,'School Level ADM'!$BI105)</f>
        <v>205.17599999999999</v>
      </c>
      <c r="J104" s="214">
        <f t="shared" si="16"/>
        <v>0</v>
      </c>
      <c r="K104" s="214">
        <f t="shared" si="17"/>
        <v>0</v>
      </c>
      <c r="L104" s="214">
        <f t="shared" si="18"/>
        <v>0</v>
      </c>
      <c r="M104" s="214">
        <f t="shared" si="19"/>
        <v>0</v>
      </c>
      <c r="N104" s="214">
        <f t="shared" si="20"/>
        <v>66724</v>
      </c>
      <c r="O104" s="214">
        <f t="shared" si="21"/>
        <v>0</v>
      </c>
      <c r="P104" s="214">
        <f t="shared" si="22"/>
        <v>66724</v>
      </c>
      <c r="Q104" s="218">
        <f>SUM('School Level ADM'!$AU103,'School Level ADM'!$AU104,'School Level ADM'!$AU105)</f>
        <v>219.655</v>
      </c>
      <c r="R104" s="214">
        <f t="shared" si="23"/>
        <v>0</v>
      </c>
      <c r="S104" s="214">
        <f t="shared" si="24"/>
        <v>0</v>
      </c>
      <c r="T104" s="214">
        <f t="shared" si="25"/>
        <v>0</v>
      </c>
      <c r="U104" s="214">
        <f t="shared" si="26"/>
        <v>0</v>
      </c>
      <c r="V104" s="214">
        <f t="shared" si="27"/>
        <v>66724</v>
      </c>
      <c r="W104" s="214">
        <f t="shared" si="28"/>
        <v>0</v>
      </c>
      <c r="X104" s="214">
        <f t="shared" si="29"/>
        <v>66724</v>
      </c>
    </row>
    <row r="105" spans="1:24" s="226" customFormat="1" x14ac:dyDescent="0.2">
      <c r="A105" s="210" t="str">
        <f>'School Level Inst. Resources'!A105</f>
        <v>0706000</v>
      </c>
      <c r="B105" s="210" t="str">
        <f>'School Level Inst. Resources'!B105</f>
        <v>Fremont #6</v>
      </c>
      <c r="C105" s="210" t="str">
        <f>'School Level Inst. Resources'!C105</f>
        <v>0706057</v>
      </c>
      <c r="D105" s="210" t="str">
        <f>'School Level Inst. Resources'!D105</f>
        <v>Wind River Learning Academy</v>
      </c>
      <c r="E105" s="211" t="str">
        <f>'School Level Inst. Resources'!E105</f>
        <v>9-12</v>
      </c>
      <c r="F105" s="212" t="str">
        <f>'School Level Inst. Resources'!H105</f>
        <v>H</v>
      </c>
      <c r="G105" s="212" t="s">
        <v>1159</v>
      </c>
      <c r="H105" s="212" t="str">
        <f t="shared" si="15"/>
        <v>H</v>
      </c>
      <c r="I105" s="217">
        <v>0</v>
      </c>
      <c r="J105" s="293">
        <f t="shared" si="16"/>
        <v>0</v>
      </c>
      <c r="K105" s="293">
        <f t="shared" si="17"/>
        <v>0</v>
      </c>
      <c r="L105" s="293">
        <f t="shared" si="18"/>
        <v>0</v>
      </c>
      <c r="M105" s="293">
        <f t="shared" si="19"/>
        <v>0</v>
      </c>
      <c r="N105" s="293">
        <f t="shared" si="20"/>
        <v>0</v>
      </c>
      <c r="O105" s="293">
        <f t="shared" si="21"/>
        <v>0</v>
      </c>
      <c r="P105" s="293">
        <f t="shared" si="22"/>
        <v>0</v>
      </c>
      <c r="Q105" s="217">
        <v>0</v>
      </c>
      <c r="R105" s="293">
        <f t="shared" si="23"/>
        <v>0</v>
      </c>
      <c r="S105" s="293">
        <f t="shared" si="24"/>
        <v>0</v>
      </c>
      <c r="T105" s="293">
        <f t="shared" si="25"/>
        <v>0</v>
      </c>
      <c r="U105" s="293">
        <f t="shared" si="26"/>
        <v>0</v>
      </c>
      <c r="V105" s="293">
        <f t="shared" si="27"/>
        <v>0</v>
      </c>
      <c r="W105" s="293">
        <f t="shared" si="28"/>
        <v>0</v>
      </c>
      <c r="X105" s="293">
        <f t="shared" si="29"/>
        <v>0</v>
      </c>
    </row>
    <row r="106" spans="1:24" x14ac:dyDescent="0.2">
      <c r="A106" s="227" t="str">
        <f>'School Level Inst. Resources'!A106</f>
        <v>0714000</v>
      </c>
      <c r="B106" s="227" t="str">
        <f>'School Level Inst. Resources'!B106</f>
        <v>Fremont #14</v>
      </c>
      <c r="C106" s="227" t="str">
        <f>'School Level Inst. Resources'!C106</f>
        <v>0714001</v>
      </c>
      <c r="D106" s="227" t="str">
        <f>'School Level Inst. Resources'!D106</f>
        <v>Wyoming Indian Elementary</v>
      </c>
      <c r="E106" s="228" t="str">
        <f>'School Level Inst. Resources'!E106</f>
        <v>P-5</v>
      </c>
      <c r="F106" s="229" t="str">
        <f>'School Level Inst. Resources'!H106</f>
        <v>E</v>
      </c>
      <c r="G106" s="229" t="s">
        <v>1158</v>
      </c>
      <c r="H106" s="229" t="str">
        <f t="shared" si="15"/>
        <v>E</v>
      </c>
      <c r="I106" s="198">
        <f>'School Level ADM'!$BI106</f>
        <v>321.78800000000001</v>
      </c>
      <c r="J106" s="194">
        <f t="shared" si="16"/>
        <v>46880</v>
      </c>
      <c r="K106" s="194">
        <f t="shared" si="17"/>
        <v>0</v>
      </c>
      <c r="L106" s="194">
        <f t="shared" si="18"/>
        <v>0</v>
      </c>
      <c r="M106" s="194">
        <f t="shared" si="19"/>
        <v>0</v>
      </c>
      <c r="N106" s="194">
        <f t="shared" si="20"/>
        <v>0</v>
      </c>
      <c r="O106" s="194">
        <f t="shared" si="21"/>
        <v>0</v>
      </c>
      <c r="P106" s="194">
        <f t="shared" si="22"/>
        <v>46880</v>
      </c>
      <c r="Q106" s="198">
        <f>'School Level ADM'!$AU106</f>
        <v>303.38</v>
      </c>
      <c r="R106" s="194">
        <f t="shared" si="23"/>
        <v>46880</v>
      </c>
      <c r="S106" s="194">
        <f t="shared" si="24"/>
        <v>0</v>
      </c>
      <c r="T106" s="194">
        <f t="shared" si="25"/>
        <v>0</v>
      </c>
      <c r="U106" s="194">
        <f t="shared" si="26"/>
        <v>0</v>
      </c>
      <c r="V106" s="194">
        <f t="shared" si="27"/>
        <v>0</v>
      </c>
      <c r="W106" s="194">
        <f t="shared" si="28"/>
        <v>0</v>
      </c>
      <c r="X106" s="194">
        <f t="shared" si="29"/>
        <v>46880</v>
      </c>
    </row>
    <row r="107" spans="1:24" x14ac:dyDescent="0.2">
      <c r="A107" s="227" t="str">
        <f>'School Level Inst. Resources'!A107</f>
        <v>0714000</v>
      </c>
      <c r="B107" s="227" t="str">
        <f>'School Level Inst. Resources'!B107</f>
        <v>Fremont #14</v>
      </c>
      <c r="C107" s="227" t="str">
        <f>'School Level Inst. Resources'!C107</f>
        <v>0714050</v>
      </c>
      <c r="D107" s="227" t="str">
        <f>'School Level Inst. Resources'!D107</f>
        <v>Wyoming Indian Middle School</v>
      </c>
      <c r="E107" s="228" t="str">
        <f>'School Level Inst. Resources'!E107</f>
        <v>6-8</v>
      </c>
      <c r="F107" s="229" t="str">
        <f>'School Level Inst. Resources'!H107</f>
        <v>M</v>
      </c>
      <c r="G107" s="229" t="s">
        <v>1158</v>
      </c>
      <c r="H107" s="229" t="str">
        <f t="shared" si="15"/>
        <v>M</v>
      </c>
      <c r="I107" s="198">
        <f>'School Level ADM'!$BI107</f>
        <v>145.39999999999998</v>
      </c>
      <c r="J107" s="194">
        <f t="shared" si="16"/>
        <v>0</v>
      </c>
      <c r="K107" s="194">
        <f t="shared" si="17"/>
        <v>43712</v>
      </c>
      <c r="L107" s="194">
        <f t="shared" si="18"/>
        <v>0</v>
      </c>
      <c r="M107" s="194">
        <f t="shared" si="19"/>
        <v>0</v>
      </c>
      <c r="N107" s="194">
        <f t="shared" si="20"/>
        <v>0</v>
      </c>
      <c r="O107" s="194">
        <f t="shared" si="21"/>
        <v>0</v>
      </c>
      <c r="P107" s="194">
        <f t="shared" si="22"/>
        <v>43712</v>
      </c>
      <c r="Q107" s="198">
        <f>'School Level ADM'!$AU107</f>
        <v>156.61500000000001</v>
      </c>
      <c r="R107" s="194">
        <f t="shared" si="23"/>
        <v>0</v>
      </c>
      <c r="S107" s="194">
        <f t="shared" si="24"/>
        <v>43712</v>
      </c>
      <c r="T107" s="194">
        <f t="shared" si="25"/>
        <v>0</v>
      </c>
      <c r="U107" s="194">
        <f t="shared" si="26"/>
        <v>0</v>
      </c>
      <c r="V107" s="194">
        <f t="shared" si="27"/>
        <v>0</v>
      </c>
      <c r="W107" s="194">
        <f t="shared" si="28"/>
        <v>0</v>
      </c>
      <c r="X107" s="194">
        <f t="shared" si="29"/>
        <v>43712</v>
      </c>
    </row>
    <row r="108" spans="1:24" x14ac:dyDescent="0.2">
      <c r="A108" s="227" t="str">
        <f>'School Level Inst. Resources'!A108</f>
        <v>0714000</v>
      </c>
      <c r="B108" s="227" t="str">
        <f>'School Level Inst. Resources'!B108</f>
        <v>Fremont #14</v>
      </c>
      <c r="C108" s="227" t="str">
        <f>'School Level Inst. Resources'!C108</f>
        <v>0714055</v>
      </c>
      <c r="D108" s="227" t="str">
        <f>'School Level Inst. Resources'!D108</f>
        <v>Wyoming Indian High School</v>
      </c>
      <c r="E108" s="228" t="str">
        <f>'School Level Inst. Resources'!E108</f>
        <v>9-12</v>
      </c>
      <c r="F108" s="229" t="str">
        <f>'School Level Inst. Resources'!H108</f>
        <v>H</v>
      </c>
      <c r="G108" s="229" t="s">
        <v>1158</v>
      </c>
      <c r="H108" s="229" t="str">
        <f t="shared" si="15"/>
        <v>H</v>
      </c>
      <c r="I108" s="198">
        <f>'School Level ADM'!$BI108</f>
        <v>148.566</v>
      </c>
      <c r="J108" s="194">
        <f t="shared" si="16"/>
        <v>0</v>
      </c>
      <c r="K108" s="194">
        <f t="shared" si="17"/>
        <v>0</v>
      </c>
      <c r="L108" s="194">
        <f t="shared" si="18"/>
        <v>53741</v>
      </c>
      <c r="M108" s="194">
        <f t="shared" si="19"/>
        <v>0</v>
      </c>
      <c r="N108" s="194">
        <f t="shared" si="20"/>
        <v>0</v>
      </c>
      <c r="O108" s="194">
        <f t="shared" si="21"/>
        <v>0</v>
      </c>
      <c r="P108" s="194">
        <f t="shared" si="22"/>
        <v>53741</v>
      </c>
      <c r="Q108" s="198">
        <f>'School Level ADM'!$AU108</f>
        <v>151.69</v>
      </c>
      <c r="R108" s="194">
        <f t="shared" si="23"/>
        <v>0</v>
      </c>
      <c r="S108" s="194">
        <f t="shared" si="24"/>
        <v>0</v>
      </c>
      <c r="T108" s="194">
        <f t="shared" si="25"/>
        <v>53741</v>
      </c>
      <c r="U108" s="194">
        <f t="shared" si="26"/>
        <v>0</v>
      </c>
      <c r="V108" s="194">
        <f t="shared" si="27"/>
        <v>0</v>
      </c>
      <c r="W108" s="194">
        <f t="shared" si="28"/>
        <v>0</v>
      </c>
      <c r="X108" s="194">
        <f t="shared" si="29"/>
        <v>53741</v>
      </c>
    </row>
    <row r="109" spans="1:24" s="226" customFormat="1" x14ac:dyDescent="0.2">
      <c r="A109" s="210" t="str">
        <f>'School Level Inst. Resources'!A109</f>
        <v>0721000</v>
      </c>
      <c r="B109" s="210" t="str">
        <f>'School Level Inst. Resources'!B109</f>
        <v>Fremont #21</v>
      </c>
      <c r="C109" s="210" t="str">
        <f>'School Level Inst. Resources'!C109</f>
        <v>0721001</v>
      </c>
      <c r="D109" s="210" t="str">
        <f>'School Level Inst. Resources'!D109</f>
        <v>Ft. Washakie Elementary</v>
      </c>
      <c r="E109" s="211" t="str">
        <f>'School Level Inst. Resources'!E109</f>
        <v>P-6</v>
      </c>
      <c r="F109" s="212" t="str">
        <f>'School Level Inst. Resources'!H109</f>
        <v>E</v>
      </c>
      <c r="G109" s="212" t="s">
        <v>1159</v>
      </c>
      <c r="H109" s="212" t="str">
        <f t="shared" si="15"/>
        <v>E</v>
      </c>
      <c r="I109" s="217">
        <v>0</v>
      </c>
      <c r="J109" s="293">
        <f t="shared" si="16"/>
        <v>0</v>
      </c>
      <c r="K109" s="293">
        <f t="shared" si="17"/>
        <v>0</v>
      </c>
      <c r="L109" s="293">
        <f t="shared" si="18"/>
        <v>0</v>
      </c>
      <c r="M109" s="293">
        <f t="shared" si="19"/>
        <v>0</v>
      </c>
      <c r="N109" s="293">
        <f t="shared" si="20"/>
        <v>0</v>
      </c>
      <c r="O109" s="293">
        <f t="shared" si="21"/>
        <v>0</v>
      </c>
      <c r="P109" s="293">
        <f t="shared" si="22"/>
        <v>0</v>
      </c>
      <c r="Q109" s="217">
        <v>0</v>
      </c>
      <c r="R109" s="293">
        <f t="shared" si="23"/>
        <v>0</v>
      </c>
      <c r="S109" s="293">
        <f t="shared" si="24"/>
        <v>0</v>
      </c>
      <c r="T109" s="293">
        <f t="shared" si="25"/>
        <v>0</v>
      </c>
      <c r="U109" s="293">
        <f t="shared" si="26"/>
        <v>0</v>
      </c>
      <c r="V109" s="293">
        <f t="shared" si="27"/>
        <v>0</v>
      </c>
      <c r="W109" s="293">
        <f t="shared" si="28"/>
        <v>0</v>
      </c>
      <c r="X109" s="293">
        <f t="shared" si="29"/>
        <v>0</v>
      </c>
    </row>
    <row r="110" spans="1:24" s="226" customFormat="1" x14ac:dyDescent="0.2">
      <c r="A110" s="210" t="str">
        <f>'School Level Inst. Resources'!A110</f>
        <v>0721000</v>
      </c>
      <c r="B110" s="210" t="str">
        <f>'School Level Inst. Resources'!B110</f>
        <v>Fremont #21</v>
      </c>
      <c r="C110" s="210" t="str">
        <f>'School Level Inst. Resources'!C110</f>
        <v>0721050</v>
      </c>
      <c r="D110" s="210" t="str">
        <f>'School Level Inst. Resources'!D110</f>
        <v>Ft. Washakie Middle School</v>
      </c>
      <c r="E110" s="211" t="str">
        <f>'School Level Inst. Resources'!E110</f>
        <v>7-8</v>
      </c>
      <c r="F110" s="212" t="str">
        <f>'School Level Inst. Resources'!H110</f>
        <v>M</v>
      </c>
      <c r="G110" s="212" t="s">
        <v>1158</v>
      </c>
      <c r="H110" s="212" t="s">
        <v>376</v>
      </c>
      <c r="I110" s="218">
        <f>SUM('School Level ADM'!$BI109,'School Level ADM'!$BI110)</f>
        <v>438.91500000000002</v>
      </c>
      <c r="J110" s="214">
        <f t="shared" si="16"/>
        <v>0</v>
      </c>
      <c r="K110" s="214">
        <f t="shared" si="17"/>
        <v>0</v>
      </c>
      <c r="L110" s="214">
        <f t="shared" si="18"/>
        <v>0</v>
      </c>
      <c r="M110" s="214">
        <f t="shared" si="19"/>
        <v>81840</v>
      </c>
      <c r="N110" s="214">
        <f t="shared" si="20"/>
        <v>0</v>
      </c>
      <c r="O110" s="214">
        <f t="shared" si="21"/>
        <v>0</v>
      </c>
      <c r="P110" s="214">
        <f t="shared" si="22"/>
        <v>81840</v>
      </c>
      <c r="Q110" s="218">
        <f>SUM('School Level ADM'!$AU109,'School Level ADM'!$AU110)</f>
        <v>407.79</v>
      </c>
      <c r="R110" s="214">
        <f t="shared" si="23"/>
        <v>0</v>
      </c>
      <c r="S110" s="214">
        <f t="shared" si="24"/>
        <v>0</v>
      </c>
      <c r="T110" s="214">
        <f t="shared" si="25"/>
        <v>0</v>
      </c>
      <c r="U110" s="214">
        <f t="shared" si="26"/>
        <v>81840</v>
      </c>
      <c r="V110" s="214">
        <f t="shared" si="27"/>
        <v>0</v>
      </c>
      <c r="W110" s="214">
        <f t="shared" si="28"/>
        <v>0</v>
      </c>
      <c r="X110" s="214">
        <f t="shared" si="29"/>
        <v>81840</v>
      </c>
    </row>
    <row r="111" spans="1:24" x14ac:dyDescent="0.2">
      <c r="A111" s="227" t="str">
        <f>'School Level Inst. Resources'!A111</f>
        <v>0721000</v>
      </c>
      <c r="B111" s="227" t="str">
        <f>'School Level Inst. Resources'!B111</f>
        <v>Fremont #21</v>
      </c>
      <c r="C111" s="227" t="str">
        <f>'School Level Inst. Resources'!C111</f>
        <v>0721056</v>
      </c>
      <c r="D111" s="227" t="str">
        <f>'School Level Inst. Resources'!D111</f>
        <v>Ft. Washakie High School</v>
      </c>
      <c r="E111" s="228" t="str">
        <f>'School Level Inst. Resources'!E111</f>
        <v>9-12</v>
      </c>
      <c r="F111" s="229" t="str">
        <f>'School Level Inst. Resources'!H111</f>
        <v>H</v>
      </c>
      <c r="G111" s="229" t="s">
        <v>1158</v>
      </c>
      <c r="H111" s="229" t="str">
        <f t="shared" si="15"/>
        <v>H</v>
      </c>
      <c r="I111" s="198">
        <f>'School Level ADM'!$BI111</f>
        <v>47.175999999999995</v>
      </c>
      <c r="J111" s="194">
        <f t="shared" si="16"/>
        <v>0</v>
      </c>
      <c r="K111" s="194">
        <f t="shared" si="17"/>
        <v>0</v>
      </c>
      <c r="L111" s="194">
        <f t="shared" si="18"/>
        <v>17065</v>
      </c>
      <c r="M111" s="194">
        <f t="shared" si="19"/>
        <v>0</v>
      </c>
      <c r="N111" s="194">
        <f t="shared" si="20"/>
        <v>0</v>
      </c>
      <c r="O111" s="194">
        <f t="shared" si="21"/>
        <v>0</v>
      </c>
      <c r="P111" s="194">
        <f t="shared" si="22"/>
        <v>17065</v>
      </c>
      <c r="Q111" s="198">
        <f>'School Level ADM'!$AU111</f>
        <v>89.635000000000005</v>
      </c>
      <c r="R111" s="194">
        <f t="shared" si="23"/>
        <v>0</v>
      </c>
      <c r="S111" s="194">
        <f t="shared" si="24"/>
        <v>0</v>
      </c>
      <c r="T111" s="194">
        <f t="shared" si="25"/>
        <v>17065</v>
      </c>
      <c r="U111" s="194">
        <f t="shared" si="26"/>
        <v>0</v>
      </c>
      <c r="V111" s="194">
        <f t="shared" si="27"/>
        <v>0</v>
      </c>
      <c r="W111" s="194">
        <f t="shared" si="28"/>
        <v>0</v>
      </c>
      <c r="X111" s="194">
        <f t="shared" si="29"/>
        <v>17065</v>
      </c>
    </row>
    <row r="112" spans="1:24" s="226" customFormat="1" x14ac:dyDescent="0.2">
      <c r="A112" s="210" t="str">
        <f>'School Level Inst. Resources'!A112</f>
        <v>0724000</v>
      </c>
      <c r="B112" s="210" t="str">
        <f>'School Level Inst. Resources'!B112</f>
        <v>Fremont #24</v>
      </c>
      <c r="C112" s="210" t="str">
        <f>'School Level Inst. Resources'!C112</f>
        <v>0724001</v>
      </c>
      <c r="D112" s="210" t="str">
        <f>'School Level Inst. Resources'!D112</f>
        <v>Shoshoni Elementary</v>
      </c>
      <c r="E112" s="211" t="str">
        <f>'School Level Inst. Resources'!E112</f>
        <v>P-6</v>
      </c>
      <c r="F112" s="212" t="str">
        <f>'School Level Inst. Resources'!H112</f>
        <v>E</v>
      </c>
      <c r="G112" s="212" t="s">
        <v>1159</v>
      </c>
      <c r="H112" s="212" t="str">
        <f t="shared" si="15"/>
        <v>E</v>
      </c>
      <c r="I112" s="217">
        <v>0</v>
      </c>
      <c r="J112" s="293">
        <f t="shared" si="16"/>
        <v>0</v>
      </c>
      <c r="K112" s="293">
        <f t="shared" si="17"/>
        <v>0</v>
      </c>
      <c r="L112" s="293">
        <f t="shared" si="18"/>
        <v>0</v>
      </c>
      <c r="M112" s="293">
        <f t="shared" si="19"/>
        <v>0</v>
      </c>
      <c r="N112" s="293">
        <f t="shared" si="20"/>
        <v>0</v>
      </c>
      <c r="O112" s="293">
        <f t="shared" si="21"/>
        <v>0</v>
      </c>
      <c r="P112" s="293">
        <f t="shared" si="22"/>
        <v>0</v>
      </c>
      <c r="Q112" s="217">
        <v>0</v>
      </c>
      <c r="R112" s="293">
        <f t="shared" si="23"/>
        <v>0</v>
      </c>
      <c r="S112" s="293">
        <f t="shared" si="24"/>
        <v>0</v>
      </c>
      <c r="T112" s="293">
        <f t="shared" si="25"/>
        <v>0</v>
      </c>
      <c r="U112" s="293">
        <f t="shared" si="26"/>
        <v>0</v>
      </c>
      <c r="V112" s="293">
        <f t="shared" si="27"/>
        <v>0</v>
      </c>
      <c r="W112" s="293">
        <f t="shared" si="28"/>
        <v>0</v>
      </c>
      <c r="X112" s="293">
        <f t="shared" si="29"/>
        <v>0</v>
      </c>
    </row>
    <row r="113" spans="1:24" s="226" customFormat="1" x14ac:dyDescent="0.2">
      <c r="A113" s="210" t="str">
        <f>'School Level Inst. Resources'!A113</f>
        <v>0724000</v>
      </c>
      <c r="B113" s="210" t="str">
        <f>'School Level Inst. Resources'!B113</f>
        <v>Fremont #24</v>
      </c>
      <c r="C113" s="210" t="str">
        <f>'School Level Inst. Resources'!C113</f>
        <v>0724050</v>
      </c>
      <c r="D113" s="210" t="str">
        <f>'School Level Inst. Resources'!D113</f>
        <v>Shoshoni Junior High School</v>
      </c>
      <c r="E113" s="211" t="str">
        <f>'School Level Inst. Resources'!E113</f>
        <v>7-8</v>
      </c>
      <c r="F113" s="212" t="str">
        <f>'School Level Inst. Resources'!H113</f>
        <v>M</v>
      </c>
      <c r="G113" s="212" t="s">
        <v>1159</v>
      </c>
      <c r="H113" s="212" t="str">
        <f t="shared" si="15"/>
        <v>M</v>
      </c>
      <c r="I113" s="217">
        <v>0</v>
      </c>
      <c r="J113" s="293">
        <f t="shared" si="16"/>
        <v>0</v>
      </c>
      <c r="K113" s="293">
        <f t="shared" si="17"/>
        <v>0</v>
      </c>
      <c r="L113" s="293">
        <f t="shared" si="18"/>
        <v>0</v>
      </c>
      <c r="M113" s="293">
        <f t="shared" si="19"/>
        <v>0</v>
      </c>
      <c r="N113" s="293">
        <f t="shared" si="20"/>
        <v>0</v>
      </c>
      <c r="O113" s="293">
        <f t="shared" si="21"/>
        <v>0</v>
      </c>
      <c r="P113" s="293">
        <f t="shared" si="22"/>
        <v>0</v>
      </c>
      <c r="Q113" s="217">
        <v>0</v>
      </c>
      <c r="R113" s="293">
        <f t="shared" si="23"/>
        <v>0</v>
      </c>
      <c r="S113" s="293">
        <f t="shared" si="24"/>
        <v>0</v>
      </c>
      <c r="T113" s="293">
        <f t="shared" si="25"/>
        <v>0</v>
      </c>
      <c r="U113" s="293">
        <f t="shared" si="26"/>
        <v>0</v>
      </c>
      <c r="V113" s="293">
        <f t="shared" si="27"/>
        <v>0</v>
      </c>
      <c r="W113" s="293">
        <f t="shared" si="28"/>
        <v>0</v>
      </c>
      <c r="X113" s="293">
        <f t="shared" si="29"/>
        <v>0</v>
      </c>
    </row>
    <row r="114" spans="1:24" s="226" customFormat="1" x14ac:dyDescent="0.2">
      <c r="A114" s="210" t="str">
        <f>'School Level Inst. Resources'!A114</f>
        <v>0724000</v>
      </c>
      <c r="B114" s="210" t="str">
        <f>'School Level Inst. Resources'!B114</f>
        <v>Fremont #24</v>
      </c>
      <c r="C114" s="210" t="str">
        <f>'School Level Inst. Resources'!C114</f>
        <v>0724055</v>
      </c>
      <c r="D114" s="210" t="str">
        <f>'School Level Inst. Resources'!D114</f>
        <v>Shoshoni High School</v>
      </c>
      <c r="E114" s="211" t="str">
        <f>'School Level Inst. Resources'!E114</f>
        <v>9-12</v>
      </c>
      <c r="F114" s="212" t="str">
        <f>'School Level Inst. Resources'!H114</f>
        <v>H</v>
      </c>
      <c r="G114" s="212" t="s">
        <v>1158</v>
      </c>
      <c r="H114" s="212" t="s">
        <v>474</v>
      </c>
      <c r="I114" s="218">
        <f>SUM('School Level ADM'!$BI112,'School Level ADM'!$BI113,'School Level ADM'!$BI114)</f>
        <v>389.66700000000003</v>
      </c>
      <c r="J114" s="214">
        <f t="shared" si="16"/>
        <v>0</v>
      </c>
      <c r="K114" s="214">
        <f t="shared" si="17"/>
        <v>0</v>
      </c>
      <c r="L114" s="214">
        <f t="shared" si="18"/>
        <v>0</v>
      </c>
      <c r="M114" s="214">
        <f t="shared" si="19"/>
        <v>0</v>
      </c>
      <c r="N114" s="214">
        <f t="shared" si="20"/>
        <v>0</v>
      </c>
      <c r="O114" s="214">
        <f t="shared" si="21"/>
        <v>97939</v>
      </c>
      <c r="P114" s="214">
        <f t="shared" si="22"/>
        <v>97939</v>
      </c>
      <c r="Q114" s="218">
        <f>SUM('School Level ADM'!$AU112,'School Level ADM'!$AU113,'School Level ADM'!$AU114)</f>
        <v>383.16500000000002</v>
      </c>
      <c r="R114" s="214">
        <f t="shared" si="23"/>
        <v>0</v>
      </c>
      <c r="S114" s="214">
        <f t="shared" si="24"/>
        <v>0</v>
      </c>
      <c r="T114" s="214">
        <f t="shared" si="25"/>
        <v>0</v>
      </c>
      <c r="U114" s="214">
        <f t="shared" si="26"/>
        <v>0</v>
      </c>
      <c r="V114" s="214">
        <f t="shared" si="27"/>
        <v>0</v>
      </c>
      <c r="W114" s="214">
        <f t="shared" si="28"/>
        <v>97939</v>
      </c>
      <c r="X114" s="214">
        <f t="shared" si="29"/>
        <v>97939</v>
      </c>
    </row>
    <row r="115" spans="1:24" x14ac:dyDescent="0.2">
      <c r="A115" s="227" t="str">
        <f>'School Level Inst. Resources'!A115</f>
        <v>0725000</v>
      </c>
      <c r="B115" s="227" t="str">
        <f>'School Level Inst. Resources'!B115</f>
        <v>Fremont #25</v>
      </c>
      <c r="C115" s="227" t="str">
        <f>'School Level Inst. Resources'!C115</f>
        <v>0725002</v>
      </c>
      <c r="D115" s="227" t="str">
        <f>'School Level Inst. Resources'!D115</f>
        <v>Ashgrove Elementary</v>
      </c>
      <c r="E115" s="228" t="str">
        <f>'School Level Inst. Resources'!E115</f>
        <v>1-3</v>
      </c>
      <c r="F115" s="229" t="str">
        <f>'School Level Inst. Resources'!H115</f>
        <v>E</v>
      </c>
      <c r="G115" s="229" t="s">
        <v>1158</v>
      </c>
      <c r="H115" s="229" t="str">
        <f t="shared" si="15"/>
        <v>E</v>
      </c>
      <c r="I115" s="198">
        <f>'School Level ADM'!$BI115</f>
        <v>194.20800000000003</v>
      </c>
      <c r="J115" s="194">
        <f t="shared" si="16"/>
        <v>32132</v>
      </c>
      <c r="K115" s="194">
        <f t="shared" si="17"/>
        <v>0</v>
      </c>
      <c r="L115" s="194">
        <f t="shared" si="18"/>
        <v>0</v>
      </c>
      <c r="M115" s="194">
        <f t="shared" si="19"/>
        <v>0</v>
      </c>
      <c r="N115" s="194">
        <f t="shared" si="20"/>
        <v>0</v>
      </c>
      <c r="O115" s="194">
        <f t="shared" si="21"/>
        <v>0</v>
      </c>
      <c r="P115" s="194">
        <f t="shared" si="22"/>
        <v>32132</v>
      </c>
      <c r="Q115" s="198">
        <f>'School Level ADM'!$AU115</f>
        <v>159.57</v>
      </c>
      <c r="R115" s="194">
        <f t="shared" si="23"/>
        <v>32132</v>
      </c>
      <c r="S115" s="194">
        <f t="shared" si="24"/>
        <v>0</v>
      </c>
      <c r="T115" s="194">
        <f t="shared" si="25"/>
        <v>0</v>
      </c>
      <c r="U115" s="194">
        <f t="shared" si="26"/>
        <v>0</v>
      </c>
      <c r="V115" s="194">
        <f t="shared" si="27"/>
        <v>0</v>
      </c>
      <c r="W115" s="194">
        <f t="shared" si="28"/>
        <v>0</v>
      </c>
      <c r="X115" s="194">
        <f t="shared" si="29"/>
        <v>32132</v>
      </c>
    </row>
    <row r="116" spans="1:24" x14ac:dyDescent="0.2">
      <c r="A116" s="227" t="str">
        <f>'School Level Inst. Resources'!A116</f>
        <v>0725000</v>
      </c>
      <c r="B116" s="227" t="str">
        <f>'School Level Inst. Resources'!B116</f>
        <v>Fremont #25</v>
      </c>
      <c r="C116" s="227" t="str">
        <f>'School Level Inst. Resources'!C116</f>
        <v>0725007</v>
      </c>
      <c r="D116" s="227" t="str">
        <f>'School Level Inst. Resources'!D116</f>
        <v>Rendezvous Elementary</v>
      </c>
      <c r="E116" s="228" t="str">
        <f>'School Level Inst. Resources'!E116</f>
        <v>4-5</v>
      </c>
      <c r="F116" s="229" t="str">
        <f>'School Level Inst. Resources'!H116</f>
        <v>E</v>
      </c>
      <c r="G116" s="229" t="s">
        <v>1158</v>
      </c>
      <c r="H116" s="229" t="str">
        <f t="shared" si="15"/>
        <v>E</v>
      </c>
      <c r="I116" s="198">
        <f>'School Level ADM'!$BI116</f>
        <v>380.07799999999997</v>
      </c>
      <c r="J116" s="194">
        <f t="shared" si="16"/>
        <v>52819</v>
      </c>
      <c r="K116" s="194">
        <f t="shared" si="17"/>
        <v>0</v>
      </c>
      <c r="L116" s="194">
        <f t="shared" si="18"/>
        <v>0</v>
      </c>
      <c r="M116" s="194">
        <f t="shared" si="19"/>
        <v>0</v>
      </c>
      <c r="N116" s="194">
        <f t="shared" si="20"/>
        <v>0</v>
      </c>
      <c r="O116" s="194">
        <f t="shared" si="21"/>
        <v>0</v>
      </c>
      <c r="P116" s="194">
        <f t="shared" si="22"/>
        <v>52819</v>
      </c>
      <c r="Q116" s="198">
        <f>'School Level ADM'!$AU116</f>
        <v>382.18</v>
      </c>
      <c r="R116" s="194">
        <f t="shared" si="23"/>
        <v>52819</v>
      </c>
      <c r="S116" s="194">
        <f t="shared" si="24"/>
        <v>0</v>
      </c>
      <c r="T116" s="194">
        <f t="shared" si="25"/>
        <v>0</v>
      </c>
      <c r="U116" s="194">
        <f t="shared" si="26"/>
        <v>0</v>
      </c>
      <c r="V116" s="194">
        <f t="shared" si="27"/>
        <v>0</v>
      </c>
      <c r="W116" s="194">
        <f t="shared" si="28"/>
        <v>0</v>
      </c>
      <c r="X116" s="194">
        <f t="shared" si="29"/>
        <v>52819</v>
      </c>
    </row>
    <row r="117" spans="1:24" x14ac:dyDescent="0.2">
      <c r="A117" s="227" t="str">
        <f>'School Level Inst. Resources'!A117</f>
        <v>0725000</v>
      </c>
      <c r="B117" s="227" t="str">
        <f>'School Level Inst. Resources'!B117</f>
        <v>Fremont #25</v>
      </c>
      <c r="C117" s="227" t="str">
        <f>'School Level Inst. Resources'!C117</f>
        <v>0725008</v>
      </c>
      <c r="D117" s="227" t="str">
        <f>'School Level Inst. Resources'!D117</f>
        <v>Jackson Elementary</v>
      </c>
      <c r="E117" s="228" t="str">
        <f>'School Level Inst. Resources'!E117</f>
        <v>1-3</v>
      </c>
      <c r="F117" s="229" t="str">
        <f>'School Level Inst. Resources'!H117</f>
        <v>E</v>
      </c>
      <c r="G117" s="229" t="s">
        <v>1158</v>
      </c>
      <c r="H117" s="229" t="str">
        <f t="shared" si="15"/>
        <v>E</v>
      </c>
      <c r="I117" s="198">
        <f>'School Level ADM'!$BI117</f>
        <v>192.06299999999999</v>
      </c>
      <c r="J117" s="194">
        <f t="shared" si="16"/>
        <v>31852</v>
      </c>
      <c r="K117" s="194">
        <f t="shared" si="17"/>
        <v>0</v>
      </c>
      <c r="L117" s="194">
        <f t="shared" si="18"/>
        <v>0</v>
      </c>
      <c r="M117" s="194">
        <f t="shared" si="19"/>
        <v>0</v>
      </c>
      <c r="N117" s="194">
        <f t="shared" si="20"/>
        <v>0</v>
      </c>
      <c r="O117" s="194">
        <f t="shared" si="21"/>
        <v>0</v>
      </c>
      <c r="P117" s="194">
        <f t="shared" si="22"/>
        <v>31852</v>
      </c>
      <c r="Q117" s="198">
        <f>'School Level ADM'!$AU117</f>
        <v>163.51000000000002</v>
      </c>
      <c r="R117" s="194">
        <f t="shared" si="23"/>
        <v>31852</v>
      </c>
      <c r="S117" s="194">
        <f t="shared" si="24"/>
        <v>0</v>
      </c>
      <c r="T117" s="194">
        <f t="shared" si="25"/>
        <v>0</v>
      </c>
      <c r="U117" s="194">
        <f t="shared" si="26"/>
        <v>0</v>
      </c>
      <c r="V117" s="194">
        <f t="shared" si="27"/>
        <v>0</v>
      </c>
      <c r="W117" s="194">
        <f t="shared" si="28"/>
        <v>0</v>
      </c>
      <c r="X117" s="194">
        <f t="shared" si="29"/>
        <v>31852</v>
      </c>
    </row>
    <row r="118" spans="1:24" x14ac:dyDescent="0.2">
      <c r="A118" s="227" t="str">
        <f>'School Level Inst. Resources'!A118</f>
        <v>0725000</v>
      </c>
      <c r="B118" s="227" t="str">
        <f>'School Level Inst. Resources'!B118</f>
        <v>Fremont #25</v>
      </c>
      <c r="C118" s="227" t="str">
        <f>'School Level Inst. Resources'!C118</f>
        <v>0725009</v>
      </c>
      <c r="D118" s="227" t="str">
        <f>'School Level Inst. Resources'!D118</f>
        <v>Aspen Early Learning Center</v>
      </c>
      <c r="E118" s="228" t="str">
        <f>'School Level Inst. Resources'!E118</f>
        <v>K</v>
      </c>
      <c r="F118" s="229" t="str">
        <f>'School Level Inst. Resources'!H118</f>
        <v>E</v>
      </c>
      <c r="G118" s="229" t="s">
        <v>1158</v>
      </c>
      <c r="H118" s="229" t="str">
        <f t="shared" si="15"/>
        <v>E</v>
      </c>
      <c r="I118" s="198">
        <f>'School Level ADM'!$BI118</f>
        <v>168.14599999999999</v>
      </c>
      <c r="J118" s="194">
        <f t="shared" si="16"/>
        <v>28643</v>
      </c>
      <c r="K118" s="194">
        <f t="shared" si="17"/>
        <v>0</v>
      </c>
      <c r="L118" s="194">
        <f t="shared" si="18"/>
        <v>0</v>
      </c>
      <c r="M118" s="194">
        <f t="shared" si="19"/>
        <v>0</v>
      </c>
      <c r="N118" s="194">
        <f t="shared" si="20"/>
        <v>0</v>
      </c>
      <c r="O118" s="194">
        <f t="shared" si="21"/>
        <v>0</v>
      </c>
      <c r="P118" s="194">
        <f t="shared" si="22"/>
        <v>28643</v>
      </c>
      <c r="Q118" s="198">
        <f>'School Level ADM'!$AU118</f>
        <v>238.37</v>
      </c>
      <c r="R118" s="194">
        <f t="shared" si="23"/>
        <v>28643</v>
      </c>
      <c r="S118" s="194">
        <f t="shared" si="24"/>
        <v>0</v>
      </c>
      <c r="T118" s="194">
        <f t="shared" si="25"/>
        <v>0</v>
      </c>
      <c r="U118" s="194">
        <f t="shared" si="26"/>
        <v>0</v>
      </c>
      <c r="V118" s="194">
        <f t="shared" si="27"/>
        <v>0</v>
      </c>
      <c r="W118" s="194">
        <f t="shared" si="28"/>
        <v>0</v>
      </c>
      <c r="X118" s="194">
        <f t="shared" si="29"/>
        <v>28643</v>
      </c>
    </row>
    <row r="119" spans="1:24" s="243" customFormat="1" x14ac:dyDescent="0.2">
      <c r="A119" s="227" t="str">
        <f>'School Level Inst. Resources'!A119</f>
        <v>0725000</v>
      </c>
      <c r="B119" s="227" t="str">
        <f>'School Level Inst. Resources'!B119</f>
        <v>Fremont #25</v>
      </c>
      <c r="C119" s="227" t="str">
        <f>'School Level Inst. Resources'!C119</f>
        <v>0725010</v>
      </c>
      <c r="D119" s="227" t="str">
        <f>'School Level Inst. Resources'!D119</f>
        <v>Willow Creek Elementary</v>
      </c>
      <c r="E119" s="228" t="str">
        <f>'School Level Inst. Resources'!E119</f>
        <v>1-3</v>
      </c>
      <c r="F119" s="229" t="str">
        <f>'School Level Inst. Resources'!H119</f>
        <v>E</v>
      </c>
      <c r="G119" s="229" t="s">
        <v>1158</v>
      </c>
      <c r="H119" s="229" t="str">
        <f t="shared" si="15"/>
        <v>E</v>
      </c>
      <c r="I119" s="236">
        <f>'School Level ADM'!$BI119</f>
        <v>236.45500000000001</v>
      </c>
      <c r="J119" s="235">
        <f t="shared" si="16"/>
        <v>37392</v>
      </c>
      <c r="K119" s="235">
        <f t="shared" si="17"/>
        <v>0</v>
      </c>
      <c r="L119" s="235">
        <f t="shared" si="18"/>
        <v>0</v>
      </c>
      <c r="M119" s="235">
        <f t="shared" si="19"/>
        <v>0</v>
      </c>
      <c r="N119" s="235">
        <f t="shared" si="20"/>
        <v>0</v>
      </c>
      <c r="O119" s="235">
        <f t="shared" si="21"/>
        <v>0</v>
      </c>
      <c r="P119" s="235">
        <f t="shared" si="22"/>
        <v>37392</v>
      </c>
      <c r="Q119" s="236">
        <f>'School Level ADM'!$AU119</f>
        <v>182.22499999999999</v>
      </c>
      <c r="R119" s="235">
        <f t="shared" si="23"/>
        <v>37392</v>
      </c>
      <c r="S119" s="235">
        <f t="shared" si="24"/>
        <v>0</v>
      </c>
      <c r="T119" s="235">
        <f t="shared" si="25"/>
        <v>0</v>
      </c>
      <c r="U119" s="235">
        <f t="shared" si="26"/>
        <v>0</v>
      </c>
      <c r="V119" s="235">
        <f t="shared" si="27"/>
        <v>0</v>
      </c>
      <c r="W119" s="235">
        <f t="shared" si="28"/>
        <v>0</v>
      </c>
      <c r="X119" s="235">
        <f t="shared" si="29"/>
        <v>37392</v>
      </c>
    </row>
    <row r="120" spans="1:24" x14ac:dyDescent="0.2">
      <c r="A120" s="227" t="str">
        <f>'School Level Inst. Resources'!A120</f>
        <v>0725000</v>
      </c>
      <c r="B120" s="227" t="str">
        <f>'School Level Inst. Resources'!B120</f>
        <v>Fremont #25</v>
      </c>
      <c r="C120" s="227" t="str">
        <f>'School Level Inst. Resources'!C120</f>
        <v>0725050</v>
      </c>
      <c r="D120" s="227" t="str">
        <f>'School Level Inst. Resources'!D120</f>
        <v>Riverton Middle School</v>
      </c>
      <c r="E120" s="228" t="str">
        <f>'School Level Inst. Resources'!E120</f>
        <v>6-8</v>
      </c>
      <c r="F120" s="229" t="str">
        <f>'School Level Inst. Resources'!H120</f>
        <v>M</v>
      </c>
      <c r="G120" s="229" t="s">
        <v>1158</v>
      </c>
      <c r="H120" s="229" t="str">
        <f t="shared" si="15"/>
        <v>M</v>
      </c>
      <c r="I120" s="198">
        <f>'School Level ADM'!$BI120</f>
        <v>531.10199999999998</v>
      </c>
      <c r="J120" s="194">
        <f t="shared" si="16"/>
        <v>0</v>
      </c>
      <c r="K120" s="194">
        <f t="shared" si="17"/>
        <v>86277</v>
      </c>
      <c r="L120" s="194">
        <f t="shared" si="18"/>
        <v>0</v>
      </c>
      <c r="M120" s="194">
        <f t="shared" si="19"/>
        <v>0</v>
      </c>
      <c r="N120" s="194">
        <f t="shared" si="20"/>
        <v>0</v>
      </c>
      <c r="O120" s="194">
        <f t="shared" si="21"/>
        <v>0</v>
      </c>
      <c r="P120" s="194">
        <f t="shared" si="22"/>
        <v>86277</v>
      </c>
      <c r="Q120" s="198">
        <f>'School Level ADM'!$AU120</f>
        <v>575.24</v>
      </c>
      <c r="R120" s="194">
        <f t="shared" si="23"/>
        <v>0</v>
      </c>
      <c r="S120" s="194">
        <f t="shared" si="24"/>
        <v>86277</v>
      </c>
      <c r="T120" s="194">
        <f t="shared" si="25"/>
        <v>0</v>
      </c>
      <c r="U120" s="194">
        <f t="shared" si="26"/>
        <v>0</v>
      </c>
      <c r="V120" s="194">
        <f t="shared" si="27"/>
        <v>0</v>
      </c>
      <c r="W120" s="194">
        <f t="shared" si="28"/>
        <v>0</v>
      </c>
      <c r="X120" s="194">
        <f t="shared" si="29"/>
        <v>86277</v>
      </c>
    </row>
    <row r="121" spans="1:24" s="255" customFormat="1" x14ac:dyDescent="0.2">
      <c r="A121" s="227" t="str">
        <f>'School Level Inst. Resources'!A121</f>
        <v>0725000</v>
      </c>
      <c r="B121" s="227" t="str">
        <f>'School Level Inst. Resources'!B121</f>
        <v>Fremont #25</v>
      </c>
      <c r="C121" s="227" t="str">
        <f>'School Level Inst. Resources'!C121</f>
        <v>0725056</v>
      </c>
      <c r="D121" s="227" t="str">
        <f>'School Level Inst. Resources'!D121</f>
        <v>Riverton High School</v>
      </c>
      <c r="E121" s="228" t="str">
        <f>'School Level Inst. Resources'!E121</f>
        <v>9-12</v>
      </c>
      <c r="F121" s="245" t="str">
        <f>'School Level Inst. Resources'!H121</f>
        <v>H</v>
      </c>
      <c r="G121" s="245" t="s">
        <v>1158</v>
      </c>
      <c r="H121" s="245" t="str">
        <f t="shared" si="15"/>
        <v>H</v>
      </c>
      <c r="I121" s="247">
        <f>'School Level ADM'!$BI121</f>
        <v>688.1099999999999</v>
      </c>
      <c r="J121" s="246">
        <f t="shared" si="16"/>
        <v>0</v>
      </c>
      <c r="K121" s="246">
        <f t="shared" si="17"/>
        <v>0</v>
      </c>
      <c r="L121" s="246">
        <f t="shared" si="18"/>
        <v>133470</v>
      </c>
      <c r="M121" s="246">
        <f t="shared" si="19"/>
        <v>0</v>
      </c>
      <c r="N121" s="246">
        <f t="shared" si="20"/>
        <v>0</v>
      </c>
      <c r="O121" s="246">
        <f t="shared" si="21"/>
        <v>0</v>
      </c>
      <c r="P121" s="246">
        <f t="shared" si="22"/>
        <v>133470</v>
      </c>
      <c r="Q121" s="247">
        <f>'School Level ADM'!$AU121</f>
        <v>685.56</v>
      </c>
      <c r="R121" s="246">
        <f t="shared" si="23"/>
        <v>0</v>
      </c>
      <c r="S121" s="246">
        <f t="shared" si="24"/>
        <v>0</v>
      </c>
      <c r="T121" s="246">
        <f t="shared" si="25"/>
        <v>133470</v>
      </c>
      <c r="U121" s="246">
        <f t="shared" si="26"/>
        <v>0</v>
      </c>
      <c r="V121" s="246">
        <f t="shared" si="27"/>
        <v>0</v>
      </c>
      <c r="W121" s="246">
        <f t="shared" si="28"/>
        <v>0</v>
      </c>
      <c r="X121" s="246">
        <f t="shared" si="29"/>
        <v>133470</v>
      </c>
    </row>
    <row r="122" spans="1:24" s="255" customFormat="1" x14ac:dyDescent="0.2">
      <c r="A122" s="227" t="str">
        <f>'School Level Inst. Resources'!A122</f>
        <v>0725000</v>
      </c>
      <c r="B122" s="227" t="str">
        <f>'School Level Inst. Resources'!B122</f>
        <v>Fremont #25</v>
      </c>
      <c r="C122" s="227" t="str">
        <f>'School Level Inst. Resources'!C122</f>
        <v>0725057</v>
      </c>
      <c r="D122" s="227" t="str">
        <f>'School Level Inst. Resources'!D122</f>
        <v>Frontier Academy</v>
      </c>
      <c r="E122" s="228" t="str">
        <f>'School Level Inst. Resources'!E122</f>
        <v>9-12</v>
      </c>
      <c r="F122" s="245" t="str">
        <f>'School Level Inst. Resources'!H122</f>
        <v>H</v>
      </c>
      <c r="G122" s="245" t="s">
        <v>1158</v>
      </c>
      <c r="H122" s="245" t="str">
        <f t="shared" si="15"/>
        <v>H</v>
      </c>
      <c r="I122" s="198">
        <f>'School Level ADM'!$BI122</f>
        <v>31.652000000000001</v>
      </c>
      <c r="J122" s="194">
        <f t="shared" si="16"/>
        <v>0</v>
      </c>
      <c r="K122" s="194">
        <f t="shared" si="17"/>
        <v>0</v>
      </c>
      <c r="L122" s="194">
        <f t="shared" si="18"/>
        <v>11449</v>
      </c>
      <c r="M122" s="194">
        <f t="shared" si="19"/>
        <v>0</v>
      </c>
      <c r="N122" s="194">
        <f t="shared" si="20"/>
        <v>0</v>
      </c>
      <c r="O122" s="194">
        <f t="shared" si="21"/>
        <v>0</v>
      </c>
      <c r="P122" s="194">
        <f t="shared" si="22"/>
        <v>11449</v>
      </c>
      <c r="Q122" s="198">
        <f>'School Level ADM'!$AU122</f>
        <v>30.535</v>
      </c>
      <c r="R122" s="194">
        <f t="shared" si="23"/>
        <v>0</v>
      </c>
      <c r="S122" s="194">
        <f t="shared" si="24"/>
        <v>0</v>
      </c>
      <c r="T122" s="194">
        <f t="shared" si="25"/>
        <v>11449</v>
      </c>
      <c r="U122" s="194">
        <f t="shared" si="26"/>
        <v>0</v>
      </c>
      <c r="V122" s="194">
        <f t="shared" si="27"/>
        <v>0</v>
      </c>
      <c r="W122" s="194">
        <f t="shared" si="28"/>
        <v>0</v>
      </c>
      <c r="X122" s="194">
        <f t="shared" si="29"/>
        <v>11449</v>
      </c>
    </row>
    <row r="123" spans="1:24" x14ac:dyDescent="0.2">
      <c r="A123" s="227" t="str">
        <f>'School Level Inst. Resources'!A123</f>
        <v>0738000</v>
      </c>
      <c r="B123" s="227" t="str">
        <f>'School Level Inst. Resources'!B123</f>
        <v>Fremont #38</v>
      </c>
      <c r="C123" s="227" t="str">
        <f>'School Level Inst. Resources'!C123</f>
        <v>0738001</v>
      </c>
      <c r="D123" s="227" t="str">
        <f>'School Level Inst. Resources'!D123</f>
        <v>Arapahoe Elementary</v>
      </c>
      <c r="E123" s="228" t="str">
        <f>'School Level Inst. Resources'!E123</f>
        <v>P-8</v>
      </c>
      <c r="F123" s="229" t="str">
        <f>'School Level Inst. Resources'!H123</f>
        <v>M</v>
      </c>
      <c r="G123" s="229" t="s">
        <v>1158</v>
      </c>
      <c r="H123" s="229" t="str">
        <f t="shared" si="15"/>
        <v>K-8</v>
      </c>
      <c r="I123" s="198">
        <f>'School Level ADM'!$BI123</f>
        <v>374.33299999999997</v>
      </c>
      <c r="J123" s="194">
        <f t="shared" si="16"/>
        <v>0</v>
      </c>
      <c r="K123" s="194">
        <f t="shared" si="17"/>
        <v>0</v>
      </c>
      <c r="L123" s="194">
        <f t="shared" si="18"/>
        <v>0</v>
      </c>
      <c r="M123" s="194">
        <f t="shared" si="19"/>
        <v>69798</v>
      </c>
      <c r="N123" s="194">
        <f t="shared" si="20"/>
        <v>0</v>
      </c>
      <c r="O123" s="194">
        <f t="shared" si="21"/>
        <v>0</v>
      </c>
      <c r="P123" s="194">
        <f t="shared" si="22"/>
        <v>69798</v>
      </c>
      <c r="Q123" s="198">
        <f>'School Level ADM'!$AU123</f>
        <v>401.88</v>
      </c>
      <c r="R123" s="194">
        <f t="shared" si="23"/>
        <v>0</v>
      </c>
      <c r="S123" s="194">
        <f t="shared" si="24"/>
        <v>0</v>
      </c>
      <c r="T123" s="194">
        <f t="shared" si="25"/>
        <v>0</v>
      </c>
      <c r="U123" s="194">
        <f t="shared" si="26"/>
        <v>69798</v>
      </c>
      <c r="V123" s="194">
        <f t="shared" si="27"/>
        <v>0</v>
      </c>
      <c r="W123" s="194">
        <f t="shared" si="28"/>
        <v>0</v>
      </c>
      <c r="X123" s="194">
        <f t="shared" si="29"/>
        <v>69798</v>
      </c>
    </row>
    <row r="124" spans="1:24" x14ac:dyDescent="0.2">
      <c r="A124" s="227" t="str">
        <f>'School Level Inst. Resources'!A124</f>
        <v>0738000</v>
      </c>
      <c r="B124" s="227" t="str">
        <f>'School Level Inst. Resources'!B124</f>
        <v>Fremont #38</v>
      </c>
      <c r="C124" s="227" t="str">
        <f>'School Level Inst. Resources'!C124</f>
        <v>0738055</v>
      </c>
      <c r="D124" s="227" t="str">
        <f>'School Level Inst. Resources'!D124</f>
        <v>Arapaho Charter High School</v>
      </c>
      <c r="E124" s="228" t="str">
        <f>'School Level Inst. Resources'!E124</f>
        <v>9-12</v>
      </c>
      <c r="F124" s="229" t="str">
        <f>'School Level Inst. Resources'!H124</f>
        <v>H</v>
      </c>
      <c r="G124" s="229" t="s">
        <v>1158</v>
      </c>
      <c r="H124" s="229" t="str">
        <f t="shared" si="15"/>
        <v>H</v>
      </c>
      <c r="I124" s="198">
        <f>'School Level ADM'!$BI124</f>
        <v>19.754000000000001</v>
      </c>
      <c r="J124" s="194">
        <f t="shared" si="16"/>
        <v>0</v>
      </c>
      <c r="K124" s="194">
        <f t="shared" si="17"/>
        <v>0</v>
      </c>
      <c r="L124" s="194">
        <f t="shared" si="18"/>
        <v>7146</v>
      </c>
      <c r="M124" s="194">
        <f t="shared" si="19"/>
        <v>0</v>
      </c>
      <c r="N124" s="194">
        <f t="shared" si="20"/>
        <v>0</v>
      </c>
      <c r="O124" s="194">
        <f t="shared" si="21"/>
        <v>0</v>
      </c>
      <c r="P124" s="194">
        <f t="shared" si="22"/>
        <v>7146</v>
      </c>
      <c r="Q124" s="198">
        <f>'School Level ADM'!$AU124</f>
        <v>35.46</v>
      </c>
      <c r="R124" s="194">
        <f t="shared" si="23"/>
        <v>0</v>
      </c>
      <c r="S124" s="194">
        <f t="shared" si="24"/>
        <v>0</v>
      </c>
      <c r="T124" s="194">
        <f t="shared" si="25"/>
        <v>7146</v>
      </c>
      <c r="U124" s="194">
        <f t="shared" si="26"/>
        <v>0</v>
      </c>
      <c r="V124" s="194">
        <f t="shared" si="27"/>
        <v>0</v>
      </c>
      <c r="W124" s="194">
        <f t="shared" si="28"/>
        <v>0</v>
      </c>
      <c r="X124" s="194">
        <f t="shared" si="29"/>
        <v>7146</v>
      </c>
    </row>
    <row r="125" spans="1:24" s="226" customFormat="1" x14ac:dyDescent="0.2">
      <c r="A125" s="210" t="str">
        <f>'School Level Inst. Resources'!A125</f>
        <v>0801000</v>
      </c>
      <c r="B125" s="210" t="str">
        <f>'School Level Inst. Resources'!B125</f>
        <v>Goshen #1</v>
      </c>
      <c r="C125" s="210" t="str">
        <f>'School Level Inst. Resources'!C125</f>
        <v>0801002</v>
      </c>
      <c r="D125" s="210" t="str">
        <f>'School Level Inst. Resources'!D125</f>
        <v>Southeast Elementary</v>
      </c>
      <c r="E125" s="211" t="str">
        <f>'School Level Inst. Resources'!E125</f>
        <v>K-6</v>
      </c>
      <c r="F125" s="212" t="str">
        <f>'School Level Inst. Resources'!H125</f>
        <v>E</v>
      </c>
      <c r="G125" s="212" t="s">
        <v>1159</v>
      </c>
      <c r="H125" s="212" t="str">
        <f t="shared" si="15"/>
        <v>E</v>
      </c>
      <c r="I125" s="217">
        <v>0</v>
      </c>
      <c r="J125" s="293">
        <f t="shared" si="16"/>
        <v>0</v>
      </c>
      <c r="K125" s="293">
        <f t="shared" si="17"/>
        <v>0</v>
      </c>
      <c r="L125" s="293">
        <f t="shared" si="18"/>
        <v>0</v>
      </c>
      <c r="M125" s="293">
        <f t="shared" si="19"/>
        <v>0</v>
      </c>
      <c r="N125" s="293">
        <f t="shared" si="20"/>
        <v>0</v>
      </c>
      <c r="O125" s="293">
        <f t="shared" si="21"/>
        <v>0</v>
      </c>
      <c r="P125" s="293">
        <f t="shared" si="22"/>
        <v>0</v>
      </c>
      <c r="Q125" s="217">
        <v>0</v>
      </c>
      <c r="R125" s="293">
        <f t="shared" si="23"/>
        <v>0</v>
      </c>
      <c r="S125" s="293">
        <f t="shared" si="24"/>
        <v>0</v>
      </c>
      <c r="T125" s="293">
        <f t="shared" si="25"/>
        <v>0</v>
      </c>
      <c r="U125" s="293">
        <f t="shared" si="26"/>
        <v>0</v>
      </c>
      <c r="V125" s="293">
        <f t="shared" si="27"/>
        <v>0</v>
      </c>
      <c r="W125" s="293">
        <f t="shared" si="28"/>
        <v>0</v>
      </c>
      <c r="X125" s="293">
        <f t="shared" si="29"/>
        <v>0</v>
      </c>
    </row>
    <row r="126" spans="1:24" x14ac:dyDescent="0.2">
      <c r="A126" s="227" t="str">
        <f>'School Level Inst. Resources'!A126</f>
        <v>0801000</v>
      </c>
      <c r="B126" s="227" t="str">
        <f>'School Level Inst. Resources'!B126</f>
        <v>Goshen #1</v>
      </c>
      <c r="C126" s="227" t="str">
        <f>'School Level Inst. Resources'!C126</f>
        <v>0801004</v>
      </c>
      <c r="D126" s="227" t="str">
        <f>'School Level Inst. Resources'!D126</f>
        <v>La Grange Elementary</v>
      </c>
      <c r="E126" s="228" t="str">
        <f>'School Level Inst. Resources'!E126</f>
        <v>K-6</v>
      </c>
      <c r="F126" s="229" t="str">
        <f>'School Level Inst. Resources'!H126</f>
        <v>E</v>
      </c>
      <c r="G126" s="229" t="s">
        <v>1158</v>
      </c>
      <c r="H126" s="229" t="str">
        <f t="shared" si="15"/>
        <v>E</v>
      </c>
      <c r="I126" s="198">
        <f>'School Level ADM'!$BI126</f>
        <v>24.753999999999998</v>
      </c>
      <c r="J126" s="194">
        <f t="shared" si="16"/>
        <v>5024</v>
      </c>
      <c r="K126" s="194">
        <f t="shared" si="17"/>
        <v>0</v>
      </c>
      <c r="L126" s="194">
        <f t="shared" si="18"/>
        <v>0</v>
      </c>
      <c r="M126" s="194">
        <f t="shared" si="19"/>
        <v>0</v>
      </c>
      <c r="N126" s="194">
        <f t="shared" si="20"/>
        <v>0</v>
      </c>
      <c r="O126" s="194">
        <f t="shared" si="21"/>
        <v>0</v>
      </c>
      <c r="P126" s="194">
        <f t="shared" si="22"/>
        <v>5024</v>
      </c>
      <c r="Q126" s="198">
        <f>'School Level ADM'!$AU126</f>
        <v>25.61</v>
      </c>
      <c r="R126" s="194">
        <f t="shared" si="23"/>
        <v>5024</v>
      </c>
      <c r="S126" s="194">
        <f t="shared" si="24"/>
        <v>0</v>
      </c>
      <c r="T126" s="194">
        <f t="shared" si="25"/>
        <v>0</v>
      </c>
      <c r="U126" s="194">
        <f t="shared" si="26"/>
        <v>0</v>
      </c>
      <c r="V126" s="194">
        <f t="shared" si="27"/>
        <v>0</v>
      </c>
      <c r="W126" s="194">
        <f t="shared" si="28"/>
        <v>0</v>
      </c>
      <c r="X126" s="194">
        <f t="shared" si="29"/>
        <v>5024</v>
      </c>
    </row>
    <row r="127" spans="1:24" x14ac:dyDescent="0.2">
      <c r="A127" s="227" t="str">
        <f>'School Level Inst. Resources'!A127</f>
        <v>0801000</v>
      </c>
      <c r="B127" s="227" t="str">
        <f>'School Level Inst. Resources'!B127</f>
        <v>Goshen #1</v>
      </c>
      <c r="C127" s="227" t="str">
        <f>'School Level Inst. Resources'!C127</f>
        <v>0801005</v>
      </c>
      <c r="D127" s="227" t="str">
        <f>'School Level Inst. Resources'!D127</f>
        <v>Lingle-Ft. Laramie Elementary</v>
      </c>
      <c r="E127" s="228" t="str">
        <f>'School Level Inst. Resources'!E127</f>
        <v>K-5</v>
      </c>
      <c r="F127" s="229" t="str">
        <f>'School Level Inst. Resources'!H127</f>
        <v>E</v>
      </c>
      <c r="G127" s="229" t="s">
        <v>1158</v>
      </c>
      <c r="H127" s="229" t="str">
        <f t="shared" si="15"/>
        <v>E</v>
      </c>
      <c r="I127" s="198">
        <f>'School Level ADM'!$BI127</f>
        <v>137.172</v>
      </c>
      <c r="J127" s="194">
        <f t="shared" si="16"/>
        <v>24217</v>
      </c>
      <c r="K127" s="194">
        <f t="shared" si="17"/>
        <v>0</v>
      </c>
      <c r="L127" s="194">
        <f t="shared" si="18"/>
        <v>0</v>
      </c>
      <c r="M127" s="194">
        <f t="shared" si="19"/>
        <v>0</v>
      </c>
      <c r="N127" s="194">
        <f t="shared" si="20"/>
        <v>0</v>
      </c>
      <c r="O127" s="194">
        <f t="shared" si="21"/>
        <v>0</v>
      </c>
      <c r="P127" s="194">
        <f t="shared" si="22"/>
        <v>24217</v>
      </c>
      <c r="Q127" s="198">
        <f>'School Level ADM'!$AU127</f>
        <v>128.05000000000001</v>
      </c>
      <c r="R127" s="194">
        <f t="shared" si="23"/>
        <v>24217</v>
      </c>
      <c r="S127" s="194">
        <f t="shared" si="24"/>
        <v>0</v>
      </c>
      <c r="T127" s="194">
        <f t="shared" si="25"/>
        <v>0</v>
      </c>
      <c r="U127" s="194">
        <f t="shared" si="26"/>
        <v>0</v>
      </c>
      <c r="V127" s="194">
        <f t="shared" si="27"/>
        <v>0</v>
      </c>
      <c r="W127" s="194">
        <f t="shared" si="28"/>
        <v>0</v>
      </c>
      <c r="X127" s="194">
        <f t="shared" si="29"/>
        <v>24217</v>
      </c>
    </row>
    <row r="128" spans="1:24" x14ac:dyDescent="0.2">
      <c r="A128" s="227" t="str">
        <f>'School Level Inst. Resources'!A128</f>
        <v>0801000</v>
      </c>
      <c r="B128" s="227" t="str">
        <f>'School Level Inst. Resources'!B128</f>
        <v>Goshen #1</v>
      </c>
      <c r="C128" s="227" t="str">
        <f>'School Level Inst. Resources'!C128</f>
        <v>0801006</v>
      </c>
      <c r="D128" s="227" t="str">
        <f>'School Level Inst. Resources'!D128</f>
        <v>Trail Elementary</v>
      </c>
      <c r="E128" s="228" t="str">
        <f>'School Level Inst. Resources'!E128</f>
        <v>3-5</v>
      </c>
      <c r="F128" s="229" t="str">
        <f>'School Level Inst. Resources'!H128</f>
        <v>E</v>
      </c>
      <c r="G128" s="229" t="s">
        <v>1158</v>
      </c>
      <c r="H128" s="229" t="str">
        <f t="shared" si="15"/>
        <v>E</v>
      </c>
      <c r="I128" s="198">
        <f>'School Level ADM'!$BI128</f>
        <v>264.56600000000003</v>
      </c>
      <c r="J128" s="194">
        <f t="shared" si="16"/>
        <v>40661</v>
      </c>
      <c r="K128" s="194">
        <f t="shared" si="17"/>
        <v>0</v>
      </c>
      <c r="L128" s="194">
        <f t="shared" si="18"/>
        <v>0</v>
      </c>
      <c r="M128" s="194">
        <f t="shared" si="19"/>
        <v>0</v>
      </c>
      <c r="N128" s="194">
        <f t="shared" si="20"/>
        <v>0</v>
      </c>
      <c r="O128" s="194">
        <f t="shared" si="21"/>
        <v>0</v>
      </c>
      <c r="P128" s="194">
        <f t="shared" si="22"/>
        <v>40661</v>
      </c>
      <c r="Q128" s="198">
        <f>'School Level ADM'!$AU128</f>
        <v>271.86</v>
      </c>
      <c r="R128" s="194">
        <f t="shared" si="23"/>
        <v>40661</v>
      </c>
      <c r="S128" s="194">
        <f t="shared" si="24"/>
        <v>0</v>
      </c>
      <c r="T128" s="194">
        <f t="shared" si="25"/>
        <v>0</v>
      </c>
      <c r="U128" s="194">
        <f t="shared" si="26"/>
        <v>0</v>
      </c>
      <c r="V128" s="194">
        <f t="shared" si="27"/>
        <v>0</v>
      </c>
      <c r="W128" s="194">
        <f t="shared" si="28"/>
        <v>0</v>
      </c>
      <c r="X128" s="194">
        <f t="shared" si="29"/>
        <v>40661</v>
      </c>
    </row>
    <row r="129" spans="1:24" x14ac:dyDescent="0.2">
      <c r="A129" s="227" t="str">
        <f>'School Level Inst. Resources'!A129</f>
        <v>0801000</v>
      </c>
      <c r="B129" s="227" t="str">
        <f>'School Level Inst. Resources'!B129</f>
        <v>Goshen #1</v>
      </c>
      <c r="C129" s="227" t="str">
        <f>'School Level Inst. Resources'!C129</f>
        <v>0801007</v>
      </c>
      <c r="D129" s="227" t="str">
        <f>'School Level Inst. Resources'!D129</f>
        <v>Lincoln Elementary</v>
      </c>
      <c r="E129" s="228" t="str">
        <f>'School Level Inst. Resources'!E129</f>
        <v>K-2</v>
      </c>
      <c r="F129" s="229" t="str">
        <f>'School Level Inst. Resources'!H129</f>
        <v>E</v>
      </c>
      <c r="G129" s="229" t="s">
        <v>1158</v>
      </c>
      <c r="H129" s="229" t="str">
        <f t="shared" si="15"/>
        <v>E</v>
      </c>
      <c r="I129" s="198">
        <f>'School Level ADM'!$BI129</f>
        <v>264.21699999999998</v>
      </c>
      <c r="J129" s="194">
        <f t="shared" si="16"/>
        <v>40621</v>
      </c>
      <c r="K129" s="194">
        <f t="shared" si="17"/>
        <v>0</v>
      </c>
      <c r="L129" s="194">
        <f t="shared" si="18"/>
        <v>0</v>
      </c>
      <c r="M129" s="194">
        <f t="shared" si="19"/>
        <v>0</v>
      </c>
      <c r="N129" s="194">
        <f t="shared" si="20"/>
        <v>0</v>
      </c>
      <c r="O129" s="194">
        <f t="shared" si="21"/>
        <v>0</v>
      </c>
      <c r="P129" s="194">
        <f t="shared" si="22"/>
        <v>40621</v>
      </c>
      <c r="Q129" s="198">
        <f>'School Level ADM'!$AU129</f>
        <v>259.05500000000001</v>
      </c>
      <c r="R129" s="194">
        <f t="shared" si="23"/>
        <v>40621</v>
      </c>
      <c r="S129" s="194">
        <f t="shared" si="24"/>
        <v>0</v>
      </c>
      <c r="T129" s="194">
        <f t="shared" si="25"/>
        <v>0</v>
      </c>
      <c r="U129" s="194">
        <f t="shared" si="26"/>
        <v>0</v>
      </c>
      <c r="V129" s="194">
        <f t="shared" si="27"/>
        <v>0</v>
      </c>
      <c r="W129" s="194">
        <f t="shared" si="28"/>
        <v>0</v>
      </c>
      <c r="X129" s="194">
        <f t="shared" si="29"/>
        <v>40621</v>
      </c>
    </row>
    <row r="130" spans="1:24" s="226" customFormat="1" x14ac:dyDescent="0.2">
      <c r="A130" s="210" t="str">
        <f>'School Level Inst. Resources'!A130</f>
        <v>0801000</v>
      </c>
      <c r="B130" s="210" t="str">
        <f>'School Level Inst. Resources'!B130</f>
        <v>Goshen #1</v>
      </c>
      <c r="C130" s="210" t="str">
        <f>'School Level Inst. Resources'!C130</f>
        <v>0801050</v>
      </c>
      <c r="D130" s="210" t="str">
        <f>'School Level Inst. Resources'!D130</f>
        <v>Lingle-Ft. Laramie Middle School</v>
      </c>
      <c r="E130" s="211" t="str">
        <f>'School Level Inst. Resources'!E130</f>
        <v>6-8</v>
      </c>
      <c r="F130" s="212" t="str">
        <f>'School Level Inst. Resources'!H130</f>
        <v>M</v>
      </c>
      <c r="G130" s="212" t="s">
        <v>1159</v>
      </c>
      <c r="H130" s="212" t="str">
        <f t="shared" si="15"/>
        <v>M</v>
      </c>
      <c r="I130" s="217">
        <v>0</v>
      </c>
      <c r="J130" s="293">
        <f t="shared" si="16"/>
        <v>0</v>
      </c>
      <c r="K130" s="293">
        <f t="shared" si="17"/>
        <v>0</v>
      </c>
      <c r="L130" s="293">
        <f t="shared" si="18"/>
        <v>0</v>
      </c>
      <c r="M130" s="293">
        <f t="shared" si="19"/>
        <v>0</v>
      </c>
      <c r="N130" s="293">
        <f t="shared" si="20"/>
        <v>0</v>
      </c>
      <c r="O130" s="293">
        <f t="shared" si="21"/>
        <v>0</v>
      </c>
      <c r="P130" s="293">
        <f t="shared" si="22"/>
        <v>0</v>
      </c>
      <c r="Q130" s="217">
        <v>0</v>
      </c>
      <c r="R130" s="293">
        <f t="shared" si="23"/>
        <v>0</v>
      </c>
      <c r="S130" s="293">
        <f t="shared" si="24"/>
        <v>0</v>
      </c>
      <c r="T130" s="293">
        <f t="shared" si="25"/>
        <v>0</v>
      </c>
      <c r="U130" s="293">
        <f t="shared" si="26"/>
        <v>0</v>
      </c>
      <c r="V130" s="293">
        <f t="shared" si="27"/>
        <v>0</v>
      </c>
      <c r="W130" s="293">
        <f t="shared" si="28"/>
        <v>0</v>
      </c>
      <c r="X130" s="293">
        <f t="shared" si="29"/>
        <v>0</v>
      </c>
    </row>
    <row r="131" spans="1:24" s="226" customFormat="1" x14ac:dyDescent="0.2">
      <c r="A131" s="210" t="str">
        <f>'School Level Inst. Resources'!A131</f>
        <v>0801000</v>
      </c>
      <c r="B131" s="210" t="str">
        <f>'School Level Inst. Resources'!B131</f>
        <v>Goshen #1</v>
      </c>
      <c r="C131" s="210" t="str">
        <f>'School Level Inst. Resources'!C131</f>
        <v>0801051</v>
      </c>
      <c r="D131" s="210" t="str">
        <f>'School Level Inst. Resources'!D131</f>
        <v>Southeast Junior High School</v>
      </c>
      <c r="E131" s="211" t="str">
        <f>'School Level Inst. Resources'!E131</f>
        <v>7-8</v>
      </c>
      <c r="F131" s="212" t="str">
        <f>'School Level Inst. Resources'!H131</f>
        <v>M</v>
      </c>
      <c r="G131" s="212" t="s">
        <v>1159</v>
      </c>
      <c r="H131" s="212" t="str">
        <f t="shared" si="15"/>
        <v>M</v>
      </c>
      <c r="I131" s="217">
        <v>0</v>
      </c>
      <c r="J131" s="293">
        <f t="shared" si="16"/>
        <v>0</v>
      </c>
      <c r="K131" s="293">
        <f t="shared" si="17"/>
        <v>0</v>
      </c>
      <c r="L131" s="293">
        <f t="shared" si="18"/>
        <v>0</v>
      </c>
      <c r="M131" s="293">
        <f t="shared" si="19"/>
        <v>0</v>
      </c>
      <c r="N131" s="293">
        <f t="shared" si="20"/>
        <v>0</v>
      </c>
      <c r="O131" s="293">
        <f t="shared" si="21"/>
        <v>0</v>
      </c>
      <c r="P131" s="293">
        <f t="shared" si="22"/>
        <v>0</v>
      </c>
      <c r="Q131" s="217">
        <v>0</v>
      </c>
      <c r="R131" s="293">
        <f t="shared" si="23"/>
        <v>0</v>
      </c>
      <c r="S131" s="293">
        <f t="shared" si="24"/>
        <v>0</v>
      </c>
      <c r="T131" s="293">
        <f t="shared" si="25"/>
        <v>0</v>
      </c>
      <c r="U131" s="293">
        <f t="shared" si="26"/>
        <v>0</v>
      </c>
      <c r="V131" s="293">
        <f t="shared" si="27"/>
        <v>0</v>
      </c>
      <c r="W131" s="293">
        <f t="shared" si="28"/>
        <v>0</v>
      </c>
      <c r="X131" s="293">
        <f t="shared" si="29"/>
        <v>0</v>
      </c>
    </row>
    <row r="132" spans="1:24" x14ac:dyDescent="0.2">
      <c r="A132" s="227" t="str">
        <f>'School Level Inst. Resources'!A132</f>
        <v>0801000</v>
      </c>
      <c r="B132" s="227" t="str">
        <f>'School Level Inst. Resources'!B132</f>
        <v>Goshen #1</v>
      </c>
      <c r="C132" s="227" t="str">
        <f>'School Level Inst. Resources'!C132</f>
        <v>0801052</v>
      </c>
      <c r="D132" s="227" t="str">
        <f>'School Level Inst. Resources'!D132</f>
        <v>Torrington Middle School</v>
      </c>
      <c r="E132" s="228" t="str">
        <f>'School Level Inst. Resources'!E132</f>
        <v>6-8</v>
      </c>
      <c r="F132" s="229" t="str">
        <f>'School Level Inst. Resources'!H132</f>
        <v>M</v>
      </c>
      <c r="G132" s="229" t="s">
        <v>1158</v>
      </c>
      <c r="H132" s="229" t="str">
        <f t="shared" si="15"/>
        <v>M</v>
      </c>
      <c r="I132" s="198">
        <f>'School Level ADM'!$BI132</f>
        <v>265.97399999999999</v>
      </c>
      <c r="J132" s="194">
        <f t="shared" si="16"/>
        <v>0</v>
      </c>
      <c r="K132" s="194">
        <f t="shared" si="17"/>
        <v>59503</v>
      </c>
      <c r="L132" s="194">
        <f t="shared" si="18"/>
        <v>0</v>
      </c>
      <c r="M132" s="194">
        <f t="shared" si="19"/>
        <v>0</v>
      </c>
      <c r="N132" s="194">
        <f t="shared" si="20"/>
        <v>0</v>
      </c>
      <c r="O132" s="194">
        <f t="shared" si="21"/>
        <v>0</v>
      </c>
      <c r="P132" s="194">
        <f t="shared" si="22"/>
        <v>59503</v>
      </c>
      <c r="Q132" s="198">
        <f>'School Level ADM'!$AU132</f>
        <v>250.19</v>
      </c>
      <c r="R132" s="194">
        <f t="shared" si="23"/>
        <v>0</v>
      </c>
      <c r="S132" s="194">
        <f t="shared" si="24"/>
        <v>59503</v>
      </c>
      <c r="T132" s="194">
        <f t="shared" si="25"/>
        <v>0</v>
      </c>
      <c r="U132" s="194">
        <f t="shared" si="26"/>
        <v>0</v>
      </c>
      <c r="V132" s="194">
        <f t="shared" si="27"/>
        <v>0</v>
      </c>
      <c r="W132" s="194">
        <f t="shared" si="28"/>
        <v>0</v>
      </c>
      <c r="X132" s="194">
        <f t="shared" si="29"/>
        <v>59503</v>
      </c>
    </row>
    <row r="133" spans="1:24" s="226" customFormat="1" x14ac:dyDescent="0.2">
      <c r="A133" s="210" t="str">
        <f>'School Level Inst. Resources'!A133</f>
        <v>0801000</v>
      </c>
      <c r="B133" s="210" t="str">
        <f>'School Level Inst. Resources'!B133</f>
        <v>Goshen #1</v>
      </c>
      <c r="C133" s="210" t="str">
        <f>'School Level Inst. Resources'!C133</f>
        <v>0801055</v>
      </c>
      <c r="D133" s="210" t="str">
        <f>'School Level Inst. Resources'!D133</f>
        <v>Southeast High School</v>
      </c>
      <c r="E133" s="211" t="str">
        <f>'School Level Inst. Resources'!E133</f>
        <v>9-12</v>
      </c>
      <c r="F133" s="212" t="str">
        <f>'School Level Inst. Resources'!H133</f>
        <v>H</v>
      </c>
      <c r="G133" s="212" t="s">
        <v>1158</v>
      </c>
      <c r="H133" s="212" t="s">
        <v>474</v>
      </c>
      <c r="I133" s="218">
        <f>SUM('School Level ADM'!$BI125,'School Level ADM'!$BI131,'School Level ADM'!$BI133)</f>
        <v>264.73900000000003</v>
      </c>
      <c r="J133" s="214">
        <f t="shared" si="16"/>
        <v>0</v>
      </c>
      <c r="K133" s="214">
        <f t="shared" si="17"/>
        <v>0</v>
      </c>
      <c r="L133" s="214">
        <f t="shared" si="18"/>
        <v>0</v>
      </c>
      <c r="M133" s="214">
        <f t="shared" si="19"/>
        <v>0</v>
      </c>
      <c r="N133" s="214">
        <f t="shared" si="20"/>
        <v>0</v>
      </c>
      <c r="O133" s="214">
        <f t="shared" si="21"/>
        <v>74653</v>
      </c>
      <c r="P133" s="214">
        <f t="shared" si="22"/>
        <v>74653</v>
      </c>
      <c r="Q133" s="218">
        <f>SUM('School Level ADM'!$AU125,'School Level ADM'!$AU131,'School Level ADM'!$AU133)</f>
        <v>248.22000000000003</v>
      </c>
      <c r="R133" s="214">
        <f t="shared" si="23"/>
        <v>0</v>
      </c>
      <c r="S133" s="214">
        <f t="shared" si="24"/>
        <v>0</v>
      </c>
      <c r="T133" s="214">
        <f t="shared" si="25"/>
        <v>0</v>
      </c>
      <c r="U133" s="214">
        <f t="shared" si="26"/>
        <v>0</v>
      </c>
      <c r="V133" s="214">
        <f t="shared" si="27"/>
        <v>0</v>
      </c>
      <c r="W133" s="214">
        <f t="shared" si="28"/>
        <v>74653</v>
      </c>
      <c r="X133" s="214">
        <f t="shared" si="29"/>
        <v>74653</v>
      </c>
    </row>
    <row r="134" spans="1:24" s="226" customFormat="1" x14ac:dyDescent="0.2">
      <c r="A134" s="210" t="str">
        <f>'School Level Inst. Resources'!A134</f>
        <v>0801000</v>
      </c>
      <c r="B134" s="210" t="str">
        <f>'School Level Inst. Resources'!B134</f>
        <v>Goshen #1</v>
      </c>
      <c r="C134" s="210" t="str">
        <f>'School Level Inst. Resources'!C134</f>
        <v>0801058</v>
      </c>
      <c r="D134" s="210" t="str">
        <f>'School Level Inst. Resources'!D134</f>
        <v>Lingle-Ft. Laramie High School</v>
      </c>
      <c r="E134" s="211" t="str">
        <f>'School Level Inst. Resources'!E134</f>
        <v>9-12</v>
      </c>
      <c r="F134" s="212" t="str">
        <f>'School Level Inst. Resources'!H134</f>
        <v>H</v>
      </c>
      <c r="G134" s="212" t="s">
        <v>1158</v>
      </c>
      <c r="H134" s="212" t="s">
        <v>422</v>
      </c>
      <c r="I134" s="218">
        <f>SUM('School Level ADM'!$BI130,'School Level ADM'!$BI134)</f>
        <v>137.608</v>
      </c>
      <c r="J134" s="214">
        <f t="shared" ref="J134:J197" si="30">IF(OR($G134="F",$F134&lt;&gt;"E"),0,IF($I134&lt;19,2915,IF($I134&gt;456,ROUND((132.39*$I134),0),ROUND((0.0002128*$I134^3-0.2644484*$I134^2+208.6966777*$I134+16.4242391),0))))</f>
        <v>0</v>
      </c>
      <c r="K134" s="214">
        <f t="shared" ref="K134:K197" si="31">IF(OR($G134="F",$H134&lt;&gt;"M"),0,IF($I134&lt;150,ROUND((300.63*$I134),0),IF($I134&gt;750,ROUND((148.26*$I134),0),ROUND((0.000146*$I134^3-0.1993016*$I134^2+187.7071094*$I134+20929.8632813),0))))</f>
        <v>0</v>
      </c>
      <c r="L134" s="214">
        <f t="shared" ref="L134:L197" si="32">IF(OR($G134="F",$H134&lt;&gt;"H"),0,IF($I134&lt;150,ROUND((361.73*$I134),0),IF($I134&gt;1350,ROUND((167.67*$I134),0),ROUND((0.0000446*$I134^3-0.1033081*$I134^2+207.0604979*$I134+25374.374907),0))))</f>
        <v>0</v>
      </c>
      <c r="M134" s="214">
        <f t="shared" ref="M134:M197" si="33">IF(OR($G134="F",$H134&lt;&gt;"K-8"),0,IF($I134&lt;85,ROUND((341.99*$I134),0),IF($I134&gt;342,ROUND((186.46*$I134),0),ROUND((-0.3239548*$I134^2+273.3488359*$I134+8175.0727129),0))))</f>
        <v>0</v>
      </c>
      <c r="N134" s="214">
        <f t="shared" ref="N134:N197" si="34">IF(OR($G134="F",$H134&lt;&gt;"6-12"),0,IF($I134&lt;75,ROUND((530.59*$I134),0),IF($I134&gt;350,ROUND((260.77*$I134),0),ROUND((0.0025644*$I134^3-1.7519279*$I134^2+535.8785137*$I134+8376.2839819),0))))</f>
        <v>55625</v>
      </c>
      <c r="O134" s="214">
        <f t="shared" ref="O134:O197" si="35">IF(OR($G134="F",$H134&lt;&gt;"K-12"),0,IF($I134&lt;75,ROUND((500.08*$I134),0),IF($I134&gt;350,ROUND((251.34*$I134),0),ROUND((0.0017301*$I134^3-1.3373171*$I134^2+484.7783098*$I134+7940.3304431),0))))</f>
        <v>0</v>
      </c>
      <c r="P134" s="214">
        <f t="shared" ref="P134:P197" si="36">SUM(J134:O134)</f>
        <v>55625</v>
      </c>
      <c r="Q134" s="218">
        <f>SUM('School Level ADM'!$AU130,'School Level ADM'!$AU134)</f>
        <v>131.005</v>
      </c>
      <c r="R134" s="214">
        <f t="shared" ref="R134:R197" si="37">IF(OR($G134="F",$F134&lt;&gt;"E"),0,IF($I134&lt;19,2915,IF($I134&gt;456,ROUND((132.39*$I134),0),ROUND((0.0002128*$I134^3-0.2644484*$I134^2+208.6966777*$I134+16.4242391),0))))</f>
        <v>0</v>
      </c>
      <c r="S134" s="214">
        <f t="shared" ref="S134:S197" si="38">IF(OR($G134="F",$H134&lt;&gt;"M"),0,IF($I134&lt;150,ROUND((300.63*$I134),0),IF($I134&gt;750,ROUND((148.26*$I134),0),ROUND((0.000146*$I134^3-0.1993016*$I134^2+187.7071094*$I134+20929.8632813),0))))</f>
        <v>0</v>
      </c>
      <c r="T134" s="214">
        <f t="shared" ref="T134:T197" si="39">IF(OR($G134="F",$H134&lt;&gt;"H"),0,IF($I134&lt;150,ROUND((361.73*$I134),0),IF($I134&gt;1350,ROUND((167.67*$I134),0),ROUND((0.0000446*$I134^3-0.1033081*$I134^2+207.0604979*$I134+25374.374907),0))))</f>
        <v>0</v>
      </c>
      <c r="U134" s="214">
        <f t="shared" ref="U134:U197" si="40">IF(OR($G134="F",$H134&lt;&gt;"K-8"),0,IF($I134&lt;85,ROUND((341.99*$I134),0),IF($I134&gt;342,ROUND((186.46*$I134),0),ROUND((-0.3239548*$I134^2+273.3488359*$I134+8175.0727129),0))))</f>
        <v>0</v>
      </c>
      <c r="V134" s="214">
        <f t="shared" ref="V134:V197" si="41">IF(OR($G134="F",$H134&lt;&gt;"6-12"),0,IF($I134&lt;75,ROUND((530.59*$I134),0),IF($I134&gt;350,ROUND((260.77*$I134),0),ROUND((0.0025644*$I134^3-1.7519279*$I134^2+535.8785137*$I134+8376.2839819),0))))</f>
        <v>55625</v>
      </c>
      <c r="W134" s="214">
        <f t="shared" ref="W134:W197" si="42">IF(OR($G134="F",$H134&lt;&gt;"K-12"),0,IF($I134&lt;75,ROUND((500.08*$I134),0),IF($I134&gt;350,ROUND((251.34*$I134),0),ROUND((0.0017301*$I134^3-1.3373171*$I134^2+484.7783098*$I134+7940.3304431),0))))</f>
        <v>0</v>
      </c>
      <c r="X134" s="214">
        <f t="shared" ref="X134:X197" si="43">SUM(R134:W134)</f>
        <v>55625</v>
      </c>
    </row>
    <row r="135" spans="1:24" x14ac:dyDescent="0.2">
      <c r="A135" s="227" t="str">
        <f>'School Level Inst. Resources'!A135</f>
        <v>0801000</v>
      </c>
      <c r="B135" s="227" t="str">
        <f>'School Level Inst. Resources'!B135</f>
        <v>Goshen #1</v>
      </c>
      <c r="C135" s="227" t="str">
        <f>'School Level Inst. Resources'!C135</f>
        <v>0801059</v>
      </c>
      <c r="D135" s="227" t="str">
        <f>'School Level Inst. Resources'!D135</f>
        <v>Torrington High School</v>
      </c>
      <c r="E135" s="228" t="str">
        <f>'School Level Inst. Resources'!E135</f>
        <v>9-12</v>
      </c>
      <c r="F135" s="229" t="str">
        <f>'School Level Inst. Resources'!H135</f>
        <v>H</v>
      </c>
      <c r="G135" s="229" t="s">
        <v>1158</v>
      </c>
      <c r="H135" s="229" t="str">
        <f t="shared" ref="H135:H198" si="44">IF(OR(E135="P-8",E135="K-8",E135="K-9"),"K-8",IF(OR(E135="P-12",E135="K-12"),"K-12",IF(OR(E135="6-12",E135="7-12"),"6-12",F135)))</f>
        <v>H</v>
      </c>
      <c r="I135" s="198">
        <f>'School Level ADM'!$BI135</f>
        <v>343.89099999999996</v>
      </c>
      <c r="J135" s="194">
        <f t="shared" si="30"/>
        <v>0</v>
      </c>
      <c r="K135" s="194">
        <f t="shared" si="31"/>
        <v>0</v>
      </c>
      <c r="L135" s="194">
        <f t="shared" si="32"/>
        <v>86177</v>
      </c>
      <c r="M135" s="194">
        <f t="shared" si="33"/>
        <v>0</v>
      </c>
      <c r="N135" s="194">
        <f t="shared" si="34"/>
        <v>0</v>
      </c>
      <c r="O135" s="194">
        <f t="shared" si="35"/>
        <v>0</v>
      </c>
      <c r="P135" s="194">
        <f t="shared" si="36"/>
        <v>86177</v>
      </c>
      <c r="Q135" s="198">
        <f>'School Level ADM'!$AU135</f>
        <v>356.57</v>
      </c>
      <c r="R135" s="194">
        <f t="shared" si="37"/>
        <v>0</v>
      </c>
      <c r="S135" s="194">
        <f t="shared" si="38"/>
        <v>0</v>
      </c>
      <c r="T135" s="194">
        <f t="shared" si="39"/>
        <v>86177</v>
      </c>
      <c r="U135" s="194">
        <f t="shared" si="40"/>
        <v>0</v>
      </c>
      <c r="V135" s="194">
        <f t="shared" si="41"/>
        <v>0</v>
      </c>
      <c r="W135" s="194">
        <f t="shared" si="42"/>
        <v>0</v>
      </c>
      <c r="X135" s="194">
        <f t="shared" si="43"/>
        <v>86177</v>
      </c>
    </row>
    <row r="136" spans="1:24" x14ac:dyDescent="0.2">
      <c r="A136" s="227" t="str">
        <f>'School Level Inst. Resources'!A136</f>
        <v>0901000</v>
      </c>
      <c r="B136" s="227" t="str">
        <f>'School Level Inst. Resources'!B136</f>
        <v>Hot Springs #1</v>
      </c>
      <c r="C136" s="227" t="str">
        <f>'School Level Inst. Resources'!C136</f>
        <v>0901004</v>
      </c>
      <c r="D136" s="227" t="str">
        <f>'School Level Inst. Resources'!D136</f>
        <v>Ralph Witters Elementary</v>
      </c>
      <c r="E136" s="228" t="str">
        <f>'School Level Inst. Resources'!E136</f>
        <v>P-4</v>
      </c>
      <c r="F136" s="229" t="str">
        <f>'School Level Inst. Resources'!H136</f>
        <v>E</v>
      </c>
      <c r="G136" s="229" t="s">
        <v>1158</v>
      </c>
      <c r="H136" s="229" t="str">
        <f t="shared" si="44"/>
        <v>E</v>
      </c>
      <c r="I136" s="198">
        <f>'School Level ADM'!$BI136</f>
        <v>240.06900000000002</v>
      </c>
      <c r="J136" s="194">
        <f t="shared" si="30"/>
        <v>37821</v>
      </c>
      <c r="K136" s="194">
        <f t="shared" si="31"/>
        <v>0</v>
      </c>
      <c r="L136" s="194">
        <f t="shared" si="32"/>
        <v>0</v>
      </c>
      <c r="M136" s="194">
        <f t="shared" si="33"/>
        <v>0</v>
      </c>
      <c r="N136" s="194">
        <f t="shared" si="34"/>
        <v>0</v>
      </c>
      <c r="O136" s="194">
        <f t="shared" si="35"/>
        <v>0</v>
      </c>
      <c r="P136" s="194">
        <f t="shared" si="36"/>
        <v>37821</v>
      </c>
      <c r="Q136" s="198">
        <f>'School Level ADM'!$AU136</f>
        <v>247.23500000000001</v>
      </c>
      <c r="R136" s="194">
        <f t="shared" si="37"/>
        <v>37821</v>
      </c>
      <c r="S136" s="194">
        <f t="shared" si="38"/>
        <v>0</v>
      </c>
      <c r="T136" s="194">
        <f t="shared" si="39"/>
        <v>0</v>
      </c>
      <c r="U136" s="194">
        <f t="shared" si="40"/>
        <v>0</v>
      </c>
      <c r="V136" s="194">
        <f t="shared" si="41"/>
        <v>0</v>
      </c>
      <c r="W136" s="194">
        <f t="shared" si="42"/>
        <v>0</v>
      </c>
      <c r="X136" s="194">
        <f t="shared" si="43"/>
        <v>37821</v>
      </c>
    </row>
    <row r="137" spans="1:24" x14ac:dyDescent="0.2">
      <c r="A137" s="227" t="str">
        <f>'School Level Inst. Resources'!A137</f>
        <v>0901000</v>
      </c>
      <c r="B137" s="227" t="str">
        <f>'School Level Inst. Resources'!B137</f>
        <v>Hot Springs #1</v>
      </c>
      <c r="C137" s="227" t="str">
        <f>'School Level Inst. Resources'!C137</f>
        <v>0901050</v>
      </c>
      <c r="D137" s="227" t="str">
        <f>'School Level Inst. Resources'!D137</f>
        <v>Thermopolis Middle School</v>
      </c>
      <c r="E137" s="228" t="str">
        <f>'School Level Inst. Resources'!E137</f>
        <v>5-8</v>
      </c>
      <c r="F137" s="229" t="str">
        <f>'School Level Inst. Resources'!H137</f>
        <v>M</v>
      </c>
      <c r="G137" s="229" t="s">
        <v>1158</v>
      </c>
      <c r="H137" s="229" t="str">
        <f t="shared" si="44"/>
        <v>M</v>
      </c>
      <c r="I137" s="198">
        <f>'School Level ADM'!$BI137</f>
        <v>196.94900000000001</v>
      </c>
      <c r="J137" s="194">
        <f t="shared" si="30"/>
        <v>0</v>
      </c>
      <c r="K137" s="194">
        <f t="shared" si="31"/>
        <v>51283</v>
      </c>
      <c r="L137" s="194">
        <f t="shared" si="32"/>
        <v>0</v>
      </c>
      <c r="M137" s="194">
        <f t="shared" si="33"/>
        <v>0</v>
      </c>
      <c r="N137" s="194">
        <f t="shared" si="34"/>
        <v>0</v>
      </c>
      <c r="O137" s="194">
        <f t="shared" si="35"/>
        <v>0</v>
      </c>
      <c r="P137" s="194">
        <f t="shared" si="36"/>
        <v>51283</v>
      </c>
      <c r="Q137" s="198">
        <f>'School Level ADM'!$AU137</f>
        <v>213.745</v>
      </c>
      <c r="R137" s="194">
        <f t="shared" si="37"/>
        <v>0</v>
      </c>
      <c r="S137" s="194">
        <f t="shared" si="38"/>
        <v>51283</v>
      </c>
      <c r="T137" s="194">
        <f t="shared" si="39"/>
        <v>0</v>
      </c>
      <c r="U137" s="194">
        <f t="shared" si="40"/>
        <v>0</v>
      </c>
      <c r="V137" s="194">
        <f t="shared" si="41"/>
        <v>0</v>
      </c>
      <c r="W137" s="194">
        <f t="shared" si="42"/>
        <v>0</v>
      </c>
      <c r="X137" s="194">
        <f t="shared" si="43"/>
        <v>51283</v>
      </c>
    </row>
    <row r="138" spans="1:24" x14ac:dyDescent="0.2">
      <c r="A138" s="227" t="str">
        <f>'School Level Inst. Resources'!A138</f>
        <v>0901000</v>
      </c>
      <c r="B138" s="227" t="str">
        <f>'School Level Inst. Resources'!B138</f>
        <v>Hot Springs #1</v>
      </c>
      <c r="C138" s="227" t="str">
        <f>'School Level Inst. Resources'!C138</f>
        <v>0901055</v>
      </c>
      <c r="D138" s="227" t="str">
        <f>'School Level Inst. Resources'!D138</f>
        <v>Hot Springs County High School</v>
      </c>
      <c r="E138" s="228" t="str">
        <f>'School Level Inst. Resources'!E138</f>
        <v>9-12</v>
      </c>
      <c r="F138" s="229" t="str">
        <f>'School Level Inst. Resources'!H138</f>
        <v>H</v>
      </c>
      <c r="G138" s="229" t="s">
        <v>1158</v>
      </c>
      <c r="H138" s="229" t="str">
        <f t="shared" si="44"/>
        <v>H</v>
      </c>
      <c r="I138" s="198">
        <f>'School Level ADM'!$BI138</f>
        <v>225.14299999999997</v>
      </c>
      <c r="J138" s="194">
        <f t="shared" si="30"/>
        <v>0</v>
      </c>
      <c r="K138" s="194">
        <f t="shared" si="31"/>
        <v>0</v>
      </c>
      <c r="L138" s="194">
        <f t="shared" si="32"/>
        <v>67265</v>
      </c>
      <c r="M138" s="194">
        <f t="shared" si="33"/>
        <v>0</v>
      </c>
      <c r="N138" s="194">
        <f t="shared" si="34"/>
        <v>0</v>
      </c>
      <c r="O138" s="194">
        <f t="shared" si="35"/>
        <v>0</v>
      </c>
      <c r="P138" s="194">
        <f t="shared" si="36"/>
        <v>67265</v>
      </c>
      <c r="Q138" s="198">
        <f>'School Level ADM'!$AU138</f>
        <v>201.92499999999998</v>
      </c>
      <c r="R138" s="194">
        <f t="shared" si="37"/>
        <v>0</v>
      </c>
      <c r="S138" s="194">
        <f t="shared" si="38"/>
        <v>0</v>
      </c>
      <c r="T138" s="194">
        <f t="shared" si="39"/>
        <v>67265</v>
      </c>
      <c r="U138" s="194">
        <f t="shared" si="40"/>
        <v>0</v>
      </c>
      <c r="V138" s="194">
        <f t="shared" si="41"/>
        <v>0</v>
      </c>
      <c r="W138" s="194">
        <f t="shared" si="42"/>
        <v>0</v>
      </c>
      <c r="X138" s="194">
        <f t="shared" si="43"/>
        <v>67265</v>
      </c>
    </row>
    <row r="139" spans="1:24" x14ac:dyDescent="0.2">
      <c r="A139" s="227" t="str">
        <f>'School Level Inst. Resources'!A139</f>
        <v>1001000</v>
      </c>
      <c r="B139" s="227" t="str">
        <f>'School Level Inst. Resources'!B139</f>
        <v>Johnson #1</v>
      </c>
      <c r="C139" s="227" t="str">
        <f>'School Level Inst. Resources'!C139</f>
        <v>1001002</v>
      </c>
      <c r="D139" s="227" t="str">
        <f>'School Level Inst. Resources'!D139</f>
        <v>Cloud Peak Elementary</v>
      </c>
      <c r="E139" s="228" t="str">
        <f>'School Level Inst. Resources'!E139</f>
        <v>3-5</v>
      </c>
      <c r="F139" s="229" t="str">
        <f>'School Level Inst. Resources'!H139</f>
        <v>E</v>
      </c>
      <c r="G139" s="229" t="s">
        <v>1158</v>
      </c>
      <c r="H139" s="229" t="str">
        <f t="shared" si="44"/>
        <v>E</v>
      </c>
      <c r="I139" s="198">
        <f>'School Level ADM'!$BI139</f>
        <v>282.846</v>
      </c>
      <c r="J139" s="194">
        <f t="shared" si="30"/>
        <v>42704</v>
      </c>
      <c r="K139" s="194">
        <f t="shared" si="31"/>
        <v>0</v>
      </c>
      <c r="L139" s="194">
        <f t="shared" si="32"/>
        <v>0</v>
      </c>
      <c r="M139" s="194">
        <f t="shared" si="33"/>
        <v>0</v>
      </c>
      <c r="N139" s="194">
        <f t="shared" si="34"/>
        <v>0</v>
      </c>
      <c r="O139" s="194">
        <f t="shared" si="35"/>
        <v>0</v>
      </c>
      <c r="P139" s="194">
        <f t="shared" si="36"/>
        <v>42704</v>
      </c>
      <c r="Q139" s="198">
        <f>'School Level ADM'!$AU139</f>
        <v>279.74</v>
      </c>
      <c r="R139" s="194">
        <f t="shared" si="37"/>
        <v>42704</v>
      </c>
      <c r="S139" s="194">
        <f t="shared" si="38"/>
        <v>0</v>
      </c>
      <c r="T139" s="194">
        <f t="shared" si="39"/>
        <v>0</v>
      </c>
      <c r="U139" s="194">
        <f t="shared" si="40"/>
        <v>0</v>
      </c>
      <c r="V139" s="194">
        <f t="shared" si="41"/>
        <v>0</v>
      </c>
      <c r="W139" s="194">
        <f t="shared" si="42"/>
        <v>0</v>
      </c>
      <c r="X139" s="194">
        <f t="shared" si="43"/>
        <v>42704</v>
      </c>
    </row>
    <row r="140" spans="1:24" x14ac:dyDescent="0.2">
      <c r="A140" s="227" t="str">
        <f>'School Level Inst. Resources'!A140</f>
        <v>1001000</v>
      </c>
      <c r="B140" s="227" t="str">
        <f>'School Level Inst. Resources'!B140</f>
        <v>Johnson #1</v>
      </c>
      <c r="C140" s="227" t="str">
        <f>'School Level Inst. Resources'!C140</f>
        <v>1001006</v>
      </c>
      <c r="D140" s="227" t="str">
        <f>'School Level Inst. Resources'!D140</f>
        <v>Meadowlark Elementary</v>
      </c>
      <c r="E140" s="228" t="str">
        <f>'School Level Inst. Resources'!E140</f>
        <v>K-2</v>
      </c>
      <c r="F140" s="229" t="str">
        <f>'School Level Inst. Resources'!H140</f>
        <v>E</v>
      </c>
      <c r="G140" s="229" t="s">
        <v>1158</v>
      </c>
      <c r="H140" s="229" t="str">
        <f t="shared" si="44"/>
        <v>E</v>
      </c>
      <c r="I140" s="198">
        <f>'School Level ADM'!$BI140</f>
        <v>278.55400000000003</v>
      </c>
      <c r="J140" s="194">
        <f t="shared" si="30"/>
        <v>42230</v>
      </c>
      <c r="K140" s="194">
        <f t="shared" si="31"/>
        <v>0</v>
      </c>
      <c r="L140" s="194">
        <f t="shared" si="32"/>
        <v>0</v>
      </c>
      <c r="M140" s="194">
        <f t="shared" si="33"/>
        <v>0</v>
      </c>
      <c r="N140" s="194">
        <f t="shared" si="34"/>
        <v>0</v>
      </c>
      <c r="O140" s="194">
        <f t="shared" si="35"/>
        <v>0</v>
      </c>
      <c r="P140" s="194">
        <f t="shared" si="36"/>
        <v>42230</v>
      </c>
      <c r="Q140" s="198">
        <f>'School Level ADM'!$AU140</f>
        <v>261.02499999999998</v>
      </c>
      <c r="R140" s="194">
        <f t="shared" si="37"/>
        <v>42230</v>
      </c>
      <c r="S140" s="194">
        <f t="shared" si="38"/>
        <v>0</v>
      </c>
      <c r="T140" s="194">
        <f t="shared" si="39"/>
        <v>0</v>
      </c>
      <c r="U140" s="194">
        <f t="shared" si="40"/>
        <v>0</v>
      </c>
      <c r="V140" s="194">
        <f t="shared" si="41"/>
        <v>0</v>
      </c>
      <c r="W140" s="194">
        <f t="shared" si="42"/>
        <v>0</v>
      </c>
      <c r="X140" s="194">
        <f t="shared" si="43"/>
        <v>42230</v>
      </c>
    </row>
    <row r="141" spans="1:24" x14ac:dyDescent="0.2">
      <c r="A141" s="227" t="str">
        <f>'School Level Inst. Resources'!A141</f>
        <v>1001000</v>
      </c>
      <c r="B141" s="227" t="str">
        <f>'School Level Inst. Resources'!B141</f>
        <v>Johnson #1</v>
      </c>
      <c r="C141" s="227" t="str">
        <f>'School Level Inst. Resources'!C141</f>
        <v>1001049</v>
      </c>
      <c r="D141" s="227" t="str">
        <f>'School Level Inst. Resources'!D141</f>
        <v>Kaycee School</v>
      </c>
      <c r="E141" s="228" t="str">
        <f>'School Level Inst. Resources'!E141</f>
        <v>K-12</v>
      </c>
      <c r="F141" s="245" t="str">
        <f>'School Level Inst. Resources'!H141</f>
        <v>H</v>
      </c>
      <c r="G141" s="245" t="s">
        <v>1158</v>
      </c>
      <c r="H141" s="245" t="str">
        <f t="shared" si="44"/>
        <v>K-12</v>
      </c>
      <c r="I141" s="198">
        <f>'School Level ADM'!$BI141</f>
        <v>147.149</v>
      </c>
      <c r="J141" s="194">
        <f t="shared" si="30"/>
        <v>0</v>
      </c>
      <c r="K141" s="194">
        <f t="shared" si="31"/>
        <v>0</v>
      </c>
      <c r="L141" s="194">
        <f t="shared" si="32"/>
        <v>0</v>
      </c>
      <c r="M141" s="194">
        <f t="shared" si="33"/>
        <v>0</v>
      </c>
      <c r="N141" s="194">
        <f t="shared" si="34"/>
        <v>0</v>
      </c>
      <c r="O141" s="194">
        <f t="shared" si="35"/>
        <v>55831</v>
      </c>
      <c r="P141" s="194">
        <f t="shared" si="36"/>
        <v>55831</v>
      </c>
      <c r="Q141" s="198">
        <f>'School Level ADM'!$AU141</f>
        <v>149.71999999999997</v>
      </c>
      <c r="R141" s="194">
        <f t="shared" si="37"/>
        <v>0</v>
      </c>
      <c r="S141" s="194">
        <f t="shared" si="38"/>
        <v>0</v>
      </c>
      <c r="T141" s="194">
        <f t="shared" si="39"/>
        <v>0</v>
      </c>
      <c r="U141" s="194">
        <f t="shared" si="40"/>
        <v>0</v>
      </c>
      <c r="V141" s="194">
        <f t="shared" si="41"/>
        <v>0</v>
      </c>
      <c r="W141" s="194">
        <f t="shared" si="42"/>
        <v>55831</v>
      </c>
      <c r="X141" s="194">
        <f t="shared" si="43"/>
        <v>55831</v>
      </c>
    </row>
    <row r="142" spans="1:24" x14ac:dyDescent="0.2">
      <c r="A142" s="227" t="str">
        <f>'School Level Inst. Resources'!A142</f>
        <v>1001000</v>
      </c>
      <c r="B142" s="227" t="str">
        <f>'School Level Inst. Resources'!B142</f>
        <v>Johnson #1</v>
      </c>
      <c r="C142" s="227" t="str">
        <f>'School Level Inst. Resources'!C142</f>
        <v>1001050</v>
      </c>
      <c r="D142" s="227" t="str">
        <f>'School Level Inst. Resources'!D142</f>
        <v>Clear Creek Middle School</v>
      </c>
      <c r="E142" s="228" t="str">
        <f>'School Level Inst. Resources'!E142</f>
        <v>6-8</v>
      </c>
      <c r="F142" s="229" t="str">
        <f>'School Level Inst. Resources'!H142</f>
        <v>M</v>
      </c>
      <c r="G142" s="229" t="s">
        <v>1158</v>
      </c>
      <c r="H142" s="229" t="str">
        <f t="shared" si="44"/>
        <v>M</v>
      </c>
      <c r="I142" s="198">
        <f>'School Level ADM'!$BI142</f>
        <v>251.26500000000001</v>
      </c>
      <c r="J142" s="194">
        <f t="shared" si="30"/>
        <v>0</v>
      </c>
      <c r="K142" s="194">
        <f t="shared" si="31"/>
        <v>57827</v>
      </c>
      <c r="L142" s="194">
        <f t="shared" si="32"/>
        <v>0</v>
      </c>
      <c r="M142" s="194">
        <f t="shared" si="33"/>
        <v>0</v>
      </c>
      <c r="N142" s="194">
        <f t="shared" si="34"/>
        <v>0</v>
      </c>
      <c r="O142" s="194">
        <f t="shared" si="35"/>
        <v>0</v>
      </c>
      <c r="P142" s="194">
        <f t="shared" si="36"/>
        <v>57827</v>
      </c>
      <c r="Q142" s="198">
        <f>'School Level ADM'!$AU142</f>
        <v>270.875</v>
      </c>
      <c r="R142" s="194">
        <f t="shared" si="37"/>
        <v>0</v>
      </c>
      <c r="S142" s="194">
        <f t="shared" si="38"/>
        <v>57827</v>
      </c>
      <c r="T142" s="194">
        <f t="shared" si="39"/>
        <v>0</v>
      </c>
      <c r="U142" s="194">
        <f t="shared" si="40"/>
        <v>0</v>
      </c>
      <c r="V142" s="194">
        <f t="shared" si="41"/>
        <v>0</v>
      </c>
      <c r="W142" s="194">
        <f t="shared" si="42"/>
        <v>0</v>
      </c>
      <c r="X142" s="194">
        <f t="shared" si="43"/>
        <v>57827</v>
      </c>
    </row>
    <row r="143" spans="1:24" x14ac:dyDescent="0.2">
      <c r="A143" s="227" t="str">
        <f>'School Level Inst. Resources'!A143</f>
        <v>1001000</v>
      </c>
      <c r="B143" s="227" t="str">
        <f>'School Level Inst. Resources'!B143</f>
        <v>Johnson #1</v>
      </c>
      <c r="C143" s="227" t="str">
        <f>'School Level Inst. Resources'!C143</f>
        <v>1001055</v>
      </c>
      <c r="D143" s="227" t="str">
        <f>'School Level Inst. Resources'!D143</f>
        <v>Buffalo High School</v>
      </c>
      <c r="E143" s="228" t="str">
        <f>'School Level Inst. Resources'!E143</f>
        <v>9-12</v>
      </c>
      <c r="F143" s="229" t="str">
        <f>'School Level Inst. Resources'!H143</f>
        <v>H</v>
      </c>
      <c r="G143" s="229" t="s">
        <v>1158</v>
      </c>
      <c r="H143" s="229" t="str">
        <f t="shared" si="44"/>
        <v>H</v>
      </c>
      <c r="I143" s="198">
        <f>'School Level ADM'!$BI143</f>
        <v>301.04200000000003</v>
      </c>
      <c r="J143" s="194">
        <f t="shared" si="30"/>
        <v>0</v>
      </c>
      <c r="K143" s="194">
        <f t="shared" si="31"/>
        <v>0</v>
      </c>
      <c r="L143" s="194">
        <f t="shared" si="32"/>
        <v>79563</v>
      </c>
      <c r="M143" s="194">
        <f t="shared" si="33"/>
        <v>0</v>
      </c>
      <c r="N143" s="194">
        <f t="shared" si="34"/>
        <v>0</v>
      </c>
      <c r="O143" s="194">
        <f t="shared" si="35"/>
        <v>0</v>
      </c>
      <c r="P143" s="194">
        <f t="shared" si="36"/>
        <v>79563</v>
      </c>
      <c r="Q143" s="198">
        <f>'School Level ADM'!$AU143</f>
        <v>308.30500000000001</v>
      </c>
      <c r="R143" s="194">
        <f t="shared" si="37"/>
        <v>0</v>
      </c>
      <c r="S143" s="194">
        <f t="shared" si="38"/>
        <v>0</v>
      </c>
      <c r="T143" s="194">
        <f t="shared" si="39"/>
        <v>79563</v>
      </c>
      <c r="U143" s="194">
        <f t="shared" si="40"/>
        <v>0</v>
      </c>
      <c r="V143" s="194">
        <f t="shared" si="41"/>
        <v>0</v>
      </c>
      <c r="W143" s="194">
        <f t="shared" si="42"/>
        <v>0</v>
      </c>
      <c r="X143" s="194">
        <f t="shared" si="43"/>
        <v>79563</v>
      </c>
    </row>
    <row r="144" spans="1:24" x14ac:dyDescent="0.2">
      <c r="A144" s="227" t="str">
        <f>'School Level Inst. Resources'!A144</f>
        <v>1101000</v>
      </c>
      <c r="B144" s="227" t="str">
        <f>'School Level Inst. Resources'!B144</f>
        <v>Laramie #1</v>
      </c>
      <c r="C144" s="227" t="str">
        <f>'School Level Inst. Resources'!C144</f>
        <v>1101001</v>
      </c>
      <c r="D144" s="227" t="str">
        <f>'School Level Inst. Resources'!D144</f>
        <v>Alta Vista Elementary</v>
      </c>
      <c r="E144" s="228" t="str">
        <f>'School Level Inst. Resources'!E144</f>
        <v>P-6</v>
      </c>
      <c r="F144" s="229" t="str">
        <f>'School Level Inst. Resources'!H144</f>
        <v>E</v>
      </c>
      <c r="G144" s="229" t="s">
        <v>1158</v>
      </c>
      <c r="H144" s="229" t="str">
        <f t="shared" si="44"/>
        <v>E</v>
      </c>
      <c r="I144" s="198">
        <f>'School Level ADM'!$BI144</f>
        <v>271.64800000000002</v>
      </c>
      <c r="J144" s="194">
        <f t="shared" si="30"/>
        <v>41460</v>
      </c>
      <c r="K144" s="194">
        <f t="shared" si="31"/>
        <v>0</v>
      </c>
      <c r="L144" s="194">
        <f t="shared" si="32"/>
        <v>0</v>
      </c>
      <c r="M144" s="194">
        <f t="shared" si="33"/>
        <v>0</v>
      </c>
      <c r="N144" s="194">
        <f t="shared" si="34"/>
        <v>0</v>
      </c>
      <c r="O144" s="194">
        <f t="shared" si="35"/>
        <v>0</v>
      </c>
      <c r="P144" s="194">
        <f t="shared" si="36"/>
        <v>41460</v>
      </c>
      <c r="Q144" s="198">
        <f>'School Level ADM'!$AU144</f>
        <v>268.90500000000003</v>
      </c>
      <c r="R144" s="194">
        <f t="shared" si="37"/>
        <v>41460</v>
      </c>
      <c r="S144" s="194">
        <f t="shared" si="38"/>
        <v>0</v>
      </c>
      <c r="T144" s="194">
        <f t="shared" si="39"/>
        <v>0</v>
      </c>
      <c r="U144" s="194">
        <f t="shared" si="40"/>
        <v>0</v>
      </c>
      <c r="V144" s="194">
        <f t="shared" si="41"/>
        <v>0</v>
      </c>
      <c r="W144" s="194">
        <f t="shared" si="42"/>
        <v>0</v>
      </c>
      <c r="X144" s="194">
        <f t="shared" si="43"/>
        <v>41460</v>
      </c>
    </row>
    <row r="145" spans="1:24" x14ac:dyDescent="0.2">
      <c r="A145" s="227" t="str">
        <f>'School Level Inst. Resources'!A145</f>
        <v>1101000</v>
      </c>
      <c r="B145" s="227" t="str">
        <f>'School Level Inst. Resources'!B145</f>
        <v>Laramie #1</v>
      </c>
      <c r="C145" s="227" t="str">
        <f>'School Level Inst. Resources'!C145</f>
        <v>1101002</v>
      </c>
      <c r="D145" s="227" t="str">
        <f>'School Level Inst. Resources'!D145</f>
        <v>Arp Elementary</v>
      </c>
      <c r="E145" s="228" t="str">
        <f>'School Level Inst. Resources'!E145</f>
        <v>P-6</v>
      </c>
      <c r="F145" s="229" t="str">
        <f>'School Level Inst. Resources'!H145</f>
        <v>E</v>
      </c>
      <c r="G145" s="229" t="s">
        <v>1158</v>
      </c>
      <c r="H145" s="229" t="str">
        <f t="shared" si="44"/>
        <v>E</v>
      </c>
      <c r="I145" s="198">
        <f>'School Level ADM'!$BI145</f>
        <v>359.03399999999999</v>
      </c>
      <c r="J145" s="194">
        <f t="shared" si="30"/>
        <v>50705</v>
      </c>
      <c r="K145" s="194">
        <f t="shared" si="31"/>
        <v>0</v>
      </c>
      <c r="L145" s="194">
        <f t="shared" si="32"/>
        <v>0</v>
      </c>
      <c r="M145" s="194">
        <f t="shared" si="33"/>
        <v>0</v>
      </c>
      <c r="N145" s="194">
        <f t="shared" si="34"/>
        <v>0</v>
      </c>
      <c r="O145" s="194">
        <f t="shared" si="35"/>
        <v>0</v>
      </c>
      <c r="P145" s="194">
        <f t="shared" si="36"/>
        <v>50705</v>
      </c>
      <c r="Q145" s="198">
        <f>'School Level ADM'!$AU145</f>
        <v>339.82500000000005</v>
      </c>
      <c r="R145" s="194">
        <f t="shared" si="37"/>
        <v>50705</v>
      </c>
      <c r="S145" s="194">
        <f t="shared" si="38"/>
        <v>0</v>
      </c>
      <c r="T145" s="194">
        <f t="shared" si="39"/>
        <v>0</v>
      </c>
      <c r="U145" s="194">
        <f t="shared" si="40"/>
        <v>0</v>
      </c>
      <c r="V145" s="194">
        <f t="shared" si="41"/>
        <v>0</v>
      </c>
      <c r="W145" s="194">
        <f t="shared" si="42"/>
        <v>0</v>
      </c>
      <c r="X145" s="194">
        <f t="shared" si="43"/>
        <v>50705</v>
      </c>
    </row>
    <row r="146" spans="1:24" x14ac:dyDescent="0.2">
      <c r="A146" s="227" t="str">
        <f>'School Level Inst. Resources'!A146</f>
        <v>1101000</v>
      </c>
      <c r="B146" s="227" t="str">
        <f>'School Level Inst. Resources'!B146</f>
        <v>Laramie #1</v>
      </c>
      <c r="C146" s="227" t="str">
        <f>'School Level Inst. Resources'!C146</f>
        <v>1101003</v>
      </c>
      <c r="D146" s="227" t="str">
        <f>'School Level Inst. Resources'!D146</f>
        <v>Baggs Elementary</v>
      </c>
      <c r="E146" s="228" t="str">
        <f>'School Level Inst. Resources'!E146</f>
        <v>K-6</v>
      </c>
      <c r="F146" s="229" t="str">
        <f>'School Level Inst. Resources'!H146</f>
        <v>E</v>
      </c>
      <c r="G146" s="229" t="s">
        <v>1158</v>
      </c>
      <c r="H146" s="229" t="str">
        <f t="shared" si="44"/>
        <v>E</v>
      </c>
      <c r="I146" s="198">
        <f>'School Level ADM'!$BI146</f>
        <v>335.20400000000001</v>
      </c>
      <c r="J146" s="194">
        <f t="shared" si="30"/>
        <v>48273</v>
      </c>
      <c r="K146" s="194">
        <f t="shared" si="31"/>
        <v>0</v>
      </c>
      <c r="L146" s="194">
        <f t="shared" si="32"/>
        <v>0</v>
      </c>
      <c r="M146" s="194">
        <f t="shared" si="33"/>
        <v>0</v>
      </c>
      <c r="N146" s="194">
        <f t="shared" si="34"/>
        <v>0</v>
      </c>
      <c r="O146" s="194">
        <f t="shared" si="35"/>
        <v>0</v>
      </c>
      <c r="P146" s="194">
        <f t="shared" si="36"/>
        <v>48273</v>
      </c>
      <c r="Q146" s="198">
        <f>'School Level ADM'!$AU146</f>
        <v>306.33499999999998</v>
      </c>
      <c r="R146" s="194">
        <f t="shared" si="37"/>
        <v>48273</v>
      </c>
      <c r="S146" s="194">
        <f t="shared" si="38"/>
        <v>0</v>
      </c>
      <c r="T146" s="194">
        <f t="shared" si="39"/>
        <v>0</v>
      </c>
      <c r="U146" s="194">
        <f t="shared" si="40"/>
        <v>0</v>
      </c>
      <c r="V146" s="194">
        <f t="shared" si="41"/>
        <v>0</v>
      </c>
      <c r="W146" s="194">
        <f t="shared" si="42"/>
        <v>0</v>
      </c>
      <c r="X146" s="194">
        <f t="shared" si="43"/>
        <v>48273</v>
      </c>
    </row>
    <row r="147" spans="1:24" x14ac:dyDescent="0.2">
      <c r="A147" s="227" t="str">
        <f>'School Level Inst. Resources'!A147</f>
        <v>1101000</v>
      </c>
      <c r="B147" s="227" t="str">
        <f>'School Level Inst. Resources'!B147</f>
        <v>Laramie #1</v>
      </c>
      <c r="C147" s="227" t="str">
        <f>'School Level Inst. Resources'!C147</f>
        <v>1101004</v>
      </c>
      <c r="D147" s="227" t="str">
        <f>'School Level Inst. Resources'!D147</f>
        <v>Bain Elementary</v>
      </c>
      <c r="E147" s="228" t="str">
        <f>'School Level Inst. Resources'!E147</f>
        <v>K-6</v>
      </c>
      <c r="F147" s="229" t="str">
        <f>'School Level Inst. Resources'!H147</f>
        <v>E</v>
      </c>
      <c r="G147" s="229" t="s">
        <v>1158</v>
      </c>
      <c r="H147" s="229" t="str">
        <f t="shared" si="44"/>
        <v>E</v>
      </c>
      <c r="I147" s="198">
        <f>'School Level ADM'!$BI147</f>
        <v>314.666</v>
      </c>
      <c r="J147" s="194">
        <f t="shared" si="30"/>
        <v>46132</v>
      </c>
      <c r="K147" s="194">
        <f t="shared" si="31"/>
        <v>0</v>
      </c>
      <c r="L147" s="194">
        <f t="shared" si="32"/>
        <v>0</v>
      </c>
      <c r="M147" s="194">
        <f t="shared" si="33"/>
        <v>0</v>
      </c>
      <c r="N147" s="194">
        <f t="shared" si="34"/>
        <v>0</v>
      </c>
      <c r="O147" s="194">
        <f t="shared" si="35"/>
        <v>0</v>
      </c>
      <c r="P147" s="194">
        <f t="shared" si="36"/>
        <v>46132</v>
      </c>
      <c r="Q147" s="198">
        <f>'School Level ADM'!$AU147</f>
        <v>302.39499999999998</v>
      </c>
      <c r="R147" s="194">
        <f t="shared" si="37"/>
        <v>46132</v>
      </c>
      <c r="S147" s="194">
        <f t="shared" si="38"/>
        <v>0</v>
      </c>
      <c r="T147" s="194">
        <f t="shared" si="39"/>
        <v>0</v>
      </c>
      <c r="U147" s="194">
        <f t="shared" si="40"/>
        <v>0</v>
      </c>
      <c r="V147" s="194">
        <f t="shared" si="41"/>
        <v>0</v>
      </c>
      <c r="W147" s="194">
        <f t="shared" si="42"/>
        <v>0</v>
      </c>
      <c r="X147" s="194">
        <f t="shared" si="43"/>
        <v>46132</v>
      </c>
    </row>
    <row r="148" spans="1:24" x14ac:dyDescent="0.2">
      <c r="A148" s="227" t="str">
        <f>'School Level Inst. Resources'!A148</f>
        <v>1101000</v>
      </c>
      <c r="B148" s="227" t="str">
        <f>'School Level Inst. Resources'!B148</f>
        <v>Laramie #1</v>
      </c>
      <c r="C148" s="227" t="str">
        <f>'School Level Inst. Resources'!C148</f>
        <v>1101005</v>
      </c>
      <c r="D148" s="227" t="str">
        <f>'School Level Inst. Resources'!D148</f>
        <v>Buffalo Ridge Elementary</v>
      </c>
      <c r="E148" s="228" t="str">
        <f>'School Level Inst. Resources'!E148</f>
        <v>K-4</v>
      </c>
      <c r="F148" s="229" t="str">
        <f>'School Level Inst. Resources'!H148</f>
        <v>E</v>
      </c>
      <c r="G148" s="229" t="s">
        <v>1158</v>
      </c>
      <c r="H148" s="229" t="str">
        <f t="shared" si="44"/>
        <v>E</v>
      </c>
      <c r="I148" s="198">
        <f>'School Level ADM'!$BI148</f>
        <v>186.465</v>
      </c>
      <c r="J148" s="194">
        <f t="shared" si="30"/>
        <v>31116</v>
      </c>
      <c r="K148" s="194">
        <f t="shared" si="31"/>
        <v>0</v>
      </c>
      <c r="L148" s="194">
        <f t="shared" si="32"/>
        <v>0</v>
      </c>
      <c r="M148" s="194">
        <f t="shared" si="33"/>
        <v>0</v>
      </c>
      <c r="N148" s="194">
        <f t="shared" si="34"/>
        <v>0</v>
      </c>
      <c r="O148" s="194">
        <f t="shared" si="35"/>
        <v>0</v>
      </c>
      <c r="P148" s="194">
        <f t="shared" si="36"/>
        <v>31116</v>
      </c>
      <c r="Q148" s="198">
        <f>'School Level ADM'!$AU148</f>
        <v>178.28500000000003</v>
      </c>
      <c r="R148" s="194">
        <f t="shared" si="37"/>
        <v>31116</v>
      </c>
      <c r="S148" s="194">
        <f t="shared" si="38"/>
        <v>0</v>
      </c>
      <c r="T148" s="194">
        <f t="shared" si="39"/>
        <v>0</v>
      </c>
      <c r="U148" s="194">
        <f t="shared" si="40"/>
        <v>0</v>
      </c>
      <c r="V148" s="194">
        <f t="shared" si="41"/>
        <v>0</v>
      </c>
      <c r="W148" s="194">
        <f t="shared" si="42"/>
        <v>0</v>
      </c>
      <c r="X148" s="194">
        <f t="shared" si="43"/>
        <v>31116</v>
      </c>
    </row>
    <row r="149" spans="1:24" x14ac:dyDescent="0.2">
      <c r="A149" s="227" t="str">
        <f>'School Level Inst. Resources'!A149</f>
        <v>1101000</v>
      </c>
      <c r="B149" s="227" t="str">
        <f>'School Level Inst. Resources'!B149</f>
        <v>Laramie #1</v>
      </c>
      <c r="C149" s="227" t="str">
        <f>'School Level Inst. Resources'!C149</f>
        <v>1101007</v>
      </c>
      <c r="D149" s="227" t="str">
        <f>'School Level Inst. Resources'!D149</f>
        <v>Cole Elementary</v>
      </c>
      <c r="E149" s="228" t="str">
        <f>'School Level Inst. Resources'!E149</f>
        <v>P-6</v>
      </c>
      <c r="F149" s="229" t="str">
        <f>'School Level Inst. Resources'!H149</f>
        <v>E</v>
      </c>
      <c r="G149" s="229" t="s">
        <v>1158</v>
      </c>
      <c r="H149" s="229" t="str">
        <f t="shared" si="44"/>
        <v>E</v>
      </c>
      <c r="I149" s="198">
        <f>'School Level ADM'!$BI149</f>
        <v>215.494</v>
      </c>
      <c r="J149" s="194">
        <f t="shared" si="30"/>
        <v>34838</v>
      </c>
      <c r="K149" s="194">
        <f t="shared" si="31"/>
        <v>0</v>
      </c>
      <c r="L149" s="194">
        <f t="shared" si="32"/>
        <v>0</v>
      </c>
      <c r="M149" s="194">
        <f t="shared" si="33"/>
        <v>0</v>
      </c>
      <c r="N149" s="194">
        <f t="shared" si="34"/>
        <v>0</v>
      </c>
      <c r="O149" s="194">
        <f t="shared" si="35"/>
        <v>0</v>
      </c>
      <c r="P149" s="194">
        <f t="shared" si="36"/>
        <v>34838</v>
      </c>
      <c r="Q149" s="198">
        <f>'School Level ADM'!$AU149</f>
        <v>200.94</v>
      </c>
      <c r="R149" s="194">
        <f t="shared" si="37"/>
        <v>34838</v>
      </c>
      <c r="S149" s="194">
        <f t="shared" si="38"/>
        <v>0</v>
      </c>
      <c r="T149" s="194">
        <f t="shared" si="39"/>
        <v>0</v>
      </c>
      <c r="U149" s="194">
        <f t="shared" si="40"/>
        <v>0</v>
      </c>
      <c r="V149" s="194">
        <f t="shared" si="41"/>
        <v>0</v>
      </c>
      <c r="W149" s="194">
        <f t="shared" si="42"/>
        <v>0</v>
      </c>
      <c r="X149" s="194">
        <f t="shared" si="43"/>
        <v>34838</v>
      </c>
    </row>
    <row r="150" spans="1:24" x14ac:dyDescent="0.2">
      <c r="A150" s="227" t="str">
        <f>'School Level Inst. Resources'!A150</f>
        <v>1101000</v>
      </c>
      <c r="B150" s="227" t="str">
        <f>'School Level Inst. Resources'!B150</f>
        <v>Laramie #1</v>
      </c>
      <c r="C150" s="227" t="str">
        <f>'School Level Inst. Resources'!C150</f>
        <v>1101009</v>
      </c>
      <c r="D150" s="227" t="str">
        <f>'School Level Inst. Resources'!D150</f>
        <v>Davis Elementary</v>
      </c>
      <c r="E150" s="228" t="str">
        <f>'School Level Inst. Resources'!E150</f>
        <v>K-6</v>
      </c>
      <c r="F150" s="229" t="str">
        <f>'School Level Inst. Resources'!H150</f>
        <v>E</v>
      </c>
      <c r="G150" s="229" t="s">
        <v>1158</v>
      </c>
      <c r="H150" s="229" t="str">
        <f t="shared" si="44"/>
        <v>E</v>
      </c>
      <c r="I150" s="198">
        <f>'School Level ADM'!$BI150</f>
        <v>301.07900000000001</v>
      </c>
      <c r="J150" s="194">
        <f t="shared" si="30"/>
        <v>44687</v>
      </c>
      <c r="K150" s="194">
        <f t="shared" si="31"/>
        <v>0</v>
      </c>
      <c r="L150" s="194">
        <f t="shared" si="32"/>
        <v>0</v>
      </c>
      <c r="M150" s="194">
        <f t="shared" si="33"/>
        <v>0</v>
      </c>
      <c r="N150" s="194">
        <f t="shared" si="34"/>
        <v>0</v>
      </c>
      <c r="O150" s="194">
        <f t="shared" si="35"/>
        <v>0</v>
      </c>
      <c r="P150" s="194">
        <f t="shared" si="36"/>
        <v>44687</v>
      </c>
      <c r="Q150" s="198">
        <f>'School Level ADM'!$AU150</f>
        <v>353.61500000000001</v>
      </c>
      <c r="R150" s="194">
        <f t="shared" si="37"/>
        <v>44687</v>
      </c>
      <c r="S150" s="194">
        <f t="shared" si="38"/>
        <v>0</v>
      </c>
      <c r="T150" s="194">
        <f t="shared" si="39"/>
        <v>0</v>
      </c>
      <c r="U150" s="194">
        <f t="shared" si="40"/>
        <v>0</v>
      </c>
      <c r="V150" s="194">
        <f t="shared" si="41"/>
        <v>0</v>
      </c>
      <c r="W150" s="194">
        <f t="shared" si="42"/>
        <v>0</v>
      </c>
      <c r="X150" s="194">
        <f t="shared" si="43"/>
        <v>44687</v>
      </c>
    </row>
    <row r="151" spans="1:24" x14ac:dyDescent="0.2">
      <c r="A151" s="227" t="str">
        <f>'School Level Inst. Resources'!A151</f>
        <v>1101000</v>
      </c>
      <c r="B151" s="227" t="str">
        <f>'School Level Inst. Resources'!B151</f>
        <v>Laramie #1</v>
      </c>
      <c r="C151" s="227" t="str">
        <f>'School Level Inst. Resources'!C151</f>
        <v>1101010</v>
      </c>
      <c r="D151" s="227" t="str">
        <f>'School Level Inst. Resources'!D151</f>
        <v>Deming Elementary</v>
      </c>
      <c r="E151" s="228" t="str">
        <f>'School Level Inst. Resources'!E151</f>
        <v>K-3</v>
      </c>
      <c r="F151" s="229" t="str">
        <f>'School Level Inst. Resources'!H151</f>
        <v>E</v>
      </c>
      <c r="G151" s="229" t="s">
        <v>1158</v>
      </c>
      <c r="H151" s="229" t="str">
        <f t="shared" si="44"/>
        <v>E</v>
      </c>
      <c r="I151" s="198">
        <f>'School Level ADM'!$BI151</f>
        <v>115.494</v>
      </c>
      <c r="J151" s="194">
        <f t="shared" si="30"/>
        <v>20920</v>
      </c>
      <c r="K151" s="194">
        <f t="shared" si="31"/>
        <v>0</v>
      </c>
      <c r="L151" s="194">
        <f t="shared" si="32"/>
        <v>0</v>
      </c>
      <c r="M151" s="194">
        <f t="shared" si="33"/>
        <v>0</v>
      </c>
      <c r="N151" s="194">
        <f t="shared" si="34"/>
        <v>0</v>
      </c>
      <c r="O151" s="194">
        <f t="shared" si="35"/>
        <v>0</v>
      </c>
      <c r="P151" s="194">
        <f t="shared" si="36"/>
        <v>20920</v>
      </c>
      <c r="Q151" s="198">
        <f>'School Level ADM'!$AU151</f>
        <v>105.39500000000001</v>
      </c>
      <c r="R151" s="194">
        <f t="shared" si="37"/>
        <v>20920</v>
      </c>
      <c r="S151" s="194">
        <f t="shared" si="38"/>
        <v>0</v>
      </c>
      <c r="T151" s="194">
        <f t="shared" si="39"/>
        <v>0</v>
      </c>
      <c r="U151" s="194">
        <f t="shared" si="40"/>
        <v>0</v>
      </c>
      <c r="V151" s="194">
        <f t="shared" si="41"/>
        <v>0</v>
      </c>
      <c r="W151" s="194">
        <f t="shared" si="42"/>
        <v>0</v>
      </c>
      <c r="X151" s="194">
        <f t="shared" si="43"/>
        <v>20920</v>
      </c>
    </row>
    <row r="152" spans="1:24" x14ac:dyDescent="0.2">
      <c r="A152" s="227" t="str">
        <f>'School Level Inst. Resources'!A152</f>
        <v>1101000</v>
      </c>
      <c r="B152" s="227" t="str">
        <f>'School Level Inst. Resources'!B152</f>
        <v>Laramie #1</v>
      </c>
      <c r="C152" s="227" t="str">
        <f>'School Level Inst. Resources'!C152</f>
        <v>1101011</v>
      </c>
      <c r="D152" s="227" t="str">
        <f>'School Level Inst. Resources'!D152</f>
        <v>Dildine Elementary</v>
      </c>
      <c r="E152" s="228" t="str">
        <f>'School Level Inst. Resources'!E152</f>
        <v>K-4</v>
      </c>
      <c r="F152" s="229" t="str">
        <f>'School Level Inst. Resources'!H152</f>
        <v>E</v>
      </c>
      <c r="G152" s="229" t="s">
        <v>1158</v>
      </c>
      <c r="H152" s="229" t="str">
        <f t="shared" si="44"/>
        <v>E</v>
      </c>
      <c r="I152" s="198">
        <f>'School Level ADM'!$BI152</f>
        <v>350.904</v>
      </c>
      <c r="J152" s="194">
        <f t="shared" si="30"/>
        <v>49881</v>
      </c>
      <c r="K152" s="194">
        <f t="shared" si="31"/>
        <v>0</v>
      </c>
      <c r="L152" s="194">
        <f t="shared" si="32"/>
        <v>0</v>
      </c>
      <c r="M152" s="194">
        <f t="shared" si="33"/>
        <v>0</v>
      </c>
      <c r="N152" s="194">
        <f t="shared" si="34"/>
        <v>0</v>
      </c>
      <c r="O152" s="194">
        <f t="shared" si="35"/>
        <v>0</v>
      </c>
      <c r="P152" s="194">
        <f t="shared" si="36"/>
        <v>49881</v>
      </c>
      <c r="Q152" s="198">
        <f>'School Level ADM'!$AU152</f>
        <v>318.15500000000003</v>
      </c>
      <c r="R152" s="194">
        <f t="shared" si="37"/>
        <v>49881</v>
      </c>
      <c r="S152" s="194">
        <f t="shared" si="38"/>
        <v>0</v>
      </c>
      <c r="T152" s="194">
        <f t="shared" si="39"/>
        <v>0</v>
      </c>
      <c r="U152" s="194">
        <f t="shared" si="40"/>
        <v>0</v>
      </c>
      <c r="V152" s="194">
        <f t="shared" si="41"/>
        <v>0</v>
      </c>
      <c r="W152" s="194">
        <f t="shared" si="42"/>
        <v>0</v>
      </c>
      <c r="X152" s="194">
        <f t="shared" si="43"/>
        <v>49881</v>
      </c>
    </row>
    <row r="153" spans="1:24" x14ac:dyDescent="0.2">
      <c r="A153" s="227" t="str">
        <f>'School Level Inst. Resources'!A153</f>
        <v>1101000</v>
      </c>
      <c r="B153" s="227" t="str">
        <f>'School Level Inst. Resources'!B153</f>
        <v>Laramie #1</v>
      </c>
      <c r="C153" s="227" t="str">
        <f>'School Level Inst. Resources'!C153</f>
        <v>1101013</v>
      </c>
      <c r="D153" s="227" t="str">
        <f>'School Level Inst. Resources'!D153</f>
        <v>Fairview Elementary</v>
      </c>
      <c r="E153" s="228" t="str">
        <f>'School Level Inst. Resources'!E153</f>
        <v>3-6</v>
      </c>
      <c r="F153" s="229" t="str">
        <f>'School Level Inst. Resources'!H153</f>
        <v>E</v>
      </c>
      <c r="G153" s="229" t="s">
        <v>1158</v>
      </c>
      <c r="H153" s="229" t="str">
        <f t="shared" si="44"/>
        <v>E</v>
      </c>
      <c r="I153" s="198">
        <f>'School Level ADM'!$BI153</f>
        <v>141.19299999999998</v>
      </c>
      <c r="J153" s="194">
        <f t="shared" si="30"/>
        <v>24810</v>
      </c>
      <c r="K153" s="194">
        <f t="shared" si="31"/>
        <v>0</v>
      </c>
      <c r="L153" s="194">
        <f t="shared" si="32"/>
        <v>0</v>
      </c>
      <c r="M153" s="194">
        <f t="shared" si="33"/>
        <v>0</v>
      </c>
      <c r="N153" s="194">
        <f t="shared" si="34"/>
        <v>0</v>
      </c>
      <c r="O153" s="194">
        <f t="shared" si="35"/>
        <v>0</v>
      </c>
      <c r="P153" s="194">
        <f t="shared" si="36"/>
        <v>24810</v>
      </c>
      <c r="Q153" s="198">
        <f>'School Level ADM'!$AU153</f>
        <v>129.035</v>
      </c>
      <c r="R153" s="194">
        <f t="shared" si="37"/>
        <v>24810</v>
      </c>
      <c r="S153" s="194">
        <f t="shared" si="38"/>
        <v>0</v>
      </c>
      <c r="T153" s="194">
        <f t="shared" si="39"/>
        <v>0</v>
      </c>
      <c r="U153" s="194">
        <f t="shared" si="40"/>
        <v>0</v>
      </c>
      <c r="V153" s="194">
        <f t="shared" si="41"/>
        <v>0</v>
      </c>
      <c r="W153" s="194">
        <f t="shared" si="42"/>
        <v>0</v>
      </c>
      <c r="X153" s="194">
        <f t="shared" si="43"/>
        <v>24810</v>
      </c>
    </row>
    <row r="154" spans="1:24" x14ac:dyDescent="0.2">
      <c r="A154" s="227" t="str">
        <f>'School Level Inst. Resources'!A154</f>
        <v>1101000</v>
      </c>
      <c r="B154" s="227" t="str">
        <f>'School Level Inst. Resources'!B154</f>
        <v>Laramie #1</v>
      </c>
      <c r="C154" s="227" t="str">
        <f>'School Level Inst. Resources'!C154</f>
        <v>1101014</v>
      </c>
      <c r="D154" s="227" t="str">
        <f>'School Level Inst. Resources'!D154</f>
        <v>Gilchrist Elementary</v>
      </c>
      <c r="E154" s="228" t="str">
        <f>'School Level Inst. Resources'!E154</f>
        <v>K-6</v>
      </c>
      <c r="F154" s="229" t="str">
        <f>'School Level Inst. Resources'!H154</f>
        <v>E</v>
      </c>
      <c r="G154" s="229" t="s">
        <v>1158</v>
      </c>
      <c r="H154" s="229" t="str">
        <f t="shared" si="44"/>
        <v>E</v>
      </c>
      <c r="I154" s="198">
        <f>'School Level ADM'!$BI154</f>
        <v>103.96899999999999</v>
      </c>
      <c r="J154" s="194">
        <f t="shared" si="30"/>
        <v>19095</v>
      </c>
      <c r="K154" s="194">
        <f t="shared" si="31"/>
        <v>0</v>
      </c>
      <c r="L154" s="194">
        <f t="shared" si="32"/>
        <v>0</v>
      </c>
      <c r="M154" s="194">
        <f t="shared" si="33"/>
        <v>0</v>
      </c>
      <c r="N154" s="194">
        <f t="shared" si="34"/>
        <v>0</v>
      </c>
      <c r="O154" s="194">
        <f t="shared" si="35"/>
        <v>0</v>
      </c>
      <c r="P154" s="194">
        <f t="shared" si="36"/>
        <v>19095</v>
      </c>
      <c r="Q154" s="198">
        <f>'School Level ADM'!$AU154</f>
        <v>96.53</v>
      </c>
      <c r="R154" s="194">
        <f t="shared" si="37"/>
        <v>19095</v>
      </c>
      <c r="S154" s="194">
        <f t="shared" si="38"/>
        <v>0</v>
      </c>
      <c r="T154" s="194">
        <f t="shared" si="39"/>
        <v>0</v>
      </c>
      <c r="U154" s="194">
        <f t="shared" si="40"/>
        <v>0</v>
      </c>
      <c r="V154" s="194">
        <f t="shared" si="41"/>
        <v>0</v>
      </c>
      <c r="W154" s="194">
        <f t="shared" si="42"/>
        <v>0</v>
      </c>
      <c r="X154" s="194">
        <f t="shared" si="43"/>
        <v>19095</v>
      </c>
    </row>
    <row r="155" spans="1:24" x14ac:dyDescent="0.2">
      <c r="A155" s="227" t="str">
        <f>'School Level Inst. Resources'!A155</f>
        <v>1101000</v>
      </c>
      <c r="B155" s="227" t="str">
        <f>'School Level Inst. Resources'!B155</f>
        <v>Laramie #1</v>
      </c>
      <c r="C155" s="227" t="str">
        <f>'School Level Inst. Resources'!C155</f>
        <v>1101015</v>
      </c>
      <c r="D155" s="227" t="str">
        <f>'School Level Inst. Resources'!D155</f>
        <v>Goins Elementary</v>
      </c>
      <c r="E155" s="228" t="str">
        <f>'School Level Inst. Resources'!E155</f>
        <v>P-6</v>
      </c>
      <c r="F155" s="229" t="str">
        <f>'School Level Inst. Resources'!H155</f>
        <v>E</v>
      </c>
      <c r="G155" s="229" t="s">
        <v>1158</v>
      </c>
      <c r="H155" s="229" t="str">
        <f t="shared" si="44"/>
        <v>E</v>
      </c>
      <c r="I155" s="198">
        <f>'School Level ADM'!$BI155</f>
        <v>346.10899999999998</v>
      </c>
      <c r="J155" s="194">
        <f t="shared" si="30"/>
        <v>49392</v>
      </c>
      <c r="K155" s="194">
        <f t="shared" si="31"/>
        <v>0</v>
      </c>
      <c r="L155" s="194">
        <f t="shared" si="32"/>
        <v>0</v>
      </c>
      <c r="M155" s="194">
        <f t="shared" si="33"/>
        <v>0</v>
      </c>
      <c r="N155" s="194">
        <f t="shared" si="34"/>
        <v>0</v>
      </c>
      <c r="O155" s="194">
        <f t="shared" si="35"/>
        <v>0</v>
      </c>
      <c r="P155" s="194">
        <f t="shared" si="36"/>
        <v>49392</v>
      </c>
      <c r="Q155" s="198">
        <f>'School Level ADM'!$AU155</f>
        <v>329.97500000000002</v>
      </c>
      <c r="R155" s="194">
        <f t="shared" si="37"/>
        <v>49392</v>
      </c>
      <c r="S155" s="194">
        <f t="shared" si="38"/>
        <v>0</v>
      </c>
      <c r="T155" s="194">
        <f t="shared" si="39"/>
        <v>0</v>
      </c>
      <c r="U155" s="194">
        <f t="shared" si="40"/>
        <v>0</v>
      </c>
      <c r="V155" s="194">
        <f t="shared" si="41"/>
        <v>0</v>
      </c>
      <c r="W155" s="194">
        <f t="shared" si="42"/>
        <v>0</v>
      </c>
      <c r="X155" s="194">
        <f t="shared" si="43"/>
        <v>49392</v>
      </c>
    </row>
    <row r="156" spans="1:24" x14ac:dyDescent="0.2">
      <c r="A156" s="227" t="str">
        <f>'School Level Inst. Resources'!A156</f>
        <v>1101000</v>
      </c>
      <c r="B156" s="227" t="str">
        <f>'School Level Inst. Resources'!B156</f>
        <v>Laramie #1</v>
      </c>
      <c r="C156" s="227" t="str">
        <f>'School Level Inst. Resources'!C156</f>
        <v>1101016</v>
      </c>
      <c r="D156" s="227" t="str">
        <f>'School Level Inst. Resources'!D156</f>
        <v>Hebard Elementary</v>
      </c>
      <c r="E156" s="228" t="str">
        <f>'School Level Inst. Resources'!E156</f>
        <v>P-6</v>
      </c>
      <c r="F156" s="229" t="str">
        <f>'School Level Inst. Resources'!H156</f>
        <v>E</v>
      </c>
      <c r="G156" s="229" t="s">
        <v>1158</v>
      </c>
      <c r="H156" s="229" t="str">
        <f t="shared" si="44"/>
        <v>E</v>
      </c>
      <c r="I156" s="198">
        <f>'School Level ADM'!$BI156</f>
        <v>170.70299999999997</v>
      </c>
      <c r="J156" s="194">
        <f t="shared" si="30"/>
        <v>28994</v>
      </c>
      <c r="K156" s="194">
        <f t="shared" si="31"/>
        <v>0</v>
      </c>
      <c r="L156" s="194">
        <f t="shared" si="32"/>
        <v>0</v>
      </c>
      <c r="M156" s="194">
        <f t="shared" si="33"/>
        <v>0</v>
      </c>
      <c r="N156" s="194">
        <f t="shared" si="34"/>
        <v>0</v>
      </c>
      <c r="O156" s="194">
        <f t="shared" si="35"/>
        <v>0</v>
      </c>
      <c r="P156" s="194">
        <f t="shared" si="36"/>
        <v>28994</v>
      </c>
      <c r="Q156" s="198">
        <f>'School Level ADM'!$AU156</f>
        <v>141.84</v>
      </c>
      <c r="R156" s="194">
        <f t="shared" si="37"/>
        <v>28994</v>
      </c>
      <c r="S156" s="194">
        <f t="shared" si="38"/>
        <v>0</v>
      </c>
      <c r="T156" s="194">
        <f t="shared" si="39"/>
        <v>0</v>
      </c>
      <c r="U156" s="194">
        <f t="shared" si="40"/>
        <v>0</v>
      </c>
      <c r="V156" s="194">
        <f t="shared" si="41"/>
        <v>0</v>
      </c>
      <c r="W156" s="194">
        <f t="shared" si="42"/>
        <v>0</v>
      </c>
      <c r="X156" s="194">
        <f t="shared" si="43"/>
        <v>28994</v>
      </c>
    </row>
    <row r="157" spans="1:24" x14ac:dyDescent="0.2">
      <c r="A157" s="227" t="str">
        <f>'School Level Inst. Resources'!A157</f>
        <v>1101000</v>
      </c>
      <c r="B157" s="227" t="str">
        <f>'School Level Inst. Resources'!B157</f>
        <v>Laramie #1</v>
      </c>
      <c r="C157" s="227" t="str">
        <f>'School Level Inst. Resources'!C157</f>
        <v>1101017</v>
      </c>
      <c r="D157" s="227" t="str">
        <f>'School Level Inst. Resources'!D157</f>
        <v>Henderson Elementary</v>
      </c>
      <c r="E157" s="228" t="str">
        <f>'School Level Inst. Resources'!E157</f>
        <v>K-6</v>
      </c>
      <c r="F157" s="229" t="str">
        <f>'School Level Inst. Resources'!H157</f>
        <v>E</v>
      </c>
      <c r="G157" s="229" t="s">
        <v>1158</v>
      </c>
      <c r="H157" s="229" t="str">
        <f t="shared" si="44"/>
        <v>E</v>
      </c>
      <c r="I157" s="198">
        <f>'School Level ADM'!$BI157</f>
        <v>291.23200000000003</v>
      </c>
      <c r="J157" s="194">
        <f t="shared" si="30"/>
        <v>43623</v>
      </c>
      <c r="K157" s="194">
        <f t="shared" si="31"/>
        <v>0</v>
      </c>
      <c r="L157" s="194">
        <f t="shared" si="32"/>
        <v>0</v>
      </c>
      <c r="M157" s="194">
        <f t="shared" si="33"/>
        <v>0</v>
      </c>
      <c r="N157" s="194">
        <f t="shared" si="34"/>
        <v>0</v>
      </c>
      <c r="O157" s="194">
        <f t="shared" si="35"/>
        <v>0</v>
      </c>
      <c r="P157" s="194">
        <f t="shared" si="36"/>
        <v>43623</v>
      </c>
      <c r="Q157" s="198">
        <f>'School Level ADM'!$AU157</f>
        <v>279.74</v>
      </c>
      <c r="R157" s="194">
        <f t="shared" si="37"/>
        <v>43623</v>
      </c>
      <c r="S157" s="194">
        <f t="shared" si="38"/>
        <v>0</v>
      </c>
      <c r="T157" s="194">
        <f t="shared" si="39"/>
        <v>0</v>
      </c>
      <c r="U157" s="194">
        <f t="shared" si="40"/>
        <v>0</v>
      </c>
      <c r="V157" s="194">
        <f t="shared" si="41"/>
        <v>0</v>
      </c>
      <c r="W157" s="194">
        <f t="shared" si="42"/>
        <v>0</v>
      </c>
      <c r="X157" s="194">
        <f t="shared" si="43"/>
        <v>43623</v>
      </c>
    </row>
    <row r="158" spans="1:24" x14ac:dyDescent="0.2">
      <c r="A158" s="227" t="str">
        <f>'School Level Inst. Resources'!A158</f>
        <v>1101000</v>
      </c>
      <c r="B158" s="227" t="str">
        <f>'School Level Inst. Resources'!B158</f>
        <v>Laramie #1</v>
      </c>
      <c r="C158" s="227" t="str">
        <f>'School Level Inst. Resources'!C158</f>
        <v>1101018</v>
      </c>
      <c r="D158" s="227" t="str">
        <f>'School Level Inst. Resources'!D158</f>
        <v>Hobbs Elementary</v>
      </c>
      <c r="E158" s="228" t="str">
        <f>'School Level Inst. Resources'!E158</f>
        <v>K-6</v>
      </c>
      <c r="F158" s="229" t="str">
        <f>'School Level Inst. Resources'!H158</f>
        <v>E</v>
      </c>
      <c r="G158" s="229" t="s">
        <v>1158</v>
      </c>
      <c r="H158" s="229" t="str">
        <f t="shared" si="44"/>
        <v>E</v>
      </c>
      <c r="I158" s="198">
        <f>'School Level ADM'!$BI158</f>
        <v>409.98200000000003</v>
      </c>
      <c r="J158" s="194">
        <f t="shared" si="30"/>
        <v>55793</v>
      </c>
      <c r="K158" s="194">
        <f t="shared" si="31"/>
        <v>0</v>
      </c>
      <c r="L158" s="194">
        <f t="shared" si="32"/>
        <v>0</v>
      </c>
      <c r="M158" s="194">
        <f t="shared" si="33"/>
        <v>0</v>
      </c>
      <c r="N158" s="194">
        <f t="shared" si="34"/>
        <v>0</v>
      </c>
      <c r="O158" s="194">
        <f t="shared" si="35"/>
        <v>0</v>
      </c>
      <c r="P158" s="194">
        <f t="shared" si="36"/>
        <v>55793</v>
      </c>
      <c r="Q158" s="198">
        <f>'School Level ADM'!$AU158</f>
        <v>370.36</v>
      </c>
      <c r="R158" s="194">
        <f t="shared" si="37"/>
        <v>55793</v>
      </c>
      <c r="S158" s="194">
        <f t="shared" si="38"/>
        <v>0</v>
      </c>
      <c r="T158" s="194">
        <f t="shared" si="39"/>
        <v>0</v>
      </c>
      <c r="U158" s="194">
        <f t="shared" si="40"/>
        <v>0</v>
      </c>
      <c r="V158" s="194">
        <f t="shared" si="41"/>
        <v>0</v>
      </c>
      <c r="W158" s="194">
        <f t="shared" si="42"/>
        <v>0</v>
      </c>
      <c r="X158" s="194">
        <f t="shared" si="43"/>
        <v>55793</v>
      </c>
    </row>
    <row r="159" spans="1:24" x14ac:dyDescent="0.2">
      <c r="A159" s="227" t="str">
        <f>'School Level Inst. Resources'!A159</f>
        <v>1101000</v>
      </c>
      <c r="B159" s="227" t="str">
        <f>'School Level Inst. Resources'!B159</f>
        <v>Laramie #1</v>
      </c>
      <c r="C159" s="227" t="str">
        <f>'School Level Inst. Resources'!C159</f>
        <v>1101019</v>
      </c>
      <c r="D159" s="227" t="str">
        <f>'School Level Inst. Resources'!D159</f>
        <v>Clawson Elementary</v>
      </c>
      <c r="E159" s="228" t="str">
        <f>'School Level Inst. Resources'!E159</f>
        <v>K-6</v>
      </c>
      <c r="F159" s="229" t="str">
        <f>'School Level Inst. Resources'!H159</f>
        <v>E</v>
      </c>
      <c r="G159" s="229" t="s">
        <v>1158</v>
      </c>
      <c r="H159" s="229" t="str">
        <f t="shared" si="44"/>
        <v>E</v>
      </c>
      <c r="I159" s="198">
        <f>'School Level ADM'!$BI159</f>
        <v>9.5419999999999998</v>
      </c>
      <c r="J159" s="194">
        <f t="shared" si="30"/>
        <v>2915</v>
      </c>
      <c r="K159" s="194">
        <f t="shared" si="31"/>
        <v>0</v>
      </c>
      <c r="L159" s="194">
        <f t="shared" si="32"/>
        <v>0</v>
      </c>
      <c r="M159" s="194">
        <f t="shared" si="33"/>
        <v>0</v>
      </c>
      <c r="N159" s="194">
        <f t="shared" si="34"/>
        <v>0</v>
      </c>
      <c r="O159" s="194">
        <f t="shared" si="35"/>
        <v>0</v>
      </c>
      <c r="P159" s="194">
        <f t="shared" si="36"/>
        <v>2915</v>
      </c>
      <c r="Q159" s="198">
        <f>'School Level ADM'!$AU159</f>
        <v>10.834999999999999</v>
      </c>
      <c r="R159" s="194">
        <f t="shared" si="37"/>
        <v>2915</v>
      </c>
      <c r="S159" s="194">
        <f t="shared" si="38"/>
        <v>0</v>
      </c>
      <c r="T159" s="194">
        <f t="shared" si="39"/>
        <v>0</v>
      </c>
      <c r="U159" s="194">
        <f t="shared" si="40"/>
        <v>0</v>
      </c>
      <c r="V159" s="194">
        <f t="shared" si="41"/>
        <v>0</v>
      </c>
      <c r="W159" s="194">
        <f t="shared" si="42"/>
        <v>0</v>
      </c>
      <c r="X159" s="194">
        <f t="shared" si="43"/>
        <v>2915</v>
      </c>
    </row>
    <row r="160" spans="1:24" x14ac:dyDescent="0.2">
      <c r="A160" s="227" t="str">
        <f>'School Level Inst. Resources'!A160</f>
        <v>1101000</v>
      </c>
      <c r="B160" s="227" t="str">
        <f>'School Level Inst. Resources'!B160</f>
        <v>Laramie #1</v>
      </c>
      <c r="C160" s="227" t="str">
        <f>'School Level Inst. Resources'!C160</f>
        <v>1101020</v>
      </c>
      <c r="D160" s="227" t="str">
        <f>'School Level Inst. Resources'!D160</f>
        <v>Jessup Elementary</v>
      </c>
      <c r="E160" s="228" t="str">
        <f>'School Level Inst. Resources'!E160</f>
        <v>K-6</v>
      </c>
      <c r="F160" s="229" t="str">
        <f>'School Level Inst. Resources'!H160</f>
        <v>E</v>
      </c>
      <c r="G160" s="229" t="s">
        <v>1158</v>
      </c>
      <c r="H160" s="229" t="str">
        <f t="shared" si="44"/>
        <v>E</v>
      </c>
      <c r="I160" s="198">
        <f>'School Level ADM'!$BI160</f>
        <v>251.44900000000001</v>
      </c>
      <c r="J160" s="194">
        <f t="shared" si="30"/>
        <v>39156</v>
      </c>
      <c r="K160" s="194">
        <f t="shared" si="31"/>
        <v>0</v>
      </c>
      <c r="L160" s="194">
        <f t="shared" si="32"/>
        <v>0</v>
      </c>
      <c r="M160" s="194">
        <f t="shared" si="33"/>
        <v>0</v>
      </c>
      <c r="N160" s="194">
        <f t="shared" si="34"/>
        <v>0</v>
      </c>
      <c r="O160" s="194">
        <f t="shared" si="35"/>
        <v>0</v>
      </c>
      <c r="P160" s="194">
        <f t="shared" si="36"/>
        <v>39156</v>
      </c>
      <c r="Q160" s="198">
        <f>'School Level ADM'!$AU160</f>
        <v>273.83</v>
      </c>
      <c r="R160" s="194">
        <f t="shared" si="37"/>
        <v>39156</v>
      </c>
      <c r="S160" s="194">
        <f t="shared" si="38"/>
        <v>0</v>
      </c>
      <c r="T160" s="194">
        <f t="shared" si="39"/>
        <v>0</v>
      </c>
      <c r="U160" s="194">
        <f t="shared" si="40"/>
        <v>0</v>
      </c>
      <c r="V160" s="194">
        <f t="shared" si="41"/>
        <v>0</v>
      </c>
      <c r="W160" s="194">
        <f t="shared" si="42"/>
        <v>0</v>
      </c>
      <c r="X160" s="194">
        <f t="shared" si="43"/>
        <v>39156</v>
      </c>
    </row>
    <row r="161" spans="1:24" x14ac:dyDescent="0.2">
      <c r="A161" s="227" t="str">
        <f>'School Level Inst. Resources'!A161</f>
        <v>1101000</v>
      </c>
      <c r="B161" s="227" t="str">
        <f>'School Level Inst. Resources'!B161</f>
        <v>Laramie #1</v>
      </c>
      <c r="C161" s="227" t="str">
        <f>'School Level Inst. Resources'!C161</f>
        <v>1101021</v>
      </c>
      <c r="D161" s="227" t="str">
        <f>'School Level Inst. Resources'!D161</f>
        <v>Lebhart Elementary</v>
      </c>
      <c r="E161" s="228" t="str">
        <f>'School Level Inst. Resources'!E161</f>
        <v>K-2</v>
      </c>
      <c r="F161" s="229" t="str">
        <f>'School Level Inst. Resources'!H161</f>
        <v>E</v>
      </c>
      <c r="G161" s="229" t="s">
        <v>1158</v>
      </c>
      <c r="H161" s="229" t="str">
        <f t="shared" si="44"/>
        <v>E</v>
      </c>
      <c r="I161" s="198">
        <f>'School Level ADM'!$BI161</f>
        <v>105.63</v>
      </c>
      <c r="J161" s="194">
        <f t="shared" si="30"/>
        <v>19361</v>
      </c>
      <c r="K161" s="194">
        <f t="shared" si="31"/>
        <v>0</v>
      </c>
      <c r="L161" s="194">
        <f t="shared" si="32"/>
        <v>0</v>
      </c>
      <c r="M161" s="194">
        <f t="shared" si="33"/>
        <v>0</v>
      </c>
      <c r="N161" s="194">
        <f t="shared" si="34"/>
        <v>0</v>
      </c>
      <c r="O161" s="194">
        <f t="shared" si="35"/>
        <v>0</v>
      </c>
      <c r="P161" s="194">
        <f t="shared" si="36"/>
        <v>19361</v>
      </c>
      <c r="Q161" s="198">
        <f>'School Level ADM'!$AU161</f>
        <v>96.53</v>
      </c>
      <c r="R161" s="194">
        <f t="shared" si="37"/>
        <v>19361</v>
      </c>
      <c r="S161" s="194">
        <f t="shared" si="38"/>
        <v>0</v>
      </c>
      <c r="T161" s="194">
        <f t="shared" si="39"/>
        <v>0</v>
      </c>
      <c r="U161" s="194">
        <f t="shared" si="40"/>
        <v>0</v>
      </c>
      <c r="V161" s="194">
        <f t="shared" si="41"/>
        <v>0</v>
      </c>
      <c r="W161" s="194">
        <f t="shared" si="42"/>
        <v>0</v>
      </c>
      <c r="X161" s="194">
        <f t="shared" si="43"/>
        <v>19361</v>
      </c>
    </row>
    <row r="162" spans="1:24" x14ac:dyDescent="0.2">
      <c r="A162" s="227" t="str">
        <f>'School Level Inst. Resources'!A162</f>
        <v>1101000</v>
      </c>
      <c r="B162" s="227" t="str">
        <f>'School Level Inst. Resources'!B162</f>
        <v>Laramie #1</v>
      </c>
      <c r="C162" s="227" t="str">
        <f>'School Level Inst. Resources'!C162</f>
        <v>1101022</v>
      </c>
      <c r="D162" s="227" t="str">
        <f>'School Level Inst. Resources'!D162</f>
        <v>Miller Elementary</v>
      </c>
      <c r="E162" s="228" t="str">
        <f>'School Level Inst. Resources'!E162</f>
        <v>4-6</v>
      </c>
      <c r="F162" s="229" t="str">
        <f>'School Level Inst. Resources'!H162</f>
        <v>E</v>
      </c>
      <c r="G162" s="229" t="s">
        <v>1158</v>
      </c>
      <c r="H162" s="229" t="str">
        <f t="shared" si="44"/>
        <v>E</v>
      </c>
      <c r="I162" s="198">
        <f>'School Level ADM'!$BI162</f>
        <v>83.807000000000002</v>
      </c>
      <c r="J162" s="194">
        <f t="shared" si="30"/>
        <v>15775</v>
      </c>
      <c r="K162" s="194">
        <f t="shared" si="31"/>
        <v>0</v>
      </c>
      <c r="L162" s="194">
        <f t="shared" si="32"/>
        <v>0</v>
      </c>
      <c r="M162" s="194">
        <f t="shared" si="33"/>
        <v>0</v>
      </c>
      <c r="N162" s="194">
        <f t="shared" si="34"/>
        <v>0</v>
      </c>
      <c r="O162" s="194">
        <f t="shared" si="35"/>
        <v>0</v>
      </c>
      <c r="P162" s="194">
        <f t="shared" si="36"/>
        <v>15775</v>
      </c>
      <c r="Q162" s="198">
        <f>'School Level ADM'!$AU162</f>
        <v>85.694999999999993</v>
      </c>
      <c r="R162" s="194">
        <f t="shared" si="37"/>
        <v>15775</v>
      </c>
      <c r="S162" s="194">
        <f t="shared" si="38"/>
        <v>0</v>
      </c>
      <c r="T162" s="194">
        <f t="shared" si="39"/>
        <v>0</v>
      </c>
      <c r="U162" s="194">
        <f t="shared" si="40"/>
        <v>0</v>
      </c>
      <c r="V162" s="194">
        <f t="shared" si="41"/>
        <v>0</v>
      </c>
      <c r="W162" s="194">
        <f t="shared" si="42"/>
        <v>0</v>
      </c>
      <c r="X162" s="194">
        <f t="shared" si="43"/>
        <v>15775</v>
      </c>
    </row>
    <row r="163" spans="1:24" x14ac:dyDescent="0.2">
      <c r="A163" s="227" t="str">
        <f>'School Level Inst. Resources'!A163</f>
        <v>1101000</v>
      </c>
      <c r="B163" s="227" t="str">
        <f>'School Level Inst. Resources'!B163</f>
        <v>Laramie #1</v>
      </c>
      <c r="C163" s="227" t="str">
        <f>'School Level Inst. Resources'!C163</f>
        <v>1101023</v>
      </c>
      <c r="D163" s="227" t="str">
        <f>'School Level Inst. Resources'!D163</f>
        <v>Pioneer Park Elementary</v>
      </c>
      <c r="E163" s="228" t="str">
        <f>'School Level Inst. Resources'!E163</f>
        <v>K-6</v>
      </c>
      <c r="F163" s="229" t="str">
        <f>'School Level Inst. Resources'!H163</f>
        <v>E</v>
      </c>
      <c r="G163" s="229" t="s">
        <v>1158</v>
      </c>
      <c r="H163" s="229" t="str">
        <f t="shared" si="44"/>
        <v>E</v>
      </c>
      <c r="I163" s="198">
        <f>'School Level ADM'!$BI163</f>
        <v>283.142</v>
      </c>
      <c r="J163" s="194">
        <f t="shared" si="30"/>
        <v>42737</v>
      </c>
      <c r="K163" s="194">
        <f t="shared" si="31"/>
        <v>0</v>
      </c>
      <c r="L163" s="194">
        <f t="shared" si="32"/>
        <v>0</v>
      </c>
      <c r="M163" s="194">
        <f t="shared" si="33"/>
        <v>0</v>
      </c>
      <c r="N163" s="194">
        <f t="shared" si="34"/>
        <v>0</v>
      </c>
      <c r="O163" s="194">
        <f t="shared" si="35"/>
        <v>0</v>
      </c>
      <c r="P163" s="194">
        <f t="shared" si="36"/>
        <v>42737</v>
      </c>
      <c r="Q163" s="198">
        <f>'School Level ADM'!$AU163</f>
        <v>339.82500000000005</v>
      </c>
      <c r="R163" s="194">
        <f t="shared" si="37"/>
        <v>42737</v>
      </c>
      <c r="S163" s="194">
        <f t="shared" si="38"/>
        <v>0</v>
      </c>
      <c r="T163" s="194">
        <f t="shared" si="39"/>
        <v>0</v>
      </c>
      <c r="U163" s="194">
        <f t="shared" si="40"/>
        <v>0</v>
      </c>
      <c r="V163" s="194">
        <f t="shared" si="41"/>
        <v>0</v>
      </c>
      <c r="W163" s="194">
        <f t="shared" si="42"/>
        <v>0</v>
      </c>
      <c r="X163" s="194">
        <f t="shared" si="43"/>
        <v>42737</v>
      </c>
    </row>
    <row r="164" spans="1:24" x14ac:dyDescent="0.2">
      <c r="A164" s="227" t="str">
        <f>'School Level Inst. Resources'!A164</f>
        <v>1101000</v>
      </c>
      <c r="B164" s="227" t="str">
        <f>'School Level Inst. Resources'!B164</f>
        <v>Laramie #1</v>
      </c>
      <c r="C164" s="227" t="str">
        <f>'School Level Inst. Resources'!C164</f>
        <v>1101024</v>
      </c>
      <c r="D164" s="227" t="str">
        <f>'School Level Inst. Resources'!D164</f>
        <v>Rossman Elementary</v>
      </c>
      <c r="E164" s="228" t="str">
        <f>'School Level Inst. Resources'!E164</f>
        <v>K-6</v>
      </c>
      <c r="F164" s="229" t="str">
        <f>'School Level Inst. Resources'!H164</f>
        <v>E</v>
      </c>
      <c r="G164" s="229" t="s">
        <v>1158</v>
      </c>
      <c r="H164" s="229" t="str">
        <f t="shared" si="44"/>
        <v>E</v>
      </c>
      <c r="I164" s="198">
        <f>'School Level ADM'!$BI164</f>
        <v>348.69400000000002</v>
      </c>
      <c r="J164" s="194">
        <f t="shared" si="30"/>
        <v>49656</v>
      </c>
      <c r="K164" s="194">
        <f t="shared" si="31"/>
        <v>0</v>
      </c>
      <c r="L164" s="194">
        <f t="shared" si="32"/>
        <v>0</v>
      </c>
      <c r="M164" s="194">
        <f t="shared" si="33"/>
        <v>0</v>
      </c>
      <c r="N164" s="194">
        <f t="shared" si="34"/>
        <v>0</v>
      </c>
      <c r="O164" s="194">
        <f t="shared" si="35"/>
        <v>0</v>
      </c>
      <c r="P164" s="194">
        <f t="shared" si="36"/>
        <v>49656</v>
      </c>
      <c r="Q164" s="198">
        <f>'School Level ADM'!$AU164</f>
        <v>356.56999999999994</v>
      </c>
      <c r="R164" s="194">
        <f t="shared" si="37"/>
        <v>49656</v>
      </c>
      <c r="S164" s="194">
        <f t="shared" si="38"/>
        <v>0</v>
      </c>
      <c r="T164" s="194">
        <f t="shared" si="39"/>
        <v>0</v>
      </c>
      <c r="U164" s="194">
        <f t="shared" si="40"/>
        <v>0</v>
      </c>
      <c r="V164" s="194">
        <f t="shared" si="41"/>
        <v>0</v>
      </c>
      <c r="W164" s="194">
        <f t="shared" si="42"/>
        <v>0</v>
      </c>
      <c r="X164" s="194">
        <f t="shared" si="43"/>
        <v>49656</v>
      </c>
    </row>
    <row r="165" spans="1:24" x14ac:dyDescent="0.2">
      <c r="A165" s="227" t="str">
        <f>'School Level Inst. Resources'!A165</f>
        <v>1101000</v>
      </c>
      <c r="B165" s="227" t="str">
        <f>'School Level Inst. Resources'!B165</f>
        <v>Laramie #1</v>
      </c>
      <c r="C165" s="227" t="str">
        <f>'School Level Inst. Resources'!C165</f>
        <v>1101025</v>
      </c>
      <c r="D165" s="227" t="str">
        <f>'School Level Inst. Resources'!D165</f>
        <v>Willadsen Elementary</v>
      </c>
      <c r="E165" s="228" t="str">
        <f>'School Level Inst. Resources'!E165</f>
        <v>K-6</v>
      </c>
      <c r="F165" s="229" t="str">
        <f>'School Level Inst. Resources'!H165</f>
        <v>E</v>
      </c>
      <c r="G165" s="229" t="s">
        <v>1158</v>
      </c>
      <c r="H165" s="229" t="str">
        <f t="shared" si="44"/>
        <v>E</v>
      </c>
      <c r="I165" s="198">
        <f>'School Level ADM'!$BI165</f>
        <v>3</v>
      </c>
      <c r="J165" s="194">
        <f t="shared" si="30"/>
        <v>2915</v>
      </c>
      <c r="K165" s="194">
        <f t="shared" si="31"/>
        <v>0</v>
      </c>
      <c r="L165" s="194">
        <f t="shared" si="32"/>
        <v>0</v>
      </c>
      <c r="M165" s="194">
        <f t="shared" si="33"/>
        <v>0</v>
      </c>
      <c r="N165" s="194">
        <f t="shared" si="34"/>
        <v>0</v>
      </c>
      <c r="O165" s="194">
        <f t="shared" si="35"/>
        <v>0</v>
      </c>
      <c r="P165" s="194">
        <f t="shared" si="36"/>
        <v>2915</v>
      </c>
      <c r="Q165" s="198">
        <f>'School Level ADM'!$AU165</f>
        <v>1.97</v>
      </c>
      <c r="R165" s="194">
        <f t="shared" si="37"/>
        <v>2915</v>
      </c>
      <c r="S165" s="194">
        <f t="shared" si="38"/>
        <v>0</v>
      </c>
      <c r="T165" s="194">
        <f t="shared" si="39"/>
        <v>0</v>
      </c>
      <c r="U165" s="194">
        <f t="shared" si="40"/>
        <v>0</v>
      </c>
      <c r="V165" s="194">
        <f t="shared" si="41"/>
        <v>0</v>
      </c>
      <c r="W165" s="194">
        <f t="shared" si="42"/>
        <v>0</v>
      </c>
      <c r="X165" s="194">
        <f t="shared" si="43"/>
        <v>2915</v>
      </c>
    </row>
    <row r="166" spans="1:24" x14ac:dyDescent="0.2">
      <c r="A166" s="227" t="str">
        <f>'School Level Inst. Resources'!A166</f>
        <v>1101000</v>
      </c>
      <c r="B166" s="227" t="str">
        <f>'School Level Inst. Resources'!B166</f>
        <v>Laramie #1</v>
      </c>
      <c r="C166" s="227" t="str">
        <f>'School Level Inst. Resources'!C166</f>
        <v>1101026</v>
      </c>
      <c r="D166" s="227" t="str">
        <f>'School Level Inst. Resources'!D166</f>
        <v>Anderson Elementary</v>
      </c>
      <c r="E166" s="228" t="str">
        <f>'School Level Inst. Resources'!E166</f>
        <v>K-4</v>
      </c>
      <c r="F166" s="229" t="str">
        <f>'School Level Inst. Resources'!H166</f>
        <v>E</v>
      </c>
      <c r="G166" s="229" t="s">
        <v>1158</v>
      </c>
      <c r="H166" s="229" t="str">
        <f t="shared" si="44"/>
        <v>E</v>
      </c>
      <c r="I166" s="198">
        <f>'School Level ADM'!$BI166</f>
        <v>284.08600000000001</v>
      </c>
      <c r="J166" s="194">
        <f t="shared" si="30"/>
        <v>42841</v>
      </c>
      <c r="K166" s="194">
        <f t="shared" si="31"/>
        <v>0</v>
      </c>
      <c r="L166" s="194">
        <f t="shared" si="32"/>
        <v>0</v>
      </c>
      <c r="M166" s="194">
        <f t="shared" si="33"/>
        <v>0</v>
      </c>
      <c r="N166" s="194">
        <f t="shared" si="34"/>
        <v>0</v>
      </c>
      <c r="O166" s="194">
        <f t="shared" si="35"/>
        <v>0</v>
      </c>
      <c r="P166" s="194">
        <f t="shared" si="36"/>
        <v>42841</v>
      </c>
      <c r="Q166" s="198">
        <f>'School Level ADM'!$AU166</f>
        <v>328.99</v>
      </c>
      <c r="R166" s="194">
        <f t="shared" si="37"/>
        <v>42841</v>
      </c>
      <c r="S166" s="194">
        <f t="shared" si="38"/>
        <v>0</v>
      </c>
      <c r="T166" s="194">
        <f t="shared" si="39"/>
        <v>0</v>
      </c>
      <c r="U166" s="194">
        <f t="shared" si="40"/>
        <v>0</v>
      </c>
      <c r="V166" s="194">
        <f t="shared" si="41"/>
        <v>0</v>
      </c>
      <c r="W166" s="194">
        <f t="shared" si="42"/>
        <v>0</v>
      </c>
      <c r="X166" s="194">
        <f t="shared" si="43"/>
        <v>42841</v>
      </c>
    </row>
    <row r="167" spans="1:24" x14ac:dyDescent="0.2">
      <c r="A167" s="227" t="str">
        <f>'School Level Inst. Resources'!A167</f>
        <v>1101000</v>
      </c>
      <c r="B167" s="227" t="str">
        <f>'School Level Inst. Resources'!B167</f>
        <v>Laramie #1</v>
      </c>
      <c r="C167" s="227" t="str">
        <f>'School Level Inst. Resources'!C167</f>
        <v>1101027</v>
      </c>
      <c r="D167" s="227" t="str">
        <f>'School Level Inst. Resources'!D167</f>
        <v>Afflerbach Elementary</v>
      </c>
      <c r="E167" s="228" t="str">
        <f>'School Level Inst. Resources'!E167</f>
        <v>K-6</v>
      </c>
      <c r="F167" s="229" t="str">
        <f>'School Level Inst. Resources'!H167</f>
        <v>E</v>
      </c>
      <c r="G167" s="229" t="s">
        <v>1158</v>
      </c>
      <c r="H167" s="229" t="str">
        <f t="shared" si="44"/>
        <v>E</v>
      </c>
      <c r="I167" s="198">
        <f>'School Level ADM'!$BI167</f>
        <v>450.726</v>
      </c>
      <c r="J167" s="194">
        <f t="shared" si="30"/>
        <v>59843</v>
      </c>
      <c r="K167" s="194">
        <f t="shared" si="31"/>
        <v>0</v>
      </c>
      <c r="L167" s="194">
        <f t="shared" si="32"/>
        <v>0</v>
      </c>
      <c r="M167" s="194">
        <f t="shared" si="33"/>
        <v>0</v>
      </c>
      <c r="N167" s="194">
        <f t="shared" si="34"/>
        <v>0</v>
      </c>
      <c r="O167" s="194">
        <f t="shared" si="35"/>
        <v>0</v>
      </c>
      <c r="P167" s="194">
        <f t="shared" si="36"/>
        <v>59843</v>
      </c>
      <c r="Q167" s="198">
        <f>'School Level ADM'!$AU167</f>
        <v>388.09000000000003</v>
      </c>
      <c r="R167" s="194">
        <f t="shared" si="37"/>
        <v>59843</v>
      </c>
      <c r="S167" s="194">
        <f t="shared" si="38"/>
        <v>0</v>
      </c>
      <c r="T167" s="194">
        <f t="shared" si="39"/>
        <v>0</v>
      </c>
      <c r="U167" s="194">
        <f t="shared" si="40"/>
        <v>0</v>
      </c>
      <c r="V167" s="194">
        <f t="shared" si="41"/>
        <v>0</v>
      </c>
      <c r="W167" s="194">
        <f t="shared" si="42"/>
        <v>0</v>
      </c>
      <c r="X167" s="194">
        <f t="shared" si="43"/>
        <v>59843</v>
      </c>
    </row>
    <row r="168" spans="1:24" x14ac:dyDescent="0.2">
      <c r="A168" s="227" t="str">
        <f>'School Level Inst. Resources'!A168</f>
        <v>1101000</v>
      </c>
      <c r="B168" s="227" t="str">
        <f>'School Level Inst. Resources'!B168</f>
        <v>Laramie #1</v>
      </c>
      <c r="C168" s="227" t="str">
        <f>'School Level Inst. Resources'!C168</f>
        <v>1101028</v>
      </c>
      <c r="D168" s="227" t="str">
        <f>'School Level Inst. Resources'!D168</f>
        <v>Freedom Elementary</v>
      </c>
      <c r="E168" s="228" t="str">
        <f>'School Level Inst. Resources'!E168</f>
        <v>K-6</v>
      </c>
      <c r="F168" s="229" t="str">
        <f>'School Level Inst. Resources'!H168</f>
        <v>E</v>
      </c>
      <c r="G168" s="229" t="s">
        <v>1158</v>
      </c>
      <c r="H168" s="229" t="str">
        <f t="shared" si="44"/>
        <v>E</v>
      </c>
      <c r="I168" s="198">
        <f>'School Level ADM'!$BI168</f>
        <v>317.81899999999996</v>
      </c>
      <c r="J168" s="194">
        <f t="shared" si="30"/>
        <v>46464</v>
      </c>
      <c r="K168" s="194">
        <f t="shared" si="31"/>
        <v>0</v>
      </c>
      <c r="L168" s="194">
        <f t="shared" si="32"/>
        <v>0</v>
      </c>
      <c r="M168" s="194">
        <f t="shared" si="33"/>
        <v>0</v>
      </c>
      <c r="N168" s="194">
        <f t="shared" si="34"/>
        <v>0</v>
      </c>
      <c r="O168" s="194">
        <f t="shared" si="35"/>
        <v>0</v>
      </c>
      <c r="P168" s="194">
        <f t="shared" si="36"/>
        <v>46464</v>
      </c>
      <c r="Q168" s="198">
        <f>'School Level ADM'!$AU168</f>
        <v>333.91499999999996</v>
      </c>
      <c r="R168" s="194">
        <f t="shared" si="37"/>
        <v>46464</v>
      </c>
      <c r="S168" s="194">
        <f t="shared" si="38"/>
        <v>0</v>
      </c>
      <c r="T168" s="194">
        <f t="shared" si="39"/>
        <v>0</v>
      </c>
      <c r="U168" s="194">
        <f t="shared" si="40"/>
        <v>0</v>
      </c>
      <c r="V168" s="194">
        <f t="shared" si="41"/>
        <v>0</v>
      </c>
      <c r="W168" s="194">
        <f t="shared" si="42"/>
        <v>0</v>
      </c>
      <c r="X168" s="194">
        <f t="shared" si="43"/>
        <v>46464</v>
      </c>
    </row>
    <row r="169" spans="1:24" x14ac:dyDescent="0.2">
      <c r="A169" s="227" t="str">
        <f>'School Level Inst. Resources'!A169</f>
        <v>1101000</v>
      </c>
      <c r="B169" s="227" t="str">
        <f>'School Level Inst. Resources'!B169</f>
        <v>Laramie #1</v>
      </c>
      <c r="C169" s="227" t="str">
        <f>'School Level Inst. Resources'!C169</f>
        <v>1101029</v>
      </c>
      <c r="D169" s="227" t="str">
        <f>'School Level Inst. Resources'!D169</f>
        <v>Sunrise Elementary</v>
      </c>
      <c r="E169" s="228" t="str">
        <f>'School Level Inst. Resources'!E169</f>
        <v>K-6</v>
      </c>
      <c r="F169" s="229" t="str">
        <f>'School Level Inst. Resources'!H169</f>
        <v>E</v>
      </c>
      <c r="G169" s="229" t="s">
        <v>1158</v>
      </c>
      <c r="H169" s="229" t="str">
        <f t="shared" si="44"/>
        <v>E</v>
      </c>
      <c r="I169" s="198">
        <f>'School Level ADM'!$BI169</f>
        <v>366.53900000000004</v>
      </c>
      <c r="J169" s="194">
        <f t="shared" si="30"/>
        <v>51462</v>
      </c>
      <c r="K169" s="194">
        <f t="shared" si="31"/>
        <v>0</v>
      </c>
      <c r="L169" s="194">
        <f t="shared" si="32"/>
        <v>0</v>
      </c>
      <c r="M169" s="194">
        <f t="shared" si="33"/>
        <v>0</v>
      </c>
      <c r="N169" s="194">
        <f t="shared" si="34"/>
        <v>0</v>
      </c>
      <c r="O169" s="194">
        <f t="shared" si="35"/>
        <v>0</v>
      </c>
      <c r="P169" s="194">
        <f t="shared" si="36"/>
        <v>51462</v>
      </c>
      <c r="Q169" s="198">
        <f>'School Level ADM'!$AU169</f>
        <v>353.61500000000001</v>
      </c>
      <c r="R169" s="194">
        <f t="shared" si="37"/>
        <v>51462</v>
      </c>
      <c r="S169" s="194">
        <f t="shared" si="38"/>
        <v>0</v>
      </c>
      <c r="T169" s="194">
        <f t="shared" si="39"/>
        <v>0</v>
      </c>
      <c r="U169" s="194">
        <f t="shared" si="40"/>
        <v>0</v>
      </c>
      <c r="V169" s="194">
        <f t="shared" si="41"/>
        <v>0</v>
      </c>
      <c r="W169" s="194">
        <f t="shared" si="42"/>
        <v>0</v>
      </c>
      <c r="X169" s="194">
        <f t="shared" si="43"/>
        <v>51462</v>
      </c>
    </row>
    <row r="170" spans="1:24" x14ac:dyDescent="0.2">
      <c r="A170" s="227" t="str">
        <f>'School Level Inst. Resources'!A170</f>
        <v>1101000</v>
      </c>
      <c r="B170" s="227" t="str">
        <f>'School Level Inst. Resources'!B170</f>
        <v>Laramie #1</v>
      </c>
      <c r="C170" s="227" t="str">
        <f>'School Level Inst. Resources'!C170</f>
        <v>1101030</v>
      </c>
      <c r="D170" s="227" t="str">
        <f>'School Level Inst. Resources'!D170</f>
        <v>Saddle Ridge Elementary</v>
      </c>
      <c r="E170" s="228" t="str">
        <f>'School Level Inst. Resources'!E170</f>
        <v>K-6</v>
      </c>
      <c r="F170" s="229" t="str">
        <f>'School Level Inst. Resources'!H170</f>
        <v>E</v>
      </c>
      <c r="G170" s="229" t="s">
        <v>1158</v>
      </c>
      <c r="H170" s="229" t="str">
        <f t="shared" si="44"/>
        <v>E</v>
      </c>
      <c r="I170" s="198">
        <f>'School Level ADM'!$BI170</f>
        <v>402.81900000000002</v>
      </c>
      <c r="J170" s="194">
        <f t="shared" si="30"/>
        <v>55082</v>
      </c>
      <c r="K170" s="194">
        <f t="shared" si="31"/>
        <v>0</v>
      </c>
      <c r="L170" s="194">
        <f t="shared" si="32"/>
        <v>0</v>
      </c>
      <c r="M170" s="194">
        <f t="shared" si="33"/>
        <v>0</v>
      </c>
      <c r="N170" s="194">
        <f t="shared" si="34"/>
        <v>0</v>
      </c>
      <c r="O170" s="194">
        <f t="shared" si="35"/>
        <v>0</v>
      </c>
      <c r="P170" s="194">
        <f t="shared" si="36"/>
        <v>55082</v>
      </c>
      <c r="Q170" s="198">
        <f>'School Level ADM'!$AU170</f>
        <v>361.495</v>
      </c>
      <c r="R170" s="194">
        <f t="shared" si="37"/>
        <v>55082</v>
      </c>
      <c r="S170" s="194">
        <f t="shared" si="38"/>
        <v>0</v>
      </c>
      <c r="T170" s="194">
        <f t="shared" si="39"/>
        <v>0</v>
      </c>
      <c r="U170" s="194">
        <f t="shared" si="40"/>
        <v>0</v>
      </c>
      <c r="V170" s="194">
        <f t="shared" si="41"/>
        <v>0</v>
      </c>
      <c r="W170" s="194">
        <f t="shared" si="42"/>
        <v>0</v>
      </c>
      <c r="X170" s="194">
        <f t="shared" si="43"/>
        <v>55082</v>
      </c>
    </row>
    <row r="171" spans="1:24" x14ac:dyDescent="0.2">
      <c r="A171" s="227" t="str">
        <f>'School Level Inst. Resources'!A171</f>
        <v>1101000</v>
      </c>
      <c r="B171" s="227" t="str">
        <f>'School Level Inst. Resources'!B171</f>
        <v>Laramie #1</v>
      </c>
      <c r="C171" s="227" t="str">
        <f>'School Level Inst. Resources'!C171</f>
        <v>1101031</v>
      </c>
      <c r="D171" s="227" t="str">
        <f>'School Level Inst. Resources'!D171</f>
        <v>Prairie Wind Elementary</v>
      </c>
      <c r="E171" s="228" t="str">
        <f>'School Level Inst. Resources'!E171</f>
        <v>K-6</v>
      </c>
      <c r="F171" s="229" t="str">
        <f>'School Level Inst. Resources'!H171</f>
        <v>E</v>
      </c>
      <c r="G171" s="229" t="s">
        <v>1158</v>
      </c>
      <c r="H171" s="229" t="str">
        <f t="shared" si="44"/>
        <v>E</v>
      </c>
      <c r="I171" s="198">
        <f>'School Level ADM'!$BI171</f>
        <v>443.03400000000005</v>
      </c>
      <c r="J171" s="194">
        <f t="shared" si="30"/>
        <v>59075</v>
      </c>
      <c r="K171" s="194">
        <f t="shared" si="31"/>
        <v>0</v>
      </c>
      <c r="L171" s="194">
        <f t="shared" si="32"/>
        <v>0</v>
      </c>
      <c r="M171" s="194">
        <f t="shared" si="33"/>
        <v>0</v>
      </c>
      <c r="N171" s="194">
        <f t="shared" si="34"/>
        <v>0</v>
      </c>
      <c r="O171" s="194">
        <f t="shared" si="35"/>
        <v>0</v>
      </c>
      <c r="P171" s="194">
        <f t="shared" si="36"/>
        <v>59075</v>
      </c>
      <c r="Q171" s="198">
        <f>'School Level ADM'!$AU171</f>
        <v>450.14499999999998</v>
      </c>
      <c r="R171" s="194">
        <f t="shared" si="37"/>
        <v>59075</v>
      </c>
      <c r="S171" s="194">
        <f t="shared" si="38"/>
        <v>0</v>
      </c>
      <c r="T171" s="194">
        <f t="shared" si="39"/>
        <v>0</v>
      </c>
      <c r="U171" s="194">
        <f t="shared" si="40"/>
        <v>0</v>
      </c>
      <c r="V171" s="194">
        <f t="shared" si="41"/>
        <v>0</v>
      </c>
      <c r="W171" s="194">
        <f t="shared" si="42"/>
        <v>0</v>
      </c>
      <c r="X171" s="194">
        <f t="shared" si="43"/>
        <v>59075</v>
      </c>
    </row>
    <row r="172" spans="1:24" s="243" customFormat="1" x14ac:dyDescent="0.2">
      <c r="A172" s="227" t="str">
        <f>'School Level Inst. Resources'!A172</f>
        <v>1101000</v>
      </c>
      <c r="B172" s="227" t="str">
        <f>'School Level Inst. Resources'!B172</f>
        <v>Laramie #1</v>
      </c>
      <c r="C172" s="227" t="str">
        <f>'School Level Inst. Resources'!C172</f>
        <v>1101032</v>
      </c>
      <c r="D172" s="227" t="str">
        <f>'School Level Inst. Resources'!D172</f>
        <v>Meadowlark Elementary</v>
      </c>
      <c r="E172" s="228" t="str">
        <f>'School Level Inst. Resources'!E172</f>
        <v>5-6</v>
      </c>
      <c r="F172" s="229" t="str">
        <f>'School Level Inst. Resources'!H172</f>
        <v>E</v>
      </c>
      <c r="G172" s="229" t="s">
        <v>1158</v>
      </c>
      <c r="H172" s="229" t="str">
        <f t="shared" si="44"/>
        <v>E</v>
      </c>
      <c r="I172" s="236">
        <f>'School Level ADM'!$BI172</f>
        <v>455.67099999999994</v>
      </c>
      <c r="J172" s="235">
        <f t="shared" si="30"/>
        <v>60338</v>
      </c>
      <c r="K172" s="235">
        <f t="shared" si="31"/>
        <v>0</v>
      </c>
      <c r="L172" s="235">
        <f t="shared" si="32"/>
        <v>0</v>
      </c>
      <c r="M172" s="235">
        <f t="shared" si="33"/>
        <v>0</v>
      </c>
      <c r="N172" s="235">
        <f t="shared" si="34"/>
        <v>0</v>
      </c>
      <c r="O172" s="235">
        <f t="shared" si="35"/>
        <v>0</v>
      </c>
      <c r="P172" s="235">
        <f t="shared" si="36"/>
        <v>60338</v>
      </c>
      <c r="Q172" s="236">
        <f>'School Level ADM'!$AU172</f>
        <v>521.06500000000005</v>
      </c>
      <c r="R172" s="235">
        <f t="shared" si="37"/>
        <v>60338</v>
      </c>
      <c r="S172" s="235">
        <f t="shared" si="38"/>
        <v>0</v>
      </c>
      <c r="T172" s="235">
        <f t="shared" si="39"/>
        <v>0</v>
      </c>
      <c r="U172" s="235">
        <f t="shared" si="40"/>
        <v>0</v>
      </c>
      <c r="V172" s="235">
        <f t="shared" si="41"/>
        <v>0</v>
      </c>
      <c r="W172" s="235">
        <f t="shared" si="42"/>
        <v>0</v>
      </c>
      <c r="X172" s="235">
        <f t="shared" si="43"/>
        <v>60338</v>
      </c>
    </row>
    <row r="173" spans="1:24" s="243" customFormat="1" x14ac:dyDescent="0.2">
      <c r="A173" s="210" t="str">
        <f>'School Level Inst. Resources'!A173</f>
        <v>1101000</v>
      </c>
      <c r="B173" s="210" t="str">
        <f>'School Level Inst. Resources'!B173</f>
        <v>Laramie #1</v>
      </c>
      <c r="C173" s="210" t="str">
        <f>'School Level Inst. Resources'!C173</f>
        <v>1101040</v>
      </c>
      <c r="D173" s="210" t="str">
        <f>'School Level Inst. Resources'!D173</f>
        <v>PODER Academy</v>
      </c>
      <c r="E173" s="211" t="str">
        <f>'School Level Inst. Resources'!E173</f>
        <v>K-5</v>
      </c>
      <c r="F173" s="212" t="str">
        <f>'School Level Inst. Resources'!H173</f>
        <v>E</v>
      </c>
      <c r="G173" s="212" t="s">
        <v>1159</v>
      </c>
      <c r="H173" s="212" t="str">
        <f t="shared" si="44"/>
        <v>E</v>
      </c>
      <c r="I173" s="260">
        <v>0</v>
      </c>
      <c r="J173" s="258">
        <f t="shared" si="30"/>
        <v>0</v>
      </c>
      <c r="K173" s="258">
        <f t="shared" si="31"/>
        <v>0</v>
      </c>
      <c r="L173" s="258">
        <f t="shared" si="32"/>
        <v>0</v>
      </c>
      <c r="M173" s="258">
        <f t="shared" si="33"/>
        <v>0</v>
      </c>
      <c r="N173" s="258">
        <f t="shared" si="34"/>
        <v>0</v>
      </c>
      <c r="O173" s="258">
        <f t="shared" si="35"/>
        <v>0</v>
      </c>
      <c r="P173" s="258">
        <f t="shared" si="36"/>
        <v>0</v>
      </c>
      <c r="Q173" s="260">
        <v>0</v>
      </c>
      <c r="R173" s="258">
        <f t="shared" si="37"/>
        <v>0</v>
      </c>
      <c r="S173" s="258">
        <f t="shared" si="38"/>
        <v>0</v>
      </c>
      <c r="T173" s="258">
        <f t="shared" si="39"/>
        <v>0</v>
      </c>
      <c r="U173" s="258">
        <f t="shared" si="40"/>
        <v>0</v>
      </c>
      <c r="V173" s="258">
        <f t="shared" si="41"/>
        <v>0</v>
      </c>
      <c r="W173" s="258">
        <f t="shared" si="42"/>
        <v>0</v>
      </c>
      <c r="X173" s="258">
        <f t="shared" si="43"/>
        <v>0</v>
      </c>
    </row>
    <row r="174" spans="1:24" s="243" customFormat="1" x14ac:dyDescent="0.2">
      <c r="A174" s="210" t="str">
        <f>'School Level Inst. Resources'!A174</f>
        <v>1101000</v>
      </c>
      <c r="B174" s="210" t="str">
        <f>'School Level Inst. Resources'!B174</f>
        <v>Laramie #1</v>
      </c>
      <c r="C174" s="210" t="str">
        <f>'School Level Inst. Resources'!C174</f>
        <v>1101045</v>
      </c>
      <c r="D174" s="210" t="str">
        <f>'School Level Inst. Resources'!D174</f>
        <v>PODER Secondary School</v>
      </c>
      <c r="E174" s="211" t="str">
        <f>'School Level Inst. Resources'!E174</f>
        <v>6-9</v>
      </c>
      <c r="F174" s="212" t="str">
        <f>'School Level Inst. Resources'!H174</f>
        <v>M</v>
      </c>
      <c r="G174" s="212" t="s">
        <v>1158</v>
      </c>
      <c r="H174" s="212" t="s">
        <v>376</v>
      </c>
      <c r="I174" s="260">
        <f>SUM('School Level ADM'!$BI173,'School Level ADM'!$BI174)</f>
        <v>196.352</v>
      </c>
      <c r="J174" s="258">
        <f t="shared" si="30"/>
        <v>0</v>
      </c>
      <c r="K174" s="258">
        <f t="shared" si="31"/>
        <v>0</v>
      </c>
      <c r="L174" s="258">
        <f t="shared" si="32"/>
        <v>0</v>
      </c>
      <c r="M174" s="258">
        <f t="shared" si="33"/>
        <v>49358</v>
      </c>
      <c r="N174" s="258">
        <f t="shared" si="34"/>
        <v>0</v>
      </c>
      <c r="O174" s="258">
        <f t="shared" si="35"/>
        <v>0</v>
      </c>
      <c r="P174" s="258">
        <f t="shared" si="36"/>
        <v>49358</v>
      </c>
      <c r="Q174" s="260">
        <f>SUM('School Level ADM'!$AU173,'School Level ADM'!$AU174)</f>
        <v>245.26499999999999</v>
      </c>
      <c r="R174" s="258">
        <f t="shared" si="37"/>
        <v>0</v>
      </c>
      <c r="S174" s="258">
        <f t="shared" si="38"/>
        <v>0</v>
      </c>
      <c r="T174" s="258">
        <f t="shared" si="39"/>
        <v>0</v>
      </c>
      <c r="U174" s="258">
        <f t="shared" si="40"/>
        <v>49358</v>
      </c>
      <c r="V174" s="258">
        <f t="shared" si="41"/>
        <v>0</v>
      </c>
      <c r="W174" s="258">
        <f t="shared" si="42"/>
        <v>0</v>
      </c>
      <c r="X174" s="258">
        <f t="shared" si="43"/>
        <v>49358</v>
      </c>
    </row>
    <row r="175" spans="1:24" x14ac:dyDescent="0.2">
      <c r="A175" s="227" t="str">
        <f>'School Level Inst. Resources'!A175</f>
        <v>1101000</v>
      </c>
      <c r="B175" s="227" t="str">
        <f>'School Level Inst. Resources'!B175</f>
        <v>Laramie #1</v>
      </c>
      <c r="C175" s="227" t="str">
        <f>'School Level Inst. Resources'!C175</f>
        <v>1101050</v>
      </c>
      <c r="D175" s="227" t="str">
        <f>'School Level Inst. Resources'!D175</f>
        <v>Carey Junior High School</v>
      </c>
      <c r="E175" s="228" t="str">
        <f>'School Level Inst. Resources'!E175</f>
        <v>7-8</v>
      </c>
      <c r="F175" s="229" t="str">
        <f>'School Level Inst. Resources'!H175</f>
        <v>M</v>
      </c>
      <c r="G175" s="229" t="s">
        <v>1158</v>
      </c>
      <c r="H175" s="229" t="str">
        <f t="shared" si="44"/>
        <v>M</v>
      </c>
      <c r="I175" s="198">
        <f>'School Level ADM'!$BI175</f>
        <v>732.404</v>
      </c>
      <c r="J175" s="194">
        <f t="shared" si="30"/>
        <v>0</v>
      </c>
      <c r="K175" s="194">
        <f t="shared" si="31"/>
        <v>108858</v>
      </c>
      <c r="L175" s="194">
        <f t="shared" si="32"/>
        <v>0</v>
      </c>
      <c r="M175" s="194">
        <f t="shared" si="33"/>
        <v>0</v>
      </c>
      <c r="N175" s="194">
        <f t="shared" si="34"/>
        <v>0</v>
      </c>
      <c r="O175" s="194">
        <f t="shared" si="35"/>
        <v>0</v>
      </c>
      <c r="P175" s="194">
        <f t="shared" si="36"/>
        <v>108858</v>
      </c>
      <c r="Q175" s="198">
        <f>'School Level ADM'!$AU175</f>
        <v>711.17</v>
      </c>
      <c r="R175" s="194">
        <f t="shared" si="37"/>
        <v>0</v>
      </c>
      <c r="S175" s="194">
        <f t="shared" si="38"/>
        <v>108858</v>
      </c>
      <c r="T175" s="194">
        <f t="shared" si="39"/>
        <v>0</v>
      </c>
      <c r="U175" s="194">
        <f t="shared" si="40"/>
        <v>0</v>
      </c>
      <c r="V175" s="194">
        <f t="shared" si="41"/>
        <v>0</v>
      </c>
      <c r="W175" s="194">
        <f t="shared" si="42"/>
        <v>0</v>
      </c>
      <c r="X175" s="194">
        <f t="shared" si="43"/>
        <v>108858</v>
      </c>
    </row>
    <row r="176" spans="1:24" x14ac:dyDescent="0.2">
      <c r="A176" s="227" t="str">
        <f>'School Level Inst. Resources'!A176</f>
        <v>1101000</v>
      </c>
      <c r="B176" s="227" t="str">
        <f>'School Level Inst. Resources'!B176</f>
        <v>Laramie #1</v>
      </c>
      <c r="C176" s="227" t="str">
        <f>'School Level Inst. Resources'!C176</f>
        <v>1101051</v>
      </c>
      <c r="D176" s="227" t="str">
        <f>'School Level Inst. Resources'!D176</f>
        <v>Johnson Junior High School</v>
      </c>
      <c r="E176" s="228" t="str">
        <f>'School Level Inst. Resources'!E176</f>
        <v>7-8</v>
      </c>
      <c r="F176" s="245" t="str">
        <f>'School Level Inst. Resources'!H176</f>
        <v>M</v>
      </c>
      <c r="G176" s="245" t="s">
        <v>1158</v>
      </c>
      <c r="H176" s="245" t="str">
        <f t="shared" si="44"/>
        <v>M</v>
      </c>
      <c r="I176" s="198">
        <f>'School Level ADM'!$BI176</f>
        <v>711.92100000000005</v>
      </c>
      <c r="J176" s="194">
        <f t="shared" si="30"/>
        <v>0</v>
      </c>
      <c r="K176" s="194">
        <f t="shared" si="31"/>
        <v>106230</v>
      </c>
      <c r="L176" s="194">
        <f t="shared" si="32"/>
        <v>0</v>
      </c>
      <c r="M176" s="194">
        <f t="shared" si="33"/>
        <v>0</v>
      </c>
      <c r="N176" s="194">
        <f t="shared" si="34"/>
        <v>0</v>
      </c>
      <c r="O176" s="194">
        <f t="shared" si="35"/>
        <v>0</v>
      </c>
      <c r="P176" s="194">
        <f t="shared" si="36"/>
        <v>106230</v>
      </c>
      <c r="Q176" s="198">
        <f>'School Level ADM'!$AU176</f>
        <v>688.51499999999999</v>
      </c>
      <c r="R176" s="194">
        <f t="shared" si="37"/>
        <v>0</v>
      </c>
      <c r="S176" s="194">
        <f t="shared" si="38"/>
        <v>106230</v>
      </c>
      <c r="T176" s="194">
        <f t="shared" si="39"/>
        <v>0</v>
      </c>
      <c r="U176" s="194">
        <f t="shared" si="40"/>
        <v>0</v>
      </c>
      <c r="V176" s="194">
        <f t="shared" si="41"/>
        <v>0</v>
      </c>
      <c r="W176" s="194">
        <f t="shared" si="42"/>
        <v>0</v>
      </c>
      <c r="X176" s="194">
        <f t="shared" si="43"/>
        <v>106230</v>
      </c>
    </row>
    <row r="177" spans="1:24" x14ac:dyDescent="0.2">
      <c r="A177" s="227" t="str">
        <f>'School Level Inst. Resources'!A177</f>
        <v>1101000</v>
      </c>
      <c r="B177" s="227" t="str">
        <f>'School Level Inst. Resources'!B177</f>
        <v>Laramie #1</v>
      </c>
      <c r="C177" s="227" t="str">
        <f>'School Level Inst. Resources'!C177</f>
        <v>1101052</v>
      </c>
      <c r="D177" s="227" t="str">
        <f>'School Level Inst. Resources'!D177</f>
        <v>McCormick Junior High School</v>
      </c>
      <c r="E177" s="228" t="str">
        <f>'School Level Inst. Resources'!E177</f>
        <v>7-8</v>
      </c>
      <c r="F177" s="229" t="str">
        <f>'School Level Inst. Resources'!H177</f>
        <v>M</v>
      </c>
      <c r="G177" s="229" t="s">
        <v>1158</v>
      </c>
      <c r="H177" s="229" t="str">
        <f t="shared" si="44"/>
        <v>M</v>
      </c>
      <c r="I177" s="198">
        <f>'School Level ADM'!$BI177</f>
        <v>708.06299999999999</v>
      </c>
      <c r="J177" s="194">
        <f t="shared" si="30"/>
        <v>0</v>
      </c>
      <c r="K177" s="194">
        <f t="shared" si="31"/>
        <v>105746</v>
      </c>
      <c r="L177" s="194">
        <f t="shared" si="32"/>
        <v>0</v>
      </c>
      <c r="M177" s="194">
        <f t="shared" si="33"/>
        <v>0</v>
      </c>
      <c r="N177" s="194">
        <f t="shared" si="34"/>
        <v>0</v>
      </c>
      <c r="O177" s="194">
        <f t="shared" si="35"/>
        <v>0</v>
      </c>
      <c r="P177" s="194">
        <f t="shared" si="36"/>
        <v>105746</v>
      </c>
      <c r="Q177" s="198">
        <f>'School Level ADM'!$AU177</f>
        <v>685.56</v>
      </c>
      <c r="R177" s="194">
        <f t="shared" si="37"/>
        <v>0</v>
      </c>
      <c r="S177" s="194">
        <f t="shared" si="38"/>
        <v>105746</v>
      </c>
      <c r="T177" s="194">
        <f t="shared" si="39"/>
        <v>0</v>
      </c>
      <c r="U177" s="194">
        <f t="shared" si="40"/>
        <v>0</v>
      </c>
      <c r="V177" s="194">
        <f t="shared" si="41"/>
        <v>0</v>
      </c>
      <c r="W177" s="194">
        <f t="shared" si="42"/>
        <v>0</v>
      </c>
      <c r="X177" s="194">
        <f t="shared" si="43"/>
        <v>105746</v>
      </c>
    </row>
    <row r="178" spans="1:24" x14ac:dyDescent="0.2">
      <c r="A178" s="227" t="str">
        <f>'School Level Inst. Resources'!A178</f>
        <v>1101000</v>
      </c>
      <c r="B178" s="227" t="str">
        <f>'School Level Inst. Resources'!B178</f>
        <v>Laramie #1</v>
      </c>
      <c r="C178" s="227" t="str">
        <f>'School Level Inst. Resources'!C178</f>
        <v>1101055</v>
      </c>
      <c r="D178" s="227" t="str">
        <f>'School Level Inst. Resources'!D178</f>
        <v>Central High School</v>
      </c>
      <c r="E178" s="228" t="str">
        <f>'School Level Inst. Resources'!E178</f>
        <v>9-12</v>
      </c>
      <c r="F178" s="229" t="str">
        <f>'School Level Inst. Resources'!H178</f>
        <v>H</v>
      </c>
      <c r="G178" s="229" t="s">
        <v>1158</v>
      </c>
      <c r="H178" s="229" t="str">
        <f t="shared" si="44"/>
        <v>H</v>
      </c>
      <c r="I178" s="198">
        <f>'School Level ADM'!$BI178</f>
        <v>1128.3800000000001</v>
      </c>
      <c r="J178" s="194">
        <f t="shared" si="30"/>
        <v>0</v>
      </c>
      <c r="K178" s="194">
        <f t="shared" si="31"/>
        <v>0</v>
      </c>
      <c r="L178" s="194">
        <f t="shared" si="32"/>
        <v>191558</v>
      </c>
      <c r="M178" s="194">
        <f t="shared" si="33"/>
        <v>0</v>
      </c>
      <c r="N178" s="194">
        <f t="shared" si="34"/>
        <v>0</v>
      </c>
      <c r="O178" s="194">
        <f t="shared" si="35"/>
        <v>0</v>
      </c>
      <c r="P178" s="194">
        <f t="shared" si="36"/>
        <v>191558</v>
      </c>
      <c r="Q178" s="198">
        <f>'School Level ADM'!$AU178</f>
        <v>1156.3900000000001</v>
      </c>
      <c r="R178" s="194">
        <f t="shared" si="37"/>
        <v>0</v>
      </c>
      <c r="S178" s="194">
        <f t="shared" si="38"/>
        <v>0</v>
      </c>
      <c r="T178" s="194">
        <f t="shared" si="39"/>
        <v>191558</v>
      </c>
      <c r="U178" s="194">
        <f t="shared" si="40"/>
        <v>0</v>
      </c>
      <c r="V178" s="194">
        <f t="shared" si="41"/>
        <v>0</v>
      </c>
      <c r="W178" s="194">
        <f t="shared" si="42"/>
        <v>0</v>
      </c>
      <c r="X178" s="194">
        <f t="shared" si="43"/>
        <v>191558</v>
      </c>
    </row>
    <row r="179" spans="1:24" x14ac:dyDescent="0.2">
      <c r="A179" s="227" t="str">
        <f>'School Level Inst. Resources'!A179</f>
        <v>1101000</v>
      </c>
      <c r="B179" s="227" t="str">
        <f>'School Level Inst. Resources'!B179</f>
        <v>Laramie #1</v>
      </c>
      <c r="C179" s="227" t="str">
        <f>'School Level Inst. Resources'!C179</f>
        <v>1101056</v>
      </c>
      <c r="D179" s="227" t="str">
        <f>'School Level Inst. Resources'!D179</f>
        <v>East High School</v>
      </c>
      <c r="E179" s="228" t="str">
        <f>'School Level Inst. Resources'!E179</f>
        <v>9-12</v>
      </c>
      <c r="F179" s="229" t="str">
        <f>'School Level Inst. Resources'!H179</f>
        <v>H</v>
      </c>
      <c r="G179" s="229" t="s">
        <v>1158</v>
      </c>
      <c r="H179" s="229" t="str">
        <f t="shared" si="44"/>
        <v>H</v>
      </c>
      <c r="I179" s="198">
        <f>'School Level ADM'!$BI179</f>
        <v>1413.627</v>
      </c>
      <c r="J179" s="194">
        <f t="shared" si="30"/>
        <v>0</v>
      </c>
      <c r="K179" s="194">
        <f t="shared" si="31"/>
        <v>0</v>
      </c>
      <c r="L179" s="194">
        <f t="shared" si="32"/>
        <v>237023</v>
      </c>
      <c r="M179" s="194">
        <f t="shared" si="33"/>
        <v>0</v>
      </c>
      <c r="N179" s="194">
        <f t="shared" si="34"/>
        <v>0</v>
      </c>
      <c r="O179" s="194">
        <f t="shared" si="35"/>
        <v>0</v>
      </c>
      <c r="P179" s="194">
        <f t="shared" si="36"/>
        <v>237023</v>
      </c>
      <c r="Q179" s="198">
        <f>'School Level ADM'!$AU179</f>
        <v>1422.34</v>
      </c>
      <c r="R179" s="194">
        <f t="shared" si="37"/>
        <v>0</v>
      </c>
      <c r="S179" s="194">
        <f t="shared" si="38"/>
        <v>0</v>
      </c>
      <c r="T179" s="194">
        <f t="shared" si="39"/>
        <v>237023</v>
      </c>
      <c r="U179" s="194">
        <f t="shared" si="40"/>
        <v>0</v>
      </c>
      <c r="V179" s="194">
        <f t="shared" si="41"/>
        <v>0</v>
      </c>
      <c r="W179" s="194">
        <f t="shared" si="42"/>
        <v>0</v>
      </c>
      <c r="X179" s="194">
        <f t="shared" si="43"/>
        <v>237023</v>
      </c>
    </row>
    <row r="180" spans="1:24" x14ac:dyDescent="0.2">
      <c r="A180" s="227" t="str">
        <f>'School Level Inst. Resources'!A180</f>
        <v>1101000</v>
      </c>
      <c r="B180" s="227" t="str">
        <f>'School Level Inst. Resources'!B180</f>
        <v>Laramie #1</v>
      </c>
      <c r="C180" s="227" t="str">
        <f>'School Level Inst. Resources'!C180</f>
        <v>1101057</v>
      </c>
      <c r="D180" s="227" t="str">
        <f>'School Level Inst. Resources'!D180</f>
        <v>Triumph High School</v>
      </c>
      <c r="E180" s="228" t="str">
        <f>'School Level Inst. Resources'!E180</f>
        <v>9-12</v>
      </c>
      <c r="F180" s="229" t="str">
        <f>'School Level Inst. Resources'!H180</f>
        <v>H</v>
      </c>
      <c r="G180" s="229" t="s">
        <v>1158</v>
      </c>
      <c r="H180" s="229" t="str">
        <f t="shared" si="44"/>
        <v>H</v>
      </c>
      <c r="I180" s="198">
        <f>'School Level ADM'!$BI180</f>
        <v>191.97799999999998</v>
      </c>
      <c r="J180" s="194">
        <f t="shared" si="30"/>
        <v>0</v>
      </c>
      <c r="K180" s="194">
        <f t="shared" si="31"/>
        <v>0</v>
      </c>
      <c r="L180" s="194">
        <f t="shared" si="32"/>
        <v>61634</v>
      </c>
      <c r="M180" s="194">
        <f t="shared" si="33"/>
        <v>0</v>
      </c>
      <c r="N180" s="194">
        <f t="shared" si="34"/>
        <v>0</v>
      </c>
      <c r="O180" s="194">
        <f t="shared" si="35"/>
        <v>0</v>
      </c>
      <c r="P180" s="194">
        <f t="shared" si="36"/>
        <v>61634</v>
      </c>
      <c r="Q180" s="198">
        <f>'School Level ADM'!$AU180</f>
        <v>202.91000000000003</v>
      </c>
      <c r="R180" s="194">
        <f t="shared" si="37"/>
        <v>0</v>
      </c>
      <c r="S180" s="194">
        <f t="shared" si="38"/>
        <v>0</v>
      </c>
      <c r="T180" s="194">
        <f t="shared" si="39"/>
        <v>61634</v>
      </c>
      <c r="U180" s="194">
        <f t="shared" si="40"/>
        <v>0</v>
      </c>
      <c r="V180" s="194">
        <f t="shared" si="41"/>
        <v>0</v>
      </c>
      <c r="W180" s="194">
        <f t="shared" si="42"/>
        <v>0</v>
      </c>
      <c r="X180" s="194">
        <f t="shared" si="43"/>
        <v>61634</v>
      </c>
    </row>
    <row r="181" spans="1:24" x14ac:dyDescent="0.2">
      <c r="A181" s="227" t="str">
        <f>'School Level Inst. Resources'!A181</f>
        <v>1101000</v>
      </c>
      <c r="B181" s="227" t="str">
        <f>'School Level Inst. Resources'!B181</f>
        <v>Laramie #1</v>
      </c>
      <c r="C181" s="227" t="str">
        <f>'School Level Inst. Resources'!C181</f>
        <v>1101058</v>
      </c>
      <c r="D181" s="227" t="str">
        <f>'School Level Inst. Resources'!D181</f>
        <v>South High School</v>
      </c>
      <c r="E181" s="228" t="str">
        <f>'School Level Inst. Resources'!E181</f>
        <v>9-12</v>
      </c>
      <c r="F181" s="229" t="str">
        <f>'School Level Inst. Resources'!H181</f>
        <v>H</v>
      </c>
      <c r="G181" s="229" t="s">
        <v>1158</v>
      </c>
      <c r="H181" s="229" t="str">
        <f t="shared" si="44"/>
        <v>H</v>
      </c>
      <c r="I181" s="198">
        <f>'School Level ADM'!$BI181</f>
        <v>1098.6479999999999</v>
      </c>
      <c r="J181" s="194">
        <f t="shared" si="30"/>
        <v>0</v>
      </c>
      <c r="K181" s="194">
        <f t="shared" si="31"/>
        <v>0</v>
      </c>
      <c r="L181" s="194">
        <f t="shared" si="32"/>
        <v>187309</v>
      </c>
      <c r="M181" s="194">
        <f t="shared" si="33"/>
        <v>0</v>
      </c>
      <c r="N181" s="194">
        <f t="shared" si="34"/>
        <v>0</v>
      </c>
      <c r="O181" s="194">
        <f t="shared" si="35"/>
        <v>0</v>
      </c>
      <c r="P181" s="194">
        <f t="shared" si="36"/>
        <v>187309</v>
      </c>
      <c r="Q181" s="198">
        <f>'School Level ADM'!$AU181</f>
        <v>1123.885</v>
      </c>
      <c r="R181" s="194">
        <f t="shared" si="37"/>
        <v>0</v>
      </c>
      <c r="S181" s="194">
        <f t="shared" si="38"/>
        <v>0</v>
      </c>
      <c r="T181" s="194">
        <f t="shared" si="39"/>
        <v>187309</v>
      </c>
      <c r="U181" s="194">
        <f t="shared" si="40"/>
        <v>0</v>
      </c>
      <c r="V181" s="194">
        <f t="shared" si="41"/>
        <v>0</v>
      </c>
      <c r="W181" s="194">
        <f t="shared" si="42"/>
        <v>0</v>
      </c>
      <c r="X181" s="194">
        <f t="shared" si="43"/>
        <v>187309</v>
      </c>
    </row>
    <row r="182" spans="1:24" x14ac:dyDescent="0.2">
      <c r="A182" s="227" t="str">
        <f>'School Level Inst. Resources'!A182</f>
        <v>1102000</v>
      </c>
      <c r="B182" s="227" t="str">
        <f>'School Level Inst. Resources'!B182</f>
        <v>Laramie #2</v>
      </c>
      <c r="C182" s="227" t="str">
        <f>'School Level Inst. Resources'!C182</f>
        <v>1102001</v>
      </c>
      <c r="D182" s="227" t="str">
        <f>'School Level Inst. Resources'!D182</f>
        <v>Albin Elementary</v>
      </c>
      <c r="E182" s="228" t="str">
        <f>'School Level Inst. Resources'!E182</f>
        <v>K-6</v>
      </c>
      <c r="F182" s="229" t="str">
        <f>'School Level Inst. Resources'!H182</f>
        <v>E</v>
      </c>
      <c r="G182" s="229" t="s">
        <v>1158</v>
      </c>
      <c r="H182" s="229" t="str">
        <f t="shared" si="44"/>
        <v>E</v>
      </c>
      <c r="I182" s="198">
        <f>'School Level ADM'!$BI182</f>
        <v>53.606000000000002</v>
      </c>
      <c r="J182" s="194">
        <f t="shared" si="30"/>
        <v>10477</v>
      </c>
      <c r="K182" s="194">
        <f t="shared" si="31"/>
        <v>0</v>
      </c>
      <c r="L182" s="194">
        <f t="shared" si="32"/>
        <v>0</v>
      </c>
      <c r="M182" s="194">
        <f t="shared" si="33"/>
        <v>0</v>
      </c>
      <c r="N182" s="194">
        <f t="shared" si="34"/>
        <v>0</v>
      </c>
      <c r="O182" s="194">
        <f t="shared" si="35"/>
        <v>0</v>
      </c>
      <c r="P182" s="194">
        <f t="shared" si="36"/>
        <v>10477</v>
      </c>
      <c r="Q182" s="198">
        <f>'School Level ADM'!$AU182</f>
        <v>48.265000000000001</v>
      </c>
      <c r="R182" s="194">
        <f t="shared" si="37"/>
        <v>10477</v>
      </c>
      <c r="S182" s="194">
        <f t="shared" si="38"/>
        <v>0</v>
      </c>
      <c r="T182" s="194">
        <f t="shared" si="39"/>
        <v>0</v>
      </c>
      <c r="U182" s="194">
        <f t="shared" si="40"/>
        <v>0</v>
      </c>
      <c r="V182" s="194">
        <f t="shared" si="41"/>
        <v>0</v>
      </c>
      <c r="W182" s="194">
        <f t="shared" si="42"/>
        <v>0</v>
      </c>
      <c r="X182" s="194">
        <f t="shared" si="43"/>
        <v>10477</v>
      </c>
    </row>
    <row r="183" spans="1:24" x14ac:dyDescent="0.2">
      <c r="A183" s="227" t="str">
        <f>'School Level Inst. Resources'!A183</f>
        <v>1102000</v>
      </c>
      <c r="B183" s="227" t="str">
        <f>'School Level Inst. Resources'!B183</f>
        <v>Laramie #2</v>
      </c>
      <c r="C183" s="227" t="str">
        <f>'School Level Inst. Resources'!C183</f>
        <v>1102002</v>
      </c>
      <c r="D183" s="227" t="str">
        <f>'School Level Inst. Resources'!D183</f>
        <v>Carpenter Elementary</v>
      </c>
      <c r="E183" s="228" t="str">
        <f>'School Level Inst. Resources'!E183</f>
        <v>K-6</v>
      </c>
      <c r="F183" s="229" t="str">
        <f>'School Level Inst. Resources'!H183</f>
        <v>E</v>
      </c>
      <c r="G183" s="229" t="s">
        <v>1158</v>
      </c>
      <c r="H183" s="229" t="str">
        <f t="shared" si="44"/>
        <v>E</v>
      </c>
      <c r="I183" s="198">
        <f>'School Level ADM'!$BI183</f>
        <v>98.923000000000002</v>
      </c>
      <c r="J183" s="194">
        <f t="shared" si="30"/>
        <v>18279</v>
      </c>
      <c r="K183" s="194">
        <f t="shared" si="31"/>
        <v>0</v>
      </c>
      <c r="L183" s="194">
        <f t="shared" si="32"/>
        <v>0</v>
      </c>
      <c r="M183" s="194">
        <f t="shared" si="33"/>
        <v>0</v>
      </c>
      <c r="N183" s="194">
        <f t="shared" si="34"/>
        <v>0</v>
      </c>
      <c r="O183" s="194">
        <f t="shared" si="35"/>
        <v>0</v>
      </c>
      <c r="P183" s="194">
        <f t="shared" si="36"/>
        <v>18279</v>
      </c>
      <c r="Q183" s="198">
        <f>'School Level ADM'!$AU183</f>
        <v>105.39500000000001</v>
      </c>
      <c r="R183" s="194">
        <f t="shared" si="37"/>
        <v>18279</v>
      </c>
      <c r="S183" s="194">
        <f t="shared" si="38"/>
        <v>0</v>
      </c>
      <c r="T183" s="194">
        <f t="shared" si="39"/>
        <v>0</v>
      </c>
      <c r="U183" s="194">
        <f t="shared" si="40"/>
        <v>0</v>
      </c>
      <c r="V183" s="194">
        <f t="shared" si="41"/>
        <v>0</v>
      </c>
      <c r="W183" s="194">
        <f t="shared" si="42"/>
        <v>0</v>
      </c>
      <c r="X183" s="194">
        <f t="shared" si="43"/>
        <v>18279</v>
      </c>
    </row>
    <row r="184" spans="1:24" x14ac:dyDescent="0.2">
      <c r="A184" s="227" t="str">
        <f>'School Level Inst. Resources'!A184</f>
        <v>1102000</v>
      </c>
      <c r="B184" s="227" t="str">
        <f>'School Level Inst. Resources'!B184</f>
        <v>Laramie #2</v>
      </c>
      <c r="C184" s="227" t="str">
        <f>'School Level Inst. Resources'!C184</f>
        <v>1102004</v>
      </c>
      <c r="D184" s="227" t="str">
        <f>'School Level Inst. Resources'!D184</f>
        <v>Pine Bluffs Elementary</v>
      </c>
      <c r="E184" s="228" t="str">
        <f>'School Level Inst. Resources'!E184</f>
        <v>K-6</v>
      </c>
      <c r="F184" s="229" t="str">
        <f>'School Level Inst. Resources'!H184</f>
        <v>E</v>
      </c>
      <c r="G184" s="229" t="s">
        <v>1158</v>
      </c>
      <c r="H184" s="229" t="str">
        <f t="shared" si="44"/>
        <v>E</v>
      </c>
      <c r="I184" s="198">
        <f>'School Level ADM'!$BI184</f>
        <v>145.78</v>
      </c>
      <c r="J184" s="194">
        <f t="shared" si="30"/>
        <v>25479</v>
      </c>
      <c r="K184" s="194">
        <f t="shared" si="31"/>
        <v>0</v>
      </c>
      <c r="L184" s="194">
        <f t="shared" si="32"/>
        <v>0</v>
      </c>
      <c r="M184" s="194">
        <f t="shared" si="33"/>
        <v>0</v>
      </c>
      <c r="N184" s="194">
        <f t="shared" si="34"/>
        <v>0</v>
      </c>
      <c r="O184" s="194">
        <f t="shared" si="35"/>
        <v>0</v>
      </c>
      <c r="P184" s="194">
        <f t="shared" si="36"/>
        <v>25479</v>
      </c>
      <c r="Q184" s="198">
        <f>'School Level ADM'!$AU184</f>
        <v>150.70500000000001</v>
      </c>
      <c r="R184" s="194">
        <f t="shared" si="37"/>
        <v>25479</v>
      </c>
      <c r="S184" s="194">
        <f t="shared" si="38"/>
        <v>0</v>
      </c>
      <c r="T184" s="194">
        <f t="shared" si="39"/>
        <v>0</v>
      </c>
      <c r="U184" s="194">
        <f t="shared" si="40"/>
        <v>0</v>
      </c>
      <c r="V184" s="194">
        <f t="shared" si="41"/>
        <v>0</v>
      </c>
      <c r="W184" s="194">
        <f t="shared" si="42"/>
        <v>0</v>
      </c>
      <c r="X184" s="194">
        <f t="shared" si="43"/>
        <v>25479</v>
      </c>
    </row>
    <row r="185" spans="1:24" x14ac:dyDescent="0.2">
      <c r="A185" s="227" t="str">
        <f>'School Level Inst. Resources'!A185</f>
        <v>1102000</v>
      </c>
      <c r="B185" s="227" t="str">
        <f>'School Level Inst. Resources'!B185</f>
        <v>Laramie #2</v>
      </c>
      <c r="C185" s="227" t="str">
        <f>'School Level Inst. Resources'!C185</f>
        <v>1102005</v>
      </c>
      <c r="D185" s="227" t="str">
        <f>'School Level Inst. Resources'!D185</f>
        <v>Burns Elementary</v>
      </c>
      <c r="E185" s="228" t="str">
        <f>'School Level Inst. Resources'!E185</f>
        <v>K-6</v>
      </c>
      <c r="F185" s="229" t="str">
        <f>'School Level Inst. Resources'!H185</f>
        <v>E</v>
      </c>
      <c r="G185" s="229" t="s">
        <v>1158</v>
      </c>
      <c r="H185" s="229" t="str">
        <f t="shared" si="44"/>
        <v>E</v>
      </c>
      <c r="I185" s="198">
        <f>'School Level ADM'!$BI185</f>
        <v>260.76900000000001</v>
      </c>
      <c r="J185" s="194">
        <f t="shared" si="30"/>
        <v>40229</v>
      </c>
      <c r="K185" s="194">
        <f t="shared" si="31"/>
        <v>0</v>
      </c>
      <c r="L185" s="194">
        <f t="shared" si="32"/>
        <v>0</v>
      </c>
      <c r="M185" s="194">
        <f t="shared" si="33"/>
        <v>0</v>
      </c>
      <c r="N185" s="194">
        <f t="shared" si="34"/>
        <v>0</v>
      </c>
      <c r="O185" s="194">
        <f t="shared" si="35"/>
        <v>0</v>
      </c>
      <c r="P185" s="194">
        <f t="shared" si="36"/>
        <v>40229</v>
      </c>
      <c r="Q185" s="198">
        <f>'School Level ADM'!$AU185</f>
        <v>261.02499999999998</v>
      </c>
      <c r="R185" s="194">
        <f t="shared" si="37"/>
        <v>40229</v>
      </c>
      <c r="S185" s="194">
        <f t="shared" si="38"/>
        <v>0</v>
      </c>
      <c r="T185" s="194">
        <f t="shared" si="39"/>
        <v>0</v>
      </c>
      <c r="U185" s="194">
        <f t="shared" si="40"/>
        <v>0</v>
      </c>
      <c r="V185" s="194">
        <f t="shared" si="41"/>
        <v>0</v>
      </c>
      <c r="W185" s="194">
        <f t="shared" si="42"/>
        <v>0</v>
      </c>
      <c r="X185" s="194">
        <f t="shared" si="43"/>
        <v>40229</v>
      </c>
    </row>
    <row r="186" spans="1:24" x14ac:dyDescent="0.2">
      <c r="A186" s="227" t="str">
        <f>'School Level Inst. Resources'!A186</f>
        <v>1102000</v>
      </c>
      <c r="B186" s="227" t="str">
        <f>'School Level Inst. Resources'!B186</f>
        <v>Laramie #2</v>
      </c>
      <c r="C186" s="227" t="str">
        <f>'School Level Inst. Resources'!C186</f>
        <v>1102056</v>
      </c>
      <c r="D186" s="227" t="str">
        <f>'School Level Inst. Resources'!D186</f>
        <v>Burns Jr &amp; Sr High School</v>
      </c>
      <c r="E186" s="228" t="str">
        <f>'School Level Inst. Resources'!E186</f>
        <v>7-12</v>
      </c>
      <c r="F186" s="229" t="str">
        <f>'School Level Inst. Resources'!H186</f>
        <v>H</v>
      </c>
      <c r="G186" s="229" t="s">
        <v>1158</v>
      </c>
      <c r="H186" s="229" t="str">
        <f t="shared" si="44"/>
        <v>6-12</v>
      </c>
      <c r="I186" s="198">
        <f>'School Level ADM'!$BI186</f>
        <v>276.16500000000002</v>
      </c>
      <c r="J186" s="194">
        <f t="shared" si="30"/>
        <v>0</v>
      </c>
      <c r="K186" s="194">
        <f t="shared" si="31"/>
        <v>0</v>
      </c>
      <c r="L186" s="194">
        <f t="shared" si="32"/>
        <v>0</v>
      </c>
      <c r="M186" s="194">
        <f t="shared" si="33"/>
        <v>0</v>
      </c>
      <c r="N186" s="194">
        <f t="shared" si="34"/>
        <v>76765</v>
      </c>
      <c r="O186" s="194">
        <f t="shared" si="35"/>
        <v>0</v>
      </c>
      <c r="P186" s="194">
        <f t="shared" si="36"/>
        <v>76765</v>
      </c>
      <c r="Q186" s="198">
        <f>'School Level ADM'!$AU186</f>
        <v>291.56</v>
      </c>
      <c r="R186" s="194">
        <f t="shared" si="37"/>
        <v>0</v>
      </c>
      <c r="S186" s="194">
        <f t="shared" si="38"/>
        <v>0</v>
      </c>
      <c r="T186" s="194">
        <f t="shared" si="39"/>
        <v>0</v>
      </c>
      <c r="U186" s="194">
        <f t="shared" si="40"/>
        <v>0</v>
      </c>
      <c r="V186" s="194">
        <f t="shared" si="41"/>
        <v>76765</v>
      </c>
      <c r="W186" s="194">
        <f t="shared" si="42"/>
        <v>0</v>
      </c>
      <c r="X186" s="194">
        <f t="shared" si="43"/>
        <v>76765</v>
      </c>
    </row>
    <row r="187" spans="1:24" x14ac:dyDescent="0.2">
      <c r="A187" s="227" t="str">
        <f>'School Level Inst. Resources'!A187</f>
        <v>1102000</v>
      </c>
      <c r="B187" s="227" t="str">
        <f>'School Level Inst. Resources'!B187</f>
        <v>Laramie #2</v>
      </c>
      <c r="C187" s="227" t="str">
        <f>'School Level Inst. Resources'!C187</f>
        <v>1102057</v>
      </c>
      <c r="D187" s="227" t="str">
        <f>'School Level Inst. Resources'!D187</f>
        <v>Pine Bluffs Jr &amp; Sr High School</v>
      </c>
      <c r="E187" s="228" t="str">
        <f>'School Level Inst. Resources'!E187</f>
        <v>7-12</v>
      </c>
      <c r="F187" s="229" t="str">
        <f>'School Level Inst. Resources'!H187</f>
        <v>H</v>
      </c>
      <c r="G187" s="229" t="s">
        <v>1158</v>
      </c>
      <c r="H187" s="229" t="str">
        <f t="shared" si="44"/>
        <v>6-12</v>
      </c>
      <c r="I187" s="198">
        <f>'School Level ADM'!$BI187</f>
        <v>163.851</v>
      </c>
      <c r="J187" s="194">
        <f t="shared" si="30"/>
        <v>0</v>
      </c>
      <c r="K187" s="194">
        <f t="shared" si="31"/>
        <v>0</v>
      </c>
      <c r="L187" s="194">
        <f t="shared" si="32"/>
        <v>0</v>
      </c>
      <c r="M187" s="194">
        <f t="shared" si="33"/>
        <v>0</v>
      </c>
      <c r="N187" s="194">
        <f t="shared" si="34"/>
        <v>60427</v>
      </c>
      <c r="O187" s="194">
        <f t="shared" si="35"/>
        <v>0</v>
      </c>
      <c r="P187" s="194">
        <f t="shared" si="36"/>
        <v>60427</v>
      </c>
      <c r="Q187" s="198">
        <f>'School Level ADM'!$AU187</f>
        <v>178.285</v>
      </c>
      <c r="R187" s="194">
        <f t="shared" si="37"/>
        <v>0</v>
      </c>
      <c r="S187" s="194">
        <f t="shared" si="38"/>
        <v>0</v>
      </c>
      <c r="T187" s="194">
        <f t="shared" si="39"/>
        <v>0</v>
      </c>
      <c r="U187" s="194">
        <f t="shared" si="40"/>
        <v>0</v>
      </c>
      <c r="V187" s="194">
        <f t="shared" si="41"/>
        <v>60427</v>
      </c>
      <c r="W187" s="194">
        <f t="shared" si="42"/>
        <v>0</v>
      </c>
      <c r="X187" s="194">
        <f t="shared" si="43"/>
        <v>60427</v>
      </c>
    </row>
    <row r="188" spans="1:24" x14ac:dyDescent="0.2">
      <c r="A188" s="227" t="str">
        <f>'School Level Inst. Resources'!A188</f>
        <v>1201000</v>
      </c>
      <c r="B188" s="227" t="str">
        <f>'School Level Inst. Resources'!B188</f>
        <v>Lincoln #1</v>
      </c>
      <c r="C188" s="227" t="str">
        <f>'School Level Inst. Resources'!C188</f>
        <v>1201004</v>
      </c>
      <c r="D188" s="227" t="str">
        <f>'School Level Inst. Resources'!D188</f>
        <v>Kemmerer Elementary</v>
      </c>
      <c r="E188" s="228" t="str">
        <f>'School Level Inst. Resources'!E188</f>
        <v>K-2</v>
      </c>
      <c r="F188" s="229" t="str">
        <f>'School Level Inst. Resources'!H188</f>
        <v>E</v>
      </c>
      <c r="G188" s="229" t="s">
        <v>1158</v>
      </c>
      <c r="H188" s="229" t="str">
        <f t="shared" si="44"/>
        <v>E</v>
      </c>
      <c r="I188" s="198">
        <f>'School Level ADM'!$BI188</f>
        <v>157.881</v>
      </c>
      <c r="J188" s="194">
        <f t="shared" si="30"/>
        <v>27211</v>
      </c>
      <c r="K188" s="194">
        <f t="shared" si="31"/>
        <v>0</v>
      </c>
      <c r="L188" s="194">
        <f t="shared" si="32"/>
        <v>0</v>
      </c>
      <c r="M188" s="194">
        <f t="shared" si="33"/>
        <v>0</v>
      </c>
      <c r="N188" s="194">
        <f t="shared" si="34"/>
        <v>0</v>
      </c>
      <c r="O188" s="194">
        <f t="shared" si="35"/>
        <v>0</v>
      </c>
      <c r="P188" s="194">
        <f t="shared" si="36"/>
        <v>27211</v>
      </c>
      <c r="Q188" s="198">
        <f>'School Level ADM'!$AU188</f>
        <v>145.78</v>
      </c>
      <c r="R188" s="194">
        <f t="shared" si="37"/>
        <v>27211</v>
      </c>
      <c r="S188" s="194">
        <f t="shared" si="38"/>
        <v>0</v>
      </c>
      <c r="T188" s="194">
        <f t="shared" si="39"/>
        <v>0</v>
      </c>
      <c r="U188" s="194">
        <f t="shared" si="40"/>
        <v>0</v>
      </c>
      <c r="V188" s="194">
        <f t="shared" si="41"/>
        <v>0</v>
      </c>
      <c r="W188" s="194">
        <f t="shared" si="42"/>
        <v>0</v>
      </c>
      <c r="X188" s="194">
        <f t="shared" si="43"/>
        <v>27211</v>
      </c>
    </row>
    <row r="189" spans="1:24" x14ac:dyDescent="0.2">
      <c r="A189" s="227" t="str">
        <f>'School Level Inst. Resources'!A189</f>
        <v>1201000</v>
      </c>
      <c r="B189" s="227" t="str">
        <f>'School Level Inst. Resources'!B189</f>
        <v>Lincoln #1</v>
      </c>
      <c r="C189" s="227" t="str">
        <f>'School Level Inst. Resources'!C189</f>
        <v>1201051</v>
      </c>
      <c r="D189" s="227" t="str">
        <f>'School Level Inst. Resources'!D189</f>
        <v>Canyon Elementary School</v>
      </c>
      <c r="E189" s="228" t="str">
        <f>'School Level Inst. Resources'!E189</f>
        <v>3-6</v>
      </c>
      <c r="F189" s="229" t="str">
        <f>'School Level Inst. Resources'!H189</f>
        <v>E</v>
      </c>
      <c r="G189" s="229" t="s">
        <v>1158</v>
      </c>
      <c r="H189" s="229" t="str">
        <f t="shared" si="44"/>
        <v>E</v>
      </c>
      <c r="I189" s="198">
        <f>'School Level ADM'!$BI189</f>
        <v>191.785</v>
      </c>
      <c r="J189" s="194">
        <f t="shared" si="30"/>
        <v>31816</v>
      </c>
      <c r="K189" s="194">
        <f t="shared" si="31"/>
        <v>0</v>
      </c>
      <c r="L189" s="194">
        <f t="shared" si="32"/>
        <v>0</v>
      </c>
      <c r="M189" s="194">
        <f t="shared" si="33"/>
        <v>0</v>
      </c>
      <c r="N189" s="194">
        <f t="shared" si="34"/>
        <v>0</v>
      </c>
      <c r="O189" s="194">
        <f t="shared" si="35"/>
        <v>0</v>
      </c>
      <c r="P189" s="194">
        <f t="shared" si="36"/>
        <v>31816</v>
      </c>
      <c r="Q189" s="198">
        <f>'School Level ADM'!$AU189</f>
        <v>197</v>
      </c>
      <c r="R189" s="194">
        <f t="shared" si="37"/>
        <v>31816</v>
      </c>
      <c r="S189" s="194">
        <f t="shared" si="38"/>
        <v>0</v>
      </c>
      <c r="T189" s="194">
        <f t="shared" si="39"/>
        <v>0</v>
      </c>
      <c r="U189" s="194">
        <f t="shared" si="40"/>
        <v>0</v>
      </c>
      <c r="V189" s="194">
        <f t="shared" si="41"/>
        <v>0</v>
      </c>
      <c r="W189" s="194">
        <f t="shared" si="42"/>
        <v>0</v>
      </c>
      <c r="X189" s="194">
        <f t="shared" si="43"/>
        <v>31816</v>
      </c>
    </row>
    <row r="190" spans="1:24" x14ac:dyDescent="0.2">
      <c r="A190" s="227" t="str">
        <f>'School Level Inst. Resources'!A190</f>
        <v>1201000</v>
      </c>
      <c r="B190" s="227" t="str">
        <f>'School Level Inst. Resources'!B190</f>
        <v>Lincoln #1</v>
      </c>
      <c r="C190" s="227" t="str">
        <f>'School Level Inst. Resources'!C190</f>
        <v>1201056</v>
      </c>
      <c r="D190" s="227" t="str">
        <f>'School Level Inst. Resources'!D190</f>
        <v>New Frontier High School</v>
      </c>
      <c r="E190" s="228" t="str">
        <f>'School Level Inst. Resources'!E190</f>
        <v>7-12</v>
      </c>
      <c r="F190" s="229" t="str">
        <f>'School Level Inst. Resources'!H190</f>
        <v>H</v>
      </c>
      <c r="G190" s="229" t="s">
        <v>1158</v>
      </c>
      <c r="H190" s="229" t="str">
        <f t="shared" si="44"/>
        <v>6-12</v>
      </c>
      <c r="I190" s="198">
        <f>'School Level ADM'!$BI190</f>
        <v>22.321000000000002</v>
      </c>
      <c r="J190" s="194">
        <f t="shared" si="30"/>
        <v>0</v>
      </c>
      <c r="K190" s="194">
        <f t="shared" si="31"/>
        <v>0</v>
      </c>
      <c r="L190" s="194">
        <f t="shared" si="32"/>
        <v>0</v>
      </c>
      <c r="M190" s="194">
        <f t="shared" si="33"/>
        <v>0</v>
      </c>
      <c r="N190" s="194">
        <f t="shared" si="34"/>
        <v>11843</v>
      </c>
      <c r="O190" s="194">
        <f t="shared" si="35"/>
        <v>0</v>
      </c>
      <c r="P190" s="194">
        <f t="shared" si="36"/>
        <v>11843</v>
      </c>
      <c r="Q190" s="198">
        <f>'School Level ADM'!$AU190</f>
        <v>16.745000000000001</v>
      </c>
      <c r="R190" s="194">
        <f t="shared" si="37"/>
        <v>0</v>
      </c>
      <c r="S190" s="194">
        <f t="shared" si="38"/>
        <v>0</v>
      </c>
      <c r="T190" s="194">
        <f t="shared" si="39"/>
        <v>0</v>
      </c>
      <c r="U190" s="194">
        <f t="shared" si="40"/>
        <v>0</v>
      </c>
      <c r="V190" s="194">
        <f t="shared" si="41"/>
        <v>11843</v>
      </c>
      <c r="W190" s="194">
        <f t="shared" si="42"/>
        <v>0</v>
      </c>
      <c r="X190" s="194">
        <f t="shared" si="43"/>
        <v>11843</v>
      </c>
    </row>
    <row r="191" spans="1:24" x14ac:dyDescent="0.2">
      <c r="A191" s="227" t="str">
        <f>'School Level Inst. Resources'!A191</f>
        <v>1201000</v>
      </c>
      <c r="B191" s="227" t="str">
        <f>'School Level Inst. Resources'!B191</f>
        <v>Lincoln #1</v>
      </c>
      <c r="C191" s="227" t="str">
        <f>'School Level Inst. Resources'!C191</f>
        <v>1201057</v>
      </c>
      <c r="D191" s="227" t="str">
        <f>'School Level Inst. Resources'!D191</f>
        <v>Kemmerer Junior Senior High School</v>
      </c>
      <c r="E191" s="228" t="str">
        <f>'School Level Inst. Resources'!E191</f>
        <v>7-12</v>
      </c>
      <c r="F191" s="229" t="str">
        <f>'School Level Inst. Resources'!H191</f>
        <v>H</v>
      </c>
      <c r="G191" s="229" t="s">
        <v>1158</v>
      </c>
      <c r="H191" s="229" t="str">
        <f t="shared" si="44"/>
        <v>6-12</v>
      </c>
      <c r="I191" s="198">
        <f>'School Level ADM'!$BI191</f>
        <v>232.51999999999998</v>
      </c>
      <c r="J191" s="194">
        <f t="shared" si="30"/>
        <v>0</v>
      </c>
      <c r="K191" s="194">
        <f t="shared" si="31"/>
        <v>0</v>
      </c>
      <c r="L191" s="194">
        <f t="shared" si="32"/>
        <v>0</v>
      </c>
      <c r="M191" s="194">
        <f t="shared" si="33"/>
        <v>0</v>
      </c>
      <c r="N191" s="194">
        <f t="shared" si="34"/>
        <v>70498</v>
      </c>
      <c r="O191" s="194">
        <f t="shared" si="35"/>
        <v>0</v>
      </c>
      <c r="P191" s="194">
        <f t="shared" si="36"/>
        <v>70498</v>
      </c>
      <c r="Q191" s="198">
        <f>'School Level ADM'!$AU191</f>
        <v>244.28</v>
      </c>
      <c r="R191" s="194">
        <f t="shared" si="37"/>
        <v>0</v>
      </c>
      <c r="S191" s="194">
        <f t="shared" si="38"/>
        <v>0</v>
      </c>
      <c r="T191" s="194">
        <f t="shared" si="39"/>
        <v>0</v>
      </c>
      <c r="U191" s="194">
        <f t="shared" si="40"/>
        <v>0</v>
      </c>
      <c r="V191" s="194">
        <f t="shared" si="41"/>
        <v>70498</v>
      </c>
      <c r="W191" s="194">
        <f t="shared" si="42"/>
        <v>0</v>
      </c>
      <c r="X191" s="194">
        <f t="shared" si="43"/>
        <v>70498</v>
      </c>
    </row>
    <row r="192" spans="1:24" x14ac:dyDescent="0.2">
      <c r="A192" s="227" t="str">
        <f>'School Level Inst. Resources'!A192</f>
        <v>1202000</v>
      </c>
      <c r="B192" s="227" t="str">
        <f>'School Level Inst. Resources'!B192</f>
        <v>Lincoln #2</v>
      </c>
      <c r="C192" s="227" t="str">
        <f>'School Level Inst. Resources'!C192</f>
        <v>1202001</v>
      </c>
      <c r="D192" s="227" t="str">
        <f>'School Level Inst. Resources'!D192</f>
        <v>Afton Elementary</v>
      </c>
      <c r="E192" s="228" t="str">
        <f>'School Level Inst. Resources'!E192</f>
        <v>K-3</v>
      </c>
      <c r="F192" s="229" t="str">
        <f>'School Level Inst. Resources'!H192</f>
        <v>E</v>
      </c>
      <c r="G192" s="229" t="s">
        <v>1158</v>
      </c>
      <c r="H192" s="229" t="str">
        <f t="shared" si="44"/>
        <v>E</v>
      </c>
      <c r="I192" s="198">
        <f>'School Level ADM'!$BI192</f>
        <v>439.30799999999999</v>
      </c>
      <c r="J192" s="194">
        <f t="shared" si="30"/>
        <v>58704</v>
      </c>
      <c r="K192" s="194">
        <f t="shared" si="31"/>
        <v>0</v>
      </c>
      <c r="L192" s="194">
        <f t="shared" si="32"/>
        <v>0</v>
      </c>
      <c r="M192" s="194">
        <f t="shared" si="33"/>
        <v>0</v>
      </c>
      <c r="N192" s="194">
        <f t="shared" si="34"/>
        <v>0</v>
      </c>
      <c r="O192" s="194">
        <f t="shared" si="35"/>
        <v>0</v>
      </c>
      <c r="P192" s="194">
        <f t="shared" si="36"/>
        <v>58704</v>
      </c>
      <c r="Q192" s="198">
        <f>'School Level ADM'!$AU192</f>
        <v>452.11500000000001</v>
      </c>
      <c r="R192" s="194">
        <f t="shared" si="37"/>
        <v>58704</v>
      </c>
      <c r="S192" s="194">
        <f t="shared" si="38"/>
        <v>0</v>
      </c>
      <c r="T192" s="194">
        <f t="shared" si="39"/>
        <v>0</v>
      </c>
      <c r="U192" s="194">
        <f t="shared" si="40"/>
        <v>0</v>
      </c>
      <c r="V192" s="194">
        <f t="shared" si="41"/>
        <v>0</v>
      </c>
      <c r="W192" s="194">
        <f t="shared" si="42"/>
        <v>0</v>
      </c>
      <c r="X192" s="194">
        <f t="shared" si="43"/>
        <v>58704</v>
      </c>
    </row>
    <row r="193" spans="1:24" x14ac:dyDescent="0.2">
      <c r="A193" s="227" t="str">
        <f>'School Level Inst. Resources'!A193</f>
        <v>1202000</v>
      </c>
      <c r="B193" s="227" t="str">
        <f>'School Level Inst. Resources'!B193</f>
        <v>Lincoln #2</v>
      </c>
      <c r="C193" s="227" t="str">
        <f>'School Level Inst. Resources'!C193</f>
        <v>1202002</v>
      </c>
      <c r="D193" s="227" t="str">
        <f>'School Level Inst. Resources'!D193</f>
        <v>Cokeville Elementary</v>
      </c>
      <c r="E193" s="228" t="str">
        <f>'School Level Inst. Resources'!E193</f>
        <v>K-6</v>
      </c>
      <c r="F193" s="229" t="str">
        <f>'School Level Inst. Resources'!H193</f>
        <v>E</v>
      </c>
      <c r="G193" s="229" t="s">
        <v>1158</v>
      </c>
      <c r="H193" s="229" t="str">
        <f t="shared" si="44"/>
        <v>E</v>
      </c>
      <c r="I193" s="198">
        <f>'School Level ADM'!$BI193</f>
        <v>131.44499999999999</v>
      </c>
      <c r="J193" s="194">
        <f t="shared" si="30"/>
        <v>23363</v>
      </c>
      <c r="K193" s="194">
        <f t="shared" si="31"/>
        <v>0</v>
      </c>
      <c r="L193" s="194">
        <f t="shared" si="32"/>
        <v>0</v>
      </c>
      <c r="M193" s="194">
        <f t="shared" si="33"/>
        <v>0</v>
      </c>
      <c r="N193" s="194">
        <f t="shared" si="34"/>
        <v>0</v>
      </c>
      <c r="O193" s="194">
        <f t="shared" si="35"/>
        <v>0</v>
      </c>
      <c r="P193" s="194">
        <f t="shared" si="36"/>
        <v>23363</v>
      </c>
      <c r="Q193" s="198">
        <f>'School Level ADM'!$AU193</f>
        <v>127.06500000000001</v>
      </c>
      <c r="R193" s="194">
        <f t="shared" si="37"/>
        <v>23363</v>
      </c>
      <c r="S193" s="194">
        <f t="shared" si="38"/>
        <v>0</v>
      </c>
      <c r="T193" s="194">
        <f t="shared" si="39"/>
        <v>0</v>
      </c>
      <c r="U193" s="194">
        <f t="shared" si="40"/>
        <v>0</v>
      </c>
      <c r="V193" s="194">
        <f t="shared" si="41"/>
        <v>0</v>
      </c>
      <c r="W193" s="194">
        <f t="shared" si="42"/>
        <v>0</v>
      </c>
      <c r="X193" s="194">
        <f t="shared" si="43"/>
        <v>23363</v>
      </c>
    </row>
    <row r="194" spans="1:24" x14ac:dyDescent="0.2">
      <c r="A194" s="227" t="str">
        <f>'School Level Inst. Resources'!A194</f>
        <v>1202000</v>
      </c>
      <c r="B194" s="227" t="str">
        <f>'School Level Inst. Resources'!B194</f>
        <v>Lincoln #2</v>
      </c>
      <c r="C194" s="227" t="str">
        <f>'School Level Inst. Resources'!C194</f>
        <v>1202003</v>
      </c>
      <c r="D194" s="227" t="str">
        <f>'School Level Inst. Resources'!D194</f>
        <v>Thayne Elementary</v>
      </c>
      <c r="E194" s="228" t="str">
        <f>'School Level Inst. Resources'!E194</f>
        <v>K-3</v>
      </c>
      <c r="F194" s="229" t="str">
        <f>'School Level Inst. Resources'!H194</f>
        <v>E</v>
      </c>
      <c r="G194" s="229" t="s">
        <v>1158</v>
      </c>
      <c r="H194" s="229" t="str">
        <f t="shared" si="44"/>
        <v>E</v>
      </c>
      <c r="I194" s="198">
        <f>'School Level ADM'!$BI194</f>
        <v>374.24199999999996</v>
      </c>
      <c r="J194" s="194">
        <f t="shared" si="30"/>
        <v>52236</v>
      </c>
      <c r="K194" s="194">
        <f t="shared" si="31"/>
        <v>0</v>
      </c>
      <c r="L194" s="194">
        <f t="shared" si="32"/>
        <v>0</v>
      </c>
      <c r="M194" s="194">
        <f t="shared" si="33"/>
        <v>0</v>
      </c>
      <c r="N194" s="194">
        <f t="shared" si="34"/>
        <v>0</v>
      </c>
      <c r="O194" s="194">
        <f t="shared" si="35"/>
        <v>0</v>
      </c>
      <c r="P194" s="194">
        <f t="shared" si="36"/>
        <v>52236</v>
      </c>
      <c r="Q194" s="198">
        <f>'School Level ADM'!$AU194</f>
        <v>365.435</v>
      </c>
      <c r="R194" s="194">
        <f t="shared" si="37"/>
        <v>52236</v>
      </c>
      <c r="S194" s="194">
        <f t="shared" si="38"/>
        <v>0</v>
      </c>
      <c r="T194" s="194">
        <f t="shared" si="39"/>
        <v>0</v>
      </c>
      <c r="U194" s="194">
        <f t="shared" si="40"/>
        <v>0</v>
      </c>
      <c r="V194" s="194">
        <f t="shared" si="41"/>
        <v>0</v>
      </c>
      <c r="W194" s="194">
        <f t="shared" si="42"/>
        <v>0</v>
      </c>
      <c r="X194" s="194">
        <f t="shared" si="43"/>
        <v>52236</v>
      </c>
    </row>
    <row r="195" spans="1:24" x14ac:dyDescent="0.2">
      <c r="A195" s="227" t="str">
        <f>'School Level Inst. Resources'!A195</f>
        <v>1202000</v>
      </c>
      <c r="B195" s="227" t="str">
        <f>'School Level Inst. Resources'!B195</f>
        <v>Lincoln #2</v>
      </c>
      <c r="C195" s="227" t="str">
        <f>'School Level Inst. Resources'!C195</f>
        <v>1202004</v>
      </c>
      <c r="D195" s="227" t="str">
        <f>'School Level Inst. Resources'!D195</f>
        <v>Etna Elementary</v>
      </c>
      <c r="E195" s="228" t="str">
        <f>'School Level Inst. Resources'!E195</f>
        <v>4-6</v>
      </c>
      <c r="F195" s="229" t="str">
        <f>'School Level Inst. Resources'!H195</f>
        <v>E</v>
      </c>
      <c r="G195" s="229" t="s">
        <v>1158</v>
      </c>
      <c r="H195" s="229" t="str">
        <f t="shared" si="44"/>
        <v>E</v>
      </c>
      <c r="I195" s="198">
        <f>'School Level ADM'!$BI195</f>
        <v>281.21100000000001</v>
      </c>
      <c r="J195" s="194">
        <f t="shared" si="30"/>
        <v>42524</v>
      </c>
      <c r="K195" s="194">
        <f t="shared" si="31"/>
        <v>0</v>
      </c>
      <c r="L195" s="194">
        <f t="shared" si="32"/>
        <v>0</v>
      </c>
      <c r="M195" s="194">
        <f t="shared" si="33"/>
        <v>0</v>
      </c>
      <c r="N195" s="194">
        <f t="shared" si="34"/>
        <v>0</v>
      </c>
      <c r="O195" s="194">
        <f t="shared" si="35"/>
        <v>0</v>
      </c>
      <c r="P195" s="194">
        <f t="shared" si="36"/>
        <v>42524</v>
      </c>
      <c r="Q195" s="198">
        <f>'School Level ADM'!$AU195</f>
        <v>267.92</v>
      </c>
      <c r="R195" s="194">
        <f t="shared" si="37"/>
        <v>42524</v>
      </c>
      <c r="S195" s="194">
        <f t="shared" si="38"/>
        <v>0</v>
      </c>
      <c r="T195" s="194">
        <f t="shared" si="39"/>
        <v>0</v>
      </c>
      <c r="U195" s="194">
        <f t="shared" si="40"/>
        <v>0</v>
      </c>
      <c r="V195" s="194">
        <f t="shared" si="41"/>
        <v>0</v>
      </c>
      <c r="W195" s="194">
        <f t="shared" si="42"/>
        <v>0</v>
      </c>
      <c r="X195" s="194">
        <f t="shared" si="43"/>
        <v>42524</v>
      </c>
    </row>
    <row r="196" spans="1:24" x14ac:dyDescent="0.2">
      <c r="A196" s="227" t="str">
        <f>'School Level Inst. Resources'!A196</f>
        <v>1202000</v>
      </c>
      <c r="B196" s="227" t="str">
        <f>'School Level Inst. Resources'!B196</f>
        <v>Lincoln #2</v>
      </c>
      <c r="C196" s="227" t="str">
        <f>'School Level Inst. Resources'!C196</f>
        <v>1202005</v>
      </c>
      <c r="D196" s="227" t="str">
        <f>'School Level Inst. Resources'!D196</f>
        <v>Osmond Elementary</v>
      </c>
      <c r="E196" s="228" t="str">
        <f>'School Level Inst. Resources'!E196</f>
        <v>4-6</v>
      </c>
      <c r="F196" s="229" t="str">
        <f>'School Level Inst. Resources'!H196</f>
        <v>E</v>
      </c>
      <c r="G196" s="229" t="s">
        <v>1158</v>
      </c>
      <c r="H196" s="229" t="str">
        <f t="shared" si="44"/>
        <v>E</v>
      </c>
      <c r="I196" s="198">
        <f>'School Level ADM'!$BI196</f>
        <v>343.68100000000004</v>
      </c>
      <c r="J196" s="194">
        <f t="shared" si="30"/>
        <v>49144</v>
      </c>
      <c r="K196" s="194">
        <f t="shared" si="31"/>
        <v>0</v>
      </c>
      <c r="L196" s="194">
        <f t="shared" si="32"/>
        <v>0</v>
      </c>
      <c r="M196" s="194">
        <f t="shared" si="33"/>
        <v>0</v>
      </c>
      <c r="N196" s="194">
        <f t="shared" si="34"/>
        <v>0</v>
      </c>
      <c r="O196" s="194">
        <f t="shared" si="35"/>
        <v>0</v>
      </c>
      <c r="P196" s="194">
        <f t="shared" si="36"/>
        <v>49144</v>
      </c>
      <c r="Q196" s="198">
        <f>'School Level ADM'!$AU196</f>
        <v>354.6</v>
      </c>
      <c r="R196" s="194">
        <f t="shared" si="37"/>
        <v>49144</v>
      </c>
      <c r="S196" s="194">
        <f t="shared" si="38"/>
        <v>0</v>
      </c>
      <c r="T196" s="194">
        <f t="shared" si="39"/>
        <v>0</v>
      </c>
      <c r="U196" s="194">
        <f t="shared" si="40"/>
        <v>0</v>
      </c>
      <c r="V196" s="194">
        <f t="shared" si="41"/>
        <v>0</v>
      </c>
      <c r="W196" s="194">
        <f t="shared" si="42"/>
        <v>0</v>
      </c>
      <c r="X196" s="194">
        <f t="shared" si="43"/>
        <v>49144</v>
      </c>
    </row>
    <row r="197" spans="1:24" x14ac:dyDescent="0.2">
      <c r="A197" s="227" t="str">
        <f>'School Level Inst. Resources'!A197</f>
        <v>1202000</v>
      </c>
      <c r="B197" s="227" t="str">
        <f>'School Level Inst. Resources'!B197</f>
        <v>Lincoln #2</v>
      </c>
      <c r="C197" s="227" t="str">
        <f>'School Level Inst. Resources'!C197</f>
        <v>1202051</v>
      </c>
      <c r="D197" s="227" t="str">
        <f>'School Level Inst. Resources'!D197</f>
        <v>Star Valley Middle School</v>
      </c>
      <c r="E197" s="228" t="str">
        <f>'School Level Inst. Resources'!E197</f>
        <v>7-8</v>
      </c>
      <c r="F197" s="229" t="str">
        <f>'School Level Inst. Resources'!H197</f>
        <v>M</v>
      </c>
      <c r="G197" s="229" t="s">
        <v>1158</v>
      </c>
      <c r="H197" s="229" t="str">
        <f t="shared" si="44"/>
        <v>M</v>
      </c>
      <c r="I197" s="198">
        <f>'School Level ADM'!$BI197</f>
        <v>393.27099999999996</v>
      </c>
      <c r="J197" s="194">
        <f t="shared" si="30"/>
        <v>0</v>
      </c>
      <c r="K197" s="194">
        <f t="shared" si="31"/>
        <v>72806</v>
      </c>
      <c r="L197" s="194">
        <f t="shared" si="32"/>
        <v>0</v>
      </c>
      <c r="M197" s="194">
        <f t="shared" si="33"/>
        <v>0</v>
      </c>
      <c r="N197" s="194">
        <f t="shared" si="34"/>
        <v>0</v>
      </c>
      <c r="O197" s="194">
        <f t="shared" si="35"/>
        <v>0</v>
      </c>
      <c r="P197" s="194">
        <f t="shared" si="36"/>
        <v>72806</v>
      </c>
      <c r="Q197" s="198">
        <f>'School Level ADM'!$AU197</f>
        <v>397.94</v>
      </c>
      <c r="R197" s="194">
        <f t="shared" si="37"/>
        <v>0</v>
      </c>
      <c r="S197" s="194">
        <f t="shared" si="38"/>
        <v>72806</v>
      </c>
      <c r="T197" s="194">
        <f t="shared" si="39"/>
        <v>0</v>
      </c>
      <c r="U197" s="194">
        <f t="shared" si="40"/>
        <v>0</v>
      </c>
      <c r="V197" s="194">
        <f t="shared" si="41"/>
        <v>0</v>
      </c>
      <c r="W197" s="194">
        <f t="shared" si="42"/>
        <v>0</v>
      </c>
      <c r="X197" s="194">
        <f t="shared" si="43"/>
        <v>72806</v>
      </c>
    </row>
    <row r="198" spans="1:24" x14ac:dyDescent="0.2">
      <c r="A198" s="227" t="str">
        <f>'School Level Inst. Resources'!A198</f>
        <v>1202000</v>
      </c>
      <c r="B198" s="227" t="str">
        <f>'School Level Inst. Resources'!B198</f>
        <v>Lincoln #2</v>
      </c>
      <c r="C198" s="227" t="str">
        <f>'School Level Inst. Resources'!C198</f>
        <v>1202055</v>
      </c>
      <c r="D198" s="227" t="str">
        <f>'School Level Inst. Resources'!D198</f>
        <v>Cokeville High School</v>
      </c>
      <c r="E198" s="228" t="str">
        <f>'School Level Inst. Resources'!E198</f>
        <v>7-12</v>
      </c>
      <c r="F198" s="229" t="str">
        <f>'School Level Inst. Resources'!H198</f>
        <v>H</v>
      </c>
      <c r="G198" s="229" t="s">
        <v>1158</v>
      </c>
      <c r="H198" s="229" t="str">
        <f t="shared" si="44"/>
        <v>6-12</v>
      </c>
      <c r="I198" s="198">
        <f>'School Level ADM'!$BI198</f>
        <v>113.55600000000001</v>
      </c>
      <c r="J198" s="194">
        <f t="shared" ref="J198:J261" si="45">IF(OR($G198="F",$F198&lt;&gt;"E"),0,IF($I198&lt;19,2915,IF($I198&gt;456,ROUND((132.39*$I198),0),ROUND((0.0002128*$I198^3-0.2644484*$I198^2+208.6966777*$I198+16.4242391),0))))</f>
        <v>0</v>
      </c>
      <c r="K198" s="194">
        <f t="shared" ref="K198:K261" si="46">IF(OR($G198="F",$H198&lt;&gt;"M"),0,IF($I198&lt;150,ROUND((300.63*$I198),0),IF($I198&gt;750,ROUND((148.26*$I198),0),ROUND((0.000146*$I198^3-0.1993016*$I198^2+187.7071094*$I198+20929.8632813),0))))</f>
        <v>0</v>
      </c>
      <c r="L198" s="194">
        <f t="shared" ref="L198:L261" si="47">IF(OR($G198="F",$H198&lt;&gt;"H"),0,IF($I198&lt;150,ROUND((361.73*$I198),0),IF($I198&gt;1350,ROUND((167.67*$I198),0),ROUND((0.0000446*$I198^3-0.1033081*$I198^2+207.0604979*$I198+25374.374907),0))))</f>
        <v>0</v>
      </c>
      <c r="M198" s="194">
        <f t="shared" ref="M198:M261" si="48">IF(OR($G198="F",$H198&lt;&gt;"K-8"),0,IF($I198&lt;85,ROUND((341.99*$I198),0),IF($I198&gt;342,ROUND((186.46*$I198),0),ROUND((-0.3239548*$I198^2+273.3488359*$I198+8175.0727129),0))))</f>
        <v>0</v>
      </c>
      <c r="N198" s="194">
        <f t="shared" ref="N198:N261" si="49">IF(OR($G198="F",$H198&lt;&gt;"6-12"),0,IF($I198&lt;75,ROUND((530.59*$I198),0),IF($I198&gt;350,ROUND((260.77*$I198),0),ROUND((0.0025644*$I198^3-1.7519279*$I198^2+535.8785137*$I198+8376.2839819),0))))</f>
        <v>50393</v>
      </c>
      <c r="O198" s="194">
        <f t="shared" ref="O198:O261" si="50">IF(OR($G198="F",$H198&lt;&gt;"K-12"),0,IF($I198&lt;75,ROUND((500.08*$I198),0),IF($I198&gt;350,ROUND((251.34*$I198),0),ROUND((0.0017301*$I198^3-1.3373171*$I198^2+484.7783098*$I198+7940.3304431),0))))</f>
        <v>0</v>
      </c>
      <c r="P198" s="194">
        <f t="shared" ref="P198:P261" si="51">SUM(J198:O198)</f>
        <v>50393</v>
      </c>
      <c r="Q198" s="198">
        <f>'School Level ADM'!$AU198</f>
        <v>116.23</v>
      </c>
      <c r="R198" s="194">
        <f t="shared" ref="R198:R261" si="52">IF(OR($G198="F",$F198&lt;&gt;"E"),0,IF($I198&lt;19,2915,IF($I198&gt;456,ROUND((132.39*$I198),0),ROUND((0.0002128*$I198^3-0.2644484*$I198^2+208.6966777*$I198+16.4242391),0))))</f>
        <v>0</v>
      </c>
      <c r="S198" s="194">
        <f t="shared" ref="S198:S261" si="53">IF(OR($G198="F",$H198&lt;&gt;"M"),0,IF($I198&lt;150,ROUND((300.63*$I198),0),IF($I198&gt;750,ROUND((148.26*$I198),0),ROUND((0.000146*$I198^3-0.1993016*$I198^2+187.7071094*$I198+20929.8632813),0))))</f>
        <v>0</v>
      </c>
      <c r="T198" s="194">
        <f t="shared" ref="T198:T261" si="54">IF(OR($G198="F",$H198&lt;&gt;"H"),0,IF($I198&lt;150,ROUND((361.73*$I198),0),IF($I198&gt;1350,ROUND((167.67*$I198),0),ROUND((0.0000446*$I198^3-0.1033081*$I198^2+207.0604979*$I198+25374.374907),0))))</f>
        <v>0</v>
      </c>
      <c r="U198" s="194">
        <f t="shared" ref="U198:U261" si="55">IF(OR($G198="F",$H198&lt;&gt;"K-8"),0,IF($I198&lt;85,ROUND((341.99*$I198),0),IF($I198&gt;342,ROUND((186.46*$I198),0),ROUND((-0.3239548*$I198^2+273.3488359*$I198+8175.0727129),0))))</f>
        <v>0</v>
      </c>
      <c r="V198" s="194">
        <f t="shared" ref="V198:V261" si="56">IF(OR($G198="F",$H198&lt;&gt;"6-12"),0,IF($I198&lt;75,ROUND((530.59*$I198),0),IF($I198&gt;350,ROUND((260.77*$I198),0),ROUND((0.0025644*$I198^3-1.7519279*$I198^2+535.8785137*$I198+8376.2839819),0))))</f>
        <v>50393</v>
      </c>
      <c r="W198" s="194">
        <f t="shared" ref="W198:W261" si="57">IF(OR($G198="F",$H198&lt;&gt;"K-12"),0,IF($I198&lt;75,ROUND((500.08*$I198),0),IF($I198&gt;350,ROUND((251.34*$I198),0),ROUND((0.0017301*$I198^3-1.3373171*$I198^2+484.7783098*$I198+7940.3304431),0))))</f>
        <v>0</v>
      </c>
      <c r="X198" s="194">
        <f t="shared" ref="X198:X261" si="58">SUM(R198:W198)</f>
        <v>50393</v>
      </c>
    </row>
    <row r="199" spans="1:24" x14ac:dyDescent="0.2">
      <c r="A199" s="227" t="str">
        <f>'School Level Inst. Resources'!A199</f>
        <v>1202000</v>
      </c>
      <c r="B199" s="227" t="str">
        <f>'School Level Inst. Resources'!B199</f>
        <v>Lincoln #2</v>
      </c>
      <c r="C199" s="227" t="str">
        <f>'School Level Inst. Resources'!C199</f>
        <v>1202056</v>
      </c>
      <c r="D199" s="227" t="str">
        <f>'School Level Inst. Resources'!D199</f>
        <v>Star Valley High School</v>
      </c>
      <c r="E199" s="228" t="str">
        <f>'School Level Inst. Resources'!E199</f>
        <v>9-12</v>
      </c>
      <c r="F199" s="229" t="str">
        <f>'School Level Inst. Resources'!H199</f>
        <v>H</v>
      </c>
      <c r="G199" s="229" t="s">
        <v>1158</v>
      </c>
      <c r="H199" s="229" t="str">
        <f t="shared" ref="H199:H260" si="59">IF(OR(E199="P-8",E199="K-8",E199="K-9"),"K-8",IF(OR(E199="P-12",E199="K-12"),"K-12",IF(OR(E199="6-12",E199="7-12"),"6-12",F199)))</f>
        <v>H</v>
      </c>
      <c r="I199" s="198">
        <f>'School Level ADM'!$BI199</f>
        <v>725.00700000000006</v>
      </c>
      <c r="J199" s="194">
        <f t="shared" si="45"/>
        <v>0</v>
      </c>
      <c r="K199" s="194">
        <f t="shared" si="46"/>
        <v>0</v>
      </c>
      <c r="L199" s="194">
        <f t="shared" si="47"/>
        <v>138189</v>
      </c>
      <c r="M199" s="194">
        <f t="shared" si="48"/>
        <v>0</v>
      </c>
      <c r="N199" s="194">
        <f t="shared" si="49"/>
        <v>0</v>
      </c>
      <c r="O199" s="194">
        <f t="shared" si="50"/>
        <v>0</v>
      </c>
      <c r="P199" s="194">
        <f t="shared" si="51"/>
        <v>138189</v>
      </c>
      <c r="Q199" s="198">
        <f>'School Level ADM'!$AU199</f>
        <v>716.09500000000003</v>
      </c>
      <c r="R199" s="194">
        <f t="shared" si="52"/>
        <v>0</v>
      </c>
      <c r="S199" s="194">
        <f t="shared" si="53"/>
        <v>0</v>
      </c>
      <c r="T199" s="194">
        <f t="shared" si="54"/>
        <v>138189</v>
      </c>
      <c r="U199" s="194">
        <f t="shared" si="55"/>
        <v>0</v>
      </c>
      <c r="V199" s="194">
        <f t="shared" si="56"/>
        <v>0</v>
      </c>
      <c r="W199" s="194">
        <f t="shared" si="57"/>
        <v>0</v>
      </c>
      <c r="X199" s="194">
        <f t="shared" si="58"/>
        <v>138189</v>
      </c>
    </row>
    <row r="200" spans="1:24" x14ac:dyDescent="0.2">
      <c r="A200" s="227" t="str">
        <f>'School Level Inst. Resources'!A200</f>
        <v>1202000</v>
      </c>
      <c r="B200" s="227" t="str">
        <f>'School Level Inst. Resources'!B200</f>
        <v>Lincoln #2</v>
      </c>
      <c r="C200" s="227" t="str">
        <f>'School Level Inst. Resources'!C200</f>
        <v>1202057</v>
      </c>
      <c r="D200" s="227" t="str">
        <f>'School Level Inst. Resources'!D200</f>
        <v>Swift Creek High School</v>
      </c>
      <c r="E200" s="228" t="str">
        <f>'School Level Inst. Resources'!E200</f>
        <v>9-12</v>
      </c>
      <c r="F200" s="229" t="str">
        <f>'School Level Inst. Resources'!H200</f>
        <v>H</v>
      </c>
      <c r="G200" s="229" t="s">
        <v>1158</v>
      </c>
      <c r="H200" s="229" t="str">
        <f t="shared" si="59"/>
        <v>H</v>
      </c>
      <c r="I200" s="198">
        <f>'School Level ADM'!$BI200</f>
        <v>40.111000000000004</v>
      </c>
      <c r="J200" s="194">
        <f t="shared" si="45"/>
        <v>0</v>
      </c>
      <c r="K200" s="194">
        <f t="shared" si="46"/>
        <v>0</v>
      </c>
      <c r="L200" s="194">
        <f t="shared" si="47"/>
        <v>14509</v>
      </c>
      <c r="M200" s="194">
        <f t="shared" si="48"/>
        <v>0</v>
      </c>
      <c r="N200" s="194">
        <f t="shared" si="49"/>
        <v>0</v>
      </c>
      <c r="O200" s="194">
        <f t="shared" si="50"/>
        <v>0</v>
      </c>
      <c r="P200" s="194">
        <f t="shared" si="51"/>
        <v>14509</v>
      </c>
      <c r="Q200" s="198">
        <f>'School Level ADM'!$AU200</f>
        <v>42.354999999999997</v>
      </c>
      <c r="R200" s="194">
        <f t="shared" si="52"/>
        <v>0</v>
      </c>
      <c r="S200" s="194">
        <f t="shared" si="53"/>
        <v>0</v>
      </c>
      <c r="T200" s="194">
        <f t="shared" si="54"/>
        <v>14509</v>
      </c>
      <c r="U200" s="194">
        <f t="shared" si="55"/>
        <v>0</v>
      </c>
      <c r="V200" s="194">
        <f t="shared" si="56"/>
        <v>0</v>
      </c>
      <c r="W200" s="194">
        <f t="shared" si="57"/>
        <v>0</v>
      </c>
      <c r="X200" s="194">
        <f t="shared" si="58"/>
        <v>14509</v>
      </c>
    </row>
    <row r="201" spans="1:24" x14ac:dyDescent="0.2">
      <c r="A201" s="227" t="str">
        <f>'School Level Inst. Resources'!A201</f>
        <v>1301000</v>
      </c>
      <c r="B201" s="227" t="str">
        <f>'School Level Inst. Resources'!B201</f>
        <v>Natrona #1</v>
      </c>
      <c r="C201" s="227" t="str">
        <f>'School Level Inst. Resources'!C201</f>
        <v>1301001</v>
      </c>
      <c r="D201" s="227" t="str">
        <f>'School Level Inst. Resources'!D201</f>
        <v>Alcova Elementary</v>
      </c>
      <c r="E201" s="228" t="str">
        <f>'School Level Inst. Resources'!E201</f>
        <v>K-6</v>
      </c>
      <c r="F201" s="229" t="str">
        <f>'School Level Inst. Resources'!H201</f>
        <v>E</v>
      </c>
      <c r="G201" s="229" t="s">
        <v>1158</v>
      </c>
      <c r="H201" s="229" t="str">
        <f t="shared" si="59"/>
        <v>E</v>
      </c>
      <c r="I201" s="198">
        <f>'School Level ADM'!$BI201</f>
        <v>3.6920000000000002</v>
      </c>
      <c r="J201" s="194">
        <f t="shared" si="45"/>
        <v>2915</v>
      </c>
      <c r="K201" s="194">
        <f t="shared" si="46"/>
        <v>0</v>
      </c>
      <c r="L201" s="194">
        <f t="shared" si="47"/>
        <v>0</v>
      </c>
      <c r="M201" s="194">
        <f t="shared" si="48"/>
        <v>0</v>
      </c>
      <c r="N201" s="194">
        <f t="shared" si="49"/>
        <v>0</v>
      </c>
      <c r="O201" s="194">
        <f t="shared" si="50"/>
        <v>0</v>
      </c>
      <c r="P201" s="194">
        <f t="shared" si="51"/>
        <v>2915</v>
      </c>
      <c r="Q201" s="198">
        <f>'School Level ADM'!$AU201</f>
        <v>3.94</v>
      </c>
      <c r="R201" s="194">
        <f t="shared" si="52"/>
        <v>2915</v>
      </c>
      <c r="S201" s="194">
        <f t="shared" si="53"/>
        <v>0</v>
      </c>
      <c r="T201" s="194">
        <f t="shared" si="54"/>
        <v>0</v>
      </c>
      <c r="U201" s="194">
        <f t="shared" si="55"/>
        <v>0</v>
      </c>
      <c r="V201" s="194">
        <f t="shared" si="56"/>
        <v>0</v>
      </c>
      <c r="W201" s="194">
        <f t="shared" si="57"/>
        <v>0</v>
      </c>
      <c r="X201" s="194">
        <f t="shared" si="58"/>
        <v>2915</v>
      </c>
    </row>
    <row r="202" spans="1:24" x14ac:dyDescent="0.2">
      <c r="A202" s="227" t="str">
        <f>'School Level Inst. Resources'!A202</f>
        <v>1301000</v>
      </c>
      <c r="B202" s="227" t="str">
        <f>'School Level Inst. Resources'!B202</f>
        <v>Natrona #1</v>
      </c>
      <c r="C202" s="227" t="str">
        <f>'School Level Inst. Resources'!C202</f>
        <v>1301002</v>
      </c>
      <c r="D202" s="227" t="str">
        <f>'School Level Inst. Resources'!D202</f>
        <v>Crest Hill Elementary</v>
      </c>
      <c r="E202" s="228" t="str">
        <f>'School Level Inst. Resources'!E202</f>
        <v>K-5</v>
      </c>
      <c r="F202" s="229" t="str">
        <f>'School Level Inst. Resources'!H202</f>
        <v>E</v>
      </c>
      <c r="G202" s="229" t="s">
        <v>1158</v>
      </c>
      <c r="H202" s="229" t="str">
        <f t="shared" si="59"/>
        <v>E</v>
      </c>
      <c r="I202" s="198">
        <f>'School Level ADM'!$BI202</f>
        <v>332.32452631578951</v>
      </c>
      <c r="J202" s="194">
        <f t="shared" si="45"/>
        <v>47976</v>
      </c>
      <c r="K202" s="194">
        <f t="shared" si="46"/>
        <v>0</v>
      </c>
      <c r="L202" s="194">
        <f t="shared" si="47"/>
        <v>0</v>
      </c>
      <c r="M202" s="194">
        <f t="shared" si="48"/>
        <v>0</v>
      </c>
      <c r="N202" s="194">
        <f t="shared" si="49"/>
        <v>0</v>
      </c>
      <c r="O202" s="194">
        <f t="shared" si="50"/>
        <v>0</v>
      </c>
      <c r="P202" s="194">
        <f t="shared" si="51"/>
        <v>47976</v>
      </c>
      <c r="Q202" s="198">
        <f>'School Level ADM'!$AU202</f>
        <v>332.92999999999995</v>
      </c>
      <c r="R202" s="194">
        <f t="shared" si="52"/>
        <v>47976</v>
      </c>
      <c r="S202" s="194">
        <f t="shared" si="53"/>
        <v>0</v>
      </c>
      <c r="T202" s="194">
        <f t="shared" si="54"/>
        <v>0</v>
      </c>
      <c r="U202" s="194">
        <f t="shared" si="55"/>
        <v>0</v>
      </c>
      <c r="V202" s="194">
        <f t="shared" si="56"/>
        <v>0</v>
      </c>
      <c r="W202" s="194">
        <f t="shared" si="57"/>
        <v>0</v>
      </c>
      <c r="X202" s="194">
        <f t="shared" si="58"/>
        <v>47976</v>
      </c>
    </row>
    <row r="203" spans="1:24" x14ac:dyDescent="0.2">
      <c r="A203" s="227" t="str">
        <f>'School Level Inst. Resources'!A203</f>
        <v>1301000</v>
      </c>
      <c r="B203" s="227" t="str">
        <f>'School Level Inst. Resources'!B203</f>
        <v>Natrona #1</v>
      </c>
      <c r="C203" s="227" t="str">
        <f>'School Level Inst. Resources'!C203</f>
        <v>1301003</v>
      </c>
      <c r="D203" s="227" t="str">
        <f>'School Level Inst. Resources'!D203</f>
        <v>Evansville Elementary</v>
      </c>
      <c r="E203" s="228" t="str">
        <f>'School Level Inst. Resources'!E203</f>
        <v>P-5</v>
      </c>
      <c r="F203" s="229" t="str">
        <f>'School Level Inst. Resources'!H203</f>
        <v>E</v>
      </c>
      <c r="G203" s="229" t="s">
        <v>1158</v>
      </c>
      <c r="H203" s="229" t="str">
        <f t="shared" si="59"/>
        <v>E</v>
      </c>
      <c r="I203" s="198">
        <f>'School Level ADM'!$BI203</f>
        <v>284.57652631578947</v>
      </c>
      <c r="J203" s="194">
        <f t="shared" si="45"/>
        <v>42895</v>
      </c>
      <c r="K203" s="194">
        <f t="shared" si="46"/>
        <v>0</v>
      </c>
      <c r="L203" s="194">
        <f t="shared" si="47"/>
        <v>0</v>
      </c>
      <c r="M203" s="194">
        <f t="shared" si="48"/>
        <v>0</v>
      </c>
      <c r="N203" s="194">
        <f t="shared" si="49"/>
        <v>0</v>
      </c>
      <c r="O203" s="194">
        <f t="shared" si="50"/>
        <v>0</v>
      </c>
      <c r="P203" s="194">
        <f t="shared" si="51"/>
        <v>42895</v>
      </c>
      <c r="Q203" s="198">
        <f>'School Level ADM'!$AU203</f>
        <v>272.84500000000003</v>
      </c>
      <c r="R203" s="194">
        <f t="shared" si="52"/>
        <v>42895</v>
      </c>
      <c r="S203" s="194">
        <f t="shared" si="53"/>
        <v>0</v>
      </c>
      <c r="T203" s="194">
        <f t="shared" si="54"/>
        <v>0</v>
      </c>
      <c r="U203" s="194">
        <f t="shared" si="55"/>
        <v>0</v>
      </c>
      <c r="V203" s="194">
        <f t="shared" si="56"/>
        <v>0</v>
      </c>
      <c r="W203" s="194">
        <f t="shared" si="57"/>
        <v>0</v>
      </c>
      <c r="X203" s="194">
        <f t="shared" si="58"/>
        <v>42895</v>
      </c>
    </row>
    <row r="204" spans="1:24" x14ac:dyDescent="0.2">
      <c r="A204" s="227" t="str">
        <f>'School Level Inst. Resources'!A204</f>
        <v>1301000</v>
      </c>
      <c r="B204" s="227" t="str">
        <f>'School Level Inst. Resources'!B204</f>
        <v>Natrona #1</v>
      </c>
      <c r="C204" s="227" t="str">
        <f>'School Level Inst. Resources'!C204</f>
        <v>1301005</v>
      </c>
      <c r="D204" s="227" t="str">
        <f>'School Level Inst. Resources'!D204</f>
        <v>Cottonwood Elementary</v>
      </c>
      <c r="E204" s="228" t="str">
        <f>'School Level Inst. Resources'!E204</f>
        <v>P-5</v>
      </c>
      <c r="F204" s="229" t="str">
        <f>'School Level Inst. Resources'!H204</f>
        <v>E</v>
      </c>
      <c r="G204" s="229" t="s">
        <v>1158</v>
      </c>
      <c r="H204" s="229" t="str">
        <f t="shared" si="59"/>
        <v>E</v>
      </c>
      <c r="I204" s="198">
        <f>'School Level ADM'!$BI204</f>
        <v>315.60552631578946</v>
      </c>
      <c r="J204" s="194">
        <f t="shared" si="45"/>
        <v>46231</v>
      </c>
      <c r="K204" s="194">
        <f t="shared" si="46"/>
        <v>0</v>
      </c>
      <c r="L204" s="194">
        <f t="shared" si="47"/>
        <v>0</v>
      </c>
      <c r="M204" s="194">
        <f t="shared" si="48"/>
        <v>0</v>
      </c>
      <c r="N204" s="194">
        <f t="shared" si="49"/>
        <v>0</v>
      </c>
      <c r="O204" s="194">
        <f t="shared" si="50"/>
        <v>0</v>
      </c>
      <c r="P204" s="194">
        <f t="shared" si="51"/>
        <v>46231</v>
      </c>
      <c r="Q204" s="198">
        <f>'School Level ADM'!$AU204</f>
        <v>315.2</v>
      </c>
      <c r="R204" s="194">
        <f t="shared" si="52"/>
        <v>46231</v>
      </c>
      <c r="S204" s="194">
        <f t="shared" si="53"/>
        <v>0</v>
      </c>
      <c r="T204" s="194">
        <f t="shared" si="54"/>
        <v>0</v>
      </c>
      <c r="U204" s="194">
        <f t="shared" si="55"/>
        <v>0</v>
      </c>
      <c r="V204" s="194">
        <f t="shared" si="56"/>
        <v>0</v>
      </c>
      <c r="W204" s="194">
        <f t="shared" si="57"/>
        <v>0</v>
      </c>
      <c r="X204" s="194">
        <f t="shared" si="58"/>
        <v>46231</v>
      </c>
    </row>
    <row r="205" spans="1:24" x14ac:dyDescent="0.2">
      <c r="A205" s="227" t="str">
        <f>'School Level Inst. Resources'!A205</f>
        <v>1301000</v>
      </c>
      <c r="B205" s="227" t="str">
        <f>'School Level Inst. Resources'!B205</f>
        <v>Natrona #1</v>
      </c>
      <c r="C205" s="227" t="str">
        <f>'School Level Inst. Resources'!C205</f>
        <v>1301006</v>
      </c>
      <c r="D205" s="227" t="str">
        <f>'School Level Inst. Resources'!D205</f>
        <v>Ft. Caspar Academy</v>
      </c>
      <c r="E205" s="228" t="str">
        <f>'School Level Inst. Resources'!E205</f>
        <v>K-6</v>
      </c>
      <c r="F205" s="229" t="str">
        <f>'School Level Inst. Resources'!H205</f>
        <v>E</v>
      </c>
      <c r="G205" s="229" t="s">
        <v>1158</v>
      </c>
      <c r="H205" s="229" t="str">
        <f t="shared" si="59"/>
        <v>E</v>
      </c>
      <c r="I205" s="198">
        <f>'School Level ADM'!$BI205</f>
        <v>426.87452631578947</v>
      </c>
      <c r="J205" s="194">
        <f t="shared" si="45"/>
        <v>57468</v>
      </c>
      <c r="K205" s="194">
        <f t="shared" si="46"/>
        <v>0</v>
      </c>
      <c r="L205" s="194">
        <f t="shared" si="47"/>
        <v>0</v>
      </c>
      <c r="M205" s="194">
        <f t="shared" si="48"/>
        <v>0</v>
      </c>
      <c r="N205" s="194">
        <f t="shared" si="49"/>
        <v>0</v>
      </c>
      <c r="O205" s="194">
        <f t="shared" si="50"/>
        <v>0</v>
      </c>
      <c r="P205" s="194">
        <f t="shared" si="51"/>
        <v>57468</v>
      </c>
      <c r="Q205" s="198">
        <f>'School Level ADM'!$AU205</f>
        <v>411.73</v>
      </c>
      <c r="R205" s="194">
        <f t="shared" si="52"/>
        <v>57468</v>
      </c>
      <c r="S205" s="194">
        <f t="shared" si="53"/>
        <v>0</v>
      </c>
      <c r="T205" s="194">
        <f t="shared" si="54"/>
        <v>0</v>
      </c>
      <c r="U205" s="194">
        <f t="shared" si="55"/>
        <v>0</v>
      </c>
      <c r="V205" s="194">
        <f t="shared" si="56"/>
        <v>0</v>
      </c>
      <c r="W205" s="194">
        <f t="shared" si="57"/>
        <v>0</v>
      </c>
      <c r="X205" s="194">
        <f t="shared" si="58"/>
        <v>57468</v>
      </c>
    </row>
    <row r="206" spans="1:24" x14ac:dyDescent="0.2">
      <c r="A206" s="227" t="str">
        <f>'School Level Inst. Resources'!A206</f>
        <v>1301000</v>
      </c>
      <c r="B206" s="227" t="str">
        <f>'School Level Inst. Resources'!B206</f>
        <v>Natrona #1</v>
      </c>
      <c r="C206" s="227" t="str">
        <f>'School Level Inst. Resources'!C206</f>
        <v>1301009</v>
      </c>
      <c r="D206" s="227" t="str">
        <f>'School Level Inst. Resources'!D206</f>
        <v>Sagewood Elementary</v>
      </c>
      <c r="E206" s="228" t="str">
        <f>'School Level Inst. Resources'!E206</f>
        <v>K-5</v>
      </c>
      <c r="F206" s="229" t="str">
        <f>'School Level Inst. Resources'!H206</f>
        <v>E</v>
      </c>
      <c r="G206" s="229" t="s">
        <v>1158</v>
      </c>
      <c r="H206" s="229" t="str">
        <f t="shared" si="59"/>
        <v>E</v>
      </c>
      <c r="I206" s="198">
        <f>'School Level ADM'!$BI206</f>
        <v>315.97052631578941</v>
      </c>
      <c r="J206" s="194">
        <f t="shared" si="45"/>
        <v>46270</v>
      </c>
      <c r="K206" s="194">
        <f t="shared" si="46"/>
        <v>0</v>
      </c>
      <c r="L206" s="194">
        <f t="shared" si="47"/>
        <v>0</v>
      </c>
      <c r="M206" s="194">
        <f t="shared" si="48"/>
        <v>0</v>
      </c>
      <c r="N206" s="194">
        <f t="shared" si="49"/>
        <v>0</v>
      </c>
      <c r="O206" s="194">
        <f t="shared" si="50"/>
        <v>0</v>
      </c>
      <c r="P206" s="194">
        <f t="shared" si="51"/>
        <v>46270</v>
      </c>
      <c r="Q206" s="198">
        <f>'School Level ADM'!$AU206</f>
        <v>303.38</v>
      </c>
      <c r="R206" s="194">
        <f t="shared" si="52"/>
        <v>46270</v>
      </c>
      <c r="S206" s="194">
        <f t="shared" si="53"/>
        <v>0</v>
      </c>
      <c r="T206" s="194">
        <f t="shared" si="54"/>
        <v>0</v>
      </c>
      <c r="U206" s="194">
        <f t="shared" si="55"/>
        <v>0</v>
      </c>
      <c r="V206" s="194">
        <f t="shared" si="56"/>
        <v>0</v>
      </c>
      <c r="W206" s="194">
        <f t="shared" si="57"/>
        <v>0</v>
      </c>
      <c r="X206" s="194">
        <f t="shared" si="58"/>
        <v>46270</v>
      </c>
    </row>
    <row r="207" spans="1:24" x14ac:dyDescent="0.2">
      <c r="A207" s="227" t="str">
        <f>'School Level Inst. Resources'!A207</f>
        <v>1301000</v>
      </c>
      <c r="B207" s="227" t="str">
        <f>'School Level Inst. Resources'!B207</f>
        <v>Natrona #1</v>
      </c>
      <c r="C207" s="227" t="str">
        <f>'School Level Inst. Resources'!C207</f>
        <v>1301011</v>
      </c>
      <c r="D207" s="227" t="str">
        <f>'School Level Inst. Resources'!D207</f>
        <v>Manor Heights Elementary</v>
      </c>
      <c r="E207" s="228" t="str">
        <f>'School Level Inst. Resources'!E207</f>
        <v>K-6</v>
      </c>
      <c r="F207" s="229" t="str">
        <f>'School Level Inst. Resources'!H207</f>
        <v>E</v>
      </c>
      <c r="G207" s="229" t="s">
        <v>1158</v>
      </c>
      <c r="H207" s="229" t="str">
        <f t="shared" si="59"/>
        <v>E</v>
      </c>
      <c r="I207" s="198">
        <f>'School Level ADM'!$BI207</f>
        <v>320.56452631578952</v>
      </c>
      <c r="J207" s="194">
        <f t="shared" si="45"/>
        <v>46752</v>
      </c>
      <c r="K207" s="194">
        <f t="shared" si="46"/>
        <v>0</v>
      </c>
      <c r="L207" s="194">
        <f t="shared" si="47"/>
        <v>0</v>
      </c>
      <c r="M207" s="194">
        <f t="shared" si="48"/>
        <v>0</v>
      </c>
      <c r="N207" s="194">
        <f t="shared" si="49"/>
        <v>0</v>
      </c>
      <c r="O207" s="194">
        <f t="shared" si="50"/>
        <v>0</v>
      </c>
      <c r="P207" s="194">
        <f t="shared" si="51"/>
        <v>46752</v>
      </c>
      <c r="Q207" s="198">
        <f>'School Level ADM'!$AU207</f>
        <v>310.27499999999998</v>
      </c>
      <c r="R207" s="194">
        <f t="shared" si="52"/>
        <v>46752</v>
      </c>
      <c r="S207" s="194">
        <f t="shared" si="53"/>
        <v>0</v>
      </c>
      <c r="T207" s="194">
        <f t="shared" si="54"/>
        <v>0</v>
      </c>
      <c r="U207" s="194">
        <f t="shared" si="55"/>
        <v>0</v>
      </c>
      <c r="V207" s="194">
        <f t="shared" si="56"/>
        <v>0</v>
      </c>
      <c r="W207" s="194">
        <f t="shared" si="57"/>
        <v>0</v>
      </c>
      <c r="X207" s="194">
        <f t="shared" si="58"/>
        <v>46752</v>
      </c>
    </row>
    <row r="208" spans="1:24" x14ac:dyDescent="0.2">
      <c r="A208" s="227" t="str">
        <f>'School Level Inst. Resources'!A208</f>
        <v>1301000</v>
      </c>
      <c r="B208" s="227" t="str">
        <f>'School Level Inst. Resources'!B208</f>
        <v>Natrona #1</v>
      </c>
      <c r="C208" s="227" t="str">
        <f>'School Level Inst. Resources'!C208</f>
        <v>1301014</v>
      </c>
      <c r="D208" s="227" t="str">
        <f>'School Level Inst. Resources'!D208</f>
        <v>Journey Elementary</v>
      </c>
      <c r="E208" s="228" t="str">
        <f>'School Level Inst. Resources'!E208</f>
        <v>P-5</v>
      </c>
      <c r="F208" s="229" t="str">
        <f>'School Level Inst. Resources'!H208</f>
        <v>E</v>
      </c>
      <c r="G208" s="229" t="s">
        <v>1158</v>
      </c>
      <c r="H208" s="229" t="str">
        <f t="shared" si="59"/>
        <v>E</v>
      </c>
      <c r="I208" s="198">
        <f>'School Level ADM'!$BI208</f>
        <v>198.45152631578947</v>
      </c>
      <c r="J208" s="194">
        <f t="shared" si="45"/>
        <v>32681</v>
      </c>
      <c r="K208" s="194">
        <f t="shared" si="46"/>
        <v>0</v>
      </c>
      <c r="L208" s="194">
        <f t="shared" si="47"/>
        <v>0</v>
      </c>
      <c r="M208" s="194">
        <f t="shared" si="48"/>
        <v>0</v>
      </c>
      <c r="N208" s="194">
        <f t="shared" si="49"/>
        <v>0</v>
      </c>
      <c r="O208" s="194">
        <f t="shared" si="50"/>
        <v>0</v>
      </c>
      <c r="P208" s="194">
        <f t="shared" si="51"/>
        <v>32681</v>
      </c>
      <c r="Q208" s="198">
        <f>'School Level ADM'!$AU208</f>
        <v>271.86</v>
      </c>
      <c r="R208" s="194">
        <f t="shared" si="52"/>
        <v>32681</v>
      </c>
      <c r="S208" s="194">
        <f t="shared" si="53"/>
        <v>0</v>
      </c>
      <c r="T208" s="194">
        <f t="shared" si="54"/>
        <v>0</v>
      </c>
      <c r="U208" s="194">
        <f t="shared" si="55"/>
        <v>0</v>
      </c>
      <c r="V208" s="194">
        <f t="shared" si="56"/>
        <v>0</v>
      </c>
      <c r="W208" s="194">
        <f t="shared" si="57"/>
        <v>0</v>
      </c>
      <c r="X208" s="194">
        <f t="shared" si="58"/>
        <v>32681</v>
      </c>
    </row>
    <row r="209" spans="1:24" x14ac:dyDescent="0.2">
      <c r="A209" s="227" t="str">
        <f>'School Level Inst. Resources'!A209</f>
        <v>1301000</v>
      </c>
      <c r="B209" s="227" t="str">
        <f>'School Level Inst. Resources'!B209</f>
        <v>Natrona #1</v>
      </c>
      <c r="C209" s="227" t="str">
        <f>'School Level Inst. Resources'!C209</f>
        <v>1301015</v>
      </c>
      <c r="D209" s="227" t="str">
        <f>'School Level Inst. Resources'!D209</f>
        <v>Mountain View Elementary</v>
      </c>
      <c r="E209" s="228" t="str">
        <f>'School Level Inst. Resources'!E209</f>
        <v>P-5</v>
      </c>
      <c r="F209" s="229" t="str">
        <f>'School Level Inst. Resources'!H209</f>
        <v>E</v>
      </c>
      <c r="G209" s="229" t="s">
        <v>1158</v>
      </c>
      <c r="H209" s="229" t="str">
        <f t="shared" si="59"/>
        <v>E</v>
      </c>
      <c r="I209" s="198">
        <f>'School Level ADM'!$BI209</f>
        <v>177.37652631578948</v>
      </c>
      <c r="J209" s="194">
        <f t="shared" si="45"/>
        <v>29902</v>
      </c>
      <c r="K209" s="194">
        <f t="shared" si="46"/>
        <v>0</v>
      </c>
      <c r="L209" s="194">
        <f t="shared" si="47"/>
        <v>0</v>
      </c>
      <c r="M209" s="194">
        <f t="shared" si="48"/>
        <v>0</v>
      </c>
      <c r="N209" s="194">
        <f t="shared" si="49"/>
        <v>0</v>
      </c>
      <c r="O209" s="194">
        <f t="shared" si="50"/>
        <v>0</v>
      </c>
      <c r="P209" s="194">
        <f t="shared" si="51"/>
        <v>29902</v>
      </c>
      <c r="Q209" s="198">
        <f>'School Level ADM'!$AU209</f>
        <v>150.70500000000001</v>
      </c>
      <c r="R209" s="194">
        <f t="shared" si="52"/>
        <v>29902</v>
      </c>
      <c r="S209" s="194">
        <f t="shared" si="53"/>
        <v>0</v>
      </c>
      <c r="T209" s="194">
        <f t="shared" si="54"/>
        <v>0</v>
      </c>
      <c r="U209" s="194">
        <f t="shared" si="55"/>
        <v>0</v>
      </c>
      <c r="V209" s="194">
        <f t="shared" si="56"/>
        <v>0</v>
      </c>
      <c r="W209" s="194">
        <f t="shared" si="57"/>
        <v>0</v>
      </c>
      <c r="X209" s="194">
        <f t="shared" si="58"/>
        <v>29902</v>
      </c>
    </row>
    <row r="210" spans="1:24" x14ac:dyDescent="0.2">
      <c r="A210" s="227" t="str">
        <f>'School Level Inst. Resources'!A210</f>
        <v>1301000</v>
      </c>
      <c r="B210" s="227" t="str">
        <f>'School Level Inst. Resources'!B210</f>
        <v>Natrona #1</v>
      </c>
      <c r="C210" s="227" t="str">
        <f>'School Level Inst. Resources'!C210</f>
        <v>1301016</v>
      </c>
      <c r="D210" s="227" t="str">
        <f>'School Level Inst. Resources'!D210</f>
        <v>Lincoln Elementary School</v>
      </c>
      <c r="E210" s="228" t="str">
        <f>'School Level Inst. Resources'!E210</f>
        <v>P-5</v>
      </c>
      <c r="F210" s="229" t="str">
        <f>'School Level Inst. Resources'!H210</f>
        <v>E</v>
      </c>
      <c r="G210" s="229" t="s">
        <v>1158</v>
      </c>
      <c r="H210" s="229" t="str">
        <f t="shared" si="59"/>
        <v>E</v>
      </c>
      <c r="I210" s="198">
        <f>'School Level ADM'!$BI210</f>
        <v>299.41652631578944</v>
      </c>
      <c r="J210" s="194">
        <f t="shared" si="45"/>
        <v>44508</v>
      </c>
      <c r="K210" s="194">
        <f t="shared" si="46"/>
        <v>0</v>
      </c>
      <c r="L210" s="194">
        <f t="shared" si="47"/>
        <v>0</v>
      </c>
      <c r="M210" s="194">
        <f t="shared" si="48"/>
        <v>0</v>
      </c>
      <c r="N210" s="194">
        <f t="shared" si="49"/>
        <v>0</v>
      </c>
      <c r="O210" s="194">
        <f t="shared" si="50"/>
        <v>0</v>
      </c>
      <c r="P210" s="194">
        <f t="shared" si="51"/>
        <v>44508</v>
      </c>
      <c r="Q210" s="198">
        <f>'School Level ADM'!$AU210</f>
        <v>307.32</v>
      </c>
      <c r="R210" s="194">
        <f t="shared" si="52"/>
        <v>44508</v>
      </c>
      <c r="S210" s="194">
        <f t="shared" si="53"/>
        <v>0</v>
      </c>
      <c r="T210" s="194">
        <f t="shared" si="54"/>
        <v>0</v>
      </c>
      <c r="U210" s="194">
        <f t="shared" si="55"/>
        <v>0</v>
      </c>
      <c r="V210" s="194">
        <f t="shared" si="56"/>
        <v>0</v>
      </c>
      <c r="W210" s="194">
        <f t="shared" si="57"/>
        <v>0</v>
      </c>
      <c r="X210" s="194">
        <f t="shared" si="58"/>
        <v>44508</v>
      </c>
    </row>
    <row r="211" spans="1:24" x14ac:dyDescent="0.2">
      <c r="A211" s="227" t="str">
        <f>'School Level Inst. Resources'!A211</f>
        <v>1301000</v>
      </c>
      <c r="B211" s="227" t="str">
        <f>'School Level Inst. Resources'!B211</f>
        <v>Natrona #1</v>
      </c>
      <c r="C211" s="227" t="str">
        <f>'School Level Inst. Resources'!C211</f>
        <v>1301017</v>
      </c>
      <c r="D211" s="227" t="str">
        <f>'School Level Inst. Resources'!D211</f>
        <v>Paradise Valley Elementary</v>
      </c>
      <c r="E211" s="228" t="str">
        <f>'School Level Inst. Resources'!E211</f>
        <v>P-6</v>
      </c>
      <c r="F211" s="229" t="str">
        <f>'School Level Inst. Resources'!H211</f>
        <v>E</v>
      </c>
      <c r="G211" s="229" t="s">
        <v>1158</v>
      </c>
      <c r="H211" s="229" t="str">
        <f t="shared" si="59"/>
        <v>E</v>
      </c>
      <c r="I211" s="198">
        <f>'School Level ADM'!$BI211</f>
        <v>413.40552631578953</v>
      </c>
      <c r="J211" s="194">
        <f t="shared" si="45"/>
        <v>56132</v>
      </c>
      <c r="K211" s="194">
        <f t="shared" si="46"/>
        <v>0</v>
      </c>
      <c r="L211" s="194">
        <f t="shared" si="47"/>
        <v>0</v>
      </c>
      <c r="M211" s="194">
        <f t="shared" si="48"/>
        <v>0</v>
      </c>
      <c r="N211" s="194">
        <f t="shared" si="49"/>
        <v>0</v>
      </c>
      <c r="O211" s="194">
        <f t="shared" si="50"/>
        <v>0</v>
      </c>
      <c r="P211" s="194">
        <f t="shared" si="51"/>
        <v>56132</v>
      </c>
      <c r="Q211" s="198">
        <f>'School Level ADM'!$AU211</f>
        <v>389.07499999999999</v>
      </c>
      <c r="R211" s="194">
        <f t="shared" si="52"/>
        <v>56132</v>
      </c>
      <c r="S211" s="194">
        <f t="shared" si="53"/>
        <v>0</v>
      </c>
      <c r="T211" s="194">
        <f t="shared" si="54"/>
        <v>0</v>
      </c>
      <c r="U211" s="194">
        <f t="shared" si="55"/>
        <v>0</v>
      </c>
      <c r="V211" s="194">
        <f t="shared" si="56"/>
        <v>0</v>
      </c>
      <c r="W211" s="194">
        <f t="shared" si="57"/>
        <v>0</v>
      </c>
      <c r="X211" s="194">
        <f t="shared" si="58"/>
        <v>56132</v>
      </c>
    </row>
    <row r="212" spans="1:24" x14ac:dyDescent="0.2">
      <c r="A212" s="227" t="str">
        <f>'School Level Inst. Resources'!A212</f>
        <v>1301000</v>
      </c>
      <c r="B212" s="227" t="str">
        <f>'School Level Inst. Resources'!B212</f>
        <v>Natrona #1</v>
      </c>
      <c r="C212" s="227" t="str">
        <f>'School Level Inst. Resources'!C212</f>
        <v>1301018</v>
      </c>
      <c r="D212" s="227" t="str">
        <f>'School Level Inst. Resources'!D212</f>
        <v>Park Elementary</v>
      </c>
      <c r="E212" s="228" t="str">
        <f>'School Level Inst. Resources'!E212</f>
        <v>K-6</v>
      </c>
      <c r="F212" s="229" t="str">
        <f>'School Level Inst. Resources'!H212</f>
        <v>E</v>
      </c>
      <c r="G212" s="229" t="s">
        <v>1158</v>
      </c>
      <c r="H212" s="229" t="str">
        <f t="shared" si="59"/>
        <v>E</v>
      </c>
      <c r="I212" s="198">
        <f>'School Level ADM'!$BI212</f>
        <v>323.71952631578949</v>
      </c>
      <c r="J212" s="194">
        <f t="shared" si="45"/>
        <v>47082</v>
      </c>
      <c r="K212" s="194">
        <f t="shared" si="46"/>
        <v>0</v>
      </c>
      <c r="L212" s="194">
        <f t="shared" si="47"/>
        <v>0</v>
      </c>
      <c r="M212" s="194">
        <f t="shared" si="48"/>
        <v>0</v>
      </c>
      <c r="N212" s="194">
        <f t="shared" si="49"/>
        <v>0</v>
      </c>
      <c r="O212" s="194">
        <f t="shared" si="50"/>
        <v>0</v>
      </c>
      <c r="P212" s="194">
        <f t="shared" si="51"/>
        <v>47082</v>
      </c>
      <c r="Q212" s="198">
        <f>'School Level ADM'!$AU212</f>
        <v>318.15499999999997</v>
      </c>
      <c r="R212" s="194">
        <f t="shared" si="52"/>
        <v>47082</v>
      </c>
      <c r="S212" s="194">
        <f t="shared" si="53"/>
        <v>0</v>
      </c>
      <c r="T212" s="194">
        <f t="shared" si="54"/>
        <v>0</v>
      </c>
      <c r="U212" s="194">
        <f t="shared" si="55"/>
        <v>0</v>
      </c>
      <c r="V212" s="194">
        <f t="shared" si="56"/>
        <v>0</v>
      </c>
      <c r="W212" s="194">
        <f t="shared" si="57"/>
        <v>0</v>
      </c>
      <c r="X212" s="194">
        <f t="shared" si="58"/>
        <v>47082</v>
      </c>
    </row>
    <row r="213" spans="1:24" x14ac:dyDescent="0.2">
      <c r="A213" s="227" t="str">
        <f>'School Level Inst. Resources'!A213</f>
        <v>1301000</v>
      </c>
      <c r="B213" s="227" t="str">
        <f>'School Level Inst. Resources'!B213</f>
        <v>Natrona #1</v>
      </c>
      <c r="C213" s="227" t="str">
        <f>'School Level Inst. Resources'!C213</f>
        <v>1301019</v>
      </c>
      <c r="D213" s="227" t="str">
        <f>'School Level Inst. Resources'!D213</f>
        <v>Pineview Elementary</v>
      </c>
      <c r="E213" s="228" t="str">
        <f>'School Level Inst. Resources'!E213</f>
        <v>P-6</v>
      </c>
      <c r="F213" s="229" t="str">
        <f>'School Level Inst. Resources'!H213</f>
        <v>E</v>
      </c>
      <c r="G213" s="229" t="s">
        <v>1158</v>
      </c>
      <c r="H213" s="229" t="str">
        <f t="shared" si="59"/>
        <v>E</v>
      </c>
      <c r="I213" s="198">
        <f>'School Level ADM'!$BI213</f>
        <v>276.19452631578946</v>
      </c>
      <c r="J213" s="194">
        <f t="shared" si="45"/>
        <v>41968</v>
      </c>
      <c r="K213" s="194">
        <f t="shared" si="46"/>
        <v>0</v>
      </c>
      <c r="L213" s="194">
        <f t="shared" si="47"/>
        <v>0</v>
      </c>
      <c r="M213" s="194">
        <f t="shared" si="48"/>
        <v>0</v>
      </c>
      <c r="N213" s="194">
        <f t="shared" si="49"/>
        <v>0</v>
      </c>
      <c r="O213" s="194">
        <f t="shared" si="50"/>
        <v>0</v>
      </c>
      <c r="P213" s="194">
        <f t="shared" si="51"/>
        <v>41968</v>
      </c>
      <c r="Q213" s="198">
        <f>'School Level ADM'!$AU213</f>
        <v>251.17500000000001</v>
      </c>
      <c r="R213" s="194">
        <f t="shared" si="52"/>
        <v>41968</v>
      </c>
      <c r="S213" s="194">
        <f t="shared" si="53"/>
        <v>0</v>
      </c>
      <c r="T213" s="194">
        <f t="shared" si="54"/>
        <v>0</v>
      </c>
      <c r="U213" s="194">
        <f t="shared" si="55"/>
        <v>0</v>
      </c>
      <c r="V213" s="194">
        <f t="shared" si="56"/>
        <v>0</v>
      </c>
      <c r="W213" s="194">
        <f t="shared" si="57"/>
        <v>0</v>
      </c>
      <c r="X213" s="194">
        <f t="shared" si="58"/>
        <v>41968</v>
      </c>
    </row>
    <row r="214" spans="1:24" x14ac:dyDescent="0.2">
      <c r="A214" s="227" t="str">
        <f>'School Level Inst. Resources'!A214</f>
        <v>1301000</v>
      </c>
      <c r="B214" s="227" t="str">
        <f>'School Level Inst. Resources'!B214</f>
        <v>Natrona #1</v>
      </c>
      <c r="C214" s="227" t="str">
        <f>'School Level Inst. Resources'!C214</f>
        <v>1301020</v>
      </c>
      <c r="D214" s="227" t="str">
        <f>'School Level Inst. Resources'!D214</f>
        <v>Poison Spider Elementary</v>
      </c>
      <c r="E214" s="228" t="str">
        <f>'School Level Inst. Resources'!E214</f>
        <v>K-8</v>
      </c>
      <c r="F214" s="229" t="str">
        <f>'School Level Inst. Resources'!H214</f>
        <v>M</v>
      </c>
      <c r="G214" s="229" t="s">
        <v>1158</v>
      </c>
      <c r="H214" s="229" t="str">
        <f t="shared" si="59"/>
        <v>K-8</v>
      </c>
      <c r="I214" s="198">
        <f>'School Level ADM'!$BI214</f>
        <v>180.59199999999998</v>
      </c>
      <c r="J214" s="194">
        <f t="shared" si="45"/>
        <v>0</v>
      </c>
      <c r="K214" s="194">
        <f t="shared" si="46"/>
        <v>0</v>
      </c>
      <c r="L214" s="194">
        <f t="shared" si="47"/>
        <v>0</v>
      </c>
      <c r="M214" s="194">
        <f t="shared" si="48"/>
        <v>46974</v>
      </c>
      <c r="N214" s="194">
        <f t="shared" si="49"/>
        <v>0</v>
      </c>
      <c r="O214" s="194">
        <f t="shared" si="50"/>
        <v>0</v>
      </c>
      <c r="P214" s="194">
        <f t="shared" si="51"/>
        <v>46974</v>
      </c>
      <c r="Q214" s="198">
        <f>'School Level ADM'!$AU214</f>
        <v>161.54</v>
      </c>
      <c r="R214" s="194">
        <f t="shared" si="52"/>
        <v>0</v>
      </c>
      <c r="S214" s="194">
        <f t="shared" si="53"/>
        <v>0</v>
      </c>
      <c r="T214" s="194">
        <f t="shared" si="54"/>
        <v>0</v>
      </c>
      <c r="U214" s="194">
        <f t="shared" si="55"/>
        <v>46974</v>
      </c>
      <c r="V214" s="194">
        <f t="shared" si="56"/>
        <v>0</v>
      </c>
      <c r="W214" s="194">
        <f t="shared" si="57"/>
        <v>0</v>
      </c>
      <c r="X214" s="194">
        <f t="shared" si="58"/>
        <v>46974</v>
      </c>
    </row>
    <row r="215" spans="1:24" x14ac:dyDescent="0.2">
      <c r="A215" s="227" t="str">
        <f>'School Level Inst. Resources'!A215</f>
        <v>1301000</v>
      </c>
      <c r="B215" s="227" t="str">
        <f>'School Level Inst. Resources'!B215</f>
        <v>Natrona #1</v>
      </c>
      <c r="C215" s="227" t="str">
        <f>'School Level Inst. Resources'!C215</f>
        <v>1301021</v>
      </c>
      <c r="D215" s="227" t="str">
        <f>'School Level Inst. Resources'!D215</f>
        <v>Powder River Elementary</v>
      </c>
      <c r="E215" s="228" t="str">
        <f>'School Level Inst. Resources'!E215</f>
        <v>K-6</v>
      </c>
      <c r="F215" s="229" t="str">
        <f>'School Level Inst. Resources'!H215</f>
        <v>E</v>
      </c>
      <c r="G215" s="229" t="s">
        <v>1158</v>
      </c>
      <c r="H215" s="229" t="str">
        <f t="shared" si="59"/>
        <v>E</v>
      </c>
      <c r="I215" s="198">
        <f>'School Level ADM'!$BI215</f>
        <v>4.68</v>
      </c>
      <c r="J215" s="194">
        <f t="shared" si="45"/>
        <v>2915</v>
      </c>
      <c r="K215" s="194">
        <f t="shared" si="46"/>
        <v>0</v>
      </c>
      <c r="L215" s="194">
        <f t="shared" si="47"/>
        <v>0</v>
      </c>
      <c r="M215" s="194">
        <f t="shared" si="48"/>
        <v>0</v>
      </c>
      <c r="N215" s="194">
        <f t="shared" si="49"/>
        <v>0</v>
      </c>
      <c r="O215" s="194">
        <f t="shared" si="50"/>
        <v>0</v>
      </c>
      <c r="P215" s="194">
        <f t="shared" si="51"/>
        <v>2915</v>
      </c>
      <c r="Q215" s="198">
        <f>'School Level ADM'!$AU215</f>
        <v>1.97</v>
      </c>
      <c r="R215" s="194">
        <f t="shared" si="52"/>
        <v>2915</v>
      </c>
      <c r="S215" s="194">
        <f t="shared" si="53"/>
        <v>0</v>
      </c>
      <c r="T215" s="194">
        <f t="shared" si="54"/>
        <v>0</v>
      </c>
      <c r="U215" s="194">
        <f t="shared" si="55"/>
        <v>0</v>
      </c>
      <c r="V215" s="194">
        <f t="shared" si="56"/>
        <v>0</v>
      </c>
      <c r="W215" s="194">
        <f t="shared" si="57"/>
        <v>0</v>
      </c>
      <c r="X215" s="194">
        <f t="shared" si="58"/>
        <v>2915</v>
      </c>
    </row>
    <row r="216" spans="1:24" x14ac:dyDescent="0.2">
      <c r="A216" s="227" t="str">
        <f>'School Level Inst. Resources'!A216</f>
        <v>1301000</v>
      </c>
      <c r="B216" s="227" t="str">
        <f>'School Level Inst. Resources'!B216</f>
        <v>Natrona #1</v>
      </c>
      <c r="C216" s="227" t="str">
        <f>'School Level Inst. Resources'!C216</f>
        <v>1301022</v>
      </c>
      <c r="D216" s="227" t="str">
        <f>'School Level Inst. Resources'!D216</f>
        <v>Red Creek Elementary</v>
      </c>
      <c r="E216" s="228" t="str">
        <f>'School Level Inst. Resources'!E216</f>
        <v>K-6</v>
      </c>
      <c r="F216" s="229" t="str">
        <f>'School Level Inst. Resources'!H216</f>
        <v>E</v>
      </c>
      <c r="G216" s="229" t="s">
        <v>1158</v>
      </c>
      <c r="H216" s="229" t="str">
        <f t="shared" si="59"/>
        <v>E</v>
      </c>
      <c r="I216" s="198">
        <f>'School Level ADM'!$BI216</f>
        <v>8.9890000000000008</v>
      </c>
      <c r="J216" s="194">
        <f t="shared" si="45"/>
        <v>2915</v>
      </c>
      <c r="K216" s="194">
        <f t="shared" si="46"/>
        <v>0</v>
      </c>
      <c r="L216" s="194">
        <f t="shared" si="47"/>
        <v>0</v>
      </c>
      <c r="M216" s="194">
        <f t="shared" si="48"/>
        <v>0</v>
      </c>
      <c r="N216" s="194">
        <f t="shared" si="49"/>
        <v>0</v>
      </c>
      <c r="O216" s="194">
        <f t="shared" si="50"/>
        <v>0</v>
      </c>
      <c r="P216" s="194">
        <f t="shared" si="51"/>
        <v>2915</v>
      </c>
      <c r="Q216" s="198">
        <f>'School Level ADM'!$AU216</f>
        <v>8.8650000000000002</v>
      </c>
      <c r="R216" s="194">
        <f t="shared" si="52"/>
        <v>2915</v>
      </c>
      <c r="S216" s="194">
        <f t="shared" si="53"/>
        <v>0</v>
      </c>
      <c r="T216" s="194">
        <f t="shared" si="54"/>
        <v>0</v>
      </c>
      <c r="U216" s="194">
        <f t="shared" si="55"/>
        <v>0</v>
      </c>
      <c r="V216" s="194">
        <f t="shared" si="56"/>
        <v>0</v>
      </c>
      <c r="W216" s="194">
        <f t="shared" si="57"/>
        <v>0</v>
      </c>
      <c r="X216" s="194">
        <f t="shared" si="58"/>
        <v>2915</v>
      </c>
    </row>
    <row r="217" spans="1:24" x14ac:dyDescent="0.2">
      <c r="A217" s="227" t="str">
        <f>'School Level Inst. Resources'!A217</f>
        <v>1301000</v>
      </c>
      <c r="B217" s="227" t="str">
        <f>'School Level Inst. Resources'!B217</f>
        <v>Natrona #1</v>
      </c>
      <c r="C217" s="227" t="str">
        <f>'School Level Inst. Resources'!C217</f>
        <v>1301023</v>
      </c>
      <c r="D217" s="227" t="str">
        <f>'School Level Inst. Resources'!D217</f>
        <v>Southridge Elementary</v>
      </c>
      <c r="E217" s="228" t="str">
        <f>'School Level Inst. Resources'!E217</f>
        <v>K-5</v>
      </c>
      <c r="F217" s="229" t="str">
        <f>'School Level Inst. Resources'!H217</f>
        <v>E</v>
      </c>
      <c r="G217" s="229" t="s">
        <v>1158</v>
      </c>
      <c r="H217" s="229" t="str">
        <f t="shared" si="59"/>
        <v>E</v>
      </c>
      <c r="I217" s="198">
        <f>'School Level ADM'!$BI217</f>
        <v>326.94852631578954</v>
      </c>
      <c r="J217" s="194">
        <f t="shared" si="45"/>
        <v>47418</v>
      </c>
      <c r="K217" s="194">
        <f t="shared" si="46"/>
        <v>0</v>
      </c>
      <c r="L217" s="194">
        <f t="shared" si="47"/>
        <v>0</v>
      </c>
      <c r="M217" s="194">
        <f t="shared" si="48"/>
        <v>0</v>
      </c>
      <c r="N217" s="194">
        <f t="shared" si="49"/>
        <v>0</v>
      </c>
      <c r="O217" s="194">
        <f t="shared" si="50"/>
        <v>0</v>
      </c>
      <c r="P217" s="194">
        <f t="shared" si="51"/>
        <v>47418</v>
      </c>
      <c r="Q217" s="198">
        <f>'School Level ADM'!$AU217</f>
        <v>317.17</v>
      </c>
      <c r="R217" s="194">
        <f t="shared" si="52"/>
        <v>47418</v>
      </c>
      <c r="S217" s="194">
        <f t="shared" si="53"/>
        <v>0</v>
      </c>
      <c r="T217" s="194">
        <f t="shared" si="54"/>
        <v>0</v>
      </c>
      <c r="U217" s="194">
        <f t="shared" si="55"/>
        <v>0</v>
      </c>
      <c r="V217" s="194">
        <f t="shared" si="56"/>
        <v>0</v>
      </c>
      <c r="W217" s="194">
        <f t="shared" si="57"/>
        <v>0</v>
      </c>
      <c r="X217" s="194">
        <f t="shared" si="58"/>
        <v>47418</v>
      </c>
    </row>
    <row r="218" spans="1:24" x14ac:dyDescent="0.2">
      <c r="A218" s="227" t="str">
        <f>'School Level Inst. Resources'!A218</f>
        <v>1301000</v>
      </c>
      <c r="B218" s="227" t="str">
        <f>'School Level Inst. Resources'!B218</f>
        <v>Natrona #1</v>
      </c>
      <c r="C218" s="227" t="str">
        <f>'School Level Inst. Resources'!C218</f>
        <v>1301024</v>
      </c>
      <c r="D218" s="227" t="str">
        <f>'School Level Inst. Resources'!D218</f>
        <v>University Park Elementary</v>
      </c>
      <c r="E218" s="228" t="str">
        <f>'School Level Inst. Resources'!E218</f>
        <v>P-5</v>
      </c>
      <c r="F218" s="229" t="str">
        <f>'School Level Inst. Resources'!H218</f>
        <v>E</v>
      </c>
      <c r="G218" s="229" t="s">
        <v>1158</v>
      </c>
      <c r="H218" s="229" t="str">
        <f t="shared" si="59"/>
        <v>E</v>
      </c>
      <c r="I218" s="198">
        <f>'School Level ADM'!$BI218</f>
        <v>216.88452631578946</v>
      </c>
      <c r="J218" s="194">
        <f t="shared" si="45"/>
        <v>35011</v>
      </c>
      <c r="K218" s="194">
        <f t="shared" si="46"/>
        <v>0</v>
      </c>
      <c r="L218" s="194">
        <f t="shared" si="47"/>
        <v>0</v>
      </c>
      <c r="M218" s="194">
        <f t="shared" si="48"/>
        <v>0</v>
      </c>
      <c r="N218" s="194">
        <f t="shared" si="49"/>
        <v>0</v>
      </c>
      <c r="O218" s="194">
        <f t="shared" si="50"/>
        <v>0</v>
      </c>
      <c r="P218" s="194">
        <f t="shared" si="51"/>
        <v>35011</v>
      </c>
      <c r="Q218" s="198">
        <f>'School Level ADM'!$AU218</f>
        <v>200.94000000000003</v>
      </c>
      <c r="R218" s="194">
        <f t="shared" si="52"/>
        <v>35011</v>
      </c>
      <c r="S218" s="194">
        <f t="shared" si="53"/>
        <v>0</v>
      </c>
      <c r="T218" s="194">
        <f t="shared" si="54"/>
        <v>0</v>
      </c>
      <c r="U218" s="194">
        <f t="shared" si="55"/>
        <v>0</v>
      </c>
      <c r="V218" s="194">
        <f t="shared" si="56"/>
        <v>0</v>
      </c>
      <c r="W218" s="194">
        <f t="shared" si="57"/>
        <v>0</v>
      </c>
      <c r="X218" s="194">
        <f t="shared" si="58"/>
        <v>35011</v>
      </c>
    </row>
    <row r="219" spans="1:24" x14ac:dyDescent="0.2">
      <c r="A219" s="227" t="str">
        <f>'School Level Inst. Resources'!A219</f>
        <v>1301000</v>
      </c>
      <c r="B219" s="227" t="str">
        <f>'School Level Inst. Resources'!B219</f>
        <v>Natrona #1</v>
      </c>
      <c r="C219" s="227" t="str">
        <f>'School Level Inst. Resources'!C219</f>
        <v>1301025</v>
      </c>
      <c r="D219" s="227" t="str">
        <f>'School Level Inst. Resources'!D219</f>
        <v>Verda James Elementary</v>
      </c>
      <c r="E219" s="228" t="str">
        <f>'School Level Inst. Resources'!E219</f>
        <v>K-5</v>
      </c>
      <c r="F219" s="229" t="str">
        <f>'School Level Inst. Resources'!H219</f>
        <v>E</v>
      </c>
      <c r="G219" s="229" t="s">
        <v>1158</v>
      </c>
      <c r="H219" s="229" t="str">
        <f t="shared" si="59"/>
        <v>E</v>
      </c>
      <c r="I219" s="198">
        <f>'School Level ADM'!$BI219</f>
        <v>438.45552631578948</v>
      </c>
      <c r="J219" s="194">
        <f t="shared" si="45"/>
        <v>58619</v>
      </c>
      <c r="K219" s="194">
        <f t="shared" si="46"/>
        <v>0</v>
      </c>
      <c r="L219" s="194">
        <f t="shared" si="47"/>
        <v>0</v>
      </c>
      <c r="M219" s="194">
        <f t="shared" si="48"/>
        <v>0</v>
      </c>
      <c r="N219" s="194">
        <f t="shared" si="49"/>
        <v>0</v>
      </c>
      <c r="O219" s="194">
        <f t="shared" si="50"/>
        <v>0</v>
      </c>
      <c r="P219" s="194">
        <f t="shared" si="51"/>
        <v>58619</v>
      </c>
      <c r="Q219" s="198">
        <f>'School Level ADM'!$AU219</f>
        <v>419.61</v>
      </c>
      <c r="R219" s="194">
        <f t="shared" si="52"/>
        <v>58619</v>
      </c>
      <c r="S219" s="194">
        <f t="shared" si="53"/>
        <v>0</v>
      </c>
      <c r="T219" s="194">
        <f t="shared" si="54"/>
        <v>0</v>
      </c>
      <c r="U219" s="194">
        <f t="shared" si="55"/>
        <v>0</v>
      </c>
      <c r="V219" s="194">
        <f t="shared" si="56"/>
        <v>0</v>
      </c>
      <c r="W219" s="194">
        <f t="shared" si="57"/>
        <v>0</v>
      </c>
      <c r="X219" s="194">
        <f t="shared" si="58"/>
        <v>58619</v>
      </c>
    </row>
    <row r="220" spans="1:24" x14ac:dyDescent="0.2">
      <c r="A220" s="227" t="str">
        <f>'School Level Inst. Resources'!A220</f>
        <v>1301000</v>
      </c>
      <c r="B220" s="227" t="str">
        <f>'School Level Inst. Resources'!B220</f>
        <v>Natrona #1</v>
      </c>
      <c r="C220" s="227" t="str">
        <f>'School Level Inst. Resources'!C220</f>
        <v>1301027</v>
      </c>
      <c r="D220" s="227" t="str">
        <f>'School Level Inst. Resources'!D220</f>
        <v>Willard Elementary</v>
      </c>
      <c r="E220" s="228" t="str">
        <f>'School Level Inst. Resources'!E220</f>
        <v>P-5</v>
      </c>
      <c r="F220" s="229" t="str">
        <f>'School Level Inst. Resources'!H220</f>
        <v>E</v>
      </c>
      <c r="G220" s="229" t="s">
        <v>1158</v>
      </c>
      <c r="H220" s="229" t="str">
        <f t="shared" si="59"/>
        <v>E</v>
      </c>
      <c r="I220" s="198">
        <f>'School Level ADM'!$BI220</f>
        <v>225.53752631578945</v>
      </c>
      <c r="J220" s="194">
        <f t="shared" si="45"/>
        <v>36075</v>
      </c>
      <c r="K220" s="194">
        <f t="shared" si="46"/>
        <v>0</v>
      </c>
      <c r="L220" s="194">
        <f t="shared" si="47"/>
        <v>0</v>
      </c>
      <c r="M220" s="194">
        <f t="shared" si="48"/>
        <v>0</v>
      </c>
      <c r="N220" s="194">
        <f t="shared" si="49"/>
        <v>0</v>
      </c>
      <c r="O220" s="194">
        <f t="shared" si="50"/>
        <v>0</v>
      </c>
      <c r="P220" s="194">
        <f t="shared" si="51"/>
        <v>36075</v>
      </c>
      <c r="Q220" s="198">
        <f>'School Level ADM'!$AU220</f>
        <v>226.54999999999998</v>
      </c>
      <c r="R220" s="194">
        <f t="shared" si="52"/>
        <v>36075</v>
      </c>
      <c r="S220" s="194">
        <f t="shared" si="53"/>
        <v>0</v>
      </c>
      <c r="T220" s="194">
        <f t="shared" si="54"/>
        <v>0</v>
      </c>
      <c r="U220" s="194">
        <f t="shared" si="55"/>
        <v>0</v>
      </c>
      <c r="V220" s="194">
        <f t="shared" si="56"/>
        <v>0</v>
      </c>
      <c r="W220" s="194">
        <f t="shared" si="57"/>
        <v>0</v>
      </c>
      <c r="X220" s="194">
        <f t="shared" si="58"/>
        <v>36075</v>
      </c>
    </row>
    <row r="221" spans="1:24" x14ac:dyDescent="0.2">
      <c r="A221" s="227" t="str">
        <f>'School Level Inst. Resources'!A221</f>
        <v>1301000</v>
      </c>
      <c r="B221" s="227" t="str">
        <f>'School Level Inst. Resources'!B221</f>
        <v>Natrona #1</v>
      </c>
      <c r="C221" s="227" t="str">
        <f>'School Level Inst. Resources'!C221</f>
        <v>1301029</v>
      </c>
      <c r="D221" s="227" t="str">
        <f>'School Level Inst. Resources'!D221</f>
        <v>Woods Learning Center</v>
      </c>
      <c r="E221" s="228" t="str">
        <f>'School Level Inst. Resources'!E221</f>
        <v>K-8</v>
      </c>
      <c r="F221" s="229" t="str">
        <f>'School Level Inst. Resources'!H221</f>
        <v>M</v>
      </c>
      <c r="G221" s="229" t="s">
        <v>1158</v>
      </c>
      <c r="H221" s="229" t="str">
        <f t="shared" si="59"/>
        <v>K-8</v>
      </c>
      <c r="I221" s="198">
        <f>'School Level ADM'!$BI221</f>
        <v>167.57152631578947</v>
      </c>
      <c r="J221" s="194">
        <f t="shared" si="45"/>
        <v>0</v>
      </c>
      <c r="K221" s="194">
        <f t="shared" si="46"/>
        <v>0</v>
      </c>
      <c r="L221" s="194">
        <f t="shared" si="47"/>
        <v>0</v>
      </c>
      <c r="M221" s="194">
        <f t="shared" si="48"/>
        <v>44884</v>
      </c>
      <c r="N221" s="194">
        <f t="shared" si="49"/>
        <v>0</v>
      </c>
      <c r="O221" s="194">
        <f t="shared" si="50"/>
        <v>0</v>
      </c>
      <c r="P221" s="194">
        <f t="shared" si="51"/>
        <v>44884</v>
      </c>
      <c r="Q221" s="198">
        <f>'School Level ADM'!$AU221</f>
        <v>154.64500000000001</v>
      </c>
      <c r="R221" s="194">
        <f t="shared" si="52"/>
        <v>0</v>
      </c>
      <c r="S221" s="194">
        <f t="shared" si="53"/>
        <v>0</v>
      </c>
      <c r="T221" s="194">
        <f t="shared" si="54"/>
        <v>0</v>
      </c>
      <c r="U221" s="194">
        <f t="shared" si="55"/>
        <v>44884</v>
      </c>
      <c r="V221" s="194">
        <f t="shared" si="56"/>
        <v>0</v>
      </c>
      <c r="W221" s="194">
        <f t="shared" si="57"/>
        <v>0</v>
      </c>
      <c r="X221" s="194">
        <f t="shared" si="58"/>
        <v>44884</v>
      </c>
    </row>
    <row r="222" spans="1:24" x14ac:dyDescent="0.2">
      <c r="A222" s="227" t="str">
        <f>'School Level Inst. Resources'!A222</f>
        <v>1301000</v>
      </c>
      <c r="B222" s="227" t="str">
        <f>'School Level Inst. Resources'!B222</f>
        <v>Natrona #1</v>
      </c>
      <c r="C222" s="227" t="str">
        <f>'School Level Inst. Resources'!C222</f>
        <v>1301031</v>
      </c>
      <c r="D222" s="227" t="str">
        <f>'School Level Inst. Resources'!D222</f>
        <v>Oregon Trail Elementary</v>
      </c>
      <c r="E222" s="228" t="str">
        <f>'School Level Inst. Resources'!E222</f>
        <v>K-5</v>
      </c>
      <c r="F222" s="229" t="str">
        <f>'School Level Inst. Resources'!H222</f>
        <v>E</v>
      </c>
      <c r="G222" s="229" t="s">
        <v>1158</v>
      </c>
      <c r="H222" s="229" t="str">
        <f t="shared" si="59"/>
        <v>E</v>
      </c>
      <c r="I222" s="198">
        <f>'School Level ADM'!$BI222</f>
        <v>359.71352631578941</v>
      </c>
      <c r="J222" s="194">
        <f t="shared" si="45"/>
        <v>50774</v>
      </c>
      <c r="K222" s="194">
        <f t="shared" si="46"/>
        <v>0</v>
      </c>
      <c r="L222" s="194">
        <f t="shared" si="47"/>
        <v>0</v>
      </c>
      <c r="M222" s="194">
        <f t="shared" si="48"/>
        <v>0</v>
      </c>
      <c r="N222" s="194">
        <f t="shared" si="49"/>
        <v>0</v>
      </c>
      <c r="O222" s="194">
        <f t="shared" si="50"/>
        <v>0</v>
      </c>
      <c r="P222" s="194">
        <f t="shared" si="51"/>
        <v>50774</v>
      </c>
      <c r="Q222" s="198">
        <f>'School Level ADM'!$AU222</f>
        <v>351.64500000000004</v>
      </c>
      <c r="R222" s="194">
        <f t="shared" si="52"/>
        <v>50774</v>
      </c>
      <c r="S222" s="194">
        <f t="shared" si="53"/>
        <v>0</v>
      </c>
      <c r="T222" s="194">
        <f t="shared" si="54"/>
        <v>0</v>
      </c>
      <c r="U222" s="194">
        <f t="shared" si="55"/>
        <v>0</v>
      </c>
      <c r="V222" s="194">
        <f t="shared" si="56"/>
        <v>0</v>
      </c>
      <c r="W222" s="194">
        <f t="shared" si="57"/>
        <v>0</v>
      </c>
      <c r="X222" s="194">
        <f t="shared" si="58"/>
        <v>50774</v>
      </c>
    </row>
    <row r="223" spans="1:24" x14ac:dyDescent="0.2">
      <c r="A223" s="227" t="str">
        <f>'School Level Inst. Resources'!A223</f>
        <v>1301000</v>
      </c>
      <c r="B223" s="227" t="str">
        <f>'School Level Inst. Resources'!B223</f>
        <v>Natrona #1</v>
      </c>
      <c r="C223" s="227" t="str">
        <f>'School Level Inst. Resources'!C223</f>
        <v>1301033</v>
      </c>
      <c r="D223" s="227" t="str">
        <f>'School Level Inst. Resources'!D223</f>
        <v>Bar Nunn Elementary</v>
      </c>
      <c r="E223" s="228" t="str">
        <f>'School Level Inst. Resources'!E223</f>
        <v>P-6</v>
      </c>
      <c r="F223" s="229" t="str">
        <f>'School Level Inst. Resources'!H223</f>
        <v>E</v>
      </c>
      <c r="G223" s="229" t="s">
        <v>1158</v>
      </c>
      <c r="H223" s="229" t="str">
        <f t="shared" si="59"/>
        <v>E</v>
      </c>
      <c r="I223" s="198">
        <f>'School Level ADM'!$BI223</f>
        <v>226.29052631578944</v>
      </c>
      <c r="J223" s="194">
        <f t="shared" si="45"/>
        <v>36167</v>
      </c>
      <c r="K223" s="194">
        <f t="shared" si="46"/>
        <v>0</v>
      </c>
      <c r="L223" s="194">
        <f t="shared" si="47"/>
        <v>0</v>
      </c>
      <c r="M223" s="194">
        <f t="shared" si="48"/>
        <v>0</v>
      </c>
      <c r="N223" s="194">
        <f t="shared" si="49"/>
        <v>0</v>
      </c>
      <c r="O223" s="194">
        <f t="shared" si="50"/>
        <v>0</v>
      </c>
      <c r="P223" s="194">
        <f t="shared" si="51"/>
        <v>36167</v>
      </c>
      <c r="Q223" s="198">
        <f>'School Level ADM'!$AU223</f>
        <v>215.715</v>
      </c>
      <c r="R223" s="194">
        <f t="shared" si="52"/>
        <v>36167</v>
      </c>
      <c r="S223" s="194">
        <f t="shared" si="53"/>
        <v>0</v>
      </c>
      <c r="T223" s="194">
        <f t="shared" si="54"/>
        <v>0</v>
      </c>
      <c r="U223" s="194">
        <f t="shared" si="55"/>
        <v>0</v>
      </c>
      <c r="V223" s="194">
        <f t="shared" si="56"/>
        <v>0</v>
      </c>
      <c r="W223" s="194">
        <f t="shared" si="57"/>
        <v>0</v>
      </c>
      <c r="X223" s="194">
        <f t="shared" si="58"/>
        <v>36167</v>
      </c>
    </row>
    <row r="224" spans="1:24" x14ac:dyDescent="0.2">
      <c r="A224" s="210" t="str">
        <f>'School Level Inst. Resources'!A224</f>
        <v>1301000</v>
      </c>
      <c r="B224" s="210" t="str">
        <f>'School Level Inst. Resources'!B224</f>
        <v>Natrona #1</v>
      </c>
      <c r="C224" s="210" t="str">
        <f>'School Level Inst. Resources'!C224</f>
        <v>1301038</v>
      </c>
      <c r="D224" s="210" t="str">
        <f>'School Level Inst. Resources'!D224</f>
        <v>Casper Classical Academy</v>
      </c>
      <c r="E224" s="211" t="str">
        <f>'School Level Inst. Resources'!E224</f>
        <v>6-9</v>
      </c>
      <c r="F224" s="212" t="str">
        <f>'School Level Inst. Resources'!H224</f>
        <v>M</v>
      </c>
      <c r="G224" s="212" t="s">
        <v>1159</v>
      </c>
      <c r="H224" s="212" t="str">
        <f t="shared" si="59"/>
        <v>M</v>
      </c>
      <c r="I224" s="218">
        <v>0</v>
      </c>
      <c r="J224" s="214">
        <f t="shared" si="45"/>
        <v>0</v>
      </c>
      <c r="K224" s="214">
        <f t="shared" si="46"/>
        <v>0</v>
      </c>
      <c r="L224" s="214">
        <f t="shared" si="47"/>
        <v>0</v>
      </c>
      <c r="M224" s="214">
        <f t="shared" si="48"/>
        <v>0</v>
      </c>
      <c r="N224" s="214">
        <f t="shared" si="49"/>
        <v>0</v>
      </c>
      <c r="O224" s="214">
        <f t="shared" si="50"/>
        <v>0</v>
      </c>
      <c r="P224" s="214">
        <f t="shared" si="51"/>
        <v>0</v>
      </c>
      <c r="Q224" s="218">
        <v>0</v>
      </c>
      <c r="R224" s="214">
        <f t="shared" si="52"/>
        <v>0</v>
      </c>
      <c r="S224" s="214">
        <f t="shared" si="53"/>
        <v>0</v>
      </c>
      <c r="T224" s="214">
        <f t="shared" si="54"/>
        <v>0</v>
      </c>
      <c r="U224" s="214">
        <f t="shared" si="55"/>
        <v>0</v>
      </c>
      <c r="V224" s="214">
        <f t="shared" si="56"/>
        <v>0</v>
      </c>
      <c r="W224" s="214">
        <f t="shared" si="57"/>
        <v>0</v>
      </c>
      <c r="X224" s="214">
        <f t="shared" si="58"/>
        <v>0</v>
      </c>
    </row>
    <row r="225" spans="1:24" x14ac:dyDescent="0.2">
      <c r="A225" s="227" t="str">
        <f>'School Level Inst. Resources'!A225</f>
        <v>1301000</v>
      </c>
      <c r="B225" s="227" t="str">
        <f>'School Level Inst. Resources'!B225</f>
        <v>Natrona #1</v>
      </c>
      <c r="C225" s="227" t="str">
        <f>'School Level Inst. Resources'!C225</f>
        <v>1301039</v>
      </c>
      <c r="D225" s="227" t="str">
        <f>'School Level Inst. Resources'!D225</f>
        <v>Summit Elementary</v>
      </c>
      <c r="E225" s="228" t="str">
        <f>'School Level Inst. Resources'!E225</f>
        <v>P-5</v>
      </c>
      <c r="F225" s="229" t="str">
        <f>'School Level Inst. Resources'!H225</f>
        <v>E</v>
      </c>
      <c r="G225" s="229" t="s">
        <v>1158</v>
      </c>
      <c r="H225" s="229" t="str">
        <f t="shared" si="59"/>
        <v>E</v>
      </c>
      <c r="I225" s="198">
        <f>'School Level ADM'!$BI225</f>
        <v>439.04</v>
      </c>
      <c r="J225" s="194">
        <f t="shared" si="45"/>
        <v>58677</v>
      </c>
      <c r="K225" s="194">
        <f t="shared" si="46"/>
        <v>0</v>
      </c>
      <c r="L225" s="194">
        <f t="shared" si="47"/>
        <v>0</v>
      </c>
      <c r="M225" s="194">
        <f t="shared" si="48"/>
        <v>0</v>
      </c>
      <c r="N225" s="194">
        <f t="shared" si="49"/>
        <v>0</v>
      </c>
      <c r="O225" s="194">
        <f t="shared" si="50"/>
        <v>0</v>
      </c>
      <c r="P225" s="194">
        <f t="shared" si="51"/>
        <v>58677</v>
      </c>
      <c r="Q225" s="198">
        <f>'School Level ADM'!$AU225</f>
        <v>426.50500000000005</v>
      </c>
      <c r="R225" s="194">
        <f t="shared" si="52"/>
        <v>58677</v>
      </c>
      <c r="S225" s="194">
        <f t="shared" si="53"/>
        <v>0</v>
      </c>
      <c r="T225" s="194">
        <f t="shared" si="54"/>
        <v>0</v>
      </c>
      <c r="U225" s="194">
        <f t="shared" si="55"/>
        <v>0</v>
      </c>
      <c r="V225" s="194">
        <f t="shared" si="56"/>
        <v>0</v>
      </c>
      <c r="W225" s="194">
        <f t="shared" si="57"/>
        <v>0</v>
      </c>
      <c r="X225" s="194">
        <f t="shared" si="58"/>
        <v>58677</v>
      </c>
    </row>
    <row r="226" spans="1:24" x14ac:dyDescent="0.2">
      <c r="A226" s="210" t="str">
        <f>'School Level Inst. Resources'!A226</f>
        <v>1301000</v>
      </c>
      <c r="B226" s="210" t="str">
        <f>'School Level Inst. Resources'!B226</f>
        <v>Natrona #1</v>
      </c>
      <c r="C226" s="210" t="str">
        <f>'School Level Inst. Resources'!C226</f>
        <v>1301048</v>
      </c>
      <c r="D226" s="210" t="str">
        <f>'School Level Inst. Resources'!D226</f>
        <v>Frontier Middle School</v>
      </c>
      <c r="E226" s="211" t="str">
        <f>'School Level Inst. Resources'!E226</f>
        <v>6-8</v>
      </c>
      <c r="F226" s="212" t="str">
        <f>'School Level Inst. Resources'!H226</f>
        <v>M</v>
      </c>
      <c r="G226" s="212" t="s">
        <v>1158</v>
      </c>
      <c r="H226" s="212" t="str">
        <f t="shared" si="59"/>
        <v>M</v>
      </c>
      <c r="I226" s="218">
        <f>SUM('School Level ADM'!$BI224,'School Level ADM'!$BI226)</f>
        <v>544.42899999999997</v>
      </c>
      <c r="J226" s="214">
        <f t="shared" si="45"/>
        <v>0</v>
      </c>
      <c r="K226" s="214">
        <f t="shared" si="46"/>
        <v>87610</v>
      </c>
      <c r="L226" s="214">
        <f t="shared" si="47"/>
        <v>0</v>
      </c>
      <c r="M226" s="214">
        <f t="shared" si="48"/>
        <v>0</v>
      </c>
      <c r="N226" s="214">
        <f t="shared" si="49"/>
        <v>0</v>
      </c>
      <c r="O226" s="214">
        <f t="shared" si="50"/>
        <v>0</v>
      </c>
      <c r="P226" s="214">
        <f t="shared" si="51"/>
        <v>87610</v>
      </c>
      <c r="Q226" s="218">
        <f>SUM('School Level ADM'!$AU224,'School Level ADM'!$AU226)</f>
        <v>517.125</v>
      </c>
      <c r="R226" s="214">
        <f t="shared" si="52"/>
        <v>0</v>
      </c>
      <c r="S226" s="214">
        <f t="shared" si="53"/>
        <v>87610</v>
      </c>
      <c r="T226" s="214">
        <f t="shared" si="54"/>
        <v>0</v>
      </c>
      <c r="U226" s="214">
        <f t="shared" si="55"/>
        <v>0</v>
      </c>
      <c r="V226" s="214">
        <f t="shared" si="56"/>
        <v>0</v>
      </c>
      <c r="W226" s="214">
        <f t="shared" si="57"/>
        <v>0</v>
      </c>
      <c r="X226" s="214">
        <f t="shared" si="58"/>
        <v>87610</v>
      </c>
    </row>
    <row r="227" spans="1:24" x14ac:dyDescent="0.2">
      <c r="A227" s="227" t="str">
        <f>'School Level Inst. Resources'!A227</f>
        <v>1301000</v>
      </c>
      <c r="B227" s="227" t="str">
        <f>'School Level Inst. Resources'!B227</f>
        <v>Natrona #1</v>
      </c>
      <c r="C227" s="227" t="str">
        <f>'School Level Inst. Resources'!C227</f>
        <v>1301049</v>
      </c>
      <c r="D227" s="227" t="str">
        <f>'School Level Inst. Resources'!D227</f>
        <v>Midwest School</v>
      </c>
      <c r="E227" s="228" t="str">
        <f>'School Level Inst. Resources'!E227</f>
        <v>P-12</v>
      </c>
      <c r="F227" s="229" t="str">
        <f>'School Level Inst. Resources'!H227</f>
        <v>H</v>
      </c>
      <c r="G227" s="229" t="s">
        <v>1158</v>
      </c>
      <c r="H227" s="229" t="str">
        <f t="shared" si="59"/>
        <v>K-12</v>
      </c>
      <c r="I227" s="198">
        <f>'School Level ADM'!$BI227</f>
        <v>122.73700000000001</v>
      </c>
      <c r="J227" s="194">
        <f t="shared" si="45"/>
        <v>0</v>
      </c>
      <c r="K227" s="194">
        <f t="shared" si="46"/>
        <v>0</v>
      </c>
      <c r="L227" s="194">
        <f t="shared" si="47"/>
        <v>0</v>
      </c>
      <c r="M227" s="194">
        <f t="shared" si="48"/>
        <v>0</v>
      </c>
      <c r="N227" s="194">
        <f t="shared" si="49"/>
        <v>0</v>
      </c>
      <c r="O227" s="194">
        <f t="shared" si="50"/>
        <v>50494</v>
      </c>
      <c r="P227" s="194">
        <f t="shared" si="51"/>
        <v>50494</v>
      </c>
      <c r="Q227" s="198">
        <f>'School Level ADM'!$AU227</f>
        <v>125.09500000000001</v>
      </c>
      <c r="R227" s="194">
        <f t="shared" si="52"/>
        <v>0</v>
      </c>
      <c r="S227" s="194">
        <f t="shared" si="53"/>
        <v>0</v>
      </c>
      <c r="T227" s="194">
        <f t="shared" si="54"/>
        <v>0</v>
      </c>
      <c r="U227" s="194">
        <f t="shared" si="55"/>
        <v>0</v>
      </c>
      <c r="V227" s="194">
        <f t="shared" si="56"/>
        <v>0</v>
      </c>
      <c r="W227" s="194">
        <f t="shared" si="57"/>
        <v>50494</v>
      </c>
      <c r="X227" s="194">
        <f t="shared" si="58"/>
        <v>50494</v>
      </c>
    </row>
    <row r="228" spans="1:24" x14ac:dyDescent="0.2">
      <c r="A228" s="227" t="str">
        <f>'School Level Inst. Resources'!A228</f>
        <v>1301000</v>
      </c>
      <c r="B228" s="227" t="str">
        <f>'School Level Inst. Resources'!B228</f>
        <v>Natrona #1</v>
      </c>
      <c r="C228" s="227" t="str">
        <f>'School Level Inst. Resources'!C228</f>
        <v>1301050</v>
      </c>
      <c r="D228" s="227" t="str">
        <f>'School Level Inst. Resources'!D228</f>
        <v>C Y Junior High School</v>
      </c>
      <c r="E228" s="228" t="str">
        <f>'School Level Inst. Resources'!E228</f>
        <v>6-9</v>
      </c>
      <c r="F228" s="229" t="str">
        <f>'School Level Inst. Resources'!H228</f>
        <v>M</v>
      </c>
      <c r="G228" s="229" t="s">
        <v>1158</v>
      </c>
      <c r="H228" s="229" t="str">
        <f t="shared" si="59"/>
        <v>M</v>
      </c>
      <c r="I228" s="198">
        <f>'School Level ADM'!$BI228</f>
        <v>748.77800000000002</v>
      </c>
      <c r="J228" s="194">
        <f t="shared" si="45"/>
        <v>0</v>
      </c>
      <c r="K228" s="194">
        <f t="shared" si="46"/>
        <v>111032</v>
      </c>
      <c r="L228" s="194">
        <f t="shared" si="47"/>
        <v>0</v>
      </c>
      <c r="M228" s="194">
        <f t="shared" si="48"/>
        <v>0</v>
      </c>
      <c r="N228" s="194">
        <f t="shared" si="49"/>
        <v>0</v>
      </c>
      <c r="O228" s="194">
        <f t="shared" si="50"/>
        <v>0</v>
      </c>
      <c r="P228" s="194">
        <f t="shared" si="51"/>
        <v>111032</v>
      </c>
      <c r="Q228" s="198">
        <f>'School Level ADM'!$AU228</f>
        <v>737.76499999999999</v>
      </c>
      <c r="R228" s="194">
        <f t="shared" si="52"/>
        <v>0</v>
      </c>
      <c r="S228" s="194">
        <f t="shared" si="53"/>
        <v>111032</v>
      </c>
      <c r="T228" s="194">
        <f t="shared" si="54"/>
        <v>0</v>
      </c>
      <c r="U228" s="194">
        <f t="shared" si="55"/>
        <v>0</v>
      </c>
      <c r="V228" s="194">
        <f t="shared" si="56"/>
        <v>0</v>
      </c>
      <c r="W228" s="194">
        <f t="shared" si="57"/>
        <v>0</v>
      </c>
      <c r="X228" s="194">
        <f t="shared" si="58"/>
        <v>111032</v>
      </c>
    </row>
    <row r="229" spans="1:24" x14ac:dyDescent="0.2">
      <c r="A229" s="227" t="str">
        <f>'School Level Inst. Resources'!A229</f>
        <v>1301000</v>
      </c>
      <c r="B229" s="227" t="str">
        <f>'School Level Inst. Resources'!B229</f>
        <v>Natrona #1</v>
      </c>
      <c r="C229" s="227" t="str">
        <f>'School Level Inst. Resources'!C229</f>
        <v>1301051</v>
      </c>
      <c r="D229" s="227" t="str">
        <f>'School Level Inst. Resources'!D229</f>
        <v>Dean Morgan Junior High School</v>
      </c>
      <c r="E229" s="228" t="str">
        <f>'School Level Inst. Resources'!E229</f>
        <v>6-9</v>
      </c>
      <c r="F229" s="229" t="str">
        <f>'School Level Inst. Resources'!H229</f>
        <v>M</v>
      </c>
      <c r="G229" s="229" t="s">
        <v>1158</v>
      </c>
      <c r="H229" s="229" t="str">
        <f t="shared" si="59"/>
        <v>M</v>
      </c>
      <c r="I229" s="198">
        <f>'School Level ADM'!$BI229</f>
        <v>849.32500000000005</v>
      </c>
      <c r="J229" s="194">
        <f t="shared" si="45"/>
        <v>0</v>
      </c>
      <c r="K229" s="194">
        <f t="shared" si="46"/>
        <v>125921</v>
      </c>
      <c r="L229" s="194">
        <f t="shared" si="47"/>
        <v>0</v>
      </c>
      <c r="M229" s="194">
        <f t="shared" si="48"/>
        <v>0</v>
      </c>
      <c r="N229" s="194">
        <f t="shared" si="49"/>
        <v>0</v>
      </c>
      <c r="O229" s="194">
        <f t="shared" si="50"/>
        <v>0</v>
      </c>
      <c r="P229" s="194">
        <f t="shared" si="51"/>
        <v>125921</v>
      </c>
      <c r="Q229" s="198">
        <f>'School Level ADM'!$AU229</f>
        <v>841.19</v>
      </c>
      <c r="R229" s="194">
        <f t="shared" si="52"/>
        <v>0</v>
      </c>
      <c r="S229" s="194">
        <f t="shared" si="53"/>
        <v>125921</v>
      </c>
      <c r="T229" s="194">
        <f t="shared" si="54"/>
        <v>0</v>
      </c>
      <c r="U229" s="194">
        <f t="shared" si="55"/>
        <v>0</v>
      </c>
      <c r="V229" s="194">
        <f t="shared" si="56"/>
        <v>0</v>
      </c>
      <c r="W229" s="194">
        <f t="shared" si="57"/>
        <v>0</v>
      </c>
      <c r="X229" s="194">
        <f t="shared" si="58"/>
        <v>125921</v>
      </c>
    </row>
    <row r="230" spans="1:24" x14ac:dyDescent="0.2">
      <c r="A230" s="227" t="str">
        <f>'School Level Inst. Resources'!A230</f>
        <v>1301000</v>
      </c>
      <c r="B230" s="227" t="str">
        <f>'School Level Inst. Resources'!B230</f>
        <v>Natrona #1</v>
      </c>
      <c r="C230" s="227" t="str">
        <f>'School Level Inst. Resources'!C230</f>
        <v>1301054</v>
      </c>
      <c r="D230" s="227" t="str">
        <f>'School Level Inst. Resources'!D230</f>
        <v>Centennial Junior High School</v>
      </c>
      <c r="E230" s="228" t="str">
        <f>'School Level Inst. Resources'!E230</f>
        <v>6-9</v>
      </c>
      <c r="F230" s="229" t="str">
        <f>'School Level Inst. Resources'!H230</f>
        <v>M</v>
      </c>
      <c r="G230" s="229" t="s">
        <v>1158</v>
      </c>
      <c r="H230" s="229" t="str">
        <f t="shared" si="59"/>
        <v>M</v>
      </c>
      <c r="I230" s="198">
        <f>'School Level ADM'!$BI230</f>
        <v>737.62300000000005</v>
      </c>
      <c r="J230" s="194">
        <f t="shared" si="45"/>
        <v>0</v>
      </c>
      <c r="K230" s="194">
        <f t="shared" si="46"/>
        <v>109544</v>
      </c>
      <c r="L230" s="194">
        <f t="shared" si="47"/>
        <v>0</v>
      </c>
      <c r="M230" s="194">
        <f t="shared" si="48"/>
        <v>0</v>
      </c>
      <c r="N230" s="194">
        <f t="shared" si="49"/>
        <v>0</v>
      </c>
      <c r="O230" s="194">
        <f t="shared" si="50"/>
        <v>0</v>
      </c>
      <c r="P230" s="194">
        <f t="shared" si="51"/>
        <v>109544</v>
      </c>
      <c r="Q230" s="198">
        <f>'School Level ADM'!$AU230</f>
        <v>733.82500000000005</v>
      </c>
      <c r="R230" s="194">
        <f t="shared" si="52"/>
        <v>0</v>
      </c>
      <c r="S230" s="194">
        <f t="shared" si="53"/>
        <v>109544</v>
      </c>
      <c r="T230" s="194">
        <f t="shared" si="54"/>
        <v>0</v>
      </c>
      <c r="U230" s="194">
        <f t="shared" si="55"/>
        <v>0</v>
      </c>
      <c r="V230" s="194">
        <f t="shared" si="56"/>
        <v>0</v>
      </c>
      <c r="W230" s="194">
        <f t="shared" si="57"/>
        <v>0</v>
      </c>
      <c r="X230" s="194">
        <f t="shared" si="58"/>
        <v>109544</v>
      </c>
    </row>
    <row r="231" spans="1:24" x14ac:dyDescent="0.2">
      <c r="A231" s="227" t="str">
        <f>'School Level Inst. Resources'!A231</f>
        <v>1301000</v>
      </c>
      <c r="B231" s="227" t="str">
        <f>'School Level Inst. Resources'!B231</f>
        <v>Natrona #1</v>
      </c>
      <c r="C231" s="227" t="str">
        <f>'School Level Inst. Resources'!C231</f>
        <v>1301055</v>
      </c>
      <c r="D231" s="227" t="str">
        <f>'School Level Inst. Resources'!D231</f>
        <v>Kelly Walsh High School</v>
      </c>
      <c r="E231" s="228" t="str">
        <f>'School Level Inst. Resources'!E231</f>
        <v>9-12</v>
      </c>
      <c r="F231" s="229" t="str">
        <f>'School Level Inst. Resources'!H231</f>
        <v>H</v>
      </c>
      <c r="G231" s="229" t="s">
        <v>1158</v>
      </c>
      <c r="H231" s="229" t="str">
        <f t="shared" si="59"/>
        <v>H</v>
      </c>
      <c r="I231" s="198">
        <f>'School Level ADM'!$BI231</f>
        <v>1727.643</v>
      </c>
      <c r="J231" s="194">
        <f t="shared" si="45"/>
        <v>0</v>
      </c>
      <c r="K231" s="194">
        <f t="shared" si="46"/>
        <v>0</v>
      </c>
      <c r="L231" s="194">
        <f t="shared" si="47"/>
        <v>289674</v>
      </c>
      <c r="M231" s="194">
        <f t="shared" si="48"/>
        <v>0</v>
      </c>
      <c r="N231" s="194">
        <f t="shared" si="49"/>
        <v>0</v>
      </c>
      <c r="O231" s="194">
        <f t="shared" si="50"/>
        <v>0</v>
      </c>
      <c r="P231" s="194">
        <f t="shared" si="51"/>
        <v>289674</v>
      </c>
      <c r="Q231" s="198">
        <f>'School Level ADM'!$AU231</f>
        <v>1789.7450000000001</v>
      </c>
      <c r="R231" s="194">
        <f t="shared" si="52"/>
        <v>0</v>
      </c>
      <c r="S231" s="194">
        <f t="shared" si="53"/>
        <v>0</v>
      </c>
      <c r="T231" s="194">
        <f t="shared" si="54"/>
        <v>289674</v>
      </c>
      <c r="U231" s="194">
        <f t="shared" si="55"/>
        <v>0</v>
      </c>
      <c r="V231" s="194">
        <f t="shared" si="56"/>
        <v>0</v>
      </c>
      <c r="W231" s="194">
        <f t="shared" si="57"/>
        <v>0</v>
      </c>
      <c r="X231" s="194">
        <f t="shared" si="58"/>
        <v>289674</v>
      </c>
    </row>
    <row r="232" spans="1:24" x14ac:dyDescent="0.2">
      <c r="A232" s="227" t="str">
        <f>'School Level Inst. Resources'!A232</f>
        <v>1301000</v>
      </c>
      <c r="B232" s="227" t="str">
        <f>'School Level Inst. Resources'!B232</f>
        <v>Natrona #1</v>
      </c>
      <c r="C232" s="227" t="str">
        <f>'School Level Inst. Resources'!C232</f>
        <v>1301057</v>
      </c>
      <c r="D232" s="227" t="str">
        <f>'School Level Inst. Resources'!D232</f>
        <v>Natrona County High School</v>
      </c>
      <c r="E232" s="228" t="str">
        <f>'School Level Inst. Resources'!E232</f>
        <v>9-12</v>
      </c>
      <c r="F232" s="229" t="str">
        <f>'School Level Inst. Resources'!H232</f>
        <v>H</v>
      </c>
      <c r="G232" s="229" t="s">
        <v>1158</v>
      </c>
      <c r="H232" s="229" t="str">
        <f t="shared" si="59"/>
        <v>H</v>
      </c>
      <c r="I232" s="198">
        <f>'School Level ADM'!$BI232</f>
        <v>1554.1579999999999</v>
      </c>
      <c r="J232" s="194">
        <f t="shared" si="45"/>
        <v>0</v>
      </c>
      <c r="K232" s="194">
        <f t="shared" si="46"/>
        <v>0</v>
      </c>
      <c r="L232" s="194">
        <f t="shared" si="47"/>
        <v>260586</v>
      </c>
      <c r="M232" s="194">
        <f t="shared" si="48"/>
        <v>0</v>
      </c>
      <c r="N232" s="194">
        <f t="shared" si="49"/>
        <v>0</v>
      </c>
      <c r="O232" s="194">
        <f t="shared" si="50"/>
        <v>0</v>
      </c>
      <c r="P232" s="194">
        <f t="shared" si="51"/>
        <v>260586</v>
      </c>
      <c r="Q232" s="198">
        <f>'School Level ADM'!$AU232</f>
        <v>1689.2750000000001</v>
      </c>
      <c r="R232" s="194">
        <f t="shared" si="52"/>
        <v>0</v>
      </c>
      <c r="S232" s="194">
        <f t="shared" si="53"/>
        <v>0</v>
      </c>
      <c r="T232" s="194">
        <f t="shared" si="54"/>
        <v>260586</v>
      </c>
      <c r="U232" s="194">
        <f t="shared" si="55"/>
        <v>0</v>
      </c>
      <c r="V232" s="194">
        <f t="shared" si="56"/>
        <v>0</v>
      </c>
      <c r="W232" s="194">
        <f t="shared" si="57"/>
        <v>0</v>
      </c>
      <c r="X232" s="194">
        <f t="shared" si="58"/>
        <v>260586</v>
      </c>
    </row>
    <row r="233" spans="1:24" x14ac:dyDescent="0.2">
      <c r="A233" s="227" t="str">
        <f>'School Level Inst. Resources'!A233</f>
        <v>1301000</v>
      </c>
      <c r="B233" s="227" t="str">
        <f>'School Level Inst. Resources'!B233</f>
        <v>Natrona #1</v>
      </c>
      <c r="C233" s="227" t="str">
        <f>'School Level Inst. Resources'!C233</f>
        <v>1301058</v>
      </c>
      <c r="D233" s="227" t="str">
        <f>'School Level Inst. Resources'!D233</f>
        <v>Roosevelt High School</v>
      </c>
      <c r="E233" s="228" t="str">
        <f>'School Level Inst. Resources'!E233</f>
        <v>7-12</v>
      </c>
      <c r="F233" s="229" t="str">
        <f>'School Level Inst. Resources'!H233</f>
        <v>H</v>
      </c>
      <c r="G233" s="229" t="s">
        <v>1158</v>
      </c>
      <c r="H233" s="229" t="str">
        <f t="shared" si="59"/>
        <v>6-12</v>
      </c>
      <c r="I233" s="198">
        <f>'School Level ADM'!$BI233</f>
        <v>220.95499999999998</v>
      </c>
      <c r="J233" s="194">
        <f t="shared" si="45"/>
        <v>0</v>
      </c>
      <c r="K233" s="194">
        <f t="shared" si="46"/>
        <v>0</v>
      </c>
      <c r="L233" s="194">
        <f t="shared" si="47"/>
        <v>0</v>
      </c>
      <c r="M233" s="194">
        <f t="shared" si="48"/>
        <v>0</v>
      </c>
      <c r="N233" s="194">
        <f t="shared" si="49"/>
        <v>68913</v>
      </c>
      <c r="O233" s="194">
        <f t="shared" si="50"/>
        <v>0</v>
      </c>
      <c r="P233" s="194">
        <f t="shared" si="51"/>
        <v>68913</v>
      </c>
      <c r="Q233" s="198">
        <f>'School Level ADM'!$AU233</f>
        <v>222.60999999999999</v>
      </c>
      <c r="R233" s="194">
        <f t="shared" si="52"/>
        <v>0</v>
      </c>
      <c r="S233" s="194">
        <f t="shared" si="53"/>
        <v>0</v>
      </c>
      <c r="T233" s="194">
        <f t="shared" si="54"/>
        <v>0</v>
      </c>
      <c r="U233" s="194">
        <f t="shared" si="55"/>
        <v>0</v>
      </c>
      <c r="V233" s="194">
        <f t="shared" si="56"/>
        <v>68913</v>
      </c>
      <c r="W233" s="194">
        <f t="shared" si="57"/>
        <v>0</v>
      </c>
      <c r="X233" s="194">
        <f t="shared" si="58"/>
        <v>68913</v>
      </c>
    </row>
    <row r="234" spans="1:24" x14ac:dyDescent="0.2">
      <c r="A234" s="227" t="str">
        <f>'School Level Inst. Resources'!A234</f>
        <v>1401000</v>
      </c>
      <c r="B234" s="227" t="str">
        <f>'School Level Inst. Resources'!B234</f>
        <v>Niobrara #1</v>
      </c>
      <c r="C234" s="227" t="str">
        <f>'School Level Inst. Resources'!C234</f>
        <v>1401003</v>
      </c>
      <c r="D234" s="227" t="str">
        <f>'School Level Inst. Resources'!D234</f>
        <v>Lance Creek Elementary</v>
      </c>
      <c r="E234" s="228" t="str">
        <f>'School Level Inst. Resources'!E234</f>
        <v>K-6</v>
      </c>
      <c r="F234" s="229" t="str">
        <f>'School Level Inst. Resources'!H234</f>
        <v>E</v>
      </c>
      <c r="G234" s="229" t="s">
        <v>1158</v>
      </c>
      <c r="H234" s="229" t="str">
        <f t="shared" si="59"/>
        <v>E</v>
      </c>
      <c r="I234" s="198">
        <f>'School Level ADM'!$BI234</f>
        <v>4</v>
      </c>
      <c r="J234" s="194">
        <f t="shared" si="45"/>
        <v>2915</v>
      </c>
      <c r="K234" s="194">
        <f t="shared" si="46"/>
        <v>0</v>
      </c>
      <c r="L234" s="194">
        <f t="shared" si="47"/>
        <v>0</v>
      </c>
      <c r="M234" s="194">
        <f t="shared" si="48"/>
        <v>0</v>
      </c>
      <c r="N234" s="194">
        <f t="shared" si="49"/>
        <v>0</v>
      </c>
      <c r="O234" s="194">
        <f t="shared" si="50"/>
        <v>0</v>
      </c>
      <c r="P234" s="194">
        <f t="shared" si="51"/>
        <v>2915</v>
      </c>
      <c r="Q234" s="198">
        <f>'School Level ADM'!$AU234</f>
        <v>2.9550000000000001</v>
      </c>
      <c r="R234" s="194">
        <f t="shared" si="52"/>
        <v>2915</v>
      </c>
      <c r="S234" s="194">
        <f t="shared" si="53"/>
        <v>0</v>
      </c>
      <c r="T234" s="194">
        <f t="shared" si="54"/>
        <v>0</v>
      </c>
      <c r="U234" s="194">
        <f t="shared" si="55"/>
        <v>0</v>
      </c>
      <c r="V234" s="194">
        <f t="shared" si="56"/>
        <v>0</v>
      </c>
      <c r="W234" s="194">
        <f t="shared" si="57"/>
        <v>0</v>
      </c>
      <c r="X234" s="194">
        <f t="shared" si="58"/>
        <v>2915</v>
      </c>
    </row>
    <row r="235" spans="1:24" s="226" customFormat="1" x14ac:dyDescent="0.2">
      <c r="A235" s="210" t="str">
        <f>'School Level Inst. Resources'!A235</f>
        <v>1401000</v>
      </c>
      <c r="B235" s="210" t="str">
        <f>'School Level Inst. Resources'!B235</f>
        <v>Niobrara #1</v>
      </c>
      <c r="C235" s="210" t="str">
        <f>'School Level Inst. Resources'!C235</f>
        <v>1401004</v>
      </c>
      <c r="D235" s="210" t="str">
        <f>'School Level Inst. Resources'!D235</f>
        <v>Lusk Elementary</v>
      </c>
      <c r="E235" s="211" t="str">
        <f>'School Level Inst. Resources'!E235</f>
        <v>K-5</v>
      </c>
      <c r="F235" s="212" t="str">
        <f>'School Level Inst. Resources'!H235</f>
        <v>E</v>
      </c>
      <c r="G235" s="212" t="s">
        <v>1159</v>
      </c>
      <c r="H235" s="212" t="str">
        <f t="shared" si="59"/>
        <v>E</v>
      </c>
      <c r="I235" s="217">
        <v>0</v>
      </c>
      <c r="J235" s="293">
        <f t="shared" si="45"/>
        <v>0</v>
      </c>
      <c r="K235" s="293">
        <f t="shared" si="46"/>
        <v>0</v>
      </c>
      <c r="L235" s="293">
        <f t="shared" si="47"/>
        <v>0</v>
      </c>
      <c r="M235" s="293">
        <f t="shared" si="48"/>
        <v>0</v>
      </c>
      <c r="N235" s="293">
        <f t="shared" si="49"/>
        <v>0</v>
      </c>
      <c r="O235" s="293">
        <f t="shared" si="50"/>
        <v>0</v>
      </c>
      <c r="P235" s="293">
        <f t="shared" si="51"/>
        <v>0</v>
      </c>
      <c r="Q235" s="217">
        <v>0</v>
      </c>
      <c r="R235" s="293">
        <f t="shared" si="52"/>
        <v>0</v>
      </c>
      <c r="S235" s="293">
        <f t="shared" si="53"/>
        <v>0</v>
      </c>
      <c r="T235" s="293">
        <f t="shared" si="54"/>
        <v>0</v>
      </c>
      <c r="U235" s="293">
        <f t="shared" si="55"/>
        <v>0</v>
      </c>
      <c r="V235" s="293">
        <f t="shared" si="56"/>
        <v>0</v>
      </c>
      <c r="W235" s="293">
        <f t="shared" si="57"/>
        <v>0</v>
      </c>
      <c r="X235" s="293">
        <f t="shared" si="58"/>
        <v>0</v>
      </c>
    </row>
    <row r="236" spans="1:24" s="226" customFormat="1" x14ac:dyDescent="0.2">
      <c r="A236" s="210" t="str">
        <f>'School Level Inst. Resources'!A236</f>
        <v>1401000</v>
      </c>
      <c r="B236" s="210" t="str">
        <f>'School Level Inst. Resources'!B236</f>
        <v>Niobrara #1</v>
      </c>
      <c r="C236" s="210" t="str">
        <f>'School Level Inst. Resources'!C236</f>
        <v>1401050</v>
      </c>
      <c r="D236" s="210" t="str">
        <f>'School Level Inst. Resources'!D236</f>
        <v>Lusk Middle School</v>
      </c>
      <c r="E236" s="211" t="str">
        <f>'School Level Inst. Resources'!E236</f>
        <v>6-8</v>
      </c>
      <c r="F236" s="212" t="str">
        <f>'School Level Inst. Resources'!H236</f>
        <v>M</v>
      </c>
      <c r="G236" s="212" t="s">
        <v>1158</v>
      </c>
      <c r="H236" s="212" t="s">
        <v>376</v>
      </c>
      <c r="I236" s="218">
        <f>SUM('School Level ADM'!$BI235,'School Level ADM'!$BI236)</f>
        <v>519.70000000000005</v>
      </c>
      <c r="J236" s="214">
        <f t="shared" si="45"/>
        <v>0</v>
      </c>
      <c r="K236" s="214">
        <f t="shared" si="46"/>
        <v>0</v>
      </c>
      <c r="L236" s="214">
        <f t="shared" si="47"/>
        <v>0</v>
      </c>
      <c r="M236" s="214">
        <f t="shared" si="48"/>
        <v>96903</v>
      </c>
      <c r="N236" s="214">
        <f t="shared" si="49"/>
        <v>0</v>
      </c>
      <c r="O236" s="214">
        <f t="shared" si="50"/>
        <v>0</v>
      </c>
      <c r="P236" s="214">
        <f t="shared" si="51"/>
        <v>96903</v>
      </c>
      <c r="Q236" s="218">
        <f>SUM('School Level ADM'!$AU235,'School Level ADM'!$AU236)</f>
        <v>480.68</v>
      </c>
      <c r="R236" s="214">
        <f t="shared" si="52"/>
        <v>0</v>
      </c>
      <c r="S236" s="214">
        <f t="shared" si="53"/>
        <v>0</v>
      </c>
      <c r="T236" s="214">
        <f t="shared" si="54"/>
        <v>0</v>
      </c>
      <c r="U236" s="214">
        <f t="shared" si="55"/>
        <v>96903</v>
      </c>
      <c r="V236" s="214">
        <f t="shared" si="56"/>
        <v>0</v>
      </c>
      <c r="W236" s="214">
        <f t="shared" si="57"/>
        <v>0</v>
      </c>
      <c r="X236" s="214">
        <f t="shared" si="58"/>
        <v>96903</v>
      </c>
    </row>
    <row r="237" spans="1:24" x14ac:dyDescent="0.2">
      <c r="A237" s="227" t="str">
        <f>'School Level Inst. Resources'!A237</f>
        <v>1401000</v>
      </c>
      <c r="B237" s="227" t="str">
        <f>'School Level Inst. Resources'!B237</f>
        <v>Niobrara #1</v>
      </c>
      <c r="C237" s="227" t="str">
        <f>'School Level Inst. Resources'!C237</f>
        <v>1401055</v>
      </c>
      <c r="D237" s="227" t="str">
        <f>'School Level Inst. Resources'!D237</f>
        <v>Niobrara County High School</v>
      </c>
      <c r="E237" s="228" t="str">
        <f>'School Level Inst. Resources'!E237</f>
        <v>9-12</v>
      </c>
      <c r="F237" s="229" t="str">
        <f>'School Level Inst. Resources'!H237</f>
        <v>H</v>
      </c>
      <c r="G237" s="229" t="s">
        <v>1158</v>
      </c>
      <c r="H237" s="229" t="str">
        <f t="shared" si="59"/>
        <v>H</v>
      </c>
      <c r="I237" s="198">
        <f>'School Level ADM'!$BI237</f>
        <v>277.47400000000005</v>
      </c>
      <c r="J237" s="194">
        <f t="shared" si="45"/>
        <v>0</v>
      </c>
      <c r="K237" s="194">
        <f t="shared" si="46"/>
        <v>0</v>
      </c>
      <c r="L237" s="194">
        <f t="shared" si="47"/>
        <v>75827</v>
      </c>
      <c r="M237" s="194">
        <f t="shared" si="48"/>
        <v>0</v>
      </c>
      <c r="N237" s="194">
        <f t="shared" si="49"/>
        <v>0</v>
      </c>
      <c r="O237" s="194">
        <f t="shared" si="50"/>
        <v>0</v>
      </c>
      <c r="P237" s="194">
        <f t="shared" si="51"/>
        <v>75827</v>
      </c>
      <c r="Q237" s="198">
        <f>'School Level ADM'!$AU237</f>
        <v>319.14</v>
      </c>
      <c r="R237" s="194">
        <f t="shared" si="52"/>
        <v>0</v>
      </c>
      <c r="S237" s="194">
        <f t="shared" si="53"/>
        <v>0</v>
      </c>
      <c r="T237" s="194">
        <f t="shared" si="54"/>
        <v>75827</v>
      </c>
      <c r="U237" s="194">
        <f t="shared" si="55"/>
        <v>0</v>
      </c>
      <c r="V237" s="194">
        <f t="shared" si="56"/>
        <v>0</v>
      </c>
      <c r="W237" s="194">
        <f t="shared" si="57"/>
        <v>0</v>
      </c>
      <c r="X237" s="194">
        <f t="shared" si="58"/>
        <v>75827</v>
      </c>
    </row>
    <row r="238" spans="1:24" x14ac:dyDescent="0.2">
      <c r="A238" s="227" t="str">
        <f>'School Level Inst. Resources'!A238</f>
        <v>1501000</v>
      </c>
      <c r="B238" s="227" t="str">
        <f>'School Level Inst. Resources'!B238</f>
        <v>Park #1</v>
      </c>
      <c r="C238" s="227" t="str">
        <f>'School Level Inst. Resources'!C238</f>
        <v>1501001</v>
      </c>
      <c r="D238" s="227" t="str">
        <f>'School Level Inst. Resources'!D238</f>
        <v>Clark Elementary</v>
      </c>
      <c r="E238" s="228" t="str">
        <f>'School Level Inst. Resources'!E238</f>
        <v>K-5</v>
      </c>
      <c r="F238" s="229" t="str">
        <f>'School Level Inst. Resources'!H238</f>
        <v>E</v>
      </c>
      <c r="G238" s="229" t="s">
        <v>1158</v>
      </c>
      <c r="H238" s="229" t="str">
        <f t="shared" si="59"/>
        <v>E</v>
      </c>
      <c r="I238" s="198">
        <f>'School Level ADM'!$BI238</f>
        <v>13.235000000000001</v>
      </c>
      <c r="J238" s="194">
        <f t="shared" si="45"/>
        <v>2915</v>
      </c>
      <c r="K238" s="194">
        <f t="shared" si="46"/>
        <v>0</v>
      </c>
      <c r="L238" s="194">
        <f t="shared" si="47"/>
        <v>0</v>
      </c>
      <c r="M238" s="194">
        <f t="shared" si="48"/>
        <v>0</v>
      </c>
      <c r="N238" s="194">
        <f t="shared" si="49"/>
        <v>0</v>
      </c>
      <c r="O238" s="194">
        <f t="shared" si="50"/>
        <v>0</v>
      </c>
      <c r="P238" s="194">
        <f t="shared" si="51"/>
        <v>2915</v>
      </c>
      <c r="Q238" s="198">
        <f>'School Level ADM'!$AU238</f>
        <v>13.79</v>
      </c>
      <c r="R238" s="194">
        <f t="shared" si="52"/>
        <v>2915</v>
      </c>
      <c r="S238" s="194">
        <f t="shared" si="53"/>
        <v>0</v>
      </c>
      <c r="T238" s="194">
        <f t="shared" si="54"/>
        <v>0</v>
      </c>
      <c r="U238" s="194">
        <f t="shared" si="55"/>
        <v>0</v>
      </c>
      <c r="V238" s="194">
        <f t="shared" si="56"/>
        <v>0</v>
      </c>
      <c r="W238" s="194">
        <f t="shared" si="57"/>
        <v>0</v>
      </c>
      <c r="X238" s="194">
        <f t="shared" si="58"/>
        <v>2915</v>
      </c>
    </row>
    <row r="239" spans="1:24" x14ac:dyDescent="0.2">
      <c r="A239" s="227" t="str">
        <f>'School Level Inst. Resources'!A239</f>
        <v>1501000</v>
      </c>
      <c r="B239" s="227" t="str">
        <f>'School Level Inst. Resources'!B239</f>
        <v>Park #1</v>
      </c>
      <c r="C239" s="227" t="str">
        <f>'School Level Inst. Resources'!C239</f>
        <v>1501002</v>
      </c>
      <c r="D239" s="227" t="str">
        <f>'School Level Inst. Resources'!D239</f>
        <v>Parkside Elementary</v>
      </c>
      <c r="E239" s="228" t="str">
        <f>'School Level Inst. Resources'!E239</f>
        <v>K-5</v>
      </c>
      <c r="F239" s="229" t="str">
        <f>'School Level Inst. Resources'!H239</f>
        <v>E</v>
      </c>
      <c r="G239" s="229" t="s">
        <v>1158</v>
      </c>
      <c r="H239" s="229" t="str">
        <f t="shared" si="59"/>
        <v>E</v>
      </c>
      <c r="I239" s="198">
        <f>'School Level ADM'!$BI239</f>
        <v>202.029</v>
      </c>
      <c r="J239" s="194">
        <f t="shared" si="45"/>
        <v>33140</v>
      </c>
      <c r="K239" s="194">
        <f t="shared" si="46"/>
        <v>0</v>
      </c>
      <c r="L239" s="194">
        <f t="shared" si="47"/>
        <v>0</v>
      </c>
      <c r="M239" s="194">
        <f t="shared" si="48"/>
        <v>0</v>
      </c>
      <c r="N239" s="194">
        <f t="shared" si="49"/>
        <v>0</v>
      </c>
      <c r="O239" s="194">
        <f t="shared" si="50"/>
        <v>0</v>
      </c>
      <c r="P239" s="194">
        <f t="shared" si="51"/>
        <v>33140</v>
      </c>
      <c r="Q239" s="198">
        <f>'School Level ADM'!$AU239</f>
        <v>199.95500000000001</v>
      </c>
      <c r="R239" s="194">
        <f t="shared" si="52"/>
        <v>33140</v>
      </c>
      <c r="S239" s="194">
        <f t="shared" si="53"/>
        <v>0</v>
      </c>
      <c r="T239" s="194">
        <f t="shared" si="54"/>
        <v>0</v>
      </c>
      <c r="U239" s="194">
        <f t="shared" si="55"/>
        <v>0</v>
      </c>
      <c r="V239" s="194">
        <f t="shared" si="56"/>
        <v>0</v>
      </c>
      <c r="W239" s="194">
        <f t="shared" si="57"/>
        <v>0</v>
      </c>
      <c r="X239" s="194">
        <f t="shared" si="58"/>
        <v>33140</v>
      </c>
    </row>
    <row r="240" spans="1:24" x14ac:dyDescent="0.2">
      <c r="A240" s="227" t="str">
        <f>'School Level Inst. Resources'!A240</f>
        <v>1501000</v>
      </c>
      <c r="B240" s="227" t="str">
        <f>'School Level Inst. Resources'!B240</f>
        <v>Park #1</v>
      </c>
      <c r="C240" s="227" t="str">
        <f>'School Level Inst. Resources'!C240</f>
        <v>1501003</v>
      </c>
      <c r="D240" s="227" t="str">
        <f>'School Level Inst. Resources'!D240</f>
        <v>Southside Elementary</v>
      </c>
      <c r="E240" s="228" t="str">
        <f>'School Level Inst. Resources'!E240</f>
        <v>K-5</v>
      </c>
      <c r="F240" s="229" t="str">
        <f>'School Level Inst. Resources'!H240</f>
        <v>E</v>
      </c>
      <c r="G240" s="229" t="s">
        <v>1158</v>
      </c>
      <c r="H240" s="229" t="str">
        <f t="shared" si="59"/>
        <v>E</v>
      </c>
      <c r="I240" s="198">
        <f>'School Level ADM'!$BI240</f>
        <v>321.08499999999992</v>
      </c>
      <c r="J240" s="194">
        <f t="shared" si="45"/>
        <v>46807</v>
      </c>
      <c r="K240" s="194">
        <f t="shared" si="46"/>
        <v>0</v>
      </c>
      <c r="L240" s="194">
        <f t="shared" si="47"/>
        <v>0</v>
      </c>
      <c r="M240" s="194">
        <f t="shared" si="48"/>
        <v>0</v>
      </c>
      <c r="N240" s="194">
        <f t="shared" si="49"/>
        <v>0</v>
      </c>
      <c r="O240" s="194">
        <f t="shared" si="50"/>
        <v>0</v>
      </c>
      <c r="P240" s="194">
        <f t="shared" si="51"/>
        <v>46807</v>
      </c>
      <c r="Q240" s="198">
        <f>'School Level ADM'!$AU240</f>
        <v>311.26</v>
      </c>
      <c r="R240" s="194">
        <f t="shared" si="52"/>
        <v>46807</v>
      </c>
      <c r="S240" s="194">
        <f t="shared" si="53"/>
        <v>0</v>
      </c>
      <c r="T240" s="194">
        <f t="shared" si="54"/>
        <v>0</v>
      </c>
      <c r="U240" s="194">
        <f t="shared" si="55"/>
        <v>0</v>
      </c>
      <c r="V240" s="194">
        <f t="shared" si="56"/>
        <v>0</v>
      </c>
      <c r="W240" s="194">
        <f t="shared" si="57"/>
        <v>0</v>
      </c>
      <c r="X240" s="194">
        <f t="shared" si="58"/>
        <v>46807</v>
      </c>
    </row>
    <row r="241" spans="1:24" x14ac:dyDescent="0.2">
      <c r="A241" s="227" t="str">
        <f>'School Level Inst. Resources'!A241</f>
        <v>1501000</v>
      </c>
      <c r="B241" s="227" t="str">
        <f>'School Level Inst. Resources'!B241</f>
        <v>Park #1</v>
      </c>
      <c r="C241" s="227" t="str">
        <f>'School Level Inst. Resources'!C241</f>
        <v>1501004</v>
      </c>
      <c r="D241" s="227" t="str">
        <f>'School Level Inst. Resources'!D241</f>
        <v>Westside Elementary</v>
      </c>
      <c r="E241" s="228" t="str">
        <f>'School Level Inst. Resources'!E241</f>
        <v>K-5</v>
      </c>
      <c r="F241" s="229" t="str">
        <f>'School Level Inst. Resources'!H241</f>
        <v>E</v>
      </c>
      <c r="G241" s="229" t="s">
        <v>1158</v>
      </c>
      <c r="H241" s="229" t="str">
        <f t="shared" si="59"/>
        <v>E</v>
      </c>
      <c r="I241" s="198">
        <f>'School Level ADM'!$BI241</f>
        <v>307.76099999999997</v>
      </c>
      <c r="J241" s="194">
        <f t="shared" si="45"/>
        <v>45401</v>
      </c>
      <c r="K241" s="194">
        <f t="shared" si="46"/>
        <v>0</v>
      </c>
      <c r="L241" s="194">
        <f t="shared" si="47"/>
        <v>0</v>
      </c>
      <c r="M241" s="194">
        <f t="shared" si="48"/>
        <v>0</v>
      </c>
      <c r="N241" s="194">
        <f t="shared" si="49"/>
        <v>0</v>
      </c>
      <c r="O241" s="194">
        <f t="shared" si="50"/>
        <v>0</v>
      </c>
      <c r="P241" s="194">
        <f t="shared" si="51"/>
        <v>45401</v>
      </c>
      <c r="Q241" s="198">
        <f>'School Level ADM'!$AU241</f>
        <v>299.44</v>
      </c>
      <c r="R241" s="194">
        <f t="shared" si="52"/>
        <v>45401</v>
      </c>
      <c r="S241" s="194">
        <f t="shared" si="53"/>
        <v>0</v>
      </c>
      <c r="T241" s="194">
        <f t="shared" si="54"/>
        <v>0</v>
      </c>
      <c r="U241" s="194">
        <f t="shared" si="55"/>
        <v>0</v>
      </c>
      <c r="V241" s="194">
        <f t="shared" si="56"/>
        <v>0</v>
      </c>
      <c r="W241" s="194">
        <f t="shared" si="57"/>
        <v>0</v>
      </c>
      <c r="X241" s="194">
        <f t="shared" si="58"/>
        <v>45401</v>
      </c>
    </row>
    <row r="242" spans="1:24" x14ac:dyDescent="0.2">
      <c r="A242" s="227" t="str">
        <f>'School Level Inst. Resources'!A242</f>
        <v>1501000</v>
      </c>
      <c r="B242" s="227" t="str">
        <f>'School Level Inst. Resources'!B242</f>
        <v>Park #1</v>
      </c>
      <c r="C242" s="227" t="str">
        <f>'School Level Inst. Resources'!C242</f>
        <v>1501050</v>
      </c>
      <c r="D242" s="227" t="str">
        <f>'School Level Inst. Resources'!D242</f>
        <v>Powell Middle School</v>
      </c>
      <c r="E242" s="228" t="str">
        <f>'School Level Inst. Resources'!E242</f>
        <v>6-8</v>
      </c>
      <c r="F242" s="229" t="str">
        <f>'School Level Inst. Resources'!H242</f>
        <v>M</v>
      </c>
      <c r="G242" s="229" t="s">
        <v>1158</v>
      </c>
      <c r="H242" s="229" t="str">
        <f t="shared" si="59"/>
        <v>M</v>
      </c>
      <c r="I242" s="198">
        <f>'School Level ADM'!$BI242</f>
        <v>421.23</v>
      </c>
      <c r="J242" s="194">
        <f t="shared" si="45"/>
        <v>0</v>
      </c>
      <c r="K242" s="194">
        <f t="shared" si="46"/>
        <v>75547</v>
      </c>
      <c r="L242" s="194">
        <f t="shared" si="47"/>
        <v>0</v>
      </c>
      <c r="M242" s="194">
        <f t="shared" si="48"/>
        <v>0</v>
      </c>
      <c r="N242" s="194">
        <f t="shared" si="49"/>
        <v>0</v>
      </c>
      <c r="O242" s="194">
        <f t="shared" si="50"/>
        <v>0</v>
      </c>
      <c r="P242" s="194">
        <f t="shared" si="51"/>
        <v>75547</v>
      </c>
      <c r="Q242" s="198">
        <f>'School Level ADM'!$AU242</f>
        <v>435.37</v>
      </c>
      <c r="R242" s="194">
        <f t="shared" si="52"/>
        <v>0</v>
      </c>
      <c r="S242" s="194">
        <f t="shared" si="53"/>
        <v>75547</v>
      </c>
      <c r="T242" s="194">
        <f t="shared" si="54"/>
        <v>0</v>
      </c>
      <c r="U242" s="194">
        <f t="shared" si="55"/>
        <v>0</v>
      </c>
      <c r="V242" s="194">
        <f t="shared" si="56"/>
        <v>0</v>
      </c>
      <c r="W242" s="194">
        <f t="shared" si="57"/>
        <v>0</v>
      </c>
      <c r="X242" s="194">
        <f t="shared" si="58"/>
        <v>75547</v>
      </c>
    </row>
    <row r="243" spans="1:24" x14ac:dyDescent="0.2">
      <c r="A243" s="227" t="str">
        <f>'School Level Inst. Resources'!A243</f>
        <v>1501000</v>
      </c>
      <c r="B243" s="227" t="str">
        <f>'School Level Inst. Resources'!B243</f>
        <v>Park #1</v>
      </c>
      <c r="C243" s="227" t="str">
        <f>'School Level Inst. Resources'!C243</f>
        <v>1501055</v>
      </c>
      <c r="D243" s="227" t="str">
        <f>'School Level Inst. Resources'!D243</f>
        <v>Powell High School</v>
      </c>
      <c r="E243" s="228" t="str">
        <f>'School Level Inst. Resources'!E243</f>
        <v>9-12</v>
      </c>
      <c r="F243" s="229" t="str">
        <f>'School Level Inst. Resources'!H243</f>
        <v>H</v>
      </c>
      <c r="G243" s="229" t="s">
        <v>1158</v>
      </c>
      <c r="H243" s="229" t="str">
        <f t="shared" si="59"/>
        <v>H</v>
      </c>
      <c r="I243" s="198">
        <f>'School Level ADM'!$BI243</f>
        <v>502.74500000000006</v>
      </c>
      <c r="J243" s="194">
        <f t="shared" si="45"/>
        <v>0</v>
      </c>
      <c r="K243" s="194">
        <f t="shared" si="46"/>
        <v>0</v>
      </c>
      <c r="L243" s="194">
        <f t="shared" si="47"/>
        <v>109029</v>
      </c>
      <c r="M243" s="194">
        <f t="shared" si="48"/>
        <v>0</v>
      </c>
      <c r="N243" s="194">
        <f t="shared" si="49"/>
        <v>0</v>
      </c>
      <c r="O243" s="194">
        <f t="shared" si="50"/>
        <v>0</v>
      </c>
      <c r="P243" s="194">
        <f t="shared" si="51"/>
        <v>109029</v>
      </c>
      <c r="Q243" s="198">
        <f>'School Level ADM'!$AU243</f>
        <v>534.85500000000002</v>
      </c>
      <c r="R243" s="194">
        <f t="shared" si="52"/>
        <v>0</v>
      </c>
      <c r="S243" s="194">
        <f t="shared" si="53"/>
        <v>0</v>
      </c>
      <c r="T243" s="194">
        <f t="shared" si="54"/>
        <v>109029</v>
      </c>
      <c r="U243" s="194">
        <f t="shared" si="55"/>
        <v>0</v>
      </c>
      <c r="V243" s="194">
        <f t="shared" si="56"/>
        <v>0</v>
      </c>
      <c r="W243" s="194">
        <f t="shared" si="57"/>
        <v>0</v>
      </c>
      <c r="X243" s="194">
        <f t="shared" si="58"/>
        <v>109029</v>
      </c>
    </row>
    <row r="244" spans="1:24" x14ac:dyDescent="0.2">
      <c r="A244" s="227" t="str">
        <f>'School Level Inst. Resources'!A244</f>
        <v>1501000</v>
      </c>
      <c r="B244" s="227" t="str">
        <f>'School Level Inst. Resources'!B244</f>
        <v>Park #1</v>
      </c>
      <c r="C244" s="227" t="str">
        <f>'School Level Inst. Resources'!C244</f>
        <v>1501056</v>
      </c>
      <c r="D244" s="227" t="str">
        <f>'School Level Inst. Resources'!D244</f>
        <v>Shoshone Learning Center</v>
      </c>
      <c r="E244" s="228" t="str">
        <f>'School Level Inst. Resources'!E244</f>
        <v>9-12</v>
      </c>
      <c r="F244" s="229" t="str">
        <f>'School Level Inst. Resources'!H244</f>
        <v>H</v>
      </c>
      <c r="G244" s="229" t="s">
        <v>1158</v>
      </c>
      <c r="H244" s="229" t="str">
        <f t="shared" si="59"/>
        <v>H</v>
      </c>
      <c r="I244" s="198">
        <f>'School Level ADM'!$BI244</f>
        <v>9.3390000000000004</v>
      </c>
      <c r="J244" s="194">
        <f t="shared" si="45"/>
        <v>0</v>
      </c>
      <c r="K244" s="194">
        <f t="shared" si="46"/>
        <v>0</v>
      </c>
      <c r="L244" s="194">
        <f t="shared" si="47"/>
        <v>3378</v>
      </c>
      <c r="M244" s="194">
        <f t="shared" si="48"/>
        <v>0</v>
      </c>
      <c r="N244" s="194">
        <f t="shared" si="49"/>
        <v>0</v>
      </c>
      <c r="O244" s="194">
        <f t="shared" si="50"/>
        <v>0</v>
      </c>
      <c r="P244" s="194">
        <f t="shared" si="51"/>
        <v>3378</v>
      </c>
      <c r="Q244" s="198">
        <f>'School Level ADM'!$AU244</f>
        <v>14.774999999999999</v>
      </c>
      <c r="R244" s="194">
        <f t="shared" si="52"/>
        <v>0</v>
      </c>
      <c r="S244" s="194">
        <f t="shared" si="53"/>
        <v>0</v>
      </c>
      <c r="T244" s="194">
        <f t="shared" si="54"/>
        <v>3378</v>
      </c>
      <c r="U244" s="194">
        <f t="shared" si="55"/>
        <v>0</v>
      </c>
      <c r="V244" s="194">
        <f t="shared" si="56"/>
        <v>0</v>
      </c>
      <c r="W244" s="194">
        <f t="shared" si="57"/>
        <v>0</v>
      </c>
      <c r="X244" s="194">
        <f t="shared" si="58"/>
        <v>3378</v>
      </c>
    </row>
    <row r="245" spans="1:24" x14ac:dyDescent="0.2">
      <c r="A245" s="227" t="str">
        <f>'School Level Inst. Resources'!A245</f>
        <v>1506000</v>
      </c>
      <c r="B245" s="227" t="str">
        <f>'School Level Inst. Resources'!B245</f>
        <v>Park #6</v>
      </c>
      <c r="C245" s="227" t="str">
        <f>'School Level Inst. Resources'!C245</f>
        <v>1506001</v>
      </c>
      <c r="D245" s="227" t="str">
        <f>'School Level Inst. Resources'!D245</f>
        <v>Eastside Elementary</v>
      </c>
      <c r="E245" s="228" t="str">
        <f>'School Level Inst. Resources'!E245</f>
        <v>K-5</v>
      </c>
      <c r="F245" s="229" t="str">
        <f>'School Level Inst. Resources'!H245</f>
        <v>E</v>
      </c>
      <c r="G245" s="229" t="s">
        <v>1158</v>
      </c>
      <c r="H245" s="229" t="str">
        <f t="shared" si="59"/>
        <v>E</v>
      </c>
      <c r="I245" s="198">
        <f>'School Level ADM'!$BI245</f>
        <v>307.43500000000006</v>
      </c>
      <c r="J245" s="194">
        <f t="shared" si="45"/>
        <v>45366</v>
      </c>
      <c r="K245" s="194">
        <f t="shared" si="46"/>
        <v>0</v>
      </c>
      <c r="L245" s="194">
        <f t="shared" si="47"/>
        <v>0</v>
      </c>
      <c r="M245" s="194">
        <f t="shared" si="48"/>
        <v>0</v>
      </c>
      <c r="N245" s="194">
        <f t="shared" si="49"/>
        <v>0</v>
      </c>
      <c r="O245" s="194">
        <f t="shared" si="50"/>
        <v>0</v>
      </c>
      <c r="P245" s="194">
        <f t="shared" si="51"/>
        <v>45366</v>
      </c>
      <c r="Q245" s="198">
        <f>'School Level ADM'!$AU245</f>
        <v>305.35000000000002</v>
      </c>
      <c r="R245" s="194">
        <f t="shared" si="52"/>
        <v>45366</v>
      </c>
      <c r="S245" s="194">
        <f t="shared" si="53"/>
        <v>0</v>
      </c>
      <c r="T245" s="194">
        <f t="shared" si="54"/>
        <v>0</v>
      </c>
      <c r="U245" s="194">
        <f t="shared" si="55"/>
        <v>0</v>
      </c>
      <c r="V245" s="194">
        <f t="shared" si="56"/>
        <v>0</v>
      </c>
      <c r="W245" s="194">
        <f t="shared" si="57"/>
        <v>0</v>
      </c>
      <c r="X245" s="194">
        <f t="shared" si="58"/>
        <v>45366</v>
      </c>
    </row>
    <row r="246" spans="1:24" x14ac:dyDescent="0.2">
      <c r="A246" s="227" t="str">
        <f>'School Level Inst. Resources'!A246</f>
        <v>1506000</v>
      </c>
      <c r="B246" s="227" t="str">
        <f>'School Level Inst. Resources'!B246</f>
        <v>Park #6</v>
      </c>
      <c r="C246" s="227" t="str">
        <f>'School Level Inst. Resources'!C246</f>
        <v>1506002</v>
      </c>
      <c r="D246" s="227" t="str">
        <f>'School Level Inst. Resources'!D246</f>
        <v>Sunset Elementary</v>
      </c>
      <c r="E246" s="228" t="str">
        <f>'School Level Inst. Resources'!E246</f>
        <v>K-5</v>
      </c>
      <c r="F246" s="229" t="str">
        <f>'School Level Inst. Resources'!H246</f>
        <v>E</v>
      </c>
      <c r="G246" s="229" t="s">
        <v>1158</v>
      </c>
      <c r="H246" s="229" t="str">
        <f t="shared" si="59"/>
        <v>E</v>
      </c>
      <c r="I246" s="198">
        <f>'School Level ADM'!$BI246</f>
        <v>314.48500000000001</v>
      </c>
      <c r="J246" s="194">
        <f t="shared" si="45"/>
        <v>46113</v>
      </c>
      <c r="K246" s="194">
        <f t="shared" si="46"/>
        <v>0</v>
      </c>
      <c r="L246" s="194">
        <f t="shared" si="47"/>
        <v>0</v>
      </c>
      <c r="M246" s="194">
        <f t="shared" si="48"/>
        <v>0</v>
      </c>
      <c r="N246" s="194">
        <f t="shared" si="49"/>
        <v>0</v>
      </c>
      <c r="O246" s="194">
        <f t="shared" si="50"/>
        <v>0</v>
      </c>
      <c r="P246" s="194">
        <f t="shared" si="51"/>
        <v>46113</v>
      </c>
      <c r="Q246" s="198">
        <f>'School Level ADM'!$AU246</f>
        <v>307.32</v>
      </c>
      <c r="R246" s="194">
        <f t="shared" si="52"/>
        <v>46113</v>
      </c>
      <c r="S246" s="194">
        <f t="shared" si="53"/>
        <v>0</v>
      </c>
      <c r="T246" s="194">
        <f t="shared" si="54"/>
        <v>0</v>
      </c>
      <c r="U246" s="194">
        <f t="shared" si="55"/>
        <v>0</v>
      </c>
      <c r="V246" s="194">
        <f t="shared" si="56"/>
        <v>0</v>
      </c>
      <c r="W246" s="194">
        <f t="shared" si="57"/>
        <v>0</v>
      </c>
      <c r="X246" s="194">
        <f t="shared" si="58"/>
        <v>46113</v>
      </c>
    </row>
    <row r="247" spans="1:24" x14ac:dyDescent="0.2">
      <c r="A247" s="227" t="str">
        <f>'School Level Inst. Resources'!A247</f>
        <v>1506000</v>
      </c>
      <c r="B247" s="227" t="str">
        <f>'School Level Inst. Resources'!B247</f>
        <v>Park #6</v>
      </c>
      <c r="C247" s="227" t="str">
        <f>'School Level Inst. Resources'!C247</f>
        <v>1506003</v>
      </c>
      <c r="D247" s="227" t="str">
        <f>'School Level Inst. Resources'!D247</f>
        <v>Valley Elementary</v>
      </c>
      <c r="E247" s="228" t="str">
        <f>'School Level Inst. Resources'!E247</f>
        <v>K-5</v>
      </c>
      <c r="F247" s="229" t="str">
        <f>'School Level Inst. Resources'!H247</f>
        <v>E</v>
      </c>
      <c r="G247" s="229" t="s">
        <v>1158</v>
      </c>
      <c r="H247" s="229" t="str">
        <f t="shared" si="59"/>
        <v>E</v>
      </c>
      <c r="I247" s="198">
        <f>'School Level ADM'!$BI247</f>
        <v>5</v>
      </c>
      <c r="J247" s="194">
        <f t="shared" si="45"/>
        <v>2915</v>
      </c>
      <c r="K247" s="194">
        <f t="shared" si="46"/>
        <v>0</v>
      </c>
      <c r="L247" s="194">
        <f t="shared" si="47"/>
        <v>0</v>
      </c>
      <c r="M247" s="194">
        <f t="shared" si="48"/>
        <v>0</v>
      </c>
      <c r="N247" s="194">
        <f t="shared" si="49"/>
        <v>0</v>
      </c>
      <c r="O247" s="194">
        <f t="shared" si="50"/>
        <v>0</v>
      </c>
      <c r="P247" s="194">
        <f t="shared" si="51"/>
        <v>2915</v>
      </c>
      <c r="Q247" s="198">
        <f>'School Level ADM'!$AU247</f>
        <v>6.8950000000000005</v>
      </c>
      <c r="R247" s="194">
        <f t="shared" si="52"/>
        <v>2915</v>
      </c>
      <c r="S247" s="194">
        <f t="shared" si="53"/>
        <v>0</v>
      </c>
      <c r="T247" s="194">
        <f t="shared" si="54"/>
        <v>0</v>
      </c>
      <c r="U247" s="194">
        <f t="shared" si="55"/>
        <v>0</v>
      </c>
      <c r="V247" s="194">
        <f t="shared" si="56"/>
        <v>0</v>
      </c>
      <c r="W247" s="194">
        <f t="shared" si="57"/>
        <v>0</v>
      </c>
      <c r="X247" s="194">
        <f t="shared" si="58"/>
        <v>2915</v>
      </c>
    </row>
    <row r="248" spans="1:24" x14ac:dyDescent="0.2">
      <c r="A248" s="227" t="str">
        <f>'School Level Inst. Resources'!A248</f>
        <v>1506000</v>
      </c>
      <c r="B248" s="227" t="str">
        <f>'School Level Inst. Resources'!B248</f>
        <v>Park #6</v>
      </c>
      <c r="C248" s="227" t="str">
        <f>'School Level Inst. Resources'!C248</f>
        <v>1506004</v>
      </c>
      <c r="D248" s="227" t="str">
        <f>'School Level Inst. Resources'!D248</f>
        <v>Wapiti Elementary</v>
      </c>
      <c r="E248" s="228" t="str">
        <f>'School Level Inst. Resources'!E248</f>
        <v>K-5</v>
      </c>
      <c r="F248" s="229" t="str">
        <f>'School Level Inst. Resources'!H248</f>
        <v>E</v>
      </c>
      <c r="G248" s="229" t="s">
        <v>1158</v>
      </c>
      <c r="H248" s="229" t="str">
        <f t="shared" si="59"/>
        <v>E</v>
      </c>
      <c r="I248" s="198">
        <f>'School Level ADM'!$BI248</f>
        <v>10.143000000000001</v>
      </c>
      <c r="J248" s="194">
        <f t="shared" si="45"/>
        <v>2915</v>
      </c>
      <c r="K248" s="194">
        <f t="shared" si="46"/>
        <v>0</v>
      </c>
      <c r="L248" s="194">
        <f t="shared" si="47"/>
        <v>0</v>
      </c>
      <c r="M248" s="194">
        <f t="shared" si="48"/>
        <v>0</v>
      </c>
      <c r="N248" s="194">
        <f t="shared" si="49"/>
        <v>0</v>
      </c>
      <c r="O248" s="194">
        <f t="shared" si="50"/>
        <v>0</v>
      </c>
      <c r="P248" s="194">
        <f t="shared" si="51"/>
        <v>2915</v>
      </c>
      <c r="Q248" s="198">
        <f>'School Level ADM'!$AU248</f>
        <v>11.82</v>
      </c>
      <c r="R248" s="194">
        <f t="shared" si="52"/>
        <v>2915</v>
      </c>
      <c r="S248" s="194">
        <f t="shared" si="53"/>
        <v>0</v>
      </c>
      <c r="T248" s="194">
        <f t="shared" si="54"/>
        <v>0</v>
      </c>
      <c r="U248" s="194">
        <f t="shared" si="55"/>
        <v>0</v>
      </c>
      <c r="V248" s="194">
        <f t="shared" si="56"/>
        <v>0</v>
      </c>
      <c r="W248" s="194">
        <f t="shared" si="57"/>
        <v>0</v>
      </c>
      <c r="X248" s="194">
        <f t="shared" si="58"/>
        <v>2915</v>
      </c>
    </row>
    <row r="249" spans="1:24" x14ac:dyDescent="0.2">
      <c r="A249" s="227" t="str">
        <f>'School Level Inst. Resources'!A249</f>
        <v>1506000</v>
      </c>
      <c r="B249" s="227" t="str">
        <f>'School Level Inst. Resources'!B249</f>
        <v>Park #6</v>
      </c>
      <c r="C249" s="227" t="str">
        <f>'School Level Inst. Resources'!C249</f>
        <v>1506005</v>
      </c>
      <c r="D249" s="227" t="str">
        <f>'School Level Inst. Resources'!D249</f>
        <v>Glenn Livingston Elementary</v>
      </c>
      <c r="E249" s="228" t="str">
        <f>'School Level Inst. Resources'!E249</f>
        <v>K-5</v>
      </c>
      <c r="F249" s="229" t="str">
        <f>'School Level Inst. Resources'!H249</f>
        <v>E</v>
      </c>
      <c r="G249" s="229" t="s">
        <v>1158</v>
      </c>
      <c r="H249" s="229" t="str">
        <f t="shared" si="59"/>
        <v>E</v>
      </c>
      <c r="I249" s="198">
        <f>'School Level ADM'!$BI249</f>
        <v>314.351</v>
      </c>
      <c r="J249" s="194">
        <f t="shared" si="45"/>
        <v>46099</v>
      </c>
      <c r="K249" s="194">
        <f t="shared" si="46"/>
        <v>0</v>
      </c>
      <c r="L249" s="194">
        <f t="shared" si="47"/>
        <v>0</v>
      </c>
      <c r="M249" s="194">
        <f t="shared" si="48"/>
        <v>0</v>
      </c>
      <c r="N249" s="194">
        <f t="shared" si="49"/>
        <v>0</v>
      </c>
      <c r="O249" s="194">
        <f t="shared" si="50"/>
        <v>0</v>
      </c>
      <c r="P249" s="194">
        <f t="shared" si="51"/>
        <v>46099</v>
      </c>
      <c r="Q249" s="198">
        <f>'School Level ADM'!$AU249</f>
        <v>323.08</v>
      </c>
      <c r="R249" s="194">
        <f t="shared" si="52"/>
        <v>46099</v>
      </c>
      <c r="S249" s="194">
        <f t="shared" si="53"/>
        <v>0</v>
      </c>
      <c r="T249" s="194">
        <f t="shared" si="54"/>
        <v>0</v>
      </c>
      <c r="U249" s="194">
        <f t="shared" si="55"/>
        <v>0</v>
      </c>
      <c r="V249" s="194">
        <f t="shared" si="56"/>
        <v>0</v>
      </c>
      <c r="W249" s="194">
        <f t="shared" si="57"/>
        <v>0</v>
      </c>
      <c r="X249" s="194">
        <f t="shared" si="58"/>
        <v>46099</v>
      </c>
    </row>
    <row r="250" spans="1:24" x14ac:dyDescent="0.2">
      <c r="A250" s="227" t="str">
        <f>'School Level Inst. Resources'!A250</f>
        <v>1506000</v>
      </c>
      <c r="B250" s="227" t="str">
        <f>'School Level Inst. Resources'!B250</f>
        <v>Park #6</v>
      </c>
      <c r="C250" s="227" t="str">
        <f>'School Level Inst. Resources'!C250</f>
        <v>1506050</v>
      </c>
      <c r="D250" s="227" t="str">
        <f>'School Level Inst. Resources'!D250</f>
        <v>Cody Middle School</v>
      </c>
      <c r="E250" s="228" t="str">
        <f>'School Level Inst. Resources'!E250</f>
        <v>6-8</v>
      </c>
      <c r="F250" s="229" t="str">
        <f>'School Level Inst. Resources'!H250</f>
        <v>M</v>
      </c>
      <c r="G250" s="229" t="s">
        <v>1158</v>
      </c>
      <c r="H250" s="229" t="str">
        <f t="shared" si="59"/>
        <v>M</v>
      </c>
      <c r="I250" s="198">
        <f>'School Level ADM'!$BI250</f>
        <v>466.98599999999999</v>
      </c>
      <c r="J250" s="194">
        <f t="shared" si="45"/>
        <v>0</v>
      </c>
      <c r="K250" s="194">
        <f t="shared" si="46"/>
        <v>79992</v>
      </c>
      <c r="L250" s="194">
        <f t="shared" si="47"/>
        <v>0</v>
      </c>
      <c r="M250" s="194">
        <f t="shared" si="48"/>
        <v>0</v>
      </c>
      <c r="N250" s="194">
        <f t="shared" si="49"/>
        <v>0</v>
      </c>
      <c r="O250" s="194">
        <f t="shared" si="50"/>
        <v>0</v>
      </c>
      <c r="P250" s="194">
        <f t="shared" si="51"/>
        <v>79992</v>
      </c>
      <c r="Q250" s="198">
        <f>'School Level ADM'!$AU250</f>
        <v>471.815</v>
      </c>
      <c r="R250" s="194">
        <f t="shared" si="52"/>
        <v>0</v>
      </c>
      <c r="S250" s="194">
        <f t="shared" si="53"/>
        <v>79992</v>
      </c>
      <c r="T250" s="194">
        <f t="shared" si="54"/>
        <v>0</v>
      </c>
      <c r="U250" s="194">
        <f t="shared" si="55"/>
        <v>0</v>
      </c>
      <c r="V250" s="194">
        <f t="shared" si="56"/>
        <v>0</v>
      </c>
      <c r="W250" s="194">
        <f t="shared" si="57"/>
        <v>0</v>
      </c>
      <c r="X250" s="194">
        <f t="shared" si="58"/>
        <v>79992</v>
      </c>
    </row>
    <row r="251" spans="1:24" s="255" customFormat="1" x14ac:dyDescent="0.2">
      <c r="A251" s="227" t="str">
        <f>'School Level Inst. Resources'!A251</f>
        <v>1506000</v>
      </c>
      <c r="B251" s="227" t="str">
        <f>'School Level Inst. Resources'!B251</f>
        <v>Park #6</v>
      </c>
      <c r="C251" s="227" t="str">
        <f>'School Level Inst. Resources'!C251</f>
        <v>1506055</v>
      </c>
      <c r="D251" s="227" t="str">
        <f>'School Level Inst. Resources'!D251</f>
        <v>Cody High School</v>
      </c>
      <c r="E251" s="228" t="str">
        <f>'School Level Inst. Resources'!E251</f>
        <v>9-12</v>
      </c>
      <c r="F251" s="245" t="str">
        <f>'School Level Inst. Resources'!H251</f>
        <v>H</v>
      </c>
      <c r="G251" s="245" t="s">
        <v>1158</v>
      </c>
      <c r="H251" s="245" t="str">
        <f t="shared" si="59"/>
        <v>H</v>
      </c>
      <c r="I251" s="198">
        <f>'School Level ADM'!$BI251</f>
        <v>583.82399999999996</v>
      </c>
      <c r="J251" s="194">
        <f t="shared" si="45"/>
        <v>0</v>
      </c>
      <c r="K251" s="194">
        <f t="shared" si="46"/>
        <v>0</v>
      </c>
      <c r="L251" s="194">
        <f t="shared" si="47"/>
        <v>119924</v>
      </c>
      <c r="M251" s="194">
        <f t="shared" si="48"/>
        <v>0</v>
      </c>
      <c r="N251" s="194">
        <f t="shared" si="49"/>
        <v>0</v>
      </c>
      <c r="O251" s="194">
        <f t="shared" si="50"/>
        <v>0</v>
      </c>
      <c r="P251" s="194">
        <f t="shared" si="51"/>
        <v>119924</v>
      </c>
      <c r="Q251" s="198">
        <f>'School Level ADM'!$AU251</f>
        <v>573.27</v>
      </c>
      <c r="R251" s="194">
        <f t="shared" si="52"/>
        <v>0</v>
      </c>
      <c r="S251" s="194">
        <f t="shared" si="53"/>
        <v>0</v>
      </c>
      <c r="T251" s="194">
        <f t="shared" si="54"/>
        <v>119924</v>
      </c>
      <c r="U251" s="194">
        <f t="shared" si="55"/>
        <v>0</v>
      </c>
      <c r="V251" s="194">
        <f t="shared" si="56"/>
        <v>0</v>
      </c>
      <c r="W251" s="194">
        <f t="shared" si="57"/>
        <v>0</v>
      </c>
      <c r="X251" s="194">
        <f t="shared" si="58"/>
        <v>119924</v>
      </c>
    </row>
    <row r="252" spans="1:24" s="255" customFormat="1" x14ac:dyDescent="0.2">
      <c r="A252" s="227" t="str">
        <f>'School Level Inst. Resources'!A252</f>
        <v>1506000</v>
      </c>
      <c r="B252" s="227" t="str">
        <f>'School Level Inst. Resources'!B252</f>
        <v>Park #6</v>
      </c>
      <c r="C252" s="227" t="str">
        <f>'School Level Inst. Resources'!C252</f>
        <v>1506056</v>
      </c>
      <c r="D252" s="227" t="str">
        <f>'School Level Inst. Resources'!D252</f>
        <v>Heart Mountain Academy</v>
      </c>
      <c r="E252" s="228" t="str">
        <f>'School Level Inst. Resources'!E252</f>
        <v>9-12</v>
      </c>
      <c r="F252" s="245" t="str">
        <f>'School Level Inst. Resources'!H252</f>
        <v>H</v>
      </c>
      <c r="G252" s="245" t="s">
        <v>1158</v>
      </c>
      <c r="H252" s="245" t="str">
        <f t="shared" si="59"/>
        <v>H</v>
      </c>
      <c r="I252" s="198">
        <f>'School Level ADM'!$BI252</f>
        <v>24.966000000000001</v>
      </c>
      <c r="J252" s="194">
        <f t="shared" si="45"/>
        <v>0</v>
      </c>
      <c r="K252" s="194">
        <f t="shared" si="46"/>
        <v>0</v>
      </c>
      <c r="L252" s="194">
        <f t="shared" si="47"/>
        <v>9031</v>
      </c>
      <c r="M252" s="194">
        <f t="shared" si="48"/>
        <v>0</v>
      </c>
      <c r="N252" s="194">
        <f t="shared" si="49"/>
        <v>0</v>
      </c>
      <c r="O252" s="194">
        <f t="shared" si="50"/>
        <v>0</v>
      </c>
      <c r="P252" s="194">
        <f t="shared" si="51"/>
        <v>9031</v>
      </c>
      <c r="Q252" s="198">
        <f>'School Level ADM'!$AU252</f>
        <v>27.58</v>
      </c>
      <c r="R252" s="194">
        <f t="shared" si="52"/>
        <v>0</v>
      </c>
      <c r="S252" s="194">
        <f t="shared" si="53"/>
        <v>0</v>
      </c>
      <c r="T252" s="194">
        <f t="shared" si="54"/>
        <v>9031</v>
      </c>
      <c r="U252" s="194">
        <f t="shared" si="55"/>
        <v>0</v>
      </c>
      <c r="V252" s="194">
        <f t="shared" si="56"/>
        <v>0</v>
      </c>
      <c r="W252" s="194">
        <f t="shared" si="57"/>
        <v>0</v>
      </c>
      <c r="X252" s="194">
        <f t="shared" si="58"/>
        <v>9031</v>
      </c>
    </row>
    <row r="253" spans="1:24" s="255" customFormat="1" x14ac:dyDescent="0.2">
      <c r="A253" s="227" t="str">
        <f>'School Level Inst. Resources'!A253</f>
        <v>1516000</v>
      </c>
      <c r="B253" s="227" t="str">
        <f>'School Level Inst. Resources'!B253</f>
        <v>Park #16</v>
      </c>
      <c r="C253" s="227" t="str">
        <f>'School Level Inst. Resources'!C253</f>
        <v>1516049</v>
      </c>
      <c r="D253" s="227" t="str">
        <f>'School Level Inst. Resources'!D253</f>
        <v>Meeteetse School</v>
      </c>
      <c r="E253" s="228" t="str">
        <f>'School Level Inst. Resources'!E253</f>
        <v>P-12</v>
      </c>
      <c r="F253" s="245" t="str">
        <f>'School Level Inst. Resources'!H253</f>
        <v>H</v>
      </c>
      <c r="G253" s="245" t="s">
        <v>1158</v>
      </c>
      <c r="H253" s="245" t="str">
        <f t="shared" si="59"/>
        <v>K-12</v>
      </c>
      <c r="I253" s="247">
        <f>'School Level ADM'!$BI253</f>
        <v>122.98299999999998</v>
      </c>
      <c r="J253" s="246">
        <f t="shared" si="45"/>
        <v>0</v>
      </c>
      <c r="K253" s="246">
        <f t="shared" si="46"/>
        <v>0</v>
      </c>
      <c r="L253" s="246">
        <f t="shared" si="47"/>
        <v>0</v>
      </c>
      <c r="M253" s="246">
        <f t="shared" si="48"/>
        <v>0</v>
      </c>
      <c r="N253" s="246">
        <f t="shared" si="49"/>
        <v>0</v>
      </c>
      <c r="O253" s="246">
        <f t="shared" si="50"/>
        <v>50551</v>
      </c>
      <c r="P253" s="246">
        <f t="shared" si="51"/>
        <v>50551</v>
      </c>
      <c r="Q253" s="247">
        <f>'School Level ADM'!$AU253</f>
        <v>119.18499999999999</v>
      </c>
      <c r="R253" s="246">
        <f t="shared" si="52"/>
        <v>0</v>
      </c>
      <c r="S253" s="246">
        <f t="shared" si="53"/>
        <v>0</v>
      </c>
      <c r="T253" s="246">
        <f t="shared" si="54"/>
        <v>0</v>
      </c>
      <c r="U253" s="246">
        <f t="shared" si="55"/>
        <v>0</v>
      </c>
      <c r="V253" s="246">
        <f t="shared" si="56"/>
        <v>0</v>
      </c>
      <c r="W253" s="246">
        <f t="shared" si="57"/>
        <v>50551</v>
      </c>
      <c r="X253" s="246">
        <f t="shared" si="58"/>
        <v>50551</v>
      </c>
    </row>
    <row r="254" spans="1:24" s="255" customFormat="1" x14ac:dyDescent="0.2">
      <c r="A254" s="227" t="str">
        <f>'School Level Inst. Resources'!A254</f>
        <v>1601000</v>
      </c>
      <c r="B254" s="227" t="str">
        <f>'School Level Inst. Resources'!B254</f>
        <v>Platte #1</v>
      </c>
      <c r="C254" s="227" t="str">
        <f>'School Level Inst. Resources'!C254</f>
        <v>1601001</v>
      </c>
      <c r="D254" s="227" t="str">
        <f>'School Level Inst. Resources'!D254</f>
        <v>Chugwater Elementary</v>
      </c>
      <c r="E254" s="228" t="str">
        <f>'School Level Inst. Resources'!E254</f>
        <v>K-6</v>
      </c>
      <c r="F254" s="245" t="str">
        <f>'School Level Inst. Resources'!H254</f>
        <v>E</v>
      </c>
      <c r="G254" s="245" t="s">
        <v>1158</v>
      </c>
      <c r="H254" s="245" t="str">
        <f t="shared" si="59"/>
        <v>E</v>
      </c>
      <c r="I254" s="247">
        <f>'School Level ADM'!$BI254</f>
        <v>32.722000000000001</v>
      </c>
      <c r="J254" s="246">
        <f t="shared" si="45"/>
        <v>6570</v>
      </c>
      <c r="K254" s="246">
        <f t="shared" si="46"/>
        <v>0</v>
      </c>
      <c r="L254" s="246">
        <f t="shared" si="47"/>
        <v>0</v>
      </c>
      <c r="M254" s="246">
        <f t="shared" si="48"/>
        <v>0</v>
      </c>
      <c r="N254" s="246">
        <f t="shared" si="49"/>
        <v>0</v>
      </c>
      <c r="O254" s="246">
        <f t="shared" si="50"/>
        <v>0</v>
      </c>
      <c r="P254" s="246">
        <f t="shared" si="51"/>
        <v>6570</v>
      </c>
      <c r="Q254" s="247">
        <f>'School Level ADM'!$AU254</f>
        <v>31.520000000000003</v>
      </c>
      <c r="R254" s="246">
        <f t="shared" si="52"/>
        <v>6570</v>
      </c>
      <c r="S254" s="246">
        <f t="shared" si="53"/>
        <v>0</v>
      </c>
      <c r="T254" s="246">
        <f t="shared" si="54"/>
        <v>0</v>
      </c>
      <c r="U254" s="246">
        <f t="shared" si="55"/>
        <v>0</v>
      </c>
      <c r="V254" s="246">
        <f t="shared" si="56"/>
        <v>0</v>
      </c>
      <c r="W254" s="246">
        <f t="shared" si="57"/>
        <v>0</v>
      </c>
      <c r="X254" s="246">
        <f t="shared" si="58"/>
        <v>6570</v>
      </c>
    </row>
    <row r="255" spans="1:24" s="255" customFormat="1" x14ac:dyDescent="0.2">
      <c r="A255" s="227" t="str">
        <f>'School Level Inst. Resources'!A255</f>
        <v>1601000</v>
      </c>
      <c r="B255" s="227" t="str">
        <f>'School Level Inst. Resources'!B255</f>
        <v>Platte #1</v>
      </c>
      <c r="C255" s="227" t="str">
        <f>'School Level Inst. Resources'!C255</f>
        <v>1601002</v>
      </c>
      <c r="D255" s="227" t="str">
        <f>'School Level Inst. Resources'!D255</f>
        <v>Glendo Elementary</v>
      </c>
      <c r="E255" s="228" t="str">
        <f>'School Level Inst. Resources'!E255</f>
        <v>K-6</v>
      </c>
      <c r="F255" s="245" t="str">
        <f>'School Level Inst. Resources'!H255</f>
        <v>E</v>
      </c>
      <c r="G255" s="245" t="s">
        <v>1158</v>
      </c>
      <c r="H255" s="245" t="str">
        <f t="shared" si="59"/>
        <v>E</v>
      </c>
      <c r="I255" s="247">
        <f>'School Level ADM'!$BI255</f>
        <v>28.513999999999999</v>
      </c>
      <c r="J255" s="246">
        <f t="shared" si="45"/>
        <v>5757</v>
      </c>
      <c r="K255" s="246">
        <f t="shared" si="46"/>
        <v>0</v>
      </c>
      <c r="L255" s="246">
        <f t="shared" si="47"/>
        <v>0</v>
      </c>
      <c r="M255" s="246">
        <f t="shared" si="48"/>
        <v>0</v>
      </c>
      <c r="N255" s="246">
        <f t="shared" si="49"/>
        <v>0</v>
      </c>
      <c r="O255" s="246">
        <f t="shared" si="50"/>
        <v>0</v>
      </c>
      <c r="P255" s="246">
        <f t="shared" si="51"/>
        <v>5757</v>
      </c>
      <c r="Q255" s="247">
        <f>'School Level ADM'!$AU255</f>
        <v>30.534999999999997</v>
      </c>
      <c r="R255" s="246">
        <f t="shared" si="52"/>
        <v>5757</v>
      </c>
      <c r="S255" s="246">
        <f t="shared" si="53"/>
        <v>0</v>
      </c>
      <c r="T255" s="246">
        <f t="shared" si="54"/>
        <v>0</v>
      </c>
      <c r="U255" s="246">
        <f t="shared" si="55"/>
        <v>0</v>
      </c>
      <c r="V255" s="246">
        <f t="shared" si="56"/>
        <v>0</v>
      </c>
      <c r="W255" s="246">
        <f t="shared" si="57"/>
        <v>0</v>
      </c>
      <c r="X255" s="246">
        <f t="shared" si="58"/>
        <v>5757</v>
      </c>
    </row>
    <row r="256" spans="1:24" x14ac:dyDescent="0.2">
      <c r="A256" s="227" t="str">
        <f>'School Level Inst. Resources'!A256</f>
        <v>1601000</v>
      </c>
      <c r="B256" s="227" t="str">
        <f>'School Level Inst. Resources'!B256</f>
        <v>Platte #1</v>
      </c>
      <c r="C256" s="227" t="str">
        <f>'School Level Inst. Resources'!C256</f>
        <v>1601003</v>
      </c>
      <c r="D256" s="227" t="str">
        <f>'School Level Inst. Resources'!D256</f>
        <v>Libbey Elementary</v>
      </c>
      <c r="E256" s="228" t="str">
        <f>'School Level Inst. Resources'!E256</f>
        <v>K-2</v>
      </c>
      <c r="F256" s="229" t="str">
        <f>'School Level Inst. Resources'!H256</f>
        <v>E</v>
      </c>
      <c r="G256" s="229" t="s">
        <v>1158</v>
      </c>
      <c r="H256" s="229" t="str">
        <f t="shared" si="59"/>
        <v>E</v>
      </c>
      <c r="I256" s="198">
        <f>'School Level ADM'!$BI256</f>
        <v>197.04</v>
      </c>
      <c r="J256" s="194">
        <f t="shared" si="45"/>
        <v>32499</v>
      </c>
      <c r="K256" s="194">
        <f t="shared" si="46"/>
        <v>0</v>
      </c>
      <c r="L256" s="194">
        <f t="shared" si="47"/>
        <v>0</v>
      </c>
      <c r="M256" s="194">
        <f t="shared" si="48"/>
        <v>0</v>
      </c>
      <c r="N256" s="194">
        <f t="shared" si="49"/>
        <v>0</v>
      </c>
      <c r="O256" s="194">
        <f t="shared" si="50"/>
        <v>0</v>
      </c>
      <c r="P256" s="194">
        <f t="shared" si="51"/>
        <v>32499</v>
      </c>
      <c r="Q256" s="198">
        <f>'School Level ADM'!$AU256</f>
        <v>206.85</v>
      </c>
      <c r="R256" s="194">
        <f t="shared" si="52"/>
        <v>32499</v>
      </c>
      <c r="S256" s="194">
        <f t="shared" si="53"/>
        <v>0</v>
      </c>
      <c r="T256" s="194">
        <f t="shared" si="54"/>
        <v>0</v>
      </c>
      <c r="U256" s="194">
        <f t="shared" si="55"/>
        <v>0</v>
      </c>
      <c r="V256" s="194">
        <f t="shared" si="56"/>
        <v>0</v>
      </c>
      <c r="W256" s="194">
        <f t="shared" si="57"/>
        <v>0</v>
      </c>
      <c r="X256" s="194">
        <f t="shared" si="58"/>
        <v>32499</v>
      </c>
    </row>
    <row r="257" spans="1:24" x14ac:dyDescent="0.2">
      <c r="A257" s="227" t="str">
        <f>'School Level Inst. Resources'!A257</f>
        <v>1601000</v>
      </c>
      <c r="B257" s="227" t="str">
        <f>'School Level Inst. Resources'!B257</f>
        <v>Platte #1</v>
      </c>
      <c r="C257" s="227" t="str">
        <f>'School Level Inst. Resources'!C257</f>
        <v>1601005</v>
      </c>
      <c r="D257" s="227" t="str">
        <f>'School Level Inst. Resources'!D257</f>
        <v>West Elementary</v>
      </c>
      <c r="E257" s="228" t="str">
        <f>'School Level Inst. Resources'!E257</f>
        <v>3-5</v>
      </c>
      <c r="F257" s="229" t="str">
        <f>'School Level Inst. Resources'!H257</f>
        <v>E</v>
      </c>
      <c r="G257" s="229" t="s">
        <v>1158</v>
      </c>
      <c r="H257" s="229" t="str">
        <f t="shared" si="59"/>
        <v>E</v>
      </c>
      <c r="I257" s="198">
        <f>'School Level ADM'!$BI257</f>
        <v>209.095</v>
      </c>
      <c r="J257" s="194">
        <f t="shared" si="45"/>
        <v>34037</v>
      </c>
      <c r="K257" s="194">
        <f t="shared" si="46"/>
        <v>0</v>
      </c>
      <c r="L257" s="194">
        <f t="shared" si="47"/>
        <v>0</v>
      </c>
      <c r="M257" s="194">
        <f t="shared" si="48"/>
        <v>0</v>
      </c>
      <c r="N257" s="194">
        <f t="shared" si="49"/>
        <v>0</v>
      </c>
      <c r="O257" s="194">
        <f t="shared" si="50"/>
        <v>0</v>
      </c>
      <c r="P257" s="194">
        <f t="shared" si="51"/>
        <v>34037</v>
      </c>
      <c r="Q257" s="198">
        <f>'School Level ADM'!$AU257</f>
        <v>194.04499999999999</v>
      </c>
      <c r="R257" s="194">
        <f t="shared" si="52"/>
        <v>34037</v>
      </c>
      <c r="S257" s="194">
        <f t="shared" si="53"/>
        <v>0</v>
      </c>
      <c r="T257" s="194">
        <f t="shared" si="54"/>
        <v>0</v>
      </c>
      <c r="U257" s="194">
        <f t="shared" si="55"/>
        <v>0</v>
      </c>
      <c r="V257" s="194">
        <f t="shared" si="56"/>
        <v>0</v>
      </c>
      <c r="W257" s="194">
        <f t="shared" si="57"/>
        <v>0</v>
      </c>
      <c r="X257" s="194">
        <f t="shared" si="58"/>
        <v>34037</v>
      </c>
    </row>
    <row r="258" spans="1:24" x14ac:dyDescent="0.2">
      <c r="A258" s="227" t="str">
        <f>'School Level Inst. Resources'!A258</f>
        <v>1601000</v>
      </c>
      <c r="B258" s="227" t="str">
        <f>'School Level Inst. Resources'!B258</f>
        <v>Platte #1</v>
      </c>
      <c r="C258" s="227" t="str">
        <f>'School Level Inst. Resources'!C258</f>
        <v>1601050</v>
      </c>
      <c r="D258" s="227" t="str">
        <f>'School Level Inst. Resources'!D258</f>
        <v>Wheatland Middle School</v>
      </c>
      <c r="E258" s="228" t="str">
        <f>'School Level Inst. Resources'!E258</f>
        <v>6-8</v>
      </c>
      <c r="F258" s="229" t="str">
        <f>'School Level Inst. Resources'!H258</f>
        <v>M</v>
      </c>
      <c r="G258" s="229" t="s">
        <v>1158</v>
      </c>
      <c r="H258" s="229" t="str">
        <f t="shared" si="59"/>
        <v>M</v>
      </c>
      <c r="I258" s="198">
        <f>'School Level ADM'!$BI258</f>
        <v>208.38299999999998</v>
      </c>
      <c r="J258" s="194">
        <f t="shared" si="45"/>
        <v>0</v>
      </c>
      <c r="K258" s="194">
        <f t="shared" si="46"/>
        <v>52712</v>
      </c>
      <c r="L258" s="194">
        <f t="shared" si="47"/>
        <v>0</v>
      </c>
      <c r="M258" s="194">
        <f t="shared" si="48"/>
        <v>0</v>
      </c>
      <c r="N258" s="194">
        <f t="shared" si="49"/>
        <v>0</v>
      </c>
      <c r="O258" s="194">
        <f t="shared" si="50"/>
        <v>0</v>
      </c>
      <c r="P258" s="194">
        <f t="shared" si="51"/>
        <v>52712</v>
      </c>
      <c r="Q258" s="198">
        <f>'School Level ADM'!$AU258</f>
        <v>202.91</v>
      </c>
      <c r="R258" s="194">
        <f t="shared" si="52"/>
        <v>0</v>
      </c>
      <c r="S258" s="194">
        <f t="shared" si="53"/>
        <v>52712</v>
      </c>
      <c r="T258" s="194">
        <f t="shared" si="54"/>
        <v>0</v>
      </c>
      <c r="U258" s="194">
        <f t="shared" si="55"/>
        <v>0</v>
      </c>
      <c r="V258" s="194">
        <f t="shared" si="56"/>
        <v>0</v>
      </c>
      <c r="W258" s="194">
        <f t="shared" si="57"/>
        <v>0</v>
      </c>
      <c r="X258" s="194">
        <f t="shared" si="58"/>
        <v>52712</v>
      </c>
    </row>
    <row r="259" spans="1:24" s="226" customFormat="1" x14ac:dyDescent="0.2">
      <c r="A259" s="210" t="str">
        <f>'School Level Inst. Resources'!A259</f>
        <v>1601000</v>
      </c>
      <c r="B259" s="210" t="str">
        <f>'School Level Inst. Resources'!B259</f>
        <v>Platte #1</v>
      </c>
      <c r="C259" s="210" t="str">
        <f>'School Level Inst. Resources'!C259</f>
        <v>1601051</v>
      </c>
      <c r="D259" s="210" t="str">
        <f>'School Level Inst. Resources'!D259</f>
        <v>Chugwater Junior High School</v>
      </c>
      <c r="E259" s="211" t="str">
        <f>'School Level Inst. Resources'!E259</f>
        <v>7-8</v>
      </c>
      <c r="F259" s="212" t="str">
        <f>'School Level Inst. Resources'!H259</f>
        <v>M</v>
      </c>
      <c r="G259" s="212" t="s">
        <v>1159</v>
      </c>
      <c r="H259" s="212" t="str">
        <f t="shared" si="59"/>
        <v>M</v>
      </c>
      <c r="I259" s="217">
        <v>0</v>
      </c>
      <c r="J259" s="293">
        <f t="shared" si="45"/>
        <v>0</v>
      </c>
      <c r="K259" s="293">
        <f t="shared" si="46"/>
        <v>0</v>
      </c>
      <c r="L259" s="293">
        <f t="shared" si="47"/>
        <v>0</v>
      </c>
      <c r="M259" s="293">
        <f t="shared" si="48"/>
        <v>0</v>
      </c>
      <c r="N259" s="293">
        <f t="shared" si="49"/>
        <v>0</v>
      </c>
      <c r="O259" s="293">
        <f t="shared" si="50"/>
        <v>0</v>
      </c>
      <c r="P259" s="293">
        <f t="shared" si="51"/>
        <v>0</v>
      </c>
      <c r="Q259" s="217">
        <v>0</v>
      </c>
      <c r="R259" s="293">
        <f t="shared" si="52"/>
        <v>0</v>
      </c>
      <c r="S259" s="293">
        <f t="shared" si="53"/>
        <v>0</v>
      </c>
      <c r="T259" s="293">
        <f t="shared" si="54"/>
        <v>0</v>
      </c>
      <c r="U259" s="293">
        <f t="shared" si="55"/>
        <v>0</v>
      </c>
      <c r="V259" s="293">
        <f t="shared" si="56"/>
        <v>0</v>
      </c>
      <c r="W259" s="293">
        <f t="shared" si="57"/>
        <v>0</v>
      </c>
      <c r="X259" s="293">
        <f t="shared" si="58"/>
        <v>0</v>
      </c>
    </row>
    <row r="260" spans="1:24" s="226" customFormat="1" x14ac:dyDescent="0.2">
      <c r="A260" s="210" t="str">
        <f>'School Level Inst. Resources'!A260</f>
        <v>1601000</v>
      </c>
      <c r="B260" s="210" t="str">
        <f>'School Level Inst. Resources'!B260</f>
        <v>Platte #1</v>
      </c>
      <c r="C260" s="210" t="str">
        <f>'School Level Inst. Resources'!C260</f>
        <v>1601052</v>
      </c>
      <c r="D260" s="210" t="str">
        <f>'School Level Inst. Resources'!D260</f>
        <v>Glendo Junior High School</v>
      </c>
      <c r="E260" s="211" t="str">
        <f>'School Level Inst. Resources'!E260</f>
        <v>7-8</v>
      </c>
      <c r="F260" s="212" t="str">
        <f>'School Level Inst. Resources'!H260</f>
        <v>M</v>
      </c>
      <c r="G260" s="212" t="s">
        <v>1159</v>
      </c>
      <c r="H260" s="212" t="str">
        <f t="shared" si="59"/>
        <v>M</v>
      </c>
      <c r="I260" s="217">
        <v>0</v>
      </c>
      <c r="J260" s="293">
        <f t="shared" si="45"/>
        <v>0</v>
      </c>
      <c r="K260" s="293">
        <f t="shared" si="46"/>
        <v>0</v>
      </c>
      <c r="L260" s="293">
        <f t="shared" si="47"/>
        <v>0</v>
      </c>
      <c r="M260" s="293">
        <f t="shared" si="48"/>
        <v>0</v>
      </c>
      <c r="N260" s="293">
        <f t="shared" si="49"/>
        <v>0</v>
      </c>
      <c r="O260" s="293">
        <f t="shared" si="50"/>
        <v>0</v>
      </c>
      <c r="P260" s="293">
        <f t="shared" si="51"/>
        <v>0</v>
      </c>
      <c r="Q260" s="217">
        <v>0</v>
      </c>
      <c r="R260" s="293">
        <f t="shared" si="52"/>
        <v>0</v>
      </c>
      <c r="S260" s="293">
        <f t="shared" si="53"/>
        <v>0</v>
      </c>
      <c r="T260" s="293">
        <f t="shared" si="54"/>
        <v>0</v>
      </c>
      <c r="U260" s="293">
        <f t="shared" si="55"/>
        <v>0</v>
      </c>
      <c r="V260" s="293">
        <f t="shared" si="56"/>
        <v>0</v>
      </c>
      <c r="W260" s="293">
        <f t="shared" si="57"/>
        <v>0</v>
      </c>
      <c r="X260" s="293">
        <f t="shared" si="58"/>
        <v>0</v>
      </c>
    </row>
    <row r="261" spans="1:24" s="226" customFormat="1" x14ac:dyDescent="0.2">
      <c r="A261" s="210" t="str">
        <f>'School Level Inst. Resources'!A261</f>
        <v>1601000</v>
      </c>
      <c r="B261" s="210" t="str">
        <f>'School Level Inst. Resources'!B261</f>
        <v>Platte #1</v>
      </c>
      <c r="C261" s="210" t="str">
        <f>'School Level Inst. Resources'!C261</f>
        <v>1601055</v>
      </c>
      <c r="D261" s="210" t="str">
        <f>'School Level Inst. Resources'!D261</f>
        <v>Chugwater High School</v>
      </c>
      <c r="E261" s="211" t="str">
        <f>'School Level Inst. Resources'!E261</f>
        <v>9-12</v>
      </c>
      <c r="F261" s="212" t="str">
        <f>'School Level Inst. Resources'!H261</f>
        <v>H</v>
      </c>
      <c r="G261" s="212" t="s">
        <v>1158</v>
      </c>
      <c r="H261" s="212" t="s">
        <v>422</v>
      </c>
      <c r="I261" s="218">
        <f>SUM('School Level ADM'!$BI259,'School Level ADM'!$BI261)</f>
        <v>21.708000000000002</v>
      </c>
      <c r="J261" s="214">
        <f t="shared" si="45"/>
        <v>0</v>
      </c>
      <c r="K261" s="214">
        <f t="shared" si="46"/>
        <v>0</v>
      </c>
      <c r="L261" s="214">
        <f t="shared" si="47"/>
        <v>0</v>
      </c>
      <c r="M261" s="214">
        <f t="shared" si="48"/>
        <v>0</v>
      </c>
      <c r="N261" s="214">
        <f t="shared" si="49"/>
        <v>11518</v>
      </c>
      <c r="O261" s="214">
        <f t="shared" si="50"/>
        <v>0</v>
      </c>
      <c r="P261" s="214">
        <f t="shared" si="51"/>
        <v>11518</v>
      </c>
      <c r="Q261" s="218">
        <f>SUM('School Level ADM'!$AU259,'School Level ADM'!$AU261)</f>
        <v>17.73</v>
      </c>
      <c r="R261" s="214">
        <f t="shared" si="52"/>
        <v>0</v>
      </c>
      <c r="S261" s="214">
        <f t="shared" si="53"/>
        <v>0</v>
      </c>
      <c r="T261" s="214">
        <f t="shared" si="54"/>
        <v>0</v>
      </c>
      <c r="U261" s="214">
        <f t="shared" si="55"/>
        <v>0</v>
      </c>
      <c r="V261" s="214">
        <f t="shared" si="56"/>
        <v>11518</v>
      </c>
      <c r="W261" s="214">
        <f t="shared" si="57"/>
        <v>0</v>
      </c>
      <c r="X261" s="214">
        <f t="shared" si="58"/>
        <v>11518</v>
      </c>
    </row>
    <row r="262" spans="1:24" s="226" customFormat="1" x14ac:dyDescent="0.2">
      <c r="A262" s="210" t="str">
        <f>'School Level Inst. Resources'!A262</f>
        <v>1601000</v>
      </c>
      <c r="B262" s="210" t="str">
        <f>'School Level Inst. Resources'!B262</f>
        <v>Platte #1</v>
      </c>
      <c r="C262" s="210" t="str">
        <f>'School Level Inst. Resources'!C262</f>
        <v>1601056</v>
      </c>
      <c r="D262" s="210" t="str">
        <f>'School Level Inst. Resources'!D262</f>
        <v>Glendo High School</v>
      </c>
      <c r="E262" s="211" t="str">
        <f>'School Level Inst. Resources'!E262</f>
        <v>9-12</v>
      </c>
      <c r="F262" s="212" t="str">
        <f>'School Level Inst. Resources'!H262</f>
        <v>H</v>
      </c>
      <c r="G262" s="212" t="s">
        <v>1158</v>
      </c>
      <c r="H262" s="212" t="s">
        <v>422</v>
      </c>
      <c r="I262" s="218">
        <f>SUM('School Level ADM'!$BI260,'School Level ADM'!$BI262)</f>
        <v>24.692</v>
      </c>
      <c r="J262" s="214">
        <f t="shared" ref="J262:J325" si="60">IF(OR($G262="F",$F262&lt;&gt;"E"),0,IF($I262&lt;19,2915,IF($I262&gt;456,ROUND((132.39*$I262),0),ROUND((0.0002128*$I262^3-0.2644484*$I262^2+208.6966777*$I262+16.4242391),0))))</f>
        <v>0</v>
      </c>
      <c r="K262" s="214">
        <f t="shared" ref="K262:K325" si="61">IF(OR($G262="F",$H262&lt;&gt;"M"),0,IF($I262&lt;150,ROUND((300.63*$I262),0),IF($I262&gt;750,ROUND((148.26*$I262),0),ROUND((0.000146*$I262^3-0.1993016*$I262^2+187.7071094*$I262+20929.8632813),0))))</f>
        <v>0</v>
      </c>
      <c r="L262" s="214">
        <f t="shared" ref="L262:L325" si="62">IF(OR($G262="F",$H262&lt;&gt;"H"),0,IF($I262&lt;150,ROUND((361.73*$I262),0),IF($I262&gt;1350,ROUND((167.67*$I262),0),ROUND((0.0000446*$I262^3-0.1033081*$I262^2+207.0604979*$I262+25374.374907),0))))</f>
        <v>0</v>
      </c>
      <c r="M262" s="214">
        <f t="shared" ref="M262:M325" si="63">IF(OR($G262="F",$H262&lt;&gt;"K-8"),0,IF($I262&lt;85,ROUND((341.99*$I262),0),IF($I262&gt;342,ROUND((186.46*$I262),0),ROUND((-0.3239548*$I262^2+273.3488359*$I262+8175.0727129),0))))</f>
        <v>0</v>
      </c>
      <c r="N262" s="214">
        <f t="shared" ref="N262:N325" si="64">IF(OR($G262="F",$H262&lt;&gt;"6-12"),0,IF($I262&lt;75,ROUND((530.59*$I262),0),IF($I262&gt;350,ROUND((260.77*$I262),0),ROUND((0.0025644*$I262^3-1.7519279*$I262^2+535.8785137*$I262+8376.2839819),0))))</f>
        <v>13101</v>
      </c>
      <c r="O262" s="214">
        <f t="shared" ref="O262:O325" si="65">IF(OR($G262="F",$H262&lt;&gt;"K-12"),0,IF($I262&lt;75,ROUND((500.08*$I262),0),IF($I262&gt;350,ROUND((251.34*$I262),0),ROUND((0.0017301*$I262^3-1.3373171*$I262^2+484.7783098*$I262+7940.3304431),0))))</f>
        <v>0</v>
      </c>
      <c r="P262" s="214">
        <f t="shared" ref="P262:P325" si="66">SUM(J262:O262)</f>
        <v>13101</v>
      </c>
      <c r="Q262" s="218">
        <f>SUM('School Level ADM'!$AU260,'School Level ADM'!$AU262)</f>
        <v>30.535</v>
      </c>
      <c r="R262" s="214">
        <f t="shared" ref="R262:R325" si="67">IF(OR($G262="F",$F262&lt;&gt;"E"),0,IF($I262&lt;19,2915,IF($I262&gt;456,ROUND((132.39*$I262),0),ROUND((0.0002128*$I262^3-0.2644484*$I262^2+208.6966777*$I262+16.4242391),0))))</f>
        <v>0</v>
      </c>
      <c r="S262" s="214">
        <f t="shared" ref="S262:S325" si="68">IF(OR($G262="F",$H262&lt;&gt;"M"),0,IF($I262&lt;150,ROUND((300.63*$I262),0),IF($I262&gt;750,ROUND((148.26*$I262),0),ROUND((0.000146*$I262^3-0.1993016*$I262^2+187.7071094*$I262+20929.8632813),0))))</f>
        <v>0</v>
      </c>
      <c r="T262" s="214">
        <f t="shared" ref="T262:T325" si="69">IF(OR($G262="F",$H262&lt;&gt;"H"),0,IF($I262&lt;150,ROUND((361.73*$I262),0),IF($I262&gt;1350,ROUND((167.67*$I262),0),ROUND((0.0000446*$I262^3-0.1033081*$I262^2+207.0604979*$I262+25374.374907),0))))</f>
        <v>0</v>
      </c>
      <c r="U262" s="214">
        <f t="shared" ref="U262:U325" si="70">IF(OR($G262="F",$H262&lt;&gt;"K-8"),0,IF($I262&lt;85,ROUND((341.99*$I262),0),IF($I262&gt;342,ROUND((186.46*$I262),0),ROUND((-0.3239548*$I262^2+273.3488359*$I262+8175.0727129),0))))</f>
        <v>0</v>
      </c>
      <c r="V262" s="214">
        <f t="shared" ref="V262:V325" si="71">IF(OR($G262="F",$H262&lt;&gt;"6-12"),0,IF($I262&lt;75,ROUND((530.59*$I262),0),IF($I262&gt;350,ROUND((260.77*$I262),0),ROUND((0.0025644*$I262^3-1.7519279*$I262^2+535.8785137*$I262+8376.2839819),0))))</f>
        <v>13101</v>
      </c>
      <c r="W262" s="214">
        <f t="shared" ref="W262:W325" si="72">IF(OR($G262="F",$H262&lt;&gt;"K-12"),0,IF($I262&lt;75,ROUND((500.08*$I262),0),IF($I262&gt;350,ROUND((251.34*$I262),0),ROUND((0.0017301*$I262^3-1.3373171*$I262^2+484.7783098*$I262+7940.3304431),0))))</f>
        <v>0</v>
      </c>
      <c r="X262" s="214">
        <f t="shared" ref="X262:X325" si="73">SUM(R262:W262)</f>
        <v>13101</v>
      </c>
    </row>
    <row r="263" spans="1:24" s="255" customFormat="1" x14ac:dyDescent="0.2">
      <c r="A263" s="227" t="str">
        <f>'School Level Inst. Resources'!A263</f>
        <v>1601000</v>
      </c>
      <c r="B263" s="227" t="str">
        <f>'School Level Inst. Resources'!B263</f>
        <v>Platte #1</v>
      </c>
      <c r="C263" s="227" t="str">
        <f>'School Level Inst. Resources'!C263</f>
        <v>1601057</v>
      </c>
      <c r="D263" s="227" t="str">
        <f>'School Level Inst. Resources'!D263</f>
        <v>Wheatland High School</v>
      </c>
      <c r="E263" s="228" t="str">
        <f>'School Level Inst. Resources'!E263</f>
        <v>9-12</v>
      </c>
      <c r="F263" s="245" t="str">
        <f>'School Level Inst. Resources'!H263</f>
        <v>H</v>
      </c>
      <c r="G263" s="245" t="s">
        <v>1158</v>
      </c>
      <c r="H263" s="245" t="str">
        <f t="shared" ref="H263:H326" si="74">IF(OR(E263="P-8",E263="K-8",E263="K-9"),"K-8",IF(OR(E263="P-12",E263="K-12"),"K-12",IF(OR(E263="6-12",E263="7-12"),"6-12",F263)))</f>
        <v>H</v>
      </c>
      <c r="I263" s="247">
        <f>'School Level ADM'!$BI263</f>
        <v>272.29499999999996</v>
      </c>
      <c r="J263" s="246">
        <f t="shared" si="60"/>
        <v>0</v>
      </c>
      <c r="K263" s="246">
        <f t="shared" si="61"/>
        <v>0</v>
      </c>
      <c r="L263" s="246">
        <f t="shared" si="62"/>
        <v>74997</v>
      </c>
      <c r="M263" s="246">
        <f t="shared" si="63"/>
        <v>0</v>
      </c>
      <c r="N263" s="246">
        <f t="shared" si="64"/>
        <v>0</v>
      </c>
      <c r="O263" s="246">
        <f t="shared" si="65"/>
        <v>0</v>
      </c>
      <c r="P263" s="246">
        <f t="shared" si="66"/>
        <v>74997</v>
      </c>
      <c r="Q263" s="247">
        <f>'School Level ADM'!$AU263</f>
        <v>274.815</v>
      </c>
      <c r="R263" s="246">
        <f t="shared" si="67"/>
        <v>0</v>
      </c>
      <c r="S263" s="246">
        <f t="shared" si="68"/>
        <v>0</v>
      </c>
      <c r="T263" s="246">
        <f t="shared" si="69"/>
        <v>74997</v>
      </c>
      <c r="U263" s="246">
        <f t="shared" si="70"/>
        <v>0</v>
      </c>
      <c r="V263" s="246">
        <f t="shared" si="71"/>
        <v>0</v>
      </c>
      <c r="W263" s="246">
        <f t="shared" si="72"/>
        <v>0</v>
      </c>
      <c r="X263" s="246">
        <f t="shared" si="73"/>
        <v>74997</v>
      </c>
    </row>
    <row r="264" spans="1:24" s="255" customFormat="1" x14ac:dyDescent="0.2">
      <c r="A264" s="227" t="str">
        <f>'School Level Inst. Resources'!A264</f>
        <v>1601000</v>
      </c>
      <c r="B264" s="227" t="str">
        <f>'School Level Inst. Resources'!B264</f>
        <v>Platte #1</v>
      </c>
      <c r="C264" s="227" t="str">
        <f>'School Level Inst. Resources'!C264</f>
        <v>1601058</v>
      </c>
      <c r="D264" s="227" t="str">
        <f>'School Level Inst. Resources'!D264</f>
        <v>Peak High School</v>
      </c>
      <c r="E264" s="228" t="str">
        <f>'School Level Inst. Resources'!E264</f>
        <v>9-12</v>
      </c>
      <c r="F264" s="245" t="str">
        <f>'School Level Inst. Resources'!H264</f>
        <v>H</v>
      </c>
      <c r="G264" s="245" t="s">
        <v>1158</v>
      </c>
      <c r="H264" s="245" t="str">
        <f t="shared" si="74"/>
        <v>H</v>
      </c>
      <c r="I264" s="247">
        <f>'School Level ADM'!$BI264</f>
        <v>14.923</v>
      </c>
      <c r="J264" s="246">
        <f t="shared" si="60"/>
        <v>0</v>
      </c>
      <c r="K264" s="246">
        <f t="shared" si="61"/>
        <v>0</v>
      </c>
      <c r="L264" s="246">
        <f t="shared" si="62"/>
        <v>5398</v>
      </c>
      <c r="M264" s="246">
        <f t="shared" si="63"/>
        <v>0</v>
      </c>
      <c r="N264" s="246">
        <f t="shared" si="64"/>
        <v>0</v>
      </c>
      <c r="O264" s="246">
        <f t="shared" si="65"/>
        <v>0</v>
      </c>
      <c r="P264" s="246">
        <f t="shared" si="66"/>
        <v>5398</v>
      </c>
      <c r="Q264" s="247">
        <f>'School Level ADM'!$AU264</f>
        <v>18.715</v>
      </c>
      <c r="R264" s="246">
        <f t="shared" si="67"/>
        <v>0</v>
      </c>
      <c r="S264" s="246">
        <f t="shared" si="68"/>
        <v>0</v>
      </c>
      <c r="T264" s="246">
        <f t="shared" si="69"/>
        <v>5398</v>
      </c>
      <c r="U264" s="246">
        <f t="shared" si="70"/>
        <v>0</v>
      </c>
      <c r="V264" s="246">
        <f t="shared" si="71"/>
        <v>0</v>
      </c>
      <c r="W264" s="246">
        <f t="shared" si="72"/>
        <v>0</v>
      </c>
      <c r="X264" s="246">
        <f t="shared" si="73"/>
        <v>5398</v>
      </c>
    </row>
    <row r="265" spans="1:24" s="226" customFormat="1" x14ac:dyDescent="0.2">
      <c r="A265" s="210" t="str">
        <f>'School Level Inst. Resources'!A265</f>
        <v>1602000</v>
      </c>
      <c r="B265" s="210" t="str">
        <f>'School Level Inst. Resources'!B265</f>
        <v>Platte #2</v>
      </c>
      <c r="C265" s="210" t="str">
        <f>'School Level Inst. Resources'!C265</f>
        <v>1602001</v>
      </c>
      <c r="D265" s="210" t="str">
        <f>'School Level Inst. Resources'!D265</f>
        <v>Guernsey-Sunrise Elementary</v>
      </c>
      <c r="E265" s="211" t="str">
        <f>'School Level Inst. Resources'!E265</f>
        <v>K-6</v>
      </c>
      <c r="F265" s="212" t="str">
        <f>'School Level Inst. Resources'!H265</f>
        <v>E</v>
      </c>
      <c r="G265" s="212" t="s">
        <v>1159</v>
      </c>
      <c r="H265" s="212" t="str">
        <f t="shared" si="74"/>
        <v>E</v>
      </c>
      <c r="I265" s="217">
        <v>0</v>
      </c>
      <c r="J265" s="293">
        <f t="shared" si="60"/>
        <v>0</v>
      </c>
      <c r="K265" s="293">
        <f t="shared" si="61"/>
        <v>0</v>
      </c>
      <c r="L265" s="293">
        <f t="shared" si="62"/>
        <v>0</v>
      </c>
      <c r="M265" s="293">
        <f t="shared" si="63"/>
        <v>0</v>
      </c>
      <c r="N265" s="293">
        <f t="shared" si="64"/>
        <v>0</v>
      </c>
      <c r="O265" s="293">
        <f t="shared" si="65"/>
        <v>0</v>
      </c>
      <c r="P265" s="293">
        <f t="shared" si="66"/>
        <v>0</v>
      </c>
      <c r="Q265" s="217">
        <v>0</v>
      </c>
      <c r="R265" s="293">
        <f t="shared" si="67"/>
        <v>0</v>
      </c>
      <c r="S265" s="293">
        <f t="shared" si="68"/>
        <v>0</v>
      </c>
      <c r="T265" s="293">
        <f t="shared" si="69"/>
        <v>0</v>
      </c>
      <c r="U265" s="293">
        <f t="shared" si="70"/>
        <v>0</v>
      </c>
      <c r="V265" s="293">
        <f t="shared" si="71"/>
        <v>0</v>
      </c>
      <c r="W265" s="293">
        <f t="shared" si="72"/>
        <v>0</v>
      </c>
      <c r="X265" s="293">
        <f t="shared" si="73"/>
        <v>0</v>
      </c>
    </row>
    <row r="266" spans="1:24" s="226" customFormat="1" x14ac:dyDescent="0.2">
      <c r="A266" s="210" t="str">
        <f>'School Level Inst. Resources'!A266</f>
        <v>1602000</v>
      </c>
      <c r="B266" s="210" t="str">
        <f>'School Level Inst. Resources'!B266</f>
        <v>Platte #2</v>
      </c>
      <c r="C266" s="210" t="str">
        <f>'School Level Inst. Resources'!C266</f>
        <v>1602050</v>
      </c>
      <c r="D266" s="210" t="str">
        <f>'School Level Inst. Resources'!D266</f>
        <v>Guernsey-Sunrise Junior High</v>
      </c>
      <c r="E266" s="211" t="str">
        <f>'School Level Inst. Resources'!E266</f>
        <v>7-8</v>
      </c>
      <c r="F266" s="212" t="str">
        <f>'School Level Inst. Resources'!H266</f>
        <v>M</v>
      </c>
      <c r="G266" s="212" t="s">
        <v>1159</v>
      </c>
      <c r="H266" s="212" t="str">
        <f t="shared" si="74"/>
        <v>M</v>
      </c>
      <c r="I266" s="217">
        <v>0</v>
      </c>
      <c r="J266" s="293">
        <f t="shared" si="60"/>
        <v>0</v>
      </c>
      <c r="K266" s="293">
        <f t="shared" si="61"/>
        <v>0</v>
      </c>
      <c r="L266" s="293">
        <f t="shared" si="62"/>
        <v>0</v>
      </c>
      <c r="M266" s="293">
        <f t="shared" si="63"/>
        <v>0</v>
      </c>
      <c r="N266" s="293">
        <f t="shared" si="64"/>
        <v>0</v>
      </c>
      <c r="O266" s="293">
        <f t="shared" si="65"/>
        <v>0</v>
      </c>
      <c r="P266" s="293">
        <f t="shared" si="66"/>
        <v>0</v>
      </c>
      <c r="Q266" s="217">
        <v>0</v>
      </c>
      <c r="R266" s="293">
        <f t="shared" si="67"/>
        <v>0</v>
      </c>
      <c r="S266" s="293">
        <f t="shared" si="68"/>
        <v>0</v>
      </c>
      <c r="T266" s="293">
        <f t="shared" si="69"/>
        <v>0</v>
      </c>
      <c r="U266" s="293">
        <f t="shared" si="70"/>
        <v>0</v>
      </c>
      <c r="V266" s="293">
        <f t="shared" si="71"/>
        <v>0</v>
      </c>
      <c r="W266" s="293">
        <f t="shared" si="72"/>
        <v>0</v>
      </c>
      <c r="X266" s="293">
        <f t="shared" si="73"/>
        <v>0</v>
      </c>
    </row>
    <row r="267" spans="1:24" s="226" customFormat="1" x14ac:dyDescent="0.2">
      <c r="A267" s="210" t="str">
        <f>'School Level Inst. Resources'!A267</f>
        <v>1602000</v>
      </c>
      <c r="B267" s="210" t="str">
        <f>'School Level Inst. Resources'!B267</f>
        <v>Platte #2</v>
      </c>
      <c r="C267" s="210" t="str">
        <f>'School Level Inst. Resources'!C267</f>
        <v>1602055</v>
      </c>
      <c r="D267" s="210" t="str">
        <f>'School Level Inst. Resources'!D267</f>
        <v>Guernsey-Sunrise High School</v>
      </c>
      <c r="E267" s="211" t="str">
        <f>'School Level Inst. Resources'!E267</f>
        <v>9-12</v>
      </c>
      <c r="F267" s="212" t="str">
        <f>'School Level Inst. Resources'!H267</f>
        <v>H</v>
      </c>
      <c r="G267" s="212" t="s">
        <v>1158</v>
      </c>
      <c r="H267" s="212" t="s">
        <v>474</v>
      </c>
      <c r="I267" s="218">
        <f>SUM('School Level ADM'!$BI265,'School Level ADM'!$BI266,'School Level ADM'!$BI267)</f>
        <v>243.33600000000001</v>
      </c>
      <c r="J267" s="214">
        <f t="shared" si="60"/>
        <v>0</v>
      </c>
      <c r="K267" s="214">
        <f t="shared" si="61"/>
        <v>0</v>
      </c>
      <c r="L267" s="214">
        <f t="shared" si="62"/>
        <v>0</v>
      </c>
      <c r="M267" s="214">
        <f t="shared" si="63"/>
        <v>0</v>
      </c>
      <c r="N267" s="214">
        <f t="shared" si="64"/>
        <v>0</v>
      </c>
      <c r="O267" s="214">
        <f t="shared" si="65"/>
        <v>71647</v>
      </c>
      <c r="P267" s="214">
        <f t="shared" si="66"/>
        <v>71647</v>
      </c>
      <c r="Q267" s="218">
        <f>SUM('School Level ADM'!$AU265,'School Level ADM'!$AU266,'School Level ADM'!$AU267)</f>
        <v>239.35500000000002</v>
      </c>
      <c r="R267" s="214">
        <f t="shared" si="67"/>
        <v>0</v>
      </c>
      <c r="S267" s="214">
        <f t="shared" si="68"/>
        <v>0</v>
      </c>
      <c r="T267" s="214">
        <f t="shared" si="69"/>
        <v>0</v>
      </c>
      <c r="U267" s="214">
        <f t="shared" si="70"/>
        <v>0</v>
      </c>
      <c r="V267" s="214">
        <f t="shared" si="71"/>
        <v>0</v>
      </c>
      <c r="W267" s="214">
        <f t="shared" si="72"/>
        <v>71647</v>
      </c>
      <c r="X267" s="214">
        <f t="shared" si="73"/>
        <v>71647</v>
      </c>
    </row>
    <row r="268" spans="1:24" x14ac:dyDescent="0.2">
      <c r="A268" s="227" t="str">
        <f>'School Level Inst. Resources'!A268</f>
        <v>1701000</v>
      </c>
      <c r="B268" s="227" t="str">
        <f>'School Level Inst. Resources'!B268</f>
        <v>Sheridan #1</v>
      </c>
      <c r="C268" s="227" t="str">
        <f>'School Level Inst. Resources'!C268</f>
        <v>1701001</v>
      </c>
      <c r="D268" s="227" t="str">
        <f>'School Level Inst. Resources'!D268</f>
        <v>Big Horn Elementary</v>
      </c>
      <c r="E268" s="228" t="str">
        <f>'School Level Inst. Resources'!E268</f>
        <v>K-5</v>
      </c>
      <c r="F268" s="229" t="str">
        <f>'School Level Inst. Resources'!H268</f>
        <v>E</v>
      </c>
      <c r="G268" s="229" t="s">
        <v>1158</v>
      </c>
      <c r="H268" s="229" t="str">
        <f t="shared" si="74"/>
        <v>E</v>
      </c>
      <c r="I268" s="198">
        <f>'School Level ADM'!$BI268</f>
        <v>212.37200000000001</v>
      </c>
      <c r="J268" s="194">
        <f t="shared" si="60"/>
        <v>34449</v>
      </c>
      <c r="K268" s="194">
        <f t="shared" si="61"/>
        <v>0</v>
      </c>
      <c r="L268" s="194">
        <f t="shared" si="62"/>
        <v>0</v>
      </c>
      <c r="M268" s="194">
        <f t="shared" si="63"/>
        <v>0</v>
      </c>
      <c r="N268" s="194">
        <f t="shared" si="64"/>
        <v>0</v>
      </c>
      <c r="O268" s="194">
        <f t="shared" si="65"/>
        <v>0</v>
      </c>
      <c r="P268" s="194">
        <f t="shared" si="66"/>
        <v>34449</v>
      </c>
      <c r="Q268" s="198">
        <f>'School Level ADM'!$AU268</f>
        <v>201.92499999999998</v>
      </c>
      <c r="R268" s="194">
        <f t="shared" si="67"/>
        <v>34449</v>
      </c>
      <c r="S268" s="194">
        <f t="shared" si="68"/>
        <v>0</v>
      </c>
      <c r="T268" s="194">
        <f t="shared" si="69"/>
        <v>0</v>
      </c>
      <c r="U268" s="194">
        <f t="shared" si="70"/>
        <v>0</v>
      </c>
      <c r="V268" s="194">
        <f t="shared" si="71"/>
        <v>0</v>
      </c>
      <c r="W268" s="194">
        <f t="shared" si="72"/>
        <v>0</v>
      </c>
      <c r="X268" s="194">
        <f t="shared" si="73"/>
        <v>34449</v>
      </c>
    </row>
    <row r="269" spans="1:24" x14ac:dyDescent="0.2">
      <c r="A269" s="227" t="str">
        <f>'School Level Inst. Resources'!A269</f>
        <v>1701000</v>
      </c>
      <c r="B269" s="227" t="str">
        <f>'School Level Inst. Resources'!B269</f>
        <v>Sheridan #1</v>
      </c>
      <c r="C269" s="227" t="str">
        <f>'School Level Inst. Resources'!C269</f>
        <v>1701002</v>
      </c>
      <c r="D269" s="227" t="str">
        <f>'School Level Inst. Resources'!D269</f>
        <v>Slack Elementary</v>
      </c>
      <c r="E269" s="228" t="str">
        <f>'School Level Inst. Resources'!E269</f>
        <v>K-5</v>
      </c>
      <c r="F269" s="229" t="str">
        <f>'School Level Inst. Resources'!H269</f>
        <v>E</v>
      </c>
      <c r="G269" s="229" t="s">
        <v>1158</v>
      </c>
      <c r="H269" s="229" t="str">
        <f t="shared" si="74"/>
        <v>E</v>
      </c>
      <c r="I269" s="198">
        <f>'School Level ADM'!$BI269</f>
        <v>3.3780000000000001</v>
      </c>
      <c r="J269" s="194">
        <f t="shared" si="60"/>
        <v>2915</v>
      </c>
      <c r="K269" s="194">
        <f t="shared" si="61"/>
        <v>0</v>
      </c>
      <c r="L269" s="194">
        <f t="shared" si="62"/>
        <v>0</v>
      </c>
      <c r="M269" s="194">
        <f t="shared" si="63"/>
        <v>0</v>
      </c>
      <c r="N269" s="194">
        <f t="shared" si="64"/>
        <v>0</v>
      </c>
      <c r="O269" s="194">
        <f t="shared" si="65"/>
        <v>0</v>
      </c>
      <c r="P269" s="194">
        <f t="shared" si="66"/>
        <v>2915</v>
      </c>
      <c r="Q269" s="198">
        <f>'School Level ADM'!$AU269</f>
        <v>4.9249999999999998</v>
      </c>
      <c r="R269" s="194">
        <f t="shared" si="67"/>
        <v>2915</v>
      </c>
      <c r="S269" s="194">
        <f t="shared" si="68"/>
        <v>0</v>
      </c>
      <c r="T269" s="194">
        <f t="shared" si="69"/>
        <v>0</v>
      </c>
      <c r="U269" s="194">
        <f t="shared" si="70"/>
        <v>0</v>
      </c>
      <c r="V269" s="194">
        <f t="shared" si="71"/>
        <v>0</v>
      </c>
      <c r="W269" s="194">
        <f t="shared" si="72"/>
        <v>0</v>
      </c>
      <c r="X269" s="194">
        <f t="shared" si="73"/>
        <v>2915</v>
      </c>
    </row>
    <row r="270" spans="1:24" x14ac:dyDescent="0.2">
      <c r="A270" s="227" t="str">
        <f>'School Level Inst. Resources'!A270</f>
        <v>1701000</v>
      </c>
      <c r="B270" s="227" t="str">
        <f>'School Level Inst. Resources'!B270</f>
        <v>Sheridan #1</v>
      </c>
      <c r="C270" s="227" t="str">
        <f>'School Level Inst. Resources'!C270</f>
        <v>1701003</v>
      </c>
      <c r="D270" s="227" t="str">
        <f>'School Level Inst. Resources'!D270</f>
        <v>Tongue River Elementary</v>
      </c>
      <c r="E270" s="228" t="str">
        <f>'School Level Inst. Resources'!E270</f>
        <v>K-5</v>
      </c>
      <c r="F270" s="229" t="str">
        <f>'School Level Inst. Resources'!H270</f>
        <v>E</v>
      </c>
      <c r="G270" s="229" t="s">
        <v>1158</v>
      </c>
      <c r="H270" s="229" t="str">
        <f t="shared" si="74"/>
        <v>E</v>
      </c>
      <c r="I270" s="198">
        <f>'School Level ADM'!$BI270</f>
        <v>249.38600000000002</v>
      </c>
      <c r="J270" s="194">
        <f t="shared" si="60"/>
        <v>38916</v>
      </c>
      <c r="K270" s="194">
        <f t="shared" si="61"/>
        <v>0</v>
      </c>
      <c r="L270" s="194">
        <f t="shared" si="62"/>
        <v>0</v>
      </c>
      <c r="M270" s="194">
        <f t="shared" si="63"/>
        <v>0</v>
      </c>
      <c r="N270" s="194">
        <f t="shared" si="64"/>
        <v>0</v>
      </c>
      <c r="O270" s="194">
        <f t="shared" si="65"/>
        <v>0</v>
      </c>
      <c r="P270" s="194">
        <f t="shared" si="66"/>
        <v>38916</v>
      </c>
      <c r="Q270" s="198">
        <f>'School Level ADM'!$AU270</f>
        <v>240.33999999999997</v>
      </c>
      <c r="R270" s="194">
        <f t="shared" si="67"/>
        <v>38916</v>
      </c>
      <c r="S270" s="194">
        <f t="shared" si="68"/>
        <v>0</v>
      </c>
      <c r="T270" s="194">
        <f t="shared" si="69"/>
        <v>0</v>
      </c>
      <c r="U270" s="194">
        <f t="shared" si="70"/>
        <v>0</v>
      </c>
      <c r="V270" s="194">
        <f t="shared" si="71"/>
        <v>0</v>
      </c>
      <c r="W270" s="194">
        <f t="shared" si="72"/>
        <v>0</v>
      </c>
      <c r="X270" s="194">
        <f t="shared" si="73"/>
        <v>38916</v>
      </c>
    </row>
    <row r="271" spans="1:24" x14ac:dyDescent="0.2">
      <c r="A271" s="230" t="str">
        <f>'School Level Inst. Resources'!A271</f>
        <v>1701000</v>
      </c>
      <c r="B271" s="230" t="str">
        <f>'School Level Inst. Resources'!B271</f>
        <v>Sheridan #1</v>
      </c>
      <c r="C271" s="230" t="str">
        <f>'School Level Inst. Resources'!C271</f>
        <v>1701048</v>
      </c>
      <c r="D271" s="230" t="str">
        <f>'School Level Inst. Resources'!D271</f>
        <v>The Bridge School</v>
      </c>
      <c r="E271" s="231" t="str">
        <f>'School Level Inst. Resources'!E271</f>
        <v>6-12</v>
      </c>
      <c r="F271" s="232" t="str">
        <f>'School Level Inst. Resources'!H271</f>
        <v>H</v>
      </c>
      <c r="G271" s="232" t="s">
        <v>1158</v>
      </c>
      <c r="H271" s="232" t="str">
        <f t="shared" si="74"/>
        <v>6-12</v>
      </c>
      <c r="I271" s="198">
        <f>'School Level ADM'!$BI271</f>
        <v>1.554</v>
      </c>
      <c r="J271" s="194">
        <f t="shared" si="60"/>
        <v>0</v>
      </c>
      <c r="K271" s="194">
        <f t="shared" si="61"/>
        <v>0</v>
      </c>
      <c r="L271" s="194">
        <f t="shared" si="62"/>
        <v>0</v>
      </c>
      <c r="M271" s="194">
        <f t="shared" si="63"/>
        <v>0</v>
      </c>
      <c r="N271" s="194">
        <f t="shared" si="64"/>
        <v>825</v>
      </c>
      <c r="O271" s="194">
        <f t="shared" si="65"/>
        <v>0</v>
      </c>
      <c r="P271" s="194">
        <f t="shared" si="66"/>
        <v>825</v>
      </c>
      <c r="Q271" s="198">
        <f>'School Level ADM'!$AU271</f>
        <v>1.554</v>
      </c>
      <c r="R271" s="194">
        <f t="shared" si="67"/>
        <v>0</v>
      </c>
      <c r="S271" s="194">
        <f t="shared" si="68"/>
        <v>0</v>
      </c>
      <c r="T271" s="194">
        <f t="shared" si="69"/>
        <v>0</v>
      </c>
      <c r="U271" s="194">
        <f t="shared" si="70"/>
        <v>0</v>
      </c>
      <c r="V271" s="194">
        <f t="shared" si="71"/>
        <v>825</v>
      </c>
      <c r="W271" s="194">
        <f t="shared" si="72"/>
        <v>0</v>
      </c>
      <c r="X271" s="194">
        <f t="shared" si="73"/>
        <v>825</v>
      </c>
    </row>
    <row r="272" spans="1:24" s="226" customFormat="1" x14ac:dyDescent="0.2">
      <c r="A272" s="210" t="str">
        <f>'School Level Inst. Resources'!A272</f>
        <v>1701000</v>
      </c>
      <c r="B272" s="210" t="str">
        <f>'School Level Inst. Resources'!B272</f>
        <v>Sheridan #1</v>
      </c>
      <c r="C272" s="210" t="str">
        <f>'School Level Inst. Resources'!C272</f>
        <v>1701050</v>
      </c>
      <c r="D272" s="210" t="str">
        <f>'School Level Inst. Resources'!D272</f>
        <v>Big Horn Middle School</v>
      </c>
      <c r="E272" s="211" t="str">
        <f>'School Level Inst. Resources'!E272</f>
        <v>6-8</v>
      </c>
      <c r="F272" s="212" t="str">
        <f>'School Level Inst. Resources'!H272</f>
        <v>M</v>
      </c>
      <c r="G272" s="212" t="s">
        <v>1159</v>
      </c>
      <c r="H272" s="212" t="str">
        <f t="shared" si="74"/>
        <v>M</v>
      </c>
      <c r="I272" s="217">
        <v>0</v>
      </c>
      <c r="J272" s="293">
        <f t="shared" si="60"/>
        <v>0</v>
      </c>
      <c r="K272" s="293">
        <f t="shared" si="61"/>
        <v>0</v>
      </c>
      <c r="L272" s="293">
        <f t="shared" si="62"/>
        <v>0</v>
      </c>
      <c r="M272" s="293">
        <f t="shared" si="63"/>
        <v>0</v>
      </c>
      <c r="N272" s="293">
        <f t="shared" si="64"/>
        <v>0</v>
      </c>
      <c r="O272" s="293">
        <f t="shared" si="65"/>
        <v>0</v>
      </c>
      <c r="P272" s="293">
        <f t="shared" si="66"/>
        <v>0</v>
      </c>
      <c r="Q272" s="217">
        <v>0</v>
      </c>
      <c r="R272" s="293">
        <f t="shared" si="67"/>
        <v>0</v>
      </c>
      <c r="S272" s="293">
        <f t="shared" si="68"/>
        <v>0</v>
      </c>
      <c r="T272" s="293">
        <f t="shared" si="69"/>
        <v>0</v>
      </c>
      <c r="U272" s="293">
        <f t="shared" si="70"/>
        <v>0</v>
      </c>
      <c r="V272" s="293">
        <f t="shared" si="71"/>
        <v>0</v>
      </c>
      <c r="W272" s="293">
        <f t="shared" si="72"/>
        <v>0</v>
      </c>
      <c r="X272" s="293">
        <f t="shared" si="73"/>
        <v>0</v>
      </c>
    </row>
    <row r="273" spans="1:24" x14ac:dyDescent="0.2">
      <c r="A273" s="230" t="str">
        <f>'School Level Inst. Resources'!A273</f>
        <v>1701000</v>
      </c>
      <c r="B273" s="230" t="str">
        <f>'School Level Inst. Resources'!B273</f>
        <v>Sheridan #1</v>
      </c>
      <c r="C273" s="230" t="str">
        <f>'School Level Inst. Resources'!C273</f>
        <v>1701051</v>
      </c>
      <c r="D273" s="230" t="str">
        <f>'School Level Inst. Resources'!D273</f>
        <v>Tongue River Middle School</v>
      </c>
      <c r="E273" s="231" t="str">
        <f>'School Level Inst. Resources'!E273</f>
        <v>6-8</v>
      </c>
      <c r="F273" s="232" t="str">
        <f>'School Level Inst. Resources'!H273</f>
        <v>M</v>
      </c>
      <c r="G273" s="232" t="s">
        <v>1158</v>
      </c>
      <c r="H273" s="232" t="str">
        <f t="shared" si="74"/>
        <v>M</v>
      </c>
      <c r="I273" s="198">
        <f>'School Level ADM'!$BI273</f>
        <v>118.75700000000001</v>
      </c>
      <c r="J273" s="194">
        <f t="shared" si="60"/>
        <v>0</v>
      </c>
      <c r="K273" s="194">
        <f t="shared" si="61"/>
        <v>35702</v>
      </c>
      <c r="L273" s="194">
        <f t="shared" si="62"/>
        <v>0</v>
      </c>
      <c r="M273" s="194">
        <f t="shared" si="63"/>
        <v>0</v>
      </c>
      <c r="N273" s="194">
        <f t="shared" si="64"/>
        <v>0</v>
      </c>
      <c r="O273" s="194">
        <f t="shared" si="65"/>
        <v>0</v>
      </c>
      <c r="P273" s="194">
        <f t="shared" si="66"/>
        <v>35702</v>
      </c>
      <c r="Q273" s="198">
        <f>'School Level ADM'!$AU273</f>
        <v>125.095</v>
      </c>
      <c r="R273" s="194">
        <f t="shared" si="67"/>
        <v>0</v>
      </c>
      <c r="S273" s="194">
        <f t="shared" si="68"/>
        <v>35702</v>
      </c>
      <c r="T273" s="194">
        <f t="shared" si="69"/>
        <v>0</v>
      </c>
      <c r="U273" s="194">
        <f t="shared" si="70"/>
        <v>0</v>
      </c>
      <c r="V273" s="194">
        <f t="shared" si="71"/>
        <v>0</v>
      </c>
      <c r="W273" s="194">
        <f t="shared" si="72"/>
        <v>0</v>
      </c>
      <c r="X273" s="194">
        <f t="shared" si="73"/>
        <v>35702</v>
      </c>
    </row>
    <row r="274" spans="1:24" s="226" customFormat="1" x14ac:dyDescent="0.2">
      <c r="A274" s="210" t="str">
        <f>'School Level Inst. Resources'!A274</f>
        <v>1701000</v>
      </c>
      <c r="B274" s="210" t="str">
        <f>'School Level Inst. Resources'!B274</f>
        <v>Sheridan #1</v>
      </c>
      <c r="C274" s="210" t="str">
        <f>'School Level Inst. Resources'!C274</f>
        <v>1701055</v>
      </c>
      <c r="D274" s="210" t="str">
        <f>'School Level Inst. Resources'!D274</f>
        <v>Big Horn High School</v>
      </c>
      <c r="E274" s="211" t="str">
        <f>'School Level Inst. Resources'!E274</f>
        <v>9-12</v>
      </c>
      <c r="F274" s="212" t="str">
        <f>'School Level Inst. Resources'!H274</f>
        <v>H</v>
      </c>
      <c r="G274" s="212" t="s">
        <v>1158</v>
      </c>
      <c r="H274" s="212" t="s">
        <v>422</v>
      </c>
      <c r="I274" s="218">
        <f>SUM('School Level ADM'!$BI272,'School Level ADM'!$BI274)</f>
        <v>238.12</v>
      </c>
      <c r="J274" s="214">
        <f t="shared" si="60"/>
        <v>0</v>
      </c>
      <c r="K274" s="214">
        <f t="shared" si="61"/>
        <v>0</v>
      </c>
      <c r="L274" s="214">
        <f t="shared" si="62"/>
        <v>0</v>
      </c>
      <c r="M274" s="214">
        <f t="shared" si="63"/>
        <v>0</v>
      </c>
      <c r="N274" s="214">
        <f t="shared" si="64"/>
        <v>71267</v>
      </c>
      <c r="O274" s="214">
        <f t="shared" si="65"/>
        <v>0</v>
      </c>
      <c r="P274" s="214">
        <f t="shared" si="66"/>
        <v>71267</v>
      </c>
      <c r="Q274" s="218">
        <f>SUM('School Level ADM'!$AU272,'School Level ADM'!$AU274)</f>
        <v>213.745</v>
      </c>
      <c r="R274" s="214">
        <f t="shared" si="67"/>
        <v>0</v>
      </c>
      <c r="S274" s="214">
        <f t="shared" si="68"/>
        <v>0</v>
      </c>
      <c r="T274" s="214">
        <f t="shared" si="69"/>
        <v>0</v>
      </c>
      <c r="U274" s="214">
        <f t="shared" si="70"/>
        <v>0</v>
      </c>
      <c r="V274" s="214">
        <f t="shared" si="71"/>
        <v>71267</v>
      </c>
      <c r="W274" s="214">
        <f t="shared" si="72"/>
        <v>0</v>
      </c>
      <c r="X274" s="214">
        <f t="shared" si="73"/>
        <v>71267</v>
      </c>
    </row>
    <row r="275" spans="1:24" x14ac:dyDescent="0.2">
      <c r="A275" s="230" t="str">
        <f>'School Level Inst. Resources'!A275</f>
        <v>1701000</v>
      </c>
      <c r="B275" s="230" t="str">
        <f>'School Level Inst. Resources'!B275</f>
        <v>Sheridan #1</v>
      </c>
      <c r="C275" s="230" t="str">
        <f>'School Level Inst. Resources'!C275</f>
        <v>1701056</v>
      </c>
      <c r="D275" s="230" t="str">
        <f>'School Level Inst. Resources'!D275</f>
        <v>Tongue River High School</v>
      </c>
      <c r="E275" s="231" t="str">
        <f>'School Level Inst. Resources'!E275</f>
        <v>9-12</v>
      </c>
      <c r="F275" s="232" t="str">
        <f>'School Level Inst. Resources'!H275</f>
        <v>H</v>
      </c>
      <c r="G275" s="232" t="s">
        <v>1158</v>
      </c>
      <c r="H275" s="232" t="str">
        <f t="shared" si="74"/>
        <v>H</v>
      </c>
      <c r="I275" s="198">
        <f>'School Level ADM'!$BI275</f>
        <v>125.25699999999999</v>
      </c>
      <c r="J275" s="194">
        <f t="shared" si="60"/>
        <v>0</v>
      </c>
      <c r="K275" s="194">
        <f t="shared" si="61"/>
        <v>0</v>
      </c>
      <c r="L275" s="194">
        <f t="shared" si="62"/>
        <v>45309</v>
      </c>
      <c r="M275" s="194">
        <f t="shared" si="63"/>
        <v>0</v>
      </c>
      <c r="N275" s="194">
        <f t="shared" si="64"/>
        <v>0</v>
      </c>
      <c r="O275" s="194">
        <f t="shared" si="65"/>
        <v>0</v>
      </c>
      <c r="P275" s="194">
        <f t="shared" si="66"/>
        <v>45309</v>
      </c>
      <c r="Q275" s="198">
        <f>'School Level ADM'!$AU275</f>
        <v>130.02000000000001</v>
      </c>
      <c r="R275" s="194">
        <f t="shared" si="67"/>
        <v>0</v>
      </c>
      <c r="S275" s="194">
        <f t="shared" si="68"/>
        <v>0</v>
      </c>
      <c r="T275" s="194">
        <f t="shared" si="69"/>
        <v>45309</v>
      </c>
      <c r="U275" s="194">
        <f t="shared" si="70"/>
        <v>0</v>
      </c>
      <c r="V275" s="194">
        <f t="shared" si="71"/>
        <v>0</v>
      </c>
      <c r="W275" s="194">
        <f t="shared" si="72"/>
        <v>0</v>
      </c>
      <c r="X275" s="194">
        <f t="shared" si="73"/>
        <v>45309</v>
      </c>
    </row>
    <row r="276" spans="1:24" x14ac:dyDescent="0.2">
      <c r="A276" s="227" t="str">
        <f>'School Level Inst. Resources'!A276</f>
        <v>1702000</v>
      </c>
      <c r="B276" s="227" t="str">
        <f>'School Level Inst. Resources'!B276</f>
        <v>Sheridan #2</v>
      </c>
      <c r="C276" s="227" t="str">
        <f>'School Level Inst. Resources'!C276</f>
        <v>1702002</v>
      </c>
      <c r="D276" s="227" t="str">
        <f>'School Level Inst. Resources'!D276</f>
        <v>Coffeen Elementary</v>
      </c>
      <c r="E276" s="228" t="str">
        <f>'School Level Inst. Resources'!E276</f>
        <v>K-5</v>
      </c>
      <c r="F276" s="229" t="str">
        <f>'School Level Inst. Resources'!H276</f>
        <v>E</v>
      </c>
      <c r="G276" s="229" t="s">
        <v>1158</v>
      </c>
      <c r="H276" s="229" t="str">
        <f t="shared" si="74"/>
        <v>E</v>
      </c>
      <c r="I276" s="198">
        <f>'School Level ADM'!$BI276</f>
        <v>346.55399999999997</v>
      </c>
      <c r="J276" s="194">
        <f t="shared" si="60"/>
        <v>49438</v>
      </c>
      <c r="K276" s="194">
        <f t="shared" si="61"/>
        <v>0</v>
      </c>
      <c r="L276" s="194">
        <f t="shared" si="62"/>
        <v>0</v>
      </c>
      <c r="M276" s="194">
        <f t="shared" si="63"/>
        <v>0</v>
      </c>
      <c r="N276" s="194">
        <f t="shared" si="64"/>
        <v>0</v>
      </c>
      <c r="O276" s="194">
        <f t="shared" si="65"/>
        <v>0</v>
      </c>
      <c r="P276" s="194">
        <f t="shared" si="66"/>
        <v>49438</v>
      </c>
      <c r="Q276" s="198">
        <f>'School Level ADM'!$AU276</f>
        <v>343.76499999999999</v>
      </c>
      <c r="R276" s="194">
        <f t="shared" si="67"/>
        <v>49438</v>
      </c>
      <c r="S276" s="194">
        <f t="shared" si="68"/>
        <v>0</v>
      </c>
      <c r="T276" s="194">
        <f t="shared" si="69"/>
        <v>0</v>
      </c>
      <c r="U276" s="194">
        <f t="shared" si="70"/>
        <v>0</v>
      </c>
      <c r="V276" s="194">
        <f t="shared" si="71"/>
        <v>0</v>
      </c>
      <c r="W276" s="194">
        <f t="shared" si="72"/>
        <v>0</v>
      </c>
      <c r="X276" s="194">
        <f t="shared" si="73"/>
        <v>49438</v>
      </c>
    </row>
    <row r="277" spans="1:24" x14ac:dyDescent="0.2">
      <c r="A277" s="227" t="str">
        <f>'School Level Inst. Resources'!A277</f>
        <v>1702000</v>
      </c>
      <c r="B277" s="227" t="str">
        <f>'School Level Inst. Resources'!B277</f>
        <v>Sheridan #2</v>
      </c>
      <c r="C277" s="227" t="str">
        <f>'School Level Inst. Resources'!C277</f>
        <v>1702003</v>
      </c>
      <c r="D277" s="227" t="str">
        <f>'School Level Inst. Resources'!D277</f>
        <v>Highland Park Elementary</v>
      </c>
      <c r="E277" s="228" t="str">
        <f>'School Level Inst. Resources'!E277</f>
        <v>K-5</v>
      </c>
      <c r="F277" s="229" t="str">
        <f>'School Level Inst. Resources'!H277</f>
        <v>E</v>
      </c>
      <c r="G277" s="229" t="s">
        <v>1158</v>
      </c>
      <c r="H277" s="229" t="str">
        <f t="shared" si="74"/>
        <v>E</v>
      </c>
      <c r="I277" s="198">
        <f>'School Level ADM'!$BI277</f>
        <v>369.46899999999999</v>
      </c>
      <c r="J277" s="194">
        <f t="shared" si="60"/>
        <v>51757</v>
      </c>
      <c r="K277" s="194">
        <f t="shared" si="61"/>
        <v>0</v>
      </c>
      <c r="L277" s="194">
        <f t="shared" si="62"/>
        <v>0</v>
      </c>
      <c r="M277" s="194">
        <f t="shared" si="63"/>
        <v>0</v>
      </c>
      <c r="N277" s="194">
        <f t="shared" si="64"/>
        <v>0</v>
      </c>
      <c r="O277" s="194">
        <f t="shared" si="65"/>
        <v>0</v>
      </c>
      <c r="P277" s="194">
        <f t="shared" si="66"/>
        <v>51757</v>
      </c>
      <c r="Q277" s="198">
        <f>'School Level ADM'!$AU277</f>
        <v>363.46500000000003</v>
      </c>
      <c r="R277" s="194">
        <f t="shared" si="67"/>
        <v>51757</v>
      </c>
      <c r="S277" s="194">
        <f t="shared" si="68"/>
        <v>0</v>
      </c>
      <c r="T277" s="194">
        <f t="shared" si="69"/>
        <v>0</v>
      </c>
      <c r="U277" s="194">
        <f t="shared" si="70"/>
        <v>0</v>
      </c>
      <c r="V277" s="194">
        <f t="shared" si="71"/>
        <v>0</v>
      </c>
      <c r="W277" s="194">
        <f t="shared" si="72"/>
        <v>0</v>
      </c>
      <c r="X277" s="194">
        <f t="shared" si="73"/>
        <v>51757</v>
      </c>
    </row>
    <row r="278" spans="1:24" x14ac:dyDescent="0.2">
      <c r="A278" s="227" t="str">
        <f>'School Level Inst. Resources'!A278</f>
        <v>1702000</v>
      </c>
      <c r="B278" s="227" t="str">
        <f>'School Level Inst. Resources'!B278</f>
        <v>Sheridan #2</v>
      </c>
      <c r="C278" s="227" t="str">
        <f>'School Level Inst. Resources'!C278</f>
        <v>1702005</v>
      </c>
      <c r="D278" s="227" t="str">
        <f>'School Level Inst. Resources'!D278</f>
        <v>Story Elementary</v>
      </c>
      <c r="E278" s="228" t="str">
        <f>'School Level Inst. Resources'!E278</f>
        <v>K-5</v>
      </c>
      <c r="F278" s="229" t="str">
        <f>'School Level Inst. Resources'!H278</f>
        <v>E</v>
      </c>
      <c r="G278" s="229" t="s">
        <v>1158</v>
      </c>
      <c r="H278" s="229" t="str">
        <f t="shared" si="74"/>
        <v>E</v>
      </c>
      <c r="I278" s="198">
        <f>'School Level ADM'!$BI278</f>
        <v>22.684999999999999</v>
      </c>
      <c r="J278" s="194">
        <f t="shared" si="60"/>
        <v>4617</v>
      </c>
      <c r="K278" s="194">
        <f t="shared" si="61"/>
        <v>0</v>
      </c>
      <c r="L278" s="194">
        <f t="shared" si="62"/>
        <v>0</v>
      </c>
      <c r="M278" s="194">
        <f t="shared" si="63"/>
        <v>0</v>
      </c>
      <c r="N278" s="194">
        <f t="shared" si="64"/>
        <v>0</v>
      </c>
      <c r="O278" s="194">
        <f t="shared" si="65"/>
        <v>0</v>
      </c>
      <c r="P278" s="194">
        <f t="shared" si="66"/>
        <v>4617</v>
      </c>
      <c r="Q278" s="198">
        <f>'School Level ADM'!$AU278</f>
        <v>18.715</v>
      </c>
      <c r="R278" s="194">
        <f t="shared" si="67"/>
        <v>4617</v>
      </c>
      <c r="S278" s="194">
        <f t="shared" si="68"/>
        <v>0</v>
      </c>
      <c r="T278" s="194">
        <f t="shared" si="69"/>
        <v>0</v>
      </c>
      <c r="U278" s="194">
        <f t="shared" si="70"/>
        <v>0</v>
      </c>
      <c r="V278" s="194">
        <f t="shared" si="71"/>
        <v>0</v>
      </c>
      <c r="W278" s="194">
        <f t="shared" si="72"/>
        <v>0</v>
      </c>
      <c r="X278" s="194">
        <f t="shared" si="73"/>
        <v>4617</v>
      </c>
    </row>
    <row r="279" spans="1:24" x14ac:dyDescent="0.2">
      <c r="A279" s="227" t="str">
        <f>'School Level Inst. Resources'!A279</f>
        <v>1702000</v>
      </c>
      <c r="B279" s="227" t="str">
        <f>'School Level Inst. Resources'!B279</f>
        <v>Sheridan #2</v>
      </c>
      <c r="C279" s="227" t="str">
        <f>'School Level Inst. Resources'!C279</f>
        <v>1702007</v>
      </c>
      <c r="D279" s="227" t="str">
        <f>'School Level Inst. Resources'!D279</f>
        <v>Woodland Park Elementary</v>
      </c>
      <c r="E279" s="228" t="str">
        <f>'School Level Inst. Resources'!E279</f>
        <v>K-5</v>
      </c>
      <c r="F279" s="229" t="str">
        <f>'School Level Inst. Resources'!H279</f>
        <v>E</v>
      </c>
      <c r="G279" s="229" t="s">
        <v>1158</v>
      </c>
      <c r="H279" s="229" t="str">
        <f t="shared" si="74"/>
        <v>E</v>
      </c>
      <c r="I279" s="198">
        <f>'School Level ADM'!$BI279</f>
        <v>297.08299999999997</v>
      </c>
      <c r="J279" s="194">
        <f t="shared" si="60"/>
        <v>44257</v>
      </c>
      <c r="K279" s="194">
        <f t="shared" si="61"/>
        <v>0</v>
      </c>
      <c r="L279" s="194">
        <f t="shared" si="62"/>
        <v>0</v>
      </c>
      <c r="M279" s="194">
        <f t="shared" si="63"/>
        <v>0</v>
      </c>
      <c r="N279" s="194">
        <f t="shared" si="64"/>
        <v>0</v>
      </c>
      <c r="O279" s="194">
        <f t="shared" si="65"/>
        <v>0</v>
      </c>
      <c r="P279" s="194">
        <f t="shared" si="66"/>
        <v>44257</v>
      </c>
      <c r="Q279" s="198">
        <f>'School Level ADM'!$AU279</f>
        <v>314.21499999999997</v>
      </c>
      <c r="R279" s="194">
        <f t="shared" si="67"/>
        <v>44257</v>
      </c>
      <c r="S279" s="194">
        <f t="shared" si="68"/>
        <v>0</v>
      </c>
      <c r="T279" s="194">
        <f t="shared" si="69"/>
        <v>0</v>
      </c>
      <c r="U279" s="194">
        <f t="shared" si="70"/>
        <v>0</v>
      </c>
      <c r="V279" s="194">
        <f t="shared" si="71"/>
        <v>0</v>
      </c>
      <c r="W279" s="194">
        <f t="shared" si="72"/>
        <v>0</v>
      </c>
      <c r="X279" s="194">
        <f t="shared" si="73"/>
        <v>44257</v>
      </c>
    </row>
    <row r="280" spans="1:24" x14ac:dyDescent="0.2">
      <c r="A280" s="227" t="str">
        <f>'School Level Inst. Resources'!A280</f>
        <v>1702000</v>
      </c>
      <c r="B280" s="227" t="str">
        <f>'School Level Inst. Resources'!B280</f>
        <v>Sheridan #2</v>
      </c>
      <c r="C280" s="227" t="str">
        <f>'School Level Inst. Resources'!C280</f>
        <v>1702009</v>
      </c>
      <c r="D280" s="227" t="str">
        <f>'School Level Inst. Resources'!D280</f>
        <v>Meadowlark Elementary</v>
      </c>
      <c r="E280" s="228" t="str">
        <f>'School Level Inst. Resources'!E280</f>
        <v>K-5</v>
      </c>
      <c r="F280" s="229" t="str">
        <f>'School Level Inst. Resources'!H280</f>
        <v>E</v>
      </c>
      <c r="G280" s="229" t="s">
        <v>1158</v>
      </c>
      <c r="H280" s="229" t="str">
        <f t="shared" si="74"/>
        <v>E</v>
      </c>
      <c r="I280" s="198">
        <f>'School Level ADM'!$BI280</f>
        <v>340.14700000000005</v>
      </c>
      <c r="J280" s="194">
        <f t="shared" si="60"/>
        <v>48782</v>
      </c>
      <c r="K280" s="194">
        <f t="shared" si="61"/>
        <v>0</v>
      </c>
      <c r="L280" s="194">
        <f t="shared" si="62"/>
        <v>0</v>
      </c>
      <c r="M280" s="194">
        <f t="shared" si="63"/>
        <v>0</v>
      </c>
      <c r="N280" s="194">
        <f t="shared" si="64"/>
        <v>0</v>
      </c>
      <c r="O280" s="194">
        <f t="shared" si="65"/>
        <v>0</v>
      </c>
      <c r="P280" s="194">
        <f t="shared" si="66"/>
        <v>48782</v>
      </c>
      <c r="Q280" s="198">
        <f>'School Level ADM'!$AU280</f>
        <v>330.96000000000004</v>
      </c>
      <c r="R280" s="194">
        <f t="shared" si="67"/>
        <v>48782</v>
      </c>
      <c r="S280" s="194">
        <f t="shared" si="68"/>
        <v>0</v>
      </c>
      <c r="T280" s="194">
        <f t="shared" si="69"/>
        <v>0</v>
      </c>
      <c r="U280" s="194">
        <f t="shared" si="70"/>
        <v>0</v>
      </c>
      <c r="V280" s="194">
        <f t="shared" si="71"/>
        <v>0</v>
      </c>
      <c r="W280" s="194">
        <f t="shared" si="72"/>
        <v>0</v>
      </c>
      <c r="X280" s="194">
        <f t="shared" si="73"/>
        <v>48782</v>
      </c>
    </row>
    <row r="281" spans="1:24" x14ac:dyDescent="0.2">
      <c r="A281" s="227" t="str">
        <f>'School Level Inst. Resources'!A281</f>
        <v>1702000</v>
      </c>
      <c r="B281" s="227" t="str">
        <f>'School Level Inst. Resources'!B281</f>
        <v>Sheridan #2</v>
      </c>
      <c r="C281" s="227" t="str">
        <f>'School Level Inst. Resources'!C281</f>
        <v>1702010</v>
      </c>
      <c r="D281" s="227" t="str">
        <f>'School Level Inst. Resources'!D281</f>
        <v>Sagebrush Elementary</v>
      </c>
      <c r="E281" s="228" t="str">
        <f>'School Level Inst. Resources'!E281</f>
        <v>K-5</v>
      </c>
      <c r="F281" s="229" t="str">
        <f>'School Level Inst. Resources'!H281</f>
        <v>E</v>
      </c>
      <c r="G281" s="229" t="s">
        <v>1158</v>
      </c>
      <c r="H281" s="229" t="str">
        <f t="shared" si="74"/>
        <v>E</v>
      </c>
      <c r="I281" s="198">
        <f>'School Level ADM'!$BI281</f>
        <v>335.64000000000004</v>
      </c>
      <c r="J281" s="194">
        <f t="shared" si="60"/>
        <v>48318</v>
      </c>
      <c r="K281" s="194">
        <f t="shared" si="61"/>
        <v>0</v>
      </c>
      <c r="L281" s="194">
        <f t="shared" si="62"/>
        <v>0</v>
      </c>
      <c r="M281" s="194">
        <f t="shared" si="63"/>
        <v>0</v>
      </c>
      <c r="N281" s="194">
        <f t="shared" si="64"/>
        <v>0</v>
      </c>
      <c r="O281" s="194">
        <f t="shared" si="65"/>
        <v>0</v>
      </c>
      <c r="P281" s="194">
        <f t="shared" si="66"/>
        <v>48318</v>
      </c>
      <c r="Q281" s="198">
        <f>'School Level ADM'!$AU281</f>
        <v>321.11</v>
      </c>
      <c r="R281" s="194">
        <f t="shared" si="67"/>
        <v>48318</v>
      </c>
      <c r="S281" s="194">
        <f t="shared" si="68"/>
        <v>0</v>
      </c>
      <c r="T281" s="194">
        <f t="shared" si="69"/>
        <v>0</v>
      </c>
      <c r="U281" s="194">
        <f t="shared" si="70"/>
        <v>0</v>
      </c>
      <c r="V281" s="194">
        <f t="shared" si="71"/>
        <v>0</v>
      </c>
      <c r="W281" s="194">
        <f t="shared" si="72"/>
        <v>0</v>
      </c>
      <c r="X281" s="194">
        <f t="shared" si="73"/>
        <v>48318</v>
      </c>
    </row>
    <row r="282" spans="1:24" x14ac:dyDescent="0.2">
      <c r="A282" s="227" t="str">
        <f>'School Level Inst. Resources'!A282</f>
        <v>1702000</v>
      </c>
      <c r="B282" s="227" t="str">
        <f>'School Level Inst. Resources'!B282</f>
        <v>Sheridan #2</v>
      </c>
      <c r="C282" s="227" t="str">
        <f>'School Level Inst. Resources'!C282</f>
        <v>1702050</v>
      </c>
      <c r="D282" s="227" t="str">
        <f>'School Level Inst. Resources'!D282</f>
        <v>Sheridan Junior High School</v>
      </c>
      <c r="E282" s="228" t="str">
        <f>'School Level Inst. Resources'!E282</f>
        <v>6-8</v>
      </c>
      <c r="F282" s="229" t="str">
        <f>'School Level Inst. Resources'!H282</f>
        <v>M</v>
      </c>
      <c r="G282" s="229" t="s">
        <v>1158</v>
      </c>
      <c r="H282" s="229" t="str">
        <f t="shared" si="74"/>
        <v>M</v>
      </c>
      <c r="I282" s="198">
        <f>'School Level ADM'!$BI282</f>
        <v>764.8599999999999</v>
      </c>
      <c r="J282" s="194">
        <f t="shared" si="60"/>
        <v>0</v>
      </c>
      <c r="K282" s="194">
        <f t="shared" si="61"/>
        <v>113398</v>
      </c>
      <c r="L282" s="194">
        <f t="shared" si="62"/>
        <v>0</v>
      </c>
      <c r="M282" s="194">
        <f t="shared" si="63"/>
        <v>0</v>
      </c>
      <c r="N282" s="194">
        <f t="shared" si="64"/>
        <v>0</v>
      </c>
      <c r="O282" s="194">
        <f t="shared" si="65"/>
        <v>0</v>
      </c>
      <c r="P282" s="194">
        <f t="shared" si="66"/>
        <v>113398</v>
      </c>
      <c r="Q282" s="198">
        <f>'School Level ADM'!$AU282</f>
        <v>801.79</v>
      </c>
      <c r="R282" s="194">
        <f t="shared" si="67"/>
        <v>0</v>
      </c>
      <c r="S282" s="194">
        <f t="shared" si="68"/>
        <v>113398</v>
      </c>
      <c r="T282" s="194">
        <f t="shared" si="69"/>
        <v>0</v>
      </c>
      <c r="U282" s="194">
        <f t="shared" si="70"/>
        <v>0</v>
      </c>
      <c r="V282" s="194">
        <f t="shared" si="71"/>
        <v>0</v>
      </c>
      <c r="W282" s="194">
        <f t="shared" si="72"/>
        <v>0</v>
      </c>
      <c r="X282" s="194">
        <f t="shared" si="73"/>
        <v>113398</v>
      </c>
    </row>
    <row r="283" spans="1:24" s="226" customFormat="1" x14ac:dyDescent="0.2">
      <c r="A283" s="210" t="str">
        <f>'School Level Inst. Resources'!A283</f>
        <v>1702000</v>
      </c>
      <c r="B283" s="210" t="str">
        <f>'School Level Inst. Resources'!B283</f>
        <v>Sheridan #2</v>
      </c>
      <c r="C283" s="210" t="str">
        <f>'School Level Inst. Resources'!C283</f>
        <v>1702052</v>
      </c>
      <c r="D283" s="210" t="str">
        <f>'School Level Inst. Resources'!D283</f>
        <v>The Wright Place</v>
      </c>
      <c r="E283" s="211" t="str">
        <f>'School Level Inst. Resources'!E283</f>
        <v>6-8</v>
      </c>
      <c r="F283" s="212" t="str">
        <f>'School Level Inst. Resources'!H283</f>
        <v>M</v>
      </c>
      <c r="G283" s="212" t="s">
        <v>1159</v>
      </c>
      <c r="H283" s="212" t="str">
        <f t="shared" si="74"/>
        <v>M</v>
      </c>
      <c r="I283" s="217">
        <v>0</v>
      </c>
      <c r="J283" s="293">
        <f t="shared" si="60"/>
        <v>0</v>
      </c>
      <c r="K283" s="293">
        <f t="shared" si="61"/>
        <v>0</v>
      </c>
      <c r="L283" s="293">
        <f t="shared" si="62"/>
        <v>0</v>
      </c>
      <c r="M283" s="293">
        <f t="shared" si="63"/>
        <v>0</v>
      </c>
      <c r="N283" s="293">
        <f t="shared" si="64"/>
        <v>0</v>
      </c>
      <c r="O283" s="293">
        <f t="shared" si="65"/>
        <v>0</v>
      </c>
      <c r="P283" s="293">
        <f t="shared" si="66"/>
        <v>0</v>
      </c>
      <c r="Q283" s="217">
        <v>0</v>
      </c>
      <c r="R283" s="293">
        <f t="shared" si="67"/>
        <v>0</v>
      </c>
      <c r="S283" s="293">
        <f t="shared" si="68"/>
        <v>0</v>
      </c>
      <c r="T283" s="293">
        <f t="shared" si="69"/>
        <v>0</v>
      </c>
      <c r="U283" s="293">
        <f t="shared" si="70"/>
        <v>0</v>
      </c>
      <c r="V283" s="293">
        <f t="shared" si="71"/>
        <v>0</v>
      </c>
      <c r="W283" s="293">
        <f t="shared" si="72"/>
        <v>0</v>
      </c>
      <c r="X283" s="293">
        <f t="shared" si="73"/>
        <v>0</v>
      </c>
    </row>
    <row r="284" spans="1:24" s="226" customFormat="1" x14ac:dyDescent="0.2">
      <c r="A284" s="210" t="str">
        <f>'School Level Inst. Resources'!A284</f>
        <v>1702000</v>
      </c>
      <c r="B284" s="210" t="str">
        <f>'School Level Inst. Resources'!B284</f>
        <v>Sheridan #2</v>
      </c>
      <c r="C284" s="210" t="str">
        <f>'School Level Inst. Resources'!C284</f>
        <v>1702056</v>
      </c>
      <c r="D284" s="210" t="str">
        <f>'School Level Inst. Resources'!D284</f>
        <v>John C. Schiffer Collaborative School</v>
      </c>
      <c r="E284" s="211" t="str">
        <f>'School Level Inst. Resources'!E284</f>
        <v>9-12</v>
      </c>
      <c r="F284" s="212" t="str">
        <f>'School Level Inst. Resources'!H284</f>
        <v>H</v>
      </c>
      <c r="G284" s="212" t="s">
        <v>1158</v>
      </c>
      <c r="H284" s="212" t="s">
        <v>422</v>
      </c>
      <c r="I284" s="218">
        <f>SUM('School Level ADM'!$BI283,'School Level ADM'!$BI284)</f>
        <v>73.106999999999999</v>
      </c>
      <c r="J284" s="214">
        <f t="shared" si="60"/>
        <v>0</v>
      </c>
      <c r="K284" s="214">
        <f t="shared" si="61"/>
        <v>0</v>
      </c>
      <c r="L284" s="214">
        <f t="shared" si="62"/>
        <v>0</v>
      </c>
      <c r="M284" s="214">
        <f t="shared" si="63"/>
        <v>0</v>
      </c>
      <c r="N284" s="214">
        <f t="shared" si="64"/>
        <v>38790</v>
      </c>
      <c r="O284" s="214">
        <f t="shared" si="65"/>
        <v>0</v>
      </c>
      <c r="P284" s="214">
        <f t="shared" si="66"/>
        <v>38790</v>
      </c>
      <c r="Q284" s="218">
        <f>SUM('School Level ADM'!$AU283,'School Level ADM'!$AU284)</f>
        <v>71.905000000000001</v>
      </c>
      <c r="R284" s="214">
        <f t="shared" si="67"/>
        <v>0</v>
      </c>
      <c r="S284" s="214">
        <f t="shared" si="68"/>
        <v>0</v>
      </c>
      <c r="T284" s="214">
        <f t="shared" si="69"/>
        <v>0</v>
      </c>
      <c r="U284" s="214">
        <f t="shared" si="70"/>
        <v>0</v>
      </c>
      <c r="V284" s="214">
        <f t="shared" si="71"/>
        <v>38790</v>
      </c>
      <c r="W284" s="214">
        <f t="shared" si="72"/>
        <v>0</v>
      </c>
      <c r="X284" s="214">
        <f t="shared" si="73"/>
        <v>38790</v>
      </c>
    </row>
    <row r="285" spans="1:24" x14ac:dyDescent="0.2">
      <c r="A285" s="227" t="str">
        <f>'School Level Inst. Resources'!A285</f>
        <v>1702000</v>
      </c>
      <c r="B285" s="227" t="str">
        <f>'School Level Inst. Resources'!B285</f>
        <v>Sheridan #2</v>
      </c>
      <c r="C285" s="227" t="str">
        <f>'School Level Inst. Resources'!C285</f>
        <v>1702057</v>
      </c>
      <c r="D285" s="227" t="str">
        <f>'School Level Inst. Resources'!D285</f>
        <v>Sheridan High School</v>
      </c>
      <c r="E285" s="228" t="str">
        <f>'School Level Inst. Resources'!E285</f>
        <v>9-12</v>
      </c>
      <c r="F285" s="229" t="str">
        <f>'School Level Inst. Resources'!H285</f>
        <v>H</v>
      </c>
      <c r="G285" s="229" t="s">
        <v>1158</v>
      </c>
      <c r="H285" s="229" t="str">
        <f t="shared" si="74"/>
        <v>H</v>
      </c>
      <c r="I285" s="198">
        <f>'School Level ADM'!$BI285</f>
        <v>907.41100000000006</v>
      </c>
      <c r="J285" s="194">
        <f t="shared" si="60"/>
        <v>0</v>
      </c>
      <c r="K285" s="194">
        <f t="shared" si="61"/>
        <v>0</v>
      </c>
      <c r="L285" s="194">
        <f t="shared" si="62"/>
        <v>161523</v>
      </c>
      <c r="M285" s="194">
        <f t="shared" si="63"/>
        <v>0</v>
      </c>
      <c r="N285" s="194">
        <f t="shared" si="64"/>
        <v>0</v>
      </c>
      <c r="O285" s="194">
        <f t="shared" si="65"/>
        <v>0</v>
      </c>
      <c r="P285" s="194">
        <f t="shared" si="66"/>
        <v>161523</v>
      </c>
      <c r="Q285" s="198">
        <f>'School Level ADM'!$AU285</f>
        <v>929.83999999999992</v>
      </c>
      <c r="R285" s="194">
        <f t="shared" si="67"/>
        <v>0</v>
      </c>
      <c r="S285" s="194">
        <f t="shared" si="68"/>
        <v>0</v>
      </c>
      <c r="T285" s="194">
        <f t="shared" si="69"/>
        <v>161523</v>
      </c>
      <c r="U285" s="194">
        <f t="shared" si="70"/>
        <v>0</v>
      </c>
      <c r="V285" s="194">
        <f t="shared" si="71"/>
        <v>0</v>
      </c>
      <c r="W285" s="194">
        <f t="shared" si="72"/>
        <v>0</v>
      </c>
      <c r="X285" s="194">
        <f t="shared" si="73"/>
        <v>161523</v>
      </c>
    </row>
    <row r="286" spans="1:24" x14ac:dyDescent="0.2">
      <c r="A286" s="227" t="str">
        <f>'School Level Inst. Resources'!A286</f>
        <v>1703000</v>
      </c>
      <c r="B286" s="227" t="str">
        <f>'School Level Inst. Resources'!B286</f>
        <v>Sheridan #3</v>
      </c>
      <c r="C286" s="227" t="str">
        <f>'School Level Inst. Resources'!C286</f>
        <v>1703001</v>
      </c>
      <c r="D286" s="227" t="str">
        <f>'School Level Inst. Resources'!D286</f>
        <v>Arvada Elementary</v>
      </c>
      <c r="E286" s="228" t="str">
        <f>'School Level Inst. Resources'!E286</f>
        <v>K-6</v>
      </c>
      <c r="F286" s="229" t="str">
        <f>'School Level Inst. Resources'!H286</f>
        <v>E</v>
      </c>
      <c r="G286" s="229" t="s">
        <v>1158</v>
      </c>
      <c r="H286" s="229" t="str">
        <f t="shared" si="74"/>
        <v>E</v>
      </c>
      <c r="I286" s="198">
        <f>'School Level ADM'!$BI286</f>
        <v>10</v>
      </c>
      <c r="J286" s="194">
        <f t="shared" si="60"/>
        <v>2915</v>
      </c>
      <c r="K286" s="194">
        <f t="shared" si="61"/>
        <v>0</v>
      </c>
      <c r="L286" s="194">
        <f t="shared" si="62"/>
        <v>0</v>
      </c>
      <c r="M286" s="194">
        <f t="shared" si="63"/>
        <v>0</v>
      </c>
      <c r="N286" s="194">
        <f t="shared" si="64"/>
        <v>0</v>
      </c>
      <c r="O286" s="194">
        <f t="shared" si="65"/>
        <v>0</v>
      </c>
      <c r="P286" s="194">
        <f t="shared" si="66"/>
        <v>2915</v>
      </c>
      <c r="Q286" s="198">
        <f>'School Level ADM'!$AU286</f>
        <v>10.834999999999999</v>
      </c>
      <c r="R286" s="194">
        <f t="shared" si="67"/>
        <v>2915</v>
      </c>
      <c r="S286" s="194">
        <f t="shared" si="68"/>
        <v>0</v>
      </c>
      <c r="T286" s="194">
        <f t="shared" si="69"/>
        <v>0</v>
      </c>
      <c r="U286" s="194">
        <f t="shared" si="70"/>
        <v>0</v>
      </c>
      <c r="V286" s="194">
        <f t="shared" si="71"/>
        <v>0</v>
      </c>
      <c r="W286" s="194">
        <f t="shared" si="72"/>
        <v>0</v>
      </c>
      <c r="X286" s="194">
        <f t="shared" si="73"/>
        <v>2915</v>
      </c>
    </row>
    <row r="287" spans="1:24" s="281" customFormat="1" x14ac:dyDescent="0.2">
      <c r="A287" s="227" t="str">
        <f>'School Level Inst. Resources'!A287</f>
        <v>1703000</v>
      </c>
      <c r="B287" s="227" t="str">
        <f>'School Level Inst. Resources'!B287</f>
        <v>Sheridan #3</v>
      </c>
      <c r="C287" s="227" t="str">
        <f>'School Level Inst. Resources'!C287</f>
        <v>1703049</v>
      </c>
      <c r="D287" s="227" t="str">
        <f>'School Level Inst. Resources'!D287</f>
        <v>Clearmont K-12</v>
      </c>
      <c r="E287" s="228" t="str">
        <f>'School Level Inst. Resources'!E287</f>
        <v>K-12</v>
      </c>
      <c r="F287" s="245" t="str">
        <f>'School Level Inst. Resources'!H287</f>
        <v>H</v>
      </c>
      <c r="G287" s="245" t="s">
        <v>1158</v>
      </c>
      <c r="H287" s="245" t="str">
        <f t="shared" si="74"/>
        <v>K-12</v>
      </c>
      <c r="I287" s="274">
        <f>'School Level ADM'!$BI287</f>
        <v>90.268999999999991</v>
      </c>
      <c r="J287" s="273">
        <f t="shared" si="60"/>
        <v>0</v>
      </c>
      <c r="K287" s="273">
        <f t="shared" si="61"/>
        <v>0</v>
      </c>
      <c r="L287" s="273">
        <f t="shared" si="62"/>
        <v>0</v>
      </c>
      <c r="M287" s="273">
        <f t="shared" si="63"/>
        <v>0</v>
      </c>
      <c r="N287" s="273">
        <f t="shared" si="64"/>
        <v>0</v>
      </c>
      <c r="O287" s="273">
        <f t="shared" si="65"/>
        <v>42076</v>
      </c>
      <c r="P287" s="273">
        <f t="shared" si="66"/>
        <v>42076</v>
      </c>
      <c r="Q287" s="274">
        <f>'School Level ADM'!$AU287</f>
        <v>84.71</v>
      </c>
      <c r="R287" s="273">
        <f t="shared" si="67"/>
        <v>0</v>
      </c>
      <c r="S287" s="273">
        <f t="shared" si="68"/>
        <v>0</v>
      </c>
      <c r="T287" s="273">
        <f t="shared" si="69"/>
        <v>0</v>
      </c>
      <c r="U287" s="273">
        <f t="shared" si="70"/>
        <v>0</v>
      </c>
      <c r="V287" s="273">
        <f t="shared" si="71"/>
        <v>0</v>
      </c>
      <c r="W287" s="273">
        <f t="shared" si="72"/>
        <v>42076</v>
      </c>
      <c r="X287" s="273">
        <f t="shared" si="73"/>
        <v>42076</v>
      </c>
    </row>
    <row r="288" spans="1:24" x14ac:dyDescent="0.2">
      <c r="A288" s="227" t="str">
        <f>'School Level Inst. Resources'!A288</f>
        <v>1801000</v>
      </c>
      <c r="B288" s="227" t="str">
        <f>'School Level Inst. Resources'!B288</f>
        <v>Sublette #1</v>
      </c>
      <c r="C288" s="227" t="str">
        <f>'School Level Inst. Resources'!C288</f>
        <v>1801001</v>
      </c>
      <c r="D288" s="227" t="str">
        <f>'School Level Inst. Resources'!D288</f>
        <v>Bondurant Elementary</v>
      </c>
      <c r="E288" s="228" t="str">
        <f>'School Level Inst. Resources'!E288</f>
        <v>K-5</v>
      </c>
      <c r="F288" s="229" t="str">
        <f>'School Level Inst. Resources'!H288</f>
        <v>E</v>
      </c>
      <c r="G288" s="229" t="s">
        <v>1158</v>
      </c>
      <c r="H288" s="229" t="str">
        <f t="shared" si="74"/>
        <v>E</v>
      </c>
      <c r="I288" s="198">
        <f>'School Level ADM'!$BI288</f>
        <v>4.9079999999999995</v>
      </c>
      <c r="J288" s="194">
        <f t="shared" si="60"/>
        <v>2915</v>
      </c>
      <c r="K288" s="194">
        <f t="shared" si="61"/>
        <v>0</v>
      </c>
      <c r="L288" s="194">
        <f t="shared" si="62"/>
        <v>0</v>
      </c>
      <c r="M288" s="194">
        <f t="shared" si="63"/>
        <v>0</v>
      </c>
      <c r="N288" s="194">
        <f t="shared" si="64"/>
        <v>0</v>
      </c>
      <c r="O288" s="194">
        <f t="shared" si="65"/>
        <v>0</v>
      </c>
      <c r="P288" s="194">
        <f t="shared" si="66"/>
        <v>2915</v>
      </c>
      <c r="Q288" s="198">
        <f>'School Level ADM'!$AU288</f>
        <v>5.91</v>
      </c>
      <c r="R288" s="194">
        <f t="shared" si="67"/>
        <v>2915</v>
      </c>
      <c r="S288" s="194">
        <f t="shared" si="68"/>
        <v>0</v>
      </c>
      <c r="T288" s="194">
        <f t="shared" si="69"/>
        <v>0</v>
      </c>
      <c r="U288" s="194">
        <f t="shared" si="70"/>
        <v>0</v>
      </c>
      <c r="V288" s="194">
        <f t="shared" si="71"/>
        <v>0</v>
      </c>
      <c r="W288" s="194">
        <f t="shared" si="72"/>
        <v>0</v>
      </c>
      <c r="X288" s="194">
        <f t="shared" si="73"/>
        <v>2915</v>
      </c>
    </row>
    <row r="289" spans="1:24" x14ac:dyDescent="0.2">
      <c r="A289" s="227" t="str">
        <f>'School Level Inst. Resources'!A289</f>
        <v>1801000</v>
      </c>
      <c r="B289" s="227" t="str">
        <f>'School Level Inst. Resources'!B289</f>
        <v>Sublette #1</v>
      </c>
      <c r="C289" s="227" t="str">
        <f>'School Level Inst. Resources'!C289</f>
        <v>1801002</v>
      </c>
      <c r="D289" s="227" t="str">
        <f>'School Level Inst. Resources'!D289</f>
        <v>Pinedale Elementary</v>
      </c>
      <c r="E289" s="228" t="str">
        <f>'School Level Inst. Resources'!E289</f>
        <v>K-5</v>
      </c>
      <c r="F289" s="229" t="str">
        <f>'School Level Inst. Resources'!H289</f>
        <v>E</v>
      </c>
      <c r="G289" s="229" t="s">
        <v>1158</v>
      </c>
      <c r="H289" s="229" t="str">
        <f t="shared" si="74"/>
        <v>E</v>
      </c>
      <c r="I289" s="198">
        <f>'School Level ADM'!$BI289</f>
        <v>497.64100000000002</v>
      </c>
      <c r="J289" s="194">
        <f t="shared" si="60"/>
        <v>65883</v>
      </c>
      <c r="K289" s="194">
        <f t="shared" si="61"/>
        <v>0</v>
      </c>
      <c r="L289" s="194">
        <f t="shared" si="62"/>
        <v>0</v>
      </c>
      <c r="M289" s="194">
        <f t="shared" si="63"/>
        <v>0</v>
      </c>
      <c r="N289" s="194">
        <f t="shared" si="64"/>
        <v>0</v>
      </c>
      <c r="O289" s="194">
        <f t="shared" si="65"/>
        <v>0</v>
      </c>
      <c r="P289" s="194">
        <f t="shared" si="66"/>
        <v>65883</v>
      </c>
      <c r="Q289" s="198">
        <f>'School Level ADM'!$AU289</f>
        <v>499.39499999999998</v>
      </c>
      <c r="R289" s="194">
        <f t="shared" si="67"/>
        <v>65883</v>
      </c>
      <c r="S289" s="194">
        <f t="shared" si="68"/>
        <v>0</v>
      </c>
      <c r="T289" s="194">
        <f t="shared" si="69"/>
        <v>0</v>
      </c>
      <c r="U289" s="194">
        <f t="shared" si="70"/>
        <v>0</v>
      </c>
      <c r="V289" s="194">
        <f t="shared" si="71"/>
        <v>0</v>
      </c>
      <c r="W289" s="194">
        <f t="shared" si="72"/>
        <v>0</v>
      </c>
      <c r="X289" s="194">
        <f t="shared" si="73"/>
        <v>65883</v>
      </c>
    </row>
    <row r="290" spans="1:24" x14ac:dyDescent="0.2">
      <c r="A290" s="227" t="str">
        <f>'School Level Inst. Resources'!A290</f>
        <v>1801000</v>
      </c>
      <c r="B290" s="227" t="str">
        <f>'School Level Inst. Resources'!B290</f>
        <v>Sublette #1</v>
      </c>
      <c r="C290" s="227" t="str">
        <f>'School Level Inst. Resources'!C290</f>
        <v>1801050</v>
      </c>
      <c r="D290" s="227" t="str">
        <f>'School Level Inst. Resources'!D290</f>
        <v>Pinedale Middle School</v>
      </c>
      <c r="E290" s="228" t="str">
        <f>'School Level Inst. Resources'!E290</f>
        <v>6-8</v>
      </c>
      <c r="F290" s="229" t="str">
        <f>'School Level Inst. Resources'!H290</f>
        <v>M</v>
      </c>
      <c r="G290" s="229" t="s">
        <v>1158</v>
      </c>
      <c r="H290" s="229" t="str">
        <f t="shared" si="74"/>
        <v>M</v>
      </c>
      <c r="I290" s="198">
        <f>'School Level ADM'!$BI290</f>
        <v>242.45699999999999</v>
      </c>
      <c r="J290" s="194">
        <f t="shared" si="60"/>
        <v>0</v>
      </c>
      <c r="K290" s="194">
        <f t="shared" si="61"/>
        <v>56806</v>
      </c>
      <c r="L290" s="194">
        <f t="shared" si="62"/>
        <v>0</v>
      </c>
      <c r="M290" s="194">
        <f t="shared" si="63"/>
        <v>0</v>
      </c>
      <c r="N290" s="194">
        <f t="shared" si="64"/>
        <v>0</v>
      </c>
      <c r="O290" s="194">
        <f t="shared" si="65"/>
        <v>0</v>
      </c>
      <c r="P290" s="194">
        <f t="shared" si="66"/>
        <v>56806</v>
      </c>
      <c r="Q290" s="198">
        <f>'School Level ADM'!$AU290</f>
        <v>243.29499999999999</v>
      </c>
      <c r="R290" s="194">
        <f t="shared" si="67"/>
        <v>0</v>
      </c>
      <c r="S290" s="194">
        <f t="shared" si="68"/>
        <v>56806</v>
      </c>
      <c r="T290" s="194">
        <f t="shared" si="69"/>
        <v>0</v>
      </c>
      <c r="U290" s="194">
        <f t="shared" si="70"/>
        <v>0</v>
      </c>
      <c r="V290" s="194">
        <f t="shared" si="71"/>
        <v>0</v>
      </c>
      <c r="W290" s="194">
        <f t="shared" si="72"/>
        <v>0</v>
      </c>
      <c r="X290" s="194">
        <f t="shared" si="73"/>
        <v>56806</v>
      </c>
    </row>
    <row r="291" spans="1:24" x14ac:dyDescent="0.2">
      <c r="A291" s="227" t="str">
        <f>'School Level Inst. Resources'!A291</f>
        <v>1801000</v>
      </c>
      <c r="B291" s="227" t="str">
        <f>'School Level Inst. Resources'!B291</f>
        <v>Sublette #1</v>
      </c>
      <c r="C291" s="227" t="str">
        <f>'School Level Inst. Resources'!C291</f>
        <v>1801055</v>
      </c>
      <c r="D291" s="227" t="str">
        <f>'School Level Inst. Resources'!D291</f>
        <v>Pinedale High School</v>
      </c>
      <c r="E291" s="228" t="str">
        <f>'School Level Inst. Resources'!E291</f>
        <v>9-12</v>
      </c>
      <c r="F291" s="229" t="str">
        <f>'School Level Inst. Resources'!H291</f>
        <v>H</v>
      </c>
      <c r="G291" s="229" t="s">
        <v>1158</v>
      </c>
      <c r="H291" s="229" t="str">
        <f t="shared" si="74"/>
        <v>H</v>
      </c>
      <c r="I291" s="198">
        <f>'School Level ADM'!$BI291</f>
        <v>267.839</v>
      </c>
      <c r="J291" s="194">
        <f t="shared" si="60"/>
        <v>0</v>
      </c>
      <c r="K291" s="194">
        <f t="shared" si="61"/>
        <v>0</v>
      </c>
      <c r="L291" s="194">
        <f t="shared" si="62"/>
        <v>74279</v>
      </c>
      <c r="M291" s="194">
        <f t="shared" si="63"/>
        <v>0</v>
      </c>
      <c r="N291" s="194">
        <f t="shared" si="64"/>
        <v>0</v>
      </c>
      <c r="O291" s="194">
        <f t="shared" si="65"/>
        <v>0</v>
      </c>
      <c r="P291" s="194">
        <f t="shared" si="66"/>
        <v>74279</v>
      </c>
      <c r="Q291" s="198">
        <f>'School Level ADM'!$AU291</f>
        <v>278.755</v>
      </c>
      <c r="R291" s="194">
        <f t="shared" si="67"/>
        <v>0</v>
      </c>
      <c r="S291" s="194">
        <f t="shared" si="68"/>
        <v>0</v>
      </c>
      <c r="T291" s="194">
        <f t="shared" si="69"/>
        <v>74279</v>
      </c>
      <c r="U291" s="194">
        <f t="shared" si="70"/>
        <v>0</v>
      </c>
      <c r="V291" s="194">
        <f t="shared" si="71"/>
        <v>0</v>
      </c>
      <c r="W291" s="194">
        <f t="shared" si="72"/>
        <v>0</v>
      </c>
      <c r="X291" s="194">
        <f t="shared" si="73"/>
        <v>74279</v>
      </c>
    </row>
    <row r="292" spans="1:24" x14ac:dyDescent="0.2">
      <c r="A292" s="227" t="str">
        <f>'School Level Inst. Resources'!A292</f>
        <v>1801000</v>
      </c>
      <c r="B292" s="227" t="str">
        <f>'School Level Inst. Resources'!B292</f>
        <v>Sublette #1</v>
      </c>
      <c r="C292" s="227" t="str">
        <f>'School Level Inst. Resources'!C292</f>
        <v>1801056</v>
      </c>
      <c r="D292" s="227" t="str">
        <f>'School Level Inst. Resources'!D292</f>
        <v>Skyline Academy</v>
      </c>
      <c r="E292" s="228" t="str">
        <f>'School Level Inst. Resources'!E292</f>
        <v>9-12</v>
      </c>
      <c r="F292" s="229" t="str">
        <f>'School Level Inst. Resources'!H292</f>
        <v>H</v>
      </c>
      <c r="G292" s="229" t="s">
        <v>1158</v>
      </c>
      <c r="H292" s="229" t="str">
        <f t="shared" si="74"/>
        <v>H</v>
      </c>
      <c r="I292" s="198">
        <f>'School Level ADM'!$BI292</f>
        <v>25.166000000000004</v>
      </c>
      <c r="J292" s="194">
        <f t="shared" si="60"/>
        <v>0</v>
      </c>
      <c r="K292" s="194">
        <f t="shared" si="61"/>
        <v>0</v>
      </c>
      <c r="L292" s="194">
        <f t="shared" si="62"/>
        <v>9103</v>
      </c>
      <c r="M292" s="194">
        <f t="shared" si="63"/>
        <v>0</v>
      </c>
      <c r="N292" s="194">
        <f t="shared" si="64"/>
        <v>0</v>
      </c>
      <c r="O292" s="194">
        <f t="shared" si="65"/>
        <v>0</v>
      </c>
      <c r="P292" s="194">
        <f t="shared" si="66"/>
        <v>9103</v>
      </c>
      <c r="Q292" s="198">
        <f>'School Level ADM'!$AU292</f>
        <v>20.685000000000002</v>
      </c>
      <c r="R292" s="194">
        <f t="shared" si="67"/>
        <v>0</v>
      </c>
      <c r="S292" s="194">
        <f t="shared" si="68"/>
        <v>0</v>
      </c>
      <c r="T292" s="194">
        <f t="shared" si="69"/>
        <v>9103</v>
      </c>
      <c r="U292" s="194">
        <f t="shared" si="70"/>
        <v>0</v>
      </c>
      <c r="V292" s="194">
        <f t="shared" si="71"/>
        <v>0</v>
      </c>
      <c r="W292" s="194">
        <f t="shared" si="72"/>
        <v>0</v>
      </c>
      <c r="X292" s="194">
        <f t="shared" si="73"/>
        <v>9103</v>
      </c>
    </row>
    <row r="293" spans="1:24" x14ac:dyDescent="0.2">
      <c r="A293" s="227" t="str">
        <f>'School Level Inst. Resources'!A293</f>
        <v>1809000</v>
      </c>
      <c r="B293" s="227" t="str">
        <f>'School Level Inst. Resources'!B293</f>
        <v>Sublette #9</v>
      </c>
      <c r="C293" s="227" t="str">
        <f>'School Level Inst. Resources'!C293</f>
        <v>1809001</v>
      </c>
      <c r="D293" s="227" t="str">
        <f>'School Level Inst. Resources'!D293</f>
        <v>Big Piney Elementary</v>
      </c>
      <c r="E293" s="228" t="str">
        <f>'School Level Inst. Resources'!E293</f>
        <v>K-5</v>
      </c>
      <c r="F293" s="229" t="str">
        <f>'School Level Inst. Resources'!H293</f>
        <v>E</v>
      </c>
      <c r="G293" s="229" t="s">
        <v>1158</v>
      </c>
      <c r="H293" s="229" t="str">
        <f t="shared" si="74"/>
        <v>E</v>
      </c>
      <c r="I293" s="198">
        <f>'School Level ADM'!$BI293</f>
        <v>198.428</v>
      </c>
      <c r="J293" s="194">
        <f t="shared" si="60"/>
        <v>32678</v>
      </c>
      <c r="K293" s="194">
        <f t="shared" si="61"/>
        <v>0</v>
      </c>
      <c r="L293" s="194">
        <f t="shared" si="62"/>
        <v>0</v>
      </c>
      <c r="M293" s="194">
        <f t="shared" si="63"/>
        <v>0</v>
      </c>
      <c r="N293" s="194">
        <f t="shared" si="64"/>
        <v>0</v>
      </c>
      <c r="O293" s="194">
        <f t="shared" si="65"/>
        <v>0</v>
      </c>
      <c r="P293" s="194">
        <f t="shared" si="66"/>
        <v>32678</v>
      </c>
      <c r="Q293" s="198">
        <f>'School Level ADM'!$AU293</f>
        <v>185.18</v>
      </c>
      <c r="R293" s="194">
        <f t="shared" si="67"/>
        <v>32678</v>
      </c>
      <c r="S293" s="194">
        <f t="shared" si="68"/>
        <v>0</v>
      </c>
      <c r="T293" s="194">
        <f t="shared" si="69"/>
        <v>0</v>
      </c>
      <c r="U293" s="194">
        <f t="shared" si="70"/>
        <v>0</v>
      </c>
      <c r="V293" s="194">
        <f t="shared" si="71"/>
        <v>0</v>
      </c>
      <c r="W293" s="194">
        <f t="shared" si="72"/>
        <v>0</v>
      </c>
      <c r="X293" s="194">
        <f t="shared" si="73"/>
        <v>32678</v>
      </c>
    </row>
    <row r="294" spans="1:24" x14ac:dyDescent="0.2">
      <c r="A294" s="227" t="str">
        <f>'School Level Inst. Resources'!A294</f>
        <v>1809000</v>
      </c>
      <c r="B294" s="227" t="str">
        <f>'School Level Inst. Resources'!B294</f>
        <v>Sublette #9</v>
      </c>
      <c r="C294" s="227" t="str">
        <f>'School Level Inst. Resources'!C294</f>
        <v>1809002</v>
      </c>
      <c r="D294" s="227" t="str">
        <f>'School Level Inst. Resources'!D294</f>
        <v>La Barge Elementary</v>
      </c>
      <c r="E294" s="228" t="str">
        <f>'School Level Inst. Resources'!E294</f>
        <v>K-5</v>
      </c>
      <c r="F294" s="229" t="str">
        <f>'School Level Inst. Resources'!H294</f>
        <v>E</v>
      </c>
      <c r="G294" s="229" t="s">
        <v>1158</v>
      </c>
      <c r="H294" s="229" t="str">
        <f t="shared" si="74"/>
        <v>E</v>
      </c>
      <c r="I294" s="198">
        <f>'School Level ADM'!$BI294</f>
        <v>46.501999999999995</v>
      </c>
      <c r="J294" s="194">
        <f t="shared" si="60"/>
        <v>9171</v>
      </c>
      <c r="K294" s="194">
        <f t="shared" si="61"/>
        <v>0</v>
      </c>
      <c r="L294" s="194">
        <f t="shared" si="62"/>
        <v>0</v>
      </c>
      <c r="M294" s="194">
        <f t="shared" si="63"/>
        <v>0</v>
      </c>
      <c r="N294" s="194">
        <f t="shared" si="64"/>
        <v>0</v>
      </c>
      <c r="O294" s="194">
        <f t="shared" si="65"/>
        <v>0</v>
      </c>
      <c r="P294" s="194">
        <f t="shared" si="66"/>
        <v>9171</v>
      </c>
      <c r="Q294" s="198">
        <f>'School Level ADM'!$AU294</f>
        <v>54.174999999999997</v>
      </c>
      <c r="R294" s="194">
        <f t="shared" si="67"/>
        <v>9171</v>
      </c>
      <c r="S294" s="194">
        <f t="shared" si="68"/>
        <v>0</v>
      </c>
      <c r="T294" s="194">
        <f t="shared" si="69"/>
        <v>0</v>
      </c>
      <c r="U294" s="194">
        <f t="shared" si="70"/>
        <v>0</v>
      </c>
      <c r="V294" s="194">
        <f t="shared" si="71"/>
        <v>0</v>
      </c>
      <c r="W294" s="194">
        <f t="shared" si="72"/>
        <v>0</v>
      </c>
      <c r="X294" s="194">
        <f t="shared" si="73"/>
        <v>9171</v>
      </c>
    </row>
    <row r="295" spans="1:24" x14ac:dyDescent="0.2">
      <c r="A295" s="227" t="str">
        <f>'School Level Inst. Resources'!A295</f>
        <v>1809000</v>
      </c>
      <c r="B295" s="227" t="str">
        <f>'School Level Inst. Resources'!B295</f>
        <v>Sublette #9</v>
      </c>
      <c r="C295" s="227" t="str">
        <f>'School Level Inst. Resources'!C295</f>
        <v>1809050</v>
      </c>
      <c r="D295" s="227" t="str">
        <f>'School Level Inst. Resources'!D295</f>
        <v>Big Piney Middle School</v>
      </c>
      <c r="E295" s="228" t="str">
        <f>'School Level Inst. Resources'!E295</f>
        <v>6-8</v>
      </c>
      <c r="F295" s="229" t="str">
        <f>'School Level Inst. Resources'!H295</f>
        <v>M</v>
      </c>
      <c r="G295" s="229" t="s">
        <v>1158</v>
      </c>
      <c r="H295" s="229" t="str">
        <f t="shared" si="74"/>
        <v>M</v>
      </c>
      <c r="I295" s="198">
        <f>'School Level ADM'!$BI295</f>
        <v>135.38200000000001</v>
      </c>
      <c r="J295" s="194">
        <f t="shared" si="60"/>
        <v>0</v>
      </c>
      <c r="K295" s="194">
        <f t="shared" si="61"/>
        <v>40700</v>
      </c>
      <c r="L295" s="194">
        <f t="shared" si="62"/>
        <v>0</v>
      </c>
      <c r="M295" s="194">
        <f t="shared" si="63"/>
        <v>0</v>
      </c>
      <c r="N295" s="194">
        <f t="shared" si="64"/>
        <v>0</v>
      </c>
      <c r="O295" s="194">
        <f t="shared" si="65"/>
        <v>0</v>
      </c>
      <c r="P295" s="194">
        <f t="shared" si="66"/>
        <v>40700</v>
      </c>
      <c r="Q295" s="198">
        <f>'School Level ADM'!$AU295</f>
        <v>116.23</v>
      </c>
      <c r="R295" s="194">
        <f t="shared" si="67"/>
        <v>0</v>
      </c>
      <c r="S295" s="194">
        <f t="shared" si="68"/>
        <v>40700</v>
      </c>
      <c r="T295" s="194">
        <f t="shared" si="69"/>
        <v>0</v>
      </c>
      <c r="U295" s="194">
        <f t="shared" si="70"/>
        <v>0</v>
      </c>
      <c r="V295" s="194">
        <f t="shared" si="71"/>
        <v>0</v>
      </c>
      <c r="W295" s="194">
        <f t="shared" si="72"/>
        <v>0</v>
      </c>
      <c r="X295" s="194">
        <f t="shared" si="73"/>
        <v>40700</v>
      </c>
    </row>
    <row r="296" spans="1:24" x14ac:dyDescent="0.2">
      <c r="A296" s="227" t="str">
        <f>'School Level Inst. Resources'!A296</f>
        <v>1809000</v>
      </c>
      <c r="B296" s="227" t="str">
        <f>'School Level Inst. Resources'!B296</f>
        <v>Sublette #9</v>
      </c>
      <c r="C296" s="227" t="str">
        <f>'School Level Inst. Resources'!C296</f>
        <v>1809055</v>
      </c>
      <c r="D296" s="227" t="str">
        <f>'School Level Inst. Resources'!D296</f>
        <v>Big Piney High School</v>
      </c>
      <c r="E296" s="228" t="str">
        <f>'School Level Inst. Resources'!E296</f>
        <v>9-12</v>
      </c>
      <c r="F296" s="229" t="str">
        <f>'School Level Inst. Resources'!H296</f>
        <v>H</v>
      </c>
      <c r="G296" s="229" t="s">
        <v>1158</v>
      </c>
      <c r="H296" s="229" t="str">
        <f t="shared" si="74"/>
        <v>H</v>
      </c>
      <c r="I296" s="198">
        <f>'School Level ADM'!$BI296</f>
        <v>190.22300000000001</v>
      </c>
      <c r="J296" s="194">
        <f t="shared" si="60"/>
        <v>0</v>
      </c>
      <c r="K296" s="194">
        <f t="shared" si="61"/>
        <v>0</v>
      </c>
      <c r="L296" s="194">
        <f t="shared" si="62"/>
        <v>61331</v>
      </c>
      <c r="M296" s="194">
        <f t="shared" si="63"/>
        <v>0</v>
      </c>
      <c r="N296" s="194">
        <f t="shared" si="64"/>
        <v>0</v>
      </c>
      <c r="O296" s="194">
        <f t="shared" si="65"/>
        <v>0</v>
      </c>
      <c r="P296" s="194">
        <f t="shared" si="66"/>
        <v>61331</v>
      </c>
      <c r="Q296" s="198">
        <f>'School Level ADM'!$AU296</f>
        <v>182.22499999999999</v>
      </c>
      <c r="R296" s="194">
        <f t="shared" si="67"/>
        <v>0</v>
      </c>
      <c r="S296" s="194">
        <f t="shared" si="68"/>
        <v>0</v>
      </c>
      <c r="T296" s="194">
        <f t="shared" si="69"/>
        <v>61331</v>
      </c>
      <c r="U296" s="194">
        <f t="shared" si="70"/>
        <v>0</v>
      </c>
      <c r="V296" s="194">
        <f t="shared" si="71"/>
        <v>0</v>
      </c>
      <c r="W296" s="194">
        <f t="shared" si="72"/>
        <v>0</v>
      </c>
      <c r="X296" s="194">
        <f t="shared" si="73"/>
        <v>61331</v>
      </c>
    </row>
    <row r="297" spans="1:24" s="226" customFormat="1" x14ac:dyDescent="0.2">
      <c r="A297" s="210" t="str">
        <f>'School Level Inst. Resources'!A297</f>
        <v>1901000</v>
      </c>
      <c r="B297" s="210" t="str">
        <f>'School Level Inst. Resources'!B297</f>
        <v>Sweetwater #1</v>
      </c>
      <c r="C297" s="210" t="str">
        <f>'School Level Inst. Resources'!C297</f>
        <v>1901001</v>
      </c>
      <c r="D297" s="210" t="str">
        <f>'School Level Inst. Resources'!D297</f>
        <v>Desert Elementary</v>
      </c>
      <c r="E297" s="211" t="str">
        <f>'School Level Inst. Resources'!E297</f>
        <v>K-6</v>
      </c>
      <c r="F297" s="212" t="str">
        <f>'School Level Inst. Resources'!H297</f>
        <v>E</v>
      </c>
      <c r="G297" s="212" t="s">
        <v>1159</v>
      </c>
      <c r="H297" s="212" t="str">
        <f t="shared" si="74"/>
        <v>E</v>
      </c>
      <c r="I297" s="217">
        <v>0</v>
      </c>
      <c r="J297" s="293">
        <f t="shared" si="60"/>
        <v>0</v>
      </c>
      <c r="K297" s="293">
        <f t="shared" si="61"/>
        <v>0</v>
      </c>
      <c r="L297" s="293">
        <f t="shared" si="62"/>
        <v>0</v>
      </c>
      <c r="M297" s="293">
        <f t="shared" si="63"/>
        <v>0</v>
      </c>
      <c r="N297" s="293">
        <f t="shared" si="64"/>
        <v>0</v>
      </c>
      <c r="O297" s="293">
        <f t="shared" si="65"/>
        <v>0</v>
      </c>
      <c r="P297" s="293">
        <f t="shared" si="66"/>
        <v>0</v>
      </c>
      <c r="Q297" s="217">
        <v>0</v>
      </c>
      <c r="R297" s="293">
        <f t="shared" si="67"/>
        <v>0</v>
      </c>
      <c r="S297" s="293">
        <f t="shared" si="68"/>
        <v>0</v>
      </c>
      <c r="T297" s="293">
        <f t="shared" si="69"/>
        <v>0</v>
      </c>
      <c r="U297" s="293">
        <f t="shared" si="70"/>
        <v>0</v>
      </c>
      <c r="V297" s="293">
        <f t="shared" si="71"/>
        <v>0</v>
      </c>
      <c r="W297" s="293">
        <f t="shared" si="72"/>
        <v>0</v>
      </c>
      <c r="X297" s="293">
        <f t="shared" si="73"/>
        <v>0</v>
      </c>
    </row>
    <row r="298" spans="1:24" x14ac:dyDescent="0.2">
      <c r="A298" s="227" t="str">
        <f>'School Level Inst. Resources'!A298</f>
        <v>1901000</v>
      </c>
      <c r="B298" s="227" t="str">
        <f>'School Level Inst. Resources'!B298</f>
        <v>Sweetwater #1</v>
      </c>
      <c r="C298" s="227" t="str">
        <f>'School Level Inst. Resources'!C298</f>
        <v>1901002</v>
      </c>
      <c r="D298" s="227" t="str">
        <f>'School Level Inst. Resources'!D298</f>
        <v>Desert View Elementary</v>
      </c>
      <c r="E298" s="228" t="str">
        <f>'School Level Inst. Resources'!E298</f>
        <v>K-4</v>
      </c>
      <c r="F298" s="229" t="str">
        <f>'School Level Inst. Resources'!H298</f>
        <v>E</v>
      </c>
      <c r="G298" s="229" t="s">
        <v>1158</v>
      </c>
      <c r="H298" s="229" t="str">
        <f t="shared" si="74"/>
        <v>E</v>
      </c>
      <c r="I298" s="198">
        <f>'School Level ADM'!$BI298</f>
        <v>265.57528571428577</v>
      </c>
      <c r="J298" s="194">
        <f t="shared" si="60"/>
        <v>40775</v>
      </c>
      <c r="K298" s="194">
        <f t="shared" si="61"/>
        <v>0</v>
      </c>
      <c r="L298" s="194">
        <f t="shared" si="62"/>
        <v>0</v>
      </c>
      <c r="M298" s="194">
        <f t="shared" si="63"/>
        <v>0</v>
      </c>
      <c r="N298" s="194">
        <f t="shared" si="64"/>
        <v>0</v>
      </c>
      <c r="O298" s="194">
        <f t="shared" si="65"/>
        <v>0</v>
      </c>
      <c r="P298" s="194">
        <f t="shared" si="66"/>
        <v>40775</v>
      </c>
      <c r="Q298" s="198">
        <f>'School Level ADM'!$AU298</f>
        <v>303.38</v>
      </c>
      <c r="R298" s="194">
        <f t="shared" si="67"/>
        <v>40775</v>
      </c>
      <c r="S298" s="194">
        <f t="shared" si="68"/>
        <v>0</v>
      </c>
      <c r="T298" s="194">
        <f t="shared" si="69"/>
        <v>0</v>
      </c>
      <c r="U298" s="194">
        <f t="shared" si="70"/>
        <v>0</v>
      </c>
      <c r="V298" s="194">
        <f t="shared" si="71"/>
        <v>0</v>
      </c>
      <c r="W298" s="194">
        <f t="shared" si="72"/>
        <v>0</v>
      </c>
      <c r="X298" s="194">
        <f t="shared" si="73"/>
        <v>40775</v>
      </c>
    </row>
    <row r="299" spans="1:24" s="226" customFormat="1" x14ac:dyDescent="0.2">
      <c r="A299" s="210" t="str">
        <f>'School Level Inst. Resources'!A299</f>
        <v>1901000</v>
      </c>
      <c r="B299" s="210" t="str">
        <f>'School Level Inst. Resources'!B299</f>
        <v>Sweetwater #1</v>
      </c>
      <c r="C299" s="210" t="str">
        <f>'School Level Inst. Resources'!C299</f>
        <v>1901003</v>
      </c>
      <c r="D299" s="210" t="str">
        <f>'School Level Inst. Resources'!D299</f>
        <v>Farson-Eden Elementary</v>
      </c>
      <c r="E299" s="211" t="str">
        <f>'School Level Inst. Resources'!E299</f>
        <v>K-5</v>
      </c>
      <c r="F299" s="212" t="str">
        <f>'School Level Inst. Resources'!H299</f>
        <v>E</v>
      </c>
      <c r="G299" s="212" t="s">
        <v>1159</v>
      </c>
      <c r="H299" s="212" t="str">
        <f t="shared" si="74"/>
        <v>E</v>
      </c>
      <c r="I299" s="217">
        <v>0</v>
      </c>
      <c r="J299" s="293">
        <f t="shared" si="60"/>
        <v>0</v>
      </c>
      <c r="K299" s="293">
        <f t="shared" si="61"/>
        <v>0</v>
      </c>
      <c r="L299" s="293">
        <f t="shared" si="62"/>
        <v>0</v>
      </c>
      <c r="M299" s="293">
        <f t="shared" si="63"/>
        <v>0</v>
      </c>
      <c r="N299" s="293">
        <f t="shared" si="64"/>
        <v>0</v>
      </c>
      <c r="O299" s="293">
        <f t="shared" si="65"/>
        <v>0</v>
      </c>
      <c r="P299" s="293">
        <f t="shared" si="66"/>
        <v>0</v>
      </c>
      <c r="Q299" s="217">
        <v>0</v>
      </c>
      <c r="R299" s="293">
        <f t="shared" si="67"/>
        <v>0</v>
      </c>
      <c r="S299" s="293">
        <f t="shared" si="68"/>
        <v>0</v>
      </c>
      <c r="T299" s="293">
        <f t="shared" si="69"/>
        <v>0</v>
      </c>
      <c r="U299" s="293">
        <f t="shared" si="70"/>
        <v>0</v>
      </c>
      <c r="V299" s="293">
        <f t="shared" si="71"/>
        <v>0</v>
      </c>
      <c r="W299" s="293">
        <f t="shared" si="72"/>
        <v>0</v>
      </c>
      <c r="X299" s="293">
        <f t="shared" si="73"/>
        <v>0</v>
      </c>
    </row>
    <row r="300" spans="1:24" x14ac:dyDescent="0.2">
      <c r="A300" s="227" t="str">
        <f>'School Level Inst. Resources'!A300</f>
        <v>1901000</v>
      </c>
      <c r="B300" s="227" t="str">
        <f>'School Level Inst. Resources'!B300</f>
        <v>Sweetwater #1</v>
      </c>
      <c r="C300" s="227" t="str">
        <f>'School Level Inst. Resources'!C300</f>
        <v>1901004</v>
      </c>
      <c r="D300" s="227" t="str">
        <f>'School Level Inst. Resources'!D300</f>
        <v>Eastside Elementary</v>
      </c>
      <c r="E300" s="228" t="str">
        <f>'School Level Inst. Resources'!E300</f>
        <v>5-6</v>
      </c>
      <c r="F300" s="229" t="str">
        <f>'School Level Inst. Resources'!H300</f>
        <v>E</v>
      </c>
      <c r="G300" s="229" t="s">
        <v>1158</v>
      </c>
      <c r="H300" s="229" t="str">
        <f t="shared" si="74"/>
        <v>E</v>
      </c>
      <c r="I300" s="198">
        <f>'School Level ADM'!$BI300</f>
        <v>453.61400000000003</v>
      </c>
      <c r="J300" s="194">
        <f t="shared" si="60"/>
        <v>60132</v>
      </c>
      <c r="K300" s="194">
        <f t="shared" si="61"/>
        <v>0</v>
      </c>
      <c r="L300" s="194">
        <f t="shared" si="62"/>
        <v>0</v>
      </c>
      <c r="M300" s="194">
        <f t="shared" si="63"/>
        <v>0</v>
      </c>
      <c r="N300" s="194">
        <f t="shared" si="64"/>
        <v>0</v>
      </c>
      <c r="O300" s="194">
        <f t="shared" si="65"/>
        <v>0</v>
      </c>
      <c r="P300" s="194">
        <f t="shared" si="66"/>
        <v>60132</v>
      </c>
      <c r="Q300" s="198">
        <f>'School Level ADM'!$AU300</f>
        <v>455.07000000000005</v>
      </c>
      <c r="R300" s="194">
        <f t="shared" si="67"/>
        <v>60132</v>
      </c>
      <c r="S300" s="194">
        <f t="shared" si="68"/>
        <v>0</v>
      </c>
      <c r="T300" s="194">
        <f t="shared" si="69"/>
        <v>0</v>
      </c>
      <c r="U300" s="194">
        <f t="shared" si="70"/>
        <v>0</v>
      </c>
      <c r="V300" s="194">
        <f t="shared" si="71"/>
        <v>0</v>
      </c>
      <c r="W300" s="194">
        <f t="shared" si="72"/>
        <v>0</v>
      </c>
      <c r="X300" s="194">
        <f t="shared" si="73"/>
        <v>60132</v>
      </c>
    </row>
    <row r="301" spans="1:24" x14ac:dyDescent="0.2">
      <c r="A301" s="227" t="str">
        <f>'School Level Inst. Resources'!A301</f>
        <v>1901000</v>
      </c>
      <c r="B301" s="227" t="str">
        <f>'School Level Inst. Resources'!B301</f>
        <v>Sweetwater #1</v>
      </c>
      <c r="C301" s="227" t="str">
        <f>'School Level Inst. Resources'!C301</f>
        <v>1901006</v>
      </c>
      <c r="D301" s="227" t="str">
        <f>'School Level Inst. Resources'!D301</f>
        <v>Overland Elementary</v>
      </c>
      <c r="E301" s="228" t="str">
        <f>'School Level Inst. Resources'!E301</f>
        <v>K-4</v>
      </c>
      <c r="F301" s="229" t="str">
        <f>'School Level Inst. Resources'!H301</f>
        <v>E</v>
      </c>
      <c r="G301" s="229" t="s">
        <v>1158</v>
      </c>
      <c r="H301" s="229" t="str">
        <f t="shared" si="74"/>
        <v>E</v>
      </c>
      <c r="I301" s="198">
        <f>'School Level ADM'!$BI301</f>
        <v>267.13528571428571</v>
      </c>
      <c r="J301" s="194">
        <f t="shared" si="60"/>
        <v>40952</v>
      </c>
      <c r="K301" s="194">
        <f t="shared" si="61"/>
        <v>0</v>
      </c>
      <c r="L301" s="194">
        <f t="shared" si="62"/>
        <v>0</v>
      </c>
      <c r="M301" s="194">
        <f t="shared" si="63"/>
        <v>0</v>
      </c>
      <c r="N301" s="194">
        <f t="shared" si="64"/>
        <v>0</v>
      </c>
      <c r="O301" s="194">
        <f t="shared" si="65"/>
        <v>0</v>
      </c>
      <c r="P301" s="194">
        <f t="shared" si="66"/>
        <v>40952</v>
      </c>
      <c r="Q301" s="198">
        <f>'School Level ADM'!$AU301</f>
        <v>258.07</v>
      </c>
      <c r="R301" s="194">
        <f t="shared" si="67"/>
        <v>40952</v>
      </c>
      <c r="S301" s="194">
        <f t="shared" si="68"/>
        <v>0</v>
      </c>
      <c r="T301" s="194">
        <f t="shared" si="69"/>
        <v>0</v>
      </c>
      <c r="U301" s="194">
        <f t="shared" si="70"/>
        <v>0</v>
      </c>
      <c r="V301" s="194">
        <f t="shared" si="71"/>
        <v>0</v>
      </c>
      <c r="W301" s="194">
        <f t="shared" si="72"/>
        <v>0</v>
      </c>
      <c r="X301" s="194">
        <f t="shared" si="73"/>
        <v>40952</v>
      </c>
    </row>
    <row r="302" spans="1:24" x14ac:dyDescent="0.2">
      <c r="A302" s="227" t="str">
        <f>'School Level Inst. Resources'!A302</f>
        <v>1901000</v>
      </c>
      <c r="B302" s="227" t="str">
        <f>'School Level Inst. Resources'!B302</f>
        <v>Sweetwater #1</v>
      </c>
      <c r="C302" s="227" t="str">
        <f>'School Level Inst. Resources'!C302</f>
        <v>1901010</v>
      </c>
      <c r="D302" s="227" t="str">
        <f>'School Level Inst. Resources'!D302</f>
        <v>Walnut Elementary</v>
      </c>
      <c r="E302" s="228" t="str">
        <f>'School Level Inst. Resources'!E302</f>
        <v>K-4</v>
      </c>
      <c r="F302" s="229" t="str">
        <f>'School Level Inst. Resources'!H302</f>
        <v>E</v>
      </c>
      <c r="G302" s="229" t="s">
        <v>1158</v>
      </c>
      <c r="H302" s="229" t="str">
        <f t="shared" si="74"/>
        <v>E</v>
      </c>
      <c r="I302" s="198">
        <f>'School Level ADM'!$BI302</f>
        <v>240.47928571428571</v>
      </c>
      <c r="J302" s="194">
        <f t="shared" si="60"/>
        <v>37870</v>
      </c>
      <c r="K302" s="194">
        <f t="shared" si="61"/>
        <v>0</v>
      </c>
      <c r="L302" s="194">
        <f t="shared" si="62"/>
        <v>0</v>
      </c>
      <c r="M302" s="194">
        <f t="shared" si="63"/>
        <v>0</v>
      </c>
      <c r="N302" s="194">
        <f t="shared" si="64"/>
        <v>0</v>
      </c>
      <c r="O302" s="194">
        <f t="shared" si="65"/>
        <v>0</v>
      </c>
      <c r="P302" s="194">
        <f t="shared" si="66"/>
        <v>37870</v>
      </c>
      <c r="Q302" s="198">
        <f>'School Level ADM'!$AU302</f>
        <v>301.41000000000003</v>
      </c>
      <c r="R302" s="194">
        <f t="shared" si="67"/>
        <v>37870</v>
      </c>
      <c r="S302" s="194">
        <f t="shared" si="68"/>
        <v>0</v>
      </c>
      <c r="T302" s="194">
        <f t="shared" si="69"/>
        <v>0</v>
      </c>
      <c r="U302" s="194">
        <f t="shared" si="70"/>
        <v>0</v>
      </c>
      <c r="V302" s="194">
        <f t="shared" si="71"/>
        <v>0</v>
      </c>
      <c r="W302" s="194">
        <f t="shared" si="72"/>
        <v>0</v>
      </c>
      <c r="X302" s="194">
        <f t="shared" si="73"/>
        <v>37870</v>
      </c>
    </row>
    <row r="303" spans="1:24" x14ac:dyDescent="0.2">
      <c r="A303" s="227" t="str">
        <f>'School Level Inst. Resources'!A303</f>
        <v>1901000</v>
      </c>
      <c r="B303" s="227" t="str">
        <f>'School Level Inst. Resources'!B303</f>
        <v>Sweetwater #1</v>
      </c>
      <c r="C303" s="227" t="str">
        <f>'School Level Inst. Resources'!C303</f>
        <v>1901013</v>
      </c>
      <c r="D303" s="227" t="str">
        <f>'School Level Inst. Resources'!D303</f>
        <v>Northpark Elementary</v>
      </c>
      <c r="E303" s="228" t="str">
        <f>'School Level Inst. Resources'!E303</f>
        <v>K-4</v>
      </c>
      <c r="F303" s="229" t="str">
        <f>'School Level Inst. Resources'!H303</f>
        <v>E</v>
      </c>
      <c r="G303" s="229" t="s">
        <v>1158</v>
      </c>
      <c r="H303" s="229" t="str">
        <f t="shared" si="74"/>
        <v>E</v>
      </c>
      <c r="I303" s="198">
        <f>'School Level ADM'!$BI303</f>
        <v>324.25528571428572</v>
      </c>
      <c r="J303" s="194">
        <f t="shared" si="60"/>
        <v>47138</v>
      </c>
      <c r="K303" s="194">
        <f t="shared" si="61"/>
        <v>0</v>
      </c>
      <c r="L303" s="194">
        <f t="shared" si="62"/>
        <v>0</v>
      </c>
      <c r="M303" s="194">
        <f t="shared" si="63"/>
        <v>0</v>
      </c>
      <c r="N303" s="194">
        <f t="shared" si="64"/>
        <v>0</v>
      </c>
      <c r="O303" s="194">
        <f t="shared" si="65"/>
        <v>0</v>
      </c>
      <c r="P303" s="194">
        <f t="shared" si="66"/>
        <v>47138</v>
      </c>
      <c r="Q303" s="198">
        <f>'School Level ADM'!$AU303</f>
        <v>299.44</v>
      </c>
      <c r="R303" s="194">
        <f t="shared" si="67"/>
        <v>47138</v>
      </c>
      <c r="S303" s="194">
        <f t="shared" si="68"/>
        <v>0</v>
      </c>
      <c r="T303" s="194">
        <f t="shared" si="69"/>
        <v>0</v>
      </c>
      <c r="U303" s="194">
        <f t="shared" si="70"/>
        <v>0</v>
      </c>
      <c r="V303" s="194">
        <f t="shared" si="71"/>
        <v>0</v>
      </c>
      <c r="W303" s="194">
        <f t="shared" si="72"/>
        <v>0</v>
      </c>
      <c r="X303" s="194">
        <f t="shared" si="73"/>
        <v>47138</v>
      </c>
    </row>
    <row r="304" spans="1:24" x14ac:dyDescent="0.2">
      <c r="A304" s="227" t="str">
        <f>'School Level Inst. Resources'!A304</f>
        <v>1901000</v>
      </c>
      <c r="B304" s="227" t="str">
        <f>'School Level Inst. Resources'!B304</f>
        <v>Sweetwater #1</v>
      </c>
      <c r="C304" s="227" t="str">
        <f>'School Level Inst. Resources'!C304</f>
        <v>1901014</v>
      </c>
      <c r="D304" s="227" t="str">
        <f>'School Level Inst. Resources'!D304</f>
        <v>Westridge Elementary</v>
      </c>
      <c r="E304" s="228" t="str">
        <f>'School Level Inst. Resources'!E304</f>
        <v>K-4</v>
      </c>
      <c r="F304" s="229" t="str">
        <f>'School Level Inst. Resources'!H304</f>
        <v>E</v>
      </c>
      <c r="G304" s="229" t="s">
        <v>1158</v>
      </c>
      <c r="H304" s="229" t="str">
        <f t="shared" si="74"/>
        <v>E</v>
      </c>
      <c r="I304" s="198">
        <f>'School Level ADM'!$BI304</f>
        <v>364.6792857142857</v>
      </c>
      <c r="J304" s="194">
        <f t="shared" si="60"/>
        <v>51275</v>
      </c>
      <c r="K304" s="194">
        <f t="shared" si="61"/>
        <v>0</v>
      </c>
      <c r="L304" s="194">
        <f t="shared" si="62"/>
        <v>0</v>
      </c>
      <c r="M304" s="194">
        <f t="shared" si="63"/>
        <v>0</v>
      </c>
      <c r="N304" s="194">
        <f t="shared" si="64"/>
        <v>0</v>
      </c>
      <c r="O304" s="194">
        <f t="shared" si="65"/>
        <v>0</v>
      </c>
      <c r="P304" s="194">
        <f t="shared" si="66"/>
        <v>51275</v>
      </c>
      <c r="Q304" s="198">
        <f>'School Level ADM'!$AU304</f>
        <v>341.79500000000002</v>
      </c>
      <c r="R304" s="194">
        <f t="shared" si="67"/>
        <v>51275</v>
      </c>
      <c r="S304" s="194">
        <f t="shared" si="68"/>
        <v>0</v>
      </c>
      <c r="T304" s="194">
        <f t="shared" si="69"/>
        <v>0</v>
      </c>
      <c r="U304" s="194">
        <f t="shared" si="70"/>
        <v>0</v>
      </c>
      <c r="V304" s="194">
        <f t="shared" si="71"/>
        <v>0</v>
      </c>
      <c r="W304" s="194">
        <f t="shared" si="72"/>
        <v>0</v>
      </c>
      <c r="X304" s="194">
        <f t="shared" si="73"/>
        <v>51275</v>
      </c>
    </row>
    <row r="305" spans="1:24" x14ac:dyDescent="0.2">
      <c r="A305" s="227" t="str">
        <f>'School Level Inst. Resources'!A305</f>
        <v>1901000</v>
      </c>
      <c r="B305" s="227" t="str">
        <f>'School Level Inst. Resources'!B305</f>
        <v>Sweetwater #1</v>
      </c>
      <c r="C305" s="227" t="str">
        <f>'School Level Inst. Resources'!C305</f>
        <v>1901015</v>
      </c>
      <c r="D305" s="227" t="str">
        <f>'School Level Inst. Resources'!D305</f>
        <v>Pilot Butte Elementary</v>
      </c>
      <c r="E305" s="228" t="str">
        <f>'School Level Inst. Resources'!E305</f>
        <v>5-6</v>
      </c>
      <c r="F305" s="229" t="str">
        <f>'School Level Inst. Resources'!H305</f>
        <v>E</v>
      </c>
      <c r="G305" s="229" t="s">
        <v>1158</v>
      </c>
      <c r="H305" s="229" t="str">
        <f t="shared" si="74"/>
        <v>E</v>
      </c>
      <c r="I305" s="198">
        <f>'School Level ADM'!$BI305</f>
        <v>446.58299999999997</v>
      </c>
      <c r="J305" s="194">
        <f t="shared" si="60"/>
        <v>59429</v>
      </c>
      <c r="K305" s="194">
        <f t="shared" si="61"/>
        <v>0</v>
      </c>
      <c r="L305" s="194">
        <f t="shared" si="62"/>
        <v>0</v>
      </c>
      <c r="M305" s="194">
        <f t="shared" si="63"/>
        <v>0</v>
      </c>
      <c r="N305" s="194">
        <f t="shared" si="64"/>
        <v>0</v>
      </c>
      <c r="O305" s="194">
        <f t="shared" si="65"/>
        <v>0</v>
      </c>
      <c r="P305" s="194">
        <f t="shared" si="66"/>
        <v>59429</v>
      </c>
      <c r="Q305" s="198">
        <f>'School Level ADM'!$AU305</f>
        <v>442.26499999999999</v>
      </c>
      <c r="R305" s="194">
        <f t="shared" si="67"/>
        <v>59429</v>
      </c>
      <c r="S305" s="194">
        <f t="shared" si="68"/>
        <v>0</v>
      </c>
      <c r="T305" s="194">
        <f t="shared" si="69"/>
        <v>0</v>
      </c>
      <c r="U305" s="194">
        <f t="shared" si="70"/>
        <v>0</v>
      </c>
      <c r="V305" s="194">
        <f t="shared" si="71"/>
        <v>0</v>
      </c>
      <c r="W305" s="194">
        <f t="shared" si="72"/>
        <v>0</v>
      </c>
      <c r="X305" s="194">
        <f t="shared" si="73"/>
        <v>59429</v>
      </c>
    </row>
    <row r="306" spans="1:24" x14ac:dyDescent="0.2">
      <c r="A306" s="227" t="str">
        <f>'School Level Inst. Resources'!A306</f>
        <v>1901000</v>
      </c>
      <c r="B306" s="227" t="str">
        <f>'School Level Inst. Resources'!B306</f>
        <v>Sweetwater #1</v>
      </c>
      <c r="C306" s="227" t="str">
        <f>'School Level Inst. Resources'!C306</f>
        <v>1901016</v>
      </c>
      <c r="D306" s="227" t="str">
        <f>'School Level Inst. Resources'!D306</f>
        <v>Sage Elementary</v>
      </c>
      <c r="E306" s="228" t="str">
        <f>'School Level Inst. Resources'!E306</f>
        <v>K-4</v>
      </c>
      <c r="F306" s="229" t="str">
        <f>'School Level Inst. Resources'!H306</f>
        <v>E</v>
      </c>
      <c r="G306" s="229" t="s">
        <v>1158</v>
      </c>
      <c r="H306" s="229" t="str">
        <f t="shared" si="74"/>
        <v>E</v>
      </c>
      <c r="I306" s="198">
        <f>'School Level ADM'!$BI306</f>
        <v>354.41628571428566</v>
      </c>
      <c r="J306" s="194">
        <f t="shared" si="60"/>
        <v>50238</v>
      </c>
      <c r="K306" s="194">
        <f t="shared" si="61"/>
        <v>0</v>
      </c>
      <c r="L306" s="194">
        <f t="shared" si="62"/>
        <v>0</v>
      </c>
      <c r="M306" s="194">
        <f t="shared" si="63"/>
        <v>0</v>
      </c>
      <c r="N306" s="194">
        <f t="shared" si="64"/>
        <v>0</v>
      </c>
      <c r="O306" s="194">
        <f t="shared" si="65"/>
        <v>0</v>
      </c>
      <c r="P306" s="194">
        <f t="shared" si="66"/>
        <v>50238</v>
      </c>
      <c r="Q306" s="198">
        <f>'School Level ADM'!$AU306</f>
        <v>294.51499999999999</v>
      </c>
      <c r="R306" s="194">
        <f t="shared" si="67"/>
        <v>50238</v>
      </c>
      <c r="S306" s="194">
        <f t="shared" si="68"/>
        <v>0</v>
      </c>
      <c r="T306" s="194">
        <f t="shared" si="69"/>
        <v>0</v>
      </c>
      <c r="U306" s="194">
        <f t="shared" si="70"/>
        <v>0</v>
      </c>
      <c r="V306" s="194">
        <f t="shared" si="71"/>
        <v>0</v>
      </c>
      <c r="W306" s="194">
        <f t="shared" si="72"/>
        <v>0</v>
      </c>
      <c r="X306" s="194">
        <f t="shared" si="73"/>
        <v>50238</v>
      </c>
    </row>
    <row r="307" spans="1:24" x14ac:dyDescent="0.2">
      <c r="A307" s="227" t="str">
        <f>'School Level Inst. Resources'!A307</f>
        <v>1901000</v>
      </c>
      <c r="B307" s="227" t="str">
        <f>'School Level Inst. Resources'!B307</f>
        <v>Sweetwater #1</v>
      </c>
      <c r="C307" s="227" t="str">
        <f>'School Level Inst. Resources'!C307</f>
        <v>1901018</v>
      </c>
      <c r="D307" s="227" t="str">
        <f>'School Level Inst. Resources'!D307</f>
        <v>Stagecoach Elementary</v>
      </c>
      <c r="E307" s="228" t="str">
        <f>'School Level Inst. Resources'!E307</f>
        <v>K-4</v>
      </c>
      <c r="F307" s="229" t="str">
        <f>'School Level Inst. Resources'!H307</f>
        <v>E</v>
      </c>
      <c r="G307" s="229" t="s">
        <v>1158</v>
      </c>
      <c r="H307" s="229" t="str">
        <f t="shared" si="74"/>
        <v>E</v>
      </c>
      <c r="I307" s="198">
        <f>'School Level ADM'!$BI307</f>
        <v>430.76428571428573</v>
      </c>
      <c r="J307" s="194">
        <f t="shared" si="60"/>
        <v>57854</v>
      </c>
      <c r="K307" s="194">
        <f t="shared" si="61"/>
        <v>0</v>
      </c>
      <c r="L307" s="194">
        <f t="shared" si="62"/>
        <v>0</v>
      </c>
      <c r="M307" s="194">
        <f t="shared" si="63"/>
        <v>0</v>
      </c>
      <c r="N307" s="194">
        <f t="shared" si="64"/>
        <v>0</v>
      </c>
      <c r="O307" s="194">
        <f t="shared" si="65"/>
        <v>0</v>
      </c>
      <c r="P307" s="194">
        <f t="shared" si="66"/>
        <v>57854</v>
      </c>
      <c r="Q307" s="198">
        <f>'School Level ADM'!$AU307</f>
        <v>295.5</v>
      </c>
      <c r="R307" s="194">
        <f t="shared" si="67"/>
        <v>57854</v>
      </c>
      <c r="S307" s="194">
        <f t="shared" si="68"/>
        <v>0</v>
      </c>
      <c r="T307" s="194">
        <f t="shared" si="69"/>
        <v>0</v>
      </c>
      <c r="U307" s="194">
        <f t="shared" si="70"/>
        <v>0</v>
      </c>
      <c r="V307" s="194">
        <f t="shared" si="71"/>
        <v>0</v>
      </c>
      <c r="W307" s="194">
        <f t="shared" si="72"/>
        <v>0</v>
      </c>
      <c r="X307" s="194">
        <f t="shared" si="73"/>
        <v>57854</v>
      </c>
    </row>
    <row r="308" spans="1:24" x14ac:dyDescent="0.2">
      <c r="A308" s="230" t="str">
        <f>'School Level Inst. Resources'!A308</f>
        <v>1901000</v>
      </c>
      <c r="B308" s="230" t="str">
        <f>'School Level Inst. Resources'!B308</f>
        <v>Sweetwater #1</v>
      </c>
      <c r="C308" s="230" t="str">
        <f>'School Level Inst. Resources'!C308</f>
        <v>1901050</v>
      </c>
      <c r="D308" s="230" t="str">
        <f>'School Level Inst. Resources'!D308</f>
        <v>Rock Springs Junior High</v>
      </c>
      <c r="E308" s="231" t="str">
        <f>'School Level Inst. Resources'!E308</f>
        <v>7-8</v>
      </c>
      <c r="F308" s="232" t="str">
        <f>'School Level Inst. Resources'!H308</f>
        <v>M</v>
      </c>
      <c r="G308" s="232" t="s">
        <v>1158</v>
      </c>
      <c r="H308" s="232" t="str">
        <f t="shared" si="74"/>
        <v>M</v>
      </c>
      <c r="I308" s="198">
        <f>'School Level ADM'!$BI308</f>
        <v>798.30899999999997</v>
      </c>
      <c r="J308" s="194">
        <f t="shared" si="60"/>
        <v>0</v>
      </c>
      <c r="K308" s="194">
        <f t="shared" si="61"/>
        <v>118357</v>
      </c>
      <c r="L308" s="194">
        <f t="shared" si="62"/>
        <v>0</v>
      </c>
      <c r="M308" s="194">
        <f t="shared" si="63"/>
        <v>0</v>
      </c>
      <c r="N308" s="194">
        <f t="shared" si="64"/>
        <v>0</v>
      </c>
      <c r="O308" s="194">
        <f t="shared" si="65"/>
        <v>0</v>
      </c>
      <c r="P308" s="194">
        <f t="shared" si="66"/>
        <v>118357</v>
      </c>
      <c r="Q308" s="198">
        <f>'School Level ADM'!$AU308</f>
        <v>799.81999999999994</v>
      </c>
      <c r="R308" s="194">
        <f t="shared" si="67"/>
        <v>0</v>
      </c>
      <c r="S308" s="194">
        <f t="shared" si="68"/>
        <v>118357</v>
      </c>
      <c r="T308" s="194">
        <f t="shared" si="69"/>
        <v>0</v>
      </c>
      <c r="U308" s="194">
        <f t="shared" si="70"/>
        <v>0</v>
      </c>
      <c r="V308" s="194">
        <f t="shared" si="71"/>
        <v>0</v>
      </c>
      <c r="W308" s="194">
        <f t="shared" si="72"/>
        <v>0</v>
      </c>
      <c r="X308" s="194">
        <f t="shared" si="73"/>
        <v>118357</v>
      </c>
    </row>
    <row r="309" spans="1:24" s="226" customFormat="1" x14ac:dyDescent="0.2">
      <c r="A309" s="210" t="str">
        <f>'School Level Inst. Resources'!A309</f>
        <v>1901000</v>
      </c>
      <c r="B309" s="210" t="str">
        <f>'School Level Inst. Resources'!B309</f>
        <v>Sweetwater #1</v>
      </c>
      <c r="C309" s="210" t="str">
        <f>'School Level Inst. Resources'!C309</f>
        <v>1901053</v>
      </c>
      <c r="D309" s="210" t="str">
        <f>'School Level Inst. Resources'!D309</f>
        <v>Desert Middle School</v>
      </c>
      <c r="E309" s="211" t="str">
        <f>'School Level Inst. Resources'!E309</f>
        <v>7-8</v>
      </c>
      <c r="F309" s="212" t="str">
        <f>'School Level Inst. Resources'!H309</f>
        <v>M</v>
      </c>
      <c r="G309" s="212" t="s">
        <v>1158</v>
      </c>
      <c r="H309" s="212" t="s">
        <v>376</v>
      </c>
      <c r="I309" s="218">
        <f>SUM('School Level ADM'!$BI297,'School Level ADM'!$BI309)</f>
        <v>32.417999999999999</v>
      </c>
      <c r="J309" s="214">
        <f t="shared" si="60"/>
        <v>0</v>
      </c>
      <c r="K309" s="214">
        <f t="shared" si="61"/>
        <v>0</v>
      </c>
      <c r="L309" s="214">
        <f t="shared" si="62"/>
        <v>0</v>
      </c>
      <c r="M309" s="214">
        <f t="shared" si="63"/>
        <v>11087</v>
      </c>
      <c r="N309" s="214">
        <f t="shared" si="64"/>
        <v>0</v>
      </c>
      <c r="O309" s="214">
        <f t="shared" si="65"/>
        <v>0</v>
      </c>
      <c r="P309" s="214">
        <f t="shared" si="66"/>
        <v>11087</v>
      </c>
      <c r="Q309" s="218">
        <f>SUM('School Level ADM'!$AU297,'School Level ADM'!$AU309)</f>
        <v>30.534999999999993</v>
      </c>
      <c r="R309" s="214">
        <f t="shared" si="67"/>
        <v>0</v>
      </c>
      <c r="S309" s="214">
        <f t="shared" si="68"/>
        <v>0</v>
      </c>
      <c r="T309" s="214">
        <f t="shared" si="69"/>
        <v>0</v>
      </c>
      <c r="U309" s="214">
        <f t="shared" si="70"/>
        <v>11087</v>
      </c>
      <c r="V309" s="214">
        <f t="shared" si="71"/>
        <v>0</v>
      </c>
      <c r="W309" s="214">
        <f t="shared" si="72"/>
        <v>0</v>
      </c>
      <c r="X309" s="214">
        <f t="shared" si="73"/>
        <v>11087</v>
      </c>
    </row>
    <row r="310" spans="1:24" s="226" customFormat="1" x14ac:dyDescent="0.2">
      <c r="A310" s="210" t="str">
        <f>'School Level Inst. Resources'!A310</f>
        <v>1901000</v>
      </c>
      <c r="B310" s="210" t="str">
        <f>'School Level Inst. Resources'!B310</f>
        <v>Sweetwater #1</v>
      </c>
      <c r="C310" s="210" t="str">
        <f>'School Level Inst. Resources'!C310</f>
        <v>1901054</v>
      </c>
      <c r="D310" s="210" t="str">
        <f>'School Level Inst. Resources'!D310</f>
        <v>Farson-Eden Middle School</v>
      </c>
      <c r="E310" s="211" t="str">
        <f>'School Level Inst. Resources'!E310</f>
        <v>6-8</v>
      </c>
      <c r="F310" s="212" t="str">
        <f>'School Level Inst. Resources'!H310</f>
        <v>M</v>
      </c>
      <c r="G310" s="212" t="s">
        <v>1159</v>
      </c>
      <c r="H310" s="212" t="str">
        <f t="shared" si="74"/>
        <v>M</v>
      </c>
      <c r="I310" s="217">
        <v>0</v>
      </c>
      <c r="J310" s="293">
        <f t="shared" si="60"/>
        <v>0</v>
      </c>
      <c r="K310" s="293">
        <f t="shared" si="61"/>
        <v>0</v>
      </c>
      <c r="L310" s="293">
        <f t="shared" si="62"/>
        <v>0</v>
      </c>
      <c r="M310" s="293">
        <f t="shared" si="63"/>
        <v>0</v>
      </c>
      <c r="N310" s="293">
        <f t="shared" si="64"/>
        <v>0</v>
      </c>
      <c r="O310" s="293">
        <f t="shared" si="65"/>
        <v>0</v>
      </c>
      <c r="P310" s="293">
        <f t="shared" si="66"/>
        <v>0</v>
      </c>
      <c r="Q310" s="217">
        <v>0</v>
      </c>
      <c r="R310" s="293">
        <f t="shared" si="67"/>
        <v>0</v>
      </c>
      <c r="S310" s="293">
        <f t="shared" si="68"/>
        <v>0</v>
      </c>
      <c r="T310" s="293">
        <f t="shared" si="69"/>
        <v>0</v>
      </c>
      <c r="U310" s="293">
        <f t="shared" si="70"/>
        <v>0</v>
      </c>
      <c r="V310" s="293">
        <f t="shared" si="71"/>
        <v>0</v>
      </c>
      <c r="W310" s="293">
        <f t="shared" si="72"/>
        <v>0</v>
      </c>
      <c r="X310" s="293">
        <f t="shared" si="73"/>
        <v>0</v>
      </c>
    </row>
    <row r="311" spans="1:24" s="226" customFormat="1" x14ac:dyDescent="0.2">
      <c r="A311" s="210" t="str">
        <f>'School Level Inst. Resources'!A311</f>
        <v>1901000</v>
      </c>
      <c r="B311" s="210" t="str">
        <f>'School Level Inst. Resources'!B311</f>
        <v>Sweetwater #1</v>
      </c>
      <c r="C311" s="210" t="str">
        <f>'School Level Inst. Resources'!C311</f>
        <v>1901055</v>
      </c>
      <c r="D311" s="210" t="str">
        <f>'School Level Inst. Resources'!D311</f>
        <v>Farson-Eden High School</v>
      </c>
      <c r="E311" s="211" t="str">
        <f>'School Level Inst. Resources'!E311</f>
        <v>9-12</v>
      </c>
      <c r="F311" s="212" t="str">
        <f>'School Level Inst. Resources'!H311</f>
        <v>H</v>
      </c>
      <c r="G311" s="212" t="s">
        <v>1158</v>
      </c>
      <c r="H311" s="212" t="s">
        <v>474</v>
      </c>
      <c r="I311" s="218">
        <f>SUM('School Level ADM'!$BI299,'School Level ADM'!$BI310,'School Level ADM'!$BI311)</f>
        <v>176.40299999999999</v>
      </c>
      <c r="J311" s="214">
        <f t="shared" si="60"/>
        <v>0</v>
      </c>
      <c r="K311" s="214">
        <f t="shared" si="61"/>
        <v>0</v>
      </c>
      <c r="L311" s="214">
        <f t="shared" si="62"/>
        <v>0</v>
      </c>
      <c r="M311" s="214">
        <f t="shared" si="63"/>
        <v>0</v>
      </c>
      <c r="N311" s="214">
        <f t="shared" si="64"/>
        <v>0</v>
      </c>
      <c r="O311" s="214">
        <f t="shared" si="65"/>
        <v>61339</v>
      </c>
      <c r="P311" s="214">
        <f t="shared" si="66"/>
        <v>61339</v>
      </c>
      <c r="Q311" s="218">
        <f>SUM('School Level ADM'!$AU299,'School Level ADM'!$AU310,'School Level ADM'!$AU311)</f>
        <v>158.58499999999998</v>
      </c>
      <c r="R311" s="214">
        <f t="shared" si="67"/>
        <v>0</v>
      </c>
      <c r="S311" s="214">
        <f t="shared" si="68"/>
        <v>0</v>
      </c>
      <c r="T311" s="214">
        <f t="shared" si="69"/>
        <v>0</v>
      </c>
      <c r="U311" s="214">
        <f t="shared" si="70"/>
        <v>0</v>
      </c>
      <c r="V311" s="214">
        <f t="shared" si="71"/>
        <v>0</v>
      </c>
      <c r="W311" s="214">
        <f t="shared" si="72"/>
        <v>61339</v>
      </c>
      <c r="X311" s="214">
        <f t="shared" si="73"/>
        <v>61339</v>
      </c>
    </row>
    <row r="312" spans="1:24" x14ac:dyDescent="0.2">
      <c r="A312" s="227" t="str">
        <f>'School Level Inst. Resources'!A312</f>
        <v>1901000</v>
      </c>
      <c r="B312" s="227" t="str">
        <f>'School Level Inst. Resources'!B312</f>
        <v>Sweetwater #1</v>
      </c>
      <c r="C312" s="227" t="str">
        <f>'School Level Inst. Resources'!C312</f>
        <v>1901056</v>
      </c>
      <c r="D312" s="227" t="str">
        <f>'School Level Inst. Resources'!D312</f>
        <v>Rock Springs High School</v>
      </c>
      <c r="E312" s="228" t="str">
        <f>'School Level Inst. Resources'!E312</f>
        <v>9-12</v>
      </c>
      <c r="F312" s="229" t="str">
        <f>'School Level Inst. Resources'!H312</f>
        <v>H</v>
      </c>
      <c r="G312" s="229" t="s">
        <v>1158</v>
      </c>
      <c r="H312" s="229" t="str">
        <f t="shared" si="74"/>
        <v>H</v>
      </c>
      <c r="I312" s="198">
        <f>'School Level ADM'!$BI312</f>
        <v>1325.8249999999998</v>
      </c>
      <c r="J312" s="194">
        <f t="shared" si="60"/>
        <v>0</v>
      </c>
      <c r="K312" s="194">
        <f t="shared" si="61"/>
        <v>0</v>
      </c>
      <c r="L312" s="194">
        <f t="shared" si="62"/>
        <v>222247</v>
      </c>
      <c r="M312" s="194">
        <f t="shared" si="63"/>
        <v>0</v>
      </c>
      <c r="N312" s="194">
        <f t="shared" si="64"/>
        <v>0</v>
      </c>
      <c r="O312" s="194">
        <f t="shared" si="65"/>
        <v>0</v>
      </c>
      <c r="P312" s="194">
        <f t="shared" si="66"/>
        <v>222247</v>
      </c>
      <c r="Q312" s="198">
        <f>'School Level ADM'!$AU312</f>
        <v>1384.9099999999999</v>
      </c>
      <c r="R312" s="194">
        <f t="shared" si="67"/>
        <v>0</v>
      </c>
      <c r="S312" s="194">
        <f t="shared" si="68"/>
        <v>0</v>
      </c>
      <c r="T312" s="194">
        <f t="shared" si="69"/>
        <v>222247</v>
      </c>
      <c r="U312" s="194">
        <f t="shared" si="70"/>
        <v>0</v>
      </c>
      <c r="V312" s="194">
        <f t="shared" si="71"/>
        <v>0</v>
      </c>
      <c r="W312" s="194">
        <f t="shared" si="72"/>
        <v>0</v>
      </c>
      <c r="X312" s="194">
        <f t="shared" si="73"/>
        <v>222247</v>
      </c>
    </row>
    <row r="313" spans="1:24" x14ac:dyDescent="0.2">
      <c r="A313" s="227" t="str">
        <f>'School Level Inst. Resources'!A313</f>
        <v>1901000</v>
      </c>
      <c r="B313" s="227" t="str">
        <f>'School Level Inst. Resources'!B313</f>
        <v>Sweetwater #1</v>
      </c>
      <c r="C313" s="227" t="str">
        <f>'School Level Inst. Resources'!C313</f>
        <v>1901057</v>
      </c>
      <c r="D313" s="227" t="str">
        <f>'School Level Inst. Resources'!D313</f>
        <v>Black Butte High School</v>
      </c>
      <c r="E313" s="228" t="str">
        <f>'School Level Inst. Resources'!E313</f>
        <v>9-12</v>
      </c>
      <c r="F313" s="229" t="str">
        <f>'School Level Inst. Resources'!H313</f>
        <v>H</v>
      </c>
      <c r="G313" s="229" t="s">
        <v>1158</v>
      </c>
      <c r="H313" s="229" t="str">
        <f t="shared" si="74"/>
        <v>H</v>
      </c>
      <c r="I313" s="198">
        <f>'School Level ADM'!$BI313</f>
        <v>94.628999999999991</v>
      </c>
      <c r="J313" s="194">
        <f t="shared" si="60"/>
        <v>0</v>
      </c>
      <c r="K313" s="194">
        <f t="shared" si="61"/>
        <v>0</v>
      </c>
      <c r="L313" s="194">
        <f t="shared" si="62"/>
        <v>34230</v>
      </c>
      <c r="M313" s="194">
        <f t="shared" si="63"/>
        <v>0</v>
      </c>
      <c r="N313" s="194">
        <f t="shared" si="64"/>
        <v>0</v>
      </c>
      <c r="O313" s="194">
        <f t="shared" si="65"/>
        <v>0</v>
      </c>
      <c r="P313" s="194">
        <f t="shared" si="66"/>
        <v>34230</v>
      </c>
      <c r="Q313" s="198">
        <f>'School Level ADM'!$AU313</f>
        <v>90.62</v>
      </c>
      <c r="R313" s="194">
        <f t="shared" si="67"/>
        <v>0</v>
      </c>
      <c r="S313" s="194">
        <f t="shared" si="68"/>
        <v>0</v>
      </c>
      <c r="T313" s="194">
        <f t="shared" si="69"/>
        <v>34230</v>
      </c>
      <c r="U313" s="194">
        <f t="shared" si="70"/>
        <v>0</v>
      </c>
      <c r="V313" s="194">
        <f t="shared" si="71"/>
        <v>0</v>
      </c>
      <c r="W313" s="194">
        <f t="shared" si="72"/>
        <v>0</v>
      </c>
      <c r="X313" s="194">
        <f t="shared" si="73"/>
        <v>34230</v>
      </c>
    </row>
    <row r="314" spans="1:24" x14ac:dyDescent="0.2">
      <c r="A314" s="227" t="str">
        <f>'School Level Inst. Resources'!A314</f>
        <v>1902000</v>
      </c>
      <c r="B314" s="227" t="str">
        <f>'School Level Inst. Resources'!B314</f>
        <v>Sweetwater #2</v>
      </c>
      <c r="C314" s="227" t="str">
        <f>'School Level Inst. Resources'!C314</f>
        <v>1902001</v>
      </c>
      <c r="D314" s="227" t="str">
        <f>'School Level Inst. Resources'!D314</f>
        <v>Granger Elementary</v>
      </c>
      <c r="E314" s="228" t="str">
        <f>'School Level Inst. Resources'!E314</f>
        <v>K-4</v>
      </c>
      <c r="F314" s="229" t="str">
        <f>'School Level Inst. Resources'!H314</f>
        <v>E</v>
      </c>
      <c r="G314" s="229" t="s">
        <v>1158</v>
      </c>
      <c r="H314" s="229" t="str">
        <f t="shared" si="74"/>
        <v>E</v>
      </c>
      <c r="I314" s="198">
        <f>'School Level ADM'!$BI314</f>
        <v>3.7199999999999998</v>
      </c>
      <c r="J314" s="194">
        <f t="shared" si="60"/>
        <v>2915</v>
      </c>
      <c r="K314" s="194">
        <f t="shared" si="61"/>
        <v>0</v>
      </c>
      <c r="L314" s="194">
        <f t="shared" si="62"/>
        <v>0</v>
      </c>
      <c r="M314" s="194">
        <f t="shared" si="63"/>
        <v>0</v>
      </c>
      <c r="N314" s="194">
        <f t="shared" si="64"/>
        <v>0</v>
      </c>
      <c r="O314" s="194">
        <f t="shared" si="65"/>
        <v>0</v>
      </c>
      <c r="P314" s="194">
        <f t="shared" si="66"/>
        <v>2915</v>
      </c>
      <c r="Q314" s="198">
        <f>'School Level ADM'!$AU314</f>
        <v>3.94</v>
      </c>
      <c r="R314" s="194">
        <f t="shared" si="67"/>
        <v>2915</v>
      </c>
      <c r="S314" s="194">
        <f t="shared" si="68"/>
        <v>0</v>
      </c>
      <c r="T314" s="194">
        <f t="shared" si="69"/>
        <v>0</v>
      </c>
      <c r="U314" s="194">
        <f t="shared" si="70"/>
        <v>0</v>
      </c>
      <c r="V314" s="194">
        <f t="shared" si="71"/>
        <v>0</v>
      </c>
      <c r="W314" s="194">
        <f t="shared" si="72"/>
        <v>0</v>
      </c>
      <c r="X314" s="194">
        <f t="shared" si="73"/>
        <v>2915</v>
      </c>
    </row>
    <row r="315" spans="1:24" x14ac:dyDescent="0.2">
      <c r="A315" s="227" t="str">
        <f>'School Level Inst. Resources'!A315</f>
        <v>1902000</v>
      </c>
      <c r="B315" s="227" t="str">
        <f>'School Level Inst. Resources'!B315</f>
        <v>Sweetwater #2</v>
      </c>
      <c r="C315" s="227" t="str">
        <f>'School Level Inst. Resources'!C315</f>
        <v>1902002</v>
      </c>
      <c r="D315" s="227" t="str">
        <f>'School Level Inst. Resources'!D315</f>
        <v>Harrison Elementary</v>
      </c>
      <c r="E315" s="228" t="str">
        <f>'School Level Inst. Resources'!E315</f>
        <v>K-4</v>
      </c>
      <c r="F315" s="229" t="str">
        <f>'School Level Inst. Resources'!H315</f>
        <v>E</v>
      </c>
      <c r="G315" s="229" t="s">
        <v>1158</v>
      </c>
      <c r="H315" s="229" t="str">
        <f t="shared" si="74"/>
        <v>E</v>
      </c>
      <c r="I315" s="198">
        <f>'School Level ADM'!$BI315</f>
        <v>253.94299999999998</v>
      </c>
      <c r="J315" s="194">
        <f t="shared" si="60"/>
        <v>39445</v>
      </c>
      <c r="K315" s="194">
        <f t="shared" si="61"/>
        <v>0</v>
      </c>
      <c r="L315" s="194">
        <f t="shared" si="62"/>
        <v>0</v>
      </c>
      <c r="M315" s="194">
        <f t="shared" si="63"/>
        <v>0</v>
      </c>
      <c r="N315" s="194">
        <f t="shared" si="64"/>
        <v>0</v>
      </c>
      <c r="O315" s="194">
        <f t="shared" si="65"/>
        <v>0</v>
      </c>
      <c r="P315" s="194">
        <f t="shared" si="66"/>
        <v>39445</v>
      </c>
      <c r="Q315" s="198">
        <f>'School Level ADM'!$AU315</f>
        <v>240.34000000000003</v>
      </c>
      <c r="R315" s="194">
        <f t="shared" si="67"/>
        <v>39445</v>
      </c>
      <c r="S315" s="194">
        <f t="shared" si="68"/>
        <v>0</v>
      </c>
      <c r="T315" s="194">
        <f t="shared" si="69"/>
        <v>0</v>
      </c>
      <c r="U315" s="194">
        <f t="shared" si="70"/>
        <v>0</v>
      </c>
      <c r="V315" s="194">
        <f t="shared" si="71"/>
        <v>0</v>
      </c>
      <c r="W315" s="194">
        <f t="shared" si="72"/>
        <v>0</v>
      </c>
      <c r="X315" s="194">
        <f t="shared" si="73"/>
        <v>39445</v>
      </c>
    </row>
    <row r="316" spans="1:24" x14ac:dyDescent="0.2">
      <c r="A316" s="227" t="str">
        <f>'School Level Inst. Resources'!A316</f>
        <v>1902000</v>
      </c>
      <c r="B316" s="227" t="str">
        <f>'School Level Inst. Resources'!B316</f>
        <v>Sweetwater #2</v>
      </c>
      <c r="C316" s="227" t="str">
        <f>'School Level Inst. Resources'!C316</f>
        <v>1902004</v>
      </c>
      <c r="D316" s="227" t="str">
        <f>'School Level Inst. Resources'!D316</f>
        <v>McKinnon Elementary</v>
      </c>
      <c r="E316" s="228" t="str">
        <f>'School Level Inst. Resources'!E316</f>
        <v>K-5</v>
      </c>
      <c r="F316" s="229" t="str">
        <f>'School Level Inst. Resources'!H316</f>
        <v>E</v>
      </c>
      <c r="G316" s="229" t="s">
        <v>1158</v>
      </c>
      <c r="H316" s="229" t="str">
        <f t="shared" si="74"/>
        <v>E</v>
      </c>
      <c r="I316" s="198">
        <f>'School Level ADM'!$BI316</f>
        <v>17</v>
      </c>
      <c r="J316" s="194">
        <f t="shared" si="60"/>
        <v>2915</v>
      </c>
      <c r="K316" s="194">
        <f t="shared" si="61"/>
        <v>0</v>
      </c>
      <c r="L316" s="194">
        <f t="shared" si="62"/>
        <v>0</v>
      </c>
      <c r="M316" s="194">
        <f t="shared" si="63"/>
        <v>0</v>
      </c>
      <c r="N316" s="194">
        <f t="shared" si="64"/>
        <v>0</v>
      </c>
      <c r="O316" s="194">
        <f t="shared" si="65"/>
        <v>0</v>
      </c>
      <c r="P316" s="194">
        <f t="shared" si="66"/>
        <v>2915</v>
      </c>
      <c r="Q316" s="198">
        <f>'School Level ADM'!$AU316</f>
        <v>18.714999999999996</v>
      </c>
      <c r="R316" s="194">
        <f t="shared" si="67"/>
        <v>2915</v>
      </c>
      <c r="S316" s="194">
        <f t="shared" si="68"/>
        <v>0</v>
      </c>
      <c r="T316" s="194">
        <f t="shared" si="69"/>
        <v>0</v>
      </c>
      <c r="U316" s="194">
        <f t="shared" si="70"/>
        <v>0</v>
      </c>
      <c r="V316" s="194">
        <f t="shared" si="71"/>
        <v>0</v>
      </c>
      <c r="W316" s="194">
        <f t="shared" si="72"/>
        <v>0</v>
      </c>
      <c r="X316" s="194">
        <f t="shared" si="73"/>
        <v>2915</v>
      </c>
    </row>
    <row r="317" spans="1:24" x14ac:dyDescent="0.2">
      <c r="A317" s="227" t="str">
        <f>'School Level Inst. Resources'!A317</f>
        <v>1902000</v>
      </c>
      <c r="B317" s="227" t="str">
        <f>'School Level Inst. Resources'!B317</f>
        <v>Sweetwater #2</v>
      </c>
      <c r="C317" s="227" t="str">
        <f>'School Level Inst. Resources'!C317</f>
        <v>1902006</v>
      </c>
      <c r="D317" s="227" t="str">
        <f>'School Level Inst. Resources'!D317</f>
        <v>Thoman Ranch Elementary</v>
      </c>
      <c r="E317" s="228" t="str">
        <f>'School Level Inst. Resources'!E317</f>
        <v>K-8</v>
      </c>
      <c r="F317" s="229" t="str">
        <f>'School Level Inst. Resources'!H317</f>
        <v>E</v>
      </c>
      <c r="G317" s="229" t="s">
        <v>1158</v>
      </c>
      <c r="H317" s="229" t="str">
        <f t="shared" si="74"/>
        <v>K-8</v>
      </c>
      <c r="I317" s="198">
        <f>'School Level ADM'!$BI317</f>
        <v>1.726</v>
      </c>
      <c r="J317" s="194">
        <f t="shared" si="60"/>
        <v>2915</v>
      </c>
      <c r="K317" s="194">
        <f t="shared" si="61"/>
        <v>0</v>
      </c>
      <c r="L317" s="194">
        <f t="shared" si="62"/>
        <v>0</v>
      </c>
      <c r="M317" s="194">
        <f t="shared" si="63"/>
        <v>590</v>
      </c>
      <c r="N317" s="194">
        <f t="shared" si="64"/>
        <v>0</v>
      </c>
      <c r="O317" s="194">
        <f t="shared" si="65"/>
        <v>0</v>
      </c>
      <c r="P317" s="194">
        <f t="shared" si="66"/>
        <v>3505</v>
      </c>
      <c r="Q317" s="198">
        <f>'School Level ADM'!$AU317</f>
        <v>1.97</v>
      </c>
      <c r="R317" s="194">
        <f t="shared" si="67"/>
        <v>2915</v>
      </c>
      <c r="S317" s="194">
        <f t="shared" si="68"/>
        <v>0</v>
      </c>
      <c r="T317" s="194">
        <f t="shared" si="69"/>
        <v>0</v>
      </c>
      <c r="U317" s="194">
        <f t="shared" si="70"/>
        <v>590</v>
      </c>
      <c r="V317" s="194">
        <f t="shared" si="71"/>
        <v>0</v>
      </c>
      <c r="W317" s="194">
        <f t="shared" si="72"/>
        <v>0</v>
      </c>
      <c r="X317" s="194">
        <f t="shared" si="73"/>
        <v>3505</v>
      </c>
    </row>
    <row r="318" spans="1:24" x14ac:dyDescent="0.2">
      <c r="A318" s="227" t="str">
        <f>'School Level Inst. Resources'!A318</f>
        <v>1902000</v>
      </c>
      <c r="B318" s="227" t="str">
        <f>'School Level Inst. Resources'!B318</f>
        <v>Sweetwater #2</v>
      </c>
      <c r="C318" s="227" t="str">
        <f>'School Level Inst. Resources'!C318</f>
        <v>1902007</v>
      </c>
      <c r="D318" s="227" t="str">
        <f>'School Level Inst. Resources'!D318</f>
        <v>Washington Elementary</v>
      </c>
      <c r="E318" s="228" t="str">
        <f>'School Level Inst. Resources'!E318</f>
        <v>K-4</v>
      </c>
      <c r="F318" s="229" t="str">
        <f>'School Level Inst. Resources'!H318</f>
        <v>E</v>
      </c>
      <c r="G318" s="229" t="s">
        <v>1158</v>
      </c>
      <c r="H318" s="229" t="str">
        <f t="shared" si="74"/>
        <v>E</v>
      </c>
      <c r="I318" s="198">
        <f>'School Level ADM'!$BI318</f>
        <v>205.71899999999999</v>
      </c>
      <c r="J318" s="194">
        <f t="shared" si="60"/>
        <v>33610</v>
      </c>
      <c r="K318" s="194">
        <f t="shared" si="61"/>
        <v>0</v>
      </c>
      <c r="L318" s="194">
        <f t="shared" si="62"/>
        <v>0</v>
      </c>
      <c r="M318" s="194">
        <f t="shared" si="63"/>
        <v>0</v>
      </c>
      <c r="N318" s="194">
        <f t="shared" si="64"/>
        <v>0</v>
      </c>
      <c r="O318" s="194">
        <f t="shared" si="65"/>
        <v>0</v>
      </c>
      <c r="P318" s="194">
        <f t="shared" si="66"/>
        <v>33610</v>
      </c>
      <c r="Q318" s="198">
        <f>'School Level ADM'!$AU318</f>
        <v>198.97000000000003</v>
      </c>
      <c r="R318" s="194">
        <f t="shared" si="67"/>
        <v>33610</v>
      </c>
      <c r="S318" s="194">
        <f t="shared" si="68"/>
        <v>0</v>
      </c>
      <c r="T318" s="194">
        <f t="shared" si="69"/>
        <v>0</v>
      </c>
      <c r="U318" s="194">
        <f t="shared" si="70"/>
        <v>0</v>
      </c>
      <c r="V318" s="194">
        <f t="shared" si="71"/>
        <v>0</v>
      </c>
      <c r="W318" s="194">
        <f t="shared" si="72"/>
        <v>0</v>
      </c>
      <c r="X318" s="194">
        <f t="shared" si="73"/>
        <v>33610</v>
      </c>
    </row>
    <row r="319" spans="1:24" x14ac:dyDescent="0.2">
      <c r="A319" s="227" t="str">
        <f>'School Level Inst. Resources'!A319</f>
        <v>1902000</v>
      </c>
      <c r="B319" s="227" t="str">
        <f>'School Level Inst. Resources'!B319</f>
        <v>Sweetwater #2</v>
      </c>
      <c r="C319" s="227" t="str">
        <f>'School Level Inst. Resources'!C319</f>
        <v>1902010</v>
      </c>
      <c r="D319" s="227" t="str">
        <f>'School Level Inst. Resources'!D319</f>
        <v>Jackson Elementary</v>
      </c>
      <c r="E319" s="228" t="str">
        <f>'School Level Inst. Resources'!E319</f>
        <v>K-4</v>
      </c>
      <c r="F319" s="229" t="str">
        <f>'School Level Inst. Resources'!H319</f>
        <v>E</v>
      </c>
      <c r="G319" s="229" t="s">
        <v>1158</v>
      </c>
      <c r="H319" s="229" t="str">
        <f t="shared" si="74"/>
        <v>E</v>
      </c>
      <c r="I319" s="198">
        <f>'School Level ADM'!$BI319</f>
        <v>244.77099999999999</v>
      </c>
      <c r="J319" s="194">
        <f t="shared" si="60"/>
        <v>38376</v>
      </c>
      <c r="K319" s="194">
        <f t="shared" si="61"/>
        <v>0</v>
      </c>
      <c r="L319" s="194">
        <f t="shared" si="62"/>
        <v>0</v>
      </c>
      <c r="M319" s="194">
        <f t="shared" si="63"/>
        <v>0</v>
      </c>
      <c r="N319" s="194">
        <f t="shared" si="64"/>
        <v>0</v>
      </c>
      <c r="O319" s="194">
        <f t="shared" si="65"/>
        <v>0</v>
      </c>
      <c r="P319" s="194">
        <f t="shared" si="66"/>
        <v>38376</v>
      </c>
      <c r="Q319" s="198">
        <f>'School Level ADM'!$AU319</f>
        <v>217.685</v>
      </c>
      <c r="R319" s="194">
        <f t="shared" si="67"/>
        <v>38376</v>
      </c>
      <c r="S319" s="194">
        <f t="shared" si="68"/>
        <v>0</v>
      </c>
      <c r="T319" s="194">
        <f t="shared" si="69"/>
        <v>0</v>
      </c>
      <c r="U319" s="194">
        <f t="shared" si="70"/>
        <v>0</v>
      </c>
      <c r="V319" s="194">
        <f t="shared" si="71"/>
        <v>0</v>
      </c>
      <c r="W319" s="194">
        <f t="shared" si="72"/>
        <v>0</v>
      </c>
      <c r="X319" s="194">
        <f t="shared" si="73"/>
        <v>38376</v>
      </c>
    </row>
    <row r="320" spans="1:24" x14ac:dyDescent="0.2">
      <c r="A320" s="227" t="str">
        <f>'School Level Inst. Resources'!A320</f>
        <v>1902000</v>
      </c>
      <c r="B320" s="227" t="str">
        <f>'School Level Inst. Resources'!B320</f>
        <v>Sweetwater #2</v>
      </c>
      <c r="C320" s="227" t="str">
        <f>'School Level Inst. Resources'!C320</f>
        <v>1902011</v>
      </c>
      <c r="D320" s="227" t="str">
        <f>'School Level Inst. Resources'!D320</f>
        <v>Truman Elementary</v>
      </c>
      <c r="E320" s="228" t="str">
        <f>'School Level Inst. Resources'!E320</f>
        <v>K-4</v>
      </c>
      <c r="F320" s="229" t="str">
        <f>'School Level Inst. Resources'!H320</f>
        <v>E</v>
      </c>
      <c r="G320" s="229" t="s">
        <v>1158</v>
      </c>
      <c r="H320" s="229" t="str">
        <f t="shared" si="74"/>
        <v>E</v>
      </c>
      <c r="I320" s="198">
        <f>'School Level ADM'!$BI320</f>
        <v>312.08600000000001</v>
      </c>
      <c r="J320" s="194">
        <f t="shared" si="60"/>
        <v>45859</v>
      </c>
      <c r="K320" s="194">
        <f t="shared" si="61"/>
        <v>0</v>
      </c>
      <c r="L320" s="194">
        <f t="shared" si="62"/>
        <v>0</v>
      </c>
      <c r="M320" s="194">
        <f t="shared" si="63"/>
        <v>0</v>
      </c>
      <c r="N320" s="194">
        <f t="shared" si="64"/>
        <v>0</v>
      </c>
      <c r="O320" s="194">
        <f t="shared" si="65"/>
        <v>0</v>
      </c>
      <c r="P320" s="194">
        <f t="shared" si="66"/>
        <v>45859</v>
      </c>
      <c r="Q320" s="198">
        <f>'School Level ADM'!$AU320</f>
        <v>305.35000000000002</v>
      </c>
      <c r="R320" s="194">
        <f t="shared" si="67"/>
        <v>45859</v>
      </c>
      <c r="S320" s="194">
        <f t="shared" si="68"/>
        <v>0</v>
      </c>
      <c r="T320" s="194">
        <f t="shared" si="69"/>
        <v>0</v>
      </c>
      <c r="U320" s="194">
        <f t="shared" si="70"/>
        <v>0</v>
      </c>
      <c r="V320" s="194">
        <f t="shared" si="71"/>
        <v>0</v>
      </c>
      <c r="W320" s="194">
        <f t="shared" si="72"/>
        <v>0</v>
      </c>
      <c r="X320" s="194">
        <f t="shared" si="73"/>
        <v>45859</v>
      </c>
    </row>
    <row r="321" spans="1:24" x14ac:dyDescent="0.2">
      <c r="A321" s="227" t="str">
        <f>'School Level Inst. Resources'!A321</f>
        <v>1902000</v>
      </c>
      <c r="B321" s="227" t="str">
        <f>'School Level Inst. Resources'!B321</f>
        <v>Sweetwater #2</v>
      </c>
      <c r="C321" s="227" t="str">
        <f>'School Level Inst. Resources'!C321</f>
        <v>1902012</v>
      </c>
      <c r="D321" s="227" t="str">
        <f>'School Level Inst. Resources'!D321</f>
        <v>Monroe Intermediate School</v>
      </c>
      <c r="E321" s="228" t="str">
        <f>'School Level Inst. Resources'!E321</f>
        <v>5-6</v>
      </c>
      <c r="F321" s="229" t="str">
        <f>'School Level Inst. Resources'!H321</f>
        <v>E</v>
      </c>
      <c r="G321" s="229" t="s">
        <v>1158</v>
      </c>
      <c r="H321" s="229" t="str">
        <f t="shared" si="74"/>
        <v>E</v>
      </c>
      <c r="I321" s="198">
        <f>'School Level ADM'!$BI321</f>
        <v>399.79999999999995</v>
      </c>
      <c r="J321" s="194">
        <f t="shared" si="60"/>
        <v>54783</v>
      </c>
      <c r="K321" s="194">
        <f t="shared" si="61"/>
        <v>0</v>
      </c>
      <c r="L321" s="194">
        <f t="shared" si="62"/>
        <v>0</v>
      </c>
      <c r="M321" s="194">
        <f t="shared" si="63"/>
        <v>0</v>
      </c>
      <c r="N321" s="194">
        <f t="shared" si="64"/>
        <v>0</v>
      </c>
      <c r="O321" s="194">
        <f t="shared" si="65"/>
        <v>0</v>
      </c>
      <c r="P321" s="194">
        <f t="shared" si="66"/>
        <v>54783</v>
      </c>
      <c r="Q321" s="198">
        <f>'School Level ADM'!$AU321</f>
        <v>378.24</v>
      </c>
      <c r="R321" s="194">
        <f t="shared" si="67"/>
        <v>54783</v>
      </c>
      <c r="S321" s="194">
        <f t="shared" si="68"/>
        <v>0</v>
      </c>
      <c r="T321" s="194">
        <f t="shared" si="69"/>
        <v>0</v>
      </c>
      <c r="U321" s="194">
        <f t="shared" si="70"/>
        <v>0</v>
      </c>
      <c r="V321" s="194">
        <f t="shared" si="71"/>
        <v>0</v>
      </c>
      <c r="W321" s="194">
        <f t="shared" si="72"/>
        <v>0</v>
      </c>
      <c r="X321" s="194">
        <f t="shared" si="73"/>
        <v>54783</v>
      </c>
    </row>
    <row r="322" spans="1:24" x14ac:dyDescent="0.2">
      <c r="A322" s="227" t="str">
        <f>'School Level Inst. Resources'!A322</f>
        <v>1902000</v>
      </c>
      <c r="B322" s="227" t="str">
        <f>'School Level Inst. Resources'!B322</f>
        <v>Sweetwater #2</v>
      </c>
      <c r="C322" s="227" t="str">
        <f>'School Level Inst. Resources'!C322</f>
        <v>1902050</v>
      </c>
      <c r="D322" s="227" t="str">
        <f>'School Level Inst. Resources'!D322</f>
        <v>Lincoln Middle School</v>
      </c>
      <c r="E322" s="228" t="str">
        <f>'School Level Inst. Resources'!E322</f>
        <v>7-8</v>
      </c>
      <c r="F322" s="229" t="str">
        <f>'School Level Inst. Resources'!H322</f>
        <v>M</v>
      </c>
      <c r="G322" s="229" t="s">
        <v>1158</v>
      </c>
      <c r="H322" s="229" t="str">
        <f t="shared" si="74"/>
        <v>M</v>
      </c>
      <c r="I322" s="198">
        <f>'School Level ADM'!$BI322</f>
        <v>392.01400000000001</v>
      </c>
      <c r="J322" s="194">
        <f t="shared" si="60"/>
        <v>0</v>
      </c>
      <c r="K322" s="194">
        <f t="shared" si="61"/>
        <v>72681</v>
      </c>
      <c r="L322" s="194">
        <f t="shared" si="62"/>
        <v>0</v>
      </c>
      <c r="M322" s="194">
        <f t="shared" si="63"/>
        <v>0</v>
      </c>
      <c r="N322" s="194">
        <f t="shared" si="64"/>
        <v>0</v>
      </c>
      <c r="O322" s="194">
        <f t="shared" si="65"/>
        <v>0</v>
      </c>
      <c r="P322" s="194">
        <f t="shared" si="66"/>
        <v>72681</v>
      </c>
      <c r="Q322" s="198">
        <f>'School Level ADM'!$AU322</f>
        <v>370.36</v>
      </c>
      <c r="R322" s="194">
        <f t="shared" si="67"/>
        <v>0</v>
      </c>
      <c r="S322" s="194">
        <f t="shared" si="68"/>
        <v>72681</v>
      </c>
      <c r="T322" s="194">
        <f t="shared" si="69"/>
        <v>0</v>
      </c>
      <c r="U322" s="194">
        <f t="shared" si="70"/>
        <v>0</v>
      </c>
      <c r="V322" s="194">
        <f t="shared" si="71"/>
        <v>0</v>
      </c>
      <c r="W322" s="194">
        <f t="shared" si="72"/>
        <v>0</v>
      </c>
      <c r="X322" s="194">
        <f t="shared" si="73"/>
        <v>72681</v>
      </c>
    </row>
    <row r="323" spans="1:24" x14ac:dyDescent="0.2">
      <c r="A323" s="227" t="str">
        <f>'School Level Inst. Resources'!A323</f>
        <v>1902000</v>
      </c>
      <c r="B323" s="227" t="str">
        <f>'School Level Inst. Resources'!B323</f>
        <v>Sweetwater #2</v>
      </c>
      <c r="C323" s="227" t="str">
        <f>'School Level Inst. Resources'!C323</f>
        <v>1902055</v>
      </c>
      <c r="D323" s="227" t="str">
        <f>'School Level Inst. Resources'!D323</f>
        <v>Green River High School</v>
      </c>
      <c r="E323" s="228" t="str">
        <f>'School Level Inst. Resources'!E323</f>
        <v>9-12</v>
      </c>
      <c r="F323" s="229" t="str">
        <f>'School Level Inst. Resources'!H323</f>
        <v>H</v>
      </c>
      <c r="G323" s="229" t="s">
        <v>1158</v>
      </c>
      <c r="H323" s="229" t="str">
        <f t="shared" si="74"/>
        <v>H</v>
      </c>
      <c r="I323" s="198">
        <f>'School Level ADM'!$BI323</f>
        <v>765.25800000000004</v>
      </c>
      <c r="J323" s="194">
        <f t="shared" si="60"/>
        <v>0</v>
      </c>
      <c r="K323" s="194">
        <f t="shared" si="61"/>
        <v>0</v>
      </c>
      <c r="L323" s="194">
        <f t="shared" si="62"/>
        <v>143317</v>
      </c>
      <c r="M323" s="194">
        <f t="shared" si="63"/>
        <v>0</v>
      </c>
      <c r="N323" s="194">
        <f t="shared" si="64"/>
        <v>0</v>
      </c>
      <c r="O323" s="194">
        <f t="shared" si="65"/>
        <v>0</v>
      </c>
      <c r="P323" s="194">
        <f t="shared" si="66"/>
        <v>143317</v>
      </c>
      <c r="Q323" s="198">
        <f>'School Level ADM'!$AU323</f>
        <v>780.12</v>
      </c>
      <c r="R323" s="194">
        <f t="shared" si="67"/>
        <v>0</v>
      </c>
      <c r="S323" s="194">
        <f t="shared" si="68"/>
        <v>0</v>
      </c>
      <c r="T323" s="194">
        <f t="shared" si="69"/>
        <v>143317</v>
      </c>
      <c r="U323" s="194">
        <f t="shared" si="70"/>
        <v>0</v>
      </c>
      <c r="V323" s="194">
        <f t="shared" si="71"/>
        <v>0</v>
      </c>
      <c r="W323" s="194">
        <f t="shared" si="72"/>
        <v>0</v>
      </c>
      <c r="X323" s="194">
        <f t="shared" si="73"/>
        <v>143317</v>
      </c>
    </row>
    <row r="324" spans="1:24" x14ac:dyDescent="0.2">
      <c r="A324" s="227" t="str">
        <f>'School Level Inst. Resources'!A324</f>
        <v>1902000</v>
      </c>
      <c r="B324" s="227" t="str">
        <f>'School Level Inst. Resources'!B324</f>
        <v>Sweetwater #2</v>
      </c>
      <c r="C324" s="227" t="str">
        <f>'School Level Inst. Resources'!C324</f>
        <v>1902056</v>
      </c>
      <c r="D324" s="227" t="str">
        <f>'School Level Inst. Resources'!D324</f>
        <v>Expedition Academy</v>
      </c>
      <c r="E324" s="228" t="str">
        <f>'School Level Inst. Resources'!E324</f>
        <v>9-12</v>
      </c>
      <c r="F324" s="229" t="str">
        <f>'School Level Inst. Resources'!H324</f>
        <v>H</v>
      </c>
      <c r="G324" s="229" t="s">
        <v>1158</v>
      </c>
      <c r="H324" s="229" t="str">
        <f t="shared" si="74"/>
        <v>H</v>
      </c>
      <c r="I324" s="198">
        <f>'School Level ADM'!$BI324</f>
        <v>49.691000000000003</v>
      </c>
      <c r="J324" s="194">
        <f t="shared" si="60"/>
        <v>0</v>
      </c>
      <c r="K324" s="194">
        <f t="shared" si="61"/>
        <v>0</v>
      </c>
      <c r="L324" s="194">
        <f t="shared" si="62"/>
        <v>17975</v>
      </c>
      <c r="M324" s="194">
        <f t="shared" si="63"/>
        <v>0</v>
      </c>
      <c r="N324" s="194">
        <f t="shared" si="64"/>
        <v>0</v>
      </c>
      <c r="O324" s="194">
        <f t="shared" si="65"/>
        <v>0</v>
      </c>
      <c r="P324" s="194">
        <f t="shared" si="66"/>
        <v>17975</v>
      </c>
      <c r="Q324" s="198">
        <f>'School Level ADM'!$AU324</f>
        <v>51.22</v>
      </c>
      <c r="R324" s="194">
        <f t="shared" si="67"/>
        <v>0</v>
      </c>
      <c r="S324" s="194">
        <f t="shared" si="68"/>
        <v>0</v>
      </c>
      <c r="T324" s="194">
        <f t="shared" si="69"/>
        <v>17975</v>
      </c>
      <c r="U324" s="194">
        <f t="shared" si="70"/>
        <v>0</v>
      </c>
      <c r="V324" s="194">
        <f t="shared" si="71"/>
        <v>0</v>
      </c>
      <c r="W324" s="194">
        <f t="shared" si="72"/>
        <v>0</v>
      </c>
      <c r="X324" s="194">
        <f t="shared" si="73"/>
        <v>17975</v>
      </c>
    </row>
    <row r="325" spans="1:24" x14ac:dyDescent="0.2">
      <c r="A325" s="227" t="str">
        <f>'School Level Inst. Resources'!A325</f>
        <v>2001000</v>
      </c>
      <c r="B325" s="227" t="str">
        <f>'School Level Inst. Resources'!B325</f>
        <v>Teton #1</v>
      </c>
      <c r="C325" s="227" t="str">
        <f>'School Level Inst. Resources'!C325</f>
        <v>2001001</v>
      </c>
      <c r="D325" s="227" t="str">
        <f>'School Level Inst. Resources'!D325</f>
        <v>Alta Elementary</v>
      </c>
      <c r="E325" s="228" t="str">
        <f>'School Level Inst. Resources'!E325</f>
        <v>K-6</v>
      </c>
      <c r="F325" s="229" t="str">
        <f>'School Level Inst. Resources'!H325</f>
        <v>E</v>
      </c>
      <c r="G325" s="229" t="s">
        <v>1158</v>
      </c>
      <c r="H325" s="229" t="str">
        <f t="shared" si="74"/>
        <v>E</v>
      </c>
      <c r="I325" s="198">
        <f>'School Level ADM'!$BI325</f>
        <v>55.382999999999996</v>
      </c>
      <c r="J325" s="194">
        <f t="shared" si="60"/>
        <v>10800</v>
      </c>
      <c r="K325" s="194">
        <f t="shared" si="61"/>
        <v>0</v>
      </c>
      <c r="L325" s="194">
        <f t="shared" si="62"/>
        <v>0</v>
      </c>
      <c r="M325" s="194">
        <f t="shared" si="63"/>
        <v>0</v>
      </c>
      <c r="N325" s="194">
        <f t="shared" si="64"/>
        <v>0</v>
      </c>
      <c r="O325" s="194">
        <f t="shared" si="65"/>
        <v>0</v>
      </c>
      <c r="P325" s="194">
        <f t="shared" si="66"/>
        <v>10800</v>
      </c>
      <c r="Q325" s="198">
        <f>'School Level ADM'!$AU325</f>
        <v>46.295000000000002</v>
      </c>
      <c r="R325" s="194">
        <f t="shared" si="67"/>
        <v>10800</v>
      </c>
      <c r="S325" s="194">
        <f t="shared" si="68"/>
        <v>0</v>
      </c>
      <c r="T325" s="194">
        <f t="shared" si="69"/>
        <v>0</v>
      </c>
      <c r="U325" s="194">
        <f t="shared" si="70"/>
        <v>0</v>
      </c>
      <c r="V325" s="194">
        <f t="shared" si="71"/>
        <v>0</v>
      </c>
      <c r="W325" s="194">
        <f t="shared" si="72"/>
        <v>0</v>
      </c>
      <c r="X325" s="194">
        <f t="shared" si="73"/>
        <v>10800</v>
      </c>
    </row>
    <row r="326" spans="1:24" x14ac:dyDescent="0.2">
      <c r="A326" s="227" t="str">
        <f>'School Level Inst. Resources'!A326</f>
        <v>2001000</v>
      </c>
      <c r="B326" s="227" t="str">
        <f>'School Level Inst. Resources'!B326</f>
        <v>Teton #1</v>
      </c>
      <c r="C326" s="227" t="str">
        <f>'School Level Inst. Resources'!C326</f>
        <v>2001003</v>
      </c>
      <c r="D326" s="227" t="str">
        <f>'School Level Inst. Resources'!D326</f>
        <v>Kelly Elementary</v>
      </c>
      <c r="E326" s="228" t="str">
        <f>'School Level Inst. Resources'!E326</f>
        <v>K-5</v>
      </c>
      <c r="F326" s="229" t="str">
        <f>'School Level Inst. Resources'!H326</f>
        <v>E</v>
      </c>
      <c r="G326" s="229" t="s">
        <v>1158</v>
      </c>
      <c r="H326" s="229" t="str">
        <f t="shared" si="74"/>
        <v>E</v>
      </c>
      <c r="I326" s="198">
        <f>'School Level ADM'!$BI326</f>
        <v>47.54</v>
      </c>
      <c r="J326" s="194">
        <f t="shared" ref="J326:J359" si="75">IF(OR($G326="F",$F326&lt;&gt;"E"),0,IF($I326&lt;19,2915,IF($I326&gt;456,ROUND((132.39*$I326),0),ROUND((0.0002128*$I326^3-0.2644484*$I326^2+208.6966777*$I326+16.4242391),0))))</f>
        <v>9363</v>
      </c>
      <c r="K326" s="194">
        <f t="shared" ref="K326:K359" si="76">IF(OR($G326="F",$H326&lt;&gt;"M"),0,IF($I326&lt;150,ROUND((300.63*$I326),0),IF($I326&gt;750,ROUND((148.26*$I326),0),ROUND((0.000146*$I326^3-0.1993016*$I326^2+187.7071094*$I326+20929.8632813),0))))</f>
        <v>0</v>
      </c>
      <c r="L326" s="194">
        <f t="shared" ref="L326:L359" si="77">IF(OR($G326="F",$H326&lt;&gt;"H"),0,IF($I326&lt;150,ROUND((361.73*$I326),0),IF($I326&gt;1350,ROUND((167.67*$I326),0),ROUND((0.0000446*$I326^3-0.1033081*$I326^2+207.0604979*$I326+25374.374907),0))))</f>
        <v>0</v>
      </c>
      <c r="M326" s="194">
        <f t="shared" ref="M326:M359" si="78">IF(OR($G326="F",$H326&lt;&gt;"K-8"),0,IF($I326&lt;85,ROUND((341.99*$I326),0),IF($I326&gt;342,ROUND((186.46*$I326),0),ROUND((-0.3239548*$I326^2+273.3488359*$I326+8175.0727129),0))))</f>
        <v>0</v>
      </c>
      <c r="N326" s="194">
        <f t="shared" ref="N326:N359" si="79">IF(OR($G326="F",$H326&lt;&gt;"6-12"),0,IF($I326&lt;75,ROUND((530.59*$I326),0),IF($I326&gt;350,ROUND((260.77*$I326),0),ROUND((0.0025644*$I326^3-1.7519279*$I326^2+535.8785137*$I326+8376.2839819),0))))</f>
        <v>0</v>
      </c>
      <c r="O326" s="194">
        <f t="shared" ref="O326:O359" si="80">IF(OR($G326="F",$H326&lt;&gt;"K-12"),0,IF($I326&lt;75,ROUND((500.08*$I326),0),IF($I326&gt;350,ROUND((251.34*$I326),0),ROUND((0.0017301*$I326^3-1.3373171*$I326^2+484.7783098*$I326+7940.3304431),0))))</f>
        <v>0</v>
      </c>
      <c r="P326" s="194">
        <f t="shared" ref="P326:P359" si="81">SUM(J326:O326)</f>
        <v>9363</v>
      </c>
      <c r="Q326" s="198">
        <f>'School Level ADM'!$AU326</f>
        <v>51.220000000000006</v>
      </c>
      <c r="R326" s="194">
        <f t="shared" ref="R326:R359" si="82">IF(OR($G326="F",$F326&lt;&gt;"E"),0,IF($I326&lt;19,2915,IF($I326&gt;456,ROUND((132.39*$I326),0),ROUND((0.0002128*$I326^3-0.2644484*$I326^2+208.6966777*$I326+16.4242391),0))))</f>
        <v>9363</v>
      </c>
      <c r="S326" s="194">
        <f t="shared" ref="S326:S359" si="83">IF(OR($G326="F",$H326&lt;&gt;"M"),0,IF($I326&lt;150,ROUND((300.63*$I326),0),IF($I326&gt;750,ROUND((148.26*$I326),0),ROUND((0.000146*$I326^3-0.1993016*$I326^2+187.7071094*$I326+20929.8632813),0))))</f>
        <v>0</v>
      </c>
      <c r="T326" s="194">
        <f t="shared" ref="T326:T359" si="84">IF(OR($G326="F",$H326&lt;&gt;"H"),0,IF($I326&lt;150,ROUND((361.73*$I326),0),IF($I326&gt;1350,ROUND((167.67*$I326),0),ROUND((0.0000446*$I326^3-0.1033081*$I326^2+207.0604979*$I326+25374.374907),0))))</f>
        <v>0</v>
      </c>
      <c r="U326" s="194">
        <f t="shared" ref="U326:U359" si="85">IF(OR($G326="F",$H326&lt;&gt;"K-8"),0,IF($I326&lt;85,ROUND((341.99*$I326),0),IF($I326&gt;342,ROUND((186.46*$I326),0),ROUND((-0.3239548*$I326^2+273.3488359*$I326+8175.0727129),0))))</f>
        <v>0</v>
      </c>
      <c r="V326" s="194">
        <f t="shared" ref="V326:V359" si="86">IF(OR($G326="F",$H326&lt;&gt;"6-12"),0,IF($I326&lt;75,ROUND((530.59*$I326),0),IF($I326&gt;350,ROUND((260.77*$I326),0),ROUND((0.0025644*$I326^3-1.7519279*$I326^2+535.8785137*$I326+8376.2839819),0))))</f>
        <v>0</v>
      </c>
      <c r="W326" s="194">
        <f t="shared" ref="W326:W359" si="87">IF(OR($G326="F",$H326&lt;&gt;"K-12"),0,IF($I326&lt;75,ROUND((500.08*$I326),0),IF($I326&gt;350,ROUND((251.34*$I326),0),ROUND((0.0017301*$I326^3-1.3373171*$I326^2+484.7783098*$I326+7940.3304431),0))))</f>
        <v>0</v>
      </c>
      <c r="X326" s="194">
        <f t="shared" ref="X326:X359" si="88">SUM(R326:W326)</f>
        <v>9363</v>
      </c>
    </row>
    <row r="327" spans="1:24" x14ac:dyDescent="0.2">
      <c r="A327" s="227" t="str">
        <f>'School Level Inst. Resources'!A327</f>
        <v>2001000</v>
      </c>
      <c r="B327" s="227" t="str">
        <f>'School Level Inst. Resources'!B327</f>
        <v>Teton #1</v>
      </c>
      <c r="C327" s="227" t="str">
        <f>'School Level Inst. Resources'!C327</f>
        <v>2001004</v>
      </c>
      <c r="D327" s="227" t="str">
        <f>'School Level Inst. Resources'!D327</f>
        <v>Moran Elementary</v>
      </c>
      <c r="E327" s="228" t="str">
        <f>'School Level Inst. Resources'!E327</f>
        <v>K-5</v>
      </c>
      <c r="F327" s="229" t="str">
        <f>'School Level Inst. Resources'!H327</f>
        <v>E</v>
      </c>
      <c r="G327" s="229" t="s">
        <v>1158</v>
      </c>
      <c r="H327" s="229" t="str">
        <f t="shared" ref="H327:H359" si="89">IF(OR(E327="P-8",E327="K-8",E327="K-9"),"K-8",IF(OR(E327="P-12",E327="K-12"),"K-12",IF(OR(E327="6-12",E327="7-12"),"6-12",F327)))</f>
        <v>E</v>
      </c>
      <c r="I327" s="198">
        <f>'School Level ADM'!$BI327</f>
        <v>15.994</v>
      </c>
      <c r="J327" s="194">
        <f t="shared" si="75"/>
        <v>2915</v>
      </c>
      <c r="K327" s="194">
        <f t="shared" si="76"/>
        <v>0</v>
      </c>
      <c r="L327" s="194">
        <f t="shared" si="77"/>
        <v>0</v>
      </c>
      <c r="M327" s="194">
        <f t="shared" si="78"/>
        <v>0</v>
      </c>
      <c r="N327" s="194">
        <f t="shared" si="79"/>
        <v>0</v>
      </c>
      <c r="O327" s="194">
        <f t="shared" si="80"/>
        <v>0</v>
      </c>
      <c r="P327" s="194">
        <f t="shared" si="81"/>
        <v>2915</v>
      </c>
      <c r="Q327" s="198">
        <f>'School Level ADM'!$AU327</f>
        <v>17.73</v>
      </c>
      <c r="R327" s="194">
        <f t="shared" si="82"/>
        <v>2915</v>
      </c>
      <c r="S327" s="194">
        <f t="shared" si="83"/>
        <v>0</v>
      </c>
      <c r="T327" s="194">
        <f t="shared" si="84"/>
        <v>0</v>
      </c>
      <c r="U327" s="194">
        <f t="shared" si="85"/>
        <v>0</v>
      </c>
      <c r="V327" s="194">
        <f t="shared" si="86"/>
        <v>0</v>
      </c>
      <c r="W327" s="194">
        <f t="shared" si="87"/>
        <v>0</v>
      </c>
      <c r="X327" s="194">
        <f t="shared" si="88"/>
        <v>2915</v>
      </c>
    </row>
    <row r="328" spans="1:24" x14ac:dyDescent="0.2">
      <c r="A328" s="227" t="str">
        <f>'School Level Inst. Resources'!A328</f>
        <v>2001000</v>
      </c>
      <c r="B328" s="227" t="str">
        <f>'School Level Inst. Resources'!B328</f>
        <v>Teton #1</v>
      </c>
      <c r="C328" s="227" t="str">
        <f>'School Level Inst. Resources'!C328</f>
        <v>2001005</v>
      </c>
      <c r="D328" s="227" t="str">
        <f>'School Level Inst. Resources'!D328</f>
        <v>Wilson Elementary</v>
      </c>
      <c r="E328" s="228" t="str">
        <f>'School Level Inst. Resources'!E328</f>
        <v>K-5</v>
      </c>
      <c r="F328" s="229" t="str">
        <f>'School Level Inst. Resources'!H328</f>
        <v>E</v>
      </c>
      <c r="G328" s="229" t="s">
        <v>1158</v>
      </c>
      <c r="H328" s="229" t="str">
        <f t="shared" si="89"/>
        <v>E</v>
      </c>
      <c r="I328" s="198">
        <f>'School Level ADM'!$BI328</f>
        <v>224.48</v>
      </c>
      <c r="J328" s="194">
        <f t="shared" si="75"/>
        <v>35946</v>
      </c>
      <c r="K328" s="194">
        <f t="shared" si="76"/>
        <v>0</v>
      </c>
      <c r="L328" s="194">
        <f t="shared" si="77"/>
        <v>0</v>
      </c>
      <c r="M328" s="194">
        <f t="shared" si="78"/>
        <v>0</v>
      </c>
      <c r="N328" s="194">
        <f t="shared" si="79"/>
        <v>0</v>
      </c>
      <c r="O328" s="194">
        <f t="shared" si="80"/>
        <v>0</v>
      </c>
      <c r="P328" s="194">
        <f t="shared" si="81"/>
        <v>35946</v>
      </c>
      <c r="Q328" s="198">
        <f>'School Level ADM'!$AU328</f>
        <v>220.64000000000004</v>
      </c>
      <c r="R328" s="194">
        <f t="shared" si="82"/>
        <v>35946</v>
      </c>
      <c r="S328" s="194">
        <f t="shared" si="83"/>
        <v>0</v>
      </c>
      <c r="T328" s="194">
        <f t="shared" si="84"/>
        <v>0</v>
      </c>
      <c r="U328" s="194">
        <f t="shared" si="85"/>
        <v>0</v>
      </c>
      <c r="V328" s="194">
        <f t="shared" si="86"/>
        <v>0</v>
      </c>
      <c r="W328" s="194">
        <f t="shared" si="87"/>
        <v>0</v>
      </c>
      <c r="X328" s="194">
        <f t="shared" si="88"/>
        <v>35946</v>
      </c>
    </row>
    <row r="329" spans="1:24" x14ac:dyDescent="0.2">
      <c r="A329" s="227" t="str">
        <f>'School Level Inst. Resources'!A329</f>
        <v>2001000</v>
      </c>
      <c r="B329" s="227" t="str">
        <f>'School Level Inst. Resources'!B329</f>
        <v>Teton #1</v>
      </c>
      <c r="C329" s="227" t="str">
        <f>'School Level Inst. Resources'!C329</f>
        <v>2001009</v>
      </c>
      <c r="D329" s="227" t="str">
        <f>'School Level Inst. Resources'!D329</f>
        <v>Colter Elementary</v>
      </c>
      <c r="E329" s="228" t="str">
        <f>'School Level Inst. Resources'!E329</f>
        <v>K-5</v>
      </c>
      <c r="F329" s="229" t="str">
        <f>'School Level Inst. Resources'!H329</f>
        <v>E</v>
      </c>
      <c r="G329" s="229" t="s">
        <v>1158</v>
      </c>
      <c r="H329" s="229" t="str">
        <f t="shared" si="89"/>
        <v>E</v>
      </c>
      <c r="I329" s="198">
        <f>'School Level ADM'!$BI329</f>
        <v>564.04549999999995</v>
      </c>
      <c r="J329" s="194">
        <f t="shared" si="75"/>
        <v>74674</v>
      </c>
      <c r="K329" s="194">
        <f t="shared" si="76"/>
        <v>0</v>
      </c>
      <c r="L329" s="194">
        <f t="shared" si="77"/>
        <v>0</v>
      </c>
      <c r="M329" s="194">
        <f t="shared" si="78"/>
        <v>0</v>
      </c>
      <c r="N329" s="194">
        <f t="shared" si="79"/>
        <v>0</v>
      </c>
      <c r="O329" s="194">
        <f t="shared" si="80"/>
        <v>0</v>
      </c>
      <c r="P329" s="194">
        <f t="shared" si="81"/>
        <v>74674</v>
      </c>
      <c r="Q329" s="198">
        <f>'School Level ADM'!$AU329</f>
        <v>524.02</v>
      </c>
      <c r="R329" s="194">
        <f t="shared" si="82"/>
        <v>74674</v>
      </c>
      <c r="S329" s="194">
        <f t="shared" si="83"/>
        <v>0</v>
      </c>
      <c r="T329" s="194">
        <f t="shared" si="84"/>
        <v>0</v>
      </c>
      <c r="U329" s="194">
        <f t="shared" si="85"/>
        <v>0</v>
      </c>
      <c r="V329" s="194">
        <f t="shared" si="86"/>
        <v>0</v>
      </c>
      <c r="W329" s="194">
        <f t="shared" si="87"/>
        <v>0</v>
      </c>
      <c r="X329" s="194">
        <f t="shared" si="88"/>
        <v>74674</v>
      </c>
    </row>
    <row r="330" spans="1:24" x14ac:dyDescent="0.2">
      <c r="A330" s="227" t="str">
        <f>'School Level Inst. Resources'!A330</f>
        <v>2001000</v>
      </c>
      <c r="B330" s="227" t="str">
        <f>'School Level Inst. Resources'!B330</f>
        <v>Teton #1</v>
      </c>
      <c r="C330" s="227" t="str">
        <f>'School Level Inst. Resources'!C330</f>
        <v>2001010</v>
      </c>
      <c r="D330" s="227" t="str">
        <f>'School Level Inst. Resources'!D330</f>
        <v>Jackson Elementary</v>
      </c>
      <c r="E330" s="228" t="str">
        <f>'School Level Inst. Resources'!E330</f>
        <v>K-5</v>
      </c>
      <c r="F330" s="229" t="str">
        <f>'School Level Inst. Resources'!H330</f>
        <v>E</v>
      </c>
      <c r="G330" s="229" t="s">
        <v>1158</v>
      </c>
      <c r="H330" s="229" t="str">
        <f t="shared" si="89"/>
        <v>E</v>
      </c>
      <c r="I330" s="198">
        <f>'School Level ADM'!$BI330</f>
        <v>564.04549999999995</v>
      </c>
      <c r="J330" s="194">
        <f t="shared" si="75"/>
        <v>74674</v>
      </c>
      <c r="K330" s="194">
        <f t="shared" si="76"/>
        <v>0</v>
      </c>
      <c r="L330" s="194">
        <f t="shared" si="77"/>
        <v>0</v>
      </c>
      <c r="M330" s="194">
        <f t="shared" si="78"/>
        <v>0</v>
      </c>
      <c r="N330" s="194">
        <f t="shared" si="79"/>
        <v>0</v>
      </c>
      <c r="O330" s="194">
        <f t="shared" si="80"/>
        <v>0</v>
      </c>
      <c r="P330" s="194">
        <f t="shared" si="81"/>
        <v>74674</v>
      </c>
      <c r="Q330" s="198">
        <f>'School Level ADM'!$AU330</f>
        <v>561.45000000000016</v>
      </c>
      <c r="R330" s="194">
        <f t="shared" si="82"/>
        <v>74674</v>
      </c>
      <c r="S330" s="194">
        <f t="shared" si="83"/>
        <v>0</v>
      </c>
      <c r="T330" s="194">
        <f t="shared" si="84"/>
        <v>0</v>
      </c>
      <c r="U330" s="194">
        <f t="shared" si="85"/>
        <v>0</v>
      </c>
      <c r="V330" s="194">
        <f t="shared" si="86"/>
        <v>0</v>
      </c>
      <c r="W330" s="194">
        <f t="shared" si="87"/>
        <v>0</v>
      </c>
      <c r="X330" s="194">
        <f t="shared" si="88"/>
        <v>74674</v>
      </c>
    </row>
    <row r="331" spans="1:24" x14ac:dyDescent="0.2">
      <c r="A331" s="227" t="str">
        <f>'School Level Inst. Resources'!A331</f>
        <v>2001000</v>
      </c>
      <c r="B331" s="227" t="str">
        <f>'School Level Inst. Resources'!B331</f>
        <v>Teton #1</v>
      </c>
      <c r="C331" s="227" t="str">
        <f>'School Level Inst. Resources'!C331</f>
        <v>2001050</v>
      </c>
      <c r="D331" s="227" t="str">
        <f>'School Level Inst. Resources'!D331</f>
        <v>Jackson Hole Middle School</v>
      </c>
      <c r="E331" s="228" t="str">
        <f>'School Level Inst. Resources'!E331</f>
        <v>6-8</v>
      </c>
      <c r="F331" s="229" t="str">
        <f>'School Level Inst. Resources'!H331</f>
        <v>M</v>
      </c>
      <c r="G331" s="229" t="s">
        <v>1158</v>
      </c>
      <c r="H331" s="229" t="str">
        <f t="shared" si="89"/>
        <v>M</v>
      </c>
      <c r="I331" s="198">
        <f>'School Level ADM'!$BI331</f>
        <v>630.26200000000006</v>
      </c>
      <c r="J331" s="194">
        <f t="shared" si="75"/>
        <v>0</v>
      </c>
      <c r="K331" s="194">
        <f t="shared" si="76"/>
        <v>96618</v>
      </c>
      <c r="L331" s="194">
        <f t="shared" si="77"/>
        <v>0</v>
      </c>
      <c r="M331" s="194">
        <f t="shared" si="78"/>
        <v>0</v>
      </c>
      <c r="N331" s="194">
        <f t="shared" si="79"/>
        <v>0</v>
      </c>
      <c r="O331" s="194">
        <f t="shared" si="80"/>
        <v>0</v>
      </c>
      <c r="P331" s="194">
        <f t="shared" si="81"/>
        <v>96618</v>
      </c>
      <c r="Q331" s="198">
        <f>'School Level ADM'!$AU331</f>
        <v>682.60500000000002</v>
      </c>
      <c r="R331" s="194">
        <f t="shared" si="82"/>
        <v>0</v>
      </c>
      <c r="S331" s="194">
        <f t="shared" si="83"/>
        <v>96618</v>
      </c>
      <c r="T331" s="194">
        <f t="shared" si="84"/>
        <v>0</v>
      </c>
      <c r="U331" s="194">
        <f t="shared" si="85"/>
        <v>0</v>
      </c>
      <c r="V331" s="194">
        <f t="shared" si="86"/>
        <v>0</v>
      </c>
      <c r="W331" s="194">
        <f t="shared" si="87"/>
        <v>0</v>
      </c>
      <c r="X331" s="194">
        <f t="shared" si="88"/>
        <v>96618</v>
      </c>
    </row>
    <row r="332" spans="1:24" x14ac:dyDescent="0.2">
      <c r="A332" s="227" t="str">
        <f>'School Level Inst. Resources'!A332</f>
        <v>2001000</v>
      </c>
      <c r="B332" s="227" t="str">
        <f>'School Level Inst. Resources'!B332</f>
        <v>Teton #1</v>
      </c>
      <c r="C332" s="227" t="str">
        <f>'School Level Inst. Resources'!C332</f>
        <v>2001055</v>
      </c>
      <c r="D332" s="227" t="str">
        <f>'School Level Inst. Resources'!D332</f>
        <v>Jackson Hole High School</v>
      </c>
      <c r="E332" s="228" t="str">
        <f>'School Level Inst. Resources'!E332</f>
        <v>9-12</v>
      </c>
      <c r="F332" s="229" t="str">
        <f>'School Level Inst. Resources'!H332</f>
        <v>H</v>
      </c>
      <c r="G332" s="229" t="s">
        <v>1158</v>
      </c>
      <c r="H332" s="229" t="str">
        <f t="shared" si="89"/>
        <v>H</v>
      </c>
      <c r="I332" s="198">
        <f>'School Level ADM'!$BI332</f>
        <v>673.05100000000004</v>
      </c>
      <c r="J332" s="194">
        <f t="shared" si="75"/>
        <v>0</v>
      </c>
      <c r="K332" s="194">
        <f t="shared" si="76"/>
        <v>0</v>
      </c>
      <c r="L332" s="194">
        <f t="shared" si="77"/>
        <v>131536</v>
      </c>
      <c r="M332" s="194">
        <f t="shared" si="78"/>
        <v>0</v>
      </c>
      <c r="N332" s="194">
        <f t="shared" si="79"/>
        <v>0</v>
      </c>
      <c r="O332" s="194">
        <f t="shared" si="80"/>
        <v>0</v>
      </c>
      <c r="P332" s="194">
        <f t="shared" si="81"/>
        <v>131536</v>
      </c>
      <c r="Q332" s="198">
        <f>'School Level ADM'!$AU332</f>
        <v>668.81499999999994</v>
      </c>
      <c r="R332" s="194">
        <f t="shared" si="82"/>
        <v>0</v>
      </c>
      <c r="S332" s="194">
        <f t="shared" si="83"/>
        <v>0</v>
      </c>
      <c r="T332" s="194">
        <f t="shared" si="84"/>
        <v>131536</v>
      </c>
      <c r="U332" s="194">
        <f t="shared" si="85"/>
        <v>0</v>
      </c>
      <c r="V332" s="194">
        <f t="shared" si="86"/>
        <v>0</v>
      </c>
      <c r="W332" s="194">
        <f t="shared" si="87"/>
        <v>0</v>
      </c>
      <c r="X332" s="194">
        <f t="shared" si="88"/>
        <v>131536</v>
      </c>
    </row>
    <row r="333" spans="1:24" x14ac:dyDescent="0.2">
      <c r="A333" s="227" t="str">
        <f>'School Level Inst. Resources'!A333</f>
        <v>2001000</v>
      </c>
      <c r="B333" s="227" t="str">
        <f>'School Level Inst. Resources'!B333</f>
        <v>Teton #1</v>
      </c>
      <c r="C333" s="227" t="str">
        <f>'School Level Inst. Resources'!C333</f>
        <v>2001056</v>
      </c>
      <c r="D333" s="227" t="str">
        <f>'School Level Inst. Resources'!D333</f>
        <v>Summit High School</v>
      </c>
      <c r="E333" s="228" t="str">
        <f>'School Level Inst. Resources'!E333</f>
        <v>9-12</v>
      </c>
      <c r="F333" s="229" t="str">
        <f>'School Level Inst. Resources'!H333</f>
        <v>H</v>
      </c>
      <c r="G333" s="229" t="s">
        <v>1158</v>
      </c>
      <c r="H333" s="229" t="str">
        <f t="shared" si="89"/>
        <v>H</v>
      </c>
      <c r="I333" s="198">
        <f>'School Level ADM'!$BI333</f>
        <v>58.74199999999999</v>
      </c>
      <c r="J333" s="194">
        <f t="shared" si="75"/>
        <v>0</v>
      </c>
      <c r="K333" s="194">
        <f t="shared" si="76"/>
        <v>0</v>
      </c>
      <c r="L333" s="194">
        <f t="shared" si="77"/>
        <v>21249</v>
      </c>
      <c r="M333" s="194">
        <f t="shared" si="78"/>
        <v>0</v>
      </c>
      <c r="N333" s="194">
        <f t="shared" si="79"/>
        <v>0</v>
      </c>
      <c r="O333" s="194">
        <f t="shared" si="80"/>
        <v>0</v>
      </c>
      <c r="P333" s="194">
        <f t="shared" si="81"/>
        <v>21249</v>
      </c>
      <c r="Q333" s="198">
        <f>'School Level ADM'!$AU333</f>
        <v>46.295000000000002</v>
      </c>
      <c r="R333" s="194">
        <f t="shared" si="82"/>
        <v>0</v>
      </c>
      <c r="S333" s="194">
        <f t="shared" si="83"/>
        <v>0</v>
      </c>
      <c r="T333" s="194">
        <f t="shared" si="84"/>
        <v>21249</v>
      </c>
      <c r="U333" s="194">
        <f t="shared" si="85"/>
        <v>0</v>
      </c>
      <c r="V333" s="194">
        <f t="shared" si="86"/>
        <v>0</v>
      </c>
      <c r="W333" s="194">
        <f t="shared" si="87"/>
        <v>0</v>
      </c>
      <c r="X333" s="194">
        <f t="shared" si="88"/>
        <v>21249</v>
      </c>
    </row>
    <row r="334" spans="1:24" x14ac:dyDescent="0.2">
      <c r="A334" s="227" t="str">
        <f>'School Level Inst. Resources'!A334</f>
        <v>2101000</v>
      </c>
      <c r="B334" s="227" t="str">
        <f>'School Level Inst. Resources'!B334</f>
        <v>Uinta #1</v>
      </c>
      <c r="C334" s="227" t="str">
        <f>'School Level Inst. Resources'!C334</f>
        <v>2101002</v>
      </c>
      <c r="D334" s="227" t="str">
        <f>'School Level Inst. Resources'!D334</f>
        <v>Clark Elementary</v>
      </c>
      <c r="E334" s="228" t="str">
        <f>'School Level Inst. Resources'!E334</f>
        <v>K-5</v>
      </c>
      <c r="F334" s="229" t="str">
        <f>'School Level Inst. Resources'!H334</f>
        <v>E</v>
      </c>
      <c r="G334" s="229" t="s">
        <v>1158</v>
      </c>
      <c r="H334" s="229" t="str">
        <f t="shared" si="89"/>
        <v>E</v>
      </c>
      <c r="I334" s="198">
        <f>'School Level ADM'!$BI334</f>
        <v>201.00600000000003</v>
      </c>
      <c r="J334" s="194">
        <f t="shared" si="75"/>
        <v>33009</v>
      </c>
      <c r="K334" s="194">
        <f t="shared" si="76"/>
        <v>0</v>
      </c>
      <c r="L334" s="194">
        <f t="shared" si="77"/>
        <v>0</v>
      </c>
      <c r="M334" s="194">
        <f t="shared" si="78"/>
        <v>0</v>
      </c>
      <c r="N334" s="194">
        <f t="shared" si="79"/>
        <v>0</v>
      </c>
      <c r="O334" s="194">
        <f t="shared" si="80"/>
        <v>0</v>
      </c>
      <c r="P334" s="194">
        <f t="shared" si="81"/>
        <v>33009</v>
      </c>
      <c r="Q334" s="198">
        <f>'School Level ADM'!$AU334</f>
        <v>208.82</v>
      </c>
      <c r="R334" s="194">
        <f t="shared" si="82"/>
        <v>33009</v>
      </c>
      <c r="S334" s="194">
        <f t="shared" si="83"/>
        <v>0</v>
      </c>
      <c r="T334" s="194">
        <f t="shared" si="84"/>
        <v>0</v>
      </c>
      <c r="U334" s="194">
        <f t="shared" si="85"/>
        <v>0</v>
      </c>
      <c r="V334" s="194">
        <f t="shared" si="86"/>
        <v>0</v>
      </c>
      <c r="W334" s="194">
        <f t="shared" si="87"/>
        <v>0</v>
      </c>
      <c r="X334" s="194">
        <f t="shared" si="88"/>
        <v>33009</v>
      </c>
    </row>
    <row r="335" spans="1:24" x14ac:dyDescent="0.2">
      <c r="A335" s="227" t="str">
        <f>'School Level Inst. Resources'!A335</f>
        <v>2101000</v>
      </c>
      <c r="B335" s="227" t="str">
        <f>'School Level Inst. Resources'!B335</f>
        <v>Uinta #1</v>
      </c>
      <c r="C335" s="227" t="str">
        <f>'School Level Inst. Resources'!C335</f>
        <v>2101004</v>
      </c>
      <c r="D335" s="227" t="str">
        <f>'School Level Inst. Resources'!D335</f>
        <v>Uinta Meadows Elementary</v>
      </c>
      <c r="E335" s="228" t="str">
        <f>'School Level Inst. Resources'!E335</f>
        <v>K-5</v>
      </c>
      <c r="F335" s="229" t="str">
        <f>'School Level Inst. Resources'!H335</f>
        <v>E</v>
      </c>
      <c r="G335" s="229" t="s">
        <v>1158</v>
      </c>
      <c r="H335" s="229" t="str">
        <f t="shared" si="89"/>
        <v>E</v>
      </c>
      <c r="I335" s="198">
        <f>'School Level ADM'!$BI335</f>
        <v>490.94199999999995</v>
      </c>
      <c r="J335" s="194">
        <f t="shared" si="75"/>
        <v>64996</v>
      </c>
      <c r="K335" s="194">
        <f t="shared" si="76"/>
        <v>0</v>
      </c>
      <c r="L335" s="194">
        <f t="shared" si="77"/>
        <v>0</v>
      </c>
      <c r="M335" s="194">
        <f t="shared" si="78"/>
        <v>0</v>
      </c>
      <c r="N335" s="194">
        <f t="shared" si="79"/>
        <v>0</v>
      </c>
      <c r="O335" s="194">
        <f t="shared" si="80"/>
        <v>0</v>
      </c>
      <c r="P335" s="194">
        <f t="shared" si="81"/>
        <v>64996</v>
      </c>
      <c r="Q335" s="198">
        <f>'School Level ADM'!$AU335</f>
        <v>441.28</v>
      </c>
      <c r="R335" s="194">
        <f t="shared" si="82"/>
        <v>64996</v>
      </c>
      <c r="S335" s="194">
        <f t="shared" si="83"/>
        <v>0</v>
      </c>
      <c r="T335" s="194">
        <f t="shared" si="84"/>
        <v>0</v>
      </c>
      <c r="U335" s="194">
        <f t="shared" si="85"/>
        <v>0</v>
      </c>
      <c r="V335" s="194">
        <f t="shared" si="86"/>
        <v>0</v>
      </c>
      <c r="W335" s="194">
        <f t="shared" si="87"/>
        <v>0</v>
      </c>
      <c r="X335" s="194">
        <f t="shared" si="88"/>
        <v>64996</v>
      </c>
    </row>
    <row r="336" spans="1:24" x14ac:dyDescent="0.2">
      <c r="A336" s="227" t="str">
        <f>'School Level Inst. Resources'!A336</f>
        <v>2101000</v>
      </c>
      <c r="B336" s="227" t="str">
        <f>'School Level Inst. Resources'!B336</f>
        <v>Uinta #1</v>
      </c>
      <c r="C336" s="227" t="str">
        <f>'School Level Inst. Resources'!C336</f>
        <v>2101005</v>
      </c>
      <c r="D336" s="227" t="str">
        <f>'School Level Inst. Resources'!D336</f>
        <v>North Evanston Elementary</v>
      </c>
      <c r="E336" s="228" t="str">
        <f>'School Level Inst. Resources'!E336</f>
        <v>K-5</v>
      </c>
      <c r="F336" s="229" t="str">
        <f>'School Level Inst. Resources'!H336</f>
        <v>E</v>
      </c>
      <c r="G336" s="229" t="s">
        <v>1158</v>
      </c>
      <c r="H336" s="229" t="str">
        <f t="shared" si="89"/>
        <v>E</v>
      </c>
      <c r="I336" s="198">
        <f>'School Level ADM'!$BI336</f>
        <v>314.16300000000001</v>
      </c>
      <c r="J336" s="194">
        <f t="shared" si="75"/>
        <v>46079</v>
      </c>
      <c r="K336" s="194">
        <f t="shared" si="76"/>
        <v>0</v>
      </c>
      <c r="L336" s="194">
        <f t="shared" si="77"/>
        <v>0</v>
      </c>
      <c r="M336" s="194">
        <f t="shared" si="78"/>
        <v>0</v>
      </c>
      <c r="N336" s="194">
        <f t="shared" si="79"/>
        <v>0</v>
      </c>
      <c r="O336" s="194">
        <f t="shared" si="80"/>
        <v>0</v>
      </c>
      <c r="P336" s="194">
        <f t="shared" si="81"/>
        <v>46079</v>
      </c>
      <c r="Q336" s="198">
        <f>'School Level ADM'!$AU336</f>
        <v>300.42499999999995</v>
      </c>
      <c r="R336" s="194">
        <f t="shared" si="82"/>
        <v>46079</v>
      </c>
      <c r="S336" s="194">
        <f t="shared" si="83"/>
        <v>0</v>
      </c>
      <c r="T336" s="194">
        <f t="shared" si="84"/>
        <v>0</v>
      </c>
      <c r="U336" s="194">
        <f t="shared" si="85"/>
        <v>0</v>
      </c>
      <c r="V336" s="194">
        <f t="shared" si="86"/>
        <v>0</v>
      </c>
      <c r="W336" s="194">
        <f t="shared" si="87"/>
        <v>0</v>
      </c>
      <c r="X336" s="194">
        <f t="shared" si="88"/>
        <v>46079</v>
      </c>
    </row>
    <row r="337" spans="1:24" x14ac:dyDescent="0.2">
      <c r="A337" s="227" t="str">
        <f>'School Level Inst. Resources'!A337</f>
        <v>2101000</v>
      </c>
      <c r="B337" s="227" t="str">
        <f>'School Level Inst. Resources'!B337</f>
        <v>Uinta #1</v>
      </c>
      <c r="C337" s="227" t="str">
        <f>'School Level Inst. Resources'!C337</f>
        <v>2101006</v>
      </c>
      <c r="D337" s="227" t="str">
        <f>'School Level Inst. Resources'!D337</f>
        <v>Aspen Elementary</v>
      </c>
      <c r="E337" s="228" t="str">
        <f>'School Level Inst. Resources'!E337</f>
        <v>K-5</v>
      </c>
      <c r="F337" s="229" t="str">
        <f>'School Level Inst. Resources'!H337</f>
        <v>E</v>
      </c>
      <c r="G337" s="229" t="s">
        <v>1158</v>
      </c>
      <c r="H337" s="229" t="str">
        <f t="shared" si="89"/>
        <v>E</v>
      </c>
      <c r="I337" s="198">
        <f>'School Level ADM'!$BI337</f>
        <v>293.92099999999999</v>
      </c>
      <c r="J337" s="194">
        <f t="shared" si="75"/>
        <v>43915</v>
      </c>
      <c r="K337" s="194">
        <f t="shared" si="76"/>
        <v>0</v>
      </c>
      <c r="L337" s="194">
        <f t="shared" si="77"/>
        <v>0</v>
      </c>
      <c r="M337" s="194">
        <f t="shared" si="78"/>
        <v>0</v>
      </c>
      <c r="N337" s="194">
        <f t="shared" si="79"/>
        <v>0</v>
      </c>
      <c r="O337" s="194">
        <f t="shared" si="80"/>
        <v>0</v>
      </c>
      <c r="P337" s="194">
        <f t="shared" si="81"/>
        <v>43915</v>
      </c>
      <c r="Q337" s="198">
        <f>'School Level ADM'!$AU337</f>
        <v>294.51499999999999</v>
      </c>
      <c r="R337" s="194">
        <f t="shared" si="82"/>
        <v>43915</v>
      </c>
      <c r="S337" s="194">
        <f t="shared" si="83"/>
        <v>0</v>
      </c>
      <c r="T337" s="194">
        <f t="shared" si="84"/>
        <v>0</v>
      </c>
      <c r="U337" s="194">
        <f t="shared" si="85"/>
        <v>0</v>
      </c>
      <c r="V337" s="194">
        <f t="shared" si="86"/>
        <v>0</v>
      </c>
      <c r="W337" s="194">
        <f t="shared" si="87"/>
        <v>0</v>
      </c>
      <c r="X337" s="194">
        <f t="shared" si="88"/>
        <v>43915</v>
      </c>
    </row>
    <row r="338" spans="1:24" x14ac:dyDescent="0.2">
      <c r="A338" s="227" t="str">
        <f>'School Level Inst. Resources'!A338</f>
        <v>2101000</v>
      </c>
      <c r="B338" s="227" t="str">
        <f>'School Level Inst. Resources'!B338</f>
        <v>Uinta #1</v>
      </c>
      <c r="C338" s="227" t="str">
        <f>'School Level Inst. Resources'!C338</f>
        <v>2101050</v>
      </c>
      <c r="D338" s="227" t="str">
        <f>'School Level Inst. Resources'!D338</f>
        <v>Davis Middle School</v>
      </c>
      <c r="E338" s="228" t="str">
        <f>'School Level Inst. Resources'!E338</f>
        <v>6-8</v>
      </c>
      <c r="F338" s="229" t="str">
        <f>'School Level Inst. Resources'!H338</f>
        <v>M</v>
      </c>
      <c r="G338" s="229" t="s">
        <v>1158</v>
      </c>
      <c r="H338" s="229" t="str">
        <f t="shared" si="89"/>
        <v>M</v>
      </c>
      <c r="I338" s="198">
        <f>'School Level ADM'!$BI338</f>
        <v>310.51499999999999</v>
      </c>
      <c r="J338" s="194">
        <f t="shared" si="75"/>
        <v>0</v>
      </c>
      <c r="K338" s="194">
        <f t="shared" si="76"/>
        <v>64370</v>
      </c>
      <c r="L338" s="194">
        <f t="shared" si="77"/>
        <v>0</v>
      </c>
      <c r="M338" s="194">
        <f t="shared" si="78"/>
        <v>0</v>
      </c>
      <c r="N338" s="194">
        <f t="shared" si="79"/>
        <v>0</v>
      </c>
      <c r="O338" s="194">
        <f t="shared" si="80"/>
        <v>0</v>
      </c>
      <c r="P338" s="194">
        <f t="shared" si="81"/>
        <v>64370</v>
      </c>
      <c r="Q338" s="198">
        <f>'School Level ADM'!$AU338</f>
        <v>298.45500000000004</v>
      </c>
      <c r="R338" s="194">
        <f t="shared" si="82"/>
        <v>0</v>
      </c>
      <c r="S338" s="194">
        <f t="shared" si="83"/>
        <v>64370</v>
      </c>
      <c r="T338" s="194">
        <f t="shared" si="84"/>
        <v>0</v>
      </c>
      <c r="U338" s="194">
        <f t="shared" si="85"/>
        <v>0</v>
      </c>
      <c r="V338" s="194">
        <f t="shared" si="86"/>
        <v>0</v>
      </c>
      <c r="W338" s="194">
        <f t="shared" si="87"/>
        <v>0</v>
      </c>
      <c r="X338" s="194">
        <f t="shared" si="88"/>
        <v>64370</v>
      </c>
    </row>
    <row r="339" spans="1:24" x14ac:dyDescent="0.2">
      <c r="A339" s="227" t="str">
        <f>'School Level Inst. Resources'!A339</f>
        <v>2101000</v>
      </c>
      <c r="B339" s="227" t="str">
        <f>'School Level Inst. Resources'!B339</f>
        <v>Uinta #1</v>
      </c>
      <c r="C339" s="227" t="str">
        <f>'School Level Inst. Resources'!C339</f>
        <v>2101051</v>
      </c>
      <c r="D339" s="227" t="str">
        <f>'School Level Inst. Resources'!D339</f>
        <v>Evanston Middle School</v>
      </c>
      <c r="E339" s="228" t="str">
        <f>'School Level Inst. Resources'!E339</f>
        <v>6-8</v>
      </c>
      <c r="F339" s="229" t="str">
        <f>'School Level Inst. Resources'!H339</f>
        <v>M</v>
      </c>
      <c r="G339" s="229" t="s">
        <v>1158</v>
      </c>
      <c r="H339" s="229" t="str">
        <f t="shared" si="89"/>
        <v>M</v>
      </c>
      <c r="I339" s="198">
        <f>'School Level ADM'!$BI339</f>
        <v>321.846</v>
      </c>
      <c r="J339" s="194">
        <f t="shared" si="75"/>
        <v>0</v>
      </c>
      <c r="K339" s="194">
        <f t="shared" si="76"/>
        <v>65565</v>
      </c>
      <c r="L339" s="194">
        <f t="shared" si="77"/>
        <v>0</v>
      </c>
      <c r="M339" s="194">
        <f t="shared" si="78"/>
        <v>0</v>
      </c>
      <c r="N339" s="194">
        <f t="shared" si="79"/>
        <v>0</v>
      </c>
      <c r="O339" s="194">
        <f t="shared" si="80"/>
        <v>0</v>
      </c>
      <c r="P339" s="194">
        <f t="shared" si="81"/>
        <v>65565</v>
      </c>
      <c r="Q339" s="198">
        <f>'School Level ADM'!$AU339</f>
        <v>296.48500000000001</v>
      </c>
      <c r="R339" s="194">
        <f t="shared" si="82"/>
        <v>0</v>
      </c>
      <c r="S339" s="194">
        <f t="shared" si="83"/>
        <v>65565</v>
      </c>
      <c r="T339" s="194">
        <f t="shared" si="84"/>
        <v>0</v>
      </c>
      <c r="U339" s="194">
        <f t="shared" si="85"/>
        <v>0</v>
      </c>
      <c r="V339" s="194">
        <f t="shared" si="86"/>
        <v>0</v>
      </c>
      <c r="W339" s="194">
        <f t="shared" si="87"/>
        <v>0</v>
      </c>
      <c r="X339" s="194">
        <f t="shared" si="88"/>
        <v>65565</v>
      </c>
    </row>
    <row r="340" spans="1:24" x14ac:dyDescent="0.2">
      <c r="A340" s="227" t="str">
        <f>'School Level Inst. Resources'!A340</f>
        <v>2101000</v>
      </c>
      <c r="B340" s="227" t="str">
        <f>'School Level Inst. Resources'!B340</f>
        <v>Uinta #1</v>
      </c>
      <c r="C340" s="227" t="str">
        <f>'School Level Inst. Resources'!C340</f>
        <v>2101055</v>
      </c>
      <c r="D340" s="227" t="str">
        <f>'School Level Inst. Resources'!D340</f>
        <v>Evanston High School</v>
      </c>
      <c r="E340" s="228" t="str">
        <f>'School Level Inst. Resources'!E340</f>
        <v>9-12</v>
      </c>
      <c r="F340" s="229" t="str">
        <f>'School Level Inst. Resources'!H340</f>
        <v>H</v>
      </c>
      <c r="G340" s="229" t="s">
        <v>1158</v>
      </c>
      <c r="H340" s="229" t="str">
        <f t="shared" si="89"/>
        <v>H</v>
      </c>
      <c r="I340" s="198">
        <f>'School Level ADM'!$BI340</f>
        <v>728.471</v>
      </c>
      <c r="J340" s="194">
        <f t="shared" si="75"/>
        <v>0</v>
      </c>
      <c r="K340" s="194">
        <f t="shared" si="76"/>
        <v>0</v>
      </c>
      <c r="L340" s="194">
        <f t="shared" si="77"/>
        <v>138631</v>
      </c>
      <c r="M340" s="194">
        <f t="shared" si="78"/>
        <v>0</v>
      </c>
      <c r="N340" s="194">
        <f t="shared" si="79"/>
        <v>0</v>
      </c>
      <c r="O340" s="194">
        <f t="shared" si="80"/>
        <v>0</v>
      </c>
      <c r="P340" s="194">
        <f t="shared" si="81"/>
        <v>138631</v>
      </c>
      <c r="Q340" s="198">
        <f>'School Level ADM'!$AU340</f>
        <v>750.56999999999994</v>
      </c>
      <c r="R340" s="194">
        <f t="shared" si="82"/>
        <v>0</v>
      </c>
      <c r="S340" s="194">
        <f t="shared" si="83"/>
        <v>0</v>
      </c>
      <c r="T340" s="194">
        <f t="shared" si="84"/>
        <v>138631</v>
      </c>
      <c r="U340" s="194">
        <f t="shared" si="85"/>
        <v>0</v>
      </c>
      <c r="V340" s="194">
        <f t="shared" si="86"/>
        <v>0</v>
      </c>
      <c r="W340" s="194">
        <f t="shared" si="87"/>
        <v>0</v>
      </c>
      <c r="X340" s="194">
        <f t="shared" si="88"/>
        <v>138631</v>
      </c>
    </row>
    <row r="341" spans="1:24" x14ac:dyDescent="0.2">
      <c r="A341" s="227" t="str">
        <f>'School Level Inst. Resources'!A341</f>
        <v>2101000</v>
      </c>
      <c r="B341" s="227" t="str">
        <f>'School Level Inst. Resources'!B341</f>
        <v>Uinta #1</v>
      </c>
      <c r="C341" s="227" t="str">
        <f>'School Level Inst. Resources'!C341</f>
        <v>2101056</v>
      </c>
      <c r="D341" s="227" t="str">
        <f>'School Level Inst. Resources'!D341</f>
        <v>Horizon Alternative School</v>
      </c>
      <c r="E341" s="228" t="str">
        <f>'School Level Inst. Resources'!E341</f>
        <v>7-12</v>
      </c>
      <c r="F341" s="229" t="str">
        <f>'School Level Inst. Resources'!H341</f>
        <v>H</v>
      </c>
      <c r="G341" s="229" t="s">
        <v>1158</v>
      </c>
      <c r="H341" s="229" t="str">
        <f t="shared" si="89"/>
        <v>6-12</v>
      </c>
      <c r="I341" s="198">
        <f>'School Level ADM'!$BI341</f>
        <v>57.700999999999993</v>
      </c>
      <c r="J341" s="194">
        <f t="shared" si="75"/>
        <v>0</v>
      </c>
      <c r="K341" s="194">
        <f t="shared" si="76"/>
        <v>0</v>
      </c>
      <c r="L341" s="194">
        <f t="shared" si="77"/>
        <v>0</v>
      </c>
      <c r="M341" s="194">
        <f t="shared" si="78"/>
        <v>0</v>
      </c>
      <c r="N341" s="194">
        <f t="shared" si="79"/>
        <v>30616</v>
      </c>
      <c r="O341" s="194">
        <f t="shared" si="80"/>
        <v>0</v>
      </c>
      <c r="P341" s="194">
        <f t="shared" si="81"/>
        <v>30616</v>
      </c>
      <c r="Q341" s="198">
        <f>'School Level ADM'!$AU341</f>
        <v>53.19</v>
      </c>
      <c r="R341" s="194">
        <f t="shared" si="82"/>
        <v>0</v>
      </c>
      <c r="S341" s="194">
        <f t="shared" si="83"/>
        <v>0</v>
      </c>
      <c r="T341" s="194">
        <f t="shared" si="84"/>
        <v>0</v>
      </c>
      <c r="U341" s="194">
        <f t="shared" si="85"/>
        <v>0</v>
      </c>
      <c r="V341" s="194">
        <f t="shared" si="86"/>
        <v>30616</v>
      </c>
      <c r="W341" s="194">
        <f t="shared" si="87"/>
        <v>0</v>
      </c>
      <c r="X341" s="194">
        <f t="shared" si="88"/>
        <v>30616</v>
      </c>
    </row>
    <row r="342" spans="1:24" x14ac:dyDescent="0.2">
      <c r="A342" s="227" t="str">
        <f>'School Level Inst. Resources'!A342</f>
        <v>2104000</v>
      </c>
      <c r="B342" s="227" t="str">
        <f>'School Level Inst. Resources'!B342</f>
        <v>Uinta #4</v>
      </c>
      <c r="C342" s="227" t="str">
        <f>'School Level Inst. Resources'!C342</f>
        <v>2104020</v>
      </c>
      <c r="D342" s="227" t="str">
        <f>'School Level Inst. Resources'!D342</f>
        <v>Mountain View K-8</v>
      </c>
      <c r="E342" s="228" t="str">
        <f>'School Level Inst. Resources'!E342</f>
        <v>K-8</v>
      </c>
      <c r="F342" s="245" t="str">
        <f>'School Level Inst. Resources'!H342</f>
        <v>M</v>
      </c>
      <c r="G342" s="245" t="s">
        <v>1158</v>
      </c>
      <c r="H342" s="245" t="str">
        <f t="shared" si="89"/>
        <v>K-8</v>
      </c>
      <c r="I342" s="198">
        <f>'School Level ADM'!$BI342</f>
        <v>619.00199999999995</v>
      </c>
      <c r="J342" s="194">
        <f t="shared" si="75"/>
        <v>0</v>
      </c>
      <c r="K342" s="194">
        <f t="shared" si="76"/>
        <v>0</v>
      </c>
      <c r="L342" s="194">
        <f t="shared" si="77"/>
        <v>0</v>
      </c>
      <c r="M342" s="194">
        <f t="shared" si="78"/>
        <v>115419</v>
      </c>
      <c r="N342" s="194">
        <f t="shared" si="79"/>
        <v>0</v>
      </c>
      <c r="O342" s="194">
        <f t="shared" si="80"/>
        <v>0</v>
      </c>
      <c r="P342" s="194">
        <f t="shared" si="81"/>
        <v>115419</v>
      </c>
      <c r="Q342" s="198">
        <f>'School Level ADM'!$AU342</f>
        <v>604.79000000000008</v>
      </c>
      <c r="R342" s="194">
        <f t="shared" si="82"/>
        <v>0</v>
      </c>
      <c r="S342" s="194">
        <f t="shared" si="83"/>
        <v>0</v>
      </c>
      <c r="T342" s="194">
        <f t="shared" si="84"/>
        <v>0</v>
      </c>
      <c r="U342" s="194">
        <f t="shared" si="85"/>
        <v>115419</v>
      </c>
      <c r="V342" s="194">
        <f t="shared" si="86"/>
        <v>0</v>
      </c>
      <c r="W342" s="194">
        <f t="shared" si="87"/>
        <v>0</v>
      </c>
      <c r="X342" s="194">
        <f t="shared" si="88"/>
        <v>115419</v>
      </c>
    </row>
    <row r="343" spans="1:24" x14ac:dyDescent="0.2">
      <c r="A343" s="227" t="str">
        <f>'School Level Inst. Resources'!A343</f>
        <v>2104000</v>
      </c>
      <c r="B343" s="227" t="str">
        <f>'School Level Inst. Resources'!B343</f>
        <v>Uinta #4</v>
      </c>
      <c r="C343" s="227" t="str">
        <f>'School Level Inst. Resources'!C343</f>
        <v>2104055</v>
      </c>
      <c r="D343" s="227" t="str">
        <f>'School Level Inst. Resources'!D343</f>
        <v>Mountain View High School</v>
      </c>
      <c r="E343" s="228" t="str">
        <f>'School Level Inst. Resources'!E343</f>
        <v>9-12</v>
      </c>
      <c r="F343" s="229" t="str">
        <f>'School Level Inst. Resources'!H343</f>
        <v>H</v>
      </c>
      <c r="G343" s="229" t="s">
        <v>1158</v>
      </c>
      <c r="H343" s="229" t="str">
        <f t="shared" si="89"/>
        <v>H</v>
      </c>
      <c r="I343" s="198">
        <f>'School Level ADM'!$BI343</f>
        <v>233.982</v>
      </c>
      <c r="J343" s="194">
        <f t="shared" si="75"/>
        <v>0</v>
      </c>
      <c r="K343" s="194">
        <f t="shared" si="76"/>
        <v>0</v>
      </c>
      <c r="L343" s="194">
        <f t="shared" si="77"/>
        <v>68738</v>
      </c>
      <c r="M343" s="194">
        <f t="shared" si="78"/>
        <v>0</v>
      </c>
      <c r="N343" s="194">
        <f t="shared" si="79"/>
        <v>0</v>
      </c>
      <c r="O343" s="194">
        <f t="shared" si="80"/>
        <v>0</v>
      </c>
      <c r="P343" s="194">
        <f t="shared" si="81"/>
        <v>68738</v>
      </c>
      <c r="Q343" s="198">
        <f>'School Level ADM'!$AU343</f>
        <v>220.64</v>
      </c>
      <c r="R343" s="194">
        <f t="shared" si="82"/>
        <v>0</v>
      </c>
      <c r="S343" s="194">
        <f t="shared" si="83"/>
        <v>0</v>
      </c>
      <c r="T343" s="194">
        <f t="shared" si="84"/>
        <v>68738</v>
      </c>
      <c r="U343" s="194">
        <f t="shared" si="85"/>
        <v>0</v>
      </c>
      <c r="V343" s="194">
        <f t="shared" si="86"/>
        <v>0</v>
      </c>
      <c r="W343" s="194">
        <f t="shared" si="87"/>
        <v>0</v>
      </c>
      <c r="X343" s="194">
        <f t="shared" si="88"/>
        <v>68738</v>
      </c>
    </row>
    <row r="344" spans="1:24" x14ac:dyDescent="0.2">
      <c r="A344" s="227" t="str">
        <f>'School Level Inst. Resources'!A344</f>
        <v>2106000</v>
      </c>
      <c r="B344" s="227" t="str">
        <f>'School Level Inst. Resources'!B344</f>
        <v>Uinta #6</v>
      </c>
      <c r="C344" s="227" t="str">
        <f>'School Level Inst. Resources'!C344</f>
        <v>2106002</v>
      </c>
      <c r="D344" s="227" t="str">
        <f>'School Level Inst. Resources'!D344</f>
        <v>Urie Elementary</v>
      </c>
      <c r="E344" s="228" t="str">
        <f>'School Level Inst. Resources'!E344</f>
        <v>K-4</v>
      </c>
      <c r="F344" s="229" t="str">
        <f>'School Level Inst. Resources'!H344</f>
        <v>E</v>
      </c>
      <c r="G344" s="229" t="s">
        <v>1158</v>
      </c>
      <c r="H344" s="229" t="str">
        <f t="shared" si="89"/>
        <v>E</v>
      </c>
      <c r="I344" s="198">
        <f>'School Level ADM'!$BI344</f>
        <v>290.02</v>
      </c>
      <c r="J344" s="194">
        <f t="shared" si="75"/>
        <v>43491</v>
      </c>
      <c r="K344" s="194">
        <f t="shared" si="76"/>
        <v>0</v>
      </c>
      <c r="L344" s="194">
        <f t="shared" si="77"/>
        <v>0</v>
      </c>
      <c r="M344" s="194">
        <f t="shared" si="78"/>
        <v>0</v>
      </c>
      <c r="N344" s="194">
        <f t="shared" si="79"/>
        <v>0</v>
      </c>
      <c r="O344" s="194">
        <f t="shared" si="80"/>
        <v>0</v>
      </c>
      <c r="P344" s="194">
        <f t="shared" si="81"/>
        <v>43491</v>
      </c>
      <c r="Q344" s="198">
        <f>'School Level ADM'!$AU344</f>
        <v>277.77</v>
      </c>
      <c r="R344" s="194">
        <f t="shared" si="82"/>
        <v>43491</v>
      </c>
      <c r="S344" s="194">
        <f t="shared" si="83"/>
        <v>0</v>
      </c>
      <c r="T344" s="194">
        <f t="shared" si="84"/>
        <v>0</v>
      </c>
      <c r="U344" s="194">
        <f t="shared" si="85"/>
        <v>0</v>
      </c>
      <c r="V344" s="194">
        <f t="shared" si="86"/>
        <v>0</v>
      </c>
      <c r="W344" s="194">
        <f t="shared" si="87"/>
        <v>0</v>
      </c>
      <c r="X344" s="194">
        <f t="shared" si="88"/>
        <v>43491</v>
      </c>
    </row>
    <row r="345" spans="1:24" x14ac:dyDescent="0.2">
      <c r="A345" s="227" t="str">
        <f>'School Level Inst. Resources'!A345</f>
        <v>2106000</v>
      </c>
      <c r="B345" s="227" t="str">
        <f>'School Level Inst. Resources'!B345</f>
        <v>Uinta #6</v>
      </c>
      <c r="C345" s="227" t="str">
        <f>'School Level Inst. Resources'!C345</f>
        <v>2106050</v>
      </c>
      <c r="D345" s="227" t="str">
        <f>'School Level Inst. Resources'!D345</f>
        <v>Lyman Intermediate School</v>
      </c>
      <c r="E345" s="228" t="str">
        <f>'School Level Inst. Resources'!E345</f>
        <v>5-8</v>
      </c>
      <c r="F345" s="229" t="str">
        <f>'School Level Inst. Resources'!H345</f>
        <v>M</v>
      </c>
      <c r="G345" s="229" t="s">
        <v>1158</v>
      </c>
      <c r="H345" s="229" t="str">
        <f t="shared" si="89"/>
        <v>M</v>
      </c>
      <c r="I345" s="198">
        <f>'School Level ADM'!$BI345</f>
        <v>244.506</v>
      </c>
      <c r="J345" s="194">
        <f t="shared" si="75"/>
        <v>0</v>
      </c>
      <c r="K345" s="194">
        <f t="shared" si="76"/>
        <v>57045</v>
      </c>
      <c r="L345" s="194">
        <f t="shared" si="77"/>
        <v>0</v>
      </c>
      <c r="M345" s="194">
        <f t="shared" si="78"/>
        <v>0</v>
      </c>
      <c r="N345" s="194">
        <f t="shared" si="79"/>
        <v>0</v>
      </c>
      <c r="O345" s="194">
        <f t="shared" si="80"/>
        <v>0</v>
      </c>
      <c r="P345" s="194">
        <f t="shared" si="81"/>
        <v>57045</v>
      </c>
      <c r="Q345" s="198">
        <f>'School Level ADM'!$AU345</f>
        <v>234.43</v>
      </c>
      <c r="R345" s="194">
        <f t="shared" si="82"/>
        <v>0</v>
      </c>
      <c r="S345" s="194">
        <f t="shared" si="83"/>
        <v>57045</v>
      </c>
      <c r="T345" s="194">
        <f t="shared" si="84"/>
        <v>0</v>
      </c>
      <c r="U345" s="194">
        <f t="shared" si="85"/>
        <v>0</v>
      </c>
      <c r="V345" s="194">
        <f t="shared" si="86"/>
        <v>0</v>
      </c>
      <c r="W345" s="194">
        <f t="shared" si="87"/>
        <v>0</v>
      </c>
      <c r="X345" s="194">
        <f t="shared" si="88"/>
        <v>57045</v>
      </c>
    </row>
    <row r="346" spans="1:24" x14ac:dyDescent="0.2">
      <c r="A346" s="227" t="str">
        <f>'School Level Inst. Resources'!A346</f>
        <v>2106000</v>
      </c>
      <c r="B346" s="227" t="str">
        <f>'School Level Inst. Resources'!B346</f>
        <v>Uinta #6</v>
      </c>
      <c r="C346" s="227" t="str">
        <f>'School Level Inst. Resources'!C346</f>
        <v>2106055</v>
      </c>
      <c r="D346" s="227" t="str">
        <f>'School Level Inst. Resources'!D346</f>
        <v>Lyman High School</v>
      </c>
      <c r="E346" s="228" t="str">
        <f>'School Level Inst. Resources'!E346</f>
        <v>9-12</v>
      </c>
      <c r="F346" s="229" t="str">
        <f>'School Level Inst. Resources'!H346</f>
        <v>H</v>
      </c>
      <c r="G346" s="229" t="s">
        <v>1158</v>
      </c>
      <c r="H346" s="229" t="str">
        <f t="shared" si="89"/>
        <v>H</v>
      </c>
      <c r="I346" s="198">
        <f>'School Level ADM'!$BI346</f>
        <v>189.27199999999999</v>
      </c>
      <c r="J346" s="194">
        <f t="shared" si="75"/>
        <v>0</v>
      </c>
      <c r="K346" s="194">
        <f t="shared" si="76"/>
        <v>0</v>
      </c>
      <c r="L346" s="194">
        <f t="shared" si="77"/>
        <v>61167</v>
      </c>
      <c r="M346" s="194">
        <f t="shared" si="78"/>
        <v>0</v>
      </c>
      <c r="N346" s="194">
        <f t="shared" si="79"/>
        <v>0</v>
      </c>
      <c r="O346" s="194">
        <f t="shared" si="80"/>
        <v>0</v>
      </c>
      <c r="P346" s="194">
        <f t="shared" si="81"/>
        <v>61167</v>
      </c>
      <c r="Q346" s="198">
        <f>'School Level ADM'!$AU346</f>
        <v>215.71500000000003</v>
      </c>
      <c r="R346" s="194">
        <f t="shared" si="82"/>
        <v>0</v>
      </c>
      <c r="S346" s="194">
        <f t="shared" si="83"/>
        <v>0</v>
      </c>
      <c r="T346" s="194">
        <f t="shared" si="84"/>
        <v>61167</v>
      </c>
      <c r="U346" s="194">
        <f t="shared" si="85"/>
        <v>0</v>
      </c>
      <c r="V346" s="194">
        <f t="shared" si="86"/>
        <v>0</v>
      </c>
      <c r="W346" s="194">
        <f t="shared" si="87"/>
        <v>0</v>
      </c>
      <c r="X346" s="194">
        <f t="shared" si="88"/>
        <v>61167</v>
      </c>
    </row>
    <row r="347" spans="1:24" x14ac:dyDescent="0.2">
      <c r="A347" s="227" t="str">
        <f>'School Level Inst. Resources'!A347</f>
        <v>2201000</v>
      </c>
      <c r="B347" s="227" t="str">
        <f>'School Level Inst. Resources'!B347</f>
        <v>Washakie #1</v>
      </c>
      <c r="C347" s="227" t="str">
        <f>'School Level Inst. Resources'!C347</f>
        <v>2201004</v>
      </c>
      <c r="D347" s="227" t="str">
        <f>'School Level Inst. Resources'!D347</f>
        <v>East Side Elementary</v>
      </c>
      <c r="E347" s="228" t="str">
        <f>'School Level Inst. Resources'!E347</f>
        <v>K-1</v>
      </c>
      <c r="F347" s="229" t="str">
        <f>'School Level Inst. Resources'!H347</f>
        <v>E</v>
      </c>
      <c r="G347" s="229" t="s">
        <v>1158</v>
      </c>
      <c r="H347" s="229" t="str">
        <f t="shared" si="89"/>
        <v>E</v>
      </c>
      <c r="I347" s="198">
        <f>'School Level ADM'!$BI347</f>
        <v>197.33499999999998</v>
      </c>
      <c r="J347" s="194">
        <f t="shared" si="75"/>
        <v>32537</v>
      </c>
      <c r="K347" s="194">
        <f t="shared" si="76"/>
        <v>0</v>
      </c>
      <c r="L347" s="194">
        <f t="shared" si="77"/>
        <v>0</v>
      </c>
      <c r="M347" s="194">
        <f t="shared" si="78"/>
        <v>0</v>
      </c>
      <c r="N347" s="194">
        <f t="shared" si="79"/>
        <v>0</v>
      </c>
      <c r="O347" s="194">
        <f t="shared" si="80"/>
        <v>0</v>
      </c>
      <c r="P347" s="194">
        <f t="shared" si="81"/>
        <v>32537</v>
      </c>
      <c r="Q347" s="198">
        <f>'School Level ADM'!$AU347</f>
        <v>173.36</v>
      </c>
      <c r="R347" s="194">
        <f t="shared" si="82"/>
        <v>32537</v>
      </c>
      <c r="S347" s="194">
        <f t="shared" si="83"/>
        <v>0</v>
      </c>
      <c r="T347" s="194">
        <f t="shared" si="84"/>
        <v>0</v>
      </c>
      <c r="U347" s="194">
        <f t="shared" si="85"/>
        <v>0</v>
      </c>
      <c r="V347" s="194">
        <f t="shared" si="86"/>
        <v>0</v>
      </c>
      <c r="W347" s="194">
        <f t="shared" si="87"/>
        <v>0</v>
      </c>
      <c r="X347" s="194">
        <f t="shared" si="88"/>
        <v>32537</v>
      </c>
    </row>
    <row r="348" spans="1:24" x14ac:dyDescent="0.2">
      <c r="A348" s="227" t="str">
        <f>'School Level Inst. Resources'!A348</f>
        <v>2201000</v>
      </c>
      <c r="B348" s="227" t="str">
        <f>'School Level Inst. Resources'!B348</f>
        <v>Washakie #1</v>
      </c>
      <c r="C348" s="227" t="str">
        <f>'School Level Inst. Resources'!C348</f>
        <v>2201005</v>
      </c>
      <c r="D348" s="227" t="str">
        <f>'School Level Inst. Resources'!D348</f>
        <v>South Side Elementary</v>
      </c>
      <c r="E348" s="228" t="str">
        <f>'School Level Inst. Resources'!E348</f>
        <v>2-3</v>
      </c>
      <c r="F348" s="229" t="str">
        <f>'School Level Inst. Resources'!H348</f>
        <v>E</v>
      </c>
      <c r="G348" s="229" t="s">
        <v>1158</v>
      </c>
      <c r="H348" s="229" t="str">
        <f t="shared" si="89"/>
        <v>E</v>
      </c>
      <c r="I348" s="198">
        <f>'School Level ADM'!$BI348</f>
        <v>171.56299999999999</v>
      </c>
      <c r="J348" s="194">
        <f t="shared" si="75"/>
        <v>29112</v>
      </c>
      <c r="K348" s="194">
        <f t="shared" si="76"/>
        <v>0</v>
      </c>
      <c r="L348" s="194">
        <f t="shared" si="77"/>
        <v>0</v>
      </c>
      <c r="M348" s="194">
        <f t="shared" si="78"/>
        <v>0</v>
      </c>
      <c r="N348" s="194">
        <f t="shared" si="79"/>
        <v>0</v>
      </c>
      <c r="O348" s="194">
        <f t="shared" si="80"/>
        <v>0</v>
      </c>
      <c r="P348" s="194">
        <f t="shared" si="81"/>
        <v>29112</v>
      </c>
      <c r="Q348" s="198">
        <f>'School Level ADM'!$AU348</f>
        <v>162.52499999999998</v>
      </c>
      <c r="R348" s="194">
        <f t="shared" si="82"/>
        <v>29112</v>
      </c>
      <c r="S348" s="194">
        <f t="shared" si="83"/>
        <v>0</v>
      </c>
      <c r="T348" s="194">
        <f t="shared" si="84"/>
        <v>0</v>
      </c>
      <c r="U348" s="194">
        <f t="shared" si="85"/>
        <v>0</v>
      </c>
      <c r="V348" s="194">
        <f t="shared" si="86"/>
        <v>0</v>
      </c>
      <c r="W348" s="194">
        <f t="shared" si="87"/>
        <v>0</v>
      </c>
      <c r="X348" s="194">
        <f t="shared" si="88"/>
        <v>29112</v>
      </c>
    </row>
    <row r="349" spans="1:24" x14ac:dyDescent="0.2">
      <c r="A349" s="227" t="str">
        <f>'School Level Inst. Resources'!A349</f>
        <v>2201000</v>
      </c>
      <c r="B349" s="227" t="str">
        <f>'School Level Inst. Resources'!B349</f>
        <v>Washakie #1</v>
      </c>
      <c r="C349" s="227" t="str">
        <f>'School Level Inst. Resources'!C349</f>
        <v>2201006</v>
      </c>
      <c r="D349" s="227" t="str">
        <f>'School Level Inst. Resources'!D349</f>
        <v>West Side Elementary</v>
      </c>
      <c r="E349" s="228" t="str">
        <f>'School Level Inst. Resources'!E349</f>
        <v>4-5</v>
      </c>
      <c r="F349" s="229" t="str">
        <f>'School Level Inst. Resources'!H349</f>
        <v>E</v>
      </c>
      <c r="G349" s="229" t="s">
        <v>1158</v>
      </c>
      <c r="H349" s="229" t="str">
        <f t="shared" si="89"/>
        <v>E</v>
      </c>
      <c r="I349" s="198">
        <f>'School Level ADM'!$BI349</f>
        <v>226.11400000000003</v>
      </c>
      <c r="J349" s="194">
        <f t="shared" si="75"/>
        <v>36145</v>
      </c>
      <c r="K349" s="194">
        <f t="shared" si="76"/>
        <v>0</v>
      </c>
      <c r="L349" s="194">
        <f t="shared" si="77"/>
        <v>0</v>
      </c>
      <c r="M349" s="194">
        <f t="shared" si="78"/>
        <v>0</v>
      </c>
      <c r="N349" s="194">
        <f t="shared" si="79"/>
        <v>0</v>
      </c>
      <c r="O349" s="194">
        <f t="shared" si="80"/>
        <v>0</v>
      </c>
      <c r="P349" s="194">
        <f t="shared" si="81"/>
        <v>36145</v>
      </c>
      <c r="Q349" s="198">
        <f>'School Level ADM'!$AU349</f>
        <v>192.07499999999999</v>
      </c>
      <c r="R349" s="194">
        <f t="shared" si="82"/>
        <v>36145</v>
      </c>
      <c r="S349" s="194">
        <f t="shared" si="83"/>
        <v>0</v>
      </c>
      <c r="T349" s="194">
        <f t="shared" si="84"/>
        <v>0</v>
      </c>
      <c r="U349" s="194">
        <f t="shared" si="85"/>
        <v>0</v>
      </c>
      <c r="V349" s="194">
        <f t="shared" si="86"/>
        <v>0</v>
      </c>
      <c r="W349" s="194">
        <f t="shared" si="87"/>
        <v>0</v>
      </c>
      <c r="X349" s="194">
        <f t="shared" si="88"/>
        <v>36145</v>
      </c>
    </row>
    <row r="350" spans="1:24" x14ac:dyDescent="0.2">
      <c r="A350" s="227" t="str">
        <f>'School Level Inst. Resources'!A350</f>
        <v>2201000</v>
      </c>
      <c r="B350" s="227" t="str">
        <f>'School Level Inst. Resources'!B350</f>
        <v>Washakie #1</v>
      </c>
      <c r="C350" s="227" t="str">
        <f>'School Level Inst. Resources'!C350</f>
        <v>2201050</v>
      </c>
      <c r="D350" s="227" t="str">
        <f>'School Level Inst. Resources'!D350</f>
        <v>Worland Middle School</v>
      </c>
      <c r="E350" s="228" t="str">
        <f>'School Level Inst. Resources'!E350</f>
        <v>6-8</v>
      </c>
      <c r="F350" s="229" t="str">
        <f>'School Level Inst. Resources'!H350</f>
        <v>M</v>
      </c>
      <c r="G350" s="229" t="s">
        <v>1158</v>
      </c>
      <c r="H350" s="229" t="str">
        <f t="shared" si="89"/>
        <v>M</v>
      </c>
      <c r="I350" s="198">
        <f>'School Level ADM'!$BI350</f>
        <v>329.14699999999999</v>
      </c>
      <c r="J350" s="194">
        <f t="shared" si="75"/>
        <v>0</v>
      </c>
      <c r="K350" s="194">
        <f t="shared" si="76"/>
        <v>66327</v>
      </c>
      <c r="L350" s="194">
        <f t="shared" si="77"/>
        <v>0</v>
      </c>
      <c r="M350" s="194">
        <f t="shared" si="78"/>
        <v>0</v>
      </c>
      <c r="N350" s="194">
        <f t="shared" si="79"/>
        <v>0</v>
      </c>
      <c r="O350" s="194">
        <f t="shared" si="80"/>
        <v>0</v>
      </c>
      <c r="P350" s="194">
        <f t="shared" si="81"/>
        <v>66327</v>
      </c>
      <c r="Q350" s="198">
        <f>'School Level ADM'!$AU350</f>
        <v>328.99</v>
      </c>
      <c r="R350" s="194">
        <f t="shared" si="82"/>
        <v>0</v>
      </c>
      <c r="S350" s="194">
        <f t="shared" si="83"/>
        <v>66327</v>
      </c>
      <c r="T350" s="194">
        <f t="shared" si="84"/>
        <v>0</v>
      </c>
      <c r="U350" s="194">
        <f t="shared" si="85"/>
        <v>0</v>
      </c>
      <c r="V350" s="194">
        <f t="shared" si="86"/>
        <v>0</v>
      </c>
      <c r="W350" s="194">
        <f t="shared" si="87"/>
        <v>0</v>
      </c>
      <c r="X350" s="194">
        <f t="shared" si="88"/>
        <v>66327</v>
      </c>
    </row>
    <row r="351" spans="1:24" x14ac:dyDescent="0.2">
      <c r="A351" s="227" t="str">
        <f>'School Level Inst. Resources'!A351</f>
        <v>2201000</v>
      </c>
      <c r="B351" s="227" t="str">
        <f>'School Level Inst. Resources'!B351</f>
        <v>Washakie #1</v>
      </c>
      <c r="C351" s="227" t="str">
        <f>'School Level Inst. Resources'!C351</f>
        <v>2201055</v>
      </c>
      <c r="D351" s="227" t="str">
        <f>'School Level Inst. Resources'!D351</f>
        <v>Worland High School</v>
      </c>
      <c r="E351" s="228" t="str">
        <f>'School Level Inst. Resources'!E351</f>
        <v>9-12</v>
      </c>
      <c r="F351" s="229" t="str">
        <f>'School Level Inst. Resources'!H351</f>
        <v>H</v>
      </c>
      <c r="G351" s="229" t="s">
        <v>1158</v>
      </c>
      <c r="H351" s="229" t="str">
        <f t="shared" si="89"/>
        <v>H</v>
      </c>
      <c r="I351" s="198">
        <f>'School Level ADM'!$BI351</f>
        <v>391.82199999999995</v>
      </c>
      <c r="J351" s="194">
        <f t="shared" si="75"/>
        <v>0</v>
      </c>
      <c r="K351" s="194">
        <f t="shared" si="76"/>
        <v>0</v>
      </c>
      <c r="L351" s="194">
        <f t="shared" si="77"/>
        <v>93328</v>
      </c>
      <c r="M351" s="194">
        <f t="shared" si="78"/>
        <v>0</v>
      </c>
      <c r="N351" s="194">
        <f t="shared" si="79"/>
        <v>0</v>
      </c>
      <c r="O351" s="194">
        <f t="shared" si="80"/>
        <v>0</v>
      </c>
      <c r="P351" s="194">
        <f t="shared" si="81"/>
        <v>93328</v>
      </c>
      <c r="Q351" s="198">
        <f>'School Level ADM'!$AU351</f>
        <v>397.93999999999994</v>
      </c>
      <c r="R351" s="194">
        <f t="shared" si="82"/>
        <v>0</v>
      </c>
      <c r="S351" s="194">
        <f t="shared" si="83"/>
        <v>0</v>
      </c>
      <c r="T351" s="194">
        <f t="shared" si="84"/>
        <v>93328</v>
      </c>
      <c r="U351" s="194">
        <f t="shared" si="85"/>
        <v>0</v>
      </c>
      <c r="V351" s="194">
        <f t="shared" si="86"/>
        <v>0</v>
      </c>
      <c r="W351" s="194">
        <f t="shared" si="87"/>
        <v>0</v>
      </c>
      <c r="X351" s="194">
        <f t="shared" si="88"/>
        <v>93328</v>
      </c>
    </row>
    <row r="352" spans="1:24" x14ac:dyDescent="0.2">
      <c r="A352" s="227" t="str">
        <f>'School Level Inst. Resources'!A352</f>
        <v>2202000</v>
      </c>
      <c r="B352" s="227" t="str">
        <f>'School Level Inst. Resources'!B352</f>
        <v>Washakie #2</v>
      </c>
      <c r="C352" s="227" t="str">
        <f>'School Level Inst. Resources'!C352</f>
        <v>2202049</v>
      </c>
      <c r="D352" s="227" t="str">
        <f>'School Level Inst. Resources'!D352</f>
        <v>Ten Sleep K-12</v>
      </c>
      <c r="E352" s="228" t="str">
        <f>'School Level Inst. Resources'!E352</f>
        <v>K-12</v>
      </c>
      <c r="F352" s="229" t="str">
        <f>'School Level Inst. Resources'!H352</f>
        <v>H</v>
      </c>
      <c r="G352" s="229" t="s">
        <v>1158</v>
      </c>
      <c r="H352" s="229" t="str">
        <f t="shared" si="89"/>
        <v>K-12</v>
      </c>
      <c r="I352" s="198">
        <f>'School Level ADM'!$BI352</f>
        <v>114.44000000000001</v>
      </c>
      <c r="J352" s="194">
        <f t="shared" si="75"/>
        <v>0</v>
      </c>
      <c r="K352" s="194">
        <f t="shared" si="76"/>
        <v>0</v>
      </c>
      <c r="L352" s="194">
        <f t="shared" si="77"/>
        <v>0</v>
      </c>
      <c r="M352" s="194">
        <f t="shared" si="78"/>
        <v>0</v>
      </c>
      <c r="N352" s="194">
        <f t="shared" si="79"/>
        <v>0</v>
      </c>
      <c r="O352" s="194">
        <f t="shared" si="80"/>
        <v>48497</v>
      </c>
      <c r="P352" s="194">
        <f t="shared" si="81"/>
        <v>48497</v>
      </c>
      <c r="Q352" s="198">
        <f>'School Level ADM'!$AU352</f>
        <v>100.46999999999998</v>
      </c>
      <c r="R352" s="194">
        <f t="shared" si="82"/>
        <v>0</v>
      </c>
      <c r="S352" s="194">
        <f t="shared" si="83"/>
        <v>0</v>
      </c>
      <c r="T352" s="194">
        <f t="shared" si="84"/>
        <v>0</v>
      </c>
      <c r="U352" s="194">
        <f t="shared" si="85"/>
        <v>0</v>
      </c>
      <c r="V352" s="194">
        <f t="shared" si="86"/>
        <v>0</v>
      </c>
      <c r="W352" s="194">
        <f t="shared" si="87"/>
        <v>48497</v>
      </c>
      <c r="X352" s="194">
        <f t="shared" si="88"/>
        <v>48497</v>
      </c>
    </row>
    <row r="353" spans="1:24" s="226" customFormat="1" x14ac:dyDescent="0.2">
      <c r="A353" s="210" t="str">
        <f>'School Level Inst. Resources'!A353</f>
        <v>2301000</v>
      </c>
      <c r="B353" s="210" t="str">
        <f>'School Level Inst. Resources'!B353</f>
        <v>Weston #1</v>
      </c>
      <c r="C353" s="210" t="str">
        <f>'School Level Inst. Resources'!C353</f>
        <v>2301001</v>
      </c>
      <c r="D353" s="210" t="str">
        <f>'School Level Inst. Resources'!D353</f>
        <v>Newcastle Elementary 3-5</v>
      </c>
      <c r="E353" s="211" t="str">
        <f>'School Level Inst. Resources'!E353</f>
        <v>3-5</v>
      </c>
      <c r="F353" s="212" t="str">
        <f>'School Level Inst. Resources'!H353</f>
        <v>E</v>
      </c>
      <c r="G353" s="212" t="s">
        <v>1158</v>
      </c>
      <c r="H353" s="212" t="str">
        <f t="shared" si="89"/>
        <v>E</v>
      </c>
      <c r="I353" s="218">
        <f>SUM('School Level ADM'!$BI353,'School Level ADM'!$BI354)</f>
        <v>344.19399999999996</v>
      </c>
      <c r="J353" s="214">
        <f t="shared" si="75"/>
        <v>49197</v>
      </c>
      <c r="K353" s="214">
        <f t="shared" si="76"/>
        <v>0</v>
      </c>
      <c r="L353" s="214">
        <f t="shared" si="77"/>
        <v>0</v>
      </c>
      <c r="M353" s="214">
        <f t="shared" si="78"/>
        <v>0</v>
      </c>
      <c r="N353" s="214">
        <f t="shared" si="79"/>
        <v>0</v>
      </c>
      <c r="O353" s="214">
        <f t="shared" si="80"/>
        <v>0</v>
      </c>
      <c r="P353" s="214">
        <f t="shared" si="81"/>
        <v>49197</v>
      </c>
      <c r="Q353" s="218">
        <f>SUM('School Level ADM'!$AU353,'School Level ADM'!$AU354)</f>
        <v>339.82500000000005</v>
      </c>
      <c r="R353" s="214">
        <f t="shared" si="82"/>
        <v>49197</v>
      </c>
      <c r="S353" s="214">
        <f t="shared" si="83"/>
        <v>0</v>
      </c>
      <c r="T353" s="214">
        <f t="shared" si="84"/>
        <v>0</v>
      </c>
      <c r="U353" s="214">
        <f t="shared" si="85"/>
        <v>0</v>
      </c>
      <c r="V353" s="214">
        <f t="shared" si="86"/>
        <v>0</v>
      </c>
      <c r="W353" s="214">
        <f t="shared" si="87"/>
        <v>0</v>
      </c>
      <c r="X353" s="214">
        <f t="shared" si="88"/>
        <v>49197</v>
      </c>
    </row>
    <row r="354" spans="1:24" s="226" customFormat="1" x14ac:dyDescent="0.2">
      <c r="A354" s="210" t="str">
        <f>'School Level Inst. Resources'!A354</f>
        <v>2301000</v>
      </c>
      <c r="B354" s="210" t="str">
        <f>'School Level Inst. Resources'!B354</f>
        <v>Weston #1</v>
      </c>
      <c r="C354" s="210" t="str">
        <f>'School Level Inst. Resources'!C354</f>
        <v>2301003</v>
      </c>
      <c r="D354" s="210" t="str">
        <f>'School Level Inst. Resources'!D354</f>
        <v>Newcastle Elementary K-2</v>
      </c>
      <c r="E354" s="211" t="str">
        <f>'School Level Inst. Resources'!E354</f>
        <v>K-2</v>
      </c>
      <c r="F354" s="212" t="str">
        <f>'School Level Inst. Resources'!H354</f>
        <v>E</v>
      </c>
      <c r="G354" s="212" t="s">
        <v>1159</v>
      </c>
      <c r="H354" s="212" t="str">
        <f t="shared" si="89"/>
        <v>E</v>
      </c>
      <c r="I354" s="217">
        <v>0</v>
      </c>
      <c r="J354" s="293">
        <f t="shared" si="75"/>
        <v>0</v>
      </c>
      <c r="K354" s="293">
        <f t="shared" si="76"/>
        <v>0</v>
      </c>
      <c r="L354" s="293">
        <f t="shared" si="77"/>
        <v>0</v>
      </c>
      <c r="M354" s="293">
        <f t="shared" si="78"/>
        <v>0</v>
      </c>
      <c r="N354" s="293">
        <f t="shared" si="79"/>
        <v>0</v>
      </c>
      <c r="O354" s="293">
        <f t="shared" si="80"/>
        <v>0</v>
      </c>
      <c r="P354" s="293">
        <f t="shared" si="81"/>
        <v>0</v>
      </c>
      <c r="Q354" s="217">
        <v>0</v>
      </c>
      <c r="R354" s="293">
        <f t="shared" si="82"/>
        <v>0</v>
      </c>
      <c r="S354" s="293">
        <f t="shared" si="83"/>
        <v>0</v>
      </c>
      <c r="T354" s="293">
        <f t="shared" si="84"/>
        <v>0</v>
      </c>
      <c r="U354" s="293">
        <f t="shared" si="85"/>
        <v>0</v>
      </c>
      <c r="V354" s="293">
        <f t="shared" si="86"/>
        <v>0</v>
      </c>
      <c r="W354" s="293">
        <f t="shared" si="87"/>
        <v>0</v>
      </c>
      <c r="X354" s="293">
        <f t="shared" si="88"/>
        <v>0</v>
      </c>
    </row>
    <row r="355" spans="1:24" x14ac:dyDescent="0.2">
      <c r="A355" s="227" t="str">
        <f>'School Level Inst. Resources'!A355</f>
        <v>2301000</v>
      </c>
      <c r="B355" s="227" t="str">
        <f>'School Level Inst. Resources'!B355</f>
        <v>Weston #1</v>
      </c>
      <c r="C355" s="227" t="str">
        <f>'School Level Inst. Resources'!C355</f>
        <v>2301050</v>
      </c>
      <c r="D355" s="227" t="str">
        <f>'School Level Inst. Resources'!D355</f>
        <v>Newcastle Middle School</v>
      </c>
      <c r="E355" s="228" t="str">
        <f>'School Level Inst. Resources'!E355</f>
        <v>6-8</v>
      </c>
      <c r="F355" s="229" t="str">
        <f>'School Level Inst. Resources'!H355</f>
        <v>M</v>
      </c>
      <c r="G355" s="229" t="s">
        <v>1158</v>
      </c>
      <c r="H355" s="229" t="str">
        <f t="shared" si="89"/>
        <v>M</v>
      </c>
      <c r="I355" s="198">
        <f>'School Level ADM'!$BI355</f>
        <v>204.64</v>
      </c>
      <c r="J355" s="194">
        <f t="shared" si="75"/>
        <v>0</v>
      </c>
      <c r="K355" s="194">
        <f t="shared" si="76"/>
        <v>52247</v>
      </c>
      <c r="L355" s="194">
        <f t="shared" si="77"/>
        <v>0</v>
      </c>
      <c r="M355" s="194">
        <f t="shared" si="78"/>
        <v>0</v>
      </c>
      <c r="N355" s="194">
        <f t="shared" si="79"/>
        <v>0</v>
      </c>
      <c r="O355" s="194">
        <f t="shared" si="80"/>
        <v>0</v>
      </c>
      <c r="P355" s="194">
        <f t="shared" si="81"/>
        <v>52247</v>
      </c>
      <c r="Q355" s="198">
        <f>'School Level ADM'!$AU355</f>
        <v>198.97000000000003</v>
      </c>
      <c r="R355" s="194">
        <f t="shared" si="82"/>
        <v>0</v>
      </c>
      <c r="S355" s="194">
        <f t="shared" si="83"/>
        <v>52247</v>
      </c>
      <c r="T355" s="194">
        <f t="shared" si="84"/>
        <v>0</v>
      </c>
      <c r="U355" s="194">
        <f t="shared" si="85"/>
        <v>0</v>
      </c>
      <c r="V355" s="194">
        <f t="shared" si="86"/>
        <v>0</v>
      </c>
      <c r="W355" s="194">
        <f t="shared" si="87"/>
        <v>0</v>
      </c>
      <c r="X355" s="194">
        <f t="shared" si="88"/>
        <v>52247</v>
      </c>
    </row>
    <row r="356" spans="1:24" x14ac:dyDescent="0.2">
      <c r="A356" s="227" t="str">
        <f>'School Level Inst. Resources'!A356</f>
        <v>2301000</v>
      </c>
      <c r="B356" s="227" t="str">
        <f>'School Level Inst. Resources'!B356</f>
        <v>Weston #1</v>
      </c>
      <c r="C356" s="227" t="str">
        <f>'School Level Inst. Resources'!C356</f>
        <v>2301055</v>
      </c>
      <c r="D356" s="227" t="str">
        <f>'School Level Inst. Resources'!D356</f>
        <v>Newcastle High School</v>
      </c>
      <c r="E356" s="228" t="str">
        <f>'School Level Inst. Resources'!E356</f>
        <v>9-12</v>
      </c>
      <c r="F356" s="229" t="str">
        <f>'School Level Inst. Resources'!H356</f>
        <v>H</v>
      </c>
      <c r="G356" s="229" t="s">
        <v>1158</v>
      </c>
      <c r="H356" s="229" t="str">
        <f t="shared" si="89"/>
        <v>H</v>
      </c>
      <c r="I356" s="198">
        <f>'School Level ADM'!$BI356</f>
        <v>208.60899999999998</v>
      </c>
      <c r="J356" s="194">
        <f t="shared" si="75"/>
        <v>0</v>
      </c>
      <c r="K356" s="194">
        <f t="shared" si="76"/>
        <v>0</v>
      </c>
      <c r="L356" s="194">
        <f t="shared" si="77"/>
        <v>64478</v>
      </c>
      <c r="M356" s="194">
        <f t="shared" si="78"/>
        <v>0</v>
      </c>
      <c r="N356" s="194">
        <f t="shared" si="79"/>
        <v>0</v>
      </c>
      <c r="O356" s="194">
        <f t="shared" si="80"/>
        <v>0</v>
      </c>
      <c r="P356" s="194">
        <f t="shared" si="81"/>
        <v>64478</v>
      </c>
      <c r="Q356" s="198">
        <f>'School Level ADM'!$AU356</f>
        <v>203.89500000000001</v>
      </c>
      <c r="R356" s="194">
        <f t="shared" si="82"/>
        <v>0</v>
      </c>
      <c r="S356" s="194">
        <f t="shared" si="83"/>
        <v>0</v>
      </c>
      <c r="T356" s="194">
        <f t="shared" si="84"/>
        <v>64478</v>
      </c>
      <c r="U356" s="194">
        <f t="shared" si="85"/>
        <v>0</v>
      </c>
      <c r="V356" s="194">
        <f t="shared" si="86"/>
        <v>0</v>
      </c>
      <c r="W356" s="194">
        <f t="shared" si="87"/>
        <v>0</v>
      </c>
      <c r="X356" s="194">
        <f t="shared" si="88"/>
        <v>64478</v>
      </c>
    </row>
    <row r="357" spans="1:24" s="226" customFormat="1" x14ac:dyDescent="0.2">
      <c r="A357" s="210" t="str">
        <f>'School Level Inst. Resources'!A357</f>
        <v>2307000</v>
      </c>
      <c r="B357" s="210" t="str">
        <f>'School Level Inst. Resources'!B357</f>
        <v>Weston #7</v>
      </c>
      <c r="C357" s="210" t="str">
        <f>'School Level Inst. Resources'!C357</f>
        <v>2307001</v>
      </c>
      <c r="D357" s="210" t="str">
        <f>'School Level Inst. Resources'!D357</f>
        <v>Upton Elementary</v>
      </c>
      <c r="E357" s="211" t="str">
        <f>'School Level Inst. Resources'!E357</f>
        <v>K-5</v>
      </c>
      <c r="F357" s="212" t="str">
        <f>'School Level Inst. Resources'!H357</f>
        <v>E</v>
      </c>
      <c r="G357" s="212" t="s">
        <v>1159</v>
      </c>
      <c r="H357" s="212" t="str">
        <f t="shared" si="89"/>
        <v>E</v>
      </c>
      <c r="I357" s="217">
        <v>0</v>
      </c>
      <c r="J357" s="293">
        <f t="shared" si="75"/>
        <v>0</v>
      </c>
      <c r="K357" s="293">
        <f t="shared" si="76"/>
        <v>0</v>
      </c>
      <c r="L357" s="293">
        <f t="shared" si="77"/>
        <v>0</v>
      </c>
      <c r="M357" s="293">
        <f t="shared" si="78"/>
        <v>0</v>
      </c>
      <c r="N357" s="293">
        <f t="shared" si="79"/>
        <v>0</v>
      </c>
      <c r="O357" s="293">
        <f t="shared" si="80"/>
        <v>0</v>
      </c>
      <c r="P357" s="293">
        <f t="shared" si="81"/>
        <v>0</v>
      </c>
      <c r="Q357" s="217">
        <v>0</v>
      </c>
      <c r="R357" s="293">
        <f t="shared" si="82"/>
        <v>0</v>
      </c>
      <c r="S357" s="293">
        <f t="shared" si="83"/>
        <v>0</v>
      </c>
      <c r="T357" s="293">
        <f t="shared" si="84"/>
        <v>0</v>
      </c>
      <c r="U357" s="293">
        <f t="shared" si="85"/>
        <v>0</v>
      </c>
      <c r="V357" s="293">
        <f t="shared" si="86"/>
        <v>0</v>
      </c>
      <c r="W357" s="293">
        <f t="shared" si="87"/>
        <v>0</v>
      </c>
      <c r="X357" s="293">
        <f t="shared" si="88"/>
        <v>0</v>
      </c>
    </row>
    <row r="358" spans="1:24" s="226" customFormat="1" x14ac:dyDescent="0.2">
      <c r="A358" s="210" t="str">
        <f>'School Level Inst. Resources'!A358</f>
        <v>2307000</v>
      </c>
      <c r="B358" s="210" t="str">
        <f>'School Level Inst. Resources'!B358</f>
        <v>Weston #7</v>
      </c>
      <c r="C358" s="210" t="str">
        <f>'School Level Inst. Resources'!C358</f>
        <v>2307050</v>
      </c>
      <c r="D358" s="210" t="str">
        <f>'School Level Inst. Resources'!D358</f>
        <v>Upton Middle School</v>
      </c>
      <c r="E358" s="211" t="str">
        <f>'School Level Inst. Resources'!E358</f>
        <v>6-8</v>
      </c>
      <c r="F358" s="212" t="str">
        <f>'School Level Inst. Resources'!H358</f>
        <v>M</v>
      </c>
      <c r="G358" s="212" t="s">
        <v>1158</v>
      </c>
      <c r="H358" s="212" t="s">
        <v>376</v>
      </c>
      <c r="I358" s="218">
        <f>SUM('School Level ADM'!$BI357,'School Level ADM'!$BI358)</f>
        <v>174.577</v>
      </c>
      <c r="J358" s="214">
        <f t="shared" si="75"/>
        <v>0</v>
      </c>
      <c r="K358" s="214">
        <f t="shared" si="76"/>
        <v>0</v>
      </c>
      <c r="L358" s="214">
        <f t="shared" si="77"/>
        <v>0</v>
      </c>
      <c r="M358" s="214">
        <f t="shared" si="78"/>
        <v>46022</v>
      </c>
      <c r="N358" s="214">
        <f t="shared" si="79"/>
        <v>0</v>
      </c>
      <c r="O358" s="214">
        <f t="shared" si="80"/>
        <v>0</v>
      </c>
      <c r="P358" s="214">
        <f t="shared" si="81"/>
        <v>46022</v>
      </c>
      <c r="Q358" s="218">
        <f>SUM('School Level ADM'!$AU357,'School Level ADM'!$AU358)</f>
        <v>173.36</v>
      </c>
      <c r="R358" s="214">
        <f t="shared" si="82"/>
        <v>0</v>
      </c>
      <c r="S358" s="214">
        <f t="shared" si="83"/>
        <v>0</v>
      </c>
      <c r="T358" s="214">
        <f t="shared" si="84"/>
        <v>0</v>
      </c>
      <c r="U358" s="214">
        <f t="shared" si="85"/>
        <v>46022</v>
      </c>
      <c r="V358" s="214">
        <f t="shared" si="86"/>
        <v>0</v>
      </c>
      <c r="W358" s="214">
        <f t="shared" si="87"/>
        <v>0</v>
      </c>
      <c r="X358" s="214">
        <f t="shared" si="88"/>
        <v>46022</v>
      </c>
    </row>
    <row r="359" spans="1:24" x14ac:dyDescent="0.2">
      <c r="A359" s="205" t="str">
        <f>'School Level Inst. Resources'!A359</f>
        <v>2307000</v>
      </c>
      <c r="B359" s="205" t="str">
        <f>'School Level Inst. Resources'!B359</f>
        <v>Weston #7</v>
      </c>
      <c r="C359" s="205" t="str">
        <f>'School Level Inst. Resources'!C359</f>
        <v>2307055</v>
      </c>
      <c r="D359" s="205" t="str">
        <f>'School Level Inst. Resources'!D359</f>
        <v>Upton High School</v>
      </c>
      <c r="E359" s="206" t="str">
        <f>'School Level Inst. Resources'!E359</f>
        <v>9-12</v>
      </c>
      <c r="F359" s="206" t="str">
        <f>'School Level Inst. Resources'!H359</f>
        <v>H</v>
      </c>
      <c r="G359" s="206" t="s">
        <v>1158</v>
      </c>
      <c r="H359" s="206" t="str">
        <f t="shared" si="89"/>
        <v>H</v>
      </c>
      <c r="I359" s="198">
        <f>'School Level ADM'!$BI359</f>
        <v>76.418000000000006</v>
      </c>
      <c r="J359" s="194">
        <f t="shared" si="75"/>
        <v>0</v>
      </c>
      <c r="K359" s="194">
        <f t="shared" si="76"/>
        <v>0</v>
      </c>
      <c r="L359" s="194">
        <f t="shared" si="77"/>
        <v>27643</v>
      </c>
      <c r="M359" s="194">
        <f t="shared" si="78"/>
        <v>0</v>
      </c>
      <c r="N359" s="194">
        <f t="shared" si="79"/>
        <v>0</v>
      </c>
      <c r="O359" s="194">
        <f t="shared" si="80"/>
        <v>0</v>
      </c>
      <c r="P359" s="194">
        <f t="shared" si="81"/>
        <v>27643</v>
      </c>
      <c r="Q359" s="198">
        <f>'School Level ADM'!$AU359</f>
        <v>76.83</v>
      </c>
      <c r="R359" s="194">
        <f t="shared" si="82"/>
        <v>0</v>
      </c>
      <c r="S359" s="194">
        <f t="shared" si="83"/>
        <v>0</v>
      </c>
      <c r="T359" s="194">
        <f t="shared" si="84"/>
        <v>27643</v>
      </c>
      <c r="U359" s="194">
        <f t="shared" si="85"/>
        <v>0</v>
      </c>
      <c r="V359" s="194">
        <f t="shared" si="86"/>
        <v>0</v>
      </c>
      <c r="W359" s="194">
        <f t="shared" si="87"/>
        <v>0</v>
      </c>
      <c r="X359" s="194">
        <f t="shared" si="88"/>
        <v>27643</v>
      </c>
    </row>
    <row r="361" spans="1:24" ht="13.5" thickBot="1" x14ac:dyDescent="0.25">
      <c r="G361" s="283">
        <f>COUNTIF($G$5:$G$359,"T")</f>
        <v>325</v>
      </c>
      <c r="H361" s="284"/>
      <c r="I361" s="285">
        <f t="shared" ref="I361:P361" si="90">SUM(I5:I359)</f>
        <v>92034.047999999966</v>
      </c>
      <c r="J361" s="294">
        <f t="shared" si="90"/>
        <v>6496180</v>
      </c>
      <c r="K361" s="294">
        <f t="shared" si="90"/>
        <v>2760978</v>
      </c>
      <c r="L361" s="294">
        <f t="shared" si="90"/>
        <v>4787815</v>
      </c>
      <c r="M361" s="294">
        <f t="shared" si="90"/>
        <v>837263</v>
      </c>
      <c r="N361" s="294">
        <f t="shared" si="90"/>
        <v>1032673</v>
      </c>
      <c r="O361" s="294">
        <f t="shared" si="90"/>
        <v>888188</v>
      </c>
      <c r="P361" s="294">
        <f t="shared" si="90"/>
        <v>16803097</v>
      </c>
      <c r="Q361" s="285">
        <f>SUM(Q5:Q359)</f>
        <v>91582.914000000077</v>
      </c>
      <c r="R361" s="294">
        <f t="shared" ref="R361:X361" si="91">SUM(R5:R359)</f>
        <v>6496180</v>
      </c>
      <c r="S361" s="294">
        <f t="shared" si="91"/>
        <v>2760978</v>
      </c>
      <c r="T361" s="294">
        <f t="shared" si="91"/>
        <v>4787815</v>
      </c>
      <c r="U361" s="294">
        <f t="shared" si="91"/>
        <v>837906</v>
      </c>
      <c r="V361" s="294">
        <f t="shared" si="91"/>
        <v>1032673</v>
      </c>
      <c r="W361" s="294">
        <f t="shared" si="91"/>
        <v>888188</v>
      </c>
      <c r="X361" s="294">
        <f t="shared" si="91"/>
        <v>16803740</v>
      </c>
    </row>
    <row r="362" spans="1:24" ht="13.5" thickTop="1" x14ac:dyDescent="0.2">
      <c r="I362" s="295"/>
      <c r="J362" s="296"/>
      <c r="K362" s="296"/>
      <c r="L362" s="296"/>
      <c r="M362" s="296"/>
      <c r="N362" s="296"/>
      <c r="O362" s="296"/>
      <c r="P362" s="296"/>
      <c r="Q362" s="296"/>
    </row>
  </sheetData>
  <sheetProtection algorithmName="SHA-512" hashValue="rJuMzNGrVMI3hH6yZRPT1nOi7SIdUwPH46AypZoYoZ+Bk8egv/gxFT3wy+uBNk0lO9pCv5D0CDA3DsV6dF7tLQ==" saltValue="QWgWb5Fx8SM+FGJBcyJtNw==" spinCount="100000" sheet="1" objects="1" scenarios="1"/>
  <mergeCells count="4">
    <mergeCell ref="A1:C1"/>
    <mergeCell ref="A2:C2"/>
    <mergeCell ref="I3:P3"/>
    <mergeCell ref="Q3:X3"/>
  </mergeCells>
  <pageMargins left="0.5" right="0.5" top="0.5" bottom="0.5" header="0.25" footer="0.25"/>
  <pageSetup scale="51" fitToWidth="3" fitToHeight="11" orientation="landscape" r:id="rId1"/>
  <headerFooter>
    <oddHeader>&amp;L&amp;"Calibri,Bold"&amp;12School Level Routine Operations and Maintenance Personnel and Non-Personnel Resources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O560"/>
  <sheetViews>
    <sheetView showGridLines="0" zoomScaleNormal="100" workbookViewId="0">
      <pane ySplit="4" topLeftCell="A5" activePane="bottomLeft" state="frozen"/>
      <selection sqref="A1:M1"/>
      <selection pane="bottomLeft" sqref="A1:O1"/>
    </sheetView>
  </sheetViews>
  <sheetFormatPr defaultColWidth="8.85546875" defaultRowHeight="12.75" x14ac:dyDescent="0.2"/>
  <cols>
    <col min="1" max="1" width="8.5703125" customWidth="1"/>
    <col min="2" max="2" width="12.28515625" customWidth="1"/>
    <col min="3" max="3" width="8.5703125" customWidth="1"/>
    <col min="4" max="4" width="46.42578125" customWidth="1"/>
    <col min="5" max="5" width="13.140625" customWidth="1"/>
    <col min="6" max="6" width="12.7109375" customWidth="1"/>
    <col min="7" max="7" width="11.42578125" customWidth="1"/>
    <col min="8" max="8" width="10.42578125" customWidth="1"/>
    <col min="9" max="9" width="9.28515625" customWidth="1"/>
    <col min="10" max="10" width="10.7109375" customWidth="1"/>
    <col min="11" max="11" width="8.42578125" customWidth="1"/>
    <col min="12" max="12" width="10.42578125" customWidth="1"/>
    <col min="13" max="13" width="10" customWidth="1"/>
    <col min="14" max="14" width="10.28515625" customWidth="1"/>
    <col min="15" max="15" width="8.28515625" customWidth="1"/>
  </cols>
  <sheetData>
    <row r="1" spans="1:15" ht="15.75" x14ac:dyDescent="0.25">
      <c r="A1" s="485" t="s">
        <v>1174</v>
      </c>
      <c r="B1" s="485"/>
      <c r="C1" s="485"/>
      <c r="D1" s="485"/>
      <c r="E1" s="485"/>
      <c r="F1" s="485"/>
      <c r="G1" s="485"/>
      <c r="H1" s="485"/>
      <c r="I1" s="485"/>
      <c r="J1" s="485"/>
      <c r="K1" s="485"/>
      <c r="L1" s="485"/>
      <c r="M1" s="485"/>
      <c r="N1" s="485"/>
      <c r="O1" s="485"/>
    </row>
    <row r="2" spans="1:15" x14ac:dyDescent="0.2">
      <c r="A2" s="142">
        <v>2</v>
      </c>
      <c r="B2" s="488" t="s">
        <v>1175</v>
      </c>
      <c r="C2" s="488"/>
      <c r="D2" s="488"/>
      <c r="E2" s="488"/>
      <c r="F2" s="488"/>
      <c r="G2" s="488"/>
      <c r="H2" s="488"/>
      <c r="I2" s="488"/>
      <c r="J2" s="488"/>
      <c r="K2" s="488"/>
    </row>
    <row r="3" spans="1:15" x14ac:dyDescent="0.2">
      <c r="A3" s="189"/>
      <c r="B3" s="189"/>
      <c r="C3" s="189"/>
      <c r="D3" s="189"/>
      <c r="E3" s="282"/>
      <c r="F3" s="189"/>
    </row>
    <row r="4" spans="1:15" ht="51" x14ac:dyDescent="0.2">
      <c r="A4" s="297" t="s">
        <v>1</v>
      </c>
      <c r="B4" s="297" t="s">
        <v>2</v>
      </c>
      <c r="C4" s="297" t="s">
        <v>1176</v>
      </c>
      <c r="D4" s="297" t="s">
        <v>1177</v>
      </c>
      <c r="E4" s="297" t="s">
        <v>1178</v>
      </c>
      <c r="F4" s="297" t="s">
        <v>1179</v>
      </c>
      <c r="G4" s="297" t="s">
        <v>1180</v>
      </c>
      <c r="H4" s="297" t="s">
        <v>1181</v>
      </c>
      <c r="I4" s="297" t="s">
        <v>1182</v>
      </c>
      <c r="J4" s="297" t="s">
        <v>1183</v>
      </c>
      <c r="K4" s="297" t="s">
        <v>1184</v>
      </c>
      <c r="L4" s="297" t="s">
        <v>1185</v>
      </c>
      <c r="M4" s="297" t="s">
        <v>1186</v>
      </c>
      <c r="N4" s="297" t="s">
        <v>1187</v>
      </c>
      <c r="O4" s="297" t="s">
        <v>1188</v>
      </c>
    </row>
    <row r="5" spans="1:15" x14ac:dyDescent="0.2">
      <c r="A5" s="20" t="s">
        <v>14</v>
      </c>
      <c r="B5" s="20" t="s">
        <v>15</v>
      </c>
      <c r="C5" s="20" t="s">
        <v>1189</v>
      </c>
      <c r="D5" s="20" t="s">
        <v>1190</v>
      </c>
      <c r="E5" s="298">
        <v>28145</v>
      </c>
      <c r="F5" s="138" t="s">
        <v>1159</v>
      </c>
      <c r="G5" s="138">
        <v>0</v>
      </c>
      <c r="H5" s="299" t="s">
        <v>1191</v>
      </c>
      <c r="I5" s="300">
        <v>0.31259999999999999</v>
      </c>
      <c r="J5" s="300">
        <f>IF(OR($E5&lt;='Model Data Inputs'!$B$175,$F5="T"),$I5,IF($G5="E",'Model Data Inputs'!$B$176+$H5/'Model Data Inputs'!$B$179,IF($G5="M",'Model Data Inputs'!$B$177+$H5/'Model Data Inputs'!$B$179,IF($G5="H",'Model Data Inputs'!$B$178+$H5/'Model Data Inputs'!$B$179,IF($G5="N/A",0,$I5)))))</f>
        <v>0.31259999999999999</v>
      </c>
      <c r="K5" s="300">
        <f>IF(AND($A$2=2,OR(G5=0,G5="N/A")),0,IF($I5&lt;$J5,$I5,$J5))</f>
        <v>0</v>
      </c>
      <c r="L5" s="300">
        <f>$K5*'Model Data Inputs'!$B$168</f>
        <v>0</v>
      </c>
      <c r="M5" s="300">
        <f>$L5/'Model Data Inputs'!$B$169</f>
        <v>0</v>
      </c>
      <c r="N5" s="300">
        <f>IF($G5="E",$M5*('Model Data Inputs'!$B$171-1),IF($G5="M",$M5*('Model Data Inputs'!$B$172-1),IF($G5="H",$M5*('Model Data Inputs'!$B$173-1),$M5*('Model Data Inputs'!$B$170-1))))</f>
        <v>0</v>
      </c>
      <c r="O5" s="300">
        <f>SUM($M5:$N5)</f>
        <v>0</v>
      </c>
    </row>
    <row r="6" spans="1:15" x14ac:dyDescent="0.2">
      <c r="A6" s="20" t="s">
        <v>14</v>
      </c>
      <c r="B6" s="20" t="s">
        <v>15</v>
      </c>
      <c r="C6" s="20" t="s">
        <v>1192</v>
      </c>
      <c r="D6" s="20" t="s">
        <v>1193</v>
      </c>
      <c r="E6" s="298">
        <v>23212</v>
      </c>
      <c r="F6" s="138" t="s">
        <v>1159</v>
      </c>
      <c r="G6" s="138">
        <v>0</v>
      </c>
      <c r="H6" s="299" t="s">
        <v>1191</v>
      </c>
      <c r="I6" s="300">
        <v>0.2</v>
      </c>
      <c r="J6" s="300">
        <f>IF(OR($E6&lt;='Model Data Inputs'!$B$175,$F6="T"),$I6,IF($G6="E",'Model Data Inputs'!$B$176+$H6/'Model Data Inputs'!$B$179,IF($G6="M",'Model Data Inputs'!$B$177+$H6/'Model Data Inputs'!$B$179,IF($G6="H",'Model Data Inputs'!$B$178+$H6/'Model Data Inputs'!$B$179,IF($G6="N/A",0,$I6)))))</f>
        <v>0.2</v>
      </c>
      <c r="K6" s="300">
        <f t="shared" ref="K6:K69" si="0">IF(AND($A$2=2,OR(G6=0,G6="N/A")),0,IF($I6&lt;$J6,$I6,$J6))</f>
        <v>0</v>
      </c>
      <c r="L6" s="300">
        <f>$K6*'Model Data Inputs'!$B$168</f>
        <v>0</v>
      </c>
      <c r="M6" s="300">
        <f>$L6/'Model Data Inputs'!$B$169</f>
        <v>0</v>
      </c>
      <c r="N6" s="300">
        <f>IF($G6="E",$M6*('Model Data Inputs'!$B$171-1),IF($G6="M",$M6*('Model Data Inputs'!$B$172-1),IF($G6="H",$M6*('Model Data Inputs'!$B$173-1),$M6*('Model Data Inputs'!$B$170-1))))</f>
        <v>0</v>
      </c>
      <c r="O6" s="300">
        <f t="shared" ref="O6:O70" si="1">SUM($M6:$N6)</f>
        <v>0</v>
      </c>
    </row>
    <row r="7" spans="1:15" x14ac:dyDescent="0.2">
      <c r="A7" s="20" t="s">
        <v>14</v>
      </c>
      <c r="B7" s="20" t="s">
        <v>15</v>
      </c>
      <c r="C7" s="20" t="s">
        <v>1194</v>
      </c>
      <c r="D7" s="20" t="s">
        <v>1195</v>
      </c>
      <c r="E7" s="298">
        <v>35293</v>
      </c>
      <c r="F7" s="138" t="s">
        <v>1159</v>
      </c>
      <c r="G7" s="138">
        <v>0</v>
      </c>
      <c r="H7" s="299" t="s">
        <v>1191</v>
      </c>
      <c r="I7" s="300">
        <v>2.9399000000000002</v>
      </c>
      <c r="J7" s="300">
        <f>IF(OR($E7&lt;='Model Data Inputs'!$B$175,$F7="T"),$I7,IF($G7="E",'Model Data Inputs'!$B$176+$H7/'Model Data Inputs'!$B$179,IF($G7="M",'Model Data Inputs'!$B$177+$H7/'Model Data Inputs'!$B$179,IF($G7="H",'Model Data Inputs'!$B$178+$H7/'Model Data Inputs'!$B$179,IF($G7="N/A",0,$I7)))))</f>
        <v>2.9399000000000002</v>
      </c>
      <c r="K7" s="300">
        <f t="shared" si="0"/>
        <v>0</v>
      </c>
      <c r="L7" s="300">
        <f>$K7*'Model Data Inputs'!$B$168</f>
        <v>0</v>
      </c>
      <c r="M7" s="300">
        <f>$L7/'Model Data Inputs'!$B$169</f>
        <v>0</v>
      </c>
      <c r="N7" s="300">
        <f>IF($G7="E",$M7*('Model Data Inputs'!$B$171-1),IF($G7="M",$M7*('Model Data Inputs'!$B$172-1),IF($G7="H",$M7*('Model Data Inputs'!$B$173-1),$M7*('Model Data Inputs'!$B$170-1))))</f>
        <v>0</v>
      </c>
      <c r="O7" s="300">
        <f t="shared" si="1"/>
        <v>0</v>
      </c>
    </row>
    <row r="8" spans="1:15" x14ac:dyDescent="0.2">
      <c r="A8" s="20" t="s">
        <v>14</v>
      </c>
      <c r="B8" s="20" t="s">
        <v>15</v>
      </c>
      <c r="C8" s="20" t="s">
        <v>1196</v>
      </c>
      <c r="D8" s="20" t="s">
        <v>1197</v>
      </c>
      <c r="E8" s="298">
        <v>19106</v>
      </c>
      <c r="F8" s="138" t="s">
        <v>1159</v>
      </c>
      <c r="G8" s="138" t="s">
        <v>1198</v>
      </c>
      <c r="H8" s="299">
        <f>'School Level ADM'!S6</f>
        <v>238.37</v>
      </c>
      <c r="I8" s="300">
        <v>1.9609000000000001</v>
      </c>
      <c r="J8" s="300">
        <f>IF(OR($E8&lt;='Model Data Inputs'!$B$175,$F8="T"),$I8,IF($G8="E",'Model Data Inputs'!$B$176+$H8/'Model Data Inputs'!$B$179,IF($G8="M",'Model Data Inputs'!$B$177+$H8/'Model Data Inputs'!$B$179,IF($G8="H",'Model Data Inputs'!$B$178+$H8/'Model Data Inputs'!$B$179,IF($G8="N/A",0,$I8)))))</f>
        <v>1.9609000000000001</v>
      </c>
      <c r="K8" s="300">
        <f t="shared" si="0"/>
        <v>1.9609000000000001</v>
      </c>
      <c r="L8" s="300">
        <f>$K8*'Model Data Inputs'!$B$168</f>
        <v>182.36369999999999</v>
      </c>
      <c r="M8" s="300">
        <f>$L8/'Model Data Inputs'!$B$169</f>
        <v>9.0818575697211149E-2</v>
      </c>
      <c r="N8" s="300">
        <f>IF($G8="E",$M8*('Model Data Inputs'!$B$171-1),IF($G8="M",$M8*('Model Data Inputs'!$B$172-1),IF($G8="H",$M8*('Model Data Inputs'!$B$173-1),$M8*('Model Data Inputs'!$B$170-1))))</f>
        <v>0</v>
      </c>
      <c r="O8" s="300">
        <f t="shared" si="1"/>
        <v>9.0818575697211149E-2</v>
      </c>
    </row>
    <row r="9" spans="1:15" x14ac:dyDescent="0.2">
      <c r="A9" s="20" t="s">
        <v>14</v>
      </c>
      <c r="B9" s="20" t="s">
        <v>15</v>
      </c>
      <c r="C9" s="20" t="s">
        <v>1199</v>
      </c>
      <c r="D9" s="20" t="s">
        <v>1200</v>
      </c>
      <c r="E9" s="298">
        <v>22783</v>
      </c>
      <c r="F9" s="138" t="s">
        <v>1159</v>
      </c>
      <c r="G9" s="138" t="s">
        <v>1198</v>
      </c>
      <c r="H9" s="299">
        <f>'School Level ADM'!S7</f>
        <v>7.8800000000000008</v>
      </c>
      <c r="I9" s="300">
        <v>1.7887</v>
      </c>
      <c r="J9" s="300">
        <f>IF(OR($E9&lt;='Model Data Inputs'!$B$175,$F9="T"),$I9,IF($G9="E",'Model Data Inputs'!$B$176+$H9/'Model Data Inputs'!$B$179,IF($G9="M",'Model Data Inputs'!$B$177+$H9/'Model Data Inputs'!$B$179,IF($G9="H",'Model Data Inputs'!$B$178+$H9/'Model Data Inputs'!$B$179,IF($G9="N/A",0,$I9)))))</f>
        <v>1.7887</v>
      </c>
      <c r="K9" s="300">
        <f t="shared" si="0"/>
        <v>1.7887</v>
      </c>
      <c r="L9" s="300">
        <f>$K9*'Model Data Inputs'!$B$168</f>
        <v>166.34909999999999</v>
      </c>
      <c r="M9" s="300">
        <f>$L9/'Model Data Inputs'!$B$169</f>
        <v>8.284317729083665E-2</v>
      </c>
      <c r="N9" s="300">
        <f>IF($G9="E",$M9*('Model Data Inputs'!$B$171-1),IF($G9="M",$M9*('Model Data Inputs'!$B$172-1),IF($G9="H",$M9*('Model Data Inputs'!$B$173-1),$M9*('Model Data Inputs'!$B$170-1))))</f>
        <v>0</v>
      </c>
      <c r="O9" s="300">
        <f t="shared" si="1"/>
        <v>8.284317729083665E-2</v>
      </c>
    </row>
    <row r="10" spans="1:15" x14ac:dyDescent="0.2">
      <c r="A10" s="20" t="s">
        <v>14</v>
      </c>
      <c r="B10" s="20" t="s">
        <v>15</v>
      </c>
      <c r="C10" s="20" t="s">
        <v>1201</v>
      </c>
      <c r="D10" s="20" t="s">
        <v>1202</v>
      </c>
      <c r="E10" s="298">
        <v>12224</v>
      </c>
      <c r="F10" s="138" t="s">
        <v>1159</v>
      </c>
      <c r="G10" s="138" t="s">
        <v>1198</v>
      </c>
      <c r="H10" s="299">
        <f>'School Level ADM'!S8</f>
        <v>23.64</v>
      </c>
      <c r="I10" s="300">
        <v>4.4000000000000004</v>
      </c>
      <c r="J10" s="300">
        <f>IF(OR($E10&lt;='Model Data Inputs'!$B$175,$F10="T"),$I10,IF($G10="E",'Model Data Inputs'!$B$176+$H10/'Model Data Inputs'!$B$179,IF($G10="M",'Model Data Inputs'!$B$177+$H10/'Model Data Inputs'!$B$179,IF($G10="H",'Model Data Inputs'!$B$178+$H10/'Model Data Inputs'!$B$179,IF($G10="N/A",0,$I10)))))</f>
        <v>4.4000000000000004</v>
      </c>
      <c r="K10" s="300">
        <f t="shared" si="0"/>
        <v>4.4000000000000004</v>
      </c>
      <c r="L10" s="300">
        <f>$K10*'Model Data Inputs'!$B$168</f>
        <v>409.20000000000005</v>
      </c>
      <c r="M10" s="300">
        <f>$L10/'Model Data Inputs'!$B$169</f>
        <v>0.20378486055776895</v>
      </c>
      <c r="N10" s="300">
        <f>IF($G10="E",$M10*('Model Data Inputs'!$B$171-1),IF($G10="M",$M10*('Model Data Inputs'!$B$172-1),IF($G10="H",$M10*('Model Data Inputs'!$B$173-1),$M10*('Model Data Inputs'!$B$170-1))))</f>
        <v>0</v>
      </c>
      <c r="O10" s="300">
        <f t="shared" si="1"/>
        <v>0.20378486055776895</v>
      </c>
    </row>
    <row r="11" spans="1:15" x14ac:dyDescent="0.2">
      <c r="A11" s="20" t="s">
        <v>14</v>
      </c>
      <c r="B11" s="20" t="s">
        <v>15</v>
      </c>
      <c r="C11" s="20" t="s">
        <v>1203</v>
      </c>
      <c r="D11" s="20" t="s">
        <v>1204</v>
      </c>
      <c r="E11" s="298">
        <v>35612</v>
      </c>
      <c r="F11" s="138" t="s">
        <v>1159</v>
      </c>
      <c r="G11" s="138" t="s">
        <v>1205</v>
      </c>
      <c r="H11" s="299" t="s">
        <v>1191</v>
      </c>
      <c r="I11" s="300">
        <v>2.5</v>
      </c>
      <c r="J11" s="300">
        <f>IF(OR($E11&lt;='Model Data Inputs'!$B$175,$F11="T"),$I11,IF($G11="E",'Model Data Inputs'!$B$176+$H11/'Model Data Inputs'!$B$179,IF($G11="M",'Model Data Inputs'!$B$177+$H11/'Model Data Inputs'!$B$179,IF($G11="H",'Model Data Inputs'!$B$178+$H11/'Model Data Inputs'!$B$179,IF($G11="N/A",0,$I11)))))</f>
        <v>2.5</v>
      </c>
      <c r="K11" s="300">
        <f t="shared" si="0"/>
        <v>2.5</v>
      </c>
      <c r="L11" s="300">
        <f>$K11*'Model Data Inputs'!$B$168</f>
        <v>232.5</v>
      </c>
      <c r="M11" s="300">
        <f>$L11/'Model Data Inputs'!$B$169</f>
        <v>0.11578685258964143</v>
      </c>
      <c r="N11" s="300">
        <f>IF($G11="E",$M11*('Model Data Inputs'!$B$171-1),IF($G11="M",$M11*('Model Data Inputs'!$B$172-1),IF($G11="H",$M11*('Model Data Inputs'!$B$173-1),$M11*('Model Data Inputs'!$B$170-1))))</f>
        <v>5.7893426294820714E-2</v>
      </c>
      <c r="O11" s="300">
        <f t="shared" si="1"/>
        <v>0.17368027888446214</v>
      </c>
    </row>
    <row r="12" spans="1:15" x14ac:dyDescent="0.2">
      <c r="A12" s="20" t="s">
        <v>14</v>
      </c>
      <c r="B12" s="20" t="s">
        <v>15</v>
      </c>
      <c r="C12" s="20" t="s">
        <v>1206</v>
      </c>
      <c r="D12" s="20" t="s">
        <v>1207</v>
      </c>
      <c r="E12" s="298">
        <v>19977</v>
      </c>
      <c r="F12" s="138" t="s">
        <v>1159</v>
      </c>
      <c r="G12" s="138" t="s">
        <v>1198</v>
      </c>
      <c r="H12" s="299">
        <f>'School Level ADM'!S10</f>
        <v>246.25</v>
      </c>
      <c r="I12" s="300">
        <v>3.2250000000000001</v>
      </c>
      <c r="J12" s="300">
        <f>IF(OR($E12&lt;='Model Data Inputs'!$B$175,$F12="T"),$I12,IF($G12="E",'Model Data Inputs'!$B$176+$H12/'Model Data Inputs'!$B$179,IF($G12="M",'Model Data Inputs'!$B$177+$H12/'Model Data Inputs'!$B$179,IF($G12="H",'Model Data Inputs'!$B$178+$H12/'Model Data Inputs'!$B$179,IF($G12="N/A",0,$I12)))))</f>
        <v>3.2250000000000001</v>
      </c>
      <c r="K12" s="300">
        <f t="shared" si="0"/>
        <v>3.2250000000000001</v>
      </c>
      <c r="L12" s="300">
        <f>$K12*'Model Data Inputs'!$B$168</f>
        <v>299.92500000000001</v>
      </c>
      <c r="M12" s="300">
        <f>$L12/'Model Data Inputs'!$B$169</f>
        <v>0.14936503984063745</v>
      </c>
      <c r="N12" s="300">
        <f>IF($G12="E",$M12*('Model Data Inputs'!$B$171-1),IF($G12="M",$M12*('Model Data Inputs'!$B$172-1),IF($G12="H",$M12*('Model Data Inputs'!$B$173-1),$M12*('Model Data Inputs'!$B$170-1))))</f>
        <v>0</v>
      </c>
      <c r="O12" s="300">
        <f t="shared" si="1"/>
        <v>0.14936503984063745</v>
      </c>
    </row>
    <row r="13" spans="1:15" x14ac:dyDescent="0.2">
      <c r="A13" s="20" t="s">
        <v>14</v>
      </c>
      <c r="B13" s="20" t="s">
        <v>15</v>
      </c>
      <c r="C13" s="20" t="s">
        <v>1208</v>
      </c>
      <c r="D13" s="20" t="s">
        <v>1209</v>
      </c>
      <c r="E13" s="298">
        <v>21158</v>
      </c>
      <c r="F13" s="138" t="s">
        <v>1159</v>
      </c>
      <c r="G13" s="138">
        <v>0</v>
      </c>
      <c r="H13" s="299" t="s">
        <v>1191</v>
      </c>
      <c r="I13" s="300">
        <v>2.2801999999999998</v>
      </c>
      <c r="J13" s="300">
        <f>IF(OR($E13&lt;='Model Data Inputs'!$B$175,$F13="T"),$I13,IF($G13="E",'Model Data Inputs'!$B$176+$H13/'Model Data Inputs'!$B$179,IF($G13="M",'Model Data Inputs'!$B$177+$H13/'Model Data Inputs'!$B$179,IF($G13="H",'Model Data Inputs'!$B$178+$H13/'Model Data Inputs'!$B$179,IF($G13="N/A",0,$I13)))))</f>
        <v>2.2801999999999998</v>
      </c>
      <c r="K13" s="300">
        <f t="shared" si="0"/>
        <v>0</v>
      </c>
      <c r="L13" s="300">
        <f>$K13*'Model Data Inputs'!$B$168</f>
        <v>0</v>
      </c>
      <c r="M13" s="300">
        <f>$L13/'Model Data Inputs'!$B$169</f>
        <v>0</v>
      </c>
      <c r="N13" s="300">
        <f>IF($G13="E",$M13*('Model Data Inputs'!$B$171-1),IF($G13="M",$M13*('Model Data Inputs'!$B$172-1),IF($G13="H",$M13*('Model Data Inputs'!$B$173-1),$M13*('Model Data Inputs'!$B$170-1))))</f>
        <v>0</v>
      </c>
      <c r="O13" s="300">
        <f t="shared" si="1"/>
        <v>0</v>
      </c>
    </row>
    <row r="14" spans="1:15" x14ac:dyDescent="0.2">
      <c r="A14" s="20" t="s">
        <v>14</v>
      </c>
      <c r="B14" s="20" t="s">
        <v>15</v>
      </c>
      <c r="C14" s="20" t="s">
        <v>1210</v>
      </c>
      <c r="D14" s="20" t="s">
        <v>1211</v>
      </c>
      <c r="E14" s="298">
        <v>23197</v>
      </c>
      <c r="F14" s="138" t="s">
        <v>1159</v>
      </c>
      <c r="G14" s="138" t="s">
        <v>1198</v>
      </c>
      <c r="H14" s="299">
        <f>'School Level ADM'!S11</f>
        <v>4.9249999999999998</v>
      </c>
      <c r="I14" s="300">
        <v>4.92</v>
      </c>
      <c r="J14" s="300">
        <f>IF(OR($E14&lt;='Model Data Inputs'!$B$175,$F14="T"),$I14,IF($G14="E",'Model Data Inputs'!$B$176+$H14/'Model Data Inputs'!$B$179,IF($G14="M",'Model Data Inputs'!$B$177+$H14/'Model Data Inputs'!$B$179,IF($G14="H",'Model Data Inputs'!$B$178+$H14/'Model Data Inputs'!$B$179,IF($G14="N/A",0,$I14)))))</f>
        <v>4.92</v>
      </c>
      <c r="K14" s="300">
        <f t="shared" si="0"/>
        <v>4.92</v>
      </c>
      <c r="L14" s="300">
        <f>$K14*'Model Data Inputs'!$B$168</f>
        <v>457.56</v>
      </c>
      <c r="M14" s="300">
        <f>$L14/'Model Data Inputs'!$B$169</f>
        <v>0.22786852589641435</v>
      </c>
      <c r="N14" s="300">
        <f>IF($G14="E",$M14*('Model Data Inputs'!$B$171-1),IF($G14="M",$M14*('Model Data Inputs'!$B$172-1),IF($G14="H",$M14*('Model Data Inputs'!$B$173-1),$M14*('Model Data Inputs'!$B$170-1))))</f>
        <v>0</v>
      </c>
      <c r="O14" s="300">
        <f t="shared" si="1"/>
        <v>0.22786852589641435</v>
      </c>
    </row>
    <row r="15" spans="1:15" x14ac:dyDescent="0.2">
      <c r="A15" s="20" t="s">
        <v>14</v>
      </c>
      <c r="B15" s="20" t="s">
        <v>15</v>
      </c>
      <c r="C15" s="20" t="s">
        <v>1212</v>
      </c>
      <c r="D15" s="20" t="s">
        <v>1213</v>
      </c>
      <c r="E15" s="298">
        <v>24803</v>
      </c>
      <c r="F15" s="138" t="s">
        <v>1159</v>
      </c>
      <c r="G15" s="138" t="s">
        <v>1198</v>
      </c>
      <c r="H15" s="299">
        <f>'School Level ADM'!S12</f>
        <v>313.22999999999996</v>
      </c>
      <c r="I15" s="300">
        <v>5.9</v>
      </c>
      <c r="J15" s="300">
        <f>IF(OR($E15&lt;='Model Data Inputs'!$B$175,$F15="T"),$I15,IF($G15="E",'Model Data Inputs'!$B$176+$H15/'Model Data Inputs'!$B$179,IF($G15="M",'Model Data Inputs'!$B$177+$H15/'Model Data Inputs'!$B$179,IF($G15="H",'Model Data Inputs'!$B$178+$H15/'Model Data Inputs'!$B$179,IF($G15="N/A",0,$I15)))))</f>
        <v>5.9</v>
      </c>
      <c r="K15" s="300">
        <f t="shared" si="0"/>
        <v>5.9</v>
      </c>
      <c r="L15" s="300">
        <f>$K15*'Model Data Inputs'!$B$168</f>
        <v>548.70000000000005</v>
      </c>
      <c r="M15" s="300">
        <f>$L15/'Model Data Inputs'!$B$169</f>
        <v>0.27325697211155381</v>
      </c>
      <c r="N15" s="300">
        <f>IF($G15="E",$M15*('Model Data Inputs'!$B$171-1),IF($G15="M",$M15*('Model Data Inputs'!$B$172-1),IF($G15="H",$M15*('Model Data Inputs'!$B$173-1),$M15*('Model Data Inputs'!$B$170-1))))</f>
        <v>0</v>
      </c>
      <c r="O15" s="300">
        <f t="shared" si="1"/>
        <v>0.27325697211155381</v>
      </c>
    </row>
    <row r="16" spans="1:15" x14ac:dyDescent="0.2">
      <c r="A16" s="20" t="s">
        <v>14</v>
      </c>
      <c r="B16" s="20" t="s">
        <v>15</v>
      </c>
      <c r="C16" s="20" t="s">
        <v>1214</v>
      </c>
      <c r="D16" s="20" t="s">
        <v>1215</v>
      </c>
      <c r="E16" s="298">
        <v>32721</v>
      </c>
      <c r="F16" s="138" t="s">
        <v>1159</v>
      </c>
      <c r="G16" s="138">
        <v>0</v>
      </c>
      <c r="H16" s="299" t="s">
        <v>1191</v>
      </c>
      <c r="I16" s="300">
        <v>2.5</v>
      </c>
      <c r="J16" s="300">
        <f>IF(OR($E16&lt;='Model Data Inputs'!$B$175,$F16="T"),$I16,IF($G16="E",'Model Data Inputs'!$B$176+$H16/'Model Data Inputs'!$B$179,IF($G16="M",'Model Data Inputs'!$B$177+$H16/'Model Data Inputs'!$B$179,IF($G16="H",'Model Data Inputs'!$B$178+$H16/'Model Data Inputs'!$B$179,IF($G16="N/A",0,$I16)))))</f>
        <v>2.5</v>
      </c>
      <c r="K16" s="300">
        <f t="shared" si="0"/>
        <v>0</v>
      </c>
      <c r="L16" s="300">
        <f>$K16*'Model Data Inputs'!$B$168</f>
        <v>0</v>
      </c>
      <c r="M16" s="300">
        <f>$L16/'Model Data Inputs'!$B$169</f>
        <v>0</v>
      </c>
      <c r="N16" s="300">
        <f>IF($G16="E",$M16*('Model Data Inputs'!$B$171-1),IF($G16="M",$M16*('Model Data Inputs'!$B$172-1),IF($G16="H",$M16*('Model Data Inputs'!$B$173-1),$M16*('Model Data Inputs'!$B$170-1))))</f>
        <v>0</v>
      </c>
      <c r="O16" s="300">
        <f t="shared" si="1"/>
        <v>0</v>
      </c>
    </row>
    <row r="17" spans="1:15" x14ac:dyDescent="0.2">
      <c r="A17" s="20" t="s">
        <v>14</v>
      </c>
      <c r="B17" s="20" t="s">
        <v>15</v>
      </c>
      <c r="C17" s="20" t="s">
        <v>1216</v>
      </c>
      <c r="D17" s="20" t="s">
        <v>1217</v>
      </c>
      <c r="E17" s="298">
        <v>38701</v>
      </c>
      <c r="F17" s="138" t="s">
        <v>1159</v>
      </c>
      <c r="G17" s="138">
        <v>0</v>
      </c>
      <c r="H17" s="299" t="s">
        <v>1191</v>
      </c>
      <c r="I17" s="300">
        <v>2.5</v>
      </c>
      <c r="J17" s="300">
        <f>IF(OR($E17&lt;='Model Data Inputs'!$B$175,$F17="T"),$I17,IF($G17="E",'Model Data Inputs'!$B$176+$H17/'Model Data Inputs'!$B$179,IF($G17="M",'Model Data Inputs'!$B$177+$H17/'Model Data Inputs'!$B$179,IF($G17="H",'Model Data Inputs'!$B$178+$H17/'Model Data Inputs'!$B$179,IF($G17="N/A",0,$I17)))))</f>
        <v>2.5</v>
      </c>
      <c r="K17" s="300">
        <f t="shared" si="0"/>
        <v>0</v>
      </c>
      <c r="L17" s="300">
        <f>$K17*'Model Data Inputs'!$B$168</f>
        <v>0</v>
      </c>
      <c r="M17" s="300">
        <f>$L17/'Model Data Inputs'!$B$169</f>
        <v>0</v>
      </c>
      <c r="N17" s="300">
        <f>IF($G17="E",$M17*('Model Data Inputs'!$B$171-1),IF($G17="M",$M17*('Model Data Inputs'!$B$172-1),IF($G17="H",$M17*('Model Data Inputs'!$B$173-1),$M17*('Model Data Inputs'!$B$170-1))))</f>
        <v>0</v>
      </c>
      <c r="O17" s="300">
        <f t="shared" si="1"/>
        <v>0</v>
      </c>
    </row>
    <row r="18" spans="1:15" x14ac:dyDescent="0.2">
      <c r="A18" s="20" t="s">
        <v>14</v>
      </c>
      <c r="B18" s="20" t="s">
        <v>15</v>
      </c>
      <c r="C18" s="20" t="s">
        <v>1218</v>
      </c>
      <c r="D18" s="20" t="s">
        <v>1219</v>
      </c>
      <c r="E18" s="298">
        <v>17146</v>
      </c>
      <c r="F18" s="138" t="s">
        <v>1159</v>
      </c>
      <c r="G18" s="138" t="s">
        <v>1198</v>
      </c>
      <c r="H18" s="299">
        <f>'School Level ADM'!S13</f>
        <v>321.11</v>
      </c>
      <c r="I18" s="300">
        <v>6.78</v>
      </c>
      <c r="J18" s="300">
        <f>IF(OR($E18&lt;='Model Data Inputs'!$B$175,$F18="T"),$I18,IF($G18="E",'Model Data Inputs'!$B$176+$H18/'Model Data Inputs'!$B$179,IF($G18="M",'Model Data Inputs'!$B$177+$H18/'Model Data Inputs'!$B$179,IF($G18="H",'Model Data Inputs'!$B$178+$H18/'Model Data Inputs'!$B$179,IF($G18="N/A",0,$I18)))))</f>
        <v>6.78</v>
      </c>
      <c r="K18" s="300">
        <f t="shared" si="0"/>
        <v>6.78</v>
      </c>
      <c r="L18" s="300">
        <f>$K18*'Model Data Inputs'!$B$168</f>
        <v>630.54000000000008</v>
      </c>
      <c r="M18" s="300">
        <f>$L18/'Model Data Inputs'!$B$169</f>
        <v>0.31401394422310763</v>
      </c>
      <c r="N18" s="300">
        <f>IF($G18="E",$M18*('Model Data Inputs'!$B$171-1),IF($G18="M",$M18*('Model Data Inputs'!$B$172-1),IF($G18="H",$M18*('Model Data Inputs'!$B$173-1),$M18*('Model Data Inputs'!$B$170-1))))</f>
        <v>0</v>
      </c>
      <c r="O18" s="300">
        <f t="shared" si="1"/>
        <v>0.31401394422310763</v>
      </c>
    </row>
    <row r="19" spans="1:15" x14ac:dyDescent="0.2">
      <c r="A19" s="20" t="s">
        <v>14</v>
      </c>
      <c r="B19" s="20" t="s">
        <v>15</v>
      </c>
      <c r="C19" s="20" t="s">
        <v>1220</v>
      </c>
      <c r="D19" s="20" t="s">
        <v>1221</v>
      </c>
      <c r="E19" s="298">
        <v>25129</v>
      </c>
      <c r="F19" s="138" t="s">
        <v>1159</v>
      </c>
      <c r="G19" s="138" t="s">
        <v>1198</v>
      </c>
      <c r="H19" s="299">
        <f>'School Level ADM'!S14</f>
        <v>330.96</v>
      </c>
      <c r="I19" s="300">
        <v>9.2898999999999994</v>
      </c>
      <c r="J19" s="300">
        <f>IF(OR($E19&lt;='Model Data Inputs'!$B$175,$F19="T"),$I19,IF($G19="E",'Model Data Inputs'!$B$176+$H19/'Model Data Inputs'!$B$179,IF($G19="M",'Model Data Inputs'!$B$177+$H19/'Model Data Inputs'!$B$179,IF($G19="H",'Model Data Inputs'!$B$178+$H19/'Model Data Inputs'!$B$179,IF($G19="N/A",0,$I19)))))</f>
        <v>9.2898999999999994</v>
      </c>
      <c r="K19" s="300">
        <f t="shared" si="0"/>
        <v>9.2898999999999994</v>
      </c>
      <c r="L19" s="300">
        <f>$K19*'Model Data Inputs'!$B$168</f>
        <v>863.96069999999997</v>
      </c>
      <c r="M19" s="300">
        <f>$L19/'Model Data Inputs'!$B$169</f>
        <v>0.43025931274900397</v>
      </c>
      <c r="N19" s="300">
        <f>IF($G19="E",$M19*('Model Data Inputs'!$B$171-1),IF($G19="M",$M19*('Model Data Inputs'!$B$172-1),IF($G19="H",$M19*('Model Data Inputs'!$B$173-1),$M19*('Model Data Inputs'!$B$170-1))))</f>
        <v>0</v>
      </c>
      <c r="O19" s="300">
        <f t="shared" si="1"/>
        <v>0.43025931274900397</v>
      </c>
    </row>
    <row r="20" spans="1:15" x14ac:dyDescent="0.2">
      <c r="A20" s="20" t="s">
        <v>14</v>
      </c>
      <c r="B20" s="20" t="s">
        <v>15</v>
      </c>
      <c r="C20" s="20" t="s">
        <v>1222</v>
      </c>
      <c r="D20" s="20" t="s">
        <v>1223</v>
      </c>
      <c r="E20" s="298">
        <v>35612</v>
      </c>
      <c r="F20" s="138" t="s">
        <v>1159</v>
      </c>
      <c r="G20" s="138">
        <v>0</v>
      </c>
      <c r="H20" s="299" t="s">
        <v>1191</v>
      </c>
      <c r="I20" s="300">
        <v>3</v>
      </c>
      <c r="J20" s="300">
        <f>IF(OR($E20&lt;='Model Data Inputs'!$B$175,$F20="T"),$I20,IF($G20="E",'Model Data Inputs'!$B$176+$H20/'Model Data Inputs'!$B$179,IF($G20="M",'Model Data Inputs'!$B$177+$H20/'Model Data Inputs'!$B$179,IF($G20="H",'Model Data Inputs'!$B$178+$H20/'Model Data Inputs'!$B$179,IF($G20="N/A",0,$I20)))))</f>
        <v>3</v>
      </c>
      <c r="K20" s="300">
        <f t="shared" si="0"/>
        <v>0</v>
      </c>
      <c r="L20" s="300">
        <f>$K20*'Model Data Inputs'!$B$168</f>
        <v>0</v>
      </c>
      <c r="M20" s="300">
        <f>$L20/'Model Data Inputs'!$B$169</f>
        <v>0</v>
      </c>
      <c r="N20" s="300">
        <f>IF($G20="E",$M20*('Model Data Inputs'!$B$171-1),IF($G20="M",$M20*('Model Data Inputs'!$B$172-1),IF($G20="H",$M20*('Model Data Inputs'!$B$173-1),$M20*('Model Data Inputs'!$B$170-1))))</f>
        <v>0</v>
      </c>
      <c r="O20" s="300">
        <f t="shared" si="1"/>
        <v>0</v>
      </c>
    </row>
    <row r="21" spans="1:15" x14ac:dyDescent="0.2">
      <c r="A21" s="20" t="s">
        <v>14</v>
      </c>
      <c r="B21" s="20" t="s">
        <v>15</v>
      </c>
      <c r="C21" s="20" t="s">
        <v>1224</v>
      </c>
      <c r="D21" s="20" t="s">
        <v>1225</v>
      </c>
      <c r="E21" s="298">
        <v>24363</v>
      </c>
      <c r="F21" s="138" t="s">
        <v>1159</v>
      </c>
      <c r="G21" s="138" t="s">
        <v>1205</v>
      </c>
      <c r="H21" s="299">
        <f>'School Level ADM'!S18</f>
        <v>757.46500000000003</v>
      </c>
      <c r="I21" s="300">
        <v>17.317399999999999</v>
      </c>
      <c r="J21" s="300">
        <f>IF(OR($E21&lt;='Model Data Inputs'!$B$175,$F21="T"),$I21,IF($G21="E",'Model Data Inputs'!$B$176+$H21/'Model Data Inputs'!$B$179,IF($G21="M",'Model Data Inputs'!$B$177+$H21/'Model Data Inputs'!$B$179,IF($G21="H",'Model Data Inputs'!$B$178+$H21/'Model Data Inputs'!$B$179,IF($G21="N/A",0,$I21)))))</f>
        <v>17.317399999999999</v>
      </c>
      <c r="K21" s="300">
        <f t="shared" si="0"/>
        <v>17.317399999999999</v>
      </c>
      <c r="L21" s="300">
        <f>$K21*'Model Data Inputs'!$B$168</f>
        <v>1610.5182</v>
      </c>
      <c r="M21" s="300">
        <f>$L21/'Model Data Inputs'!$B$169</f>
        <v>0.80205089641434257</v>
      </c>
      <c r="N21" s="300">
        <f>IF($G21="E",$M21*('Model Data Inputs'!$B$171-1),IF($G21="M",$M21*('Model Data Inputs'!$B$172-1),IF($G21="H",$M21*('Model Data Inputs'!$B$173-1),$M21*('Model Data Inputs'!$B$170-1))))</f>
        <v>0.40102544820717129</v>
      </c>
      <c r="O21" s="300">
        <f t="shared" si="1"/>
        <v>1.2030763446215138</v>
      </c>
    </row>
    <row r="22" spans="1:15" s="40" customFormat="1" x14ac:dyDescent="0.2">
      <c r="A22" s="20" t="s">
        <v>14</v>
      </c>
      <c r="B22" s="20" t="s">
        <v>15</v>
      </c>
      <c r="C22" s="20" t="s">
        <v>1226</v>
      </c>
      <c r="D22" s="20" t="s">
        <v>1227</v>
      </c>
      <c r="E22" s="298">
        <v>29727</v>
      </c>
      <c r="F22" s="138" t="s">
        <v>1159</v>
      </c>
      <c r="G22" s="138" t="s">
        <v>1228</v>
      </c>
      <c r="H22" s="299">
        <f>SUM('School Level ADM'!S9,'School Level ADM'!S19,'School Level ADM'!S21)</f>
        <v>77.814999999999998</v>
      </c>
      <c r="I22" s="300">
        <v>20</v>
      </c>
      <c r="J22" s="300">
        <f>IF(OR($E22&lt;='Model Data Inputs'!$B$175,$F22="T"),$I22,IF($G22="E",'Model Data Inputs'!$B$176+$H22/'Model Data Inputs'!$B$179,IF($G22="M",'Model Data Inputs'!$B$177+$H22/'Model Data Inputs'!$B$179,IF($G22="H",'Model Data Inputs'!$B$178+$H22/'Model Data Inputs'!$B$179,IF($G22="N/A",0,$I22)))))</f>
        <v>20</v>
      </c>
      <c r="K22" s="300">
        <f t="shared" si="0"/>
        <v>20</v>
      </c>
      <c r="L22" s="300">
        <f>$K22*'Model Data Inputs'!$B$168</f>
        <v>1860</v>
      </c>
      <c r="M22" s="300">
        <f>$L22/'Model Data Inputs'!$B$169</f>
        <v>0.92629482071713143</v>
      </c>
      <c r="N22" s="300">
        <f>IF($G22="E",$M22*('Model Data Inputs'!$B$171-1),IF($G22="M",$M22*('Model Data Inputs'!$B$172-1),IF($G22="H",$M22*('Model Data Inputs'!$B$173-1),$M22*('Model Data Inputs'!$B$170-1))))</f>
        <v>1.3894422310756971</v>
      </c>
      <c r="O22" s="300">
        <f t="shared" si="1"/>
        <v>2.3157370517928286</v>
      </c>
    </row>
    <row r="23" spans="1:15" s="40" customFormat="1" x14ac:dyDescent="0.2">
      <c r="A23" s="20" t="s">
        <v>14</v>
      </c>
      <c r="B23" s="20" t="s">
        <v>15</v>
      </c>
      <c r="C23" s="20" t="s">
        <v>1229</v>
      </c>
      <c r="D23" s="20" t="s">
        <v>1230</v>
      </c>
      <c r="E23" s="298">
        <v>21201</v>
      </c>
      <c r="F23" s="138" t="s">
        <v>1159</v>
      </c>
      <c r="G23" s="138">
        <v>0</v>
      </c>
      <c r="H23" s="299" t="s">
        <v>1191</v>
      </c>
      <c r="I23" s="300">
        <v>27.7379</v>
      </c>
      <c r="J23" s="300">
        <f>IF(OR($E23&lt;='Model Data Inputs'!$B$175,$F23="T"),$I23,IF($G23="E",'Model Data Inputs'!$B$176+$H23/'Model Data Inputs'!$B$179,IF($G23="M",'Model Data Inputs'!$B$177+$H23/'Model Data Inputs'!$B$179,IF($G23="H",'Model Data Inputs'!$B$178+$H23/'Model Data Inputs'!$B$179,IF($G23="N/A",0,$I23)))))</f>
        <v>27.7379</v>
      </c>
      <c r="K23" s="300">
        <f t="shared" si="0"/>
        <v>0</v>
      </c>
      <c r="L23" s="300">
        <f>$K23*'Model Data Inputs'!$B$168</f>
        <v>0</v>
      </c>
      <c r="M23" s="300">
        <f>$L23/'Model Data Inputs'!$B$169</f>
        <v>0</v>
      </c>
      <c r="N23" s="300">
        <f>IF($G23="E",$M23*('Model Data Inputs'!$B$171-1),IF($G23="M",$M23*('Model Data Inputs'!$B$172-1),IF($G23="H",$M23*('Model Data Inputs'!$B$173-1),$M23*('Model Data Inputs'!$B$170-1))))</f>
        <v>0</v>
      </c>
      <c r="O23" s="300">
        <f t="shared" si="1"/>
        <v>0</v>
      </c>
    </row>
    <row r="24" spans="1:15" s="40" customFormat="1" x14ac:dyDescent="0.2">
      <c r="A24" s="20" t="s">
        <v>14</v>
      </c>
      <c r="B24" s="20" t="s">
        <v>15</v>
      </c>
      <c r="C24" s="20" t="s">
        <v>1231</v>
      </c>
      <c r="D24" s="20" t="s">
        <v>1232</v>
      </c>
      <c r="E24" s="298">
        <v>8159</v>
      </c>
      <c r="F24" s="138" t="s">
        <v>1159</v>
      </c>
      <c r="G24" s="138" t="s">
        <v>1228</v>
      </c>
      <c r="H24" s="299">
        <f>'School Level ADM'!S22</f>
        <v>36.445</v>
      </c>
      <c r="I24" s="300">
        <v>0.8</v>
      </c>
      <c r="J24" s="300">
        <f>IF(OR($E24&lt;='Model Data Inputs'!$B$175,$F24="T"),$I24,IF($G24="E",'Model Data Inputs'!$B$176+$H24/'Model Data Inputs'!$B$179,IF($G24="M",'Model Data Inputs'!$B$177+$H24/'Model Data Inputs'!$B$179,IF($G24="H",'Model Data Inputs'!$B$178+$H24/'Model Data Inputs'!$B$179,IF($G24="N/A",0,$I24)))))</f>
        <v>0.8</v>
      </c>
      <c r="K24" s="300">
        <f t="shared" si="0"/>
        <v>0.8</v>
      </c>
      <c r="L24" s="300">
        <f>$K24*'Model Data Inputs'!$B$168</f>
        <v>74.400000000000006</v>
      </c>
      <c r="M24" s="300">
        <f>$L24/'Model Data Inputs'!$B$169</f>
        <v>3.7051792828685259E-2</v>
      </c>
      <c r="N24" s="300">
        <f>IF($G24="E",$M24*('Model Data Inputs'!$B$171-1),IF($G24="M",$M24*('Model Data Inputs'!$B$172-1),IF($G24="H",$M24*('Model Data Inputs'!$B$173-1),$M24*('Model Data Inputs'!$B$170-1))))</f>
        <v>5.5577689243027889E-2</v>
      </c>
      <c r="O24" s="300">
        <f t="shared" si="1"/>
        <v>9.2629482071713148E-2</v>
      </c>
    </row>
    <row r="25" spans="1:15" s="40" customFormat="1" x14ac:dyDescent="0.2">
      <c r="A25" s="20" t="s">
        <v>14</v>
      </c>
      <c r="B25" s="20" t="s">
        <v>15</v>
      </c>
      <c r="C25" s="20" t="s">
        <v>1233</v>
      </c>
      <c r="D25" s="20" t="s">
        <v>350</v>
      </c>
      <c r="E25" s="298">
        <v>37346</v>
      </c>
      <c r="F25" s="138" t="s">
        <v>1159</v>
      </c>
      <c r="G25" s="138" t="s">
        <v>1205</v>
      </c>
      <c r="H25" s="299">
        <f>'School Level ADM'!S5</f>
        <v>200.94</v>
      </c>
      <c r="I25" s="300">
        <v>8.7871000000000006</v>
      </c>
      <c r="J25" s="300">
        <f>IF(OR($E25&lt;='Model Data Inputs'!$B$175,$F25="T"),$I25,IF($G25="E",'Model Data Inputs'!$B$176+$H25/'Model Data Inputs'!$B$179,IF($G25="M",'Model Data Inputs'!$B$177+$H25/'Model Data Inputs'!$B$179,IF($G25="H",'Model Data Inputs'!$B$178+$H25/'Model Data Inputs'!$B$179,IF($G25="N/A",0,$I25)))))</f>
        <v>12.009399999999999</v>
      </c>
      <c r="K25" s="300">
        <f t="shared" si="0"/>
        <v>8.7871000000000006</v>
      </c>
      <c r="L25" s="300">
        <f>$K25*'Model Data Inputs'!$B$168</f>
        <v>817.20030000000008</v>
      </c>
      <c r="M25" s="300">
        <f>$L25/'Model Data Inputs'!$B$169</f>
        <v>0.40697226095617534</v>
      </c>
      <c r="N25" s="300">
        <f>IF($G25="E",$M25*('Model Data Inputs'!$B$171-1),IF($G25="M",$M25*('Model Data Inputs'!$B$172-1),IF($G25="H",$M25*('Model Data Inputs'!$B$173-1),$M25*('Model Data Inputs'!$B$170-1))))</f>
        <v>0.20348613047808767</v>
      </c>
      <c r="O25" s="300">
        <f t="shared" si="1"/>
        <v>0.61045839143426295</v>
      </c>
    </row>
    <row r="26" spans="1:15" s="40" customFormat="1" x14ac:dyDescent="0.2">
      <c r="A26" s="20" t="s">
        <v>14</v>
      </c>
      <c r="B26" s="20" t="s">
        <v>15</v>
      </c>
      <c r="C26" s="20" t="s">
        <v>1234</v>
      </c>
      <c r="D26" s="20" t="s">
        <v>1235</v>
      </c>
      <c r="E26" s="298">
        <v>36396</v>
      </c>
      <c r="F26" s="138" t="s">
        <v>1159</v>
      </c>
      <c r="G26" s="138" t="s">
        <v>1205</v>
      </c>
      <c r="H26" s="299">
        <f>'School Level ADM'!S15</f>
        <v>262.995</v>
      </c>
      <c r="I26" s="300">
        <v>0</v>
      </c>
      <c r="J26" s="300">
        <f>IF(OR($E26&lt;='Model Data Inputs'!$B$175,$F26="T"),$I26,IF($G26="E",'Model Data Inputs'!$B$176+$H26/'Model Data Inputs'!$B$179,IF($G26="M",'Model Data Inputs'!$B$177+$H26/'Model Data Inputs'!$B$179,IF($G26="H",'Model Data Inputs'!$B$178+$H26/'Model Data Inputs'!$B$179,IF($G26="N/A",0,$I26)))))</f>
        <v>12.629950000000001</v>
      </c>
      <c r="K26" s="300">
        <f t="shared" si="0"/>
        <v>0</v>
      </c>
      <c r="L26" s="300">
        <f>$K26*'Model Data Inputs'!$B$168</f>
        <v>0</v>
      </c>
      <c r="M26" s="300">
        <f>$L26/'Model Data Inputs'!$B$169</f>
        <v>0</v>
      </c>
      <c r="N26" s="300">
        <f>IF($G26="E",$M26*('Model Data Inputs'!$B$171-1),IF($G26="M",$M26*('Model Data Inputs'!$B$172-1),IF($G26="H",$M26*('Model Data Inputs'!$B$173-1),$M26*('Model Data Inputs'!$B$170-1))))</f>
        <v>0</v>
      </c>
      <c r="O26" s="300">
        <f t="shared" si="1"/>
        <v>0</v>
      </c>
    </row>
    <row r="27" spans="1:15" s="40" customFormat="1" x14ac:dyDescent="0.2">
      <c r="A27" s="20" t="s">
        <v>14</v>
      </c>
      <c r="B27" s="20" t="s">
        <v>15</v>
      </c>
      <c r="C27" s="20" t="s">
        <v>1236</v>
      </c>
      <c r="D27" s="20" t="s">
        <v>1237</v>
      </c>
      <c r="E27" s="298">
        <v>28660</v>
      </c>
      <c r="F27" s="138" t="s">
        <v>1159</v>
      </c>
      <c r="G27" s="138">
        <v>0</v>
      </c>
      <c r="H27" s="299" t="s">
        <v>1191</v>
      </c>
      <c r="I27" s="300">
        <v>16.260000000000002</v>
      </c>
      <c r="J27" s="300">
        <f>IF(OR($E27&lt;='Model Data Inputs'!$B$175,$F27="T"),$I27,IF($G27="E",'Model Data Inputs'!$B$176+$H27/'Model Data Inputs'!$B$179,IF($G27="M",'Model Data Inputs'!$B$177+$H27/'Model Data Inputs'!$B$179,IF($G27="H",'Model Data Inputs'!$B$178+$H27/'Model Data Inputs'!$B$179,IF($G27="N/A",0,$I27)))))</f>
        <v>16.260000000000002</v>
      </c>
      <c r="K27" s="300">
        <f t="shared" si="0"/>
        <v>0</v>
      </c>
      <c r="L27" s="300">
        <f>$K27*'Model Data Inputs'!$B$168</f>
        <v>0</v>
      </c>
      <c r="M27" s="300">
        <f>$L27/'Model Data Inputs'!$B$169</f>
        <v>0</v>
      </c>
      <c r="N27" s="300">
        <f>IF($G27="E",$M27*('Model Data Inputs'!$B$171-1),IF($G27="M",$M27*('Model Data Inputs'!$B$172-1),IF($G27="H",$M27*('Model Data Inputs'!$B$173-1),$M27*('Model Data Inputs'!$B$170-1))))</f>
        <v>0</v>
      </c>
      <c r="O27" s="300">
        <f t="shared" si="1"/>
        <v>0</v>
      </c>
    </row>
    <row r="28" spans="1:15" s="40" customFormat="1" x14ac:dyDescent="0.2">
      <c r="A28" s="20" t="s">
        <v>14</v>
      </c>
      <c r="B28" s="20" t="s">
        <v>15</v>
      </c>
      <c r="C28" s="20" t="s">
        <v>1238</v>
      </c>
      <c r="D28" s="20" t="s">
        <v>1239</v>
      </c>
      <c r="E28" s="298">
        <v>41091</v>
      </c>
      <c r="F28" s="138" t="s">
        <v>1159</v>
      </c>
      <c r="G28" s="138" t="s">
        <v>1228</v>
      </c>
      <c r="H28" s="299">
        <f>'School Level ADM'!S20</f>
        <v>1063.8</v>
      </c>
      <c r="I28" s="300">
        <v>35.71</v>
      </c>
      <c r="J28" s="300">
        <f>IF(OR($E28&lt;='Model Data Inputs'!$B$175,$F28="T"),$I28,IF($G28="E",'Model Data Inputs'!$B$176+$H28/'Model Data Inputs'!$B$179,IF($G28="M",'Model Data Inputs'!$B$177+$H28/'Model Data Inputs'!$B$179,IF($G28="H",'Model Data Inputs'!$B$178+$H28/'Model Data Inputs'!$B$179,IF($G28="N/A",0,$I28)))))</f>
        <v>30.637999999999998</v>
      </c>
      <c r="K28" s="300">
        <f t="shared" si="0"/>
        <v>30.637999999999998</v>
      </c>
      <c r="L28" s="300">
        <f>$K28*'Model Data Inputs'!$B$168</f>
        <v>2849.3339999999998</v>
      </c>
      <c r="M28" s="300">
        <f>$L28/'Model Data Inputs'!$B$169</f>
        <v>1.4189910358565736</v>
      </c>
      <c r="N28" s="300">
        <f>IF($G28="E",$M28*('Model Data Inputs'!$B$171-1),IF($G28="M",$M28*('Model Data Inputs'!$B$172-1),IF($G28="H",$M28*('Model Data Inputs'!$B$173-1),$M28*('Model Data Inputs'!$B$170-1))))</f>
        <v>2.1284865537848603</v>
      </c>
      <c r="O28" s="300">
        <f t="shared" si="1"/>
        <v>3.5474775896414341</v>
      </c>
    </row>
    <row r="29" spans="1:15" s="40" customFormat="1" x14ac:dyDescent="0.2">
      <c r="A29" s="20" t="s">
        <v>14</v>
      </c>
      <c r="B29" s="20" t="s">
        <v>15</v>
      </c>
      <c r="C29" s="20" t="s">
        <v>1240</v>
      </c>
      <c r="D29" s="20" t="s">
        <v>1241</v>
      </c>
      <c r="E29" s="298">
        <v>41456</v>
      </c>
      <c r="F29" s="138" t="s">
        <v>1159</v>
      </c>
      <c r="G29" s="138" t="s">
        <v>1198</v>
      </c>
      <c r="H29" s="301">
        <f>'School Level ADM'!S17</f>
        <v>0.98499999999999999</v>
      </c>
      <c r="I29" s="300">
        <v>3.27E-2</v>
      </c>
      <c r="J29" s="300">
        <f>IF(OR($E29&lt;='Model Data Inputs'!$B$175,$F29="T"),$I29,IF($G29="E",'Model Data Inputs'!$B$176+$H29/'Model Data Inputs'!$B$179,IF($G29="M",'Model Data Inputs'!$B$177+$H29/'Model Data Inputs'!$B$179,IF($G29="H",'Model Data Inputs'!$B$178+$H29/'Model Data Inputs'!$B$179,IF($G29="N/A",0,$I29)))))</f>
        <v>4.0098500000000001</v>
      </c>
      <c r="K29" s="300">
        <f t="shared" si="0"/>
        <v>3.27E-2</v>
      </c>
      <c r="L29" s="300">
        <f>$K29*'Model Data Inputs'!$B$168</f>
        <v>3.0411000000000001</v>
      </c>
      <c r="M29" s="300">
        <f>$L29/'Model Data Inputs'!$B$169</f>
        <v>1.5144920318725099E-3</v>
      </c>
      <c r="N29" s="300">
        <f>IF($G29="E",$M29*('Model Data Inputs'!$B$171-1),IF($G29="M",$M29*('Model Data Inputs'!$B$172-1),IF($G29="H",$M29*('Model Data Inputs'!$B$173-1),$M29*('Model Data Inputs'!$B$170-1))))</f>
        <v>0</v>
      </c>
      <c r="O29" s="300">
        <f t="shared" si="1"/>
        <v>1.5144920318725099E-3</v>
      </c>
    </row>
    <row r="30" spans="1:15" s="40" customFormat="1" x14ac:dyDescent="0.2">
      <c r="A30" s="20" t="s">
        <v>14</v>
      </c>
      <c r="B30" s="20" t="s">
        <v>15</v>
      </c>
      <c r="C30" s="20" t="s">
        <v>1242</v>
      </c>
      <c r="D30" s="20" t="s">
        <v>1243</v>
      </c>
      <c r="E30" s="298">
        <v>41091</v>
      </c>
      <c r="F30" s="138" t="s">
        <v>1159</v>
      </c>
      <c r="G30" s="138" t="s">
        <v>1191</v>
      </c>
      <c r="H30" s="301" t="s">
        <v>1191</v>
      </c>
      <c r="I30" s="300">
        <v>17.86</v>
      </c>
      <c r="J30" s="300">
        <f>IF(OR($E30&lt;='Model Data Inputs'!$B$175,$F30="T"),$I30,IF($G30="E",'Model Data Inputs'!$B$176+$H30/'Model Data Inputs'!$B$179,IF($G30="M",'Model Data Inputs'!$B$177+$H30/'Model Data Inputs'!$B$179,IF($G30="H",'Model Data Inputs'!$B$178+$H30/'Model Data Inputs'!$B$179,IF($G30="N/A",0,$I30)))))</f>
        <v>0</v>
      </c>
      <c r="K30" s="300">
        <f t="shared" si="0"/>
        <v>0</v>
      </c>
      <c r="L30" s="300">
        <f>$K30*'Model Data Inputs'!$B$168</f>
        <v>0</v>
      </c>
      <c r="M30" s="300">
        <f>$L30/'Model Data Inputs'!$B$169</f>
        <v>0</v>
      </c>
      <c r="N30" s="300">
        <f>IF($G30="E",$M30*('Model Data Inputs'!$B$171-1),IF($G30="M",$M30*('Model Data Inputs'!$B$172-1),IF($G30="H",$M30*('Model Data Inputs'!$B$173-1),$M30*('Model Data Inputs'!$B$170-1))))</f>
        <v>0</v>
      </c>
      <c r="O30" s="300">
        <f t="shared" si="1"/>
        <v>0</v>
      </c>
    </row>
    <row r="31" spans="1:15" s="40" customFormat="1" x14ac:dyDescent="0.2">
      <c r="A31" s="20" t="s">
        <v>14</v>
      </c>
      <c r="B31" s="20" t="s">
        <v>15</v>
      </c>
      <c r="C31" s="20" t="s">
        <v>1244</v>
      </c>
      <c r="D31" s="20" t="s">
        <v>1245</v>
      </c>
      <c r="E31" s="298">
        <v>42573</v>
      </c>
      <c r="F31" s="138" t="s">
        <v>1159</v>
      </c>
      <c r="G31" s="138" t="s">
        <v>1198</v>
      </c>
      <c r="H31" s="299">
        <f>'School Level ADM'!S16</f>
        <v>78.8</v>
      </c>
      <c r="I31" s="300">
        <v>1.64</v>
      </c>
      <c r="J31" s="300">
        <f>IF(OR($E31&lt;='Model Data Inputs'!$B$175,$F31="T"),$I31,IF($G31="E",'Model Data Inputs'!$B$176+$H31/'Model Data Inputs'!$B$179,IF($G31="M",'Model Data Inputs'!$B$177+$H31/'Model Data Inputs'!$B$179,IF($G31="H",'Model Data Inputs'!$B$178+$H31/'Model Data Inputs'!$B$179,IF($G31="N/A",0,$I31)))))</f>
        <v>4.7880000000000003</v>
      </c>
      <c r="K31" s="300">
        <f t="shared" si="0"/>
        <v>1.64</v>
      </c>
      <c r="L31" s="300">
        <f>$K31*'Model Data Inputs'!$B$168</f>
        <v>152.51999999999998</v>
      </c>
      <c r="M31" s="300">
        <f>$L31/'Model Data Inputs'!$B$169</f>
        <v>7.5956175298804773E-2</v>
      </c>
      <c r="N31" s="300">
        <f>IF($G31="E",$M31*('Model Data Inputs'!$B$171-1),IF($G31="M",$M31*('Model Data Inputs'!$B$172-1),IF($G31="H",$M31*('Model Data Inputs'!$B$173-1),$M31*('Model Data Inputs'!$B$170-1))))</f>
        <v>0</v>
      </c>
      <c r="O31" s="300">
        <f>SUM($M31:$N31)</f>
        <v>7.5956175298804773E-2</v>
      </c>
    </row>
    <row r="32" spans="1:15" s="40" customFormat="1" x14ac:dyDescent="0.2">
      <c r="A32" s="20" t="s">
        <v>16</v>
      </c>
      <c r="B32" s="20" t="s">
        <v>17</v>
      </c>
      <c r="C32" s="20" t="s">
        <v>1246</v>
      </c>
      <c r="D32" s="20" t="s">
        <v>1247</v>
      </c>
      <c r="E32" s="298">
        <v>23586</v>
      </c>
      <c r="F32" s="138" t="s">
        <v>1159</v>
      </c>
      <c r="G32" s="138">
        <v>0</v>
      </c>
      <c r="H32" s="299" t="s">
        <v>1191</v>
      </c>
      <c r="I32" s="300">
        <v>0.48</v>
      </c>
      <c r="J32" s="300">
        <f>IF(OR($E32&lt;='Model Data Inputs'!$B$175,$F32="T"),$I32,IF($G32="E",'Model Data Inputs'!$B$176+$H32/'Model Data Inputs'!$B$179,IF($G32="M",'Model Data Inputs'!$B$177+$H32/'Model Data Inputs'!$B$179,IF($G32="H",'Model Data Inputs'!$B$178+$H32/'Model Data Inputs'!$B$179,IF($G32="N/A",0,$I32)))))</f>
        <v>0.48</v>
      </c>
      <c r="K32" s="300">
        <f t="shared" si="0"/>
        <v>0</v>
      </c>
      <c r="L32" s="300">
        <f>$K32*'Model Data Inputs'!$B$168</f>
        <v>0</v>
      </c>
      <c r="M32" s="300">
        <f>$L32/'Model Data Inputs'!$B$169</f>
        <v>0</v>
      </c>
      <c r="N32" s="300">
        <f>IF($G32="E",$M32*('Model Data Inputs'!$B$171-1),IF($G32="M",$M32*('Model Data Inputs'!$B$172-1),IF($G32="H",$M32*('Model Data Inputs'!$B$173-1),$M32*('Model Data Inputs'!$B$170-1))))</f>
        <v>0</v>
      </c>
      <c r="O32" s="300">
        <f t="shared" si="1"/>
        <v>0</v>
      </c>
    </row>
    <row r="33" spans="1:15" s="40" customFormat="1" x14ac:dyDescent="0.2">
      <c r="A33" s="20" t="s">
        <v>16</v>
      </c>
      <c r="B33" s="20" t="s">
        <v>17</v>
      </c>
      <c r="C33" s="20" t="s">
        <v>1248</v>
      </c>
      <c r="D33" s="20" t="s">
        <v>1249</v>
      </c>
      <c r="E33" s="298">
        <v>35612</v>
      </c>
      <c r="F33" s="138" t="s">
        <v>1159</v>
      </c>
      <c r="G33" s="138" t="s">
        <v>1228</v>
      </c>
      <c r="H33" s="299">
        <f>SUM('School Level ADM'!S23,'School Level ADM'!S25,'School Level ADM'!S27)</f>
        <v>230.49</v>
      </c>
      <c r="I33" s="300">
        <v>22.93</v>
      </c>
      <c r="J33" s="300">
        <f>IF(OR($E33&lt;='Model Data Inputs'!$B$175,$F33="T"),$I33,IF($G33="E",'Model Data Inputs'!$B$176+$H33/'Model Data Inputs'!$B$179,IF($G33="M",'Model Data Inputs'!$B$177+$H33/'Model Data Inputs'!$B$179,IF($G33="H",'Model Data Inputs'!$B$178+$H33/'Model Data Inputs'!$B$179,IF($G33="N/A",0,$I33)))))</f>
        <v>22.93</v>
      </c>
      <c r="K33" s="300">
        <f t="shared" si="0"/>
        <v>22.93</v>
      </c>
      <c r="L33" s="300">
        <f>$K33*'Model Data Inputs'!$B$168</f>
        <v>2132.4899999999998</v>
      </c>
      <c r="M33" s="300">
        <f>$L33/'Model Data Inputs'!$B$169</f>
        <v>1.0619970119521911</v>
      </c>
      <c r="N33" s="300">
        <f>IF($G33="E",$M33*('Model Data Inputs'!$B$171-1),IF($G33="M",$M33*('Model Data Inputs'!$B$172-1),IF($G33="H",$M33*('Model Data Inputs'!$B$173-1),$M33*('Model Data Inputs'!$B$170-1))))</f>
        <v>1.5929955179282866</v>
      </c>
      <c r="O33" s="300">
        <f t="shared" si="1"/>
        <v>2.6549925298804777</v>
      </c>
    </row>
    <row r="34" spans="1:15" s="40" customFormat="1" x14ac:dyDescent="0.2">
      <c r="A34" s="20" t="s">
        <v>16</v>
      </c>
      <c r="B34" s="20" t="s">
        <v>17</v>
      </c>
      <c r="C34" s="20" t="s">
        <v>1250</v>
      </c>
      <c r="D34" s="20" t="s">
        <v>397</v>
      </c>
      <c r="E34" s="298">
        <v>35612</v>
      </c>
      <c r="F34" s="138" t="s">
        <v>1159</v>
      </c>
      <c r="G34" s="138" t="s">
        <v>1198</v>
      </c>
      <c r="H34" s="299">
        <f>'School Level ADM'!S24</f>
        <v>290.57499999999999</v>
      </c>
      <c r="I34" s="300">
        <v>5.95</v>
      </c>
      <c r="J34" s="300">
        <f>IF(OR($E34&lt;='Model Data Inputs'!$B$175,$F34="T"),$I34,IF($G34="E",'Model Data Inputs'!$B$176+$H34/'Model Data Inputs'!$B$179,IF($G34="M",'Model Data Inputs'!$B$177+$H34/'Model Data Inputs'!$B$179,IF($G34="H",'Model Data Inputs'!$B$178+$H34/'Model Data Inputs'!$B$179,IF($G34="N/A",0,$I34)))))</f>
        <v>5.95</v>
      </c>
      <c r="K34" s="300">
        <f t="shared" si="0"/>
        <v>5.95</v>
      </c>
      <c r="L34" s="300">
        <f>$K34*'Model Data Inputs'!$B$168</f>
        <v>553.35</v>
      </c>
      <c r="M34" s="300">
        <f>$L34/'Model Data Inputs'!$B$169</f>
        <v>0.27557270916334664</v>
      </c>
      <c r="N34" s="300">
        <f>IF($G34="E",$M34*('Model Data Inputs'!$B$171-1),IF($G34="M",$M34*('Model Data Inputs'!$B$172-1),IF($G34="H",$M34*('Model Data Inputs'!$B$173-1),$M34*('Model Data Inputs'!$B$170-1))))</f>
        <v>0</v>
      </c>
      <c r="O34" s="300">
        <f t="shared" si="1"/>
        <v>0.27557270916334664</v>
      </c>
    </row>
    <row r="35" spans="1:15" s="40" customFormat="1" x14ac:dyDescent="0.2">
      <c r="A35" s="20" t="s">
        <v>16</v>
      </c>
      <c r="B35" s="20" t="s">
        <v>17</v>
      </c>
      <c r="C35" s="20" t="s">
        <v>1251</v>
      </c>
      <c r="D35" s="20" t="s">
        <v>1252</v>
      </c>
      <c r="E35" s="298">
        <v>14611</v>
      </c>
      <c r="F35" s="138" t="s">
        <v>1159</v>
      </c>
      <c r="G35" s="138">
        <v>0</v>
      </c>
      <c r="H35" s="299" t="s">
        <v>1191</v>
      </c>
      <c r="I35" s="300">
        <v>0.31</v>
      </c>
      <c r="J35" s="300">
        <f>IF(OR($E35&lt;='Model Data Inputs'!$B$175,$F35="T"),$I35,IF($G35="E",'Model Data Inputs'!$B$176+$H35/'Model Data Inputs'!$B$179,IF($G35="M",'Model Data Inputs'!$B$177+$H35/'Model Data Inputs'!$B$179,IF($G35="H",'Model Data Inputs'!$B$178+$H35/'Model Data Inputs'!$B$179,IF($G35="N/A",0,$I35)))))</f>
        <v>0.31</v>
      </c>
      <c r="K35" s="300">
        <f t="shared" si="0"/>
        <v>0</v>
      </c>
      <c r="L35" s="300">
        <f>$K35*'Model Data Inputs'!$B$168</f>
        <v>0</v>
      </c>
      <c r="M35" s="300">
        <f>$L35/'Model Data Inputs'!$B$169</f>
        <v>0</v>
      </c>
      <c r="N35" s="300">
        <f>IF($G35="E",$M35*('Model Data Inputs'!$B$171-1),IF($G35="M",$M35*('Model Data Inputs'!$B$172-1),IF($G35="H",$M35*('Model Data Inputs'!$B$173-1),$M35*('Model Data Inputs'!$B$170-1))))</f>
        <v>0</v>
      </c>
      <c r="O35" s="300">
        <f t="shared" si="1"/>
        <v>0</v>
      </c>
    </row>
    <row r="36" spans="1:15" s="40" customFormat="1" x14ac:dyDescent="0.2">
      <c r="A36" s="20" t="s">
        <v>16</v>
      </c>
      <c r="B36" s="20" t="s">
        <v>17</v>
      </c>
      <c r="C36" s="20" t="s">
        <v>1253</v>
      </c>
      <c r="D36" s="20" t="s">
        <v>1254</v>
      </c>
      <c r="E36" s="298">
        <v>23467</v>
      </c>
      <c r="F36" s="138" t="s">
        <v>1159</v>
      </c>
      <c r="G36" s="138" t="s">
        <v>1191</v>
      </c>
      <c r="H36" s="299" t="s">
        <v>1191</v>
      </c>
      <c r="I36" s="300">
        <v>1.39</v>
      </c>
      <c r="J36" s="300">
        <f>IF(OR($E36&lt;='Model Data Inputs'!$B$175,$F36="T"),$I36,IF($G36="E",'Model Data Inputs'!$B$176+$H36/'Model Data Inputs'!$B$179,IF($G36="M",'Model Data Inputs'!$B$177+$H36/'Model Data Inputs'!$B$179,IF($G36="H",'Model Data Inputs'!$B$178+$H36/'Model Data Inputs'!$B$179,IF($G36="N/A",0,$I36)))))</f>
        <v>1.39</v>
      </c>
      <c r="K36" s="300">
        <f t="shared" si="0"/>
        <v>0</v>
      </c>
      <c r="L36" s="300">
        <f>$K36*'Model Data Inputs'!$B$168</f>
        <v>0</v>
      </c>
      <c r="M36" s="300">
        <f>$L36/'Model Data Inputs'!$B$169</f>
        <v>0</v>
      </c>
      <c r="N36" s="300">
        <f>IF($G36="E",$M36*('Model Data Inputs'!$B$171-1),IF($G36="M",$M36*('Model Data Inputs'!$B$172-1),IF($G36="H",$M36*('Model Data Inputs'!$B$173-1),$M36*('Model Data Inputs'!$B$170-1))))</f>
        <v>0</v>
      </c>
      <c r="O36" s="300">
        <f t="shared" si="1"/>
        <v>0</v>
      </c>
    </row>
    <row r="37" spans="1:15" s="40" customFormat="1" x14ac:dyDescent="0.2">
      <c r="A37" s="20" t="s">
        <v>16</v>
      </c>
      <c r="B37" s="20" t="s">
        <v>17</v>
      </c>
      <c r="C37" s="20" t="s">
        <v>1255</v>
      </c>
      <c r="D37" s="20" t="s">
        <v>1256</v>
      </c>
      <c r="E37" s="298">
        <v>29799</v>
      </c>
      <c r="F37" s="138" t="s">
        <v>1159</v>
      </c>
      <c r="G37" s="138">
        <v>0</v>
      </c>
      <c r="H37" s="299" t="s">
        <v>1191</v>
      </c>
      <c r="I37" s="300">
        <v>0.59</v>
      </c>
      <c r="J37" s="300">
        <f>IF(OR($E37&lt;='Model Data Inputs'!$B$175,$F37="T"),$I37,IF($G37="E",'Model Data Inputs'!$B$176+$H37/'Model Data Inputs'!$B$179,IF($G37="M",'Model Data Inputs'!$B$177+$H37/'Model Data Inputs'!$B$179,IF($G37="H",'Model Data Inputs'!$B$178+$H37/'Model Data Inputs'!$B$179,IF($G37="N/A",0,$I37)))))</f>
        <v>0.59</v>
      </c>
      <c r="K37" s="300">
        <f t="shared" si="0"/>
        <v>0</v>
      </c>
      <c r="L37" s="300">
        <f>$K37*'Model Data Inputs'!$B$168</f>
        <v>0</v>
      </c>
      <c r="M37" s="300">
        <f>$L37/'Model Data Inputs'!$B$169</f>
        <v>0</v>
      </c>
      <c r="N37" s="300">
        <f>IF($G37="E",$M37*('Model Data Inputs'!$B$171-1),IF($G37="M",$M37*('Model Data Inputs'!$B$172-1),IF($G37="H",$M37*('Model Data Inputs'!$B$173-1),$M37*('Model Data Inputs'!$B$170-1))))</f>
        <v>0</v>
      </c>
      <c r="O37" s="300">
        <f t="shared" si="1"/>
        <v>0</v>
      </c>
    </row>
    <row r="38" spans="1:15" s="40" customFormat="1" x14ac:dyDescent="0.2">
      <c r="A38" s="20" t="s">
        <v>16</v>
      </c>
      <c r="B38" s="20" t="s">
        <v>17</v>
      </c>
      <c r="C38" s="20" t="s">
        <v>1257</v>
      </c>
      <c r="D38" s="20" t="s">
        <v>1258</v>
      </c>
      <c r="E38" s="298">
        <v>39512</v>
      </c>
      <c r="F38" s="138" t="s">
        <v>1159</v>
      </c>
      <c r="G38" s="138" t="s">
        <v>1228</v>
      </c>
      <c r="H38" s="299">
        <f>SUM('School Level ADM'!S26,'School Level ADM'!S28)</f>
        <v>507.27499999999998</v>
      </c>
      <c r="I38" s="300">
        <v>29.3</v>
      </c>
      <c r="J38" s="300">
        <f>IF(OR($E38&lt;='Model Data Inputs'!$B$175,$F38="T"),$I38,IF($G38="E",'Model Data Inputs'!$B$176+$H38/'Model Data Inputs'!$B$179,IF($G38="M",'Model Data Inputs'!$B$177+$H38/'Model Data Inputs'!$B$179,IF($G38="H",'Model Data Inputs'!$B$178+$H38/'Model Data Inputs'!$B$179,IF($G38="N/A",0,$I38)))))</f>
        <v>25.072749999999999</v>
      </c>
      <c r="K38" s="300">
        <f t="shared" si="0"/>
        <v>25.072749999999999</v>
      </c>
      <c r="L38" s="300">
        <f>$K38*'Model Data Inputs'!$B$168</f>
        <v>2331.76575</v>
      </c>
      <c r="M38" s="300">
        <f>$L38/'Model Data Inputs'!$B$169</f>
        <v>1.1612379233067729</v>
      </c>
      <c r="N38" s="300">
        <f>IF($G38="E",$M38*('Model Data Inputs'!$B$171-1),IF($G38="M",$M38*('Model Data Inputs'!$B$172-1),IF($G38="H",$M38*('Model Data Inputs'!$B$173-1),$M38*('Model Data Inputs'!$B$170-1))))</f>
        <v>1.7418568849601592</v>
      </c>
      <c r="O38" s="300">
        <f t="shared" si="1"/>
        <v>2.9030948082669319</v>
      </c>
    </row>
    <row r="39" spans="1:15" s="40" customFormat="1" x14ac:dyDescent="0.2">
      <c r="A39" s="20" t="s">
        <v>16</v>
      </c>
      <c r="B39" s="20" t="s">
        <v>17</v>
      </c>
      <c r="C39" s="20" t="s">
        <v>1259</v>
      </c>
      <c r="D39" s="20" t="s">
        <v>1260</v>
      </c>
      <c r="E39" s="298">
        <v>40192</v>
      </c>
      <c r="F39" s="138" t="s">
        <v>1159</v>
      </c>
      <c r="G39" s="138">
        <v>0</v>
      </c>
      <c r="H39" s="299" t="s">
        <v>1191</v>
      </c>
      <c r="I39" s="300">
        <v>0.85</v>
      </c>
      <c r="J39" s="300">
        <f>IF(OR($E39&lt;='Model Data Inputs'!$B$175,$F39="T"),$I39,IF($G39="E",'Model Data Inputs'!$B$176+$H39/'Model Data Inputs'!$B$179,IF($G39="M",'Model Data Inputs'!$B$177+$H39/'Model Data Inputs'!$B$179,IF($G39="H",'Model Data Inputs'!$B$178+$H39/'Model Data Inputs'!$B$179,IF($G39="N/A",0,$I39)))))</f>
        <v>0.85</v>
      </c>
      <c r="K39" s="300">
        <f t="shared" si="0"/>
        <v>0</v>
      </c>
      <c r="L39" s="300">
        <f>$K39*'Model Data Inputs'!$B$168</f>
        <v>0</v>
      </c>
      <c r="M39" s="300">
        <f>$L39/'Model Data Inputs'!$B$169</f>
        <v>0</v>
      </c>
      <c r="N39" s="300">
        <f>IF($G39="E",$M39*('Model Data Inputs'!$B$171-1),IF($G39="M",$M39*('Model Data Inputs'!$B$172-1),IF($G39="H",$M39*('Model Data Inputs'!$B$173-1),$M39*('Model Data Inputs'!$B$170-1))))</f>
        <v>0</v>
      </c>
      <c r="O39" s="300">
        <f t="shared" si="1"/>
        <v>0</v>
      </c>
    </row>
    <row r="40" spans="1:15" s="40" customFormat="1" x14ac:dyDescent="0.2">
      <c r="A40" s="20" t="s">
        <v>16</v>
      </c>
      <c r="B40" s="20" t="s">
        <v>17</v>
      </c>
      <c r="C40" s="20" t="s">
        <v>1261</v>
      </c>
      <c r="D40" s="20" t="s">
        <v>1262</v>
      </c>
      <c r="E40" s="298">
        <v>39512</v>
      </c>
      <c r="F40" s="138" t="s">
        <v>1159</v>
      </c>
      <c r="G40" s="138">
        <v>0</v>
      </c>
      <c r="H40" s="299" t="s">
        <v>1191</v>
      </c>
      <c r="I40" s="300">
        <v>3.5</v>
      </c>
      <c r="J40" s="300">
        <f>IF(OR($E40&lt;='Model Data Inputs'!$B$175,$F40="T"),$I40,IF($G40="E",'Model Data Inputs'!$B$176+$H40/'Model Data Inputs'!$B$179,IF($G40="M",'Model Data Inputs'!$B$177+$H40/'Model Data Inputs'!$B$179,IF($G40="H",'Model Data Inputs'!$B$178+$H40/'Model Data Inputs'!$B$179,IF($G40="N/A",0,$I40)))))</f>
        <v>3.5</v>
      </c>
      <c r="K40" s="300">
        <f t="shared" si="0"/>
        <v>0</v>
      </c>
      <c r="L40" s="300">
        <f>$K40*'Model Data Inputs'!$B$168</f>
        <v>0</v>
      </c>
      <c r="M40" s="300">
        <f>$L40/'Model Data Inputs'!$B$169</f>
        <v>0</v>
      </c>
      <c r="N40" s="300">
        <f>IF($G40="E",$M40*('Model Data Inputs'!$B$171-1),IF($G40="M",$M40*('Model Data Inputs'!$B$172-1),IF($G40="H",$M40*('Model Data Inputs'!$B$173-1),$M40*('Model Data Inputs'!$B$170-1))))</f>
        <v>0</v>
      </c>
      <c r="O40" s="300">
        <f t="shared" si="1"/>
        <v>0</v>
      </c>
    </row>
    <row r="41" spans="1:15" s="40" customFormat="1" x14ac:dyDescent="0.2">
      <c r="A41" s="20" t="s">
        <v>16</v>
      </c>
      <c r="B41" s="20" t="s">
        <v>17</v>
      </c>
      <c r="C41" s="20" t="s">
        <v>1263</v>
      </c>
      <c r="D41" s="20" t="s">
        <v>1264</v>
      </c>
      <c r="E41" s="298">
        <v>38695</v>
      </c>
      <c r="F41" s="138" t="s">
        <v>1159</v>
      </c>
      <c r="G41" s="138">
        <v>0</v>
      </c>
      <c r="H41" s="299" t="s">
        <v>1191</v>
      </c>
      <c r="I41" s="300">
        <v>0.57999999999999996</v>
      </c>
      <c r="J41" s="300">
        <f>IF(OR($E41&lt;='Model Data Inputs'!$B$175,$F41="T"),$I41,IF($G41="E",'Model Data Inputs'!$B$176+$H41/'Model Data Inputs'!$B$179,IF($G41="M",'Model Data Inputs'!$B$177+$H41/'Model Data Inputs'!$B$179,IF($G41="H",'Model Data Inputs'!$B$178+$H41/'Model Data Inputs'!$B$179,IF($G41="N/A",0,$I41)))))</f>
        <v>0.57999999999999996</v>
      </c>
      <c r="K41" s="300">
        <f t="shared" si="0"/>
        <v>0</v>
      </c>
      <c r="L41" s="300">
        <f>$K41*'Model Data Inputs'!$B$168</f>
        <v>0</v>
      </c>
      <c r="M41" s="300">
        <f>$L41/'Model Data Inputs'!$B$169</f>
        <v>0</v>
      </c>
      <c r="N41" s="300">
        <f>IF($G41="E",$M41*('Model Data Inputs'!$B$171-1),IF($G41="M",$M41*('Model Data Inputs'!$B$172-1),IF($G41="H",$M41*('Model Data Inputs'!$B$173-1),$M41*('Model Data Inputs'!$B$170-1))))</f>
        <v>0</v>
      </c>
      <c r="O41" s="300">
        <f t="shared" si="1"/>
        <v>0</v>
      </c>
    </row>
    <row r="42" spans="1:15" s="40" customFormat="1" x14ac:dyDescent="0.2">
      <c r="A42" s="20" t="s">
        <v>18</v>
      </c>
      <c r="B42" s="20" t="s">
        <v>19</v>
      </c>
      <c r="C42" s="20" t="s">
        <v>1265</v>
      </c>
      <c r="D42" s="20" t="s">
        <v>1266</v>
      </c>
      <c r="E42" s="298">
        <v>30615</v>
      </c>
      <c r="F42" s="138" t="s">
        <v>1159</v>
      </c>
      <c r="G42" s="138">
        <v>0</v>
      </c>
      <c r="H42" s="299" t="s">
        <v>1191</v>
      </c>
      <c r="I42" s="300">
        <v>2</v>
      </c>
      <c r="J42" s="300">
        <f>IF(OR($E42&lt;='Model Data Inputs'!$B$175,$F42="T"),$I42,IF($G42="E",'Model Data Inputs'!$B$176+$H42/'Model Data Inputs'!$B$179,IF($G42="M",'Model Data Inputs'!$B$177+$H42/'Model Data Inputs'!$B$179,IF($G42="H",'Model Data Inputs'!$B$178+$H42/'Model Data Inputs'!$B$179,IF($G42="N/A",0,$I42)))))</f>
        <v>2</v>
      </c>
      <c r="K42" s="300">
        <f t="shared" si="0"/>
        <v>0</v>
      </c>
      <c r="L42" s="300">
        <f>$K42*'Model Data Inputs'!$B$168</f>
        <v>0</v>
      </c>
      <c r="M42" s="300">
        <f>$L42/'Model Data Inputs'!$B$169</f>
        <v>0</v>
      </c>
      <c r="N42" s="300">
        <f>IF($G42="E",$M42*('Model Data Inputs'!$B$171-1),IF($G42="M",$M42*('Model Data Inputs'!$B$172-1),IF($G42="H",$M42*('Model Data Inputs'!$B$173-1),$M42*('Model Data Inputs'!$B$170-1))))</f>
        <v>0</v>
      </c>
      <c r="O42" s="300">
        <f t="shared" si="1"/>
        <v>0</v>
      </c>
    </row>
    <row r="43" spans="1:15" s="40" customFormat="1" x14ac:dyDescent="0.2">
      <c r="A43" s="20" t="s">
        <v>18</v>
      </c>
      <c r="B43" s="20" t="s">
        <v>19</v>
      </c>
      <c r="C43" s="20" t="s">
        <v>1267</v>
      </c>
      <c r="D43" s="20" t="s">
        <v>407</v>
      </c>
      <c r="E43" s="298">
        <v>14249</v>
      </c>
      <c r="F43" s="138" t="s">
        <v>1159</v>
      </c>
      <c r="G43" s="138" t="s">
        <v>1198</v>
      </c>
      <c r="H43" s="299">
        <f>'School Level ADM'!S29</f>
        <v>331.94499999999999</v>
      </c>
      <c r="I43" s="300">
        <v>8.18</v>
      </c>
      <c r="J43" s="300">
        <f>IF(OR($E43&lt;='Model Data Inputs'!$B$175,$F43="T"),$I43,IF($G43="E",'Model Data Inputs'!$B$176+$H43/'Model Data Inputs'!$B$179,IF($G43="M",'Model Data Inputs'!$B$177+$H43/'Model Data Inputs'!$B$179,IF($G43="H",'Model Data Inputs'!$B$178+$H43/'Model Data Inputs'!$B$179,IF($G43="N/A",0,$I43)))))</f>
        <v>8.18</v>
      </c>
      <c r="K43" s="300">
        <f t="shared" si="0"/>
        <v>8.18</v>
      </c>
      <c r="L43" s="300">
        <f>$K43*'Model Data Inputs'!$B$168</f>
        <v>760.74</v>
      </c>
      <c r="M43" s="300">
        <f>$L43/'Model Data Inputs'!$B$169</f>
        <v>0.37885458167330677</v>
      </c>
      <c r="N43" s="300">
        <f>IF($G43="E",$M43*('Model Data Inputs'!$B$171-1),IF($G43="M",$M43*('Model Data Inputs'!$B$172-1),IF($G43="H",$M43*('Model Data Inputs'!$B$173-1),$M43*('Model Data Inputs'!$B$170-1))))</f>
        <v>0</v>
      </c>
      <c r="O43" s="300">
        <f t="shared" si="1"/>
        <v>0.37885458167330677</v>
      </c>
    </row>
    <row r="44" spans="1:15" s="40" customFormat="1" x14ac:dyDescent="0.2">
      <c r="A44" s="20" t="s">
        <v>18</v>
      </c>
      <c r="B44" s="20" t="s">
        <v>19</v>
      </c>
      <c r="C44" s="20" t="s">
        <v>1268</v>
      </c>
      <c r="D44" s="20" t="s">
        <v>1269</v>
      </c>
      <c r="E44" s="298">
        <v>32916</v>
      </c>
      <c r="F44" s="138" t="s">
        <v>1159</v>
      </c>
      <c r="G44" s="138" t="s">
        <v>1205</v>
      </c>
      <c r="H44" s="299">
        <f>'School Level ADM'!S30</f>
        <v>164.495</v>
      </c>
      <c r="I44" s="300">
        <v>23.29</v>
      </c>
      <c r="J44" s="300">
        <f>IF(OR($E44&lt;='Model Data Inputs'!$B$175,$F44="T"),$I44,IF($G44="E",'Model Data Inputs'!$B$176+$H44/'Model Data Inputs'!$B$179,IF($G44="M",'Model Data Inputs'!$B$177+$H44/'Model Data Inputs'!$B$179,IF($G44="H",'Model Data Inputs'!$B$178+$H44/'Model Data Inputs'!$B$179,IF($G44="N/A",0,$I44)))))</f>
        <v>23.29</v>
      </c>
      <c r="K44" s="300">
        <f t="shared" si="0"/>
        <v>23.29</v>
      </c>
      <c r="L44" s="300">
        <f>$K44*'Model Data Inputs'!$B$168</f>
        <v>2165.9699999999998</v>
      </c>
      <c r="M44" s="300">
        <f>$L44/'Model Data Inputs'!$B$169</f>
        <v>1.0786703187250994</v>
      </c>
      <c r="N44" s="300">
        <f>IF($G44="E",$M44*('Model Data Inputs'!$B$171-1),IF($G44="M",$M44*('Model Data Inputs'!$B$172-1),IF($G44="H",$M44*('Model Data Inputs'!$B$173-1),$M44*('Model Data Inputs'!$B$170-1))))</f>
        <v>0.53933515936254972</v>
      </c>
      <c r="O44" s="300">
        <f t="shared" si="1"/>
        <v>1.6180054780876492</v>
      </c>
    </row>
    <row r="45" spans="1:15" s="40" customFormat="1" x14ac:dyDescent="0.2">
      <c r="A45" s="20" t="s">
        <v>18</v>
      </c>
      <c r="B45" s="20" t="s">
        <v>19</v>
      </c>
      <c r="C45" s="20" t="s">
        <v>1270</v>
      </c>
      <c r="D45" s="20" t="s">
        <v>1271</v>
      </c>
      <c r="E45" s="298">
        <v>35612</v>
      </c>
      <c r="F45" s="138" t="s">
        <v>1159</v>
      </c>
      <c r="G45" s="138" t="s">
        <v>1228</v>
      </c>
      <c r="H45" s="299">
        <f>'School Level ADM'!S31</f>
        <v>210.79</v>
      </c>
      <c r="I45" s="300">
        <v>22.64</v>
      </c>
      <c r="J45" s="300">
        <f>IF(OR($E45&lt;='Model Data Inputs'!$B$175,$F45="T"),$I45,IF($G45="E",'Model Data Inputs'!$B$176+$H45/'Model Data Inputs'!$B$179,IF($G45="M",'Model Data Inputs'!$B$177+$H45/'Model Data Inputs'!$B$179,IF($G45="H",'Model Data Inputs'!$B$178+$H45/'Model Data Inputs'!$B$179,IF($G45="N/A",0,$I45)))))</f>
        <v>22.64</v>
      </c>
      <c r="K45" s="300">
        <f t="shared" si="0"/>
        <v>22.64</v>
      </c>
      <c r="L45" s="300">
        <f>$K45*'Model Data Inputs'!$B$168</f>
        <v>2105.52</v>
      </c>
      <c r="M45" s="300">
        <f>$L45/'Model Data Inputs'!$B$169</f>
        <v>1.0485657370517929</v>
      </c>
      <c r="N45" s="300">
        <f>IF($G45="E",$M45*('Model Data Inputs'!$B$171-1),IF($G45="M",$M45*('Model Data Inputs'!$B$172-1),IF($G45="H",$M45*('Model Data Inputs'!$B$173-1),$M45*('Model Data Inputs'!$B$170-1))))</f>
        <v>1.5728486055776894</v>
      </c>
      <c r="O45" s="300">
        <f t="shared" si="1"/>
        <v>2.6214143426294823</v>
      </c>
    </row>
    <row r="46" spans="1:15" s="40" customFormat="1" x14ac:dyDescent="0.2">
      <c r="A46" s="20" t="s">
        <v>20</v>
      </c>
      <c r="B46" s="20" t="s">
        <v>21</v>
      </c>
      <c r="C46" s="20" t="s">
        <v>1272</v>
      </c>
      <c r="D46" s="20" t="s">
        <v>1273</v>
      </c>
      <c r="E46" s="298">
        <v>30004</v>
      </c>
      <c r="F46" s="138" t="s">
        <v>1159</v>
      </c>
      <c r="G46" s="138">
        <v>0</v>
      </c>
      <c r="H46" s="299" t="s">
        <v>1191</v>
      </c>
      <c r="I46" s="300">
        <v>2</v>
      </c>
      <c r="J46" s="300">
        <f>IF(OR($E46&lt;='Model Data Inputs'!$B$175,$F46="T"),$I46,IF($G46="E",'Model Data Inputs'!$B$176+$H46/'Model Data Inputs'!$B$179,IF($G46="M",'Model Data Inputs'!$B$177+$H46/'Model Data Inputs'!$B$179,IF($G46="H",'Model Data Inputs'!$B$178+$H46/'Model Data Inputs'!$B$179,IF($G46="N/A",0,$I46)))))</f>
        <v>2</v>
      </c>
      <c r="K46" s="300">
        <f t="shared" si="0"/>
        <v>0</v>
      </c>
      <c r="L46" s="300">
        <f>$K46*'Model Data Inputs'!$B$168</f>
        <v>0</v>
      </c>
      <c r="M46" s="300">
        <f>$L46/'Model Data Inputs'!$B$169</f>
        <v>0</v>
      </c>
      <c r="N46" s="300">
        <f>IF($G46="E",$M46*('Model Data Inputs'!$B$171-1),IF($G46="M",$M46*('Model Data Inputs'!$B$172-1),IF($G46="H",$M46*('Model Data Inputs'!$B$173-1),$M46*('Model Data Inputs'!$B$170-1))))</f>
        <v>0</v>
      </c>
      <c r="O46" s="300">
        <f t="shared" si="1"/>
        <v>0</v>
      </c>
    </row>
    <row r="47" spans="1:15" s="40" customFormat="1" x14ac:dyDescent="0.2">
      <c r="A47" s="20" t="s">
        <v>20</v>
      </c>
      <c r="B47" s="20" t="s">
        <v>21</v>
      </c>
      <c r="C47" s="20" t="s">
        <v>1274</v>
      </c>
      <c r="D47" s="20" t="s">
        <v>1275</v>
      </c>
      <c r="E47" s="298">
        <v>35612</v>
      </c>
      <c r="F47" s="138" t="s">
        <v>1159</v>
      </c>
      <c r="G47" s="138" t="s">
        <v>1228</v>
      </c>
      <c r="H47" s="299">
        <f>SUM('School Level ADM'!S33:S34)</f>
        <v>285.66899999999998</v>
      </c>
      <c r="I47" s="300">
        <v>11.92</v>
      </c>
      <c r="J47" s="300">
        <f>IF(OR($E47&lt;='Model Data Inputs'!$B$175,$F47="T"),$I47,IF($G47="E",'Model Data Inputs'!$B$176+$H47/'Model Data Inputs'!$B$179,IF($G47="M",'Model Data Inputs'!$B$177+$H47/'Model Data Inputs'!$B$179,IF($G47="H",'Model Data Inputs'!$B$178+$H47/'Model Data Inputs'!$B$179,IF($G47="N/A",0,$I47)))))</f>
        <v>11.92</v>
      </c>
      <c r="K47" s="300">
        <f t="shared" si="0"/>
        <v>11.92</v>
      </c>
      <c r="L47" s="300">
        <f>$K47*'Model Data Inputs'!$B$168</f>
        <v>1108.56</v>
      </c>
      <c r="M47" s="300">
        <f>$L47/'Model Data Inputs'!$B$169</f>
        <v>0.55207171314741033</v>
      </c>
      <c r="N47" s="300">
        <f>IF($G47="E",$M47*('Model Data Inputs'!$B$171-1),IF($G47="M",$M47*('Model Data Inputs'!$B$172-1),IF($G47="H",$M47*('Model Data Inputs'!$B$173-1),$M47*('Model Data Inputs'!$B$170-1))))</f>
        <v>0.82810756972111554</v>
      </c>
      <c r="O47" s="300">
        <f t="shared" si="1"/>
        <v>1.380179282868526</v>
      </c>
    </row>
    <row r="48" spans="1:15" s="40" customFormat="1" x14ac:dyDescent="0.2">
      <c r="A48" s="20" t="s">
        <v>20</v>
      </c>
      <c r="B48" s="20" t="s">
        <v>21</v>
      </c>
      <c r="C48" s="20" t="s">
        <v>1276</v>
      </c>
      <c r="D48" s="20" t="s">
        <v>1277</v>
      </c>
      <c r="E48" s="298">
        <v>38517</v>
      </c>
      <c r="F48" s="138" t="s">
        <v>1159</v>
      </c>
      <c r="G48" s="138" t="s">
        <v>1198</v>
      </c>
      <c r="H48" s="299">
        <f>'School Level ADM'!S32</f>
        <v>209.91400000000002</v>
      </c>
      <c r="I48" s="300">
        <v>11</v>
      </c>
      <c r="J48" s="300">
        <f>IF(OR($E48&lt;='Model Data Inputs'!$B$175,$F48="T"),$I48,IF($G48="E",'Model Data Inputs'!$B$176+$H48/'Model Data Inputs'!$B$179,IF($G48="M",'Model Data Inputs'!$B$177+$H48/'Model Data Inputs'!$B$179,IF($G48="H",'Model Data Inputs'!$B$178+$H48/'Model Data Inputs'!$B$179,IF($G48="N/A",0,$I48)))))</f>
        <v>6.0991400000000002</v>
      </c>
      <c r="K48" s="300">
        <f t="shared" si="0"/>
        <v>6.0991400000000002</v>
      </c>
      <c r="L48" s="300">
        <f>$K48*'Model Data Inputs'!$B$168</f>
        <v>567.22001999999998</v>
      </c>
      <c r="M48" s="300">
        <f>$L48/'Model Data Inputs'!$B$169</f>
        <v>0.28248008964143423</v>
      </c>
      <c r="N48" s="300">
        <f>IF($G48="E",$M48*('Model Data Inputs'!$B$171-1),IF($G48="M",$M48*('Model Data Inputs'!$B$172-1),IF($G48="H",$M48*('Model Data Inputs'!$B$173-1),$M48*('Model Data Inputs'!$B$170-1))))</f>
        <v>0</v>
      </c>
      <c r="O48" s="300">
        <f t="shared" si="1"/>
        <v>0.28248008964143423</v>
      </c>
    </row>
    <row r="49" spans="1:15" s="40" customFormat="1" x14ac:dyDescent="0.2">
      <c r="A49" s="20" t="s">
        <v>20</v>
      </c>
      <c r="B49" s="20" t="s">
        <v>21</v>
      </c>
      <c r="C49" s="20" t="s">
        <v>1278</v>
      </c>
      <c r="D49" s="20" t="s">
        <v>1279</v>
      </c>
      <c r="E49" s="298">
        <v>26559</v>
      </c>
      <c r="F49" s="138" t="s">
        <v>1159</v>
      </c>
      <c r="G49" s="138">
        <v>0</v>
      </c>
      <c r="H49" s="299" t="s">
        <v>1191</v>
      </c>
      <c r="I49" s="300">
        <v>1.5</v>
      </c>
      <c r="J49" s="300">
        <f>IF(OR($E49&lt;='Model Data Inputs'!$B$175,$F49="T"),$I49,IF($G49="E",'Model Data Inputs'!$B$176+$H49/'Model Data Inputs'!$B$179,IF($G49="M",'Model Data Inputs'!$B$177+$H49/'Model Data Inputs'!$B$179,IF($G49="H",'Model Data Inputs'!$B$178+$H49/'Model Data Inputs'!$B$179,IF($G49="N/A",0,$I49)))))</f>
        <v>1.5</v>
      </c>
      <c r="K49" s="300">
        <f t="shared" si="0"/>
        <v>0</v>
      </c>
      <c r="L49" s="300">
        <f>$K49*'Model Data Inputs'!$B$168</f>
        <v>0</v>
      </c>
      <c r="M49" s="300">
        <f>$L49/'Model Data Inputs'!$B$169</f>
        <v>0</v>
      </c>
      <c r="N49" s="300">
        <f>IF($G49="E",$M49*('Model Data Inputs'!$B$171-1),IF($G49="M",$M49*('Model Data Inputs'!$B$172-1),IF($G49="H",$M49*('Model Data Inputs'!$B$173-1),$M49*('Model Data Inputs'!$B$170-1))))</f>
        <v>0</v>
      </c>
      <c r="O49" s="300">
        <f t="shared" si="1"/>
        <v>0</v>
      </c>
    </row>
    <row r="50" spans="1:15" s="40" customFormat="1" x14ac:dyDescent="0.2">
      <c r="A50" s="20" t="s">
        <v>20</v>
      </c>
      <c r="B50" s="20" t="s">
        <v>21</v>
      </c>
      <c r="C50" s="20" t="s">
        <v>1280</v>
      </c>
      <c r="D50" s="20" t="s">
        <v>1281</v>
      </c>
      <c r="E50" s="298">
        <v>40269</v>
      </c>
      <c r="F50" s="138" t="s">
        <v>1159</v>
      </c>
      <c r="G50" s="138" t="s">
        <v>1191</v>
      </c>
      <c r="H50" s="299" t="s">
        <v>1191</v>
      </c>
      <c r="I50" s="300">
        <v>20</v>
      </c>
      <c r="J50" s="300">
        <f>IF(OR($E50&lt;='Model Data Inputs'!$B$175,$F50="T"),$I50,IF($G50="E",'Model Data Inputs'!$B$176+$H50/'Model Data Inputs'!$B$179,IF($G50="M",'Model Data Inputs'!$B$177+$H50/'Model Data Inputs'!$B$179,IF($G50="H",'Model Data Inputs'!$B$178+$H50/'Model Data Inputs'!$B$179,IF($G50="N/A",0,$I50)))))</f>
        <v>0</v>
      </c>
      <c r="K50" s="300">
        <f t="shared" si="0"/>
        <v>0</v>
      </c>
      <c r="L50" s="300">
        <f>$K50*'Model Data Inputs'!$B$168</f>
        <v>0</v>
      </c>
      <c r="M50" s="300">
        <f>$L50/'Model Data Inputs'!$B$169</f>
        <v>0</v>
      </c>
      <c r="N50" s="300">
        <f>IF($G50="E",$M50*('Model Data Inputs'!$B$171-1),IF($G50="M",$M50*('Model Data Inputs'!$B$172-1),IF($G50="H",$M50*('Model Data Inputs'!$B$173-1),$M50*('Model Data Inputs'!$B$170-1))))</f>
        <v>0</v>
      </c>
      <c r="O50" s="300">
        <f t="shared" si="1"/>
        <v>0</v>
      </c>
    </row>
    <row r="51" spans="1:15" s="40" customFormat="1" x14ac:dyDescent="0.2">
      <c r="A51" s="20" t="s">
        <v>22</v>
      </c>
      <c r="B51" s="20" t="s">
        <v>23</v>
      </c>
      <c r="C51" s="20" t="s">
        <v>1282</v>
      </c>
      <c r="D51" s="20" t="s">
        <v>1283</v>
      </c>
      <c r="E51" s="298">
        <v>34229</v>
      </c>
      <c r="F51" s="138" t="s">
        <v>1159</v>
      </c>
      <c r="G51" s="138">
        <v>0</v>
      </c>
      <c r="H51" s="299" t="s">
        <v>1191</v>
      </c>
      <c r="I51" s="300">
        <v>0.56000000000000005</v>
      </c>
      <c r="J51" s="300">
        <f>IF(OR($E51&lt;='Model Data Inputs'!$B$175,$F51="T"),$I51,IF($G51="E",'Model Data Inputs'!$B$176+$H51/'Model Data Inputs'!$B$179,IF($G51="M",'Model Data Inputs'!$B$177+$H51/'Model Data Inputs'!$B$179,IF($G51="H",'Model Data Inputs'!$B$178+$H51/'Model Data Inputs'!$B$179,IF($G51="N/A",0,$I51)))))</f>
        <v>0.56000000000000005</v>
      </c>
      <c r="K51" s="300">
        <f t="shared" si="0"/>
        <v>0</v>
      </c>
      <c r="L51" s="300">
        <f>$K51*'Model Data Inputs'!$B$168</f>
        <v>0</v>
      </c>
      <c r="M51" s="300">
        <f>$L51/'Model Data Inputs'!$B$169</f>
        <v>0</v>
      </c>
      <c r="N51" s="300">
        <f>IF($G51="E",$M51*('Model Data Inputs'!$B$171-1),IF($G51="M",$M51*('Model Data Inputs'!$B$172-1),IF($G51="H",$M51*('Model Data Inputs'!$B$173-1),$M51*('Model Data Inputs'!$B$170-1))))</f>
        <v>0</v>
      </c>
      <c r="O51" s="300">
        <f t="shared" si="1"/>
        <v>0</v>
      </c>
    </row>
    <row r="52" spans="1:15" s="40" customFormat="1" x14ac:dyDescent="0.2">
      <c r="A52" s="20" t="s">
        <v>22</v>
      </c>
      <c r="B52" s="20" t="s">
        <v>23</v>
      </c>
      <c r="C52" s="20" t="s">
        <v>1284</v>
      </c>
      <c r="D52" s="20" t="s">
        <v>1285</v>
      </c>
      <c r="E52" s="298">
        <v>21002</v>
      </c>
      <c r="F52" s="138" t="s">
        <v>1159</v>
      </c>
      <c r="G52" s="138" t="s">
        <v>1198</v>
      </c>
      <c r="H52" s="299">
        <f>'School Level ADM'!S35</f>
        <v>123.58166666666666</v>
      </c>
      <c r="I52" s="300">
        <v>3.13</v>
      </c>
      <c r="J52" s="300">
        <f>IF(OR($E52&lt;='Model Data Inputs'!$B$175,$F52="T"),$I52,IF($G52="E",'Model Data Inputs'!$B$176+$H52/'Model Data Inputs'!$B$179,IF($G52="M",'Model Data Inputs'!$B$177+$H52/'Model Data Inputs'!$B$179,IF($G52="H",'Model Data Inputs'!$B$178+$H52/'Model Data Inputs'!$B$179,IF($G52="N/A",0,$I52)))))</f>
        <v>3.13</v>
      </c>
      <c r="K52" s="300">
        <f t="shared" si="0"/>
        <v>3.13</v>
      </c>
      <c r="L52" s="300">
        <f>$K52*'Model Data Inputs'!$B$168</f>
        <v>291.08999999999997</v>
      </c>
      <c r="M52" s="300">
        <f>$L52/'Model Data Inputs'!$B$169</f>
        <v>0.14496513944223105</v>
      </c>
      <c r="N52" s="300">
        <f>IF($G52="E",$M52*('Model Data Inputs'!$B$171-1),IF($G52="M",$M52*('Model Data Inputs'!$B$172-1),IF($G52="H",$M52*('Model Data Inputs'!$B$173-1),$M52*('Model Data Inputs'!$B$170-1))))</f>
        <v>0</v>
      </c>
      <c r="O52" s="300">
        <f t="shared" si="1"/>
        <v>0.14496513944223105</v>
      </c>
    </row>
    <row r="53" spans="1:15" s="40" customFormat="1" x14ac:dyDescent="0.2">
      <c r="A53" s="20" t="s">
        <v>22</v>
      </c>
      <c r="B53" s="20" t="s">
        <v>23</v>
      </c>
      <c r="C53" s="20" t="s">
        <v>1286</v>
      </c>
      <c r="D53" s="20" t="s">
        <v>1287</v>
      </c>
      <c r="E53" s="298">
        <v>13969</v>
      </c>
      <c r="F53" s="138" t="s">
        <v>1159</v>
      </c>
      <c r="G53" s="138" t="s">
        <v>1191</v>
      </c>
      <c r="H53" s="299">
        <v>0</v>
      </c>
      <c r="I53" s="300">
        <v>13.3</v>
      </c>
      <c r="J53" s="300">
        <f>IF(OR($E53&lt;='Model Data Inputs'!$B$175,$F53="T"),$I53,IF($G53="E",'Model Data Inputs'!$B$176+$H53/'Model Data Inputs'!$B$179,IF($G53="M",'Model Data Inputs'!$B$177+$H53/'Model Data Inputs'!$B$179,IF($G53="H",'Model Data Inputs'!$B$178+$H53/'Model Data Inputs'!$B$179,IF($G53="N/A",0,$I53)))))</f>
        <v>13.3</v>
      </c>
      <c r="K53" s="300">
        <f t="shared" si="0"/>
        <v>0</v>
      </c>
      <c r="L53" s="300">
        <f>$K53*'Model Data Inputs'!$B$168</f>
        <v>0</v>
      </c>
      <c r="M53" s="300">
        <f>$L53/'Model Data Inputs'!$B$169</f>
        <v>0</v>
      </c>
      <c r="N53" s="300">
        <f>IF($G53="E",$M53*('Model Data Inputs'!$B$171-1),IF($G53="M",$M53*('Model Data Inputs'!$B$172-1),IF($G53="H",$M53*('Model Data Inputs'!$B$173-1),$M53*('Model Data Inputs'!$B$170-1))))</f>
        <v>0</v>
      </c>
      <c r="O53" s="300">
        <f t="shared" si="1"/>
        <v>0</v>
      </c>
    </row>
    <row r="54" spans="1:15" s="40" customFormat="1" x14ac:dyDescent="0.2">
      <c r="A54" s="20" t="s">
        <v>22</v>
      </c>
      <c r="B54" s="20" t="s">
        <v>23</v>
      </c>
      <c r="C54" s="20" t="s">
        <v>1288</v>
      </c>
      <c r="D54" s="20" t="s">
        <v>1289</v>
      </c>
      <c r="E54" s="298">
        <v>18162</v>
      </c>
      <c r="F54" s="138" t="s">
        <v>1159</v>
      </c>
      <c r="G54" s="138" t="s">
        <v>1228</v>
      </c>
      <c r="H54" s="299">
        <f>'School Level ADM'!S36</f>
        <v>155.65766666666667</v>
      </c>
      <c r="I54" s="300">
        <v>4.67</v>
      </c>
      <c r="J54" s="300">
        <f>IF(OR($E54&lt;='Model Data Inputs'!$B$175,$F54="T"),$I54,IF($G54="E",'Model Data Inputs'!$B$176+$H54/'Model Data Inputs'!$B$179,IF($G54="M",'Model Data Inputs'!$B$177+$H54/'Model Data Inputs'!$B$179,IF($G54="H",'Model Data Inputs'!$B$178+$H54/'Model Data Inputs'!$B$179,IF($G54="N/A",0,$I54)))))</f>
        <v>4.67</v>
      </c>
      <c r="K54" s="300">
        <f t="shared" si="0"/>
        <v>4.67</v>
      </c>
      <c r="L54" s="300">
        <f>$K54*'Model Data Inputs'!$B$168</f>
        <v>434.31</v>
      </c>
      <c r="M54" s="300">
        <f>$L54/'Model Data Inputs'!$B$169</f>
        <v>0.21628984063745019</v>
      </c>
      <c r="N54" s="300">
        <f>IF($G54="E",$M54*('Model Data Inputs'!$B$171-1),IF($G54="M",$M54*('Model Data Inputs'!$B$172-1),IF($G54="H",$M54*('Model Data Inputs'!$B$173-1),$M54*('Model Data Inputs'!$B$170-1))))</f>
        <v>0.32443476095617529</v>
      </c>
      <c r="O54" s="300">
        <f t="shared" si="1"/>
        <v>0.54072460159362545</v>
      </c>
    </row>
    <row r="55" spans="1:15" s="40" customFormat="1" x14ac:dyDescent="0.2">
      <c r="A55" s="20" t="s">
        <v>22</v>
      </c>
      <c r="B55" s="20" t="s">
        <v>23</v>
      </c>
      <c r="C55" s="20" t="s">
        <v>1290</v>
      </c>
      <c r="D55" s="20" t="s">
        <v>1291</v>
      </c>
      <c r="E55" s="298">
        <v>35612</v>
      </c>
      <c r="F55" s="138" t="s">
        <v>1159</v>
      </c>
      <c r="G55" s="138">
        <v>0</v>
      </c>
      <c r="H55" s="299" t="s">
        <v>1191</v>
      </c>
      <c r="I55" s="300">
        <v>0.32</v>
      </c>
      <c r="J55" s="300">
        <f>IF(OR($E55&lt;='Model Data Inputs'!$B$175,$F55="T"),$I55,IF($G55="E",'Model Data Inputs'!$B$176+$H55/'Model Data Inputs'!$B$179,IF($G55="M",'Model Data Inputs'!$B$177+$H55/'Model Data Inputs'!$B$179,IF($G55="H",'Model Data Inputs'!$B$178+$H55/'Model Data Inputs'!$B$179,IF($G55="N/A",0,$I55)))))</f>
        <v>0.32</v>
      </c>
      <c r="K55" s="300">
        <f t="shared" si="0"/>
        <v>0</v>
      </c>
      <c r="L55" s="300">
        <f>$K55*'Model Data Inputs'!$B$168</f>
        <v>0</v>
      </c>
      <c r="M55" s="300">
        <f>$L55/'Model Data Inputs'!$B$169</f>
        <v>0</v>
      </c>
      <c r="N55" s="300">
        <f>IF($G55="E",$M55*('Model Data Inputs'!$B$171-1),IF($G55="M",$M55*('Model Data Inputs'!$B$172-1),IF($G55="H",$M55*('Model Data Inputs'!$B$173-1),$M55*('Model Data Inputs'!$B$170-1))))</f>
        <v>0</v>
      </c>
      <c r="O55" s="300">
        <f t="shared" si="1"/>
        <v>0</v>
      </c>
    </row>
    <row r="56" spans="1:15" s="40" customFormat="1" x14ac:dyDescent="0.2">
      <c r="A56" s="20" t="s">
        <v>22</v>
      </c>
      <c r="B56" s="20" t="s">
        <v>23</v>
      </c>
      <c r="C56" s="20" t="s">
        <v>1292</v>
      </c>
      <c r="D56" s="20" t="s">
        <v>1293</v>
      </c>
      <c r="E56" s="298">
        <v>22777</v>
      </c>
      <c r="F56" s="138" t="s">
        <v>1159</v>
      </c>
      <c r="G56" s="138">
        <v>0</v>
      </c>
      <c r="H56" s="299" t="s">
        <v>1191</v>
      </c>
      <c r="I56" s="300">
        <v>0.19</v>
      </c>
      <c r="J56" s="300">
        <f>IF(OR($E56&lt;='Model Data Inputs'!$B$175,$F56="T"),$I56,IF($G56="E",'Model Data Inputs'!$B$176+$H56/'Model Data Inputs'!$B$179,IF($G56="M",'Model Data Inputs'!$B$177+$H56/'Model Data Inputs'!$B$179,IF($G56="H",'Model Data Inputs'!$B$178+$H56/'Model Data Inputs'!$B$179,IF($G56="N/A",0,$I56)))))</f>
        <v>0.19</v>
      </c>
      <c r="K56" s="300">
        <f t="shared" si="0"/>
        <v>0</v>
      </c>
      <c r="L56" s="300">
        <f>$K56*'Model Data Inputs'!$B$168</f>
        <v>0</v>
      </c>
      <c r="M56" s="300">
        <f>$L56/'Model Data Inputs'!$B$169</f>
        <v>0</v>
      </c>
      <c r="N56" s="300">
        <f>IF($G56="E",$M56*('Model Data Inputs'!$B$171-1),IF($G56="M",$M56*('Model Data Inputs'!$B$172-1),IF($G56="H",$M56*('Model Data Inputs'!$B$173-1),$M56*('Model Data Inputs'!$B$170-1))))</f>
        <v>0</v>
      </c>
      <c r="O56" s="300">
        <f t="shared" si="1"/>
        <v>0</v>
      </c>
    </row>
    <row r="57" spans="1:15" s="40" customFormat="1" x14ac:dyDescent="0.2">
      <c r="A57" s="20" t="s">
        <v>22</v>
      </c>
      <c r="B57" s="20" t="s">
        <v>23</v>
      </c>
      <c r="C57" s="20" t="s">
        <v>1294</v>
      </c>
      <c r="D57" s="20" t="s">
        <v>1295</v>
      </c>
      <c r="E57" s="298">
        <v>35612</v>
      </c>
      <c r="F57" s="138" t="s">
        <v>1159</v>
      </c>
      <c r="G57" s="138">
        <v>0</v>
      </c>
      <c r="H57" s="299" t="s">
        <v>1191</v>
      </c>
      <c r="I57" s="300">
        <v>0.16</v>
      </c>
      <c r="J57" s="300">
        <f>IF(OR($E57&lt;='Model Data Inputs'!$B$175,$F57="T"),$I57,IF($G57="E",'Model Data Inputs'!$B$176+$H57/'Model Data Inputs'!$B$179,IF($G57="M",'Model Data Inputs'!$B$177+$H57/'Model Data Inputs'!$B$179,IF($G57="H",'Model Data Inputs'!$B$178+$H57/'Model Data Inputs'!$B$179,IF($G57="N/A",0,$I57)))))</f>
        <v>0.16</v>
      </c>
      <c r="K57" s="300">
        <f t="shared" si="0"/>
        <v>0</v>
      </c>
      <c r="L57" s="300">
        <f>$K57*'Model Data Inputs'!$B$168</f>
        <v>0</v>
      </c>
      <c r="M57" s="300">
        <f>$L57/'Model Data Inputs'!$B$169</f>
        <v>0</v>
      </c>
      <c r="N57" s="300">
        <f>IF($G57="E",$M57*('Model Data Inputs'!$B$171-1),IF($G57="M",$M57*('Model Data Inputs'!$B$172-1),IF($G57="H",$M57*('Model Data Inputs'!$B$173-1),$M57*('Model Data Inputs'!$B$170-1))))</f>
        <v>0</v>
      </c>
      <c r="O57" s="300">
        <f t="shared" si="1"/>
        <v>0</v>
      </c>
    </row>
    <row r="58" spans="1:15" s="40" customFormat="1" x14ac:dyDescent="0.2">
      <c r="A58" s="20" t="s">
        <v>22</v>
      </c>
      <c r="B58" s="20" t="s">
        <v>23</v>
      </c>
      <c r="C58" s="20" t="s">
        <v>1296</v>
      </c>
      <c r="D58" s="20" t="s">
        <v>1297</v>
      </c>
      <c r="E58" s="298">
        <v>38586</v>
      </c>
      <c r="F58" s="138" t="s">
        <v>1159</v>
      </c>
      <c r="G58" s="138">
        <v>0</v>
      </c>
      <c r="H58" s="299" t="s">
        <v>1191</v>
      </c>
      <c r="I58" s="300">
        <v>0.19</v>
      </c>
      <c r="J58" s="300">
        <f>IF(OR($E58&lt;='Model Data Inputs'!$B$175,$F58="T"),$I58,IF($G58="E",'Model Data Inputs'!$B$176+$H58/'Model Data Inputs'!$B$179,IF($G58="M",'Model Data Inputs'!$B$177+$H58/'Model Data Inputs'!$B$179,IF($G58="H",'Model Data Inputs'!$B$178+$H58/'Model Data Inputs'!$B$179,IF($G58="N/A",0,$I58)))))</f>
        <v>0.19</v>
      </c>
      <c r="K58" s="300">
        <f t="shared" si="0"/>
        <v>0</v>
      </c>
      <c r="L58" s="300">
        <f>$K58*'Model Data Inputs'!$B$168</f>
        <v>0</v>
      </c>
      <c r="M58" s="300">
        <f>$L58/'Model Data Inputs'!$B$169</f>
        <v>0</v>
      </c>
      <c r="N58" s="300">
        <f>IF($G58="E",$M58*('Model Data Inputs'!$B$171-1),IF($G58="M",$M58*('Model Data Inputs'!$B$172-1),IF($G58="H",$M58*('Model Data Inputs'!$B$173-1),$M58*('Model Data Inputs'!$B$170-1))))</f>
        <v>0</v>
      </c>
      <c r="O58" s="300">
        <f t="shared" si="1"/>
        <v>0</v>
      </c>
    </row>
    <row r="59" spans="1:15" s="40" customFormat="1" x14ac:dyDescent="0.2">
      <c r="A59" s="20" t="s">
        <v>22</v>
      </c>
      <c r="B59" s="20" t="s">
        <v>23</v>
      </c>
      <c r="C59" s="20" t="s">
        <v>1298</v>
      </c>
      <c r="D59" s="20" t="s">
        <v>1299</v>
      </c>
      <c r="E59" s="298">
        <v>38587</v>
      </c>
      <c r="F59" s="138" t="s">
        <v>1159</v>
      </c>
      <c r="G59" s="138">
        <v>0</v>
      </c>
      <c r="H59" s="299" t="s">
        <v>1191</v>
      </c>
      <c r="I59" s="300">
        <v>0.21</v>
      </c>
      <c r="J59" s="300">
        <f>IF(OR($E59&lt;='Model Data Inputs'!$B$175,$F59="T"),$I59,IF($G59="E",'Model Data Inputs'!$B$176+$H59/'Model Data Inputs'!$B$179,IF($G59="M",'Model Data Inputs'!$B$177+$H59/'Model Data Inputs'!$B$179,IF($G59="H",'Model Data Inputs'!$B$178+$H59/'Model Data Inputs'!$B$179,IF($G59="N/A",0,$I59)))))</f>
        <v>0.21</v>
      </c>
      <c r="K59" s="300">
        <f t="shared" si="0"/>
        <v>0</v>
      </c>
      <c r="L59" s="300">
        <f>$K59*'Model Data Inputs'!$B$168</f>
        <v>0</v>
      </c>
      <c r="M59" s="300">
        <f>$L59/'Model Data Inputs'!$B$169</f>
        <v>0</v>
      </c>
      <c r="N59" s="300">
        <f>IF($G59="E",$M59*('Model Data Inputs'!$B$171-1),IF($G59="M",$M59*('Model Data Inputs'!$B$172-1),IF($G59="H",$M59*('Model Data Inputs'!$B$173-1),$M59*('Model Data Inputs'!$B$170-1))))</f>
        <v>0</v>
      </c>
      <c r="O59" s="300">
        <f t="shared" si="1"/>
        <v>0</v>
      </c>
    </row>
    <row r="60" spans="1:15" s="40" customFormat="1" x14ac:dyDescent="0.2">
      <c r="A60" s="20" t="s">
        <v>22</v>
      </c>
      <c r="B60" s="20" t="s">
        <v>23</v>
      </c>
      <c r="C60" s="20" t="s">
        <v>1300</v>
      </c>
      <c r="D60" s="20" t="s">
        <v>1301</v>
      </c>
      <c r="E60" s="298">
        <v>35612</v>
      </c>
      <c r="F60" s="138" t="s">
        <v>1159</v>
      </c>
      <c r="G60" s="138">
        <v>0</v>
      </c>
      <c r="H60" s="299" t="s">
        <v>1191</v>
      </c>
      <c r="I60" s="300">
        <v>0.27</v>
      </c>
      <c r="J60" s="300">
        <f>IF(OR($E60&lt;='Model Data Inputs'!$B$175,$F60="T"),$I60,IF($G60="E",'Model Data Inputs'!$B$176+$H60/'Model Data Inputs'!$B$179,IF($G60="M",'Model Data Inputs'!$B$177+$H60/'Model Data Inputs'!$B$179,IF($G60="H",'Model Data Inputs'!$B$178+$H60/'Model Data Inputs'!$B$179,IF($G60="N/A",0,$I60)))))</f>
        <v>0.27</v>
      </c>
      <c r="K60" s="300">
        <f t="shared" si="0"/>
        <v>0</v>
      </c>
      <c r="L60" s="300">
        <f>$K60*'Model Data Inputs'!$B$168</f>
        <v>0</v>
      </c>
      <c r="M60" s="300">
        <f>$L60/'Model Data Inputs'!$B$169</f>
        <v>0</v>
      </c>
      <c r="N60" s="300">
        <f>IF($G60="E",$M60*('Model Data Inputs'!$B$171-1),IF($G60="M",$M60*('Model Data Inputs'!$B$172-1),IF($G60="H",$M60*('Model Data Inputs'!$B$173-1),$M60*('Model Data Inputs'!$B$170-1))))</f>
        <v>0</v>
      </c>
      <c r="O60" s="300">
        <f t="shared" si="1"/>
        <v>0</v>
      </c>
    </row>
    <row r="61" spans="1:15" s="40" customFormat="1" x14ac:dyDescent="0.2">
      <c r="A61" s="20" t="s">
        <v>22</v>
      </c>
      <c r="B61" s="20" t="s">
        <v>23</v>
      </c>
      <c r="C61" s="20" t="s">
        <v>1302</v>
      </c>
      <c r="D61" s="20" t="s">
        <v>1303</v>
      </c>
      <c r="E61" s="298">
        <v>42599</v>
      </c>
      <c r="F61" s="138" t="s">
        <v>1159</v>
      </c>
      <c r="G61" s="138" t="s">
        <v>1191</v>
      </c>
      <c r="H61" s="299" t="s">
        <v>1191</v>
      </c>
      <c r="I61" s="300">
        <v>15.09</v>
      </c>
      <c r="J61" s="300">
        <f>IF(OR($E61&lt;='Model Data Inputs'!$B$175,$F61="T"),$I61,IF($G61="E",'Model Data Inputs'!$B$176+$H61/'Model Data Inputs'!$B$179,IF($G61="M",'Model Data Inputs'!$B$177+$H61/'Model Data Inputs'!$B$179,IF($G61="H",'Model Data Inputs'!$B$178+$H61/'Model Data Inputs'!$B$179,IF($G61="N/A",0,$I61)))))</f>
        <v>0</v>
      </c>
      <c r="K61" s="300">
        <f t="shared" si="0"/>
        <v>0</v>
      </c>
      <c r="L61" s="300">
        <f>$K61*'Model Data Inputs'!$B$168</f>
        <v>0</v>
      </c>
      <c r="M61" s="300">
        <f>$L61/'Model Data Inputs'!$B$169</f>
        <v>0</v>
      </c>
      <c r="N61" s="300">
        <f>IF($G61="E",$M61*('Model Data Inputs'!$B$171-1),IF($G61="M",$M61*('Model Data Inputs'!$B$172-1),IF($G61="H",$M61*('Model Data Inputs'!$B$173-1),$M61*('Model Data Inputs'!$B$170-1))))</f>
        <v>0</v>
      </c>
      <c r="O61" s="300">
        <f t="shared" si="1"/>
        <v>0</v>
      </c>
    </row>
    <row r="62" spans="1:15" s="40" customFormat="1" x14ac:dyDescent="0.2">
      <c r="A62" s="20" t="s">
        <v>24</v>
      </c>
      <c r="B62" s="20" t="s">
        <v>25</v>
      </c>
      <c r="C62" s="20" t="s">
        <v>1304</v>
      </c>
      <c r="D62" s="20" t="s">
        <v>1305</v>
      </c>
      <c r="E62" s="298">
        <v>27340</v>
      </c>
      <c r="F62" s="138" t="s">
        <v>1159</v>
      </c>
      <c r="G62" s="138">
        <v>0</v>
      </c>
      <c r="H62" s="299" t="s">
        <v>1191</v>
      </c>
      <c r="I62" s="300">
        <v>3.246</v>
      </c>
      <c r="J62" s="300">
        <f>IF(OR($E62&lt;='Model Data Inputs'!$B$175,$F62="T"),$I62,IF($G62="E",'Model Data Inputs'!$B$176+$H62/'Model Data Inputs'!$B$179,IF($G62="M",'Model Data Inputs'!$B$177+$H62/'Model Data Inputs'!$B$179,IF($G62="H",'Model Data Inputs'!$B$178+$H62/'Model Data Inputs'!$B$179,IF($G62="N/A",0,$I62)))))</f>
        <v>3.246</v>
      </c>
      <c r="K62" s="300">
        <f t="shared" si="0"/>
        <v>0</v>
      </c>
      <c r="L62" s="300">
        <f>$K62*'Model Data Inputs'!$B$168</f>
        <v>0</v>
      </c>
      <c r="M62" s="300">
        <f>$L62/'Model Data Inputs'!$B$169</f>
        <v>0</v>
      </c>
      <c r="N62" s="300">
        <f>IF($G62="E",$M62*('Model Data Inputs'!$B$171-1),IF($G62="M",$M62*('Model Data Inputs'!$B$172-1),IF($G62="H",$M62*('Model Data Inputs'!$B$173-1),$M62*('Model Data Inputs'!$B$170-1))))</f>
        <v>0</v>
      </c>
      <c r="O62" s="300">
        <f t="shared" si="1"/>
        <v>0</v>
      </c>
    </row>
    <row r="63" spans="1:15" s="40" customFormat="1" x14ac:dyDescent="0.2">
      <c r="A63" s="20" t="s">
        <v>24</v>
      </c>
      <c r="B63" s="20" t="s">
        <v>25</v>
      </c>
      <c r="C63" s="20" t="s">
        <v>1306</v>
      </c>
      <c r="D63" s="20" t="s">
        <v>1307</v>
      </c>
      <c r="E63" s="298">
        <v>32119</v>
      </c>
      <c r="F63" s="138" t="s">
        <v>1159</v>
      </c>
      <c r="G63" s="138">
        <v>0</v>
      </c>
      <c r="H63" s="299" t="s">
        <v>1191</v>
      </c>
      <c r="I63" s="300">
        <v>12.05</v>
      </c>
      <c r="J63" s="300">
        <f>IF(OR($E63&lt;='Model Data Inputs'!$B$175,$F63="T"),$I63,IF($G63="E",'Model Data Inputs'!$B$176+$H63/'Model Data Inputs'!$B$179,IF($G63="M",'Model Data Inputs'!$B$177+$H63/'Model Data Inputs'!$B$179,IF($G63="H",'Model Data Inputs'!$B$178+$H63/'Model Data Inputs'!$B$179,IF($G63="N/A",0,$I63)))))</f>
        <v>12.05</v>
      </c>
      <c r="K63" s="300">
        <f t="shared" si="0"/>
        <v>0</v>
      </c>
      <c r="L63" s="300">
        <f>$K63*'Model Data Inputs'!$B$168</f>
        <v>0</v>
      </c>
      <c r="M63" s="300">
        <f>$L63/'Model Data Inputs'!$B$169</f>
        <v>0</v>
      </c>
      <c r="N63" s="300">
        <f>IF($G63="E",$M63*('Model Data Inputs'!$B$171-1),IF($G63="M",$M63*('Model Data Inputs'!$B$172-1),IF($G63="H",$M63*('Model Data Inputs'!$B$173-1),$M63*('Model Data Inputs'!$B$170-1))))</f>
        <v>0</v>
      </c>
      <c r="O63" s="300">
        <f t="shared" si="1"/>
        <v>0</v>
      </c>
    </row>
    <row r="64" spans="1:15" s="40" customFormat="1" x14ac:dyDescent="0.2">
      <c r="A64" s="20" t="s">
        <v>24</v>
      </c>
      <c r="B64" s="20" t="s">
        <v>25</v>
      </c>
      <c r="C64" s="20" t="s">
        <v>1308</v>
      </c>
      <c r="D64" s="20" t="s">
        <v>1309</v>
      </c>
      <c r="E64" s="298">
        <v>32797</v>
      </c>
      <c r="F64" s="138" t="s">
        <v>1159</v>
      </c>
      <c r="G64" s="138">
        <v>0</v>
      </c>
      <c r="H64" s="299" t="s">
        <v>1191</v>
      </c>
      <c r="I64" s="300">
        <v>3.19</v>
      </c>
      <c r="J64" s="300">
        <f>IF(OR($E64&lt;='Model Data Inputs'!$B$175,$F64="T"),$I64,IF($G64="E",'Model Data Inputs'!$B$176+$H64/'Model Data Inputs'!$B$179,IF($G64="M",'Model Data Inputs'!$B$177+$H64/'Model Data Inputs'!$B$179,IF($G64="H",'Model Data Inputs'!$B$178+$H64/'Model Data Inputs'!$B$179,IF($G64="N/A",0,$I64)))))</f>
        <v>3.19</v>
      </c>
      <c r="K64" s="300">
        <f t="shared" si="0"/>
        <v>0</v>
      </c>
      <c r="L64" s="300">
        <f>$K64*'Model Data Inputs'!$B$168</f>
        <v>0</v>
      </c>
      <c r="M64" s="300">
        <f>$L64/'Model Data Inputs'!$B$169</f>
        <v>0</v>
      </c>
      <c r="N64" s="300">
        <f>IF($G64="E",$M64*('Model Data Inputs'!$B$171-1),IF($G64="M",$M64*('Model Data Inputs'!$B$172-1),IF($G64="H",$M64*('Model Data Inputs'!$B$173-1),$M64*('Model Data Inputs'!$B$170-1))))</f>
        <v>0</v>
      </c>
      <c r="O64" s="300">
        <f t="shared" si="1"/>
        <v>0</v>
      </c>
    </row>
    <row r="65" spans="1:15" s="40" customFormat="1" x14ac:dyDescent="0.2">
      <c r="A65" s="20" t="s">
        <v>24</v>
      </c>
      <c r="B65" s="20" t="s">
        <v>25</v>
      </c>
      <c r="C65" s="20" t="s">
        <v>1310</v>
      </c>
      <c r="D65" s="20" t="s">
        <v>1311</v>
      </c>
      <c r="E65" s="298">
        <v>31002</v>
      </c>
      <c r="F65" s="138" t="s">
        <v>1159</v>
      </c>
      <c r="G65" s="138" t="s">
        <v>1198</v>
      </c>
      <c r="H65" s="299">
        <f>'School Level ADM'!S37</f>
        <v>39.463333333333331</v>
      </c>
      <c r="I65" s="300">
        <v>15.1</v>
      </c>
      <c r="J65" s="300">
        <f>IF(OR($E65&lt;='Model Data Inputs'!$B$175,$F65="T"),$I65,IF($G65="E",'Model Data Inputs'!$B$176+$H65/'Model Data Inputs'!$B$179,IF($G65="M",'Model Data Inputs'!$B$177+$H65/'Model Data Inputs'!$B$179,IF($G65="H",'Model Data Inputs'!$B$178+$H65/'Model Data Inputs'!$B$179,IF($G65="N/A",0,$I65)))))</f>
        <v>15.1</v>
      </c>
      <c r="K65" s="300">
        <f t="shared" si="0"/>
        <v>15.1</v>
      </c>
      <c r="L65" s="300">
        <f>$K65*'Model Data Inputs'!$B$168</f>
        <v>1404.3</v>
      </c>
      <c r="M65" s="300">
        <f>$L65/'Model Data Inputs'!$B$169</f>
        <v>0.69935258964143421</v>
      </c>
      <c r="N65" s="300">
        <f>IF($G65="E",$M65*('Model Data Inputs'!$B$171-1),IF($G65="M",$M65*('Model Data Inputs'!$B$172-1),IF($G65="H",$M65*('Model Data Inputs'!$B$173-1),$M65*('Model Data Inputs'!$B$170-1))))</f>
        <v>0</v>
      </c>
      <c r="O65" s="300">
        <f t="shared" si="1"/>
        <v>0.69935258964143421</v>
      </c>
    </row>
    <row r="66" spans="1:15" s="40" customFormat="1" x14ac:dyDescent="0.2">
      <c r="A66" s="20" t="s">
        <v>24</v>
      </c>
      <c r="B66" s="20" t="s">
        <v>25</v>
      </c>
      <c r="C66" s="20" t="s">
        <v>1312</v>
      </c>
      <c r="D66" s="20" t="s">
        <v>1313</v>
      </c>
      <c r="E66" s="298">
        <v>27942</v>
      </c>
      <c r="F66" s="138" t="s">
        <v>1159</v>
      </c>
      <c r="G66" s="138" t="s">
        <v>1198</v>
      </c>
      <c r="H66" s="299">
        <f>'School Level ADM'!S38</f>
        <v>232.27633333333333</v>
      </c>
      <c r="I66" s="300">
        <v>13.522</v>
      </c>
      <c r="J66" s="300">
        <f>IF(OR($E66&lt;='Model Data Inputs'!$B$175,$F66="T"),$I66,IF($G66="E",'Model Data Inputs'!$B$176+$H66/'Model Data Inputs'!$B$179,IF($G66="M",'Model Data Inputs'!$B$177+$H66/'Model Data Inputs'!$B$179,IF($G66="H",'Model Data Inputs'!$B$178+$H66/'Model Data Inputs'!$B$179,IF($G66="N/A",0,$I66)))))</f>
        <v>13.522</v>
      </c>
      <c r="K66" s="300">
        <f t="shared" si="0"/>
        <v>13.522</v>
      </c>
      <c r="L66" s="300">
        <f>$K66*'Model Data Inputs'!$B$168</f>
        <v>1257.546</v>
      </c>
      <c r="M66" s="300">
        <f>$L66/'Model Data Inputs'!$B$169</f>
        <v>0.62626792828685263</v>
      </c>
      <c r="N66" s="300">
        <f>IF($G66="E",$M66*('Model Data Inputs'!$B$171-1),IF($G66="M",$M66*('Model Data Inputs'!$B$172-1),IF($G66="H",$M66*('Model Data Inputs'!$B$173-1),$M66*('Model Data Inputs'!$B$170-1))))</f>
        <v>0</v>
      </c>
      <c r="O66" s="300">
        <f t="shared" si="1"/>
        <v>0.62626792828685263</v>
      </c>
    </row>
    <row r="67" spans="1:15" s="40" customFormat="1" x14ac:dyDescent="0.2">
      <c r="A67" s="20" t="s">
        <v>24</v>
      </c>
      <c r="B67" s="20" t="s">
        <v>25</v>
      </c>
      <c r="C67" s="20" t="s">
        <v>1314</v>
      </c>
      <c r="D67" s="20" t="s">
        <v>1315</v>
      </c>
      <c r="E67" s="298">
        <v>25728</v>
      </c>
      <c r="F67" s="138" t="s">
        <v>1159</v>
      </c>
      <c r="G67" s="138">
        <v>0</v>
      </c>
      <c r="H67" s="299" t="s">
        <v>1191</v>
      </c>
      <c r="I67" s="300">
        <v>7.5010000000000003</v>
      </c>
      <c r="J67" s="300">
        <f>IF(OR($E67&lt;='Model Data Inputs'!$B$175,$F67="T"),$I67,IF($G67="E",'Model Data Inputs'!$B$176+$H67/'Model Data Inputs'!$B$179,IF($G67="M",'Model Data Inputs'!$B$177+$H67/'Model Data Inputs'!$B$179,IF($G67="H",'Model Data Inputs'!$B$178+$H67/'Model Data Inputs'!$B$179,IF($G67="N/A",0,$I67)))))</f>
        <v>7.5010000000000003</v>
      </c>
      <c r="K67" s="300">
        <f t="shared" si="0"/>
        <v>0</v>
      </c>
      <c r="L67" s="300">
        <f>$K67*'Model Data Inputs'!$B$168</f>
        <v>0</v>
      </c>
      <c r="M67" s="300">
        <f>$L67/'Model Data Inputs'!$B$169</f>
        <v>0</v>
      </c>
      <c r="N67" s="300">
        <f>IF($G67="E",$M67*('Model Data Inputs'!$B$171-1),IF($G67="M",$M67*('Model Data Inputs'!$B$172-1),IF($G67="H",$M67*('Model Data Inputs'!$B$173-1),$M67*('Model Data Inputs'!$B$170-1))))</f>
        <v>0</v>
      </c>
      <c r="O67" s="300">
        <f t="shared" si="1"/>
        <v>0</v>
      </c>
    </row>
    <row r="68" spans="1:15" s="40" customFormat="1" x14ac:dyDescent="0.2">
      <c r="A68" s="20" t="s">
        <v>24</v>
      </c>
      <c r="B68" s="20" t="s">
        <v>25</v>
      </c>
      <c r="C68" s="20" t="s">
        <v>1316</v>
      </c>
      <c r="D68" s="20" t="s">
        <v>1317</v>
      </c>
      <c r="E68" s="298">
        <v>26889</v>
      </c>
      <c r="F68" s="138" t="s">
        <v>1159</v>
      </c>
      <c r="G68" s="138" t="s">
        <v>1198</v>
      </c>
      <c r="H68" s="299">
        <f>'School Level ADM'!S41</f>
        <v>259.98633333333333</v>
      </c>
      <c r="I68" s="300">
        <v>2.617</v>
      </c>
      <c r="J68" s="300">
        <f>IF(OR($E68&lt;='Model Data Inputs'!$B$175,$F68="T"),$I68,IF($G68="E",'Model Data Inputs'!$B$176+$H68/'Model Data Inputs'!$B$179,IF($G68="M",'Model Data Inputs'!$B$177+$H68/'Model Data Inputs'!$B$179,IF($G68="H",'Model Data Inputs'!$B$178+$H68/'Model Data Inputs'!$B$179,IF($G68="N/A",0,$I68)))))</f>
        <v>2.617</v>
      </c>
      <c r="K68" s="300">
        <f t="shared" si="0"/>
        <v>2.617</v>
      </c>
      <c r="L68" s="300">
        <f>$K68*'Model Data Inputs'!$B$168</f>
        <v>243.381</v>
      </c>
      <c r="M68" s="300">
        <f>$L68/'Model Data Inputs'!$B$169</f>
        <v>0.12120567729083666</v>
      </c>
      <c r="N68" s="300">
        <f>IF($G68="E",$M68*('Model Data Inputs'!$B$171-1),IF($G68="M",$M68*('Model Data Inputs'!$B$172-1),IF($G68="H",$M68*('Model Data Inputs'!$B$173-1),$M68*('Model Data Inputs'!$B$170-1))))</f>
        <v>0</v>
      </c>
      <c r="O68" s="300">
        <f t="shared" si="1"/>
        <v>0.12120567729083666</v>
      </c>
    </row>
    <row r="69" spans="1:15" s="40" customFormat="1" x14ac:dyDescent="0.2">
      <c r="A69" s="20" t="s">
        <v>24</v>
      </c>
      <c r="B69" s="20" t="s">
        <v>25</v>
      </c>
      <c r="C69" s="20" t="s">
        <v>1318</v>
      </c>
      <c r="D69" s="20" t="s">
        <v>1319</v>
      </c>
      <c r="E69" s="298">
        <v>35086</v>
      </c>
      <c r="F69" s="138" t="s">
        <v>1159</v>
      </c>
      <c r="G69" s="138">
        <v>0</v>
      </c>
      <c r="H69" s="299" t="s">
        <v>1191</v>
      </c>
      <c r="I69" s="300">
        <v>5.01</v>
      </c>
      <c r="J69" s="300">
        <f>IF(OR($E69&lt;='Model Data Inputs'!$B$175,$F69="T"),$I69,IF($G69="E",'Model Data Inputs'!$B$176+$H69/'Model Data Inputs'!$B$179,IF($G69="M",'Model Data Inputs'!$B$177+$H69/'Model Data Inputs'!$B$179,IF($G69="H",'Model Data Inputs'!$B$178+$H69/'Model Data Inputs'!$B$179,IF($G69="N/A",0,$I69)))))</f>
        <v>5.01</v>
      </c>
      <c r="K69" s="300">
        <f t="shared" si="0"/>
        <v>0</v>
      </c>
      <c r="L69" s="300">
        <f>$K69*'Model Data Inputs'!$B$168</f>
        <v>0</v>
      </c>
      <c r="M69" s="300">
        <f>$L69/'Model Data Inputs'!$B$169</f>
        <v>0</v>
      </c>
      <c r="N69" s="300">
        <f>IF($G69="E",$M69*('Model Data Inputs'!$B$171-1),IF($G69="M",$M69*('Model Data Inputs'!$B$172-1),IF($G69="H",$M69*('Model Data Inputs'!$B$173-1),$M69*('Model Data Inputs'!$B$170-1))))</f>
        <v>0</v>
      </c>
      <c r="O69" s="300">
        <f t="shared" si="1"/>
        <v>0</v>
      </c>
    </row>
    <row r="70" spans="1:15" s="40" customFormat="1" x14ac:dyDescent="0.2">
      <c r="A70" s="20" t="s">
        <v>24</v>
      </c>
      <c r="B70" s="20" t="s">
        <v>25</v>
      </c>
      <c r="C70" s="20" t="s">
        <v>1320</v>
      </c>
      <c r="D70" s="20" t="s">
        <v>1321</v>
      </c>
      <c r="E70" s="298">
        <v>28710</v>
      </c>
      <c r="F70" s="138" t="s">
        <v>1159</v>
      </c>
      <c r="G70" s="138" t="s">
        <v>1198</v>
      </c>
      <c r="H70" s="299">
        <f>'School Level ADM'!S43</f>
        <v>235.36799999999999</v>
      </c>
      <c r="I70" s="300">
        <v>5</v>
      </c>
      <c r="J70" s="300">
        <f>IF(OR($E70&lt;='Model Data Inputs'!$B$175,$F70="T"),$I70,IF($G70="E",'Model Data Inputs'!$B$176+$H70/'Model Data Inputs'!$B$179,IF($G70="M",'Model Data Inputs'!$B$177+$H70/'Model Data Inputs'!$B$179,IF($G70="H",'Model Data Inputs'!$B$178+$H70/'Model Data Inputs'!$B$179,IF($G70="N/A",0,$I70)))))</f>
        <v>5</v>
      </c>
      <c r="K70" s="300">
        <f t="shared" ref="K70:K133" si="2">IF(AND($A$2=2,OR(G70=0,G70="N/A")),0,IF($I70&lt;$J70,$I70,$J70))</f>
        <v>5</v>
      </c>
      <c r="L70" s="300">
        <f>$K70*'Model Data Inputs'!$B$168</f>
        <v>465</v>
      </c>
      <c r="M70" s="300">
        <f>$L70/'Model Data Inputs'!$B$169</f>
        <v>0.23157370517928286</v>
      </c>
      <c r="N70" s="300">
        <f>IF($G70="E",$M70*('Model Data Inputs'!$B$171-1),IF($G70="M",$M70*('Model Data Inputs'!$B$172-1),IF($G70="H",$M70*('Model Data Inputs'!$B$173-1),$M70*('Model Data Inputs'!$B$170-1))))</f>
        <v>0</v>
      </c>
      <c r="O70" s="300">
        <f t="shared" si="1"/>
        <v>0.23157370517928286</v>
      </c>
    </row>
    <row r="71" spans="1:15" s="40" customFormat="1" x14ac:dyDescent="0.2">
      <c r="A71" s="20" t="s">
        <v>24</v>
      </c>
      <c r="B71" s="20" t="s">
        <v>25</v>
      </c>
      <c r="C71" s="20" t="s">
        <v>1322</v>
      </c>
      <c r="D71" s="20" t="s">
        <v>1323</v>
      </c>
      <c r="E71" s="298">
        <v>13681</v>
      </c>
      <c r="F71" s="138" t="s">
        <v>1159</v>
      </c>
      <c r="G71" s="138" t="s">
        <v>1198</v>
      </c>
      <c r="H71" s="299">
        <f>'School Level ADM'!S45</f>
        <v>328.12933333333336</v>
      </c>
      <c r="I71" s="300">
        <v>20</v>
      </c>
      <c r="J71" s="300">
        <f>IF(OR($E71&lt;='Model Data Inputs'!$B$175,$F71="T"),$I71,IF($G71="E",'Model Data Inputs'!$B$176+$H71/'Model Data Inputs'!$B$179,IF($G71="M",'Model Data Inputs'!$B$177+$H71/'Model Data Inputs'!$B$179,IF($G71="H",'Model Data Inputs'!$B$178+$H71/'Model Data Inputs'!$B$179,IF($G71="N/A",0,$I71)))))</f>
        <v>20</v>
      </c>
      <c r="K71" s="300">
        <f t="shared" si="2"/>
        <v>20</v>
      </c>
      <c r="L71" s="300">
        <f>$K71*'Model Data Inputs'!$B$168</f>
        <v>1860</v>
      </c>
      <c r="M71" s="300">
        <f>$L71/'Model Data Inputs'!$B$169</f>
        <v>0.92629482071713143</v>
      </c>
      <c r="N71" s="300">
        <f>IF($G71="E",$M71*('Model Data Inputs'!$B$171-1),IF($G71="M",$M71*('Model Data Inputs'!$B$172-1),IF($G71="H",$M71*('Model Data Inputs'!$B$173-1),$M71*('Model Data Inputs'!$B$170-1))))</f>
        <v>0</v>
      </c>
      <c r="O71" s="300">
        <f t="shared" ref="O71:O134" si="3">SUM($M71:$N71)</f>
        <v>0.92629482071713143</v>
      </c>
    </row>
    <row r="72" spans="1:15" s="40" customFormat="1" x14ac:dyDescent="0.2">
      <c r="A72" s="20" t="s">
        <v>24</v>
      </c>
      <c r="B72" s="20" t="s">
        <v>25</v>
      </c>
      <c r="C72" s="20" t="s">
        <v>1324</v>
      </c>
      <c r="D72" s="20" t="s">
        <v>1325</v>
      </c>
      <c r="E72" s="298">
        <v>25758</v>
      </c>
      <c r="F72" s="138" t="s">
        <v>1159</v>
      </c>
      <c r="G72" s="138" t="s">
        <v>1198</v>
      </c>
      <c r="H72" s="299">
        <f>'School Level ADM'!S53</f>
        <v>171.29766666666669</v>
      </c>
      <c r="I72" s="300">
        <v>12.28</v>
      </c>
      <c r="J72" s="300">
        <f>IF(OR($E72&lt;='Model Data Inputs'!$B$175,$F72="T"),$I72,IF($G72="E",'Model Data Inputs'!$B$176+$H72/'Model Data Inputs'!$B$179,IF($G72="M",'Model Data Inputs'!$B$177+$H72/'Model Data Inputs'!$B$179,IF($G72="H",'Model Data Inputs'!$B$178+$H72/'Model Data Inputs'!$B$179,IF($G72="N/A",0,$I72)))))</f>
        <v>12.28</v>
      </c>
      <c r="K72" s="300">
        <f t="shared" si="2"/>
        <v>12.28</v>
      </c>
      <c r="L72" s="300">
        <f>$K72*'Model Data Inputs'!$B$168</f>
        <v>1142.04</v>
      </c>
      <c r="M72" s="300">
        <f>$L72/'Model Data Inputs'!$B$169</f>
        <v>0.56874501992031867</v>
      </c>
      <c r="N72" s="300">
        <f>IF($G72="E",$M72*('Model Data Inputs'!$B$171-1),IF($G72="M",$M72*('Model Data Inputs'!$B$172-1),IF($G72="H",$M72*('Model Data Inputs'!$B$173-1),$M72*('Model Data Inputs'!$B$170-1))))</f>
        <v>0</v>
      </c>
      <c r="O72" s="300">
        <f t="shared" si="3"/>
        <v>0.56874501992031867</v>
      </c>
    </row>
    <row r="73" spans="1:15" s="40" customFormat="1" x14ac:dyDescent="0.2">
      <c r="A73" s="20" t="s">
        <v>24</v>
      </c>
      <c r="B73" s="20" t="s">
        <v>25</v>
      </c>
      <c r="C73" s="20" t="s">
        <v>1326</v>
      </c>
      <c r="D73" s="20" t="s">
        <v>1327</v>
      </c>
      <c r="E73" s="298">
        <v>26928</v>
      </c>
      <c r="F73" s="138" t="s">
        <v>1159</v>
      </c>
      <c r="G73" s="138" t="s">
        <v>1198</v>
      </c>
      <c r="H73" s="299">
        <f>'School Level ADM'!S47</f>
        <v>339.10966666666667</v>
      </c>
      <c r="I73" s="300">
        <v>8.0660000000000007</v>
      </c>
      <c r="J73" s="300">
        <f>IF(OR($E73&lt;='Model Data Inputs'!$B$175,$F73="T"),$I73,IF($G73="E",'Model Data Inputs'!$B$176+$H73/'Model Data Inputs'!$B$179,IF($G73="M",'Model Data Inputs'!$B$177+$H73/'Model Data Inputs'!$B$179,IF($G73="H",'Model Data Inputs'!$B$178+$H73/'Model Data Inputs'!$B$179,IF($G73="N/A",0,$I73)))))</f>
        <v>8.0660000000000007</v>
      </c>
      <c r="K73" s="300">
        <f t="shared" si="2"/>
        <v>8.0660000000000007</v>
      </c>
      <c r="L73" s="300">
        <f>$K73*'Model Data Inputs'!$B$168</f>
        <v>750.13800000000003</v>
      </c>
      <c r="M73" s="300">
        <f>$L73/'Model Data Inputs'!$B$169</f>
        <v>0.37357470119521913</v>
      </c>
      <c r="N73" s="300">
        <f>IF($G73="E",$M73*('Model Data Inputs'!$B$171-1),IF($G73="M",$M73*('Model Data Inputs'!$B$172-1),IF($G73="H",$M73*('Model Data Inputs'!$B$173-1),$M73*('Model Data Inputs'!$B$170-1))))</f>
        <v>0</v>
      </c>
      <c r="O73" s="300">
        <f t="shared" si="3"/>
        <v>0.37357470119521913</v>
      </c>
    </row>
    <row r="74" spans="1:15" s="40" customFormat="1" x14ac:dyDescent="0.2">
      <c r="A74" s="20" t="s">
        <v>24</v>
      </c>
      <c r="B74" s="20" t="s">
        <v>25</v>
      </c>
      <c r="C74" s="20" t="s">
        <v>1328</v>
      </c>
      <c r="D74" s="20" t="s">
        <v>1329</v>
      </c>
      <c r="E74" s="298">
        <v>28921</v>
      </c>
      <c r="F74" s="138" t="s">
        <v>1159</v>
      </c>
      <c r="G74" s="138" t="s">
        <v>1198</v>
      </c>
      <c r="H74" s="299">
        <f>'School Level ADM'!S48</f>
        <v>383.15266666666662</v>
      </c>
      <c r="I74" s="300">
        <v>6.62</v>
      </c>
      <c r="J74" s="300">
        <f>IF(OR($E74&lt;='Model Data Inputs'!$B$175,$F74="T"),$I74,IF($G74="E",'Model Data Inputs'!$B$176+$H74/'Model Data Inputs'!$B$179,IF($G74="M",'Model Data Inputs'!$B$177+$H74/'Model Data Inputs'!$B$179,IF($G74="H",'Model Data Inputs'!$B$178+$H74/'Model Data Inputs'!$B$179,IF($G74="N/A",0,$I74)))))</f>
        <v>6.62</v>
      </c>
      <c r="K74" s="300">
        <f t="shared" si="2"/>
        <v>6.62</v>
      </c>
      <c r="L74" s="300">
        <f>$K74*'Model Data Inputs'!$B$168</f>
        <v>615.66</v>
      </c>
      <c r="M74" s="300">
        <f>$L74/'Model Data Inputs'!$B$169</f>
        <v>0.3066035856573705</v>
      </c>
      <c r="N74" s="300">
        <f>IF($G74="E",$M74*('Model Data Inputs'!$B$171-1),IF($G74="M",$M74*('Model Data Inputs'!$B$172-1),IF($G74="H",$M74*('Model Data Inputs'!$B$173-1),$M74*('Model Data Inputs'!$B$170-1))))</f>
        <v>0</v>
      </c>
      <c r="O74" s="300">
        <f t="shared" si="3"/>
        <v>0.3066035856573705</v>
      </c>
    </row>
    <row r="75" spans="1:15" s="40" customFormat="1" x14ac:dyDescent="0.2">
      <c r="A75" s="20" t="s">
        <v>24</v>
      </c>
      <c r="B75" s="20" t="s">
        <v>25</v>
      </c>
      <c r="C75" s="20" t="s">
        <v>1330</v>
      </c>
      <c r="D75" s="20" t="s">
        <v>1331</v>
      </c>
      <c r="E75" s="298">
        <v>29054</v>
      </c>
      <c r="F75" s="138" t="s">
        <v>1159</v>
      </c>
      <c r="G75" s="138" t="s">
        <v>1198</v>
      </c>
      <c r="H75" s="299">
        <f>'School Level ADM'!S49</f>
        <v>400.81533333333329</v>
      </c>
      <c r="I75" s="300">
        <v>9.77</v>
      </c>
      <c r="J75" s="300">
        <f>IF(OR($E75&lt;='Model Data Inputs'!$B$175,$F75="T"),$I75,IF($G75="E",'Model Data Inputs'!$B$176+$H75/'Model Data Inputs'!$B$179,IF($G75="M",'Model Data Inputs'!$B$177+$H75/'Model Data Inputs'!$B$179,IF($G75="H",'Model Data Inputs'!$B$178+$H75/'Model Data Inputs'!$B$179,IF($G75="N/A",0,$I75)))))</f>
        <v>9.77</v>
      </c>
      <c r="K75" s="300">
        <f t="shared" si="2"/>
        <v>9.77</v>
      </c>
      <c r="L75" s="300">
        <f>$K75*'Model Data Inputs'!$B$168</f>
        <v>908.61</v>
      </c>
      <c r="M75" s="300">
        <f>$L75/'Model Data Inputs'!$B$169</f>
        <v>0.45249501992031871</v>
      </c>
      <c r="N75" s="300">
        <f>IF($G75="E",$M75*('Model Data Inputs'!$B$171-1),IF($G75="M",$M75*('Model Data Inputs'!$B$172-1),IF($G75="H",$M75*('Model Data Inputs'!$B$173-1),$M75*('Model Data Inputs'!$B$170-1))))</f>
        <v>0</v>
      </c>
      <c r="O75" s="300">
        <f t="shared" si="3"/>
        <v>0.45249501992031871</v>
      </c>
    </row>
    <row r="76" spans="1:15" s="40" customFormat="1" x14ac:dyDescent="0.2">
      <c r="A76" s="20" t="s">
        <v>24</v>
      </c>
      <c r="B76" s="20" t="s">
        <v>25</v>
      </c>
      <c r="C76" s="20" t="s">
        <v>1332</v>
      </c>
      <c r="D76" s="20" t="s">
        <v>1333</v>
      </c>
      <c r="E76" s="298">
        <v>30883</v>
      </c>
      <c r="F76" s="138" t="s">
        <v>1159</v>
      </c>
      <c r="G76" s="138" t="s">
        <v>1198</v>
      </c>
      <c r="H76" s="299">
        <f>'School Level ADM'!S50</f>
        <v>388.55266666666665</v>
      </c>
      <c r="I76" s="300">
        <v>5.7560000000000002</v>
      </c>
      <c r="J76" s="300">
        <f>IF(OR($E76&lt;='Model Data Inputs'!$B$175,$F76="T"),$I76,IF($G76="E",'Model Data Inputs'!$B$176+$H76/'Model Data Inputs'!$B$179,IF($G76="M",'Model Data Inputs'!$B$177+$H76/'Model Data Inputs'!$B$179,IF($G76="H",'Model Data Inputs'!$B$178+$H76/'Model Data Inputs'!$B$179,IF($G76="N/A",0,$I76)))))</f>
        <v>5.7560000000000002</v>
      </c>
      <c r="K76" s="300">
        <f t="shared" si="2"/>
        <v>5.7560000000000002</v>
      </c>
      <c r="L76" s="300">
        <f>$K76*'Model Data Inputs'!$B$168</f>
        <v>535.30799999999999</v>
      </c>
      <c r="M76" s="300">
        <f>$L76/'Model Data Inputs'!$B$169</f>
        <v>0.26658764940239044</v>
      </c>
      <c r="N76" s="300">
        <f>IF($G76="E",$M76*('Model Data Inputs'!$B$171-1),IF($G76="M",$M76*('Model Data Inputs'!$B$172-1),IF($G76="H",$M76*('Model Data Inputs'!$B$173-1),$M76*('Model Data Inputs'!$B$170-1))))</f>
        <v>0</v>
      </c>
      <c r="O76" s="300">
        <f t="shared" si="3"/>
        <v>0.26658764940239044</v>
      </c>
    </row>
    <row r="77" spans="1:15" s="40" customFormat="1" x14ac:dyDescent="0.2">
      <c r="A77" s="20" t="s">
        <v>24</v>
      </c>
      <c r="B77" s="20" t="s">
        <v>25</v>
      </c>
      <c r="C77" s="20" t="s">
        <v>1334</v>
      </c>
      <c r="D77" s="20" t="s">
        <v>1335</v>
      </c>
      <c r="E77" s="298">
        <v>33522</v>
      </c>
      <c r="F77" s="138" t="s">
        <v>1159</v>
      </c>
      <c r="G77" s="138" t="s">
        <v>1198</v>
      </c>
      <c r="H77" s="299">
        <f>'School Level ADM'!S51</f>
        <v>435.98066666666671</v>
      </c>
      <c r="I77" s="300">
        <v>10.220000000000001</v>
      </c>
      <c r="J77" s="300">
        <f>IF(OR($E77&lt;='Model Data Inputs'!$B$175,$F77="T"),$I77,IF($G77="E",'Model Data Inputs'!$B$176+$H77/'Model Data Inputs'!$B$179,IF($G77="M",'Model Data Inputs'!$B$177+$H77/'Model Data Inputs'!$B$179,IF($G77="H",'Model Data Inputs'!$B$178+$H77/'Model Data Inputs'!$B$179,IF($G77="N/A",0,$I77)))))</f>
        <v>10.220000000000001</v>
      </c>
      <c r="K77" s="300">
        <f t="shared" si="2"/>
        <v>10.220000000000001</v>
      </c>
      <c r="L77" s="300">
        <f>$K77*'Model Data Inputs'!$B$168</f>
        <v>950.46</v>
      </c>
      <c r="M77" s="300">
        <f>$L77/'Model Data Inputs'!$B$169</f>
        <v>0.4733366533864542</v>
      </c>
      <c r="N77" s="300">
        <f>IF($G77="E",$M77*('Model Data Inputs'!$B$171-1),IF($G77="M",$M77*('Model Data Inputs'!$B$172-1),IF($G77="H",$M77*('Model Data Inputs'!$B$173-1),$M77*('Model Data Inputs'!$B$170-1))))</f>
        <v>0</v>
      </c>
      <c r="O77" s="300">
        <f t="shared" si="3"/>
        <v>0.4733366533864542</v>
      </c>
    </row>
    <row r="78" spans="1:15" s="40" customFormat="1" x14ac:dyDescent="0.2">
      <c r="A78" s="20" t="s">
        <v>24</v>
      </c>
      <c r="B78" s="20" t="s">
        <v>25</v>
      </c>
      <c r="C78" s="20" t="s">
        <v>1336</v>
      </c>
      <c r="D78" s="20" t="s">
        <v>1337</v>
      </c>
      <c r="E78" s="298">
        <v>9006</v>
      </c>
      <c r="F78" s="138" t="s">
        <v>1159</v>
      </c>
      <c r="G78" s="138" t="s">
        <v>1205</v>
      </c>
      <c r="H78" s="299">
        <f>'School Level ADM'!S54</f>
        <v>583.08966666666663</v>
      </c>
      <c r="I78" s="300">
        <v>13.84</v>
      </c>
      <c r="J78" s="300">
        <f>IF(OR($E78&lt;='Model Data Inputs'!$B$175,$F78="T"),$I78,IF($G78="E",'Model Data Inputs'!$B$176+$H78/'Model Data Inputs'!$B$179,IF($G78="M",'Model Data Inputs'!$B$177+$H78/'Model Data Inputs'!$B$179,IF($G78="H",'Model Data Inputs'!$B$178+$H78/'Model Data Inputs'!$B$179,IF($G78="N/A",0,$I78)))))</f>
        <v>13.84</v>
      </c>
      <c r="K78" s="300">
        <f t="shared" si="2"/>
        <v>13.84</v>
      </c>
      <c r="L78" s="300">
        <f>$K78*'Model Data Inputs'!$B$168</f>
        <v>1287.1199999999999</v>
      </c>
      <c r="M78" s="300">
        <f>$L78/'Model Data Inputs'!$B$169</f>
        <v>0.64099601593625488</v>
      </c>
      <c r="N78" s="300">
        <f>IF($G78="E",$M78*('Model Data Inputs'!$B$171-1),IF($G78="M",$M78*('Model Data Inputs'!$B$172-1),IF($G78="H",$M78*('Model Data Inputs'!$B$173-1),$M78*('Model Data Inputs'!$B$170-1))))</f>
        <v>0.32049800796812744</v>
      </c>
      <c r="O78" s="300">
        <f t="shared" si="3"/>
        <v>0.96149402390438232</v>
      </c>
    </row>
    <row r="79" spans="1:15" s="40" customFormat="1" x14ac:dyDescent="0.2">
      <c r="A79" s="20" t="s">
        <v>24</v>
      </c>
      <c r="B79" s="20" t="s">
        <v>25</v>
      </c>
      <c r="C79" s="20" t="s">
        <v>1338</v>
      </c>
      <c r="D79" s="20" t="s">
        <v>1339</v>
      </c>
      <c r="E79" s="298">
        <v>28780</v>
      </c>
      <c r="F79" s="138" t="s">
        <v>1159</v>
      </c>
      <c r="G79" s="138" t="s">
        <v>1205</v>
      </c>
      <c r="H79" s="299">
        <f>'School Level ADM'!S55</f>
        <v>634.50166666666667</v>
      </c>
      <c r="I79" s="300">
        <v>19.3</v>
      </c>
      <c r="J79" s="300">
        <f>IF(OR($E79&lt;='Model Data Inputs'!$B$175,$F79="T"),$I79,IF($G79="E",'Model Data Inputs'!$B$176+$H79/'Model Data Inputs'!$B$179,IF($G79="M",'Model Data Inputs'!$B$177+$H79/'Model Data Inputs'!$B$179,IF($G79="H",'Model Data Inputs'!$B$178+$H79/'Model Data Inputs'!$B$179,IF($G79="N/A",0,$I79)))))</f>
        <v>19.3</v>
      </c>
      <c r="K79" s="300">
        <f t="shared" si="2"/>
        <v>19.3</v>
      </c>
      <c r="L79" s="300">
        <f>$K79*'Model Data Inputs'!$B$168</f>
        <v>1794.9</v>
      </c>
      <c r="M79" s="300">
        <f>$L79/'Model Data Inputs'!$B$169</f>
        <v>0.89387450199203189</v>
      </c>
      <c r="N79" s="300">
        <f>IF($G79="E",$M79*('Model Data Inputs'!$B$171-1),IF($G79="M",$M79*('Model Data Inputs'!$B$172-1),IF($G79="H",$M79*('Model Data Inputs'!$B$173-1),$M79*('Model Data Inputs'!$B$170-1))))</f>
        <v>0.44693725099601594</v>
      </c>
      <c r="O79" s="300">
        <f t="shared" si="3"/>
        <v>1.3408117529880479</v>
      </c>
    </row>
    <row r="80" spans="1:15" s="40" customFormat="1" x14ac:dyDescent="0.2">
      <c r="A80" s="20" t="s">
        <v>24</v>
      </c>
      <c r="B80" s="20" t="s">
        <v>25</v>
      </c>
      <c r="C80" s="20" t="s">
        <v>1340</v>
      </c>
      <c r="D80" s="20" t="s">
        <v>1341</v>
      </c>
      <c r="E80" s="298">
        <v>29187</v>
      </c>
      <c r="F80" s="138" t="s">
        <v>1159</v>
      </c>
      <c r="G80" s="138" t="s">
        <v>1228</v>
      </c>
      <c r="H80" s="299">
        <f>'School Level ADM'!S57</f>
        <v>189.786</v>
      </c>
      <c r="I80" s="300">
        <v>24.16</v>
      </c>
      <c r="J80" s="300">
        <f>IF(OR($E80&lt;='Model Data Inputs'!$B$175,$F80="T"),$I80,IF($G80="E",'Model Data Inputs'!$B$176+$H80/'Model Data Inputs'!$B$179,IF($G80="M",'Model Data Inputs'!$B$177+$H80/'Model Data Inputs'!$B$179,IF($G80="H",'Model Data Inputs'!$B$178+$H80/'Model Data Inputs'!$B$179,IF($G80="N/A",0,$I80)))))</f>
        <v>24.16</v>
      </c>
      <c r="K80" s="300">
        <f t="shared" si="2"/>
        <v>24.16</v>
      </c>
      <c r="L80" s="300">
        <f>$K80*'Model Data Inputs'!$B$168</f>
        <v>2246.88</v>
      </c>
      <c r="M80" s="300">
        <f>$L80/'Model Data Inputs'!$B$169</f>
        <v>1.1189641434262949</v>
      </c>
      <c r="N80" s="300">
        <f>IF($G80="E",$M80*('Model Data Inputs'!$B$171-1),IF($G80="M",$M80*('Model Data Inputs'!$B$172-1),IF($G80="H",$M80*('Model Data Inputs'!$B$173-1),$M80*('Model Data Inputs'!$B$170-1))))</f>
        <v>1.6784462151394424</v>
      </c>
      <c r="O80" s="300">
        <f t="shared" si="3"/>
        <v>2.7974103585657373</v>
      </c>
    </row>
    <row r="81" spans="1:15" s="40" customFormat="1" x14ac:dyDescent="0.2">
      <c r="A81" s="20" t="s">
        <v>24</v>
      </c>
      <c r="B81" s="20" t="s">
        <v>25</v>
      </c>
      <c r="C81" s="20" t="s">
        <v>1342</v>
      </c>
      <c r="D81" s="20" t="s">
        <v>1343</v>
      </c>
      <c r="E81" s="298">
        <v>28307</v>
      </c>
      <c r="F81" s="138" t="s">
        <v>1159</v>
      </c>
      <c r="G81" s="138" t="s">
        <v>1205</v>
      </c>
      <c r="H81" s="299">
        <f>'School Level ADM'!S40</f>
        <v>25.639999999999997</v>
      </c>
      <c r="I81" s="300">
        <v>2</v>
      </c>
      <c r="J81" s="300">
        <f>IF(OR($E81&lt;='Model Data Inputs'!$B$175,$F81="T"),$I81,IF($G81="E",'Model Data Inputs'!$B$176+$H81/'Model Data Inputs'!$B$179,IF($G81="M",'Model Data Inputs'!$B$177+$H81/'Model Data Inputs'!$B$179,IF($G81="H",'Model Data Inputs'!$B$178+$H81/'Model Data Inputs'!$B$179,IF($G81="N/A",0,$I81)))))</f>
        <v>2</v>
      </c>
      <c r="K81" s="300">
        <f t="shared" si="2"/>
        <v>2</v>
      </c>
      <c r="L81" s="300">
        <f>$K81*'Model Data Inputs'!$B$168</f>
        <v>186</v>
      </c>
      <c r="M81" s="300">
        <f>$L81/'Model Data Inputs'!$B$169</f>
        <v>9.2629482071713148E-2</v>
      </c>
      <c r="N81" s="300">
        <f>IF($G81="E",$M81*('Model Data Inputs'!$B$171-1),IF($G81="M",$M81*('Model Data Inputs'!$B$172-1),IF($G81="H",$M81*('Model Data Inputs'!$B$173-1),$M81*('Model Data Inputs'!$B$170-1))))</f>
        <v>4.6314741035856574E-2</v>
      </c>
      <c r="O81" s="300">
        <f t="shared" si="3"/>
        <v>0.13894422310756971</v>
      </c>
    </row>
    <row r="82" spans="1:15" s="40" customFormat="1" x14ac:dyDescent="0.2">
      <c r="A82" s="20" t="s">
        <v>24</v>
      </c>
      <c r="B82" s="20" t="s">
        <v>25</v>
      </c>
      <c r="C82" s="20" t="s">
        <v>1344</v>
      </c>
      <c r="D82" s="20" t="s">
        <v>1345</v>
      </c>
      <c r="E82" s="298">
        <v>25895</v>
      </c>
      <c r="F82" s="138" t="s">
        <v>1159</v>
      </c>
      <c r="G82" s="138" t="s">
        <v>1228</v>
      </c>
      <c r="H82" s="299">
        <f>'School Level ADM'!S56</f>
        <v>1069.4534999999998</v>
      </c>
      <c r="I82" s="300">
        <v>48.9</v>
      </c>
      <c r="J82" s="300">
        <f>IF(OR($E82&lt;='Model Data Inputs'!$B$175,$F82="T"),$I82,IF($G82="E",'Model Data Inputs'!$B$176+$H82/'Model Data Inputs'!$B$179,IF($G82="M",'Model Data Inputs'!$B$177+$H82/'Model Data Inputs'!$B$179,IF($G82="H",'Model Data Inputs'!$B$178+$H82/'Model Data Inputs'!$B$179,IF($G82="N/A",0,$I82)))))</f>
        <v>48.9</v>
      </c>
      <c r="K82" s="300">
        <f t="shared" si="2"/>
        <v>48.9</v>
      </c>
      <c r="L82" s="300">
        <f>$K82*'Model Data Inputs'!$B$168</f>
        <v>4547.7</v>
      </c>
      <c r="M82" s="300">
        <f>$L82/'Model Data Inputs'!$B$169</f>
        <v>2.2647908366533862</v>
      </c>
      <c r="N82" s="300">
        <f>IF($G82="E",$M82*('Model Data Inputs'!$B$171-1),IF($G82="M",$M82*('Model Data Inputs'!$B$172-1),IF($G82="H",$M82*('Model Data Inputs'!$B$173-1),$M82*('Model Data Inputs'!$B$170-1))))</f>
        <v>3.3971862549800793</v>
      </c>
      <c r="O82" s="300">
        <f t="shared" si="3"/>
        <v>5.6619770916334655</v>
      </c>
    </row>
    <row r="83" spans="1:15" s="40" customFormat="1" x14ac:dyDescent="0.2">
      <c r="A83" s="20" t="s">
        <v>24</v>
      </c>
      <c r="B83" s="20" t="s">
        <v>25</v>
      </c>
      <c r="C83" s="20" t="s">
        <v>1346</v>
      </c>
      <c r="D83" s="20" t="s">
        <v>1347</v>
      </c>
      <c r="E83" s="298">
        <v>29204</v>
      </c>
      <c r="F83" s="138" t="s">
        <v>1159</v>
      </c>
      <c r="G83" s="138">
        <v>0</v>
      </c>
      <c r="H83" s="299" t="s">
        <v>1191</v>
      </c>
      <c r="I83" s="300">
        <v>3.5</v>
      </c>
      <c r="J83" s="300">
        <f>IF(OR($E83&lt;='Model Data Inputs'!$B$175,$F83="T"),$I83,IF($G83="E",'Model Data Inputs'!$B$176+$H83/'Model Data Inputs'!$B$179,IF($G83="M",'Model Data Inputs'!$B$177+$H83/'Model Data Inputs'!$B$179,IF($G83="H",'Model Data Inputs'!$B$178+$H83/'Model Data Inputs'!$B$179,IF($G83="N/A",0,$I83)))))</f>
        <v>3.5</v>
      </c>
      <c r="K83" s="300">
        <f t="shared" si="2"/>
        <v>0</v>
      </c>
      <c r="L83" s="300">
        <f>$K83*'Model Data Inputs'!$B$168</f>
        <v>0</v>
      </c>
      <c r="M83" s="300">
        <f>$L83/'Model Data Inputs'!$B$169</f>
        <v>0</v>
      </c>
      <c r="N83" s="300">
        <f>IF($G83="E",$M83*('Model Data Inputs'!$B$171-1),IF($G83="M",$M83*('Model Data Inputs'!$B$172-1),IF($G83="H",$M83*('Model Data Inputs'!$B$173-1),$M83*('Model Data Inputs'!$B$170-1))))</f>
        <v>0</v>
      </c>
      <c r="O83" s="300">
        <f t="shared" si="3"/>
        <v>0</v>
      </c>
    </row>
    <row r="84" spans="1:15" s="40" customFormat="1" x14ac:dyDescent="0.2">
      <c r="A84" s="20" t="s">
        <v>24</v>
      </c>
      <c r="B84" s="20" t="s">
        <v>25</v>
      </c>
      <c r="C84" s="20" t="s">
        <v>1348</v>
      </c>
      <c r="D84" s="20" t="s">
        <v>1349</v>
      </c>
      <c r="E84" s="298">
        <v>27928</v>
      </c>
      <c r="F84" s="138" t="s">
        <v>1159</v>
      </c>
      <c r="G84" s="138">
        <v>0</v>
      </c>
      <c r="H84" s="299" t="s">
        <v>1191</v>
      </c>
      <c r="I84" s="300">
        <v>4.62</v>
      </c>
      <c r="J84" s="300">
        <f>IF(OR($E84&lt;='Model Data Inputs'!$B$175,$F84="T"),$I84,IF($G84="E",'Model Data Inputs'!$B$176+$H84/'Model Data Inputs'!$B$179,IF($G84="M",'Model Data Inputs'!$B$177+$H84/'Model Data Inputs'!$B$179,IF($G84="H",'Model Data Inputs'!$B$178+$H84/'Model Data Inputs'!$B$179,IF($G84="N/A",0,$I84)))))</f>
        <v>4.62</v>
      </c>
      <c r="K84" s="300">
        <f t="shared" si="2"/>
        <v>0</v>
      </c>
      <c r="L84" s="300">
        <f>$K84*'Model Data Inputs'!$B$168</f>
        <v>0</v>
      </c>
      <c r="M84" s="300">
        <f>$L84/'Model Data Inputs'!$B$169</f>
        <v>0</v>
      </c>
      <c r="N84" s="300">
        <f>IF($G84="E",$M84*('Model Data Inputs'!$B$171-1),IF($G84="M",$M84*('Model Data Inputs'!$B$172-1),IF($G84="H",$M84*('Model Data Inputs'!$B$173-1),$M84*('Model Data Inputs'!$B$170-1))))</f>
        <v>0</v>
      </c>
      <c r="O84" s="300">
        <f t="shared" si="3"/>
        <v>0</v>
      </c>
    </row>
    <row r="85" spans="1:15" s="40" customFormat="1" x14ac:dyDescent="0.2">
      <c r="A85" s="20" t="s">
        <v>24</v>
      </c>
      <c r="B85" s="20" t="s">
        <v>25</v>
      </c>
      <c r="C85" s="20" t="s">
        <v>1350</v>
      </c>
      <c r="D85" s="20" t="s">
        <v>1351</v>
      </c>
      <c r="E85" s="298">
        <v>30033</v>
      </c>
      <c r="F85" s="138" t="s">
        <v>1159</v>
      </c>
      <c r="G85" s="138" t="s">
        <v>1228</v>
      </c>
      <c r="H85" s="299">
        <f>'School Level ADM'!S59</f>
        <v>1060.5885000000001</v>
      </c>
      <c r="I85" s="300">
        <v>56.893999999999998</v>
      </c>
      <c r="J85" s="300">
        <f>IF(OR($E85&lt;='Model Data Inputs'!$B$175,$F85="T"),$I85,IF($G85="E",'Model Data Inputs'!$B$176+$H85/'Model Data Inputs'!$B$179,IF($G85="M",'Model Data Inputs'!$B$177+$H85/'Model Data Inputs'!$B$179,IF($G85="H",'Model Data Inputs'!$B$178+$H85/'Model Data Inputs'!$B$179,IF($G85="N/A",0,$I85)))))</f>
        <v>56.893999999999998</v>
      </c>
      <c r="K85" s="300">
        <f t="shared" si="2"/>
        <v>56.893999999999998</v>
      </c>
      <c r="L85" s="300">
        <f>$K85*'Model Data Inputs'!$B$168</f>
        <v>5291.1419999999998</v>
      </c>
      <c r="M85" s="300">
        <f>$L85/'Model Data Inputs'!$B$169</f>
        <v>2.635030876494024</v>
      </c>
      <c r="N85" s="300">
        <f>IF($G85="E",$M85*('Model Data Inputs'!$B$171-1),IF($G85="M",$M85*('Model Data Inputs'!$B$172-1),IF($G85="H",$M85*('Model Data Inputs'!$B$173-1),$M85*('Model Data Inputs'!$B$170-1))))</f>
        <v>3.9525463147410358</v>
      </c>
      <c r="O85" s="300">
        <f t="shared" si="3"/>
        <v>6.5875771912350594</v>
      </c>
    </row>
    <row r="86" spans="1:15" s="40" customFormat="1" x14ac:dyDescent="0.2">
      <c r="A86" s="20" t="s">
        <v>24</v>
      </c>
      <c r="B86" s="20" t="s">
        <v>25</v>
      </c>
      <c r="C86" s="20" t="s">
        <v>1352</v>
      </c>
      <c r="D86" s="20" t="s">
        <v>1353</v>
      </c>
      <c r="E86" s="298">
        <v>39248</v>
      </c>
      <c r="F86" s="138" t="s">
        <v>1159</v>
      </c>
      <c r="G86" s="138" t="s">
        <v>1205</v>
      </c>
      <c r="H86" s="299">
        <f>'School Level ADM'!S44</f>
        <v>23.636333333333333</v>
      </c>
      <c r="I86" s="300">
        <v>7.0220000000000002</v>
      </c>
      <c r="J86" s="300">
        <f>IF(OR($E86&lt;='Model Data Inputs'!$B$175,$F86="T"),$I86,IF($G86="E",'Model Data Inputs'!$B$176+$H86/'Model Data Inputs'!$B$179,IF($G86="M",'Model Data Inputs'!$B$177+$H86/'Model Data Inputs'!$B$179,IF($G86="H",'Model Data Inputs'!$B$178+$H86/'Model Data Inputs'!$B$179,IF($G86="N/A",0,$I86)))))</f>
        <v>10.236363333333333</v>
      </c>
      <c r="K86" s="300">
        <f t="shared" si="2"/>
        <v>7.0220000000000002</v>
      </c>
      <c r="L86" s="300">
        <f>$K86*'Model Data Inputs'!$B$168</f>
        <v>653.04600000000005</v>
      </c>
      <c r="M86" s="300">
        <f>$L86/'Model Data Inputs'!$B$169</f>
        <v>0.32522211155378489</v>
      </c>
      <c r="N86" s="300">
        <f>IF($G86="E",$M86*('Model Data Inputs'!$B$171-1),IF($G86="M",$M86*('Model Data Inputs'!$B$172-1),IF($G86="H",$M86*('Model Data Inputs'!$B$173-1),$M86*('Model Data Inputs'!$B$170-1))))</f>
        <v>0.16261105577689244</v>
      </c>
      <c r="O86" s="300">
        <f t="shared" si="3"/>
        <v>0.48783316733067733</v>
      </c>
    </row>
    <row r="87" spans="1:15" s="40" customFormat="1" x14ac:dyDescent="0.2">
      <c r="A87" s="20" t="s">
        <v>24</v>
      </c>
      <c r="B87" s="20" t="s">
        <v>25</v>
      </c>
      <c r="C87" s="20" t="s">
        <v>1354</v>
      </c>
      <c r="D87" s="20" t="s">
        <v>1355</v>
      </c>
      <c r="E87" s="298">
        <v>33915</v>
      </c>
      <c r="F87" s="138" t="s">
        <v>1159</v>
      </c>
      <c r="G87" s="138">
        <v>0</v>
      </c>
      <c r="H87" s="299" t="s">
        <v>1191</v>
      </c>
      <c r="I87" s="300">
        <v>40</v>
      </c>
      <c r="J87" s="300">
        <f>IF(OR($E87&lt;='Model Data Inputs'!$B$175,$F87="T"),$I87,IF($G87="E",'Model Data Inputs'!$B$176+$H87/'Model Data Inputs'!$B$179,IF($G87="M",'Model Data Inputs'!$B$177+$H87/'Model Data Inputs'!$B$179,IF($G87="H",'Model Data Inputs'!$B$178+$H87/'Model Data Inputs'!$B$179,IF($G87="N/A",0,$I87)))))</f>
        <v>40</v>
      </c>
      <c r="K87" s="300">
        <f t="shared" si="2"/>
        <v>0</v>
      </c>
      <c r="L87" s="300">
        <f>$K87*'Model Data Inputs'!$B$168</f>
        <v>0</v>
      </c>
      <c r="M87" s="300">
        <f>$L87/'Model Data Inputs'!$B$169</f>
        <v>0</v>
      </c>
      <c r="N87" s="300">
        <f>IF($G87="E",$M87*('Model Data Inputs'!$B$171-1),IF($G87="M",$M87*('Model Data Inputs'!$B$172-1),IF($G87="H",$M87*('Model Data Inputs'!$B$173-1),$M87*('Model Data Inputs'!$B$170-1))))</f>
        <v>0</v>
      </c>
      <c r="O87" s="300">
        <f t="shared" si="3"/>
        <v>0</v>
      </c>
    </row>
    <row r="88" spans="1:15" s="40" customFormat="1" x14ac:dyDescent="0.2">
      <c r="A88" s="20" t="s">
        <v>24</v>
      </c>
      <c r="B88" s="20" t="s">
        <v>25</v>
      </c>
      <c r="C88" s="20" t="s">
        <v>1356</v>
      </c>
      <c r="D88" s="20" t="s">
        <v>1357</v>
      </c>
      <c r="E88" s="298">
        <v>29669</v>
      </c>
      <c r="F88" s="138" t="s">
        <v>1159</v>
      </c>
      <c r="G88" s="138">
        <v>0</v>
      </c>
      <c r="H88" s="299" t="s">
        <v>1191</v>
      </c>
      <c r="I88" s="300">
        <v>6.94</v>
      </c>
      <c r="J88" s="300">
        <f>IF(OR($E88&lt;='Model Data Inputs'!$B$175,$F88="T"),$I88,IF($G88="E",'Model Data Inputs'!$B$176+$H88/'Model Data Inputs'!$B$179,IF($G88="M",'Model Data Inputs'!$B$177+$H88/'Model Data Inputs'!$B$179,IF($G88="H",'Model Data Inputs'!$B$178+$H88/'Model Data Inputs'!$B$179,IF($G88="N/A",0,$I88)))))</f>
        <v>6.94</v>
      </c>
      <c r="K88" s="300">
        <f t="shared" si="2"/>
        <v>0</v>
      </c>
      <c r="L88" s="300">
        <f>$K88*'Model Data Inputs'!$B$168</f>
        <v>0</v>
      </c>
      <c r="M88" s="300">
        <f>$L88/'Model Data Inputs'!$B$169</f>
        <v>0</v>
      </c>
      <c r="N88" s="300">
        <f>IF($G88="E",$M88*('Model Data Inputs'!$B$171-1),IF($G88="M",$M88*('Model Data Inputs'!$B$172-1),IF($G88="H",$M88*('Model Data Inputs'!$B$173-1),$M88*('Model Data Inputs'!$B$170-1))))</f>
        <v>0</v>
      </c>
      <c r="O88" s="300">
        <f t="shared" si="3"/>
        <v>0</v>
      </c>
    </row>
    <row r="89" spans="1:15" s="40" customFormat="1" x14ac:dyDescent="0.2">
      <c r="A89" s="20" t="s">
        <v>24</v>
      </c>
      <c r="B89" s="20" t="s">
        <v>25</v>
      </c>
      <c r="C89" s="20" t="s">
        <v>1358</v>
      </c>
      <c r="D89" s="20" t="s">
        <v>1359</v>
      </c>
      <c r="E89" s="298">
        <v>35509</v>
      </c>
      <c r="F89" s="138" t="s">
        <v>1159</v>
      </c>
      <c r="G89" s="138" t="s">
        <v>1198</v>
      </c>
      <c r="H89" s="299">
        <f>'School Level ADM'!S46</f>
        <v>404.54166666666669</v>
      </c>
      <c r="I89" s="300">
        <v>16.645</v>
      </c>
      <c r="J89" s="300">
        <f>IF(OR($E89&lt;='Model Data Inputs'!$B$175,$F89="T"),$I89,IF($G89="E",'Model Data Inputs'!$B$176+$H89/'Model Data Inputs'!$B$179,IF($G89="M",'Model Data Inputs'!$B$177+$H89/'Model Data Inputs'!$B$179,IF($G89="H",'Model Data Inputs'!$B$178+$H89/'Model Data Inputs'!$B$179,IF($G89="N/A",0,$I89)))))</f>
        <v>16.645</v>
      </c>
      <c r="K89" s="300">
        <f t="shared" si="2"/>
        <v>16.645</v>
      </c>
      <c r="L89" s="300">
        <f>$K89*'Model Data Inputs'!$B$168</f>
        <v>1547.9849999999999</v>
      </c>
      <c r="M89" s="300">
        <f>$L89/'Model Data Inputs'!$B$169</f>
        <v>0.77090886454183261</v>
      </c>
      <c r="N89" s="300">
        <f>IF($G89="E",$M89*('Model Data Inputs'!$B$171-1),IF($G89="M",$M89*('Model Data Inputs'!$B$172-1),IF($G89="H",$M89*('Model Data Inputs'!$B$173-1),$M89*('Model Data Inputs'!$B$170-1))))</f>
        <v>0</v>
      </c>
      <c r="O89" s="300">
        <f t="shared" si="3"/>
        <v>0.77090886454183261</v>
      </c>
    </row>
    <row r="90" spans="1:15" s="40" customFormat="1" x14ac:dyDescent="0.2">
      <c r="A90" s="20" t="s">
        <v>24</v>
      </c>
      <c r="B90" s="20" t="s">
        <v>25</v>
      </c>
      <c r="C90" s="20" t="s">
        <v>1360</v>
      </c>
      <c r="D90" s="20" t="s">
        <v>1361</v>
      </c>
      <c r="E90" s="298">
        <v>38842</v>
      </c>
      <c r="F90" s="138" t="s">
        <v>1159</v>
      </c>
      <c r="G90" s="138" t="s">
        <v>1198</v>
      </c>
      <c r="H90" s="299">
        <f>'School Level ADM'!S39</f>
        <v>426.74000000000007</v>
      </c>
      <c r="I90" s="300">
        <v>19.149000000000001</v>
      </c>
      <c r="J90" s="300">
        <f>IF(OR($E90&lt;='Model Data Inputs'!$B$175,$F90="T"),$I90,IF($G90="E",'Model Data Inputs'!$B$176+$H90/'Model Data Inputs'!$B$179,IF($G90="M",'Model Data Inputs'!$B$177+$H90/'Model Data Inputs'!$B$179,IF($G90="H",'Model Data Inputs'!$B$178+$H90/'Model Data Inputs'!$B$179,IF($G90="N/A",0,$I90)))))</f>
        <v>8.2674000000000003</v>
      </c>
      <c r="K90" s="300">
        <f t="shared" si="2"/>
        <v>8.2674000000000003</v>
      </c>
      <c r="L90" s="300">
        <f>$K90*'Model Data Inputs'!$B$168</f>
        <v>768.8682</v>
      </c>
      <c r="M90" s="300">
        <f>$L90/'Model Data Inputs'!$B$169</f>
        <v>0.38290249003984062</v>
      </c>
      <c r="N90" s="300">
        <f>IF($G90="E",$M90*('Model Data Inputs'!$B$171-1),IF($G90="M",$M90*('Model Data Inputs'!$B$172-1),IF($G90="H",$M90*('Model Data Inputs'!$B$173-1),$M90*('Model Data Inputs'!$B$170-1))))</f>
        <v>0</v>
      </c>
      <c r="O90" s="300">
        <f t="shared" si="3"/>
        <v>0.38290249003984062</v>
      </c>
    </row>
    <row r="91" spans="1:15" s="40" customFormat="1" x14ac:dyDescent="0.2">
      <c r="A91" s="20" t="s">
        <v>24</v>
      </c>
      <c r="B91" s="20" t="s">
        <v>25</v>
      </c>
      <c r="C91" s="20" t="s">
        <v>1362</v>
      </c>
      <c r="D91" s="20" t="s">
        <v>1363</v>
      </c>
      <c r="E91" s="298">
        <v>38428</v>
      </c>
      <c r="F91" s="138" t="s">
        <v>1159</v>
      </c>
      <c r="G91" s="138" t="s">
        <v>1191</v>
      </c>
      <c r="H91" s="299" t="s">
        <v>1191</v>
      </c>
      <c r="I91" s="300">
        <v>0.64300000000000002</v>
      </c>
      <c r="J91" s="300">
        <f>IF(OR($E91&lt;='Model Data Inputs'!$B$175,$F91="T"),$I91,IF($G91="E",'Model Data Inputs'!$B$176+$H91/'Model Data Inputs'!$B$179,IF($G91="M",'Model Data Inputs'!$B$177+$H91/'Model Data Inputs'!$B$179,IF($G91="H",'Model Data Inputs'!$B$178+$H91/'Model Data Inputs'!$B$179,IF($G91="N/A",0,$I91)))))</f>
        <v>0</v>
      </c>
      <c r="K91" s="300">
        <f t="shared" si="2"/>
        <v>0</v>
      </c>
      <c r="L91" s="300">
        <f>$K91*'Model Data Inputs'!$B$168</f>
        <v>0</v>
      </c>
      <c r="M91" s="300">
        <f>$L91/'Model Data Inputs'!$B$169</f>
        <v>0</v>
      </c>
      <c r="N91" s="300">
        <f>IF($G91="E",$M91*('Model Data Inputs'!$B$171-1),IF($G91="M",$M91*('Model Data Inputs'!$B$172-1),IF($G91="H",$M91*('Model Data Inputs'!$B$173-1),$M91*('Model Data Inputs'!$B$170-1))))</f>
        <v>0</v>
      </c>
      <c r="O91" s="300">
        <f t="shared" si="3"/>
        <v>0</v>
      </c>
    </row>
    <row r="92" spans="1:15" s="40" customFormat="1" x14ac:dyDescent="0.2">
      <c r="A92" s="20" t="s">
        <v>24</v>
      </c>
      <c r="B92" s="20" t="s">
        <v>25</v>
      </c>
      <c r="C92" s="20" t="s">
        <v>1364</v>
      </c>
      <c r="D92" s="20" t="s">
        <v>1365</v>
      </c>
      <c r="E92" s="298">
        <v>39644</v>
      </c>
      <c r="F92" s="138" t="s">
        <v>1159</v>
      </c>
      <c r="G92" s="138" t="s">
        <v>1191</v>
      </c>
      <c r="H92" s="299" t="s">
        <v>1191</v>
      </c>
      <c r="I92" s="300">
        <v>37.89</v>
      </c>
      <c r="J92" s="300">
        <f>IF(OR($E92&lt;='Model Data Inputs'!$B$175,$F92="T"),$I92,IF($G92="E",'Model Data Inputs'!$B$176+$H92/'Model Data Inputs'!$B$179,IF($G92="M",'Model Data Inputs'!$B$177+$H92/'Model Data Inputs'!$B$179,IF($G92="H",'Model Data Inputs'!$B$178+$H92/'Model Data Inputs'!$B$179,IF($G92="N/A",0,$I92)))))</f>
        <v>0</v>
      </c>
      <c r="K92" s="300">
        <f t="shared" si="2"/>
        <v>0</v>
      </c>
      <c r="L92" s="300">
        <f>$K92*'Model Data Inputs'!$B$168</f>
        <v>0</v>
      </c>
      <c r="M92" s="300">
        <f>$L92/'Model Data Inputs'!$B$169</f>
        <v>0</v>
      </c>
      <c r="N92" s="300">
        <f>IF($G92="E",$M92*('Model Data Inputs'!$B$171-1),IF($G92="M",$M92*('Model Data Inputs'!$B$172-1),IF($G92="H",$M92*('Model Data Inputs'!$B$173-1),$M92*('Model Data Inputs'!$B$170-1))))</f>
        <v>0</v>
      </c>
      <c r="O92" s="300">
        <f t="shared" si="3"/>
        <v>0</v>
      </c>
    </row>
    <row r="93" spans="1:15" s="40" customFormat="1" x14ac:dyDescent="0.2">
      <c r="A93" s="20" t="s">
        <v>24</v>
      </c>
      <c r="B93" s="20" t="s">
        <v>25</v>
      </c>
      <c r="C93" s="20" t="s">
        <v>1366</v>
      </c>
      <c r="D93" s="20" t="s">
        <v>1367</v>
      </c>
      <c r="E93" s="298">
        <v>40360</v>
      </c>
      <c r="F93" s="138" t="s">
        <v>1159</v>
      </c>
      <c r="G93" s="138" t="s">
        <v>1191</v>
      </c>
      <c r="H93" s="299" t="s">
        <v>1191</v>
      </c>
      <c r="I93" s="300">
        <v>2.48</v>
      </c>
      <c r="J93" s="300">
        <f>IF(OR($E93&lt;='Model Data Inputs'!$B$175,$F93="T"),$I93,IF($G93="E",'Model Data Inputs'!$B$176+$H93/'Model Data Inputs'!$B$179,IF($G93="M",'Model Data Inputs'!$B$177+$H93/'Model Data Inputs'!$B$179,IF($G93="H",'Model Data Inputs'!$B$178+$H93/'Model Data Inputs'!$B$179,IF($G93="N/A",0,$I93)))))</f>
        <v>0</v>
      </c>
      <c r="K93" s="300">
        <f t="shared" si="2"/>
        <v>0</v>
      </c>
      <c r="L93" s="300">
        <f>$K93*'Model Data Inputs'!$B$168</f>
        <v>0</v>
      </c>
      <c r="M93" s="300">
        <f>$L93/'Model Data Inputs'!$B$169</f>
        <v>0</v>
      </c>
      <c r="N93" s="300">
        <f>IF($G93="E",$M93*('Model Data Inputs'!$B$171-1),IF($G93="M",$M93*('Model Data Inputs'!$B$172-1),IF($G93="H",$M93*('Model Data Inputs'!$B$173-1),$M93*('Model Data Inputs'!$B$170-1))))</f>
        <v>0</v>
      </c>
      <c r="O93" s="300">
        <f t="shared" si="3"/>
        <v>0</v>
      </c>
    </row>
    <row r="94" spans="1:15" s="40" customFormat="1" x14ac:dyDescent="0.2">
      <c r="A94" s="20" t="s">
        <v>24</v>
      </c>
      <c r="B94" s="20" t="s">
        <v>25</v>
      </c>
      <c r="C94" s="20" t="s">
        <v>1368</v>
      </c>
      <c r="D94" s="20" t="s">
        <v>1369</v>
      </c>
      <c r="E94" s="298">
        <v>40360</v>
      </c>
      <c r="F94" s="138" t="s">
        <v>1159</v>
      </c>
      <c r="G94" s="138" t="s">
        <v>1191</v>
      </c>
      <c r="H94" s="299" t="s">
        <v>1191</v>
      </c>
      <c r="I94" s="300">
        <v>4.59</v>
      </c>
      <c r="J94" s="300">
        <f>IF(OR($E94&lt;='Model Data Inputs'!$B$175,$F94="T"),$I94,IF($G94="E",'Model Data Inputs'!$B$176+$H94/'Model Data Inputs'!$B$179,IF($G94="M",'Model Data Inputs'!$B$177+$H94/'Model Data Inputs'!$B$179,IF($G94="H",'Model Data Inputs'!$B$178+$H94/'Model Data Inputs'!$B$179,IF($G94="N/A",0,$I94)))))</f>
        <v>0</v>
      </c>
      <c r="K94" s="300">
        <f t="shared" si="2"/>
        <v>0</v>
      </c>
      <c r="L94" s="300">
        <f>$K94*'Model Data Inputs'!$B$168</f>
        <v>0</v>
      </c>
      <c r="M94" s="300">
        <f>$L94/'Model Data Inputs'!$B$169</f>
        <v>0</v>
      </c>
      <c r="N94" s="300">
        <f>IF($G94="E",$M94*('Model Data Inputs'!$B$171-1),IF($G94="M",$M94*('Model Data Inputs'!$B$172-1),IF($G94="H",$M94*('Model Data Inputs'!$B$173-1),$M94*('Model Data Inputs'!$B$170-1))))</f>
        <v>0</v>
      </c>
      <c r="O94" s="300">
        <f t="shared" si="3"/>
        <v>0</v>
      </c>
    </row>
    <row r="95" spans="1:15" s="40" customFormat="1" x14ac:dyDescent="0.2">
      <c r="A95" s="20" t="s">
        <v>24</v>
      </c>
      <c r="B95" s="20" t="s">
        <v>25</v>
      </c>
      <c r="C95" s="20" t="s">
        <v>1370</v>
      </c>
      <c r="D95" s="20" t="s">
        <v>1371</v>
      </c>
      <c r="E95" s="298">
        <v>40577</v>
      </c>
      <c r="F95" s="138" t="s">
        <v>1159</v>
      </c>
      <c r="G95" s="138" t="s">
        <v>1198</v>
      </c>
      <c r="H95" s="299">
        <f>'School Level ADM'!S52</f>
        <v>440.952</v>
      </c>
      <c r="I95" s="300">
        <v>15.147</v>
      </c>
      <c r="J95" s="300">
        <f>IF(OR($E95&lt;='Model Data Inputs'!$B$175,$F95="T"),$I95,IF($G95="E",'Model Data Inputs'!$B$176+$H95/'Model Data Inputs'!$B$179,IF($G95="M",'Model Data Inputs'!$B$177+$H95/'Model Data Inputs'!$B$179,IF($G95="H",'Model Data Inputs'!$B$178+$H95/'Model Data Inputs'!$B$179,IF($G95="N/A",0,$I95)))))</f>
        <v>8.4095200000000006</v>
      </c>
      <c r="K95" s="300">
        <f t="shared" si="2"/>
        <v>8.4095200000000006</v>
      </c>
      <c r="L95" s="300">
        <f>$K95*'Model Data Inputs'!$B$168</f>
        <v>782.08536000000004</v>
      </c>
      <c r="M95" s="300">
        <f>$L95/'Model Data Inputs'!$B$169</f>
        <v>0.38948474103585662</v>
      </c>
      <c r="N95" s="300">
        <f>IF($G95="E",$M95*('Model Data Inputs'!$B$171-1),IF($G95="M",$M95*('Model Data Inputs'!$B$172-1),IF($G95="H",$M95*('Model Data Inputs'!$B$173-1),$M95*('Model Data Inputs'!$B$170-1))))</f>
        <v>0</v>
      </c>
      <c r="O95" s="300">
        <f t="shared" si="3"/>
        <v>0.38948474103585662</v>
      </c>
    </row>
    <row r="96" spans="1:15" s="40" customFormat="1" x14ac:dyDescent="0.2">
      <c r="A96" s="20" t="s">
        <v>24</v>
      </c>
      <c r="B96" s="20" t="s">
        <v>25</v>
      </c>
      <c r="C96" s="20" t="s">
        <v>1372</v>
      </c>
      <c r="D96" s="20" t="s">
        <v>1373</v>
      </c>
      <c r="E96" s="298">
        <v>41207</v>
      </c>
      <c r="F96" s="138" t="s">
        <v>1159</v>
      </c>
      <c r="G96" s="138" t="s">
        <v>1198</v>
      </c>
      <c r="H96" s="299">
        <f>'School Level ADM'!S42</f>
        <v>466.08500000000004</v>
      </c>
      <c r="I96" s="300">
        <v>10.896000000000001</v>
      </c>
      <c r="J96" s="300">
        <f>IF(OR($E96&lt;='Model Data Inputs'!$B$175,$F96="T"),$I96,IF($G96="E",'Model Data Inputs'!$B$176+$H96/'Model Data Inputs'!$B$179,IF($G96="M",'Model Data Inputs'!$B$177+$H96/'Model Data Inputs'!$B$179,IF($G96="H",'Model Data Inputs'!$B$178+$H96/'Model Data Inputs'!$B$179,IF($G96="N/A",0,$I96)))))</f>
        <v>8.6608499999999999</v>
      </c>
      <c r="K96" s="300">
        <f t="shared" si="2"/>
        <v>8.6608499999999999</v>
      </c>
      <c r="L96" s="300">
        <f>$K96*'Model Data Inputs'!$B$168</f>
        <v>805.45905000000005</v>
      </c>
      <c r="M96" s="300">
        <f>$L96/'Model Data Inputs'!$B$169</f>
        <v>0.40112502490039842</v>
      </c>
      <c r="N96" s="300">
        <f>IF($G96="E",$M96*('Model Data Inputs'!$B$171-1),IF($G96="M",$M96*('Model Data Inputs'!$B$172-1),IF($G96="H",$M96*('Model Data Inputs'!$B$173-1),$M96*('Model Data Inputs'!$B$170-1))))</f>
        <v>0</v>
      </c>
      <c r="O96" s="300">
        <f t="shared" si="3"/>
        <v>0.40112502490039842</v>
      </c>
    </row>
    <row r="97" spans="1:15" s="40" customFormat="1" x14ac:dyDescent="0.2">
      <c r="A97" s="20" t="s">
        <v>24</v>
      </c>
      <c r="B97" s="20" t="s">
        <v>25</v>
      </c>
      <c r="C97" s="20" t="s">
        <v>1374</v>
      </c>
      <c r="D97" s="20" t="s">
        <v>1375</v>
      </c>
      <c r="E97" s="298">
        <v>35509</v>
      </c>
      <c r="F97" s="138" t="s">
        <v>1159</v>
      </c>
      <c r="G97" s="138" t="s">
        <v>1191</v>
      </c>
      <c r="H97" s="299" t="s">
        <v>1191</v>
      </c>
      <c r="I97" s="300">
        <v>16.645</v>
      </c>
      <c r="J97" s="300">
        <f>IF(OR($E97&lt;='Model Data Inputs'!$B$175,$F97="T"),$I97,IF($G97="E",'Model Data Inputs'!$B$176+$H97/'Model Data Inputs'!$B$179,IF($G97="M",'Model Data Inputs'!$B$177+$H97/'Model Data Inputs'!$B$179,IF($G97="H",'Model Data Inputs'!$B$178+$H97/'Model Data Inputs'!$B$179,IF($G97="N/A",0,$I97)))))</f>
        <v>16.645</v>
      </c>
      <c r="K97" s="300">
        <f t="shared" si="2"/>
        <v>0</v>
      </c>
      <c r="L97" s="300">
        <f>$K97*'Model Data Inputs'!$B$168</f>
        <v>0</v>
      </c>
      <c r="M97" s="300">
        <f>$L97/'Model Data Inputs'!$B$169</f>
        <v>0</v>
      </c>
      <c r="N97" s="300">
        <f>IF($G97="E",$M97*('Model Data Inputs'!$B$171-1),IF($G97="M",$M97*('Model Data Inputs'!$B$172-1),IF($G97="H",$M97*('Model Data Inputs'!$B$173-1),$M97*('Model Data Inputs'!$B$170-1))))</f>
        <v>0</v>
      </c>
      <c r="O97" s="300">
        <f t="shared" si="3"/>
        <v>0</v>
      </c>
    </row>
    <row r="98" spans="1:15" s="40" customFormat="1" x14ac:dyDescent="0.2">
      <c r="A98" s="20" t="s">
        <v>24</v>
      </c>
      <c r="B98" s="20" t="s">
        <v>25</v>
      </c>
      <c r="C98" s="20" t="s">
        <v>1376</v>
      </c>
      <c r="D98" s="20" t="s">
        <v>1377</v>
      </c>
      <c r="E98" s="298">
        <v>41015</v>
      </c>
      <c r="F98" s="138" t="s">
        <v>1159</v>
      </c>
      <c r="G98" s="138" t="s">
        <v>1228</v>
      </c>
      <c r="H98" s="299">
        <f>'School Level ADM'!S58</f>
        <v>137.51166666666666</v>
      </c>
      <c r="I98" s="300">
        <v>10.06</v>
      </c>
      <c r="J98" s="300">
        <f>IF(OR($E98&lt;='Model Data Inputs'!$B$175,$F98="T"),$I98,IF($G98="E",'Model Data Inputs'!$B$176+$H98/'Model Data Inputs'!$B$179,IF($G98="M",'Model Data Inputs'!$B$177+$H98/'Model Data Inputs'!$B$179,IF($G98="H",'Model Data Inputs'!$B$178+$H98/'Model Data Inputs'!$B$179,IF($G98="N/A",0,$I98)))))</f>
        <v>21.375116666666667</v>
      </c>
      <c r="K98" s="300">
        <f t="shared" si="2"/>
        <v>10.06</v>
      </c>
      <c r="L98" s="300">
        <f>$K98*'Model Data Inputs'!$B$168</f>
        <v>935.58</v>
      </c>
      <c r="M98" s="300">
        <f>$L98/'Model Data Inputs'!$B$169</f>
        <v>0.46592629482071718</v>
      </c>
      <c r="N98" s="300">
        <f>IF($G98="E",$M98*('Model Data Inputs'!$B$171-1),IF($G98="M",$M98*('Model Data Inputs'!$B$172-1),IF($G98="H",$M98*('Model Data Inputs'!$B$173-1),$M98*('Model Data Inputs'!$B$170-1))))</f>
        <v>0.69888944223107574</v>
      </c>
      <c r="O98" s="300">
        <f t="shared" si="3"/>
        <v>1.1648157370517929</v>
      </c>
    </row>
    <row r="99" spans="1:15" s="40" customFormat="1" x14ac:dyDescent="0.2">
      <c r="A99" s="20" t="s">
        <v>24</v>
      </c>
      <c r="B99" s="20" t="s">
        <v>25</v>
      </c>
      <c r="C99" s="20" t="s">
        <v>1378</v>
      </c>
      <c r="D99" s="20" t="s">
        <v>1379</v>
      </c>
      <c r="E99" s="298">
        <v>41760</v>
      </c>
      <c r="F99" s="138" t="s">
        <v>1159</v>
      </c>
      <c r="G99" s="138" t="s">
        <v>1191</v>
      </c>
      <c r="H99" s="299" t="s">
        <v>1191</v>
      </c>
      <c r="I99" s="300">
        <v>9.7799999999999994</v>
      </c>
      <c r="J99" s="300">
        <f>IF(OR($E99&lt;='Model Data Inputs'!$B$175,$F99="T"),$I99,IF($G99="E",'Model Data Inputs'!$B$176+$H99/'Model Data Inputs'!$B$179,IF($G99="M",'Model Data Inputs'!$B$177+$H99/'Model Data Inputs'!$B$179,IF($G99="H",'Model Data Inputs'!$B$178+$H99/'Model Data Inputs'!$B$179,IF($G99="N/A",0,$I99)))))</f>
        <v>0</v>
      </c>
      <c r="K99" s="300">
        <f t="shared" si="2"/>
        <v>0</v>
      </c>
      <c r="L99" s="300">
        <f>$K99*'Model Data Inputs'!$B$168</f>
        <v>0</v>
      </c>
      <c r="M99" s="300">
        <f>$L99/'Model Data Inputs'!$B$169</f>
        <v>0</v>
      </c>
      <c r="N99" s="300">
        <f>IF($G99="E",$M99*('Model Data Inputs'!$B$171-1),IF($G99="M",$M99*('Model Data Inputs'!$B$172-1),IF($G99="H",$M99*('Model Data Inputs'!$B$173-1),$M99*('Model Data Inputs'!$B$170-1))))</f>
        <v>0</v>
      </c>
      <c r="O99" s="300">
        <f t="shared" si="3"/>
        <v>0</v>
      </c>
    </row>
    <row r="100" spans="1:15" s="40" customFormat="1" x14ac:dyDescent="0.2">
      <c r="A100" s="20" t="s">
        <v>26</v>
      </c>
      <c r="B100" s="20" t="s">
        <v>27</v>
      </c>
      <c r="C100" s="20" t="s">
        <v>1380</v>
      </c>
      <c r="D100" s="20" t="s">
        <v>1381</v>
      </c>
      <c r="E100" s="298">
        <v>24552</v>
      </c>
      <c r="F100" s="138" t="s">
        <v>1159</v>
      </c>
      <c r="G100" s="138">
        <v>0</v>
      </c>
      <c r="H100" s="299" t="s">
        <v>1191</v>
      </c>
      <c r="I100" s="300">
        <v>10.16</v>
      </c>
      <c r="J100" s="300">
        <f>IF(OR($E100&lt;='Model Data Inputs'!$B$175,$F100="T"),$I100,IF($G100="E",'Model Data Inputs'!$B$176+$H100/'Model Data Inputs'!$B$179,IF($G100="M",'Model Data Inputs'!$B$177+$H100/'Model Data Inputs'!$B$179,IF($G100="H",'Model Data Inputs'!$B$178+$H100/'Model Data Inputs'!$B$179,IF($G100="N/A",0,$I100)))))</f>
        <v>10.16</v>
      </c>
      <c r="K100" s="300">
        <f t="shared" si="2"/>
        <v>0</v>
      </c>
      <c r="L100" s="300">
        <f>$K100*'Model Data Inputs'!$B$168</f>
        <v>0</v>
      </c>
      <c r="M100" s="300">
        <f>$L100/'Model Data Inputs'!$B$169</f>
        <v>0</v>
      </c>
      <c r="N100" s="300">
        <f>IF($G100="E",$M100*('Model Data Inputs'!$B$171-1),IF($G100="M",$M100*('Model Data Inputs'!$B$172-1),IF($G100="H",$M100*('Model Data Inputs'!$B$173-1),$M100*('Model Data Inputs'!$B$170-1))))</f>
        <v>0</v>
      </c>
      <c r="O100" s="300">
        <f t="shared" si="3"/>
        <v>0</v>
      </c>
    </row>
    <row r="101" spans="1:15" s="40" customFormat="1" x14ac:dyDescent="0.2">
      <c r="A101" s="20" t="s">
        <v>26</v>
      </c>
      <c r="B101" s="20" t="s">
        <v>27</v>
      </c>
      <c r="C101" s="20" t="s">
        <v>1382</v>
      </c>
      <c r="D101" s="20" t="s">
        <v>1383</v>
      </c>
      <c r="E101" s="298">
        <v>17622</v>
      </c>
      <c r="F101" s="138" t="s">
        <v>1159</v>
      </c>
      <c r="G101" s="138">
        <v>0</v>
      </c>
      <c r="H101" s="299" t="s">
        <v>1191</v>
      </c>
      <c r="I101" s="300">
        <v>1.74</v>
      </c>
      <c r="J101" s="300">
        <f>IF(OR($E101&lt;='Model Data Inputs'!$B$175,$F101="T"),$I101,IF($G101="E",'Model Data Inputs'!$B$176+$H101/'Model Data Inputs'!$B$179,IF($G101="M",'Model Data Inputs'!$B$177+$H101/'Model Data Inputs'!$B$179,IF($G101="H",'Model Data Inputs'!$B$178+$H101/'Model Data Inputs'!$B$179,IF($G101="N/A",0,$I101)))))</f>
        <v>1.74</v>
      </c>
      <c r="K101" s="300">
        <f t="shared" si="2"/>
        <v>0</v>
      </c>
      <c r="L101" s="300">
        <f>$K101*'Model Data Inputs'!$B$168</f>
        <v>0</v>
      </c>
      <c r="M101" s="300">
        <f>$L101/'Model Data Inputs'!$B$169</f>
        <v>0</v>
      </c>
      <c r="N101" s="300">
        <f>IF($G101="E",$M101*('Model Data Inputs'!$B$171-1),IF($G101="M",$M101*('Model Data Inputs'!$B$172-1),IF($G101="H",$M101*('Model Data Inputs'!$B$173-1),$M101*('Model Data Inputs'!$B$170-1))))</f>
        <v>0</v>
      </c>
      <c r="O101" s="300">
        <f t="shared" si="3"/>
        <v>0</v>
      </c>
    </row>
    <row r="102" spans="1:15" s="40" customFormat="1" x14ac:dyDescent="0.2">
      <c r="A102" s="20" t="s">
        <v>26</v>
      </c>
      <c r="B102" s="20" t="s">
        <v>27</v>
      </c>
      <c r="C102" s="20" t="s">
        <v>1384</v>
      </c>
      <c r="D102" s="20" t="s">
        <v>1385</v>
      </c>
      <c r="E102" s="298">
        <v>5296</v>
      </c>
      <c r="F102" s="138" t="s">
        <v>1159</v>
      </c>
      <c r="G102" s="138" t="s">
        <v>1228</v>
      </c>
      <c r="H102" s="299">
        <f>'School Level ADM'!S61</f>
        <v>183.35666666666668</v>
      </c>
      <c r="I102" s="300">
        <v>2.5</v>
      </c>
      <c r="J102" s="300">
        <f>IF(OR($E102&lt;='Model Data Inputs'!$B$175,$F102="T"),$I102,IF($G102="E",'Model Data Inputs'!$B$176+$H102/'Model Data Inputs'!$B$179,IF($G102="M",'Model Data Inputs'!$B$177+$H102/'Model Data Inputs'!$B$179,IF($G102="H",'Model Data Inputs'!$B$178+$H102/'Model Data Inputs'!$B$179,IF($G102="N/A",0,$I102)))))</f>
        <v>2.5</v>
      </c>
      <c r="K102" s="300">
        <f t="shared" si="2"/>
        <v>2.5</v>
      </c>
      <c r="L102" s="300">
        <f>$K102*'Model Data Inputs'!$B$168</f>
        <v>232.5</v>
      </c>
      <c r="M102" s="300">
        <f>$L102/'Model Data Inputs'!$B$169</f>
        <v>0.11578685258964143</v>
      </c>
      <c r="N102" s="300">
        <f>IF($G102="E",$M102*('Model Data Inputs'!$B$171-1),IF($G102="M",$M102*('Model Data Inputs'!$B$172-1),IF($G102="H",$M102*('Model Data Inputs'!$B$173-1),$M102*('Model Data Inputs'!$B$170-1))))</f>
        <v>0.17368027888446214</v>
      </c>
      <c r="O102" s="300">
        <f t="shared" si="3"/>
        <v>0.28946713147410358</v>
      </c>
    </row>
    <row r="103" spans="1:15" s="40" customFormat="1" x14ac:dyDescent="0.2">
      <c r="A103" s="20" t="s">
        <v>26</v>
      </c>
      <c r="B103" s="20" t="s">
        <v>27</v>
      </c>
      <c r="C103" s="20" t="s">
        <v>1386</v>
      </c>
      <c r="D103" s="20" t="s">
        <v>1387</v>
      </c>
      <c r="E103" s="298">
        <v>13377</v>
      </c>
      <c r="F103" s="138" t="s">
        <v>1159</v>
      </c>
      <c r="G103" s="138">
        <v>0</v>
      </c>
      <c r="H103" s="299" t="s">
        <v>1191</v>
      </c>
      <c r="I103" s="300">
        <v>0.47</v>
      </c>
      <c r="J103" s="300">
        <f>IF(OR($E103&lt;='Model Data Inputs'!$B$175,$F103="T"),$I103,IF($G103="E",'Model Data Inputs'!$B$176+$H103/'Model Data Inputs'!$B$179,IF($G103="M",'Model Data Inputs'!$B$177+$H103/'Model Data Inputs'!$B$179,IF($G103="H",'Model Data Inputs'!$B$178+$H103/'Model Data Inputs'!$B$179,IF($G103="N/A",0,$I103)))))</f>
        <v>0.47</v>
      </c>
      <c r="K103" s="300">
        <f t="shared" si="2"/>
        <v>0</v>
      </c>
      <c r="L103" s="300">
        <f>$K103*'Model Data Inputs'!$B$168</f>
        <v>0</v>
      </c>
      <c r="M103" s="300">
        <f>$L103/'Model Data Inputs'!$B$169</f>
        <v>0</v>
      </c>
      <c r="N103" s="300">
        <f>IF($G103="E",$M103*('Model Data Inputs'!$B$171-1),IF($G103="M",$M103*('Model Data Inputs'!$B$172-1),IF($G103="H",$M103*('Model Data Inputs'!$B$173-1),$M103*('Model Data Inputs'!$B$170-1))))</f>
        <v>0</v>
      </c>
      <c r="O103" s="300">
        <f t="shared" si="3"/>
        <v>0</v>
      </c>
    </row>
    <row r="104" spans="1:15" s="40" customFormat="1" x14ac:dyDescent="0.2">
      <c r="A104" s="20" t="s">
        <v>26</v>
      </c>
      <c r="B104" s="20" t="s">
        <v>27</v>
      </c>
      <c r="C104" s="20" t="s">
        <v>1388</v>
      </c>
      <c r="D104" s="20" t="s">
        <v>1389</v>
      </c>
      <c r="E104" s="298">
        <v>35612</v>
      </c>
      <c r="F104" s="138" t="s">
        <v>1159</v>
      </c>
      <c r="G104" s="138">
        <v>0</v>
      </c>
      <c r="H104" s="299" t="s">
        <v>1191</v>
      </c>
      <c r="I104" s="300">
        <v>40.17</v>
      </c>
      <c r="J104" s="300">
        <f>IF(OR($E104&lt;='Model Data Inputs'!$B$175,$F104="T"),$I104,IF($G104="E",'Model Data Inputs'!$B$176+$H104/'Model Data Inputs'!$B$179,IF($G104="M",'Model Data Inputs'!$B$177+$H104/'Model Data Inputs'!$B$179,IF($G104="H",'Model Data Inputs'!$B$178+$H104/'Model Data Inputs'!$B$179,IF($G104="N/A",0,$I104)))))</f>
        <v>40.17</v>
      </c>
      <c r="K104" s="300">
        <f t="shared" si="2"/>
        <v>0</v>
      </c>
      <c r="L104" s="300">
        <f>$K104*'Model Data Inputs'!$B$168</f>
        <v>0</v>
      </c>
      <c r="M104" s="300">
        <f>$L104/'Model Data Inputs'!$B$169</f>
        <v>0</v>
      </c>
      <c r="N104" s="300">
        <f>IF($G104="E",$M104*('Model Data Inputs'!$B$171-1),IF($G104="M",$M104*('Model Data Inputs'!$B$172-1),IF($G104="H",$M104*('Model Data Inputs'!$B$173-1),$M104*('Model Data Inputs'!$B$170-1))))</f>
        <v>0</v>
      </c>
      <c r="O104" s="300">
        <f t="shared" si="3"/>
        <v>0</v>
      </c>
    </row>
    <row r="105" spans="1:15" s="40" customFormat="1" x14ac:dyDescent="0.2">
      <c r="A105" s="20" t="s">
        <v>26</v>
      </c>
      <c r="B105" s="20" t="s">
        <v>27</v>
      </c>
      <c r="C105" s="20" t="s">
        <v>1390</v>
      </c>
      <c r="D105" s="20" t="s">
        <v>785</v>
      </c>
      <c r="E105" s="298">
        <v>16731</v>
      </c>
      <c r="F105" s="138" t="s">
        <v>1159</v>
      </c>
      <c r="G105" s="138">
        <v>0</v>
      </c>
      <c r="H105" s="299" t="s">
        <v>1191</v>
      </c>
      <c r="I105" s="300">
        <v>2.44</v>
      </c>
      <c r="J105" s="300">
        <f>IF(OR($E105&lt;='Model Data Inputs'!$B$175,$F105="T"),$I105,IF($G105="E",'Model Data Inputs'!$B$176+$H105/'Model Data Inputs'!$B$179,IF($G105="M",'Model Data Inputs'!$B$177+$H105/'Model Data Inputs'!$B$179,IF($G105="H",'Model Data Inputs'!$B$178+$H105/'Model Data Inputs'!$B$179,IF($G105="N/A",0,$I105)))))</f>
        <v>2.44</v>
      </c>
      <c r="K105" s="300">
        <f t="shared" si="2"/>
        <v>0</v>
      </c>
      <c r="L105" s="300">
        <f>$K105*'Model Data Inputs'!$B$168</f>
        <v>0</v>
      </c>
      <c r="M105" s="300">
        <f>$L105/'Model Data Inputs'!$B$169</f>
        <v>0</v>
      </c>
      <c r="N105" s="300">
        <f>IF($G105="E",$M105*('Model Data Inputs'!$B$171-1),IF($G105="M",$M105*('Model Data Inputs'!$B$172-1),IF($G105="H",$M105*('Model Data Inputs'!$B$173-1),$M105*('Model Data Inputs'!$B$170-1))))</f>
        <v>0</v>
      </c>
      <c r="O105" s="300">
        <f t="shared" si="3"/>
        <v>0</v>
      </c>
    </row>
    <row r="106" spans="1:15" s="40" customFormat="1" x14ac:dyDescent="0.2">
      <c r="A106" s="20" t="s">
        <v>26</v>
      </c>
      <c r="B106" s="20" t="s">
        <v>27</v>
      </c>
      <c r="C106" s="20" t="s">
        <v>1391</v>
      </c>
      <c r="D106" s="20" t="s">
        <v>1392</v>
      </c>
      <c r="E106" s="298">
        <v>26458</v>
      </c>
      <c r="F106" s="138" t="s">
        <v>1159</v>
      </c>
      <c r="G106" s="138">
        <v>0</v>
      </c>
      <c r="H106" s="299" t="s">
        <v>1191</v>
      </c>
      <c r="I106" s="300">
        <v>2.39</v>
      </c>
      <c r="J106" s="300">
        <f>IF(OR($E106&lt;='Model Data Inputs'!$B$175,$F106="T"),$I106,IF($G106="E",'Model Data Inputs'!$B$176+$H106/'Model Data Inputs'!$B$179,IF($G106="M",'Model Data Inputs'!$B$177+$H106/'Model Data Inputs'!$B$179,IF($G106="H",'Model Data Inputs'!$B$178+$H106/'Model Data Inputs'!$B$179,IF($G106="N/A",0,$I106)))))</f>
        <v>2.39</v>
      </c>
      <c r="K106" s="300">
        <f t="shared" si="2"/>
        <v>0</v>
      </c>
      <c r="L106" s="300">
        <f>$K106*'Model Data Inputs'!$B$168</f>
        <v>0</v>
      </c>
      <c r="M106" s="300">
        <f>$L106/'Model Data Inputs'!$B$169</f>
        <v>0</v>
      </c>
      <c r="N106" s="300">
        <f>IF($G106="E",$M106*('Model Data Inputs'!$B$171-1),IF($G106="M",$M106*('Model Data Inputs'!$B$172-1),IF($G106="H",$M106*('Model Data Inputs'!$B$173-1),$M106*('Model Data Inputs'!$B$170-1))))</f>
        <v>0</v>
      </c>
      <c r="O106" s="300">
        <f t="shared" si="3"/>
        <v>0</v>
      </c>
    </row>
    <row r="107" spans="1:15" s="40" customFormat="1" x14ac:dyDescent="0.2">
      <c r="A107" s="20" t="s">
        <v>26</v>
      </c>
      <c r="B107" s="20" t="s">
        <v>27</v>
      </c>
      <c r="C107" s="20" t="s">
        <v>1393</v>
      </c>
      <c r="D107" s="20" t="s">
        <v>1394</v>
      </c>
      <c r="E107" s="298">
        <v>29911</v>
      </c>
      <c r="F107" s="138" t="s">
        <v>1159</v>
      </c>
      <c r="G107" s="138" t="s">
        <v>1198</v>
      </c>
      <c r="H107" s="299">
        <f>SUM('School Level ADM'!$F$60:$G$60)</f>
        <v>275.93933333333337</v>
      </c>
      <c r="I107" s="300">
        <v>2.4580000000000002</v>
      </c>
      <c r="J107" s="300">
        <f>IF(OR($E107&lt;='Model Data Inputs'!$B$175,$F107="T"),$I107,IF($G107="E",'Model Data Inputs'!$B$176+$H107/'Model Data Inputs'!$B$179,IF($G107="M",'Model Data Inputs'!$B$177+$H107/'Model Data Inputs'!$B$179,IF($G107="H",'Model Data Inputs'!$B$178+$H107/'Model Data Inputs'!$B$179,IF($G107="N/A",0,$I107)))))</f>
        <v>2.4580000000000002</v>
      </c>
      <c r="K107" s="300">
        <f t="shared" si="2"/>
        <v>2.4580000000000002</v>
      </c>
      <c r="L107" s="300">
        <f>$K107*'Model Data Inputs'!$B$168</f>
        <v>228.59400000000002</v>
      </c>
      <c r="M107" s="300">
        <f>$L107/'Model Data Inputs'!$B$169</f>
        <v>0.11384163346613548</v>
      </c>
      <c r="N107" s="300">
        <f>IF($G107="E",$M107*('Model Data Inputs'!$B$171-1),IF($G107="M",$M107*('Model Data Inputs'!$B$172-1),IF($G107="H",$M107*('Model Data Inputs'!$B$173-1),$M107*('Model Data Inputs'!$B$170-1))))</f>
        <v>0</v>
      </c>
      <c r="O107" s="300">
        <f t="shared" si="3"/>
        <v>0.11384163346613548</v>
      </c>
    </row>
    <row r="108" spans="1:15" s="40" customFormat="1" x14ac:dyDescent="0.2">
      <c r="A108" s="20" t="s">
        <v>26</v>
      </c>
      <c r="B108" s="20" t="s">
        <v>27</v>
      </c>
      <c r="C108" s="20" t="s">
        <v>1395</v>
      </c>
      <c r="D108" s="20" t="s">
        <v>1396</v>
      </c>
      <c r="E108" s="298">
        <v>17622</v>
      </c>
      <c r="F108" s="138" t="s">
        <v>1159</v>
      </c>
      <c r="G108" s="138" t="s">
        <v>1228</v>
      </c>
      <c r="H108" s="299">
        <f>'School Level ADM'!S64</f>
        <v>34.259333333333331</v>
      </c>
      <c r="I108" s="300">
        <v>2.54</v>
      </c>
      <c r="J108" s="300">
        <f>IF(OR($E108&lt;='Model Data Inputs'!$B$175,$F108="T"),$I108,IF($G108="E",'Model Data Inputs'!$B$176+$H108/'Model Data Inputs'!$B$179,IF($G108="M",'Model Data Inputs'!$B$177+$H108/'Model Data Inputs'!$B$179,IF($G108="H",'Model Data Inputs'!$B$178+$H108/'Model Data Inputs'!$B$179,IF($G108="N/A",0,$I108)))))</f>
        <v>2.54</v>
      </c>
      <c r="K108" s="300">
        <f t="shared" si="2"/>
        <v>2.54</v>
      </c>
      <c r="L108" s="300">
        <f>$K108*'Model Data Inputs'!$B$168</f>
        <v>236.22</v>
      </c>
      <c r="M108" s="300">
        <f>$L108/'Model Data Inputs'!$B$169</f>
        <v>0.1176394422310757</v>
      </c>
      <c r="N108" s="300">
        <f>IF($G108="E",$M108*('Model Data Inputs'!$B$171-1),IF($G108="M",$M108*('Model Data Inputs'!$B$172-1),IF($G108="H",$M108*('Model Data Inputs'!$B$173-1),$M108*('Model Data Inputs'!$B$170-1))))</f>
        <v>0.17645916334661355</v>
      </c>
      <c r="O108" s="300">
        <f t="shared" si="3"/>
        <v>0.29409860557768924</v>
      </c>
    </row>
    <row r="109" spans="1:15" s="40" customFormat="1" x14ac:dyDescent="0.2">
      <c r="A109" s="20" t="s">
        <v>26</v>
      </c>
      <c r="B109" s="20" t="s">
        <v>27</v>
      </c>
      <c r="C109" s="20" t="s">
        <v>1397</v>
      </c>
      <c r="D109" s="20" t="s">
        <v>1398</v>
      </c>
      <c r="E109" s="298">
        <v>20898</v>
      </c>
      <c r="F109" s="138" t="s">
        <v>1159</v>
      </c>
      <c r="G109" s="138" t="s">
        <v>1228</v>
      </c>
      <c r="H109" s="299">
        <f>'School Level ADM'!S63</f>
        <v>423.14866666666671</v>
      </c>
      <c r="I109" s="300">
        <v>27.295000000000002</v>
      </c>
      <c r="J109" s="300">
        <f>IF(OR($E109&lt;='Model Data Inputs'!$B$175,$F109="T"),$I109,IF($G109="E",'Model Data Inputs'!$B$176+$H109/'Model Data Inputs'!$B$179,IF($G109="M",'Model Data Inputs'!$B$177+$H109/'Model Data Inputs'!$B$179,IF($G109="H",'Model Data Inputs'!$B$178+$H109/'Model Data Inputs'!$B$179,IF($G109="N/A",0,$I109)))))</f>
        <v>27.295000000000002</v>
      </c>
      <c r="K109" s="300">
        <f t="shared" si="2"/>
        <v>27.295000000000002</v>
      </c>
      <c r="L109" s="300">
        <f>$K109*'Model Data Inputs'!$B$168</f>
        <v>2538.4349999999999</v>
      </c>
      <c r="M109" s="300">
        <f>$L109/'Model Data Inputs'!$B$169</f>
        <v>1.2641608565737052</v>
      </c>
      <c r="N109" s="300">
        <f>IF($G109="E",$M109*('Model Data Inputs'!$B$171-1),IF($G109="M",$M109*('Model Data Inputs'!$B$172-1),IF($G109="H",$M109*('Model Data Inputs'!$B$173-1),$M109*('Model Data Inputs'!$B$170-1))))</f>
        <v>1.8962412848605579</v>
      </c>
      <c r="O109" s="300">
        <f t="shared" si="3"/>
        <v>3.1604021414342629</v>
      </c>
    </row>
    <row r="110" spans="1:15" s="40" customFormat="1" x14ac:dyDescent="0.2">
      <c r="A110" s="20" t="s">
        <v>26</v>
      </c>
      <c r="B110" s="20" t="s">
        <v>27</v>
      </c>
      <c r="C110" s="20" t="s">
        <v>1399</v>
      </c>
      <c r="D110" s="20" t="s">
        <v>1400</v>
      </c>
      <c r="E110" s="298">
        <v>24943</v>
      </c>
      <c r="F110" s="138" t="s">
        <v>1159</v>
      </c>
      <c r="G110" s="138" t="s">
        <v>1205</v>
      </c>
      <c r="H110" s="299">
        <f>'School Level ADM'!S62</f>
        <v>349.19466666666665</v>
      </c>
      <c r="I110" s="300">
        <v>25.94</v>
      </c>
      <c r="J110" s="300">
        <f>IF(OR($E110&lt;='Model Data Inputs'!$B$175,$F110="T"),$I110,IF($G110="E",'Model Data Inputs'!$B$176+$H110/'Model Data Inputs'!$B$179,IF($G110="M",'Model Data Inputs'!$B$177+$H110/'Model Data Inputs'!$B$179,IF($G110="H",'Model Data Inputs'!$B$178+$H110/'Model Data Inputs'!$B$179,IF($G110="N/A",0,$I110)))))</f>
        <v>25.94</v>
      </c>
      <c r="K110" s="300">
        <f t="shared" si="2"/>
        <v>25.94</v>
      </c>
      <c r="L110" s="300">
        <f>$K110*'Model Data Inputs'!$B$168</f>
        <v>2412.42</v>
      </c>
      <c r="M110" s="300">
        <f>$L110/'Model Data Inputs'!$B$169</f>
        <v>1.2014043824701195</v>
      </c>
      <c r="N110" s="300">
        <f>IF($G110="E",$M110*('Model Data Inputs'!$B$171-1),IF($G110="M",$M110*('Model Data Inputs'!$B$172-1),IF($G110="H",$M110*('Model Data Inputs'!$B$173-1),$M110*('Model Data Inputs'!$B$170-1))))</f>
        <v>0.60070219123505975</v>
      </c>
      <c r="O110" s="300">
        <f t="shared" si="3"/>
        <v>1.8021065737051791</v>
      </c>
    </row>
    <row r="111" spans="1:15" s="40" customFormat="1" x14ac:dyDescent="0.2">
      <c r="A111" s="20" t="s">
        <v>26</v>
      </c>
      <c r="B111" s="20" t="s">
        <v>27</v>
      </c>
      <c r="C111" s="20" t="s">
        <v>1401</v>
      </c>
      <c r="D111" s="20" t="s">
        <v>1402</v>
      </c>
      <c r="E111" s="298">
        <v>39326</v>
      </c>
      <c r="F111" s="138" t="s">
        <v>1159</v>
      </c>
      <c r="G111" s="138" t="s">
        <v>1198</v>
      </c>
      <c r="H111" s="299">
        <f>SUM('School Level ADM'!$H$60:$K$60)</f>
        <v>527.2553333333334</v>
      </c>
      <c r="I111" s="300">
        <v>37.270000000000003</v>
      </c>
      <c r="J111" s="300">
        <f>IF(OR($E111&lt;='Model Data Inputs'!$B$175,$F111="T"),$I111,IF($G111="E",'Model Data Inputs'!$B$176+$H111/'Model Data Inputs'!$B$179,IF($G111="M",'Model Data Inputs'!$B$177+$H111/'Model Data Inputs'!$B$179,IF($G111="H",'Model Data Inputs'!$B$178+$H111/'Model Data Inputs'!$B$179,IF($G111="N/A",0,$I111)))))</f>
        <v>9.2725533333333345</v>
      </c>
      <c r="K111" s="300">
        <f t="shared" si="2"/>
        <v>9.2725533333333345</v>
      </c>
      <c r="L111" s="300">
        <f>$K111*'Model Data Inputs'!$B$168</f>
        <v>862.34746000000007</v>
      </c>
      <c r="M111" s="300">
        <f>$L111/'Model Data Inputs'!$B$169</f>
        <v>0.42945590637450204</v>
      </c>
      <c r="N111" s="300">
        <f>IF($G111="E",$M111*('Model Data Inputs'!$B$171-1),IF($G111="M",$M111*('Model Data Inputs'!$B$172-1),IF($G111="H",$M111*('Model Data Inputs'!$B$173-1),$M111*('Model Data Inputs'!$B$170-1))))</f>
        <v>0</v>
      </c>
      <c r="O111" s="300">
        <f t="shared" si="3"/>
        <v>0.42945590637450204</v>
      </c>
    </row>
    <row r="112" spans="1:15" s="40" customFormat="1" x14ac:dyDescent="0.2">
      <c r="A112" s="20" t="s">
        <v>26</v>
      </c>
      <c r="B112" s="20" t="s">
        <v>27</v>
      </c>
      <c r="C112" s="20" t="s">
        <v>1403</v>
      </c>
      <c r="D112" s="20" t="s">
        <v>1404</v>
      </c>
      <c r="E112" s="298">
        <v>17590</v>
      </c>
      <c r="F112" s="138" t="s">
        <v>1159</v>
      </c>
      <c r="G112" s="138">
        <v>0</v>
      </c>
      <c r="H112" s="299" t="s">
        <v>1191</v>
      </c>
      <c r="I112" s="300">
        <v>0.13700000000000001</v>
      </c>
      <c r="J112" s="300">
        <f>IF(OR($E112&lt;='Model Data Inputs'!$B$175,$F112="T"),$I112,IF($G112="E",'Model Data Inputs'!$B$176+$H112/'Model Data Inputs'!$B$179,IF($G112="M",'Model Data Inputs'!$B$177+$H112/'Model Data Inputs'!$B$179,IF($G112="H",'Model Data Inputs'!$B$178+$H112/'Model Data Inputs'!$B$179,IF($G112="N/A",0,$I112)))))</f>
        <v>0.13700000000000001</v>
      </c>
      <c r="K112" s="300">
        <f t="shared" si="2"/>
        <v>0</v>
      </c>
      <c r="L112" s="300">
        <f>$K112*'Model Data Inputs'!$B$168</f>
        <v>0</v>
      </c>
      <c r="M112" s="300">
        <f>$L112/'Model Data Inputs'!$B$169</f>
        <v>0</v>
      </c>
      <c r="N112" s="300">
        <f>IF($G112="E",$M112*('Model Data Inputs'!$B$171-1),IF($G112="M",$M112*('Model Data Inputs'!$B$172-1),IF($G112="H",$M112*('Model Data Inputs'!$B$173-1),$M112*('Model Data Inputs'!$B$170-1))))</f>
        <v>0</v>
      </c>
      <c r="O112" s="300">
        <f t="shared" si="3"/>
        <v>0</v>
      </c>
    </row>
    <row r="113" spans="1:15" s="40" customFormat="1" x14ac:dyDescent="0.2">
      <c r="A113" s="20" t="s">
        <v>26</v>
      </c>
      <c r="B113" s="20" t="s">
        <v>27</v>
      </c>
      <c r="C113" s="20" t="s">
        <v>1405</v>
      </c>
      <c r="D113" s="20" t="s">
        <v>1406</v>
      </c>
      <c r="E113" s="298">
        <v>41527</v>
      </c>
      <c r="F113" s="138" t="s">
        <v>1159</v>
      </c>
      <c r="G113" s="138">
        <v>0</v>
      </c>
      <c r="H113" s="299" t="s">
        <v>1191</v>
      </c>
      <c r="I113" s="300">
        <v>7.87</v>
      </c>
      <c r="J113" s="300">
        <f>IF(OR($E113&lt;='Model Data Inputs'!$B$175,$F113="T"),$I113,IF($G113="E",'Model Data Inputs'!$B$176+$H113/'Model Data Inputs'!$B$179,IF($G113="M",'Model Data Inputs'!$B$177+$H113/'Model Data Inputs'!$B$179,IF($G113="H",'Model Data Inputs'!$B$178+$H113/'Model Data Inputs'!$B$179,IF($G113="N/A",0,$I113)))))</f>
        <v>7.87</v>
      </c>
      <c r="K113" s="300">
        <f t="shared" si="2"/>
        <v>0</v>
      </c>
      <c r="L113" s="300">
        <f>$K113*'Model Data Inputs'!$B$168</f>
        <v>0</v>
      </c>
      <c r="M113" s="300">
        <f>$L113/'Model Data Inputs'!$B$169</f>
        <v>0</v>
      </c>
      <c r="N113" s="300">
        <f>IF($G113="E",$M113*('Model Data Inputs'!$B$171-1),IF($G113="M",$M113*('Model Data Inputs'!$B$172-1),IF($G113="H",$M113*('Model Data Inputs'!$B$173-1),$M113*('Model Data Inputs'!$B$170-1))))</f>
        <v>0</v>
      </c>
      <c r="O113" s="300">
        <f t="shared" si="3"/>
        <v>0</v>
      </c>
    </row>
    <row r="114" spans="1:15" s="40" customFormat="1" x14ac:dyDescent="0.2">
      <c r="A114" s="20" t="s">
        <v>28</v>
      </c>
      <c r="B114" s="20" t="s">
        <v>29</v>
      </c>
      <c r="C114" s="20" t="s">
        <v>1407</v>
      </c>
      <c r="D114" s="20" t="s">
        <v>1408</v>
      </c>
      <c r="E114" s="298">
        <v>35612</v>
      </c>
      <c r="F114" s="138" t="s">
        <v>1159</v>
      </c>
      <c r="G114" s="138">
        <v>0</v>
      </c>
      <c r="H114" s="299" t="s">
        <v>1191</v>
      </c>
      <c r="I114" s="300">
        <v>0.33</v>
      </c>
      <c r="J114" s="300">
        <f>IF(OR($E114&lt;='Model Data Inputs'!$B$175,$F114="T"),$I114,IF($G114="E",'Model Data Inputs'!$B$176+$H114/'Model Data Inputs'!$B$179,IF($G114="M",'Model Data Inputs'!$B$177+$H114/'Model Data Inputs'!$B$179,IF($G114="H",'Model Data Inputs'!$B$178+$H114/'Model Data Inputs'!$B$179,IF($G114="N/A",0,$I114)))))</f>
        <v>0.33</v>
      </c>
      <c r="K114" s="300">
        <f t="shared" si="2"/>
        <v>0</v>
      </c>
      <c r="L114" s="300">
        <f>$K114*'Model Data Inputs'!$B$168</f>
        <v>0</v>
      </c>
      <c r="M114" s="300">
        <f>$L114/'Model Data Inputs'!$B$169</f>
        <v>0</v>
      </c>
      <c r="N114" s="300">
        <f>IF($G114="E",$M114*('Model Data Inputs'!$B$171-1),IF($G114="M",$M114*('Model Data Inputs'!$B$172-1),IF($G114="H",$M114*('Model Data Inputs'!$B$173-1),$M114*('Model Data Inputs'!$B$170-1))))</f>
        <v>0</v>
      </c>
      <c r="O114" s="300">
        <f t="shared" si="3"/>
        <v>0</v>
      </c>
    </row>
    <row r="115" spans="1:15" s="40" customFormat="1" x14ac:dyDescent="0.2">
      <c r="A115" s="20" t="s">
        <v>28</v>
      </c>
      <c r="B115" s="20" t="s">
        <v>29</v>
      </c>
      <c r="C115" s="20" t="s">
        <v>1409</v>
      </c>
      <c r="D115" s="20" t="s">
        <v>1410</v>
      </c>
      <c r="E115" s="298">
        <v>26995</v>
      </c>
      <c r="F115" s="138" t="s">
        <v>1159</v>
      </c>
      <c r="G115" s="138">
        <v>0</v>
      </c>
      <c r="H115" s="299" t="s">
        <v>1191</v>
      </c>
      <c r="I115" s="300">
        <v>1</v>
      </c>
      <c r="J115" s="300">
        <f>IF(OR($E115&lt;='Model Data Inputs'!$B$175,$F115="T"),$I115,IF($G115="E",'Model Data Inputs'!$B$176+$H115/'Model Data Inputs'!$B$179,IF($G115="M",'Model Data Inputs'!$B$177+$H115/'Model Data Inputs'!$B$179,IF($G115="H",'Model Data Inputs'!$B$178+$H115/'Model Data Inputs'!$B$179,IF($G115="N/A",0,$I115)))))</f>
        <v>1</v>
      </c>
      <c r="K115" s="300">
        <f t="shared" si="2"/>
        <v>0</v>
      </c>
      <c r="L115" s="300">
        <f>$K115*'Model Data Inputs'!$B$168</f>
        <v>0</v>
      </c>
      <c r="M115" s="300">
        <f>$L115/'Model Data Inputs'!$B$169</f>
        <v>0</v>
      </c>
      <c r="N115" s="300">
        <f>IF($G115="E",$M115*('Model Data Inputs'!$B$171-1),IF($G115="M",$M115*('Model Data Inputs'!$B$172-1),IF($G115="H",$M115*('Model Data Inputs'!$B$173-1),$M115*('Model Data Inputs'!$B$170-1))))</f>
        <v>0</v>
      </c>
      <c r="O115" s="300">
        <f t="shared" si="3"/>
        <v>0</v>
      </c>
    </row>
    <row r="116" spans="1:15" s="40" customFormat="1" x14ac:dyDescent="0.2">
      <c r="A116" s="20" t="s">
        <v>28</v>
      </c>
      <c r="B116" s="20" t="s">
        <v>29</v>
      </c>
      <c r="C116" s="20" t="s">
        <v>1411</v>
      </c>
      <c r="D116" s="20" t="s">
        <v>1412</v>
      </c>
      <c r="E116" s="298">
        <v>26526</v>
      </c>
      <c r="F116" s="138" t="s">
        <v>1159</v>
      </c>
      <c r="G116" s="138" t="s">
        <v>1198</v>
      </c>
      <c r="H116" s="299">
        <f>'School Level ADM'!S65</f>
        <v>13.046333333333333</v>
      </c>
      <c r="I116" s="300">
        <v>1.22</v>
      </c>
      <c r="J116" s="300">
        <f>IF(OR($E116&lt;='Model Data Inputs'!$B$175,$F116="T"),$I116,IF($G116="E",'Model Data Inputs'!$B$176+$H116/'Model Data Inputs'!$B$179,IF($G116="M",'Model Data Inputs'!$B$177+$H116/'Model Data Inputs'!$B$179,IF($G116="H",'Model Data Inputs'!$B$178+$H116/'Model Data Inputs'!$B$179,IF($G116="N/A",0,$I116)))))</f>
        <v>1.22</v>
      </c>
      <c r="K116" s="300">
        <f t="shared" si="2"/>
        <v>1.22</v>
      </c>
      <c r="L116" s="300">
        <f>$K116*'Model Data Inputs'!$B$168</f>
        <v>113.46</v>
      </c>
      <c r="M116" s="300">
        <f>$L116/'Model Data Inputs'!$B$169</f>
        <v>5.6503984063745016E-2</v>
      </c>
      <c r="N116" s="300">
        <f>IF($G116="E",$M116*('Model Data Inputs'!$B$171-1),IF($G116="M",$M116*('Model Data Inputs'!$B$172-1),IF($G116="H",$M116*('Model Data Inputs'!$B$173-1),$M116*('Model Data Inputs'!$B$170-1))))</f>
        <v>0</v>
      </c>
      <c r="O116" s="300">
        <f t="shared" si="3"/>
        <v>5.6503984063745016E-2</v>
      </c>
    </row>
    <row r="117" spans="1:15" s="40" customFormat="1" x14ac:dyDescent="0.2">
      <c r="A117" s="20" t="s">
        <v>28</v>
      </c>
      <c r="B117" s="20" t="s">
        <v>29</v>
      </c>
      <c r="C117" s="20" t="s">
        <v>1413</v>
      </c>
      <c r="D117" s="20" t="s">
        <v>1414</v>
      </c>
      <c r="E117" s="298">
        <v>25070</v>
      </c>
      <c r="F117" s="138" t="s">
        <v>1159</v>
      </c>
      <c r="G117" s="138">
        <v>0</v>
      </c>
      <c r="H117" s="299" t="s">
        <v>1191</v>
      </c>
      <c r="I117" s="300">
        <v>7.43</v>
      </c>
      <c r="J117" s="300">
        <f>IF(OR($E117&lt;='Model Data Inputs'!$B$175,$F117="T"),$I117,IF($G117="E",'Model Data Inputs'!$B$176+$H117/'Model Data Inputs'!$B$179,IF($G117="M",'Model Data Inputs'!$B$177+$H117/'Model Data Inputs'!$B$179,IF($G117="H",'Model Data Inputs'!$B$178+$H117/'Model Data Inputs'!$B$179,IF($G117="N/A",0,$I117)))))</f>
        <v>7.43</v>
      </c>
      <c r="K117" s="300">
        <f t="shared" si="2"/>
        <v>0</v>
      </c>
      <c r="L117" s="300">
        <f>$K117*'Model Data Inputs'!$B$168</f>
        <v>0</v>
      </c>
      <c r="M117" s="300">
        <f>$L117/'Model Data Inputs'!$B$169</f>
        <v>0</v>
      </c>
      <c r="N117" s="300">
        <f>IF($G117="E",$M117*('Model Data Inputs'!$B$171-1),IF($G117="M",$M117*('Model Data Inputs'!$B$172-1),IF($G117="H",$M117*('Model Data Inputs'!$B$173-1),$M117*('Model Data Inputs'!$B$170-1))))</f>
        <v>0</v>
      </c>
      <c r="O117" s="300">
        <f t="shared" si="3"/>
        <v>0</v>
      </c>
    </row>
    <row r="118" spans="1:15" s="40" customFormat="1" x14ac:dyDescent="0.2">
      <c r="A118" s="20" t="s">
        <v>28</v>
      </c>
      <c r="B118" s="20" t="s">
        <v>29</v>
      </c>
      <c r="C118" s="20" t="s">
        <v>1415</v>
      </c>
      <c r="D118" s="20" t="s">
        <v>1416</v>
      </c>
      <c r="E118" s="298">
        <v>27193</v>
      </c>
      <c r="F118" s="138" t="s">
        <v>1159</v>
      </c>
      <c r="G118" s="138">
        <v>0</v>
      </c>
      <c r="H118" s="299" t="s">
        <v>1191</v>
      </c>
      <c r="I118" s="300">
        <v>1.24</v>
      </c>
      <c r="J118" s="300">
        <f>IF(OR($E118&lt;='Model Data Inputs'!$B$175,$F118="T"),$I118,IF($G118="E",'Model Data Inputs'!$B$176+$H118/'Model Data Inputs'!$B$179,IF($G118="M",'Model Data Inputs'!$B$177+$H118/'Model Data Inputs'!$B$179,IF($G118="H",'Model Data Inputs'!$B$178+$H118/'Model Data Inputs'!$B$179,IF($G118="N/A",0,$I118)))))</f>
        <v>1.24</v>
      </c>
      <c r="K118" s="300">
        <f t="shared" si="2"/>
        <v>0</v>
      </c>
      <c r="L118" s="300">
        <f>$K118*'Model Data Inputs'!$B$168</f>
        <v>0</v>
      </c>
      <c r="M118" s="300">
        <f>$L118/'Model Data Inputs'!$B$169</f>
        <v>0</v>
      </c>
      <c r="N118" s="300">
        <f>IF($G118="E",$M118*('Model Data Inputs'!$B$171-1),IF($G118="M",$M118*('Model Data Inputs'!$B$172-1),IF($G118="H",$M118*('Model Data Inputs'!$B$173-1),$M118*('Model Data Inputs'!$B$170-1))))</f>
        <v>0</v>
      </c>
      <c r="O118" s="300">
        <f t="shared" si="3"/>
        <v>0</v>
      </c>
    </row>
    <row r="119" spans="1:15" s="40" customFormat="1" x14ac:dyDescent="0.2">
      <c r="A119" s="20" t="s">
        <v>28</v>
      </c>
      <c r="B119" s="20" t="s">
        <v>29</v>
      </c>
      <c r="C119" s="20" t="s">
        <v>1417</v>
      </c>
      <c r="D119" s="20" t="s">
        <v>1418</v>
      </c>
      <c r="E119" s="298">
        <v>26996</v>
      </c>
      <c r="F119" s="138" t="s">
        <v>1159</v>
      </c>
      <c r="G119" s="138" t="s">
        <v>1198</v>
      </c>
      <c r="H119" s="299">
        <f>'School Level ADM'!S66</f>
        <v>74.762666666666661</v>
      </c>
      <c r="I119" s="300">
        <v>10.25</v>
      </c>
      <c r="J119" s="300">
        <f>IF(OR($E119&lt;='Model Data Inputs'!$B$175,$F119="T"),$I119,IF($G119="E",'Model Data Inputs'!$B$176+$H119/'Model Data Inputs'!$B$179,IF($G119="M",'Model Data Inputs'!$B$177+$H119/'Model Data Inputs'!$B$179,IF($G119="H",'Model Data Inputs'!$B$178+$H119/'Model Data Inputs'!$B$179,IF($G119="N/A",0,$I119)))))</f>
        <v>10.25</v>
      </c>
      <c r="K119" s="300">
        <f t="shared" si="2"/>
        <v>10.25</v>
      </c>
      <c r="L119" s="300">
        <f>$K119*'Model Data Inputs'!$B$168</f>
        <v>953.25</v>
      </c>
      <c r="M119" s="300">
        <f>$L119/'Model Data Inputs'!$B$169</f>
        <v>0.47472609561752988</v>
      </c>
      <c r="N119" s="300">
        <f>IF($G119="E",$M119*('Model Data Inputs'!$B$171-1),IF($G119="M",$M119*('Model Data Inputs'!$B$172-1),IF($G119="H",$M119*('Model Data Inputs'!$B$173-1),$M119*('Model Data Inputs'!$B$170-1))))</f>
        <v>0</v>
      </c>
      <c r="O119" s="300">
        <f t="shared" si="3"/>
        <v>0.47472609561752988</v>
      </c>
    </row>
    <row r="120" spans="1:15" s="40" customFormat="1" x14ac:dyDescent="0.2">
      <c r="A120" s="20" t="s">
        <v>28</v>
      </c>
      <c r="B120" s="20" t="s">
        <v>29</v>
      </c>
      <c r="C120" s="20" t="s">
        <v>1419</v>
      </c>
      <c r="D120" s="20" t="s">
        <v>1420</v>
      </c>
      <c r="E120" s="298">
        <v>22166</v>
      </c>
      <c r="F120" s="138" t="s">
        <v>1159</v>
      </c>
      <c r="G120" s="138" t="s">
        <v>1198</v>
      </c>
      <c r="H120" s="299">
        <f>'School Level ADM'!S68</f>
        <v>155.57533333333333</v>
      </c>
      <c r="I120" s="300">
        <v>2.5</v>
      </c>
      <c r="J120" s="300">
        <f>IF(OR($E120&lt;='Model Data Inputs'!$B$175,$F120="T"),$I120,IF($G120="E",'Model Data Inputs'!$B$176+$H120/'Model Data Inputs'!$B$179,IF($G120="M",'Model Data Inputs'!$B$177+$H120/'Model Data Inputs'!$B$179,IF($G120="H",'Model Data Inputs'!$B$178+$H120/'Model Data Inputs'!$B$179,IF($G120="N/A",0,$I120)))))</f>
        <v>2.5</v>
      </c>
      <c r="K120" s="300">
        <f t="shared" si="2"/>
        <v>2.5</v>
      </c>
      <c r="L120" s="300">
        <f>$K120*'Model Data Inputs'!$B$168</f>
        <v>232.5</v>
      </c>
      <c r="M120" s="300">
        <f>$L120/'Model Data Inputs'!$B$169</f>
        <v>0.11578685258964143</v>
      </c>
      <c r="N120" s="300">
        <f>IF($G120="E",$M120*('Model Data Inputs'!$B$171-1),IF($G120="M",$M120*('Model Data Inputs'!$B$172-1),IF($G120="H",$M120*('Model Data Inputs'!$B$173-1),$M120*('Model Data Inputs'!$B$170-1))))</f>
        <v>0</v>
      </c>
      <c r="O120" s="300">
        <f t="shared" si="3"/>
        <v>0.11578685258964143</v>
      </c>
    </row>
    <row r="121" spans="1:15" s="40" customFormat="1" x14ac:dyDescent="0.2">
      <c r="A121" s="20" t="s">
        <v>28</v>
      </c>
      <c r="B121" s="20" t="s">
        <v>29</v>
      </c>
      <c r="C121" s="20" t="s">
        <v>1421</v>
      </c>
      <c r="D121" s="20" t="s">
        <v>1422</v>
      </c>
      <c r="E121" s="298">
        <v>10903</v>
      </c>
      <c r="F121" s="138" t="s">
        <v>1159</v>
      </c>
      <c r="G121" s="138" t="s">
        <v>1228</v>
      </c>
      <c r="H121" s="299">
        <f>'School Level ADM'!S70</f>
        <v>140.33633333333336</v>
      </c>
      <c r="I121" s="300">
        <v>11.1</v>
      </c>
      <c r="J121" s="300">
        <f>IF(OR($E121&lt;='Model Data Inputs'!$B$175,$F121="T"),$I121,IF($G121="E",'Model Data Inputs'!$B$176+$H121/'Model Data Inputs'!$B$179,IF($G121="M",'Model Data Inputs'!$B$177+$H121/'Model Data Inputs'!$B$179,IF($G121="H",'Model Data Inputs'!$B$178+$H121/'Model Data Inputs'!$B$179,IF($G121="N/A",0,$I121)))))</f>
        <v>11.1</v>
      </c>
      <c r="K121" s="300">
        <f t="shared" si="2"/>
        <v>11.1</v>
      </c>
      <c r="L121" s="300">
        <f>$K121*'Model Data Inputs'!$B$168</f>
        <v>1032.3</v>
      </c>
      <c r="M121" s="300">
        <f>$L121/'Model Data Inputs'!$B$169</f>
        <v>0.51409362549800797</v>
      </c>
      <c r="N121" s="300">
        <f>IF($G121="E",$M121*('Model Data Inputs'!$B$171-1),IF($G121="M",$M121*('Model Data Inputs'!$B$172-1),IF($G121="H",$M121*('Model Data Inputs'!$B$173-1),$M121*('Model Data Inputs'!$B$170-1))))</f>
        <v>0.77114043824701195</v>
      </c>
      <c r="O121" s="300">
        <f t="shared" si="3"/>
        <v>1.2852340637450199</v>
      </c>
    </row>
    <row r="122" spans="1:15" s="40" customFormat="1" x14ac:dyDescent="0.2">
      <c r="A122" s="20" t="s">
        <v>28</v>
      </c>
      <c r="B122" s="20" t="s">
        <v>29</v>
      </c>
      <c r="C122" s="20" t="s">
        <v>1423</v>
      </c>
      <c r="D122" s="20" t="s">
        <v>1424</v>
      </c>
      <c r="E122" s="298">
        <v>19304</v>
      </c>
      <c r="F122" s="138" t="s">
        <v>1159</v>
      </c>
      <c r="G122" s="138" t="s">
        <v>1228</v>
      </c>
      <c r="H122" s="299">
        <f>'School Level ADM'!S69</f>
        <v>88.301999999999992</v>
      </c>
      <c r="I122" s="300">
        <v>41.34</v>
      </c>
      <c r="J122" s="300">
        <f>IF(OR($E122&lt;='Model Data Inputs'!$B$175,$F122="T"),$I122,IF($G122="E",'Model Data Inputs'!$B$176+$H122/'Model Data Inputs'!$B$179,IF($G122="M",'Model Data Inputs'!$B$177+$H122/'Model Data Inputs'!$B$179,IF($G122="H",'Model Data Inputs'!$B$178+$H122/'Model Data Inputs'!$B$179,IF($G122="N/A",0,$I122)))))</f>
        <v>41.34</v>
      </c>
      <c r="K122" s="300">
        <f t="shared" si="2"/>
        <v>41.34</v>
      </c>
      <c r="L122" s="300">
        <f>$K122*'Model Data Inputs'!$B$168</f>
        <v>3844.6200000000003</v>
      </c>
      <c r="M122" s="300">
        <f>$L122/'Model Data Inputs'!$B$169</f>
        <v>1.9146513944223109</v>
      </c>
      <c r="N122" s="300">
        <f>IF($G122="E",$M122*('Model Data Inputs'!$B$171-1),IF($G122="M",$M122*('Model Data Inputs'!$B$172-1),IF($G122="H",$M122*('Model Data Inputs'!$B$173-1),$M122*('Model Data Inputs'!$B$170-1))))</f>
        <v>2.8719770916334664</v>
      </c>
      <c r="O122" s="300">
        <f t="shared" si="3"/>
        <v>4.7866284860557773</v>
      </c>
    </row>
    <row r="123" spans="1:15" s="40" customFormat="1" x14ac:dyDescent="0.2">
      <c r="A123" s="20" t="s">
        <v>28</v>
      </c>
      <c r="B123" s="20" t="s">
        <v>29</v>
      </c>
      <c r="C123" s="20" t="s">
        <v>1425</v>
      </c>
      <c r="D123" s="20" t="s">
        <v>1426</v>
      </c>
      <c r="E123" s="298">
        <v>30431</v>
      </c>
      <c r="F123" s="138" t="s">
        <v>1159</v>
      </c>
      <c r="G123" s="138">
        <v>0</v>
      </c>
      <c r="H123" s="299" t="s">
        <v>1191</v>
      </c>
      <c r="I123" s="300">
        <v>20.2</v>
      </c>
      <c r="J123" s="300">
        <f>IF(OR($E123&lt;='Model Data Inputs'!$B$175,$F123="T"),$I123,IF($G123="E",'Model Data Inputs'!$B$176+$H123/'Model Data Inputs'!$B$179,IF($G123="M",'Model Data Inputs'!$B$177+$H123/'Model Data Inputs'!$B$179,IF($G123="H",'Model Data Inputs'!$B$178+$H123/'Model Data Inputs'!$B$179,IF($G123="N/A",0,$I123)))))</f>
        <v>20.2</v>
      </c>
      <c r="K123" s="300">
        <f t="shared" si="2"/>
        <v>0</v>
      </c>
      <c r="L123" s="300">
        <f>$K123*'Model Data Inputs'!$B$168</f>
        <v>0</v>
      </c>
      <c r="M123" s="300">
        <f>$L123/'Model Data Inputs'!$B$169</f>
        <v>0</v>
      </c>
      <c r="N123" s="300">
        <f>IF($G123="E",$M123*('Model Data Inputs'!$B$171-1),IF($G123="M",$M123*('Model Data Inputs'!$B$172-1),IF($G123="H",$M123*('Model Data Inputs'!$B$173-1),$M123*('Model Data Inputs'!$B$170-1))))</f>
        <v>0</v>
      </c>
      <c r="O123" s="300">
        <f t="shared" si="3"/>
        <v>0</v>
      </c>
    </row>
    <row r="124" spans="1:15" s="40" customFormat="1" x14ac:dyDescent="0.2">
      <c r="A124" s="20" t="s">
        <v>28</v>
      </c>
      <c r="B124" s="20" t="s">
        <v>29</v>
      </c>
      <c r="C124" s="20" t="s">
        <v>1427</v>
      </c>
      <c r="D124" s="20" t="s">
        <v>1428</v>
      </c>
      <c r="E124" s="298">
        <v>35612</v>
      </c>
      <c r="F124" s="138" t="s">
        <v>1159</v>
      </c>
      <c r="G124" s="138" t="s">
        <v>1228</v>
      </c>
      <c r="H124" s="299">
        <f>'School Level ADM'!S71</f>
        <v>130.75433333333334</v>
      </c>
      <c r="I124" s="300">
        <v>22.1</v>
      </c>
      <c r="J124" s="300">
        <f>IF(OR($E124&lt;='Model Data Inputs'!$B$175,$F124="T"),$I124,IF($G124="E",'Model Data Inputs'!$B$176+$H124/'Model Data Inputs'!$B$179,IF($G124="M",'Model Data Inputs'!$B$177+$H124/'Model Data Inputs'!$B$179,IF($G124="H",'Model Data Inputs'!$B$178+$H124/'Model Data Inputs'!$B$179,IF($G124="N/A",0,$I124)))))</f>
        <v>22.1</v>
      </c>
      <c r="K124" s="300">
        <f t="shared" si="2"/>
        <v>22.1</v>
      </c>
      <c r="L124" s="300">
        <f>$K124*'Model Data Inputs'!$B$168</f>
        <v>2055.3000000000002</v>
      </c>
      <c r="M124" s="300">
        <f>$L124/'Model Data Inputs'!$B$169</f>
        <v>1.0235557768924304</v>
      </c>
      <c r="N124" s="300">
        <f>IF($G124="E",$M124*('Model Data Inputs'!$B$171-1),IF($G124="M",$M124*('Model Data Inputs'!$B$172-1),IF($G124="H",$M124*('Model Data Inputs'!$B$173-1),$M124*('Model Data Inputs'!$B$170-1))))</f>
        <v>1.5353336653386456</v>
      </c>
      <c r="O124" s="300">
        <f t="shared" si="3"/>
        <v>2.558889442231076</v>
      </c>
    </row>
    <row r="125" spans="1:15" s="40" customFormat="1" x14ac:dyDescent="0.2">
      <c r="A125" s="20" t="s">
        <v>28</v>
      </c>
      <c r="B125" s="20" t="s">
        <v>29</v>
      </c>
      <c r="C125" s="20" t="s">
        <v>1429</v>
      </c>
      <c r="D125" s="20" t="s">
        <v>1430</v>
      </c>
      <c r="E125" s="298">
        <v>25031</v>
      </c>
      <c r="F125" s="138" t="s">
        <v>1159</v>
      </c>
      <c r="G125" s="138">
        <v>0</v>
      </c>
      <c r="H125" s="299" t="s">
        <v>1191</v>
      </c>
      <c r="I125" s="300">
        <v>5.7</v>
      </c>
      <c r="J125" s="300">
        <f>IF(OR($E125&lt;='Model Data Inputs'!$B$175,$F125="T"),$I125,IF($G125="E",'Model Data Inputs'!$B$176+$H125/'Model Data Inputs'!$B$179,IF($G125="M",'Model Data Inputs'!$B$177+$H125/'Model Data Inputs'!$B$179,IF($G125="H",'Model Data Inputs'!$B$178+$H125/'Model Data Inputs'!$B$179,IF($G125="N/A",0,$I125)))))</f>
        <v>5.7</v>
      </c>
      <c r="K125" s="300">
        <f t="shared" si="2"/>
        <v>0</v>
      </c>
      <c r="L125" s="300">
        <f>$K125*'Model Data Inputs'!$B$168</f>
        <v>0</v>
      </c>
      <c r="M125" s="300">
        <f>$L125/'Model Data Inputs'!$B$169</f>
        <v>0</v>
      </c>
      <c r="N125" s="300">
        <f>IF($G125="E",$M125*('Model Data Inputs'!$B$171-1),IF($G125="M",$M125*('Model Data Inputs'!$B$172-1),IF($G125="H",$M125*('Model Data Inputs'!$B$173-1),$M125*('Model Data Inputs'!$B$170-1))))</f>
        <v>0</v>
      </c>
      <c r="O125" s="300">
        <f t="shared" si="3"/>
        <v>0</v>
      </c>
    </row>
    <row r="126" spans="1:15" s="40" customFormat="1" x14ac:dyDescent="0.2">
      <c r="A126" s="20" t="s">
        <v>28</v>
      </c>
      <c r="B126" s="20" t="s">
        <v>29</v>
      </c>
      <c r="C126" s="20" t="s">
        <v>1431</v>
      </c>
      <c r="D126" s="20" t="s">
        <v>1432</v>
      </c>
      <c r="E126" s="298">
        <v>26582</v>
      </c>
      <c r="F126" s="138" t="s">
        <v>1159</v>
      </c>
      <c r="G126" s="138">
        <v>0</v>
      </c>
      <c r="H126" s="299" t="s">
        <v>1191</v>
      </c>
      <c r="I126" s="300">
        <v>6.4</v>
      </c>
      <c r="J126" s="300">
        <f>IF(OR($E126&lt;='Model Data Inputs'!$B$175,$F126="T"),$I126,IF($G126="E",'Model Data Inputs'!$B$176+$H126/'Model Data Inputs'!$B$179,IF($G126="M",'Model Data Inputs'!$B$177+$H126/'Model Data Inputs'!$B$179,IF($G126="H",'Model Data Inputs'!$B$178+$H126/'Model Data Inputs'!$B$179,IF($G126="N/A",0,$I126)))))</f>
        <v>6.4</v>
      </c>
      <c r="K126" s="300">
        <f t="shared" si="2"/>
        <v>0</v>
      </c>
      <c r="L126" s="300">
        <f>$K126*'Model Data Inputs'!$B$168</f>
        <v>0</v>
      </c>
      <c r="M126" s="300">
        <f>$L126/'Model Data Inputs'!$B$169</f>
        <v>0</v>
      </c>
      <c r="N126" s="300">
        <f>IF($G126="E",$M126*('Model Data Inputs'!$B$171-1),IF($G126="M",$M126*('Model Data Inputs'!$B$172-1),IF($G126="H",$M126*('Model Data Inputs'!$B$173-1),$M126*('Model Data Inputs'!$B$170-1))))</f>
        <v>0</v>
      </c>
      <c r="O126" s="300">
        <f t="shared" si="3"/>
        <v>0</v>
      </c>
    </row>
    <row r="127" spans="1:15" s="40" customFormat="1" x14ac:dyDescent="0.2">
      <c r="A127" s="20" t="s">
        <v>28</v>
      </c>
      <c r="B127" s="20" t="s">
        <v>29</v>
      </c>
      <c r="C127" s="20" t="s">
        <v>1433</v>
      </c>
      <c r="D127" s="20" t="s">
        <v>1434</v>
      </c>
      <c r="E127" s="298">
        <v>39661</v>
      </c>
      <c r="F127" s="138" t="s">
        <v>1159</v>
      </c>
      <c r="G127" s="138" t="s">
        <v>1198</v>
      </c>
      <c r="H127" s="299">
        <f>'School Level ADM'!S67</f>
        <v>16.345333333333336</v>
      </c>
      <c r="I127" s="300">
        <v>3.14</v>
      </c>
      <c r="J127" s="300">
        <f>IF(OR($E127&lt;='Model Data Inputs'!$B$175,$F127="T"),$I127,IF($G127="E",'Model Data Inputs'!$B$176+$H127/'Model Data Inputs'!$B$179,IF($G127="M",'Model Data Inputs'!$B$177+$H127/'Model Data Inputs'!$B$179,IF($G127="H",'Model Data Inputs'!$B$178+$H127/'Model Data Inputs'!$B$179,IF($G127="N/A",0,$I127)))))</f>
        <v>4.163453333333333</v>
      </c>
      <c r="K127" s="300">
        <f t="shared" si="2"/>
        <v>3.14</v>
      </c>
      <c r="L127" s="300">
        <f>$K127*'Model Data Inputs'!$B$168</f>
        <v>292.02000000000004</v>
      </c>
      <c r="M127" s="300">
        <f>$L127/'Model Data Inputs'!$B$169</f>
        <v>0.14542828685258966</v>
      </c>
      <c r="N127" s="300">
        <f>IF($G127="E",$M127*('Model Data Inputs'!$B$171-1),IF($G127="M",$M127*('Model Data Inputs'!$B$172-1),IF($G127="H",$M127*('Model Data Inputs'!$B$173-1),$M127*('Model Data Inputs'!$B$170-1))))</f>
        <v>0</v>
      </c>
      <c r="O127" s="300">
        <f t="shared" si="3"/>
        <v>0.14542828685258966</v>
      </c>
    </row>
    <row r="128" spans="1:15" s="40" customFormat="1" x14ac:dyDescent="0.2">
      <c r="A128" s="20" t="s">
        <v>28</v>
      </c>
      <c r="B128" s="20" t="s">
        <v>29</v>
      </c>
      <c r="C128" s="20" t="s">
        <v>1435</v>
      </c>
      <c r="D128" s="20" t="s">
        <v>1436</v>
      </c>
      <c r="E128" s="298">
        <v>41499</v>
      </c>
      <c r="F128" s="138" t="s">
        <v>1159</v>
      </c>
      <c r="G128" s="138">
        <v>0</v>
      </c>
      <c r="H128" s="299" t="s">
        <v>1191</v>
      </c>
      <c r="I128" s="300">
        <v>0.36</v>
      </c>
      <c r="J128" s="300">
        <f>IF(OR($E128&lt;='Model Data Inputs'!$B$175,$F128="T"),$I128,IF($G128="E",'Model Data Inputs'!$B$176+$H128/'Model Data Inputs'!$B$179,IF($G128="M",'Model Data Inputs'!$B$177+$H128/'Model Data Inputs'!$B$179,IF($G128="H",'Model Data Inputs'!$B$178+$H128/'Model Data Inputs'!$B$179,IF($G128="N/A",0,$I128)))))</f>
        <v>0.36</v>
      </c>
      <c r="K128" s="300">
        <f t="shared" si="2"/>
        <v>0</v>
      </c>
      <c r="L128" s="300">
        <f>$K128*'Model Data Inputs'!$B$168</f>
        <v>0</v>
      </c>
      <c r="M128" s="300">
        <f>$L128/'Model Data Inputs'!$B$169</f>
        <v>0</v>
      </c>
      <c r="N128" s="300">
        <f>IF($G128="E",$M128*('Model Data Inputs'!$B$171-1),IF($G128="M",$M128*('Model Data Inputs'!$B$172-1),IF($G128="H",$M128*('Model Data Inputs'!$B$173-1),$M128*('Model Data Inputs'!$B$170-1))))</f>
        <v>0</v>
      </c>
      <c r="O128" s="300">
        <f t="shared" si="3"/>
        <v>0</v>
      </c>
    </row>
    <row r="129" spans="1:15" s="40" customFormat="1" x14ac:dyDescent="0.2">
      <c r="A129" s="20" t="s">
        <v>30</v>
      </c>
      <c r="B129" s="20" t="s">
        <v>31</v>
      </c>
      <c r="C129" s="20" t="s">
        <v>1437</v>
      </c>
      <c r="D129" s="20" t="s">
        <v>1438</v>
      </c>
      <c r="E129" s="298">
        <v>35612</v>
      </c>
      <c r="F129" s="138" t="s">
        <v>1159</v>
      </c>
      <c r="G129" s="138">
        <v>0</v>
      </c>
      <c r="H129" s="299" t="s">
        <v>1191</v>
      </c>
      <c r="I129" s="300">
        <v>2.2000000000000002</v>
      </c>
      <c r="J129" s="300">
        <f>IF(OR($E129&lt;='Model Data Inputs'!$B$175,$F129="T"),$I129,IF($G129="E",'Model Data Inputs'!$B$176+$H129/'Model Data Inputs'!$B$179,IF($G129="M",'Model Data Inputs'!$B$177+$H129/'Model Data Inputs'!$B$179,IF($G129="H",'Model Data Inputs'!$B$178+$H129/'Model Data Inputs'!$B$179,IF($G129="N/A",0,$I129)))))</f>
        <v>2.2000000000000002</v>
      </c>
      <c r="K129" s="300">
        <f t="shared" si="2"/>
        <v>0</v>
      </c>
      <c r="L129" s="300">
        <f>$K129*'Model Data Inputs'!$B$168</f>
        <v>0</v>
      </c>
      <c r="M129" s="300">
        <f>$L129/'Model Data Inputs'!$B$169</f>
        <v>0</v>
      </c>
      <c r="N129" s="300">
        <f>IF($G129="E",$M129*('Model Data Inputs'!$B$171-1),IF($G129="M",$M129*('Model Data Inputs'!$B$172-1),IF($G129="H",$M129*('Model Data Inputs'!$B$173-1),$M129*('Model Data Inputs'!$B$170-1))))</f>
        <v>0</v>
      </c>
      <c r="O129" s="300">
        <f t="shared" si="3"/>
        <v>0</v>
      </c>
    </row>
    <row r="130" spans="1:15" s="40" customFormat="1" x14ac:dyDescent="0.2">
      <c r="A130" s="20" t="s">
        <v>30</v>
      </c>
      <c r="B130" s="20" t="s">
        <v>31</v>
      </c>
      <c r="C130" s="20" t="s">
        <v>1439</v>
      </c>
      <c r="D130" s="20" t="s">
        <v>1440</v>
      </c>
      <c r="E130" s="298">
        <v>35612</v>
      </c>
      <c r="F130" s="138" t="s">
        <v>1159</v>
      </c>
      <c r="G130" s="138">
        <v>0</v>
      </c>
      <c r="H130" s="299" t="s">
        <v>1191</v>
      </c>
      <c r="I130" s="300">
        <v>2.7</v>
      </c>
      <c r="J130" s="300">
        <f>IF(OR($E130&lt;='Model Data Inputs'!$B$175,$F130="T"),$I130,IF($G130="E",'Model Data Inputs'!$B$176+$H130/'Model Data Inputs'!$B$179,IF($G130="M",'Model Data Inputs'!$B$177+$H130/'Model Data Inputs'!$B$179,IF($G130="H",'Model Data Inputs'!$B$178+$H130/'Model Data Inputs'!$B$179,IF($G130="N/A",0,$I130)))))</f>
        <v>2.7</v>
      </c>
      <c r="K130" s="300">
        <f t="shared" si="2"/>
        <v>0</v>
      </c>
      <c r="L130" s="300">
        <f>$K130*'Model Data Inputs'!$B$168</f>
        <v>0</v>
      </c>
      <c r="M130" s="300">
        <f>$L130/'Model Data Inputs'!$B$169</f>
        <v>0</v>
      </c>
      <c r="N130" s="300">
        <f>IF($G130="E",$M130*('Model Data Inputs'!$B$171-1),IF($G130="M",$M130*('Model Data Inputs'!$B$172-1),IF($G130="H",$M130*('Model Data Inputs'!$B$173-1),$M130*('Model Data Inputs'!$B$170-1))))</f>
        <v>0</v>
      </c>
      <c r="O130" s="300">
        <f t="shared" si="3"/>
        <v>0</v>
      </c>
    </row>
    <row r="131" spans="1:15" s="40" customFormat="1" x14ac:dyDescent="0.2">
      <c r="A131" s="20" t="s">
        <v>30</v>
      </c>
      <c r="B131" s="20" t="s">
        <v>31</v>
      </c>
      <c r="C131" s="20" t="s">
        <v>1441</v>
      </c>
      <c r="D131" s="20" t="s">
        <v>1442</v>
      </c>
      <c r="E131" s="298">
        <v>35612</v>
      </c>
      <c r="F131" s="138" t="s">
        <v>1159</v>
      </c>
      <c r="G131" s="138" t="s">
        <v>1198</v>
      </c>
      <c r="H131" s="299">
        <f>'School Level ADM'!S76</f>
        <v>6.293333333333333</v>
      </c>
      <c r="I131" s="300">
        <v>1</v>
      </c>
      <c r="J131" s="300">
        <f>IF(OR($E131&lt;='Model Data Inputs'!$B$175,$F131="T"),$I131,IF($G131="E",'Model Data Inputs'!$B$176+$H131/'Model Data Inputs'!$B$179,IF($G131="M",'Model Data Inputs'!$B$177+$H131/'Model Data Inputs'!$B$179,IF($G131="H",'Model Data Inputs'!$B$178+$H131/'Model Data Inputs'!$B$179,IF($G131="N/A",0,$I131)))))</f>
        <v>1</v>
      </c>
      <c r="K131" s="300">
        <f t="shared" si="2"/>
        <v>1</v>
      </c>
      <c r="L131" s="300">
        <f>$K131*'Model Data Inputs'!$B$168</f>
        <v>93</v>
      </c>
      <c r="M131" s="300">
        <f>$L131/'Model Data Inputs'!$B$169</f>
        <v>4.6314741035856574E-2</v>
      </c>
      <c r="N131" s="300">
        <f>IF($G131="E",$M131*('Model Data Inputs'!$B$171-1),IF($G131="M",$M131*('Model Data Inputs'!$B$172-1),IF($G131="H",$M131*('Model Data Inputs'!$B$173-1),$M131*('Model Data Inputs'!$B$170-1))))</f>
        <v>0</v>
      </c>
      <c r="O131" s="300">
        <f t="shared" si="3"/>
        <v>4.6314741035856574E-2</v>
      </c>
    </row>
    <row r="132" spans="1:15" s="40" customFormat="1" x14ac:dyDescent="0.2">
      <c r="A132" s="20" t="s">
        <v>30</v>
      </c>
      <c r="B132" s="20" t="s">
        <v>31</v>
      </c>
      <c r="C132" s="20" t="s">
        <v>1443</v>
      </c>
      <c r="D132" s="20" t="s">
        <v>1444</v>
      </c>
      <c r="E132" s="298">
        <v>10824</v>
      </c>
      <c r="F132" s="138" t="s">
        <v>1159</v>
      </c>
      <c r="G132" s="138" t="s">
        <v>1205</v>
      </c>
      <c r="H132" s="299">
        <f>'School Level ADM'!S72</f>
        <v>13.215666666666666</v>
      </c>
      <c r="I132" s="300">
        <v>1</v>
      </c>
      <c r="J132" s="300">
        <f>IF(OR($E132&lt;='Model Data Inputs'!$B$175,$F132="T"),$I132,IF($G132="E",'Model Data Inputs'!$B$176+$H132/'Model Data Inputs'!$B$179,IF($G132="M",'Model Data Inputs'!$B$177+$H132/'Model Data Inputs'!$B$179,IF($G132="H",'Model Data Inputs'!$B$178+$H132/'Model Data Inputs'!$B$179,IF($G132="N/A",0,$I132)))))</f>
        <v>1</v>
      </c>
      <c r="K132" s="300">
        <f t="shared" si="2"/>
        <v>1</v>
      </c>
      <c r="L132" s="300">
        <f>$K132*'Model Data Inputs'!$B$168</f>
        <v>93</v>
      </c>
      <c r="M132" s="300">
        <f>$L132/'Model Data Inputs'!$B$169</f>
        <v>4.6314741035856574E-2</v>
      </c>
      <c r="N132" s="300">
        <f>IF($G132="E",$M132*('Model Data Inputs'!$B$171-1),IF($G132="M",$M132*('Model Data Inputs'!$B$172-1),IF($G132="H",$M132*('Model Data Inputs'!$B$173-1),$M132*('Model Data Inputs'!$B$170-1))))</f>
        <v>2.3157370517928287E-2</v>
      </c>
      <c r="O132" s="300">
        <f t="shared" si="3"/>
        <v>6.9472111553784854E-2</v>
      </c>
    </row>
    <row r="133" spans="1:15" s="40" customFormat="1" x14ac:dyDescent="0.2">
      <c r="A133" s="20" t="s">
        <v>30</v>
      </c>
      <c r="B133" s="20" t="s">
        <v>31</v>
      </c>
      <c r="C133" s="20" t="s">
        <v>1445</v>
      </c>
      <c r="D133" s="20" t="s">
        <v>1446</v>
      </c>
      <c r="E133" s="298">
        <v>27606</v>
      </c>
      <c r="F133" s="138" t="s">
        <v>1159</v>
      </c>
      <c r="G133" s="138" t="s">
        <v>1198</v>
      </c>
      <c r="H133" s="299">
        <f>'School Level ADM'!S73</f>
        <v>249.82066666666668</v>
      </c>
      <c r="I133" s="300">
        <v>4.4000000000000004</v>
      </c>
      <c r="J133" s="300">
        <f>IF(OR($E133&lt;='Model Data Inputs'!$B$175,$F133="T"),$I133,IF($G133="E",'Model Data Inputs'!$B$176+$H133/'Model Data Inputs'!$B$179,IF($G133="M",'Model Data Inputs'!$B$177+$H133/'Model Data Inputs'!$B$179,IF($G133="H",'Model Data Inputs'!$B$178+$H133/'Model Data Inputs'!$B$179,IF($G133="N/A",0,$I133)))))</f>
        <v>4.4000000000000004</v>
      </c>
      <c r="K133" s="300">
        <f t="shared" si="2"/>
        <v>4.4000000000000004</v>
      </c>
      <c r="L133" s="300">
        <f>$K133*'Model Data Inputs'!$B$168</f>
        <v>409.20000000000005</v>
      </c>
      <c r="M133" s="300">
        <f>$L133/'Model Data Inputs'!$B$169</f>
        <v>0.20378486055776895</v>
      </c>
      <c r="N133" s="300">
        <f>IF($G133="E",$M133*('Model Data Inputs'!$B$171-1),IF($G133="M",$M133*('Model Data Inputs'!$B$172-1),IF($G133="H",$M133*('Model Data Inputs'!$B$173-1),$M133*('Model Data Inputs'!$B$170-1))))</f>
        <v>0</v>
      </c>
      <c r="O133" s="300">
        <f t="shared" si="3"/>
        <v>0.20378486055776895</v>
      </c>
    </row>
    <row r="134" spans="1:15" s="40" customFormat="1" x14ac:dyDescent="0.2">
      <c r="A134" s="20" t="s">
        <v>30</v>
      </c>
      <c r="B134" s="20" t="s">
        <v>31</v>
      </c>
      <c r="C134" s="20" t="s">
        <v>1447</v>
      </c>
      <c r="D134" s="20" t="s">
        <v>1448</v>
      </c>
      <c r="E134" s="298">
        <v>3563</v>
      </c>
      <c r="F134" s="138" t="s">
        <v>1159</v>
      </c>
      <c r="G134" s="138" t="s">
        <v>1205</v>
      </c>
      <c r="H134" s="299">
        <f>'School Level ADM'!S74</f>
        <v>17.349999999999998</v>
      </c>
      <c r="I134" s="300">
        <v>1</v>
      </c>
      <c r="J134" s="300">
        <f>IF(OR($E134&lt;='Model Data Inputs'!$B$175,$F134="T"),$I134,IF($G134="E",'Model Data Inputs'!$B$176+$H134/'Model Data Inputs'!$B$179,IF($G134="M",'Model Data Inputs'!$B$177+$H134/'Model Data Inputs'!$B$179,IF($G134="H",'Model Data Inputs'!$B$178+$H134/'Model Data Inputs'!$B$179,IF($G134="N/A",0,$I134)))))</f>
        <v>1</v>
      </c>
      <c r="K134" s="300">
        <f t="shared" ref="K134:K197" si="4">IF(AND($A$2=2,OR(G134=0,G134="N/A")),0,IF($I134&lt;$J134,$I134,$J134))</f>
        <v>1</v>
      </c>
      <c r="L134" s="300">
        <f>$K134*'Model Data Inputs'!$B$168</f>
        <v>93</v>
      </c>
      <c r="M134" s="300">
        <f>$L134/'Model Data Inputs'!$B$169</f>
        <v>4.6314741035856574E-2</v>
      </c>
      <c r="N134" s="300">
        <f>IF($G134="E",$M134*('Model Data Inputs'!$B$171-1),IF($G134="M",$M134*('Model Data Inputs'!$B$172-1),IF($G134="H",$M134*('Model Data Inputs'!$B$173-1),$M134*('Model Data Inputs'!$B$170-1))))</f>
        <v>2.3157370517928287E-2</v>
      </c>
      <c r="O134" s="300">
        <f t="shared" si="3"/>
        <v>6.9472111553784854E-2</v>
      </c>
    </row>
    <row r="135" spans="1:15" s="40" customFormat="1" x14ac:dyDescent="0.2">
      <c r="A135" s="20" t="s">
        <v>30</v>
      </c>
      <c r="B135" s="20" t="s">
        <v>31</v>
      </c>
      <c r="C135" s="20" t="s">
        <v>1449</v>
      </c>
      <c r="D135" s="20" t="s">
        <v>1450</v>
      </c>
      <c r="E135" s="298">
        <v>35612</v>
      </c>
      <c r="F135" s="138" t="s">
        <v>1159</v>
      </c>
      <c r="G135" s="138">
        <v>0</v>
      </c>
      <c r="H135" s="299" t="s">
        <v>1191</v>
      </c>
      <c r="I135" s="300">
        <v>1</v>
      </c>
      <c r="J135" s="300">
        <f>IF(OR($E135&lt;='Model Data Inputs'!$B$175,$F135="T"),$I135,IF($G135="E",'Model Data Inputs'!$B$176+$H135/'Model Data Inputs'!$B$179,IF($G135="M",'Model Data Inputs'!$B$177+$H135/'Model Data Inputs'!$B$179,IF($G135="H",'Model Data Inputs'!$B$178+$H135/'Model Data Inputs'!$B$179,IF($G135="N/A",0,$I135)))))</f>
        <v>1</v>
      </c>
      <c r="K135" s="300">
        <f t="shared" si="4"/>
        <v>0</v>
      </c>
      <c r="L135" s="300">
        <f>$K135*'Model Data Inputs'!$B$168</f>
        <v>0</v>
      </c>
      <c r="M135" s="300">
        <f>$L135/'Model Data Inputs'!$B$169</f>
        <v>0</v>
      </c>
      <c r="N135" s="300">
        <f>IF($G135="E",$M135*('Model Data Inputs'!$B$171-1),IF($G135="M",$M135*('Model Data Inputs'!$B$172-1),IF($G135="H",$M135*('Model Data Inputs'!$B$173-1),$M135*('Model Data Inputs'!$B$170-1))))</f>
        <v>0</v>
      </c>
      <c r="O135" s="300">
        <f t="shared" ref="O135:O198" si="5">SUM($M135:$N135)</f>
        <v>0</v>
      </c>
    </row>
    <row r="136" spans="1:15" s="40" customFormat="1" x14ac:dyDescent="0.2">
      <c r="A136" s="20" t="s">
        <v>30</v>
      </c>
      <c r="B136" s="20" t="s">
        <v>31</v>
      </c>
      <c r="C136" s="20" t="s">
        <v>1451</v>
      </c>
      <c r="D136" s="20" t="s">
        <v>1452</v>
      </c>
      <c r="E136" s="298">
        <v>26301</v>
      </c>
      <c r="F136" s="138" t="s">
        <v>1159</v>
      </c>
      <c r="G136" s="138" t="s">
        <v>1205</v>
      </c>
      <c r="H136" s="299">
        <f>'School Level ADM'!S75</f>
        <v>11.297333333333331</v>
      </c>
      <c r="I136" s="300">
        <v>1.86</v>
      </c>
      <c r="J136" s="300">
        <f>IF(OR($E136&lt;='Model Data Inputs'!$B$175,$F136="T"),$I136,IF($G136="E",'Model Data Inputs'!$B$176+$H136/'Model Data Inputs'!$B$179,IF($G136="M",'Model Data Inputs'!$B$177+$H136/'Model Data Inputs'!$B$179,IF($G136="H",'Model Data Inputs'!$B$178+$H136/'Model Data Inputs'!$B$179,IF($G136="N/A",0,$I136)))))</f>
        <v>1.86</v>
      </c>
      <c r="K136" s="300">
        <f t="shared" si="4"/>
        <v>1.86</v>
      </c>
      <c r="L136" s="300">
        <f>$K136*'Model Data Inputs'!$B$168</f>
        <v>172.98000000000002</v>
      </c>
      <c r="M136" s="300">
        <f>$L136/'Model Data Inputs'!$B$169</f>
        <v>8.6145418326693229E-2</v>
      </c>
      <c r="N136" s="300">
        <f>IF($G136="E",$M136*('Model Data Inputs'!$B$171-1),IF($G136="M",$M136*('Model Data Inputs'!$B$172-1),IF($G136="H",$M136*('Model Data Inputs'!$B$173-1),$M136*('Model Data Inputs'!$B$170-1))))</f>
        <v>4.3072709163346615E-2</v>
      </c>
      <c r="O136" s="300">
        <f t="shared" si="5"/>
        <v>0.12921812749003986</v>
      </c>
    </row>
    <row r="137" spans="1:15" s="40" customFormat="1" x14ac:dyDescent="0.2">
      <c r="A137" s="20" t="s">
        <v>30</v>
      </c>
      <c r="B137" s="20" t="s">
        <v>31</v>
      </c>
      <c r="C137" s="20" t="s">
        <v>1453</v>
      </c>
      <c r="D137" s="20" t="s">
        <v>1454</v>
      </c>
      <c r="E137" s="298">
        <v>35612</v>
      </c>
      <c r="F137" s="138" t="s">
        <v>1159</v>
      </c>
      <c r="G137" s="138">
        <v>0</v>
      </c>
      <c r="H137" s="299" t="s">
        <v>1191</v>
      </c>
      <c r="I137" s="300">
        <v>1</v>
      </c>
      <c r="J137" s="300">
        <f>IF(OR($E137&lt;='Model Data Inputs'!$B$175,$F137="T"),$I137,IF($G137="E",'Model Data Inputs'!$B$176+$H137/'Model Data Inputs'!$B$179,IF($G137="M",'Model Data Inputs'!$B$177+$H137/'Model Data Inputs'!$B$179,IF($G137="H",'Model Data Inputs'!$B$178+$H137/'Model Data Inputs'!$B$179,IF($G137="N/A",0,$I137)))))</f>
        <v>1</v>
      </c>
      <c r="K137" s="300">
        <f t="shared" si="4"/>
        <v>0</v>
      </c>
      <c r="L137" s="300">
        <f>$K137*'Model Data Inputs'!$B$168</f>
        <v>0</v>
      </c>
      <c r="M137" s="300">
        <f>$L137/'Model Data Inputs'!$B$169</f>
        <v>0</v>
      </c>
      <c r="N137" s="300">
        <f>IF($G137="E",$M137*('Model Data Inputs'!$B$171-1),IF($G137="M",$M137*('Model Data Inputs'!$B$172-1),IF($G137="H",$M137*('Model Data Inputs'!$B$173-1),$M137*('Model Data Inputs'!$B$170-1))))</f>
        <v>0</v>
      </c>
      <c r="O137" s="300">
        <f t="shared" si="5"/>
        <v>0</v>
      </c>
    </row>
    <row r="138" spans="1:15" s="40" customFormat="1" x14ac:dyDescent="0.2">
      <c r="A138" s="20" t="s">
        <v>30</v>
      </c>
      <c r="B138" s="20" t="s">
        <v>31</v>
      </c>
      <c r="C138" s="20" t="s">
        <v>1455</v>
      </c>
      <c r="D138" s="20" t="s">
        <v>1456</v>
      </c>
      <c r="E138" s="298">
        <v>26206</v>
      </c>
      <c r="F138" s="138" t="s">
        <v>1159</v>
      </c>
      <c r="G138" s="138" t="s">
        <v>1198</v>
      </c>
      <c r="H138" s="299">
        <f>SUM('School Level ADM'!S77,'School Level ADM'!S79)</f>
        <v>487.71966666666668</v>
      </c>
      <c r="I138" s="300">
        <v>23.83</v>
      </c>
      <c r="J138" s="300">
        <f>IF(OR($E138&lt;='Model Data Inputs'!$B$175,$F138="T"),$I138,IF($G138="E",'Model Data Inputs'!$B$176+$H138/'Model Data Inputs'!$B$179,IF($G138="M",'Model Data Inputs'!$B$177+$H138/'Model Data Inputs'!$B$179,IF($G138="H",'Model Data Inputs'!$B$178+$H138/'Model Data Inputs'!$B$179,IF($G138="N/A",0,$I138)))))</f>
        <v>23.83</v>
      </c>
      <c r="K138" s="300">
        <f t="shared" si="4"/>
        <v>23.83</v>
      </c>
      <c r="L138" s="300">
        <f>$K138*'Model Data Inputs'!$B$168</f>
        <v>2216.19</v>
      </c>
      <c r="M138" s="300">
        <f>$L138/'Model Data Inputs'!$B$169</f>
        <v>1.1036802788844622</v>
      </c>
      <c r="N138" s="300">
        <f>IF($G138="E",$M138*('Model Data Inputs'!$B$171-1),IF($G138="M",$M138*('Model Data Inputs'!$B$172-1),IF($G138="H",$M138*('Model Data Inputs'!$B$173-1),$M138*('Model Data Inputs'!$B$170-1))))</f>
        <v>0</v>
      </c>
      <c r="O138" s="300">
        <f t="shared" si="5"/>
        <v>1.1036802788844622</v>
      </c>
    </row>
    <row r="139" spans="1:15" s="40" customFormat="1" x14ac:dyDescent="0.2">
      <c r="A139" s="20" t="s">
        <v>30</v>
      </c>
      <c r="B139" s="20" t="s">
        <v>31</v>
      </c>
      <c r="C139" s="20" t="s">
        <v>1457</v>
      </c>
      <c r="D139" s="20" t="s">
        <v>1458</v>
      </c>
      <c r="E139" s="298">
        <v>35612</v>
      </c>
      <c r="F139" s="138" t="s">
        <v>1159</v>
      </c>
      <c r="G139" s="138" t="s">
        <v>1205</v>
      </c>
      <c r="H139" s="299">
        <f>'School Level ADM'!S78</f>
        <v>12.028000000000002</v>
      </c>
      <c r="I139" s="300">
        <v>1</v>
      </c>
      <c r="J139" s="300">
        <f>IF(OR($E139&lt;='Model Data Inputs'!$B$175,$F139="T"),$I139,IF($G139="E",'Model Data Inputs'!$B$176+$H139/'Model Data Inputs'!$B$179,IF($G139="M",'Model Data Inputs'!$B$177+$H139/'Model Data Inputs'!$B$179,IF($G139="H",'Model Data Inputs'!$B$178+$H139/'Model Data Inputs'!$B$179,IF($G139="N/A",0,$I139)))))</f>
        <v>1</v>
      </c>
      <c r="K139" s="300">
        <f t="shared" si="4"/>
        <v>1</v>
      </c>
      <c r="L139" s="300">
        <f>$K139*'Model Data Inputs'!$B$168</f>
        <v>93</v>
      </c>
      <c r="M139" s="300">
        <f>$L139/'Model Data Inputs'!$B$169</f>
        <v>4.6314741035856574E-2</v>
      </c>
      <c r="N139" s="300">
        <f>IF($G139="E",$M139*('Model Data Inputs'!$B$171-1),IF($G139="M",$M139*('Model Data Inputs'!$B$172-1),IF($G139="H",$M139*('Model Data Inputs'!$B$173-1),$M139*('Model Data Inputs'!$B$170-1))))</f>
        <v>2.3157370517928287E-2</v>
      </c>
      <c r="O139" s="300">
        <f t="shared" si="5"/>
        <v>6.9472111553784854E-2</v>
      </c>
    </row>
    <row r="140" spans="1:15" s="40" customFormat="1" x14ac:dyDescent="0.2">
      <c r="A140" s="20" t="s">
        <v>30</v>
      </c>
      <c r="B140" s="20" t="s">
        <v>31</v>
      </c>
      <c r="C140" s="20" t="s">
        <v>1459</v>
      </c>
      <c r="D140" s="20" t="s">
        <v>1460</v>
      </c>
      <c r="E140" s="298">
        <v>29747</v>
      </c>
      <c r="F140" s="138" t="s">
        <v>1159</v>
      </c>
      <c r="G140" s="138" t="s">
        <v>1205</v>
      </c>
      <c r="H140" s="299">
        <f>'School Level ADM'!S80</f>
        <v>380.80433333333337</v>
      </c>
      <c r="I140" s="300">
        <v>31.09</v>
      </c>
      <c r="J140" s="300">
        <f>IF(OR($E140&lt;='Model Data Inputs'!$B$175,$F140="T"),$I140,IF($G140="E",'Model Data Inputs'!$B$176+$H140/'Model Data Inputs'!$B$179,IF($G140="M",'Model Data Inputs'!$B$177+$H140/'Model Data Inputs'!$B$179,IF($G140="H",'Model Data Inputs'!$B$178+$H140/'Model Data Inputs'!$B$179,IF($G140="N/A",0,$I140)))))</f>
        <v>31.09</v>
      </c>
      <c r="K140" s="300">
        <f t="shared" si="4"/>
        <v>31.09</v>
      </c>
      <c r="L140" s="300">
        <f>$K140*'Model Data Inputs'!$B$168</f>
        <v>2891.37</v>
      </c>
      <c r="M140" s="300">
        <f>$L140/'Model Data Inputs'!$B$169</f>
        <v>1.4399252988047808</v>
      </c>
      <c r="N140" s="300">
        <f>IF($G140="E",$M140*('Model Data Inputs'!$B$171-1),IF($G140="M",$M140*('Model Data Inputs'!$B$172-1),IF($G140="H",$M140*('Model Data Inputs'!$B$173-1),$M140*('Model Data Inputs'!$B$170-1))))</f>
        <v>0.71996264940239041</v>
      </c>
      <c r="O140" s="300">
        <f t="shared" si="5"/>
        <v>2.1598879482071713</v>
      </c>
    </row>
    <row r="141" spans="1:15" s="40" customFormat="1" x14ac:dyDescent="0.2">
      <c r="A141" s="20" t="s">
        <v>30</v>
      </c>
      <c r="B141" s="20" t="s">
        <v>31</v>
      </c>
      <c r="C141" s="20" t="s">
        <v>1461</v>
      </c>
      <c r="D141" s="20" t="s">
        <v>1462</v>
      </c>
      <c r="E141" s="298">
        <v>42136</v>
      </c>
      <c r="F141" s="138" t="s">
        <v>1159</v>
      </c>
      <c r="G141" s="138">
        <v>0</v>
      </c>
      <c r="H141" s="299" t="s">
        <v>1191</v>
      </c>
      <c r="I141" s="300">
        <v>1.27</v>
      </c>
      <c r="J141" s="300">
        <f>IF(OR($E141&lt;='Model Data Inputs'!$B$175,$F141="T"),$I141,IF($G141="E",'Model Data Inputs'!$B$176+$H141/'Model Data Inputs'!$B$179,IF($G141="M",'Model Data Inputs'!$B$177+$H141/'Model Data Inputs'!$B$179,IF($G141="H",'Model Data Inputs'!$B$178+$H141/'Model Data Inputs'!$B$179,IF($G141="N/A",0,$I141)))))</f>
        <v>1.27</v>
      </c>
      <c r="K141" s="300">
        <f t="shared" si="4"/>
        <v>0</v>
      </c>
      <c r="L141" s="300">
        <f>$K141*'Model Data Inputs'!$B$168</f>
        <v>0</v>
      </c>
      <c r="M141" s="300">
        <f>$L141/'Model Data Inputs'!$B$169</f>
        <v>0</v>
      </c>
      <c r="N141" s="300">
        <f>IF($G141="E",$M141*('Model Data Inputs'!$B$171-1),IF($G141="M",$M141*('Model Data Inputs'!$B$172-1),IF($G141="H",$M141*('Model Data Inputs'!$B$173-1),$M141*('Model Data Inputs'!$B$170-1))))</f>
        <v>0</v>
      </c>
      <c r="O141" s="300">
        <f t="shared" si="5"/>
        <v>0</v>
      </c>
    </row>
    <row r="142" spans="1:15" s="40" customFormat="1" x14ac:dyDescent="0.2">
      <c r="A142" s="20" t="s">
        <v>30</v>
      </c>
      <c r="B142" s="20" t="s">
        <v>31</v>
      </c>
      <c r="C142" s="20" t="s">
        <v>1463</v>
      </c>
      <c r="D142" s="20" t="s">
        <v>1464</v>
      </c>
      <c r="E142" s="298">
        <v>26218</v>
      </c>
      <c r="F142" s="138" t="s">
        <v>1159</v>
      </c>
      <c r="G142" s="138" t="s">
        <v>1228</v>
      </c>
      <c r="H142" s="299">
        <f>'School Level ADM'!S81</f>
        <v>511.09866666666665</v>
      </c>
      <c r="I142" s="300">
        <v>77.010000000000005</v>
      </c>
      <c r="J142" s="300">
        <f>IF(OR($E142&lt;='Model Data Inputs'!$B$175,$F142="T"),$I142,IF($G142="E",'Model Data Inputs'!$B$176+$H142/'Model Data Inputs'!$B$179,IF($G142="M",'Model Data Inputs'!$B$177+$H142/'Model Data Inputs'!$B$179,IF($G142="H",'Model Data Inputs'!$B$178+$H142/'Model Data Inputs'!$B$179,IF($G142="N/A",0,$I142)))))</f>
        <v>77.010000000000005</v>
      </c>
      <c r="K142" s="300">
        <f t="shared" si="4"/>
        <v>77.010000000000005</v>
      </c>
      <c r="L142" s="300">
        <f>$K142*'Model Data Inputs'!$B$168</f>
        <v>7161.93</v>
      </c>
      <c r="M142" s="300">
        <f>$L142/'Model Data Inputs'!$B$169</f>
        <v>3.5666982071713149</v>
      </c>
      <c r="N142" s="300">
        <f>IF($G142="E",$M142*('Model Data Inputs'!$B$171-1),IF($G142="M",$M142*('Model Data Inputs'!$B$172-1),IF($G142="H",$M142*('Model Data Inputs'!$B$173-1),$M142*('Model Data Inputs'!$B$170-1))))</f>
        <v>5.3500473107569722</v>
      </c>
      <c r="O142" s="300">
        <f t="shared" si="5"/>
        <v>8.9167455179282875</v>
      </c>
    </row>
    <row r="143" spans="1:15" s="40" customFormat="1" x14ac:dyDescent="0.2">
      <c r="A143" s="20" t="s">
        <v>30</v>
      </c>
      <c r="B143" s="20" t="s">
        <v>31</v>
      </c>
      <c r="C143" s="20" t="s">
        <v>1465</v>
      </c>
      <c r="D143" s="20" t="s">
        <v>1466</v>
      </c>
      <c r="E143" s="298">
        <v>35612</v>
      </c>
      <c r="F143" s="138" t="s">
        <v>1159</v>
      </c>
      <c r="G143" s="138" t="s">
        <v>1191</v>
      </c>
      <c r="H143" s="299" t="s">
        <v>1191</v>
      </c>
      <c r="I143" s="300">
        <v>0.28000000000000003</v>
      </c>
      <c r="J143" s="300">
        <f>IF(OR($E143&lt;='Model Data Inputs'!$B$175,$F143="T"),$I143,IF($G143="E",'Model Data Inputs'!$B$176+$H143/'Model Data Inputs'!$B$179,IF($G143="M",'Model Data Inputs'!$B$177+$H143/'Model Data Inputs'!$B$179,IF($G143="H",'Model Data Inputs'!$B$178+$H143/'Model Data Inputs'!$B$179,IF($G143="N/A",0,$I143)))))</f>
        <v>0.28000000000000003</v>
      </c>
      <c r="K143" s="300">
        <f t="shared" si="4"/>
        <v>0</v>
      </c>
      <c r="L143" s="300">
        <f>$K143*'Model Data Inputs'!$B$168</f>
        <v>0</v>
      </c>
      <c r="M143" s="300">
        <f>$L143/'Model Data Inputs'!$B$169</f>
        <v>0</v>
      </c>
      <c r="N143" s="300">
        <f>IF($G143="E",$M143*('Model Data Inputs'!$B$171-1),IF($G143="M",$M143*('Model Data Inputs'!$B$172-1),IF($G143="H",$M143*('Model Data Inputs'!$B$173-1),$M143*('Model Data Inputs'!$B$170-1))))</f>
        <v>0</v>
      </c>
      <c r="O143" s="300">
        <f t="shared" si="5"/>
        <v>0</v>
      </c>
    </row>
    <row r="144" spans="1:15" s="40" customFormat="1" x14ac:dyDescent="0.2">
      <c r="A144" s="20" t="s">
        <v>30</v>
      </c>
      <c r="B144" s="20" t="s">
        <v>31</v>
      </c>
      <c r="C144" s="20" t="s">
        <v>1467</v>
      </c>
      <c r="D144" s="20" t="s">
        <v>1468</v>
      </c>
      <c r="E144" s="298">
        <v>40793</v>
      </c>
      <c r="F144" s="138" t="s">
        <v>1159</v>
      </c>
      <c r="G144" s="138">
        <v>0</v>
      </c>
      <c r="H144" s="299" t="s">
        <v>1191</v>
      </c>
      <c r="I144" s="300">
        <v>1.05</v>
      </c>
      <c r="J144" s="300">
        <f>IF(OR($E144&lt;='Model Data Inputs'!$B$175,$F144="T"),$I144,IF($G144="E",'Model Data Inputs'!$B$176+$H144/'Model Data Inputs'!$B$179,IF($G144="M",'Model Data Inputs'!$B$177+$H144/'Model Data Inputs'!$B$179,IF($G144="H",'Model Data Inputs'!$B$178+$H144/'Model Data Inputs'!$B$179,IF($G144="N/A",0,$I144)))))</f>
        <v>1.05</v>
      </c>
      <c r="K144" s="300">
        <f t="shared" si="4"/>
        <v>0</v>
      </c>
      <c r="L144" s="300">
        <f>$K144*'Model Data Inputs'!$B$168</f>
        <v>0</v>
      </c>
      <c r="M144" s="300">
        <f>$L144/'Model Data Inputs'!$B$169</f>
        <v>0</v>
      </c>
      <c r="N144" s="300">
        <f>IF($G144="E",$M144*('Model Data Inputs'!$B$171-1),IF($G144="M",$M144*('Model Data Inputs'!$B$172-1),IF($G144="H",$M144*('Model Data Inputs'!$B$173-1),$M144*('Model Data Inputs'!$B$170-1))))</f>
        <v>0</v>
      </c>
      <c r="O144" s="300">
        <f t="shared" si="5"/>
        <v>0</v>
      </c>
    </row>
    <row r="145" spans="1:15" s="40" customFormat="1" x14ac:dyDescent="0.2">
      <c r="A145" s="20" t="s">
        <v>32</v>
      </c>
      <c r="B145" s="20" t="s">
        <v>33</v>
      </c>
      <c r="C145" s="20" t="s">
        <v>1469</v>
      </c>
      <c r="D145" s="20" t="s">
        <v>1470</v>
      </c>
      <c r="E145" s="298">
        <v>30271</v>
      </c>
      <c r="F145" s="138" t="s">
        <v>1159</v>
      </c>
      <c r="G145" s="138" t="s">
        <v>1198</v>
      </c>
      <c r="H145" s="299">
        <f>'School Level ADM'!S83</f>
        <v>239.80566666666667</v>
      </c>
      <c r="I145" s="300">
        <v>13</v>
      </c>
      <c r="J145" s="300">
        <f>IF(OR($E145&lt;='Model Data Inputs'!$B$175,$F145="T"),$I145,IF($G145="E",'Model Data Inputs'!$B$176+$H145/'Model Data Inputs'!$B$179,IF($G145="M",'Model Data Inputs'!$B$177+$H145/'Model Data Inputs'!$B$179,IF($G145="H",'Model Data Inputs'!$B$178+$H145/'Model Data Inputs'!$B$179,IF($G145="N/A",0,$I145)))))</f>
        <v>13</v>
      </c>
      <c r="K145" s="300">
        <f t="shared" si="4"/>
        <v>13</v>
      </c>
      <c r="L145" s="300">
        <f>$K145*'Model Data Inputs'!$B$168</f>
        <v>1209</v>
      </c>
      <c r="M145" s="300">
        <f>$L145/'Model Data Inputs'!$B$169</f>
        <v>0.60209163346613548</v>
      </c>
      <c r="N145" s="300">
        <f>IF($G145="E",$M145*('Model Data Inputs'!$B$171-1),IF($G145="M",$M145*('Model Data Inputs'!$B$172-1),IF($G145="H",$M145*('Model Data Inputs'!$B$173-1),$M145*('Model Data Inputs'!$B$170-1))))</f>
        <v>0</v>
      </c>
      <c r="O145" s="300">
        <f t="shared" si="5"/>
        <v>0.60209163346613548</v>
      </c>
    </row>
    <row r="146" spans="1:15" s="40" customFormat="1" x14ac:dyDescent="0.2">
      <c r="A146" s="20" t="s">
        <v>32</v>
      </c>
      <c r="B146" s="20" t="s">
        <v>33</v>
      </c>
      <c r="C146" s="20" t="s">
        <v>1471</v>
      </c>
      <c r="D146" s="20" t="s">
        <v>1472</v>
      </c>
      <c r="E146" s="298">
        <v>30271</v>
      </c>
      <c r="F146" s="138" t="s">
        <v>1159</v>
      </c>
      <c r="G146" s="138">
        <v>0</v>
      </c>
      <c r="H146" s="299" t="s">
        <v>1191</v>
      </c>
      <c r="I146" s="300">
        <v>2</v>
      </c>
      <c r="J146" s="300">
        <f>IF(OR($E146&lt;='Model Data Inputs'!$B$175,$F146="T"),$I146,IF($G146="E",'Model Data Inputs'!$B$176+$H146/'Model Data Inputs'!$B$179,IF($G146="M",'Model Data Inputs'!$B$177+$H146/'Model Data Inputs'!$B$179,IF($G146="H",'Model Data Inputs'!$B$178+$H146/'Model Data Inputs'!$B$179,IF($G146="N/A",0,$I146)))))</f>
        <v>2</v>
      </c>
      <c r="K146" s="300">
        <f t="shared" si="4"/>
        <v>0</v>
      </c>
      <c r="L146" s="300">
        <f>$K146*'Model Data Inputs'!$B$168</f>
        <v>0</v>
      </c>
      <c r="M146" s="300">
        <f>$L146/'Model Data Inputs'!$B$169</f>
        <v>0</v>
      </c>
      <c r="N146" s="300">
        <f>IF($G146="E",$M146*('Model Data Inputs'!$B$171-1),IF($G146="M",$M146*('Model Data Inputs'!$B$172-1),IF($G146="H",$M146*('Model Data Inputs'!$B$173-1),$M146*('Model Data Inputs'!$B$170-1))))</f>
        <v>0</v>
      </c>
      <c r="O146" s="300">
        <f t="shared" si="5"/>
        <v>0</v>
      </c>
    </row>
    <row r="147" spans="1:15" s="40" customFormat="1" x14ac:dyDescent="0.2">
      <c r="A147" s="20" t="s">
        <v>32</v>
      </c>
      <c r="B147" s="20" t="s">
        <v>33</v>
      </c>
      <c r="C147" s="20" t="s">
        <v>1473</v>
      </c>
      <c r="D147" s="20" t="s">
        <v>1474</v>
      </c>
      <c r="E147" s="298">
        <v>29553</v>
      </c>
      <c r="F147" s="138" t="s">
        <v>1159</v>
      </c>
      <c r="G147" s="138">
        <v>0</v>
      </c>
      <c r="H147" s="299" t="s">
        <v>1191</v>
      </c>
      <c r="I147" s="300">
        <v>8</v>
      </c>
      <c r="J147" s="300">
        <f>IF(OR($E147&lt;='Model Data Inputs'!$B$175,$F147="T"),$I147,IF($G147="E",'Model Data Inputs'!$B$176+$H147/'Model Data Inputs'!$B$179,IF($G147="M",'Model Data Inputs'!$B$177+$H147/'Model Data Inputs'!$B$179,IF($G147="H",'Model Data Inputs'!$B$178+$H147/'Model Data Inputs'!$B$179,IF($G147="N/A",0,$I147)))))</f>
        <v>8</v>
      </c>
      <c r="K147" s="300">
        <f t="shared" si="4"/>
        <v>0</v>
      </c>
      <c r="L147" s="300">
        <f>$K147*'Model Data Inputs'!$B$168</f>
        <v>0</v>
      </c>
      <c r="M147" s="300">
        <f>$L147/'Model Data Inputs'!$B$169</f>
        <v>0</v>
      </c>
      <c r="N147" s="300">
        <f>IF($G147="E",$M147*('Model Data Inputs'!$B$171-1),IF($G147="M",$M147*('Model Data Inputs'!$B$172-1),IF($G147="H",$M147*('Model Data Inputs'!$B$173-1),$M147*('Model Data Inputs'!$B$170-1))))</f>
        <v>0</v>
      </c>
      <c r="O147" s="300">
        <f t="shared" si="5"/>
        <v>0</v>
      </c>
    </row>
    <row r="148" spans="1:15" s="40" customFormat="1" x14ac:dyDescent="0.2">
      <c r="A148" s="20" t="s">
        <v>32</v>
      </c>
      <c r="B148" s="20" t="s">
        <v>33</v>
      </c>
      <c r="C148" s="20" t="s">
        <v>1475</v>
      </c>
      <c r="D148" s="20" t="s">
        <v>1476</v>
      </c>
      <c r="E148" s="298">
        <v>35612</v>
      </c>
      <c r="F148" s="138" t="s">
        <v>1159</v>
      </c>
      <c r="G148" s="138" t="s">
        <v>1205</v>
      </c>
      <c r="H148" s="299">
        <f>'School Level ADM'!S82</f>
        <v>8.2063333333333333</v>
      </c>
      <c r="I148" s="300">
        <v>0.32</v>
      </c>
      <c r="J148" s="300">
        <f>IF(OR($E148&lt;='Model Data Inputs'!$B$175,$F148="T"),$I148,IF($G148="E",'Model Data Inputs'!$B$176+$H148/'Model Data Inputs'!$B$179,IF($G148="M",'Model Data Inputs'!$B$177+$H148/'Model Data Inputs'!$B$179,IF($G148="H",'Model Data Inputs'!$B$178+$H148/'Model Data Inputs'!$B$179,IF($G148="N/A",0,$I148)))))</f>
        <v>0.32</v>
      </c>
      <c r="K148" s="300">
        <f t="shared" si="4"/>
        <v>0.32</v>
      </c>
      <c r="L148" s="300">
        <f>$K148*'Model Data Inputs'!$B$168</f>
        <v>29.76</v>
      </c>
      <c r="M148" s="300">
        <f>$L148/'Model Data Inputs'!$B$169</f>
        <v>1.4820717131474105E-2</v>
      </c>
      <c r="N148" s="300">
        <f>IF($G148="E",$M148*('Model Data Inputs'!$B$171-1),IF($G148="M",$M148*('Model Data Inputs'!$B$172-1),IF($G148="H",$M148*('Model Data Inputs'!$B$173-1),$M148*('Model Data Inputs'!$B$170-1))))</f>
        <v>7.4103585657370524E-3</v>
      </c>
      <c r="O148" s="300">
        <f t="shared" si="5"/>
        <v>2.2231075697211156E-2</v>
      </c>
    </row>
    <row r="149" spans="1:15" s="40" customFormat="1" x14ac:dyDescent="0.2">
      <c r="A149" s="20" t="s">
        <v>32</v>
      </c>
      <c r="B149" s="20" t="s">
        <v>33</v>
      </c>
      <c r="C149" s="20" t="s">
        <v>1477</v>
      </c>
      <c r="D149" s="20" t="s">
        <v>1478</v>
      </c>
      <c r="E149" s="298">
        <v>19490</v>
      </c>
      <c r="F149" s="138" t="s">
        <v>1159</v>
      </c>
      <c r="G149" s="138" t="s">
        <v>1205</v>
      </c>
      <c r="H149" s="299">
        <f>SUM('School Level ADM'!S84:S85)</f>
        <v>177.92500000000001</v>
      </c>
      <c r="I149" s="300">
        <v>4.4558999999999997</v>
      </c>
      <c r="J149" s="300">
        <f>IF(OR($E149&lt;='Model Data Inputs'!$B$175,$F149="T"),$I149,IF($G149="E",'Model Data Inputs'!$B$176+$H149/'Model Data Inputs'!$B$179,IF($G149="M",'Model Data Inputs'!$B$177+$H149/'Model Data Inputs'!$B$179,IF($G149="H",'Model Data Inputs'!$B$178+$H149/'Model Data Inputs'!$B$179,IF($G149="N/A",0,$I149)))))</f>
        <v>4.4558999999999997</v>
      </c>
      <c r="K149" s="300">
        <f t="shared" si="4"/>
        <v>4.4558999999999997</v>
      </c>
      <c r="L149" s="300">
        <f>$K149*'Model Data Inputs'!$B$168</f>
        <v>414.39869999999996</v>
      </c>
      <c r="M149" s="300">
        <f>$L149/'Model Data Inputs'!$B$169</f>
        <v>0.20637385458167329</v>
      </c>
      <c r="N149" s="300">
        <f>IF($G149="E",$M149*('Model Data Inputs'!$B$171-1),IF($G149="M",$M149*('Model Data Inputs'!$B$172-1),IF($G149="H",$M149*('Model Data Inputs'!$B$173-1),$M149*('Model Data Inputs'!$B$170-1))))</f>
        <v>0.10318692729083664</v>
      </c>
      <c r="O149" s="300">
        <f t="shared" si="5"/>
        <v>0.3095607818725099</v>
      </c>
    </row>
    <row r="150" spans="1:15" s="40" customFormat="1" x14ac:dyDescent="0.2">
      <c r="A150" s="20" t="s">
        <v>32</v>
      </c>
      <c r="B150" s="20" t="s">
        <v>33</v>
      </c>
      <c r="C150" s="20" t="s">
        <v>1479</v>
      </c>
      <c r="D150" s="20" t="s">
        <v>1480</v>
      </c>
      <c r="E150" s="298">
        <v>29553</v>
      </c>
      <c r="F150" s="138" t="s">
        <v>1159</v>
      </c>
      <c r="G150" s="138" t="s">
        <v>1228</v>
      </c>
      <c r="H150" s="299">
        <f>'School Level ADM'!S86</f>
        <v>181.12066666666666</v>
      </c>
      <c r="I150" s="300">
        <v>14</v>
      </c>
      <c r="J150" s="300">
        <f>IF(OR($E150&lt;='Model Data Inputs'!$B$175,$F150="T"),$I150,IF($G150="E",'Model Data Inputs'!$B$176+$H150/'Model Data Inputs'!$B$179,IF($G150="M",'Model Data Inputs'!$B$177+$H150/'Model Data Inputs'!$B$179,IF($G150="H",'Model Data Inputs'!$B$178+$H150/'Model Data Inputs'!$B$179,IF($G150="N/A",0,$I150)))))</f>
        <v>14</v>
      </c>
      <c r="K150" s="300">
        <f t="shared" si="4"/>
        <v>14</v>
      </c>
      <c r="L150" s="300">
        <f>$K150*'Model Data Inputs'!$B$168</f>
        <v>1302</v>
      </c>
      <c r="M150" s="300">
        <f>$L150/'Model Data Inputs'!$B$169</f>
        <v>0.64840637450199201</v>
      </c>
      <c r="N150" s="300">
        <f>IF($G150="E",$M150*('Model Data Inputs'!$B$171-1),IF($G150="M",$M150*('Model Data Inputs'!$B$172-1),IF($G150="H",$M150*('Model Data Inputs'!$B$173-1),$M150*('Model Data Inputs'!$B$170-1))))</f>
        <v>0.97260956175298796</v>
      </c>
      <c r="O150" s="300">
        <f t="shared" si="5"/>
        <v>1.6210159362549801</v>
      </c>
    </row>
    <row r="151" spans="1:15" s="40" customFormat="1" x14ac:dyDescent="0.2">
      <c r="A151" s="20" t="s">
        <v>34</v>
      </c>
      <c r="B151" s="20" t="s">
        <v>35</v>
      </c>
      <c r="C151" s="20" t="s">
        <v>1481</v>
      </c>
      <c r="D151" s="20" t="s">
        <v>1482</v>
      </c>
      <c r="E151" s="298">
        <v>0</v>
      </c>
      <c r="F151" s="138" t="s">
        <v>1159</v>
      </c>
      <c r="G151" s="138">
        <v>0</v>
      </c>
      <c r="H151" s="299" t="s">
        <v>1191</v>
      </c>
      <c r="I151" s="300">
        <v>0.7</v>
      </c>
      <c r="J151" s="300">
        <f>IF(OR($E151&lt;='Model Data Inputs'!$B$175,$F151="T"),$I151,IF($G151="E",'Model Data Inputs'!$B$176+$H151/'Model Data Inputs'!$B$179,IF($G151="M",'Model Data Inputs'!$B$177+$H151/'Model Data Inputs'!$B$179,IF($G151="H",'Model Data Inputs'!$B$178+$H151/'Model Data Inputs'!$B$179,IF($G151="N/A",0,$I151)))))</f>
        <v>0.7</v>
      </c>
      <c r="K151" s="300">
        <f t="shared" si="4"/>
        <v>0</v>
      </c>
      <c r="L151" s="300">
        <f>$K151*'Model Data Inputs'!$B$168</f>
        <v>0</v>
      </c>
      <c r="M151" s="300">
        <f>$L151/'Model Data Inputs'!$B$169</f>
        <v>0</v>
      </c>
      <c r="N151" s="300">
        <f>IF($G151="E",$M151*('Model Data Inputs'!$B$171-1),IF($G151="M",$M151*('Model Data Inputs'!$B$172-1),IF($G151="H",$M151*('Model Data Inputs'!$B$173-1),$M151*('Model Data Inputs'!$B$170-1))))</f>
        <v>0</v>
      </c>
      <c r="O151" s="300">
        <f t="shared" si="5"/>
        <v>0</v>
      </c>
    </row>
    <row r="152" spans="1:15" s="40" customFormat="1" x14ac:dyDescent="0.2">
      <c r="A152" s="20" t="s">
        <v>34</v>
      </c>
      <c r="B152" s="20" t="s">
        <v>35</v>
      </c>
      <c r="C152" s="20" t="s">
        <v>1483</v>
      </c>
      <c r="D152" s="20" t="s">
        <v>1484</v>
      </c>
      <c r="E152" s="298">
        <v>23923</v>
      </c>
      <c r="F152" s="138" t="s">
        <v>1159</v>
      </c>
      <c r="G152" s="138" t="s">
        <v>1228</v>
      </c>
      <c r="H152" s="299">
        <f>'School Level ADM'!S90</f>
        <v>143.22133333333335</v>
      </c>
      <c r="I152" s="300">
        <v>17.89</v>
      </c>
      <c r="J152" s="300">
        <f>IF(OR($E152&lt;='Model Data Inputs'!$B$175,$F152="T"),$I152,IF($G152="E",'Model Data Inputs'!$B$176+$H152/'Model Data Inputs'!$B$179,IF($G152="M",'Model Data Inputs'!$B$177+$H152/'Model Data Inputs'!$B$179,IF($G152="H",'Model Data Inputs'!$B$178+$H152/'Model Data Inputs'!$B$179,IF($G152="N/A",0,$I152)))))</f>
        <v>17.89</v>
      </c>
      <c r="K152" s="300">
        <f t="shared" si="4"/>
        <v>17.89</v>
      </c>
      <c r="L152" s="300">
        <f>$K152*'Model Data Inputs'!$B$168</f>
        <v>1663.77</v>
      </c>
      <c r="M152" s="300">
        <f>$L152/'Model Data Inputs'!$B$169</f>
        <v>0.82857071713147412</v>
      </c>
      <c r="N152" s="300">
        <f>IF($G152="E",$M152*('Model Data Inputs'!$B$171-1),IF($G152="M",$M152*('Model Data Inputs'!$B$172-1),IF($G152="H",$M152*('Model Data Inputs'!$B$173-1),$M152*('Model Data Inputs'!$B$170-1))))</f>
        <v>1.2428560756972111</v>
      </c>
      <c r="O152" s="300">
        <f t="shared" si="5"/>
        <v>2.0714267928286851</v>
      </c>
    </row>
    <row r="153" spans="1:15" s="40" customFormat="1" x14ac:dyDescent="0.2">
      <c r="A153" s="20" t="s">
        <v>34</v>
      </c>
      <c r="B153" s="20" t="s">
        <v>35</v>
      </c>
      <c r="C153" s="20" t="s">
        <v>1485</v>
      </c>
      <c r="D153" s="20" t="s">
        <v>1190</v>
      </c>
      <c r="E153" s="298">
        <v>26814</v>
      </c>
      <c r="F153" s="138" t="s">
        <v>1159</v>
      </c>
      <c r="G153" s="138">
        <v>0</v>
      </c>
      <c r="H153" s="299" t="s">
        <v>1191</v>
      </c>
      <c r="I153" s="300">
        <v>9.0500000000000007</v>
      </c>
      <c r="J153" s="300">
        <f>IF(OR($E153&lt;='Model Data Inputs'!$B$175,$F153="T"),$I153,IF($G153="E",'Model Data Inputs'!$B$176+$H153/'Model Data Inputs'!$B$179,IF($G153="M",'Model Data Inputs'!$B$177+$H153/'Model Data Inputs'!$B$179,IF($G153="H",'Model Data Inputs'!$B$178+$H153/'Model Data Inputs'!$B$179,IF($G153="N/A",0,$I153)))))</f>
        <v>9.0500000000000007</v>
      </c>
      <c r="K153" s="300">
        <f t="shared" si="4"/>
        <v>0</v>
      </c>
      <c r="L153" s="300">
        <f>$K153*'Model Data Inputs'!$B$168</f>
        <v>0</v>
      </c>
      <c r="M153" s="300">
        <f>$L153/'Model Data Inputs'!$B$169</f>
        <v>0</v>
      </c>
      <c r="N153" s="300">
        <f>IF($G153="E",$M153*('Model Data Inputs'!$B$171-1),IF($G153="M",$M153*('Model Data Inputs'!$B$172-1),IF($G153="H",$M153*('Model Data Inputs'!$B$173-1),$M153*('Model Data Inputs'!$B$170-1))))</f>
        <v>0</v>
      </c>
      <c r="O153" s="300">
        <f t="shared" si="5"/>
        <v>0</v>
      </c>
    </row>
    <row r="154" spans="1:15" s="40" customFormat="1" x14ac:dyDescent="0.2">
      <c r="A154" s="20" t="s">
        <v>34</v>
      </c>
      <c r="B154" s="20" t="s">
        <v>35</v>
      </c>
      <c r="C154" s="20" t="s">
        <v>1486</v>
      </c>
      <c r="D154" s="20" t="s">
        <v>1487</v>
      </c>
      <c r="E154" s="298">
        <v>35612</v>
      </c>
      <c r="F154" s="138" t="s">
        <v>1159</v>
      </c>
      <c r="G154" s="138" t="s">
        <v>1228</v>
      </c>
      <c r="H154" s="299">
        <f>SUM('School Level ADM'!S88,'School Level ADM'!S91)</f>
        <v>615.28800000000012</v>
      </c>
      <c r="I154" s="300">
        <v>40.479999999999997</v>
      </c>
      <c r="J154" s="300">
        <f>IF(OR($E154&lt;='Model Data Inputs'!$B$175,$F154="T"),$I154,IF($G154="E",'Model Data Inputs'!$B$176+$H154/'Model Data Inputs'!$B$179,IF($G154="M",'Model Data Inputs'!$B$177+$H154/'Model Data Inputs'!$B$179,IF($G154="H",'Model Data Inputs'!$B$178+$H154/'Model Data Inputs'!$B$179,IF($G154="N/A",0,$I154)))))</f>
        <v>40.479999999999997</v>
      </c>
      <c r="K154" s="300">
        <f t="shared" si="4"/>
        <v>40.479999999999997</v>
      </c>
      <c r="L154" s="300">
        <f>$K154*'Model Data Inputs'!$B$168</f>
        <v>3764.64</v>
      </c>
      <c r="M154" s="300">
        <f>$L154/'Model Data Inputs'!$B$169</f>
        <v>1.8748207171314741</v>
      </c>
      <c r="N154" s="300">
        <f>IF($G154="E",$M154*('Model Data Inputs'!$B$171-1),IF($G154="M",$M154*('Model Data Inputs'!$B$172-1),IF($G154="H",$M154*('Model Data Inputs'!$B$173-1),$M154*('Model Data Inputs'!$B$170-1))))</f>
        <v>2.8122310756972113</v>
      </c>
      <c r="O154" s="300">
        <f t="shared" si="5"/>
        <v>4.6870517928286857</v>
      </c>
    </row>
    <row r="155" spans="1:15" s="40" customFormat="1" x14ac:dyDescent="0.2">
      <c r="A155" s="20" t="s">
        <v>34</v>
      </c>
      <c r="B155" s="20" t="s">
        <v>35</v>
      </c>
      <c r="C155" s="20" t="s">
        <v>1488</v>
      </c>
      <c r="D155" s="20" t="s">
        <v>1489</v>
      </c>
      <c r="E155" s="298">
        <v>35612</v>
      </c>
      <c r="F155" s="138" t="s">
        <v>1159</v>
      </c>
      <c r="G155" s="138" t="s">
        <v>1228</v>
      </c>
      <c r="H155" s="299">
        <f>SUM('School Level ADM'!S87,'School Level ADM'!S89)</f>
        <v>376.09666666666669</v>
      </c>
      <c r="I155" s="300">
        <v>11.94</v>
      </c>
      <c r="J155" s="300">
        <f>IF(OR($E155&lt;='Model Data Inputs'!$B$175,$F155="T"),$I155,IF($G155="E",'Model Data Inputs'!$B$176+$H155/'Model Data Inputs'!$B$179,IF($G155="M",'Model Data Inputs'!$B$177+$H155/'Model Data Inputs'!$B$179,IF($G155="H",'Model Data Inputs'!$B$178+$H155/'Model Data Inputs'!$B$179,IF($G155="N/A",0,$I155)))))</f>
        <v>11.94</v>
      </c>
      <c r="K155" s="300">
        <f t="shared" si="4"/>
        <v>11.94</v>
      </c>
      <c r="L155" s="300">
        <f>$K155*'Model Data Inputs'!$B$168</f>
        <v>1110.4199999999998</v>
      </c>
      <c r="M155" s="300">
        <f>$L155/'Model Data Inputs'!$B$169</f>
        <v>0.55299800796812737</v>
      </c>
      <c r="N155" s="300">
        <f>IF($G155="E",$M155*('Model Data Inputs'!$B$171-1),IF($G155="M",$M155*('Model Data Inputs'!$B$172-1),IF($G155="H",$M155*('Model Data Inputs'!$B$173-1),$M155*('Model Data Inputs'!$B$170-1))))</f>
        <v>0.82949701195219105</v>
      </c>
      <c r="O155" s="300">
        <f t="shared" si="5"/>
        <v>1.3824950199203183</v>
      </c>
    </row>
    <row r="156" spans="1:15" s="40" customFormat="1" x14ac:dyDescent="0.2">
      <c r="A156" s="20" t="s">
        <v>34</v>
      </c>
      <c r="B156" s="20" t="s">
        <v>35</v>
      </c>
      <c r="C156" s="20" t="s">
        <v>1490</v>
      </c>
      <c r="D156" s="20" t="s">
        <v>1491</v>
      </c>
      <c r="E156" s="298">
        <v>9635</v>
      </c>
      <c r="F156" s="138" t="s">
        <v>1159</v>
      </c>
      <c r="G156" s="138" t="s">
        <v>1191</v>
      </c>
      <c r="H156" s="299" t="s">
        <v>1191</v>
      </c>
      <c r="I156" s="300">
        <v>0.5</v>
      </c>
      <c r="J156" s="300">
        <f>IF(OR($E156&lt;='Model Data Inputs'!$B$175,$F156="T"),$I156,IF($G156="E",'Model Data Inputs'!$B$176+$H156/'Model Data Inputs'!$B$179,IF($G156="M",'Model Data Inputs'!$B$177+$H156/'Model Data Inputs'!$B$179,IF($G156="H",'Model Data Inputs'!$B$178+$H156/'Model Data Inputs'!$B$179,IF($G156="N/A",0,$I156)))))</f>
        <v>0.5</v>
      </c>
      <c r="K156" s="300">
        <f t="shared" si="4"/>
        <v>0</v>
      </c>
      <c r="L156" s="300">
        <f>$K156*'Model Data Inputs'!$B$168</f>
        <v>0</v>
      </c>
      <c r="M156" s="300">
        <f>$L156/'Model Data Inputs'!$B$169</f>
        <v>0</v>
      </c>
      <c r="N156" s="300">
        <f>IF($G156="E",$M156*('Model Data Inputs'!$B$171-1),IF($G156="M",$M156*('Model Data Inputs'!$B$172-1),IF($G156="H",$M156*('Model Data Inputs'!$B$173-1),$M156*('Model Data Inputs'!$B$170-1))))</f>
        <v>0</v>
      </c>
      <c r="O156" s="300">
        <f t="shared" si="5"/>
        <v>0</v>
      </c>
    </row>
    <row r="157" spans="1:15" s="40" customFormat="1" x14ac:dyDescent="0.2">
      <c r="A157" s="20" t="s">
        <v>36</v>
      </c>
      <c r="B157" s="20" t="s">
        <v>540</v>
      </c>
      <c r="C157" s="20" t="s">
        <v>1492</v>
      </c>
      <c r="D157" s="20" t="s">
        <v>1493</v>
      </c>
      <c r="E157" s="298">
        <v>15851</v>
      </c>
      <c r="F157" s="138" t="s">
        <v>1159</v>
      </c>
      <c r="G157" s="138" t="s">
        <v>1228</v>
      </c>
      <c r="H157" s="299">
        <f>'School Level ADM'!S96</f>
        <v>472.79999999999995</v>
      </c>
      <c r="I157" s="300">
        <v>72.569999999999993</v>
      </c>
      <c r="J157" s="300">
        <f>IF(OR($E157&lt;='Model Data Inputs'!$B$175,$F157="T"),$I157,IF($G157="E",'Model Data Inputs'!$B$176+$H157/'Model Data Inputs'!$B$179,IF($G157="M",'Model Data Inputs'!$B$177+$H157/'Model Data Inputs'!$B$179,IF($G157="H",'Model Data Inputs'!$B$178+$H157/'Model Data Inputs'!$B$179,IF($G157="N/A",0,$I157)))))</f>
        <v>72.569999999999993</v>
      </c>
      <c r="K157" s="300">
        <f t="shared" si="4"/>
        <v>72.569999999999993</v>
      </c>
      <c r="L157" s="300">
        <f>$K157*'Model Data Inputs'!$B$168</f>
        <v>6749.0099999999993</v>
      </c>
      <c r="M157" s="300">
        <f>$L157/'Model Data Inputs'!$B$169</f>
        <v>3.3610607569721114</v>
      </c>
      <c r="N157" s="300">
        <f>IF($G157="E",$M157*('Model Data Inputs'!$B$171-1),IF($G157="M",$M157*('Model Data Inputs'!$B$172-1),IF($G157="H",$M157*('Model Data Inputs'!$B$173-1),$M157*('Model Data Inputs'!$B$170-1))))</f>
        <v>5.0415911354581668</v>
      </c>
      <c r="O157" s="300">
        <f t="shared" si="5"/>
        <v>8.4026518924302778</v>
      </c>
    </row>
    <row r="158" spans="1:15" s="40" customFormat="1" x14ac:dyDescent="0.2">
      <c r="A158" s="20" t="s">
        <v>36</v>
      </c>
      <c r="B158" s="20" t="s">
        <v>540</v>
      </c>
      <c r="C158" s="20" t="s">
        <v>1494</v>
      </c>
      <c r="D158" s="20" t="s">
        <v>1495</v>
      </c>
      <c r="E158" s="298">
        <v>35612</v>
      </c>
      <c r="F158" s="138" t="s">
        <v>1159</v>
      </c>
      <c r="G158" s="138">
        <v>0</v>
      </c>
      <c r="H158" s="299" t="s">
        <v>1191</v>
      </c>
      <c r="I158" s="300">
        <v>4.54</v>
      </c>
      <c r="J158" s="300">
        <f>IF(OR($E158&lt;='Model Data Inputs'!$B$175,$F158="T"),$I158,IF($G158="E",'Model Data Inputs'!$B$176+$H158/'Model Data Inputs'!$B$179,IF($G158="M",'Model Data Inputs'!$B$177+$H158/'Model Data Inputs'!$B$179,IF($G158="H",'Model Data Inputs'!$B$178+$H158/'Model Data Inputs'!$B$179,IF($G158="N/A",0,$I158)))))</f>
        <v>4.54</v>
      </c>
      <c r="K158" s="300">
        <f t="shared" si="4"/>
        <v>0</v>
      </c>
      <c r="L158" s="300">
        <f>$K158*'Model Data Inputs'!$B$168</f>
        <v>0</v>
      </c>
      <c r="M158" s="300">
        <f>$L158/'Model Data Inputs'!$B$169</f>
        <v>0</v>
      </c>
      <c r="N158" s="300">
        <f>IF($G158="E",$M158*('Model Data Inputs'!$B$171-1),IF($G158="M",$M158*('Model Data Inputs'!$B$172-1),IF($G158="H",$M158*('Model Data Inputs'!$B$173-1),$M158*('Model Data Inputs'!$B$170-1))))</f>
        <v>0</v>
      </c>
      <c r="O158" s="300">
        <f t="shared" si="5"/>
        <v>0</v>
      </c>
    </row>
    <row r="159" spans="1:15" s="40" customFormat="1" x14ac:dyDescent="0.2">
      <c r="A159" s="20" t="s">
        <v>36</v>
      </c>
      <c r="B159" s="20" t="s">
        <v>540</v>
      </c>
      <c r="C159" s="20" t="s">
        <v>1496</v>
      </c>
      <c r="D159" s="20" t="s">
        <v>1497</v>
      </c>
      <c r="E159" s="298">
        <v>35612</v>
      </c>
      <c r="F159" s="138" t="s">
        <v>1159</v>
      </c>
      <c r="G159" s="138" t="s">
        <v>1198</v>
      </c>
      <c r="H159" s="299" t="s">
        <v>1191</v>
      </c>
      <c r="I159" s="300">
        <v>1.79</v>
      </c>
      <c r="J159" s="300">
        <f>IF(OR($E159&lt;='Model Data Inputs'!$B$175,$F159="T"),$I159,IF($G159="E",'Model Data Inputs'!$B$176+$H159/'Model Data Inputs'!$B$179,IF($G159="M",'Model Data Inputs'!$B$177+$H159/'Model Data Inputs'!$B$179,IF($G159="H",'Model Data Inputs'!$B$178+$H159/'Model Data Inputs'!$B$179,IF($G159="N/A",0,$I159)))))</f>
        <v>1.79</v>
      </c>
      <c r="K159" s="300">
        <f t="shared" si="4"/>
        <v>1.79</v>
      </c>
      <c r="L159" s="300">
        <f>$K159*'Model Data Inputs'!$B$168</f>
        <v>166.47</v>
      </c>
      <c r="M159" s="300">
        <f>$L159/'Model Data Inputs'!$B$169</f>
        <v>8.290338645418327E-2</v>
      </c>
      <c r="N159" s="300">
        <f>IF($G159="E",$M159*('Model Data Inputs'!$B$171-1),IF($G159="M",$M159*('Model Data Inputs'!$B$172-1),IF($G159="H",$M159*('Model Data Inputs'!$B$173-1),$M159*('Model Data Inputs'!$B$170-1))))</f>
        <v>0</v>
      </c>
      <c r="O159" s="300">
        <f t="shared" si="5"/>
        <v>8.290338645418327E-2</v>
      </c>
    </row>
    <row r="160" spans="1:15" s="40" customFormat="1" x14ac:dyDescent="0.2">
      <c r="A160" s="20" t="s">
        <v>36</v>
      </c>
      <c r="B160" s="20" t="s">
        <v>540</v>
      </c>
      <c r="C160" s="20" t="s">
        <v>1498</v>
      </c>
      <c r="D160" s="20" t="s">
        <v>1499</v>
      </c>
      <c r="E160" s="298">
        <v>35612</v>
      </c>
      <c r="F160" s="138" t="s">
        <v>1159</v>
      </c>
      <c r="G160" s="138" t="s">
        <v>1228</v>
      </c>
      <c r="H160" s="299">
        <f>SUM('School Level ADM'!S95,'School Level ADM'!S97)</f>
        <v>444.23500000000001</v>
      </c>
      <c r="I160" s="300">
        <v>22.51</v>
      </c>
      <c r="J160" s="300">
        <f>IF(OR($E160&lt;='Model Data Inputs'!$B$175,$F160="T"),$I160,IF($G160="E",'Model Data Inputs'!$B$176+$H160/'Model Data Inputs'!$B$179,IF($G160="M",'Model Data Inputs'!$B$177+$H160/'Model Data Inputs'!$B$179,IF($G160="H",'Model Data Inputs'!$B$178+$H160/'Model Data Inputs'!$B$179,IF($G160="N/A",0,$I160)))))</f>
        <v>22.51</v>
      </c>
      <c r="K160" s="300">
        <f t="shared" si="4"/>
        <v>22.51</v>
      </c>
      <c r="L160" s="300">
        <f>$K160*'Model Data Inputs'!$B$168</f>
        <v>2093.4300000000003</v>
      </c>
      <c r="M160" s="300">
        <f>$L160/'Model Data Inputs'!$B$169</f>
        <v>1.0425448207171317</v>
      </c>
      <c r="N160" s="300">
        <f>IF($G160="E",$M160*('Model Data Inputs'!$B$171-1),IF($G160="M",$M160*('Model Data Inputs'!$B$172-1),IF($G160="H",$M160*('Model Data Inputs'!$B$173-1),$M160*('Model Data Inputs'!$B$170-1))))</f>
        <v>1.5638172310756975</v>
      </c>
      <c r="O160" s="300">
        <f t="shared" si="5"/>
        <v>2.6063620517928294</v>
      </c>
    </row>
    <row r="161" spans="1:15" s="40" customFormat="1" x14ac:dyDescent="0.2">
      <c r="A161" s="20" t="s">
        <v>36</v>
      </c>
      <c r="B161" s="20" t="s">
        <v>540</v>
      </c>
      <c r="C161" s="20" t="s">
        <v>1500</v>
      </c>
      <c r="D161" s="20" t="s">
        <v>1501</v>
      </c>
      <c r="E161" s="298">
        <v>23875</v>
      </c>
      <c r="F161" s="138" t="s">
        <v>1159</v>
      </c>
      <c r="G161" s="138" t="s">
        <v>1198</v>
      </c>
      <c r="H161" s="299" t="s">
        <v>1191</v>
      </c>
      <c r="I161" s="300">
        <v>10</v>
      </c>
      <c r="J161" s="300">
        <f>IF(OR($E161&lt;='Model Data Inputs'!$B$175,$F161="T"),$I161,IF($G161="E",'Model Data Inputs'!$B$176+$H161/'Model Data Inputs'!$B$179,IF($G161="M",'Model Data Inputs'!$B$177+$H161/'Model Data Inputs'!$B$179,IF($G161="H",'Model Data Inputs'!$B$178+$H161/'Model Data Inputs'!$B$179,IF($G161="N/A",0,$I161)))))</f>
        <v>10</v>
      </c>
      <c r="K161" s="300">
        <f t="shared" si="4"/>
        <v>10</v>
      </c>
      <c r="L161" s="300">
        <f>$K161*'Model Data Inputs'!$B$168</f>
        <v>930</v>
      </c>
      <c r="M161" s="300">
        <f>$L161/'Model Data Inputs'!$B$169</f>
        <v>0.46314741035856571</v>
      </c>
      <c r="N161" s="300">
        <f>IF($G161="E",$M161*('Model Data Inputs'!$B$171-1),IF($G161="M",$M161*('Model Data Inputs'!$B$172-1),IF($G161="H",$M161*('Model Data Inputs'!$B$173-1),$M161*('Model Data Inputs'!$B$170-1))))</f>
        <v>0</v>
      </c>
      <c r="O161" s="300">
        <f t="shared" si="5"/>
        <v>0.46314741035856571</v>
      </c>
    </row>
    <row r="162" spans="1:15" s="40" customFormat="1" x14ac:dyDescent="0.2">
      <c r="A162" s="20" t="s">
        <v>36</v>
      </c>
      <c r="B162" s="20" t="s">
        <v>540</v>
      </c>
      <c r="C162" s="20" t="s">
        <v>1502</v>
      </c>
      <c r="D162" s="20" t="s">
        <v>1503</v>
      </c>
      <c r="E162" s="298">
        <v>29354</v>
      </c>
      <c r="F162" s="138" t="s">
        <v>1159</v>
      </c>
      <c r="G162" s="138" t="s">
        <v>1198</v>
      </c>
      <c r="H162" s="299">
        <f>'School Level ADM'!S94</f>
        <v>300.42499999999995</v>
      </c>
      <c r="I162" s="300">
        <v>15.14</v>
      </c>
      <c r="J162" s="300">
        <f>IF(OR($E162&lt;='Model Data Inputs'!$B$175,$F162="T"),$I162,IF($G162="E",'Model Data Inputs'!$B$176+$H162/'Model Data Inputs'!$B$179,IF($G162="M",'Model Data Inputs'!$B$177+$H162/'Model Data Inputs'!$B$179,IF($G162="H",'Model Data Inputs'!$B$178+$H162/'Model Data Inputs'!$B$179,IF($G162="N/A",0,$I162)))))</f>
        <v>15.14</v>
      </c>
      <c r="K162" s="300">
        <f t="shared" si="4"/>
        <v>15.14</v>
      </c>
      <c r="L162" s="300">
        <f>$K162*'Model Data Inputs'!$B$168</f>
        <v>1408.02</v>
      </c>
      <c r="M162" s="300">
        <f>$L162/'Model Data Inputs'!$B$169</f>
        <v>0.70120517928286852</v>
      </c>
      <c r="N162" s="300">
        <f>IF($G162="E",$M162*('Model Data Inputs'!$B$171-1),IF($G162="M",$M162*('Model Data Inputs'!$B$172-1),IF($G162="H",$M162*('Model Data Inputs'!$B$173-1),$M162*('Model Data Inputs'!$B$170-1))))</f>
        <v>0</v>
      </c>
      <c r="O162" s="300">
        <f t="shared" si="5"/>
        <v>0.70120517928286852</v>
      </c>
    </row>
    <row r="163" spans="1:15" s="40" customFormat="1" x14ac:dyDescent="0.2">
      <c r="A163" s="20" t="s">
        <v>36</v>
      </c>
      <c r="B163" s="20" t="s">
        <v>540</v>
      </c>
      <c r="C163" s="20" t="s">
        <v>1504</v>
      </c>
      <c r="D163" s="20" t="s">
        <v>1505</v>
      </c>
      <c r="E163" s="298">
        <v>35612</v>
      </c>
      <c r="F163" s="138" t="s">
        <v>1159</v>
      </c>
      <c r="G163" s="138" t="s">
        <v>1198</v>
      </c>
      <c r="H163" s="299">
        <f>'School Level ADM'!S92</f>
        <v>6.8950000000000005</v>
      </c>
      <c r="I163" s="300">
        <v>16.489999999999998</v>
      </c>
      <c r="J163" s="300">
        <f>IF(OR($E163&lt;='Model Data Inputs'!$B$175,$F163="T"),$I163,IF($G163="E",'Model Data Inputs'!$B$176+$H163/'Model Data Inputs'!$B$179,IF($G163="M",'Model Data Inputs'!$B$177+$H163/'Model Data Inputs'!$B$179,IF($G163="H",'Model Data Inputs'!$B$178+$H163/'Model Data Inputs'!$B$179,IF($G163="N/A",0,$I163)))))</f>
        <v>16.489999999999998</v>
      </c>
      <c r="K163" s="300">
        <f t="shared" si="4"/>
        <v>16.489999999999998</v>
      </c>
      <c r="L163" s="300">
        <f>$K163*'Model Data Inputs'!$B$168</f>
        <v>1533.57</v>
      </c>
      <c r="M163" s="300">
        <f>$L163/'Model Data Inputs'!$B$169</f>
        <v>0.76373007968127482</v>
      </c>
      <c r="N163" s="300">
        <f>IF($G163="E",$M163*('Model Data Inputs'!$B$171-1),IF($G163="M",$M163*('Model Data Inputs'!$B$172-1),IF($G163="H",$M163*('Model Data Inputs'!$B$173-1),$M163*('Model Data Inputs'!$B$170-1))))</f>
        <v>0</v>
      </c>
      <c r="O163" s="300">
        <f t="shared" si="5"/>
        <v>0.76373007968127482</v>
      </c>
    </row>
    <row r="164" spans="1:15" s="40" customFormat="1" x14ac:dyDescent="0.2">
      <c r="A164" s="20" t="s">
        <v>36</v>
      </c>
      <c r="B164" s="20" t="s">
        <v>540</v>
      </c>
      <c r="C164" s="20" t="s">
        <v>1506</v>
      </c>
      <c r="D164" s="20" t="s">
        <v>1507</v>
      </c>
      <c r="E164" s="298">
        <v>23935</v>
      </c>
      <c r="F164" s="138" t="s">
        <v>1159</v>
      </c>
      <c r="G164" s="138" t="s">
        <v>1198</v>
      </c>
      <c r="H164" s="299">
        <f>'School Level ADM'!S93</f>
        <v>535.83999999999992</v>
      </c>
      <c r="I164" s="300">
        <v>9.0500000000000007</v>
      </c>
      <c r="J164" s="300">
        <f>IF(OR($E164&lt;='Model Data Inputs'!$B$175,$F164="T"),$I164,IF($G164="E",'Model Data Inputs'!$B$176+$H164/'Model Data Inputs'!$B$179,IF($G164="M",'Model Data Inputs'!$B$177+$H164/'Model Data Inputs'!$B$179,IF($G164="H",'Model Data Inputs'!$B$178+$H164/'Model Data Inputs'!$B$179,IF($G164="N/A",0,$I164)))))</f>
        <v>9.0500000000000007</v>
      </c>
      <c r="K164" s="300">
        <f t="shared" si="4"/>
        <v>9.0500000000000007</v>
      </c>
      <c r="L164" s="300">
        <f>$K164*'Model Data Inputs'!$B$168</f>
        <v>841.65000000000009</v>
      </c>
      <c r="M164" s="300">
        <f>$L164/'Model Data Inputs'!$B$169</f>
        <v>0.41914840637450201</v>
      </c>
      <c r="N164" s="300">
        <f>IF($G164="E",$M164*('Model Data Inputs'!$B$171-1),IF($G164="M",$M164*('Model Data Inputs'!$B$172-1),IF($G164="H",$M164*('Model Data Inputs'!$B$173-1),$M164*('Model Data Inputs'!$B$170-1))))</f>
        <v>0</v>
      </c>
      <c r="O164" s="300">
        <f t="shared" si="5"/>
        <v>0.41914840637450201</v>
      </c>
    </row>
    <row r="165" spans="1:15" s="40" customFormat="1" x14ac:dyDescent="0.2">
      <c r="A165" s="20" t="s">
        <v>36</v>
      </c>
      <c r="B165" s="20" t="s">
        <v>540</v>
      </c>
      <c r="C165" s="20" t="s">
        <v>1508</v>
      </c>
      <c r="D165" s="20" t="s">
        <v>1509</v>
      </c>
      <c r="E165" s="298">
        <v>36984</v>
      </c>
      <c r="F165" s="138" t="s">
        <v>1159</v>
      </c>
      <c r="G165" s="138">
        <v>0</v>
      </c>
      <c r="H165" s="299" t="s">
        <v>1191</v>
      </c>
      <c r="I165" s="300">
        <v>60</v>
      </c>
      <c r="J165" s="300">
        <f>IF(OR($E165&lt;='Model Data Inputs'!$B$175,$F165="T"),$I165,IF($G165="E",'Model Data Inputs'!$B$176+$H165/'Model Data Inputs'!$B$179,IF($G165="M",'Model Data Inputs'!$B$177+$H165/'Model Data Inputs'!$B$179,IF($G165="H",'Model Data Inputs'!$B$178+$H165/'Model Data Inputs'!$B$179,IF($G165="N/A",0,$I165)))))</f>
        <v>60</v>
      </c>
      <c r="K165" s="300">
        <f t="shared" si="4"/>
        <v>0</v>
      </c>
      <c r="L165" s="300">
        <f>$K165*'Model Data Inputs'!$B$168</f>
        <v>0</v>
      </c>
      <c r="M165" s="300">
        <f>$L165/'Model Data Inputs'!$B$169</f>
        <v>0</v>
      </c>
      <c r="N165" s="300">
        <f>IF($G165="E",$M165*('Model Data Inputs'!$B$171-1),IF($G165="M",$M165*('Model Data Inputs'!$B$172-1),IF($G165="H",$M165*('Model Data Inputs'!$B$173-1),$M165*('Model Data Inputs'!$B$170-1))))</f>
        <v>0</v>
      </c>
      <c r="O165" s="300">
        <f t="shared" si="5"/>
        <v>0</v>
      </c>
    </row>
    <row r="166" spans="1:15" s="40" customFormat="1" x14ac:dyDescent="0.2">
      <c r="A166" s="20" t="s">
        <v>36</v>
      </c>
      <c r="B166" s="20" t="s">
        <v>540</v>
      </c>
      <c r="C166" s="20" t="s">
        <v>1510</v>
      </c>
      <c r="D166" s="20" t="s">
        <v>1511</v>
      </c>
      <c r="E166" s="298">
        <v>35612</v>
      </c>
      <c r="F166" s="138" t="s">
        <v>1159</v>
      </c>
      <c r="G166" s="138">
        <v>0</v>
      </c>
      <c r="H166" s="299" t="s">
        <v>1191</v>
      </c>
      <c r="I166" s="300">
        <v>25</v>
      </c>
      <c r="J166" s="300">
        <f>IF(OR($E166&lt;='Model Data Inputs'!$B$175,$F166="T"),$I166,IF($G166="E",'Model Data Inputs'!$B$176+$H166/'Model Data Inputs'!$B$179,IF($G166="M",'Model Data Inputs'!$B$177+$H166/'Model Data Inputs'!$B$179,IF($G166="H",'Model Data Inputs'!$B$178+$H166/'Model Data Inputs'!$B$179,IF($G166="N/A",0,$I166)))))</f>
        <v>25</v>
      </c>
      <c r="K166" s="300">
        <f t="shared" si="4"/>
        <v>0</v>
      </c>
      <c r="L166" s="300">
        <f>$K166*'Model Data Inputs'!$B$168</f>
        <v>0</v>
      </c>
      <c r="M166" s="300">
        <f>$L166/'Model Data Inputs'!$B$169</f>
        <v>0</v>
      </c>
      <c r="N166" s="300">
        <f>IF($G166="E",$M166*('Model Data Inputs'!$B$171-1),IF($G166="M",$M166*('Model Data Inputs'!$B$172-1),IF($G166="H",$M166*('Model Data Inputs'!$B$173-1),$M166*('Model Data Inputs'!$B$170-1))))</f>
        <v>0</v>
      </c>
      <c r="O166" s="300">
        <f t="shared" si="5"/>
        <v>0</v>
      </c>
    </row>
    <row r="167" spans="1:15" s="40" customFormat="1" x14ac:dyDescent="0.2">
      <c r="A167" s="20" t="s">
        <v>38</v>
      </c>
      <c r="B167" s="20" t="s">
        <v>554</v>
      </c>
      <c r="C167" s="20" t="s">
        <v>1512</v>
      </c>
      <c r="D167" s="20" t="s">
        <v>1513</v>
      </c>
      <c r="E167" s="298">
        <v>35612</v>
      </c>
      <c r="F167" s="138" t="s">
        <v>1159</v>
      </c>
      <c r="G167" s="138" t="s">
        <v>1228</v>
      </c>
      <c r="H167" s="299">
        <f>SUM('School Level ADM'!S98:S100)</f>
        <v>148.73500000000001</v>
      </c>
      <c r="I167" s="300">
        <v>16.11</v>
      </c>
      <c r="J167" s="300">
        <f>IF(OR($E167&lt;='Model Data Inputs'!$B$175,$F167="T"),$I167,IF($G167="E",'Model Data Inputs'!$B$176+$H167/'Model Data Inputs'!$B$179,IF($G167="M",'Model Data Inputs'!$B$177+$H167/'Model Data Inputs'!$B$179,IF($G167="H",'Model Data Inputs'!$B$178+$H167/'Model Data Inputs'!$B$179,IF($G167="N/A",0,$I167)))))</f>
        <v>16.11</v>
      </c>
      <c r="K167" s="300">
        <f t="shared" si="4"/>
        <v>16.11</v>
      </c>
      <c r="L167" s="300">
        <f>$K167*'Model Data Inputs'!$B$168</f>
        <v>1498.23</v>
      </c>
      <c r="M167" s="300">
        <f>$L167/'Model Data Inputs'!$B$169</f>
        <v>0.74613047808764943</v>
      </c>
      <c r="N167" s="300">
        <f>IF($G167="E",$M167*('Model Data Inputs'!$B$171-1),IF($G167="M",$M167*('Model Data Inputs'!$B$172-1),IF($G167="H",$M167*('Model Data Inputs'!$B$173-1),$M167*('Model Data Inputs'!$B$170-1))))</f>
        <v>1.1191957171314741</v>
      </c>
      <c r="O167" s="300">
        <f t="shared" si="5"/>
        <v>1.8653261952191236</v>
      </c>
    </row>
    <row r="168" spans="1:15" s="40" customFormat="1" x14ac:dyDescent="0.2">
      <c r="A168" s="20" t="s">
        <v>38</v>
      </c>
      <c r="B168" s="20" t="s">
        <v>554</v>
      </c>
      <c r="C168" s="20" t="s">
        <v>1514</v>
      </c>
      <c r="D168" s="20" t="s">
        <v>1515</v>
      </c>
      <c r="E168" s="298">
        <v>35612</v>
      </c>
      <c r="F168" s="138" t="s">
        <v>1159</v>
      </c>
      <c r="G168" s="138">
        <v>0</v>
      </c>
      <c r="H168" s="299" t="s">
        <v>1191</v>
      </c>
      <c r="I168" s="300">
        <v>13.8</v>
      </c>
      <c r="J168" s="300">
        <f>IF(OR($E168&lt;='Model Data Inputs'!$B$175,$F168="T"),$I168,IF($G168="E",'Model Data Inputs'!$B$176+$H168/'Model Data Inputs'!$B$179,IF($G168="M",'Model Data Inputs'!$B$177+$H168/'Model Data Inputs'!$B$179,IF($G168="H",'Model Data Inputs'!$B$178+$H168/'Model Data Inputs'!$B$179,IF($G168="N/A",0,$I168)))))</f>
        <v>13.8</v>
      </c>
      <c r="K168" s="300">
        <f t="shared" si="4"/>
        <v>0</v>
      </c>
      <c r="L168" s="300">
        <f>$K168*'Model Data Inputs'!$B$168</f>
        <v>0</v>
      </c>
      <c r="M168" s="300">
        <f>$L168/'Model Data Inputs'!$B$169</f>
        <v>0</v>
      </c>
      <c r="N168" s="300">
        <f>IF($G168="E",$M168*('Model Data Inputs'!$B$171-1),IF($G168="M",$M168*('Model Data Inputs'!$B$172-1),IF($G168="H",$M168*('Model Data Inputs'!$B$173-1),$M168*('Model Data Inputs'!$B$170-1))))</f>
        <v>0</v>
      </c>
      <c r="O168" s="300">
        <f t="shared" si="5"/>
        <v>0</v>
      </c>
    </row>
    <row r="169" spans="1:15" s="40" customFormat="1" x14ac:dyDescent="0.2">
      <c r="A169" s="20" t="s">
        <v>38</v>
      </c>
      <c r="B169" s="20" t="s">
        <v>554</v>
      </c>
      <c r="C169" s="20" t="s">
        <v>1516</v>
      </c>
      <c r="D169" s="20" t="s">
        <v>1517</v>
      </c>
      <c r="E169" s="298">
        <v>25079</v>
      </c>
      <c r="F169" s="138" t="s">
        <v>1159</v>
      </c>
      <c r="G169" s="138">
        <v>0</v>
      </c>
      <c r="H169" s="299" t="s">
        <v>1191</v>
      </c>
      <c r="I169" s="300">
        <v>0.56999999999999995</v>
      </c>
      <c r="J169" s="300">
        <f>IF(OR($E169&lt;='Model Data Inputs'!$B$175,$F169="T"),$I169,IF($G169="E",'Model Data Inputs'!$B$176+$H169/'Model Data Inputs'!$B$179,IF($G169="M",'Model Data Inputs'!$B$177+$H169/'Model Data Inputs'!$B$179,IF($G169="H",'Model Data Inputs'!$B$178+$H169/'Model Data Inputs'!$B$179,IF($G169="N/A",0,$I169)))))</f>
        <v>0.56999999999999995</v>
      </c>
      <c r="K169" s="300">
        <f t="shared" si="4"/>
        <v>0</v>
      </c>
      <c r="L169" s="300">
        <f>$K169*'Model Data Inputs'!$B$168</f>
        <v>0</v>
      </c>
      <c r="M169" s="300">
        <f>$L169/'Model Data Inputs'!$B$169</f>
        <v>0</v>
      </c>
      <c r="N169" s="300">
        <f>IF($G169="E",$M169*('Model Data Inputs'!$B$171-1),IF($G169="M",$M169*('Model Data Inputs'!$B$172-1),IF($G169="H",$M169*('Model Data Inputs'!$B$173-1),$M169*('Model Data Inputs'!$B$170-1))))</f>
        <v>0</v>
      </c>
      <c r="O169" s="300">
        <f t="shared" si="5"/>
        <v>0</v>
      </c>
    </row>
    <row r="170" spans="1:15" s="40" customFormat="1" x14ac:dyDescent="0.2">
      <c r="A170" s="20" t="s">
        <v>38</v>
      </c>
      <c r="B170" s="20" t="s">
        <v>554</v>
      </c>
      <c r="C170" s="20" t="s">
        <v>1518</v>
      </c>
      <c r="D170" s="20" t="s">
        <v>1519</v>
      </c>
      <c r="E170" s="298">
        <v>28688</v>
      </c>
      <c r="F170" s="138" t="s">
        <v>1159</v>
      </c>
      <c r="G170" s="138">
        <v>0</v>
      </c>
      <c r="H170" s="299" t="s">
        <v>1191</v>
      </c>
      <c r="I170" s="300">
        <v>2</v>
      </c>
      <c r="J170" s="300">
        <f>IF(OR($E170&lt;='Model Data Inputs'!$B$175,$F170="T"),$I170,IF($G170="E",'Model Data Inputs'!$B$176+$H170/'Model Data Inputs'!$B$179,IF($G170="M",'Model Data Inputs'!$B$177+$H170/'Model Data Inputs'!$B$179,IF($G170="H",'Model Data Inputs'!$B$178+$H170/'Model Data Inputs'!$B$179,IF($G170="N/A",0,$I170)))))</f>
        <v>2</v>
      </c>
      <c r="K170" s="300">
        <f t="shared" si="4"/>
        <v>0</v>
      </c>
      <c r="L170" s="300">
        <f>$K170*'Model Data Inputs'!$B$168</f>
        <v>0</v>
      </c>
      <c r="M170" s="300">
        <f>$L170/'Model Data Inputs'!$B$169</f>
        <v>0</v>
      </c>
      <c r="N170" s="300">
        <f>IF($G170="E",$M170*('Model Data Inputs'!$B$171-1),IF($G170="M",$M170*('Model Data Inputs'!$B$172-1),IF($G170="H",$M170*('Model Data Inputs'!$B$173-1),$M170*('Model Data Inputs'!$B$170-1))))</f>
        <v>0</v>
      </c>
      <c r="O170" s="300">
        <f t="shared" si="5"/>
        <v>0</v>
      </c>
    </row>
    <row r="171" spans="1:15" s="40" customFormat="1" x14ac:dyDescent="0.2">
      <c r="A171" s="20" t="s">
        <v>38</v>
      </c>
      <c r="B171" s="20" t="s">
        <v>554</v>
      </c>
      <c r="C171" s="20" t="s">
        <v>1520</v>
      </c>
      <c r="D171" s="20" t="s">
        <v>1521</v>
      </c>
      <c r="E171" s="298">
        <v>39828</v>
      </c>
      <c r="F171" s="138" t="s">
        <v>1159</v>
      </c>
      <c r="G171" s="138" t="s">
        <v>1191</v>
      </c>
      <c r="H171" s="299" t="s">
        <v>1191</v>
      </c>
      <c r="I171" s="300">
        <v>0.95</v>
      </c>
      <c r="J171" s="300">
        <f>IF(OR($E171&lt;='Model Data Inputs'!$B$175,$F171="T"),$I171,IF($G171="E",'Model Data Inputs'!$B$176+$H171/'Model Data Inputs'!$B$179,IF($G171="M",'Model Data Inputs'!$B$177+$H171/'Model Data Inputs'!$B$179,IF($G171="H",'Model Data Inputs'!$B$178+$H171/'Model Data Inputs'!$B$179,IF($G171="N/A",0,$I171)))))</f>
        <v>0</v>
      </c>
      <c r="K171" s="300">
        <f t="shared" si="4"/>
        <v>0</v>
      </c>
      <c r="L171" s="300">
        <f>$K171*'Model Data Inputs'!$B$168</f>
        <v>0</v>
      </c>
      <c r="M171" s="300">
        <f>$L171/'Model Data Inputs'!$B$169</f>
        <v>0</v>
      </c>
      <c r="N171" s="300">
        <f>IF($G171="E",$M171*('Model Data Inputs'!$B$171-1),IF($G171="M",$M171*('Model Data Inputs'!$B$172-1),IF($G171="H",$M171*('Model Data Inputs'!$B$173-1),$M171*('Model Data Inputs'!$B$170-1))))</f>
        <v>0</v>
      </c>
      <c r="O171" s="300">
        <f t="shared" si="5"/>
        <v>0</v>
      </c>
    </row>
    <row r="172" spans="1:15" s="40" customFormat="1" x14ac:dyDescent="0.2">
      <c r="A172" s="20" t="s">
        <v>38</v>
      </c>
      <c r="B172" s="20" t="s">
        <v>554</v>
      </c>
      <c r="C172" s="20" t="s">
        <v>1522</v>
      </c>
      <c r="D172" s="20" t="s">
        <v>1523</v>
      </c>
      <c r="E172" s="298">
        <v>39860</v>
      </c>
      <c r="F172" s="138" t="s">
        <v>1159</v>
      </c>
      <c r="G172" s="138">
        <v>0</v>
      </c>
      <c r="H172" s="299" t="s">
        <v>1191</v>
      </c>
      <c r="I172" s="300">
        <v>0.87</v>
      </c>
      <c r="J172" s="300">
        <f>IF(OR($E172&lt;='Model Data Inputs'!$B$175,$F172="T"),$I172,IF($G172="E",'Model Data Inputs'!$B$176+$H172/'Model Data Inputs'!$B$179,IF($G172="M",'Model Data Inputs'!$B$177+$H172/'Model Data Inputs'!$B$179,IF($G172="H",'Model Data Inputs'!$B$178+$H172/'Model Data Inputs'!$B$179,IF($G172="N/A",0,$I172)))))</f>
        <v>0.87</v>
      </c>
      <c r="K172" s="300">
        <f t="shared" si="4"/>
        <v>0</v>
      </c>
      <c r="L172" s="300">
        <f>$K172*'Model Data Inputs'!$B$168</f>
        <v>0</v>
      </c>
      <c r="M172" s="300">
        <f>$L172/'Model Data Inputs'!$B$169</f>
        <v>0</v>
      </c>
      <c r="N172" s="300">
        <f>IF($G172="E",$M172*('Model Data Inputs'!$B$171-1),IF($G172="M",$M172*('Model Data Inputs'!$B$172-1),IF($G172="H",$M172*('Model Data Inputs'!$B$173-1),$M172*('Model Data Inputs'!$B$170-1))))</f>
        <v>0</v>
      </c>
      <c r="O172" s="300">
        <f t="shared" si="5"/>
        <v>0</v>
      </c>
    </row>
    <row r="173" spans="1:15" s="40" customFormat="1" x14ac:dyDescent="0.2">
      <c r="A173" s="20" t="s">
        <v>40</v>
      </c>
      <c r="B173" s="20" t="s">
        <v>561</v>
      </c>
      <c r="C173" s="20" t="s">
        <v>1524</v>
      </c>
      <c r="D173" s="20" t="s">
        <v>1525</v>
      </c>
      <c r="E173" s="298">
        <v>35612</v>
      </c>
      <c r="F173" s="138" t="s">
        <v>1159</v>
      </c>
      <c r="G173" s="138" t="s">
        <v>1198</v>
      </c>
      <c r="H173" s="299">
        <f>'School Level ADM'!S102</f>
        <v>169.42000000000002</v>
      </c>
      <c r="I173" s="300">
        <v>5</v>
      </c>
      <c r="J173" s="300">
        <f>IF(OR($E173&lt;='Model Data Inputs'!$B$175,$F173="T"),$I173,IF($G173="E",'Model Data Inputs'!$B$176+$H173/'Model Data Inputs'!$B$179,IF($G173="M",'Model Data Inputs'!$B$177+$H173/'Model Data Inputs'!$B$179,IF($G173="H",'Model Data Inputs'!$B$178+$H173/'Model Data Inputs'!$B$179,IF($G173="N/A",0,$I173)))))</f>
        <v>5</v>
      </c>
      <c r="K173" s="300">
        <f t="shared" si="4"/>
        <v>5</v>
      </c>
      <c r="L173" s="300">
        <f>$K173*'Model Data Inputs'!$B$168</f>
        <v>465</v>
      </c>
      <c r="M173" s="300">
        <f>$L173/'Model Data Inputs'!$B$169</f>
        <v>0.23157370517928286</v>
      </c>
      <c r="N173" s="300">
        <f>IF($G173="E",$M173*('Model Data Inputs'!$B$171-1),IF($G173="M",$M173*('Model Data Inputs'!$B$172-1),IF($G173="H",$M173*('Model Data Inputs'!$B$173-1),$M173*('Model Data Inputs'!$B$170-1))))</f>
        <v>0</v>
      </c>
      <c r="O173" s="300">
        <f t="shared" si="5"/>
        <v>0.23157370517928286</v>
      </c>
    </row>
    <row r="174" spans="1:15" s="40" customFormat="1" x14ac:dyDescent="0.2">
      <c r="A174" s="20" t="s">
        <v>40</v>
      </c>
      <c r="B174" s="20" t="s">
        <v>561</v>
      </c>
      <c r="C174" s="20" t="s">
        <v>1526</v>
      </c>
      <c r="D174" s="20" t="s">
        <v>1527</v>
      </c>
      <c r="E174" s="298">
        <v>20290</v>
      </c>
      <c r="F174" s="138" t="s">
        <v>1159</v>
      </c>
      <c r="G174" s="138" t="s">
        <v>1198</v>
      </c>
      <c r="H174" s="299">
        <f>'School Level ADM'!S101</f>
        <v>17.73</v>
      </c>
      <c r="I174" s="300">
        <v>2</v>
      </c>
      <c r="J174" s="300">
        <f>IF(OR($E174&lt;='Model Data Inputs'!$B$175,$F174="T"),$I174,IF($G174="E",'Model Data Inputs'!$B$176+$H174/'Model Data Inputs'!$B$179,IF($G174="M",'Model Data Inputs'!$B$177+$H174/'Model Data Inputs'!$B$179,IF($G174="H",'Model Data Inputs'!$B$178+$H174/'Model Data Inputs'!$B$179,IF($G174="N/A",0,$I174)))))</f>
        <v>2</v>
      </c>
      <c r="K174" s="300">
        <f t="shared" si="4"/>
        <v>2</v>
      </c>
      <c r="L174" s="300">
        <f>$K174*'Model Data Inputs'!$B$168</f>
        <v>186</v>
      </c>
      <c r="M174" s="300">
        <f>$L174/'Model Data Inputs'!$B$169</f>
        <v>9.2629482071713148E-2</v>
      </c>
      <c r="N174" s="300">
        <f>IF($G174="E",$M174*('Model Data Inputs'!$B$171-1),IF($G174="M",$M174*('Model Data Inputs'!$B$172-1),IF($G174="H",$M174*('Model Data Inputs'!$B$173-1),$M174*('Model Data Inputs'!$B$170-1))))</f>
        <v>0</v>
      </c>
      <c r="O174" s="300">
        <f t="shared" si="5"/>
        <v>9.2629482071713148E-2</v>
      </c>
    </row>
    <row r="175" spans="1:15" s="40" customFormat="1" x14ac:dyDescent="0.2">
      <c r="A175" s="20" t="s">
        <v>40</v>
      </c>
      <c r="B175" s="20" t="s">
        <v>561</v>
      </c>
      <c r="C175" s="20" t="s">
        <v>1528</v>
      </c>
      <c r="D175" s="20" t="s">
        <v>1529</v>
      </c>
      <c r="E175" s="298">
        <v>35612</v>
      </c>
      <c r="F175" s="138" t="s">
        <v>1159</v>
      </c>
      <c r="G175" s="138" t="s">
        <v>1228</v>
      </c>
      <c r="H175" s="299">
        <f>SUM('School Level ADM'!S103:S105)</f>
        <v>219.655</v>
      </c>
      <c r="I175" s="300">
        <v>38.479999999999997</v>
      </c>
      <c r="J175" s="300">
        <f>IF(OR($E175&lt;='Model Data Inputs'!$B$175,$F175="T"),$I175,IF($G175="E",'Model Data Inputs'!$B$176+$H175/'Model Data Inputs'!$B$179,IF($G175="M",'Model Data Inputs'!$B$177+$H175/'Model Data Inputs'!$B$179,IF($G175="H",'Model Data Inputs'!$B$178+$H175/'Model Data Inputs'!$B$179,IF($G175="N/A",0,$I175)))))</f>
        <v>38.479999999999997</v>
      </c>
      <c r="K175" s="300">
        <f t="shared" si="4"/>
        <v>38.479999999999997</v>
      </c>
      <c r="L175" s="300">
        <f>$K175*'Model Data Inputs'!$B$168</f>
        <v>3578.64</v>
      </c>
      <c r="M175" s="300">
        <f>$L175/'Model Data Inputs'!$B$169</f>
        <v>1.7821912350597608</v>
      </c>
      <c r="N175" s="300">
        <f>IF($G175="E",$M175*('Model Data Inputs'!$B$171-1),IF($G175="M",$M175*('Model Data Inputs'!$B$172-1),IF($G175="H",$M175*('Model Data Inputs'!$B$173-1),$M175*('Model Data Inputs'!$B$170-1))))</f>
        <v>2.6732868525896412</v>
      </c>
      <c r="O175" s="300">
        <f t="shared" si="5"/>
        <v>4.4554780876494018</v>
      </c>
    </row>
    <row r="176" spans="1:15" s="40" customFormat="1" x14ac:dyDescent="0.2">
      <c r="A176" s="20" t="s">
        <v>40</v>
      </c>
      <c r="B176" s="20" t="s">
        <v>561</v>
      </c>
      <c r="C176" s="20" t="s">
        <v>1530</v>
      </c>
      <c r="D176" s="20" t="s">
        <v>1531</v>
      </c>
      <c r="E176" s="298">
        <v>39498</v>
      </c>
      <c r="F176" s="138" t="s">
        <v>1159</v>
      </c>
      <c r="G176" s="138">
        <v>0</v>
      </c>
      <c r="H176" s="299" t="s">
        <v>1191</v>
      </c>
      <c r="I176" s="300">
        <v>2</v>
      </c>
      <c r="J176" s="300">
        <f>IF(OR($E176&lt;='Model Data Inputs'!$B$175,$F176="T"),$I176,IF($G176="E",'Model Data Inputs'!$B$176+$H176/'Model Data Inputs'!$B$179,IF($G176="M",'Model Data Inputs'!$B$177+$H176/'Model Data Inputs'!$B$179,IF($G176="H",'Model Data Inputs'!$B$178+$H176/'Model Data Inputs'!$B$179,IF($G176="N/A",0,$I176)))))</f>
        <v>2</v>
      </c>
      <c r="K176" s="300">
        <f t="shared" si="4"/>
        <v>0</v>
      </c>
      <c r="L176" s="300">
        <f>$K176*'Model Data Inputs'!$B$168</f>
        <v>0</v>
      </c>
      <c r="M176" s="300">
        <f>$L176/'Model Data Inputs'!$B$169</f>
        <v>0</v>
      </c>
      <c r="N176" s="300">
        <f>IF($G176="E",$M176*('Model Data Inputs'!$B$171-1),IF($G176="M",$M176*('Model Data Inputs'!$B$172-1),IF($G176="H",$M176*('Model Data Inputs'!$B$173-1),$M176*('Model Data Inputs'!$B$170-1))))</f>
        <v>0</v>
      </c>
      <c r="O176" s="300">
        <f t="shared" si="5"/>
        <v>0</v>
      </c>
    </row>
    <row r="177" spans="1:15" s="40" customFormat="1" x14ac:dyDescent="0.2">
      <c r="A177" s="20" t="s">
        <v>40</v>
      </c>
      <c r="B177" s="20" t="s">
        <v>561</v>
      </c>
      <c r="C177" s="20" t="s">
        <v>1532</v>
      </c>
      <c r="D177" s="20" t="s">
        <v>1533</v>
      </c>
      <c r="E177" s="298">
        <v>35612</v>
      </c>
      <c r="F177" s="138" t="s">
        <v>1159</v>
      </c>
      <c r="G177" s="138">
        <v>0</v>
      </c>
      <c r="H177" s="299" t="s">
        <v>1191</v>
      </c>
      <c r="I177" s="300">
        <v>40</v>
      </c>
      <c r="J177" s="300">
        <f>IF(OR($E177&lt;='Model Data Inputs'!$B$175,$F177="T"),$I177,IF($G177="E",'Model Data Inputs'!$B$176+$H177/'Model Data Inputs'!$B$179,IF($G177="M",'Model Data Inputs'!$B$177+$H177/'Model Data Inputs'!$B$179,IF($G177="H",'Model Data Inputs'!$B$178+$H177/'Model Data Inputs'!$B$179,IF($G177="N/A",0,$I177)))))</f>
        <v>40</v>
      </c>
      <c r="K177" s="300">
        <f t="shared" si="4"/>
        <v>0</v>
      </c>
      <c r="L177" s="300">
        <f>$K177*'Model Data Inputs'!$B$168</f>
        <v>0</v>
      </c>
      <c r="M177" s="300">
        <f>$L177/'Model Data Inputs'!$B$169</f>
        <v>0</v>
      </c>
      <c r="N177" s="300">
        <f>IF($G177="E",$M177*('Model Data Inputs'!$B$171-1),IF($G177="M",$M177*('Model Data Inputs'!$B$172-1),IF($G177="H",$M177*('Model Data Inputs'!$B$173-1),$M177*('Model Data Inputs'!$B$170-1))))</f>
        <v>0</v>
      </c>
      <c r="O177" s="300">
        <f t="shared" si="5"/>
        <v>0</v>
      </c>
    </row>
    <row r="178" spans="1:15" s="40" customFormat="1" x14ac:dyDescent="0.2">
      <c r="A178" s="20" t="s">
        <v>42</v>
      </c>
      <c r="B178" s="20" t="s">
        <v>43</v>
      </c>
      <c r="C178" s="20" t="s">
        <v>1534</v>
      </c>
      <c r="D178" s="20" t="s">
        <v>1535</v>
      </c>
      <c r="E178" s="298">
        <v>20948</v>
      </c>
      <c r="F178" s="138" t="s">
        <v>1159</v>
      </c>
      <c r="G178" s="138" t="s">
        <v>1198</v>
      </c>
      <c r="H178" s="299">
        <f>'School Level ADM'!S106</f>
        <v>314.57233333333329</v>
      </c>
      <c r="I178" s="300">
        <v>32.56</v>
      </c>
      <c r="J178" s="300">
        <f>IF(OR($E178&lt;='Model Data Inputs'!$B$175,$F178="T"),$I178,IF($G178="E",'Model Data Inputs'!$B$176+$H178/'Model Data Inputs'!$B$179,IF($G178="M",'Model Data Inputs'!$B$177+$H178/'Model Data Inputs'!$B$179,IF($G178="H",'Model Data Inputs'!$B$178+$H178/'Model Data Inputs'!$B$179,IF($G178="N/A",0,$I178)))))</f>
        <v>32.56</v>
      </c>
      <c r="K178" s="300">
        <f t="shared" si="4"/>
        <v>32.56</v>
      </c>
      <c r="L178" s="300">
        <f>$K178*'Model Data Inputs'!$B$168</f>
        <v>3028.0800000000004</v>
      </c>
      <c r="M178" s="300">
        <f>$L178/'Model Data Inputs'!$B$169</f>
        <v>1.5080079681274903</v>
      </c>
      <c r="N178" s="300">
        <f>IF($G178="E",$M178*('Model Data Inputs'!$B$171-1),IF($G178="M",$M178*('Model Data Inputs'!$B$172-1),IF($G178="H",$M178*('Model Data Inputs'!$B$173-1),$M178*('Model Data Inputs'!$B$170-1))))</f>
        <v>0</v>
      </c>
      <c r="O178" s="300">
        <f t="shared" si="5"/>
        <v>1.5080079681274903</v>
      </c>
    </row>
    <row r="179" spans="1:15" s="40" customFormat="1" x14ac:dyDescent="0.2">
      <c r="A179" s="20" t="s">
        <v>42</v>
      </c>
      <c r="B179" s="20" t="s">
        <v>43</v>
      </c>
      <c r="C179" s="20" t="s">
        <v>1536</v>
      </c>
      <c r="D179" s="20" t="s">
        <v>1537</v>
      </c>
      <c r="E179" s="298">
        <v>35612</v>
      </c>
      <c r="F179" s="138" t="s">
        <v>1159</v>
      </c>
      <c r="G179" s="138" t="s">
        <v>1205</v>
      </c>
      <c r="H179" s="299">
        <f>'School Level ADM'!S107</f>
        <v>150.33266666666665</v>
      </c>
      <c r="I179" s="300">
        <v>46.14</v>
      </c>
      <c r="J179" s="300">
        <f>IF(OR($E179&lt;='Model Data Inputs'!$B$175,$F179="T"),$I179,IF($G179="E",'Model Data Inputs'!$B$176+$H179/'Model Data Inputs'!$B$179,IF($G179="M",'Model Data Inputs'!$B$177+$H179/'Model Data Inputs'!$B$179,IF($G179="H",'Model Data Inputs'!$B$178+$H179/'Model Data Inputs'!$B$179,IF($G179="N/A",0,$I179)))))</f>
        <v>46.14</v>
      </c>
      <c r="K179" s="300">
        <f t="shared" si="4"/>
        <v>46.14</v>
      </c>
      <c r="L179" s="300">
        <f>$K179*'Model Data Inputs'!$B$168</f>
        <v>4291.0200000000004</v>
      </c>
      <c r="M179" s="300">
        <f>$L179/'Model Data Inputs'!$B$169</f>
        <v>2.1369621513944224</v>
      </c>
      <c r="N179" s="300">
        <f>IF($G179="E",$M179*('Model Data Inputs'!$B$171-1),IF($G179="M",$M179*('Model Data Inputs'!$B$172-1),IF($G179="H",$M179*('Model Data Inputs'!$B$173-1),$M179*('Model Data Inputs'!$B$170-1))))</f>
        <v>1.0684810756972112</v>
      </c>
      <c r="O179" s="300">
        <f t="shared" si="5"/>
        <v>3.2054432270916333</v>
      </c>
    </row>
    <row r="180" spans="1:15" s="40" customFormat="1" x14ac:dyDescent="0.2">
      <c r="A180" s="20" t="s">
        <v>42</v>
      </c>
      <c r="B180" s="20" t="s">
        <v>43</v>
      </c>
      <c r="C180" s="20" t="s">
        <v>1538</v>
      </c>
      <c r="D180" s="20" t="s">
        <v>1539</v>
      </c>
      <c r="E180" s="298">
        <v>32141</v>
      </c>
      <c r="F180" s="138" t="s">
        <v>1159</v>
      </c>
      <c r="G180" s="138" t="s">
        <v>1228</v>
      </c>
      <c r="H180" s="299">
        <f>'School Level ADM'!S108</f>
        <v>152.43633333333332</v>
      </c>
      <c r="I180" s="300">
        <v>39.229999999999997</v>
      </c>
      <c r="J180" s="300">
        <f>IF(OR($E180&lt;='Model Data Inputs'!$B$175,$F180="T"),$I180,IF($G180="E",'Model Data Inputs'!$B$176+$H180/'Model Data Inputs'!$B$179,IF($G180="M",'Model Data Inputs'!$B$177+$H180/'Model Data Inputs'!$B$179,IF($G180="H",'Model Data Inputs'!$B$178+$H180/'Model Data Inputs'!$B$179,IF($G180="N/A",0,$I180)))))</f>
        <v>39.229999999999997</v>
      </c>
      <c r="K180" s="300">
        <f t="shared" si="4"/>
        <v>39.229999999999997</v>
      </c>
      <c r="L180" s="300">
        <f>$K180*'Model Data Inputs'!$B$168</f>
        <v>3648.39</v>
      </c>
      <c r="M180" s="300">
        <f>$L180/'Model Data Inputs'!$B$169</f>
        <v>1.8169272908366534</v>
      </c>
      <c r="N180" s="300">
        <f>IF($G180="E",$M180*('Model Data Inputs'!$B$171-1),IF($G180="M",$M180*('Model Data Inputs'!$B$172-1),IF($G180="H",$M180*('Model Data Inputs'!$B$173-1),$M180*('Model Data Inputs'!$B$170-1))))</f>
        <v>2.7253909362549802</v>
      </c>
      <c r="O180" s="300">
        <f t="shared" si="5"/>
        <v>4.5423182270916334</v>
      </c>
    </row>
    <row r="181" spans="1:15" s="40" customFormat="1" x14ac:dyDescent="0.2">
      <c r="A181" s="20" t="s">
        <v>42</v>
      </c>
      <c r="B181" s="20" t="s">
        <v>43</v>
      </c>
      <c r="C181" s="20" t="s">
        <v>1538</v>
      </c>
      <c r="D181" s="20" t="s">
        <v>1540</v>
      </c>
      <c r="E181" s="298">
        <v>35612</v>
      </c>
      <c r="F181" s="138" t="s">
        <v>1159</v>
      </c>
      <c r="G181" s="138">
        <v>0</v>
      </c>
      <c r="H181" s="299" t="s">
        <v>1191</v>
      </c>
      <c r="I181" s="300">
        <v>99.2</v>
      </c>
      <c r="J181" s="300">
        <f>IF(OR($E181&lt;='Model Data Inputs'!$B$175,$F181="T"),$I181,IF($G181="E",'Model Data Inputs'!$B$176+$H181/'Model Data Inputs'!$B$179,IF($G181="M",'Model Data Inputs'!$B$177+$H181/'Model Data Inputs'!$B$179,IF($G181="H",'Model Data Inputs'!$B$178+$H181/'Model Data Inputs'!$B$179,IF($G181="N/A",0,$I181)))))</f>
        <v>99.2</v>
      </c>
      <c r="K181" s="300">
        <f t="shared" si="4"/>
        <v>0</v>
      </c>
      <c r="L181" s="300">
        <f>$K181*'Model Data Inputs'!$B$168</f>
        <v>0</v>
      </c>
      <c r="M181" s="300">
        <f>$L181/'Model Data Inputs'!$B$169</f>
        <v>0</v>
      </c>
      <c r="N181" s="300">
        <f>IF($G181="E",$M181*('Model Data Inputs'!$B$171-1),IF($G181="M",$M181*('Model Data Inputs'!$B$172-1),IF($G181="H",$M181*('Model Data Inputs'!$B$173-1),$M181*('Model Data Inputs'!$B$170-1))))</f>
        <v>0</v>
      </c>
      <c r="O181" s="300">
        <f t="shared" si="5"/>
        <v>0</v>
      </c>
    </row>
    <row r="182" spans="1:15" s="40" customFormat="1" x14ac:dyDescent="0.2">
      <c r="A182" s="20" t="s">
        <v>44</v>
      </c>
      <c r="B182" s="20" t="s">
        <v>45</v>
      </c>
      <c r="C182" s="20" t="s">
        <v>1541</v>
      </c>
      <c r="D182" s="20" t="s">
        <v>1542</v>
      </c>
      <c r="E182" s="298">
        <v>20267</v>
      </c>
      <c r="F182" s="138" t="s">
        <v>1159</v>
      </c>
      <c r="G182" s="138" t="s">
        <v>1228</v>
      </c>
      <c r="H182" s="299">
        <f>SUM('School Level ADM'!S109:S111)</f>
        <v>497.42500000000001</v>
      </c>
      <c r="I182" s="300">
        <v>37.19</v>
      </c>
      <c r="J182" s="300">
        <f>IF(OR($E182&lt;='Model Data Inputs'!$B$175,$F182="T"),$I182,IF($G182="E",'Model Data Inputs'!$B$176+$H182/'Model Data Inputs'!$B$179,IF($G182="M",'Model Data Inputs'!$B$177+$H182/'Model Data Inputs'!$B$179,IF($G182="H",'Model Data Inputs'!$B$178+$H182/'Model Data Inputs'!$B$179,IF($G182="N/A",0,$I182)))))</f>
        <v>37.19</v>
      </c>
      <c r="K182" s="300">
        <f t="shared" si="4"/>
        <v>37.19</v>
      </c>
      <c r="L182" s="300">
        <f>$K182*'Model Data Inputs'!$B$168</f>
        <v>3458.6699999999996</v>
      </c>
      <c r="M182" s="300">
        <f>$L182/'Model Data Inputs'!$B$169</f>
        <v>1.7224452191235058</v>
      </c>
      <c r="N182" s="300">
        <f>IF($G182="E",$M182*('Model Data Inputs'!$B$171-1),IF($G182="M",$M182*('Model Data Inputs'!$B$172-1),IF($G182="H",$M182*('Model Data Inputs'!$B$173-1),$M182*('Model Data Inputs'!$B$170-1))))</f>
        <v>2.5836678286852588</v>
      </c>
      <c r="O182" s="300">
        <f t="shared" si="5"/>
        <v>4.3061130478087648</v>
      </c>
    </row>
    <row r="183" spans="1:15" s="40" customFormat="1" x14ac:dyDescent="0.2">
      <c r="A183" s="20" t="s">
        <v>46</v>
      </c>
      <c r="B183" s="20" t="s">
        <v>47</v>
      </c>
      <c r="C183" s="20" t="s">
        <v>1543</v>
      </c>
      <c r="D183" s="20" t="s">
        <v>1544</v>
      </c>
      <c r="E183" s="298">
        <v>33842</v>
      </c>
      <c r="F183" s="138" t="s">
        <v>1159</v>
      </c>
      <c r="G183" s="138">
        <v>0</v>
      </c>
      <c r="H183" s="299" t="s">
        <v>1191</v>
      </c>
      <c r="I183" s="300">
        <v>0.96</v>
      </c>
      <c r="J183" s="300">
        <f>IF(OR($E183&lt;='Model Data Inputs'!$B$175,$F183="T"),$I183,IF($G183="E",'Model Data Inputs'!$B$176+$H183/'Model Data Inputs'!$B$179,IF($G183="M",'Model Data Inputs'!$B$177+$H183/'Model Data Inputs'!$B$179,IF($G183="H",'Model Data Inputs'!$B$178+$H183/'Model Data Inputs'!$B$179,IF($G183="N/A",0,$I183)))))</f>
        <v>0.96</v>
      </c>
      <c r="K183" s="300">
        <f t="shared" si="4"/>
        <v>0</v>
      </c>
      <c r="L183" s="300">
        <f>$K183*'Model Data Inputs'!$B$168</f>
        <v>0</v>
      </c>
      <c r="M183" s="300">
        <f>$L183/'Model Data Inputs'!$B$169</f>
        <v>0</v>
      </c>
      <c r="N183" s="300">
        <f>IF($G183="E",$M183*('Model Data Inputs'!$B$171-1),IF($G183="M",$M183*('Model Data Inputs'!$B$172-1),IF($G183="H",$M183*('Model Data Inputs'!$B$173-1),$M183*('Model Data Inputs'!$B$170-1))))</f>
        <v>0</v>
      </c>
      <c r="O183" s="300">
        <f t="shared" si="5"/>
        <v>0</v>
      </c>
    </row>
    <row r="184" spans="1:15" s="40" customFormat="1" x14ac:dyDescent="0.2">
      <c r="A184" s="20" t="s">
        <v>46</v>
      </c>
      <c r="B184" s="20" t="s">
        <v>47</v>
      </c>
      <c r="C184" s="20" t="s">
        <v>1545</v>
      </c>
      <c r="D184" s="20" t="s">
        <v>1546</v>
      </c>
      <c r="E184" s="298">
        <v>35612</v>
      </c>
      <c r="F184" s="138" t="s">
        <v>1159</v>
      </c>
      <c r="G184" s="138">
        <v>0</v>
      </c>
      <c r="H184" s="299" t="s">
        <v>1191</v>
      </c>
      <c r="I184" s="300">
        <v>9.0299999999999994</v>
      </c>
      <c r="J184" s="300">
        <f>IF(OR($E184&lt;='Model Data Inputs'!$B$175,$F184="T"),$I184,IF($G184="E",'Model Data Inputs'!$B$176+$H184/'Model Data Inputs'!$B$179,IF($G184="M",'Model Data Inputs'!$B$177+$H184/'Model Data Inputs'!$B$179,IF($G184="H",'Model Data Inputs'!$B$178+$H184/'Model Data Inputs'!$B$179,IF($G184="N/A",0,$I184)))))</f>
        <v>9.0299999999999994</v>
      </c>
      <c r="K184" s="300">
        <f t="shared" si="4"/>
        <v>0</v>
      </c>
      <c r="L184" s="300">
        <f>$K184*'Model Data Inputs'!$B$168</f>
        <v>0</v>
      </c>
      <c r="M184" s="300">
        <f>$L184/'Model Data Inputs'!$B$169</f>
        <v>0</v>
      </c>
      <c r="N184" s="300">
        <f>IF($G184="E",$M184*('Model Data Inputs'!$B$171-1),IF($G184="M",$M184*('Model Data Inputs'!$B$172-1),IF($G184="H",$M184*('Model Data Inputs'!$B$173-1),$M184*('Model Data Inputs'!$B$170-1))))</f>
        <v>0</v>
      </c>
      <c r="O184" s="300">
        <f t="shared" si="5"/>
        <v>0</v>
      </c>
    </row>
    <row r="185" spans="1:15" s="40" customFormat="1" x14ac:dyDescent="0.2">
      <c r="A185" s="20" t="s">
        <v>46</v>
      </c>
      <c r="B185" s="20" t="s">
        <v>47</v>
      </c>
      <c r="C185" s="20" t="s">
        <v>1547</v>
      </c>
      <c r="D185" s="20" t="s">
        <v>1548</v>
      </c>
      <c r="E185" s="298">
        <v>41114</v>
      </c>
      <c r="F185" s="138" t="s">
        <v>1159</v>
      </c>
      <c r="G185" s="138" t="s">
        <v>1228</v>
      </c>
      <c r="H185" s="299">
        <f>SUM('School Level ADM'!S112:S114)</f>
        <v>388.52100000000002</v>
      </c>
      <c r="I185" s="300">
        <v>97.05</v>
      </c>
      <c r="J185" s="300">
        <f>IF(OR($E185&lt;='Model Data Inputs'!$B$175,$F185="T"),$I185,IF($G185="E",'Model Data Inputs'!$B$176+$H185/'Model Data Inputs'!$B$179,IF($G185="M",'Model Data Inputs'!$B$177+$H185/'Model Data Inputs'!$B$179,IF($G185="H",'Model Data Inputs'!$B$178+$H185/'Model Data Inputs'!$B$179,IF($G185="N/A",0,$I185)))))</f>
        <v>23.885210000000001</v>
      </c>
      <c r="K185" s="300">
        <f t="shared" si="4"/>
        <v>23.885210000000001</v>
      </c>
      <c r="L185" s="300">
        <f>$K185*'Model Data Inputs'!$B$168</f>
        <v>2221.3245299999999</v>
      </c>
      <c r="M185" s="300">
        <f>$L185/'Model Data Inputs'!$B$169</f>
        <v>1.1062373157370518</v>
      </c>
      <c r="N185" s="300">
        <f>IF($G185="E",$M185*('Model Data Inputs'!$B$171-1),IF($G185="M",$M185*('Model Data Inputs'!$B$172-1),IF($G185="H",$M185*('Model Data Inputs'!$B$173-1),$M185*('Model Data Inputs'!$B$170-1))))</f>
        <v>1.6593559736055776</v>
      </c>
      <c r="O185" s="300">
        <f t="shared" si="5"/>
        <v>2.7655932893426294</v>
      </c>
    </row>
    <row r="186" spans="1:15" s="40" customFormat="1" x14ac:dyDescent="0.2">
      <c r="A186" s="20" t="s">
        <v>46</v>
      </c>
      <c r="B186" s="20" t="s">
        <v>47</v>
      </c>
      <c r="C186" s="20" t="s">
        <v>1549</v>
      </c>
      <c r="D186" s="20" t="s">
        <v>1550</v>
      </c>
      <c r="E186" s="298">
        <v>25750</v>
      </c>
      <c r="F186" s="138" t="s">
        <v>1159</v>
      </c>
      <c r="G186" s="138" t="s">
        <v>1191</v>
      </c>
      <c r="H186" s="299" t="s">
        <v>1191</v>
      </c>
      <c r="I186" s="300">
        <v>0.34</v>
      </c>
      <c r="J186" s="300">
        <f>IF(OR($E186&lt;='Model Data Inputs'!$B$175,$F186="T"),$I186,IF($G186="E",'Model Data Inputs'!$B$176+$H186/'Model Data Inputs'!$B$179,IF($G186="M",'Model Data Inputs'!$B$177+$H186/'Model Data Inputs'!$B$179,IF($G186="H",'Model Data Inputs'!$B$178+$H186/'Model Data Inputs'!$B$179,IF($G186="N/A",0,$I186)))))</f>
        <v>0.34</v>
      </c>
      <c r="K186" s="300">
        <f t="shared" si="4"/>
        <v>0</v>
      </c>
      <c r="L186" s="300">
        <f>$K186*'Model Data Inputs'!$B$168</f>
        <v>0</v>
      </c>
      <c r="M186" s="300">
        <f>$L186/'Model Data Inputs'!$B$169</f>
        <v>0</v>
      </c>
      <c r="N186" s="300">
        <f>IF($G186="E",$M186*('Model Data Inputs'!$B$171-1),IF($G186="M",$M186*('Model Data Inputs'!$B$172-1),IF($G186="H",$M186*('Model Data Inputs'!$B$173-1),$M186*('Model Data Inputs'!$B$170-1))))</f>
        <v>0</v>
      </c>
      <c r="O186" s="300">
        <f t="shared" si="5"/>
        <v>0</v>
      </c>
    </row>
    <row r="187" spans="1:15" s="40" customFormat="1" x14ac:dyDescent="0.2">
      <c r="A187" s="20" t="s">
        <v>46</v>
      </c>
      <c r="B187" s="20" t="s">
        <v>47</v>
      </c>
      <c r="C187" s="20" t="s">
        <v>1551</v>
      </c>
      <c r="D187" s="20" t="s">
        <v>1552</v>
      </c>
      <c r="E187" s="298">
        <v>34516</v>
      </c>
      <c r="F187" s="138" t="s">
        <v>1159</v>
      </c>
      <c r="G187" s="138" t="s">
        <v>1191</v>
      </c>
      <c r="H187" s="299" t="s">
        <v>1191</v>
      </c>
      <c r="I187" s="300">
        <v>0.48</v>
      </c>
      <c r="J187" s="300">
        <f>IF(OR($E187&lt;='Model Data Inputs'!$B$175,$F187="T"),$I187,IF($G187="E",'Model Data Inputs'!$B$176+$H187/'Model Data Inputs'!$B$179,IF($G187="M",'Model Data Inputs'!$B$177+$H187/'Model Data Inputs'!$B$179,IF($G187="H",'Model Data Inputs'!$B$178+$H187/'Model Data Inputs'!$B$179,IF($G187="N/A",0,$I187)))))</f>
        <v>0.48</v>
      </c>
      <c r="K187" s="300">
        <f t="shared" si="4"/>
        <v>0</v>
      </c>
      <c r="L187" s="300">
        <f>$K187*'Model Data Inputs'!$B$168</f>
        <v>0</v>
      </c>
      <c r="M187" s="300">
        <f>$L187/'Model Data Inputs'!$B$169</f>
        <v>0</v>
      </c>
      <c r="N187" s="300">
        <f>IF($G187="E",$M187*('Model Data Inputs'!$B$171-1),IF($G187="M",$M187*('Model Data Inputs'!$B$172-1),IF($G187="H",$M187*('Model Data Inputs'!$B$173-1),$M187*('Model Data Inputs'!$B$170-1))))</f>
        <v>0</v>
      </c>
      <c r="O187" s="300">
        <f t="shared" si="5"/>
        <v>0</v>
      </c>
    </row>
    <row r="188" spans="1:15" s="40" customFormat="1" x14ac:dyDescent="0.2">
      <c r="A188" s="20" t="s">
        <v>46</v>
      </c>
      <c r="B188" s="20" t="s">
        <v>47</v>
      </c>
      <c r="C188" s="20" t="s">
        <v>1553</v>
      </c>
      <c r="D188" s="20" t="s">
        <v>1554</v>
      </c>
      <c r="E188" s="298">
        <v>42491</v>
      </c>
      <c r="F188" s="138" t="s">
        <v>1159</v>
      </c>
      <c r="G188" s="138" t="s">
        <v>1191</v>
      </c>
      <c r="H188" s="299" t="s">
        <v>1191</v>
      </c>
      <c r="I188" s="300">
        <v>0.72</v>
      </c>
      <c r="J188" s="300">
        <f>IF(OR($E188&lt;='Model Data Inputs'!$B$175,$F188="T"),$I188,IF($G188="E",'Model Data Inputs'!$B$176+$H188/'Model Data Inputs'!$B$179,IF($G188="M",'Model Data Inputs'!$B$177+$H188/'Model Data Inputs'!$B$179,IF($G188="H",'Model Data Inputs'!$B$178+$H188/'Model Data Inputs'!$B$179,IF($G188="N/A",0,$I188)))))</f>
        <v>0</v>
      </c>
      <c r="K188" s="300">
        <f t="shared" si="4"/>
        <v>0</v>
      </c>
      <c r="L188" s="300">
        <f>$K188*'Model Data Inputs'!$B$168</f>
        <v>0</v>
      </c>
      <c r="M188" s="300">
        <f>$L188/'Model Data Inputs'!$B$169</f>
        <v>0</v>
      </c>
      <c r="N188" s="300">
        <f>IF($G188="E",$M188*('Model Data Inputs'!$B$171-1),IF($G188="M",$M188*('Model Data Inputs'!$B$172-1),IF($G188="H",$M188*('Model Data Inputs'!$B$173-1),$M188*('Model Data Inputs'!$B$170-1))))</f>
        <v>0</v>
      </c>
      <c r="O188" s="300">
        <f t="shared" si="5"/>
        <v>0</v>
      </c>
    </row>
    <row r="189" spans="1:15" s="40" customFormat="1" x14ac:dyDescent="0.2">
      <c r="A189" s="20" t="s">
        <v>48</v>
      </c>
      <c r="B189" s="20" t="s">
        <v>49</v>
      </c>
      <c r="C189" s="20" t="s">
        <v>1555</v>
      </c>
      <c r="D189" s="20" t="s">
        <v>1556</v>
      </c>
      <c r="E189" s="298">
        <v>21186</v>
      </c>
      <c r="F189" s="138" t="s">
        <v>1159</v>
      </c>
      <c r="G189" s="138" t="s">
        <v>1228</v>
      </c>
      <c r="H189" s="299">
        <f>'School Level ADM'!S122</f>
        <v>29.865666666666662</v>
      </c>
      <c r="I189" s="300">
        <v>10.199999999999999</v>
      </c>
      <c r="J189" s="300">
        <f>IF(OR($E189&lt;='Model Data Inputs'!$B$175,$F189="T"),$I189,IF($G189="E",'Model Data Inputs'!$B$176+$H189/'Model Data Inputs'!$B$179,IF($G189="M",'Model Data Inputs'!$B$177+$H189/'Model Data Inputs'!$B$179,IF($G189="H",'Model Data Inputs'!$B$178+$H189/'Model Data Inputs'!$B$179,IF($G189="N/A",0,$I189)))))</f>
        <v>10.199999999999999</v>
      </c>
      <c r="K189" s="300">
        <f t="shared" si="4"/>
        <v>10.199999999999999</v>
      </c>
      <c r="L189" s="300">
        <f>$K189*'Model Data Inputs'!$B$168</f>
        <v>948.59999999999991</v>
      </c>
      <c r="M189" s="300">
        <f>$L189/'Model Data Inputs'!$B$169</f>
        <v>0.47241035856573699</v>
      </c>
      <c r="N189" s="300">
        <f>IF($G189="E",$M189*('Model Data Inputs'!$B$171-1),IF($G189="M",$M189*('Model Data Inputs'!$B$172-1),IF($G189="H",$M189*('Model Data Inputs'!$B$173-1),$M189*('Model Data Inputs'!$B$170-1))))</f>
        <v>0.70861553784860543</v>
      </c>
      <c r="O189" s="300">
        <f t="shared" si="5"/>
        <v>1.1810258964143423</v>
      </c>
    </row>
    <row r="190" spans="1:15" s="40" customFormat="1" x14ac:dyDescent="0.2">
      <c r="A190" s="20" t="s">
        <v>48</v>
      </c>
      <c r="B190" s="20" t="s">
        <v>49</v>
      </c>
      <c r="C190" s="20" t="s">
        <v>1557</v>
      </c>
      <c r="D190" s="20" t="s">
        <v>1558</v>
      </c>
      <c r="E190" s="298">
        <v>24473</v>
      </c>
      <c r="F190" s="138" t="s">
        <v>1159</v>
      </c>
      <c r="G190" s="138">
        <v>0</v>
      </c>
      <c r="H190" s="299" t="s">
        <v>1191</v>
      </c>
      <c r="I190" s="300">
        <v>3.7</v>
      </c>
      <c r="J190" s="300">
        <f>IF(OR($E190&lt;='Model Data Inputs'!$B$175,$F190="T"),$I190,IF($G190="E",'Model Data Inputs'!$B$176+$H190/'Model Data Inputs'!$B$179,IF($G190="M",'Model Data Inputs'!$B$177+$H190/'Model Data Inputs'!$B$179,IF($G190="H",'Model Data Inputs'!$B$178+$H190/'Model Data Inputs'!$B$179,IF($G190="N/A",0,$I190)))))</f>
        <v>3.7</v>
      </c>
      <c r="K190" s="300">
        <f t="shared" si="4"/>
        <v>0</v>
      </c>
      <c r="L190" s="300">
        <f>$K190*'Model Data Inputs'!$B$168</f>
        <v>0</v>
      </c>
      <c r="M190" s="300">
        <f>$L190/'Model Data Inputs'!$B$169</f>
        <v>0</v>
      </c>
      <c r="N190" s="300">
        <f>IF($G190="E",$M190*('Model Data Inputs'!$B$171-1),IF($G190="M",$M190*('Model Data Inputs'!$B$172-1),IF($G190="H",$M190*('Model Data Inputs'!$B$173-1),$M190*('Model Data Inputs'!$B$170-1))))</f>
        <v>0</v>
      </c>
      <c r="O190" s="300">
        <f t="shared" si="5"/>
        <v>0</v>
      </c>
    </row>
    <row r="191" spans="1:15" s="40" customFormat="1" x14ac:dyDescent="0.2">
      <c r="A191" s="20" t="s">
        <v>48</v>
      </c>
      <c r="B191" s="20" t="s">
        <v>49</v>
      </c>
      <c r="C191" s="20" t="s">
        <v>1559</v>
      </c>
      <c r="D191" s="20" t="s">
        <v>1560</v>
      </c>
      <c r="E191" s="298">
        <v>19360</v>
      </c>
      <c r="F191" s="138" t="s">
        <v>1159</v>
      </c>
      <c r="G191" s="138" t="s">
        <v>1198</v>
      </c>
      <c r="H191" s="299">
        <f>'School Level ADM'!S115</f>
        <v>181.33333333333334</v>
      </c>
      <c r="I191" s="300">
        <v>4.21</v>
      </c>
      <c r="J191" s="300">
        <f>IF(OR($E191&lt;='Model Data Inputs'!$B$175,$F191="T"),$I191,IF($G191="E",'Model Data Inputs'!$B$176+$H191/'Model Data Inputs'!$B$179,IF($G191="M",'Model Data Inputs'!$B$177+$H191/'Model Data Inputs'!$B$179,IF($G191="H",'Model Data Inputs'!$B$178+$H191/'Model Data Inputs'!$B$179,IF($G191="N/A",0,$I191)))))</f>
        <v>4.21</v>
      </c>
      <c r="K191" s="300">
        <f t="shared" si="4"/>
        <v>4.21</v>
      </c>
      <c r="L191" s="300">
        <f>$K191*'Model Data Inputs'!$B$168</f>
        <v>391.53</v>
      </c>
      <c r="M191" s="300">
        <f>$L191/'Model Data Inputs'!$B$169</f>
        <v>0.19498505976095618</v>
      </c>
      <c r="N191" s="300">
        <f>IF($G191="E",$M191*('Model Data Inputs'!$B$171-1),IF($G191="M",$M191*('Model Data Inputs'!$B$172-1),IF($G191="H",$M191*('Model Data Inputs'!$B$173-1),$M191*('Model Data Inputs'!$B$170-1))))</f>
        <v>0</v>
      </c>
      <c r="O191" s="300">
        <f t="shared" si="5"/>
        <v>0.19498505976095618</v>
      </c>
    </row>
    <row r="192" spans="1:15" s="40" customFormat="1" x14ac:dyDescent="0.2">
      <c r="A192" s="20" t="s">
        <v>48</v>
      </c>
      <c r="B192" s="20" t="s">
        <v>49</v>
      </c>
      <c r="C192" s="20" t="s">
        <v>1561</v>
      </c>
      <c r="D192" s="20" t="s">
        <v>1562</v>
      </c>
      <c r="E192" s="298">
        <v>21916</v>
      </c>
      <c r="F192" s="138" t="s">
        <v>1159</v>
      </c>
      <c r="G192" s="138" t="s">
        <v>1198</v>
      </c>
      <c r="H192" s="299">
        <f>'School Level ADM'!S117</f>
        <v>172.86700000000002</v>
      </c>
      <c r="I192" s="300">
        <v>6.4240000000000004</v>
      </c>
      <c r="J192" s="300">
        <f>IF(OR($E192&lt;='Model Data Inputs'!$B$175,$F192="T"),$I192,IF($G192="E",'Model Data Inputs'!$B$176+$H192/'Model Data Inputs'!$B$179,IF($G192="M",'Model Data Inputs'!$B$177+$H192/'Model Data Inputs'!$B$179,IF($G192="H",'Model Data Inputs'!$B$178+$H192/'Model Data Inputs'!$B$179,IF($G192="N/A",0,$I192)))))</f>
        <v>6.4240000000000004</v>
      </c>
      <c r="K192" s="300">
        <f t="shared" si="4"/>
        <v>6.4240000000000004</v>
      </c>
      <c r="L192" s="300">
        <f>$K192*'Model Data Inputs'!$B$168</f>
        <v>597.43200000000002</v>
      </c>
      <c r="M192" s="300">
        <f>$L192/'Model Data Inputs'!$B$169</f>
        <v>0.29752589641434263</v>
      </c>
      <c r="N192" s="300">
        <f>IF($G192="E",$M192*('Model Data Inputs'!$B$171-1),IF($G192="M",$M192*('Model Data Inputs'!$B$172-1),IF($G192="H",$M192*('Model Data Inputs'!$B$173-1),$M192*('Model Data Inputs'!$B$170-1))))</f>
        <v>0</v>
      </c>
      <c r="O192" s="300">
        <f t="shared" si="5"/>
        <v>0.29752589641434263</v>
      </c>
    </row>
    <row r="193" spans="1:15" s="40" customFormat="1" x14ac:dyDescent="0.2">
      <c r="A193" s="20" t="s">
        <v>48</v>
      </c>
      <c r="B193" s="20" t="s">
        <v>49</v>
      </c>
      <c r="C193" s="20" t="s">
        <v>1563</v>
      </c>
      <c r="D193" s="20" t="s">
        <v>1564</v>
      </c>
      <c r="E193" s="298">
        <v>20090</v>
      </c>
      <c r="F193" s="138" t="s">
        <v>1159</v>
      </c>
      <c r="G193" s="138" t="s">
        <v>1198</v>
      </c>
      <c r="H193" s="299" t="s">
        <v>1191</v>
      </c>
      <c r="I193" s="300">
        <v>4.29</v>
      </c>
      <c r="J193" s="300">
        <f>IF(OR($E193&lt;='Model Data Inputs'!$B$175,$F193="T"),$I193,IF($G193="E",'Model Data Inputs'!$B$176+$H193/'Model Data Inputs'!$B$179,IF($G193="M",'Model Data Inputs'!$B$177+$H193/'Model Data Inputs'!$B$179,IF($G193="H",'Model Data Inputs'!$B$178+$H193/'Model Data Inputs'!$B$179,IF($G193="N/A",0,$I193)))))</f>
        <v>4.29</v>
      </c>
      <c r="K193" s="300">
        <f t="shared" si="4"/>
        <v>4.29</v>
      </c>
      <c r="L193" s="300">
        <f>$K193*'Model Data Inputs'!$B$168</f>
        <v>398.97</v>
      </c>
      <c r="M193" s="300">
        <f>$L193/'Model Data Inputs'!$B$169</f>
        <v>0.19869023904382471</v>
      </c>
      <c r="N193" s="300">
        <f>IF($G193="E",$M193*('Model Data Inputs'!$B$171-1),IF($G193="M",$M193*('Model Data Inputs'!$B$172-1),IF($G193="H",$M193*('Model Data Inputs'!$B$173-1),$M193*('Model Data Inputs'!$B$170-1))))</f>
        <v>0</v>
      </c>
      <c r="O193" s="300">
        <f t="shared" si="5"/>
        <v>0.19869023904382471</v>
      </c>
    </row>
    <row r="194" spans="1:15" s="40" customFormat="1" x14ac:dyDescent="0.2">
      <c r="A194" s="20" t="s">
        <v>48</v>
      </c>
      <c r="B194" s="20" t="s">
        <v>49</v>
      </c>
      <c r="C194" s="20" t="s">
        <v>1565</v>
      </c>
      <c r="D194" s="20" t="s">
        <v>1566</v>
      </c>
      <c r="E194" s="298">
        <v>21916</v>
      </c>
      <c r="F194" s="138" t="s">
        <v>1159</v>
      </c>
      <c r="G194" s="138" t="s">
        <v>1198</v>
      </c>
      <c r="H194" s="299">
        <f>'School Level ADM'!S116</f>
        <v>388.2166666666667</v>
      </c>
      <c r="I194" s="300">
        <v>13.54</v>
      </c>
      <c r="J194" s="300">
        <f>IF(OR($E194&lt;='Model Data Inputs'!$B$175,$F194="T"),$I194,IF($G194="E",'Model Data Inputs'!$B$176+$H194/'Model Data Inputs'!$B$179,IF($G194="M",'Model Data Inputs'!$B$177+$H194/'Model Data Inputs'!$B$179,IF($G194="H",'Model Data Inputs'!$B$178+$H194/'Model Data Inputs'!$B$179,IF($G194="N/A",0,$I194)))))</f>
        <v>13.54</v>
      </c>
      <c r="K194" s="300">
        <f t="shared" si="4"/>
        <v>13.54</v>
      </c>
      <c r="L194" s="300">
        <f>$K194*'Model Data Inputs'!$B$168</f>
        <v>1259.22</v>
      </c>
      <c r="M194" s="300">
        <f>$L194/'Model Data Inputs'!$B$169</f>
        <v>0.627101593625498</v>
      </c>
      <c r="N194" s="300">
        <f>IF($G194="E",$M194*('Model Data Inputs'!$B$171-1),IF($G194="M",$M194*('Model Data Inputs'!$B$172-1),IF($G194="H",$M194*('Model Data Inputs'!$B$173-1),$M194*('Model Data Inputs'!$B$170-1))))</f>
        <v>0</v>
      </c>
      <c r="O194" s="300">
        <f t="shared" si="5"/>
        <v>0.627101593625498</v>
      </c>
    </row>
    <row r="195" spans="1:15" s="40" customFormat="1" x14ac:dyDescent="0.2">
      <c r="A195" s="20" t="s">
        <v>48</v>
      </c>
      <c r="B195" s="20" t="s">
        <v>49</v>
      </c>
      <c r="C195" s="20" t="s">
        <v>1567</v>
      </c>
      <c r="D195" s="20" t="s">
        <v>1568</v>
      </c>
      <c r="E195" s="298">
        <v>30317</v>
      </c>
      <c r="F195" s="138" t="s">
        <v>1159</v>
      </c>
      <c r="G195" s="138" t="s">
        <v>1228</v>
      </c>
      <c r="H195" s="299">
        <f>SUM('School Level ADM'!S120:S121)</f>
        <v>1249.7863333333335</v>
      </c>
      <c r="I195" s="300">
        <v>66.5</v>
      </c>
      <c r="J195" s="300">
        <f>IF(OR($E195&lt;='Model Data Inputs'!$B$175,$F195="T"),$I195,IF($G195="E",'Model Data Inputs'!$B$176+$H195/'Model Data Inputs'!$B$179,IF($G195="M",'Model Data Inputs'!$B$177+$H195/'Model Data Inputs'!$B$179,IF($G195="H",'Model Data Inputs'!$B$178+$H195/'Model Data Inputs'!$B$179,IF($G195="N/A",0,$I195)))))</f>
        <v>66.5</v>
      </c>
      <c r="K195" s="300">
        <f t="shared" si="4"/>
        <v>66.5</v>
      </c>
      <c r="L195" s="300">
        <f>$K195*'Model Data Inputs'!$B$168</f>
        <v>6184.5</v>
      </c>
      <c r="M195" s="300">
        <f>$L195/'Model Data Inputs'!$B$169</f>
        <v>3.0799302788844622</v>
      </c>
      <c r="N195" s="300">
        <f>IF($G195="E",$M195*('Model Data Inputs'!$B$171-1),IF($G195="M",$M195*('Model Data Inputs'!$B$172-1),IF($G195="H",$M195*('Model Data Inputs'!$B$173-1),$M195*('Model Data Inputs'!$B$170-1))))</f>
        <v>4.6198954183266938</v>
      </c>
      <c r="O195" s="300">
        <f t="shared" si="5"/>
        <v>7.6998256972111561</v>
      </c>
    </row>
    <row r="196" spans="1:15" s="40" customFormat="1" x14ac:dyDescent="0.2">
      <c r="A196" s="20" t="s">
        <v>48</v>
      </c>
      <c r="B196" s="20" t="s">
        <v>49</v>
      </c>
      <c r="C196" s="20" t="s">
        <v>1569</v>
      </c>
      <c r="D196" s="20" t="s">
        <v>1570</v>
      </c>
      <c r="E196" s="298">
        <v>35612</v>
      </c>
      <c r="F196" s="138" t="s">
        <v>1159</v>
      </c>
      <c r="G196" s="138" t="s">
        <v>1198</v>
      </c>
      <c r="H196" s="299">
        <f>'School Level ADM'!S118</f>
        <v>207.23066666666668</v>
      </c>
      <c r="I196" s="300">
        <v>10.99</v>
      </c>
      <c r="J196" s="300">
        <f>IF(OR($E196&lt;='Model Data Inputs'!$B$175,$F196="T"),$I196,IF($G196="E",'Model Data Inputs'!$B$176+$H196/'Model Data Inputs'!$B$179,IF($G196="M",'Model Data Inputs'!$B$177+$H196/'Model Data Inputs'!$B$179,IF($G196="H",'Model Data Inputs'!$B$178+$H196/'Model Data Inputs'!$B$179,IF($G196="N/A",0,$I196)))))</f>
        <v>10.99</v>
      </c>
      <c r="K196" s="300">
        <f t="shared" si="4"/>
        <v>10.99</v>
      </c>
      <c r="L196" s="300">
        <f>$K196*'Model Data Inputs'!$B$168</f>
        <v>1022.07</v>
      </c>
      <c r="M196" s="300">
        <f>$L196/'Model Data Inputs'!$B$169</f>
        <v>0.50899900398406372</v>
      </c>
      <c r="N196" s="300">
        <f>IF($G196="E",$M196*('Model Data Inputs'!$B$171-1),IF($G196="M",$M196*('Model Data Inputs'!$B$172-1),IF($G196="H",$M196*('Model Data Inputs'!$B$173-1),$M196*('Model Data Inputs'!$B$170-1))))</f>
        <v>0</v>
      </c>
      <c r="O196" s="300">
        <f t="shared" si="5"/>
        <v>0.50899900398406372</v>
      </c>
    </row>
    <row r="197" spans="1:15" s="40" customFormat="1" x14ac:dyDescent="0.2">
      <c r="A197" s="20" t="s">
        <v>48</v>
      </c>
      <c r="B197" s="20" t="s">
        <v>49</v>
      </c>
      <c r="C197" s="20" t="s">
        <v>1571</v>
      </c>
      <c r="D197" s="20" t="s">
        <v>1572</v>
      </c>
      <c r="E197" s="298">
        <v>41641</v>
      </c>
      <c r="F197" s="138" t="s">
        <v>1159</v>
      </c>
      <c r="G197" s="138" t="s">
        <v>1198</v>
      </c>
      <c r="H197" s="299">
        <f>'School Level ADM'!S119</f>
        <v>219.78399999999999</v>
      </c>
      <c r="I197" s="300">
        <v>18.754000000000001</v>
      </c>
      <c r="J197" s="300">
        <f>IF(OR($E197&lt;='Model Data Inputs'!$B$175,$F197="T"),$I197,IF($G197="E",'Model Data Inputs'!$B$176+$H197/'Model Data Inputs'!$B$179,IF($G197="M",'Model Data Inputs'!$B$177+$H197/'Model Data Inputs'!$B$179,IF($G197="H",'Model Data Inputs'!$B$178+$H197/'Model Data Inputs'!$B$179,IF($G197="N/A",0,$I197)))))</f>
        <v>6.1978399999999993</v>
      </c>
      <c r="K197" s="300">
        <f t="shared" si="4"/>
        <v>6.1978399999999993</v>
      </c>
      <c r="L197" s="300">
        <f>$K197*'Model Data Inputs'!$B$168</f>
        <v>576.39911999999993</v>
      </c>
      <c r="M197" s="300">
        <f>$L197/'Model Data Inputs'!$B$169</f>
        <v>0.28705135458167325</v>
      </c>
      <c r="N197" s="300">
        <f>IF($G197="E",$M197*('Model Data Inputs'!$B$171-1),IF($G197="M",$M197*('Model Data Inputs'!$B$172-1),IF($G197="H",$M197*('Model Data Inputs'!$B$173-1),$M197*('Model Data Inputs'!$B$170-1))))</f>
        <v>0</v>
      </c>
      <c r="O197" s="300">
        <f t="shared" si="5"/>
        <v>0.28705135458167325</v>
      </c>
    </row>
    <row r="198" spans="1:15" s="40" customFormat="1" x14ac:dyDescent="0.2">
      <c r="A198" s="20" t="s">
        <v>48</v>
      </c>
      <c r="B198" s="20" t="s">
        <v>49</v>
      </c>
      <c r="C198" s="20" t="s">
        <v>1573</v>
      </c>
      <c r="D198" s="20" t="s">
        <v>1574</v>
      </c>
      <c r="E198" s="298">
        <v>42509</v>
      </c>
      <c r="F198" s="138" t="s">
        <v>1159</v>
      </c>
      <c r="G198" s="138" t="s">
        <v>1191</v>
      </c>
      <c r="H198" s="299" t="s">
        <v>1191</v>
      </c>
      <c r="I198" s="300">
        <v>11.77</v>
      </c>
      <c r="J198" s="300">
        <f>IF(OR($E198&lt;='Model Data Inputs'!$B$175,$F198="T"),$I198,IF($G198="E",'Model Data Inputs'!$B$176+$H198/'Model Data Inputs'!$B$179,IF($G198="M",'Model Data Inputs'!$B$177+$H198/'Model Data Inputs'!$B$179,IF($G198="H",'Model Data Inputs'!$B$178+$H198/'Model Data Inputs'!$B$179,IF($G198="N/A",0,$I198)))))</f>
        <v>0</v>
      </c>
      <c r="K198" s="300">
        <f t="shared" ref="K198:K261" si="6">IF(AND($A$2=2,OR(G198=0,G198="N/A")),0,IF($I198&lt;$J198,$I198,$J198))</f>
        <v>0</v>
      </c>
      <c r="L198" s="300">
        <f>$K198*'Model Data Inputs'!$B$168</f>
        <v>0</v>
      </c>
      <c r="M198" s="300">
        <f>$L198/'Model Data Inputs'!$B$169</f>
        <v>0</v>
      </c>
      <c r="N198" s="300">
        <f>IF($G198="E",$M198*('Model Data Inputs'!$B$171-1),IF($G198="M",$M198*('Model Data Inputs'!$B$172-1),IF($G198="H",$M198*('Model Data Inputs'!$B$173-1),$M198*('Model Data Inputs'!$B$170-1))))</f>
        <v>0</v>
      </c>
      <c r="O198" s="300">
        <f t="shared" si="5"/>
        <v>0</v>
      </c>
    </row>
    <row r="199" spans="1:15" s="40" customFormat="1" x14ac:dyDescent="0.2">
      <c r="A199" s="20" t="s">
        <v>50</v>
      </c>
      <c r="B199" s="20" t="s">
        <v>51</v>
      </c>
      <c r="C199" s="20" t="s">
        <v>1575</v>
      </c>
      <c r="D199" s="20" t="s">
        <v>1576</v>
      </c>
      <c r="E199" s="298">
        <v>11122</v>
      </c>
      <c r="F199" s="138" t="s">
        <v>1159</v>
      </c>
      <c r="G199" s="138" t="s">
        <v>1228</v>
      </c>
      <c r="H199" s="299">
        <f>SUM('School Level ADM'!S123:S124)</f>
        <v>437.34</v>
      </c>
      <c r="I199" s="300">
        <v>30.79</v>
      </c>
      <c r="J199" s="300">
        <f>IF(OR($E199&lt;='Model Data Inputs'!$B$175,$F199="T"),$I199,IF($G199="E",'Model Data Inputs'!$B$176+$H199/'Model Data Inputs'!$B$179,IF($G199="M",'Model Data Inputs'!$B$177+$H199/'Model Data Inputs'!$B$179,IF($G199="H",'Model Data Inputs'!$B$178+$H199/'Model Data Inputs'!$B$179,IF($G199="N/A",0,$I199)))))</f>
        <v>30.79</v>
      </c>
      <c r="K199" s="300">
        <f t="shared" si="6"/>
        <v>30.79</v>
      </c>
      <c r="L199" s="300">
        <f>$K199*'Model Data Inputs'!$B$168</f>
        <v>2863.47</v>
      </c>
      <c r="M199" s="300">
        <f>$L199/'Model Data Inputs'!$B$169</f>
        <v>1.4260308764940237</v>
      </c>
      <c r="N199" s="300">
        <f>IF($G199="E",$M199*('Model Data Inputs'!$B$171-1),IF($G199="M",$M199*('Model Data Inputs'!$B$172-1),IF($G199="H",$M199*('Model Data Inputs'!$B$173-1),$M199*('Model Data Inputs'!$B$170-1))))</f>
        <v>2.1390463147410355</v>
      </c>
      <c r="O199" s="300">
        <f t="shared" ref="O199:O264" si="7">SUM($M199:$N199)</f>
        <v>3.5650771912350594</v>
      </c>
    </row>
    <row r="200" spans="1:15" s="40" customFormat="1" x14ac:dyDescent="0.2">
      <c r="A200" s="20" t="s">
        <v>50</v>
      </c>
      <c r="B200" s="20" t="s">
        <v>51</v>
      </c>
      <c r="C200" s="20" t="s">
        <v>1577</v>
      </c>
      <c r="D200" s="20" t="s">
        <v>1578</v>
      </c>
      <c r="E200" s="298">
        <v>6347</v>
      </c>
      <c r="F200" s="138" t="s">
        <v>1159</v>
      </c>
      <c r="G200" s="138" t="s">
        <v>1191</v>
      </c>
      <c r="H200" s="299" t="s">
        <v>1191</v>
      </c>
      <c r="I200" s="300">
        <v>2.5</v>
      </c>
      <c r="J200" s="300">
        <f>IF(OR($E200&lt;='Model Data Inputs'!$B$175,$F200="T"),$I200,IF($G200="E",'Model Data Inputs'!$B$176+$H200/'Model Data Inputs'!$B$179,IF($G200="M",'Model Data Inputs'!$B$177+$H200/'Model Data Inputs'!$B$179,IF($G200="H",'Model Data Inputs'!$B$178+$H200/'Model Data Inputs'!$B$179,IF($G200="N/A",0,$I200)))))</f>
        <v>2.5</v>
      </c>
      <c r="K200" s="300">
        <f t="shared" si="6"/>
        <v>0</v>
      </c>
      <c r="L200" s="300">
        <f>$K200*'Model Data Inputs'!$B$168</f>
        <v>0</v>
      </c>
      <c r="M200" s="300">
        <f>$L200/'Model Data Inputs'!$B$169</f>
        <v>0</v>
      </c>
      <c r="N200" s="300">
        <f>IF($G200="E",$M200*('Model Data Inputs'!$B$171-1),IF($G200="M",$M200*('Model Data Inputs'!$B$172-1),IF($G200="H",$M200*('Model Data Inputs'!$B$173-1),$M200*('Model Data Inputs'!$B$170-1))))</f>
        <v>0</v>
      </c>
      <c r="O200" s="300">
        <f t="shared" si="7"/>
        <v>0</v>
      </c>
    </row>
    <row r="201" spans="1:15" s="40" customFormat="1" x14ac:dyDescent="0.2">
      <c r="A201" s="20" t="s">
        <v>50</v>
      </c>
      <c r="B201" s="20" t="s">
        <v>51</v>
      </c>
      <c r="C201" s="20" t="s">
        <v>1579</v>
      </c>
      <c r="D201" s="20" t="s">
        <v>1580</v>
      </c>
      <c r="E201" s="298">
        <v>37757</v>
      </c>
      <c r="F201" s="138" t="s">
        <v>1159</v>
      </c>
      <c r="G201" s="138">
        <v>0</v>
      </c>
      <c r="H201" s="299" t="s">
        <v>1191</v>
      </c>
      <c r="I201" s="300">
        <v>80</v>
      </c>
      <c r="J201" s="300">
        <f>IF(OR($E201&lt;='Model Data Inputs'!$B$175,$F201="T"),$I201,IF($G201="E",'Model Data Inputs'!$B$176+$H201/'Model Data Inputs'!$B$179,IF($G201="M",'Model Data Inputs'!$B$177+$H201/'Model Data Inputs'!$B$179,IF($G201="H",'Model Data Inputs'!$B$178+$H201/'Model Data Inputs'!$B$179,IF($G201="N/A",0,$I201)))))</f>
        <v>80</v>
      </c>
      <c r="K201" s="300">
        <f t="shared" si="6"/>
        <v>0</v>
      </c>
      <c r="L201" s="300">
        <f>$K201*'Model Data Inputs'!$B$168</f>
        <v>0</v>
      </c>
      <c r="M201" s="300">
        <f>$L201/'Model Data Inputs'!$B$169</f>
        <v>0</v>
      </c>
      <c r="N201" s="300">
        <f>IF($G201="E",$M201*('Model Data Inputs'!$B$171-1),IF($G201="M",$M201*('Model Data Inputs'!$B$172-1),IF($G201="H",$M201*('Model Data Inputs'!$B$173-1),$M201*('Model Data Inputs'!$B$170-1))))</f>
        <v>0</v>
      </c>
      <c r="O201" s="300">
        <f t="shared" si="7"/>
        <v>0</v>
      </c>
    </row>
    <row r="202" spans="1:15" s="40" customFormat="1" x14ac:dyDescent="0.2">
      <c r="A202" s="20" t="s">
        <v>52</v>
      </c>
      <c r="B202" s="20" t="s">
        <v>53</v>
      </c>
      <c r="C202" s="20" t="s">
        <v>1581</v>
      </c>
      <c r="D202" s="20" t="s">
        <v>1582</v>
      </c>
      <c r="E202" s="298">
        <v>33052</v>
      </c>
      <c r="F202" s="138" t="s">
        <v>1159</v>
      </c>
      <c r="G202" s="138">
        <v>0</v>
      </c>
      <c r="H202" s="299" t="s">
        <v>1191</v>
      </c>
      <c r="I202" s="300">
        <v>12.8</v>
      </c>
      <c r="J202" s="300">
        <f>IF(OR($E202&lt;='Model Data Inputs'!$B$175,$F202="T"),$I202,IF($G202="E",'Model Data Inputs'!$B$176+$H202/'Model Data Inputs'!$B$179,IF($G202="M",'Model Data Inputs'!$B$177+$H202/'Model Data Inputs'!$B$179,IF($G202="H",'Model Data Inputs'!$B$178+$H202/'Model Data Inputs'!$B$179,IF($G202="N/A",0,$I202)))))</f>
        <v>12.8</v>
      </c>
      <c r="K202" s="300">
        <f t="shared" si="6"/>
        <v>0</v>
      </c>
      <c r="L202" s="300">
        <f>$K202*'Model Data Inputs'!$B$168</f>
        <v>0</v>
      </c>
      <c r="M202" s="300">
        <f>$L202/'Model Data Inputs'!$B$169</f>
        <v>0</v>
      </c>
      <c r="N202" s="300">
        <f>IF($G202="E",$M202*('Model Data Inputs'!$B$171-1),IF($G202="M",$M202*('Model Data Inputs'!$B$172-1),IF($G202="H",$M202*('Model Data Inputs'!$B$173-1),$M202*('Model Data Inputs'!$B$170-1))))</f>
        <v>0</v>
      </c>
      <c r="O202" s="300">
        <f t="shared" si="7"/>
        <v>0</v>
      </c>
    </row>
    <row r="203" spans="1:15" s="40" customFormat="1" x14ac:dyDescent="0.2">
      <c r="A203" s="20" t="s">
        <v>52</v>
      </c>
      <c r="B203" s="20" t="s">
        <v>53</v>
      </c>
      <c r="C203" s="20" t="s">
        <v>1583</v>
      </c>
      <c r="D203" s="20" t="s">
        <v>1584</v>
      </c>
      <c r="E203" s="298">
        <v>35612</v>
      </c>
      <c r="F203" s="138" t="s">
        <v>1159</v>
      </c>
      <c r="G203" s="138" t="s">
        <v>1198</v>
      </c>
      <c r="H203" s="299">
        <f>'School Level ADM'!S128</f>
        <v>263.73066666666671</v>
      </c>
      <c r="I203" s="300">
        <v>11</v>
      </c>
      <c r="J203" s="300">
        <f>IF(OR($E203&lt;='Model Data Inputs'!$B$175,$F203="T"),$I203,IF($G203="E",'Model Data Inputs'!$B$176+$H203/'Model Data Inputs'!$B$179,IF($G203="M",'Model Data Inputs'!$B$177+$H203/'Model Data Inputs'!$B$179,IF($G203="H",'Model Data Inputs'!$B$178+$H203/'Model Data Inputs'!$B$179,IF($G203="N/A",0,$I203)))))</f>
        <v>11</v>
      </c>
      <c r="K203" s="300">
        <f t="shared" si="6"/>
        <v>11</v>
      </c>
      <c r="L203" s="300">
        <f>$K203*'Model Data Inputs'!$B$168</f>
        <v>1023</v>
      </c>
      <c r="M203" s="300">
        <f>$L203/'Model Data Inputs'!$B$169</f>
        <v>0.5094621513944223</v>
      </c>
      <c r="N203" s="300">
        <f>IF($G203="E",$M203*('Model Data Inputs'!$B$171-1),IF($G203="M",$M203*('Model Data Inputs'!$B$172-1),IF($G203="H",$M203*('Model Data Inputs'!$B$173-1),$M203*('Model Data Inputs'!$B$170-1))))</f>
        <v>0</v>
      </c>
      <c r="O203" s="300">
        <f t="shared" si="7"/>
        <v>0.5094621513944223</v>
      </c>
    </row>
    <row r="204" spans="1:15" s="40" customFormat="1" x14ac:dyDescent="0.2">
      <c r="A204" s="20" t="s">
        <v>52</v>
      </c>
      <c r="B204" s="20" t="s">
        <v>53</v>
      </c>
      <c r="C204" s="20" t="s">
        <v>1585</v>
      </c>
      <c r="D204" s="20" t="s">
        <v>1586</v>
      </c>
      <c r="E204" s="298">
        <v>14745</v>
      </c>
      <c r="F204" s="138" t="s">
        <v>1159</v>
      </c>
      <c r="G204" s="138" t="s">
        <v>1198</v>
      </c>
      <c r="H204" s="299">
        <f>'School Level ADM'!S126</f>
        <v>22.725333333333332</v>
      </c>
      <c r="I204" s="300">
        <v>2.4500000000000002</v>
      </c>
      <c r="J204" s="300">
        <f>IF(OR($E204&lt;='Model Data Inputs'!$B$175,$F204="T"),$I204,IF($G204="E",'Model Data Inputs'!$B$176+$H204/'Model Data Inputs'!$B$179,IF($G204="M",'Model Data Inputs'!$B$177+$H204/'Model Data Inputs'!$B$179,IF($G204="H",'Model Data Inputs'!$B$178+$H204/'Model Data Inputs'!$B$179,IF($G204="N/A",0,$I204)))))</f>
        <v>2.4500000000000002</v>
      </c>
      <c r="K204" s="300">
        <f t="shared" si="6"/>
        <v>2.4500000000000002</v>
      </c>
      <c r="L204" s="300">
        <f>$K204*'Model Data Inputs'!$B$168</f>
        <v>227.85000000000002</v>
      </c>
      <c r="M204" s="300">
        <f>$L204/'Model Data Inputs'!$B$169</f>
        <v>0.11347111553784861</v>
      </c>
      <c r="N204" s="300">
        <f>IF($G204="E",$M204*('Model Data Inputs'!$B$171-1),IF($G204="M",$M204*('Model Data Inputs'!$B$172-1),IF($G204="H",$M204*('Model Data Inputs'!$B$173-1),$M204*('Model Data Inputs'!$B$170-1))))</f>
        <v>0</v>
      </c>
      <c r="O204" s="300">
        <f t="shared" si="7"/>
        <v>0.11347111553784861</v>
      </c>
    </row>
    <row r="205" spans="1:15" s="40" customFormat="1" x14ac:dyDescent="0.2">
      <c r="A205" s="20" t="s">
        <v>52</v>
      </c>
      <c r="B205" s="20" t="s">
        <v>53</v>
      </c>
      <c r="C205" s="20" t="s">
        <v>1587</v>
      </c>
      <c r="D205" s="20" t="s">
        <v>1588</v>
      </c>
      <c r="E205" s="298">
        <v>35612</v>
      </c>
      <c r="F205" s="138" t="s">
        <v>1159</v>
      </c>
      <c r="G205" s="138">
        <v>0</v>
      </c>
      <c r="H205" s="299" t="s">
        <v>1191</v>
      </c>
      <c r="I205" s="300">
        <v>12.3</v>
      </c>
      <c r="J205" s="300">
        <f>IF(OR($E205&lt;='Model Data Inputs'!$B$175,$F205="T"),$I205,IF($G205="E",'Model Data Inputs'!$B$176+$H205/'Model Data Inputs'!$B$179,IF($G205="M",'Model Data Inputs'!$B$177+$H205/'Model Data Inputs'!$B$179,IF($G205="H",'Model Data Inputs'!$B$178+$H205/'Model Data Inputs'!$B$179,IF($G205="N/A",0,$I205)))))</f>
        <v>12.3</v>
      </c>
      <c r="K205" s="300">
        <f t="shared" si="6"/>
        <v>0</v>
      </c>
      <c r="L205" s="300">
        <f>$K205*'Model Data Inputs'!$B$168</f>
        <v>0</v>
      </c>
      <c r="M205" s="300">
        <f>$L205/'Model Data Inputs'!$B$169</f>
        <v>0</v>
      </c>
      <c r="N205" s="300">
        <f>IF($G205="E",$M205*('Model Data Inputs'!$B$171-1),IF($G205="M",$M205*('Model Data Inputs'!$B$172-1),IF($G205="H",$M205*('Model Data Inputs'!$B$173-1),$M205*('Model Data Inputs'!$B$170-1))))</f>
        <v>0</v>
      </c>
      <c r="O205" s="300">
        <f t="shared" si="7"/>
        <v>0</v>
      </c>
    </row>
    <row r="206" spans="1:15" s="40" customFormat="1" x14ac:dyDescent="0.2">
      <c r="A206" s="20" t="s">
        <v>52</v>
      </c>
      <c r="B206" s="20" t="s">
        <v>53</v>
      </c>
      <c r="C206" s="20" t="s">
        <v>1589</v>
      </c>
      <c r="D206" s="20" t="s">
        <v>1590</v>
      </c>
      <c r="E206" s="298">
        <v>31121</v>
      </c>
      <c r="F206" s="138" t="s">
        <v>1159</v>
      </c>
      <c r="G206" s="138" t="s">
        <v>1228</v>
      </c>
      <c r="H206" s="299">
        <f>SUM('School Level ADM'!S125,'School Level ADM'!S131,'School Level ADM'!S133)</f>
        <v>262.17833333333334</v>
      </c>
      <c r="I206" s="300">
        <v>22.44</v>
      </c>
      <c r="J206" s="300">
        <f>IF(OR($E206&lt;='Model Data Inputs'!$B$175,$F206="T"),$I206,IF($G206="E",'Model Data Inputs'!$B$176+$H206/'Model Data Inputs'!$B$179,IF($G206="M",'Model Data Inputs'!$B$177+$H206/'Model Data Inputs'!$B$179,IF($G206="H",'Model Data Inputs'!$B$178+$H206/'Model Data Inputs'!$B$179,IF($G206="N/A",0,$I206)))))</f>
        <v>22.44</v>
      </c>
      <c r="K206" s="300">
        <f t="shared" si="6"/>
        <v>22.44</v>
      </c>
      <c r="L206" s="300">
        <f>$K206*'Model Data Inputs'!$B$168</f>
        <v>2086.92</v>
      </c>
      <c r="M206" s="300">
        <f>$L206/'Model Data Inputs'!$B$169</f>
        <v>1.0393027888446216</v>
      </c>
      <c r="N206" s="300">
        <f>IF($G206="E",$M206*('Model Data Inputs'!$B$171-1),IF($G206="M",$M206*('Model Data Inputs'!$B$172-1),IF($G206="H",$M206*('Model Data Inputs'!$B$173-1),$M206*('Model Data Inputs'!$B$170-1))))</f>
        <v>1.5589541832669322</v>
      </c>
      <c r="O206" s="300">
        <f t="shared" si="7"/>
        <v>2.598256972111554</v>
      </c>
    </row>
    <row r="207" spans="1:15" s="40" customFormat="1" x14ac:dyDescent="0.2">
      <c r="A207" s="20" t="s">
        <v>52</v>
      </c>
      <c r="B207" s="20" t="s">
        <v>53</v>
      </c>
      <c r="C207" s="20" t="s">
        <v>1591</v>
      </c>
      <c r="D207" s="20" t="s">
        <v>1592</v>
      </c>
      <c r="E207" s="298">
        <v>20277</v>
      </c>
      <c r="F207" s="138" t="s">
        <v>1159</v>
      </c>
      <c r="G207" s="138" t="s">
        <v>1228</v>
      </c>
      <c r="H207" s="299">
        <f>SUM('School Level ADM'!S127,'School Level ADM'!S130,'School Level ADM'!S134)</f>
        <v>269.95466666666664</v>
      </c>
      <c r="I207" s="300">
        <v>21.1</v>
      </c>
      <c r="J207" s="300">
        <f>IF(OR($E207&lt;='Model Data Inputs'!$B$175,$F207="T"),$I207,IF($G207="E",'Model Data Inputs'!$B$176+$H207/'Model Data Inputs'!$B$179,IF($G207="M",'Model Data Inputs'!$B$177+$H207/'Model Data Inputs'!$B$179,IF($G207="H",'Model Data Inputs'!$B$178+$H207/'Model Data Inputs'!$B$179,IF($G207="N/A",0,$I207)))))</f>
        <v>21.1</v>
      </c>
      <c r="K207" s="300">
        <f t="shared" si="6"/>
        <v>21.1</v>
      </c>
      <c r="L207" s="300">
        <f>$K207*'Model Data Inputs'!$B$168</f>
        <v>1962.3000000000002</v>
      </c>
      <c r="M207" s="300">
        <f>$L207/'Model Data Inputs'!$B$169</f>
        <v>0.97724103585657385</v>
      </c>
      <c r="N207" s="300">
        <f>IF($G207="E",$M207*('Model Data Inputs'!$B$171-1),IF($G207="M",$M207*('Model Data Inputs'!$B$172-1),IF($G207="H",$M207*('Model Data Inputs'!$B$173-1),$M207*('Model Data Inputs'!$B$170-1))))</f>
        <v>1.4658615537848607</v>
      </c>
      <c r="O207" s="300">
        <f t="shared" si="7"/>
        <v>2.4431025896414345</v>
      </c>
    </row>
    <row r="208" spans="1:15" s="40" customFormat="1" x14ac:dyDescent="0.2">
      <c r="A208" s="20" t="s">
        <v>52</v>
      </c>
      <c r="B208" s="20" t="s">
        <v>53</v>
      </c>
      <c r="C208" s="20" t="s">
        <v>1593</v>
      </c>
      <c r="D208" s="20" t="s">
        <v>1594</v>
      </c>
      <c r="E208" s="298">
        <v>35612</v>
      </c>
      <c r="F208" s="138" t="s">
        <v>1159</v>
      </c>
      <c r="G208" s="138" t="s">
        <v>1228</v>
      </c>
      <c r="H208" s="299">
        <f>'School Level ADM'!S135</f>
        <v>356.23599999999999</v>
      </c>
      <c r="I208" s="300">
        <v>10.15</v>
      </c>
      <c r="J208" s="300">
        <f>IF(OR($E208&lt;='Model Data Inputs'!$B$175,$F208="T"),$I208,IF($G208="E",'Model Data Inputs'!$B$176+$H208/'Model Data Inputs'!$B$179,IF($G208="M",'Model Data Inputs'!$B$177+$H208/'Model Data Inputs'!$B$179,IF($G208="H",'Model Data Inputs'!$B$178+$H208/'Model Data Inputs'!$B$179,IF($G208="N/A",0,$I208)))))</f>
        <v>10.15</v>
      </c>
      <c r="K208" s="300">
        <f t="shared" si="6"/>
        <v>10.15</v>
      </c>
      <c r="L208" s="300">
        <f>$K208*'Model Data Inputs'!$B$168</f>
        <v>943.95</v>
      </c>
      <c r="M208" s="300">
        <f>$L208/'Model Data Inputs'!$B$169</f>
        <v>0.47009462151394427</v>
      </c>
      <c r="N208" s="300">
        <f>IF($G208="E",$M208*('Model Data Inputs'!$B$171-1),IF($G208="M",$M208*('Model Data Inputs'!$B$172-1),IF($G208="H",$M208*('Model Data Inputs'!$B$173-1),$M208*('Model Data Inputs'!$B$170-1))))</f>
        <v>0.70514193227091637</v>
      </c>
      <c r="O208" s="300">
        <f t="shared" si="7"/>
        <v>1.1752365537848606</v>
      </c>
    </row>
    <row r="209" spans="1:15" s="40" customFormat="1" x14ac:dyDescent="0.2">
      <c r="A209" s="20" t="s">
        <v>52</v>
      </c>
      <c r="B209" s="20" t="s">
        <v>53</v>
      </c>
      <c r="C209" s="20" t="s">
        <v>1595</v>
      </c>
      <c r="D209" s="20" t="s">
        <v>1596</v>
      </c>
      <c r="E209" s="298">
        <v>38534</v>
      </c>
      <c r="F209" s="138" t="s">
        <v>1159</v>
      </c>
      <c r="G209" s="138" t="s">
        <v>1198</v>
      </c>
      <c r="H209" s="299">
        <f>'School Level ADM'!S129</f>
        <v>262.44499999999999</v>
      </c>
      <c r="I209" s="300">
        <v>9.6</v>
      </c>
      <c r="J209" s="300">
        <f>IF(OR($E209&lt;='Model Data Inputs'!$B$175,$F209="T"),$I209,IF($G209="E",'Model Data Inputs'!$B$176+$H209/'Model Data Inputs'!$B$179,IF($G209="M",'Model Data Inputs'!$B$177+$H209/'Model Data Inputs'!$B$179,IF($G209="H",'Model Data Inputs'!$B$178+$H209/'Model Data Inputs'!$B$179,IF($G209="N/A",0,$I209)))))</f>
        <v>6.6244499999999995</v>
      </c>
      <c r="K209" s="300">
        <f t="shared" si="6"/>
        <v>6.6244499999999995</v>
      </c>
      <c r="L209" s="300">
        <f>$K209*'Model Data Inputs'!$B$168</f>
        <v>616.07384999999999</v>
      </c>
      <c r="M209" s="300">
        <f>$L209/'Model Data Inputs'!$B$169</f>
        <v>0.30680968625498006</v>
      </c>
      <c r="N209" s="300">
        <f>IF($G209="E",$M209*('Model Data Inputs'!$B$171-1),IF($G209="M",$M209*('Model Data Inputs'!$B$172-1),IF($G209="H",$M209*('Model Data Inputs'!$B$173-1),$M209*('Model Data Inputs'!$B$170-1))))</f>
        <v>0</v>
      </c>
      <c r="O209" s="300">
        <f t="shared" si="7"/>
        <v>0.30680968625498006</v>
      </c>
    </row>
    <row r="210" spans="1:15" s="40" customFormat="1" x14ac:dyDescent="0.2">
      <c r="A210" s="20" t="s">
        <v>52</v>
      </c>
      <c r="B210" s="20" t="s">
        <v>53</v>
      </c>
      <c r="C210" s="20" t="s">
        <v>1597</v>
      </c>
      <c r="D210" s="20" t="s">
        <v>1598</v>
      </c>
      <c r="E210" s="298">
        <v>39995</v>
      </c>
      <c r="F210" s="138" t="s">
        <v>1159</v>
      </c>
      <c r="G210" s="138" t="s">
        <v>1205</v>
      </c>
      <c r="H210" s="299">
        <f>'School Level ADM'!S132</f>
        <v>266.27499999999998</v>
      </c>
      <c r="I210" s="300">
        <v>13.2</v>
      </c>
      <c r="J210" s="300">
        <f>IF(OR($E210&lt;='Model Data Inputs'!$B$175,$F210="T"),$I210,IF($G210="E",'Model Data Inputs'!$B$176+$H210/'Model Data Inputs'!$B$179,IF($G210="M",'Model Data Inputs'!$B$177+$H210/'Model Data Inputs'!$B$179,IF($G210="H",'Model Data Inputs'!$B$178+$H210/'Model Data Inputs'!$B$179,IF($G210="N/A",0,$I210)))))</f>
        <v>12.662749999999999</v>
      </c>
      <c r="K210" s="300">
        <f t="shared" si="6"/>
        <v>12.662749999999999</v>
      </c>
      <c r="L210" s="300">
        <f>$K210*'Model Data Inputs'!$B$168</f>
        <v>1177.6357499999999</v>
      </c>
      <c r="M210" s="300">
        <f>$L210/'Model Data Inputs'!$B$169</f>
        <v>0.58647198705179282</v>
      </c>
      <c r="N210" s="300">
        <f>IF($G210="E",$M210*('Model Data Inputs'!$B$171-1),IF($G210="M",$M210*('Model Data Inputs'!$B$172-1),IF($G210="H",$M210*('Model Data Inputs'!$B$173-1),$M210*('Model Data Inputs'!$B$170-1))))</f>
        <v>0.29323599352589641</v>
      </c>
      <c r="O210" s="300">
        <f t="shared" si="7"/>
        <v>0.87970798057768929</v>
      </c>
    </row>
    <row r="211" spans="1:15" s="40" customFormat="1" x14ac:dyDescent="0.2">
      <c r="A211" s="20" t="s">
        <v>54</v>
      </c>
      <c r="B211" s="20" t="s">
        <v>55</v>
      </c>
      <c r="C211" s="20" t="s">
        <v>1599</v>
      </c>
      <c r="D211" s="20" t="s">
        <v>1600</v>
      </c>
      <c r="E211" s="298">
        <v>13942</v>
      </c>
      <c r="F211" s="138" t="s">
        <v>1159</v>
      </c>
      <c r="G211" s="138">
        <v>0</v>
      </c>
      <c r="H211" s="299" t="s">
        <v>1191</v>
      </c>
      <c r="I211" s="300">
        <v>2</v>
      </c>
      <c r="J211" s="300">
        <f>IF(OR($E211&lt;='Model Data Inputs'!$B$175,$F211="T"),$I211,IF($G211="E",'Model Data Inputs'!$B$176+$H211/'Model Data Inputs'!$B$179,IF($G211="M",'Model Data Inputs'!$B$177+$H211/'Model Data Inputs'!$B$179,IF($G211="H",'Model Data Inputs'!$B$178+$H211/'Model Data Inputs'!$B$179,IF($G211="N/A",0,$I211)))))</f>
        <v>2</v>
      </c>
      <c r="K211" s="300">
        <f t="shared" si="6"/>
        <v>0</v>
      </c>
      <c r="L211" s="300">
        <f>$K211*'Model Data Inputs'!$B$168</f>
        <v>0</v>
      </c>
      <c r="M211" s="300">
        <f>$L211/'Model Data Inputs'!$B$169</f>
        <v>0</v>
      </c>
      <c r="N211" s="300">
        <f>IF($G211="E",$M211*('Model Data Inputs'!$B$171-1),IF($G211="M",$M211*('Model Data Inputs'!$B$172-1),IF($G211="H",$M211*('Model Data Inputs'!$B$173-1),$M211*('Model Data Inputs'!$B$170-1))))</f>
        <v>0</v>
      </c>
      <c r="O211" s="300">
        <f t="shared" si="7"/>
        <v>0</v>
      </c>
    </row>
    <row r="212" spans="1:15" s="40" customFormat="1" x14ac:dyDescent="0.2">
      <c r="A212" s="20" t="s">
        <v>54</v>
      </c>
      <c r="B212" s="20" t="s">
        <v>55</v>
      </c>
      <c r="C212" s="20" t="s">
        <v>1601</v>
      </c>
      <c r="D212" s="20" t="s">
        <v>1602</v>
      </c>
      <c r="E212" s="298">
        <v>21334</v>
      </c>
      <c r="F212" s="138" t="s">
        <v>1159</v>
      </c>
      <c r="G212" s="138" t="s">
        <v>1191</v>
      </c>
      <c r="H212" s="299" t="s">
        <v>1191</v>
      </c>
      <c r="I212" s="300">
        <v>1.54</v>
      </c>
      <c r="J212" s="300">
        <f>IF(OR($E212&lt;='Model Data Inputs'!$B$175,$F212="T"),$I212,IF($G212="E",'Model Data Inputs'!$B$176+$H212/'Model Data Inputs'!$B$179,IF($G212="M",'Model Data Inputs'!$B$177+$H212/'Model Data Inputs'!$B$179,IF($G212="H",'Model Data Inputs'!$B$178+$H212/'Model Data Inputs'!$B$179,IF($G212="N/A",0,$I212)))))</f>
        <v>1.54</v>
      </c>
      <c r="K212" s="300">
        <f t="shared" si="6"/>
        <v>0</v>
      </c>
      <c r="L212" s="300">
        <f>$K212*'Model Data Inputs'!$B$168</f>
        <v>0</v>
      </c>
      <c r="M212" s="300">
        <f>$L212/'Model Data Inputs'!$B$169</f>
        <v>0</v>
      </c>
      <c r="N212" s="300">
        <f>IF($G212="E",$M212*('Model Data Inputs'!$B$171-1),IF($G212="M",$M212*('Model Data Inputs'!$B$172-1),IF($G212="H",$M212*('Model Data Inputs'!$B$173-1),$M212*('Model Data Inputs'!$B$170-1))))</f>
        <v>0</v>
      </c>
      <c r="O212" s="300">
        <f t="shared" si="7"/>
        <v>0</v>
      </c>
    </row>
    <row r="213" spans="1:15" s="40" customFormat="1" x14ac:dyDescent="0.2">
      <c r="A213" s="20" t="s">
        <v>54</v>
      </c>
      <c r="B213" s="20" t="s">
        <v>55</v>
      </c>
      <c r="C213" s="20" t="s">
        <v>1603</v>
      </c>
      <c r="D213" s="20" t="s">
        <v>1604</v>
      </c>
      <c r="E213" s="298">
        <v>35612</v>
      </c>
      <c r="F213" s="138" t="s">
        <v>1159</v>
      </c>
      <c r="G213" s="138" t="s">
        <v>1205</v>
      </c>
      <c r="H213" s="299">
        <f>'School Level ADM'!S137</f>
        <v>213.745</v>
      </c>
      <c r="I213" s="300">
        <v>14.5</v>
      </c>
      <c r="J213" s="300">
        <f>IF(OR($E213&lt;='Model Data Inputs'!$B$175,$F213="T"),$I213,IF($G213="E",'Model Data Inputs'!$B$176+$H213/'Model Data Inputs'!$B$179,IF($G213="M",'Model Data Inputs'!$B$177+$H213/'Model Data Inputs'!$B$179,IF($G213="H",'Model Data Inputs'!$B$178+$H213/'Model Data Inputs'!$B$179,IF($G213="N/A",0,$I213)))))</f>
        <v>14.5</v>
      </c>
      <c r="K213" s="300">
        <f t="shared" si="6"/>
        <v>14.5</v>
      </c>
      <c r="L213" s="300">
        <f>$K213*'Model Data Inputs'!$B$168</f>
        <v>1348.5</v>
      </c>
      <c r="M213" s="300">
        <f>$L213/'Model Data Inputs'!$B$169</f>
        <v>0.67156374501992033</v>
      </c>
      <c r="N213" s="300">
        <f>IF($G213="E",$M213*('Model Data Inputs'!$B$171-1),IF($G213="M",$M213*('Model Data Inputs'!$B$172-1),IF($G213="H",$M213*('Model Data Inputs'!$B$173-1),$M213*('Model Data Inputs'!$B$170-1))))</f>
        <v>0.33578187250996017</v>
      </c>
      <c r="O213" s="300">
        <f t="shared" si="7"/>
        <v>1.0073456175298805</v>
      </c>
    </row>
    <row r="214" spans="1:15" s="40" customFormat="1" x14ac:dyDescent="0.2">
      <c r="A214" s="20" t="s">
        <v>54</v>
      </c>
      <c r="B214" s="20" t="s">
        <v>55</v>
      </c>
      <c r="C214" s="20" t="s">
        <v>1605</v>
      </c>
      <c r="D214" s="20" t="s">
        <v>1606</v>
      </c>
      <c r="E214" s="298">
        <v>13942</v>
      </c>
      <c r="F214" s="138" t="s">
        <v>1159</v>
      </c>
      <c r="G214" s="138" t="s">
        <v>1228</v>
      </c>
      <c r="H214" s="299">
        <f>SUM('School Level ADM'!S136,'School Level ADM'!S138)</f>
        <v>449.15999999999997</v>
      </c>
      <c r="I214" s="300">
        <v>19.420000000000002</v>
      </c>
      <c r="J214" s="300">
        <f>IF(OR($E214&lt;='Model Data Inputs'!$B$175,$F214="T"),$I214,IF($G214="E",'Model Data Inputs'!$B$176+$H214/'Model Data Inputs'!$B$179,IF($G214="M",'Model Data Inputs'!$B$177+$H214/'Model Data Inputs'!$B$179,IF($G214="H",'Model Data Inputs'!$B$178+$H214/'Model Data Inputs'!$B$179,IF($G214="N/A",0,$I214)))))</f>
        <v>19.420000000000002</v>
      </c>
      <c r="K214" s="300">
        <f t="shared" si="6"/>
        <v>19.420000000000002</v>
      </c>
      <c r="L214" s="300">
        <f>$K214*'Model Data Inputs'!$B$168</f>
        <v>1806.0600000000002</v>
      </c>
      <c r="M214" s="300">
        <f>$L214/'Model Data Inputs'!$B$169</f>
        <v>0.89943227091633471</v>
      </c>
      <c r="N214" s="300">
        <f>IF($G214="E",$M214*('Model Data Inputs'!$B$171-1),IF($G214="M",$M214*('Model Data Inputs'!$B$172-1),IF($G214="H",$M214*('Model Data Inputs'!$B$173-1),$M214*('Model Data Inputs'!$B$170-1))))</f>
        <v>1.3491484063745021</v>
      </c>
      <c r="O214" s="300">
        <f t="shared" si="7"/>
        <v>2.2485806772908368</v>
      </c>
    </row>
    <row r="215" spans="1:15" s="40" customFormat="1" x14ac:dyDescent="0.2">
      <c r="A215" s="20" t="s">
        <v>56</v>
      </c>
      <c r="B215" s="20" t="s">
        <v>57</v>
      </c>
      <c r="C215" s="20" t="s">
        <v>1607</v>
      </c>
      <c r="D215" s="20" t="s">
        <v>1608</v>
      </c>
      <c r="E215" s="298">
        <v>28384</v>
      </c>
      <c r="F215" s="138" t="s">
        <v>1159</v>
      </c>
      <c r="G215" s="138">
        <v>0</v>
      </c>
      <c r="H215" s="299" t="s">
        <v>1191</v>
      </c>
      <c r="I215" s="300">
        <v>1</v>
      </c>
      <c r="J215" s="300">
        <f>IF(OR($E215&lt;='Model Data Inputs'!$B$175,$F215="T"),$I215,IF($G215="E",'Model Data Inputs'!$B$176+$H215/'Model Data Inputs'!$B$179,IF($G215="M",'Model Data Inputs'!$B$177+$H215/'Model Data Inputs'!$B$179,IF($G215="H",'Model Data Inputs'!$B$178+$H215/'Model Data Inputs'!$B$179,IF($G215="N/A",0,$I215)))))</f>
        <v>1</v>
      </c>
      <c r="K215" s="300">
        <f t="shared" si="6"/>
        <v>0</v>
      </c>
      <c r="L215" s="300">
        <f>$K215*'Model Data Inputs'!$B$168</f>
        <v>0</v>
      </c>
      <c r="M215" s="300">
        <f>$L215/'Model Data Inputs'!$B$169</f>
        <v>0</v>
      </c>
      <c r="N215" s="300">
        <f>IF($G215="E",$M215*('Model Data Inputs'!$B$171-1),IF($G215="M",$M215*('Model Data Inputs'!$B$172-1),IF($G215="H",$M215*('Model Data Inputs'!$B$173-1),$M215*('Model Data Inputs'!$B$170-1))))</f>
        <v>0</v>
      </c>
      <c r="O215" s="300">
        <f t="shared" si="7"/>
        <v>0</v>
      </c>
    </row>
    <row r="216" spans="1:15" s="40" customFormat="1" x14ac:dyDescent="0.2">
      <c r="A216" s="20" t="s">
        <v>56</v>
      </c>
      <c r="B216" s="20" t="s">
        <v>57</v>
      </c>
      <c r="C216" s="20" t="s">
        <v>1609</v>
      </c>
      <c r="D216" s="20" t="s">
        <v>1610</v>
      </c>
      <c r="E216" s="298">
        <v>28384</v>
      </c>
      <c r="F216" s="138" t="s">
        <v>1159</v>
      </c>
      <c r="G216" s="138" t="s">
        <v>1228</v>
      </c>
      <c r="H216" s="299">
        <f>'School Level ADM'!S143</f>
        <v>308.30500000000001</v>
      </c>
      <c r="I216" s="300">
        <v>89.43</v>
      </c>
      <c r="J216" s="300">
        <f>IF(OR($E216&lt;='Model Data Inputs'!$B$175,$F216="T"),$I216,IF($G216="E",'Model Data Inputs'!$B$176+$H216/'Model Data Inputs'!$B$179,IF($G216="M",'Model Data Inputs'!$B$177+$H216/'Model Data Inputs'!$B$179,IF($G216="H",'Model Data Inputs'!$B$178+$H216/'Model Data Inputs'!$B$179,IF($G216="N/A",0,$I216)))))</f>
        <v>89.43</v>
      </c>
      <c r="K216" s="300">
        <f t="shared" si="6"/>
        <v>89.43</v>
      </c>
      <c r="L216" s="300">
        <f>$K216*'Model Data Inputs'!$B$168</f>
        <v>8316.99</v>
      </c>
      <c r="M216" s="300">
        <f>$L216/'Model Data Inputs'!$B$169</f>
        <v>4.1419272908366533</v>
      </c>
      <c r="N216" s="300">
        <f>IF($G216="E",$M216*('Model Data Inputs'!$B$171-1),IF($G216="M",$M216*('Model Data Inputs'!$B$172-1),IF($G216="H",$M216*('Model Data Inputs'!$B$173-1),$M216*('Model Data Inputs'!$B$170-1))))</f>
        <v>6.21289093625498</v>
      </c>
      <c r="O216" s="300">
        <f t="shared" si="7"/>
        <v>10.354818227091634</v>
      </c>
    </row>
    <row r="217" spans="1:15" s="40" customFormat="1" x14ac:dyDescent="0.2">
      <c r="A217" s="20" t="s">
        <v>56</v>
      </c>
      <c r="B217" s="20" t="s">
        <v>57</v>
      </c>
      <c r="C217" s="20" t="s">
        <v>1611</v>
      </c>
      <c r="D217" s="20" t="s">
        <v>1612</v>
      </c>
      <c r="E217" s="298">
        <v>35612</v>
      </c>
      <c r="F217" s="138" t="s">
        <v>1159</v>
      </c>
      <c r="G217" s="138">
        <v>0</v>
      </c>
      <c r="H217" s="299" t="s">
        <v>1191</v>
      </c>
      <c r="I217" s="300">
        <v>0.43</v>
      </c>
      <c r="J217" s="300">
        <f>IF(OR($E217&lt;='Model Data Inputs'!$B$175,$F217="T"),$I217,IF($G217="E",'Model Data Inputs'!$B$176+$H217/'Model Data Inputs'!$B$179,IF($G217="M",'Model Data Inputs'!$B$177+$H217/'Model Data Inputs'!$B$179,IF($G217="H",'Model Data Inputs'!$B$178+$H217/'Model Data Inputs'!$B$179,IF($G217="N/A",0,$I217)))))</f>
        <v>0.43</v>
      </c>
      <c r="K217" s="300">
        <f t="shared" si="6"/>
        <v>0</v>
      </c>
      <c r="L217" s="300">
        <f>$K217*'Model Data Inputs'!$B$168</f>
        <v>0</v>
      </c>
      <c r="M217" s="300">
        <f>$L217/'Model Data Inputs'!$B$169</f>
        <v>0</v>
      </c>
      <c r="N217" s="300">
        <f>IF($G217="E",$M217*('Model Data Inputs'!$B$171-1),IF($G217="M",$M217*('Model Data Inputs'!$B$172-1),IF($G217="H",$M217*('Model Data Inputs'!$B$173-1),$M217*('Model Data Inputs'!$B$170-1))))</f>
        <v>0</v>
      </c>
      <c r="O217" s="300">
        <f t="shared" si="7"/>
        <v>0</v>
      </c>
    </row>
    <row r="218" spans="1:15" s="40" customFormat="1" x14ac:dyDescent="0.2">
      <c r="A218" s="20" t="s">
        <v>56</v>
      </c>
      <c r="B218" s="20" t="s">
        <v>57</v>
      </c>
      <c r="C218" s="20" t="s">
        <v>1613</v>
      </c>
      <c r="D218" s="20" t="s">
        <v>1317</v>
      </c>
      <c r="E218" s="298">
        <v>12400</v>
      </c>
      <c r="F218" s="138" t="s">
        <v>1159</v>
      </c>
      <c r="G218" s="138" t="s">
        <v>1198</v>
      </c>
      <c r="H218" s="299">
        <f>'School Level ADM'!S140</f>
        <v>261.02499999999998</v>
      </c>
      <c r="I218" s="300">
        <v>13.79</v>
      </c>
      <c r="J218" s="300">
        <f>IF(OR($E218&lt;='Model Data Inputs'!$B$175,$F218="T"),$I218,IF($G218="E",'Model Data Inputs'!$B$176+$H218/'Model Data Inputs'!$B$179,IF($G218="M",'Model Data Inputs'!$B$177+$H218/'Model Data Inputs'!$B$179,IF($G218="H",'Model Data Inputs'!$B$178+$H218/'Model Data Inputs'!$B$179,IF($G218="N/A",0,$I218)))))</f>
        <v>13.79</v>
      </c>
      <c r="K218" s="300">
        <f t="shared" si="6"/>
        <v>13.79</v>
      </c>
      <c r="L218" s="300">
        <f>$K218*'Model Data Inputs'!$B$168</f>
        <v>1282.47</v>
      </c>
      <c r="M218" s="300">
        <f>$L218/'Model Data Inputs'!$B$169</f>
        <v>0.63868027888446222</v>
      </c>
      <c r="N218" s="300">
        <f>IF($G218="E",$M218*('Model Data Inputs'!$B$171-1),IF($G218="M",$M218*('Model Data Inputs'!$B$172-1),IF($G218="H",$M218*('Model Data Inputs'!$B$173-1),$M218*('Model Data Inputs'!$B$170-1))))</f>
        <v>0</v>
      </c>
      <c r="O218" s="300">
        <f t="shared" si="7"/>
        <v>0.63868027888446222</v>
      </c>
    </row>
    <row r="219" spans="1:15" s="40" customFormat="1" x14ac:dyDescent="0.2">
      <c r="A219" s="20" t="s">
        <v>56</v>
      </c>
      <c r="B219" s="20" t="s">
        <v>57</v>
      </c>
      <c r="C219" s="20" t="s">
        <v>1614</v>
      </c>
      <c r="D219" s="20" t="s">
        <v>652</v>
      </c>
      <c r="E219" s="298">
        <v>13159</v>
      </c>
      <c r="F219" s="138" t="s">
        <v>1159</v>
      </c>
      <c r="G219" s="138" t="s">
        <v>1205</v>
      </c>
      <c r="H219" s="299">
        <f>'School Level ADM'!S142</f>
        <v>270.875</v>
      </c>
      <c r="I219" s="300">
        <v>13.31</v>
      </c>
      <c r="J219" s="300">
        <f>IF(OR($E219&lt;='Model Data Inputs'!$B$175,$F219="T"),$I219,IF($G219="E",'Model Data Inputs'!$B$176+$H219/'Model Data Inputs'!$B$179,IF($G219="M",'Model Data Inputs'!$B$177+$H219/'Model Data Inputs'!$B$179,IF($G219="H",'Model Data Inputs'!$B$178+$H219/'Model Data Inputs'!$B$179,IF($G219="N/A",0,$I219)))))</f>
        <v>13.31</v>
      </c>
      <c r="K219" s="300">
        <f t="shared" si="6"/>
        <v>13.31</v>
      </c>
      <c r="L219" s="300">
        <f>$K219*'Model Data Inputs'!$B$168</f>
        <v>1237.8300000000002</v>
      </c>
      <c r="M219" s="300">
        <f>$L219/'Model Data Inputs'!$B$169</f>
        <v>0.61644920318725105</v>
      </c>
      <c r="N219" s="300">
        <f>IF($G219="E",$M219*('Model Data Inputs'!$B$171-1),IF($G219="M",$M219*('Model Data Inputs'!$B$172-1),IF($G219="H",$M219*('Model Data Inputs'!$B$173-1),$M219*('Model Data Inputs'!$B$170-1))))</f>
        <v>0.30822460159362552</v>
      </c>
      <c r="O219" s="300">
        <f t="shared" si="7"/>
        <v>0.92467380478087657</v>
      </c>
    </row>
    <row r="220" spans="1:15" s="40" customFormat="1" x14ac:dyDescent="0.2">
      <c r="A220" s="20" t="s">
        <v>56</v>
      </c>
      <c r="B220" s="20" t="s">
        <v>57</v>
      </c>
      <c r="C220" s="20" t="s">
        <v>1615</v>
      </c>
      <c r="D220" s="20" t="s">
        <v>1616</v>
      </c>
      <c r="E220" s="298">
        <v>23203</v>
      </c>
      <c r="F220" s="138" t="s">
        <v>1159</v>
      </c>
      <c r="G220" s="138" t="s">
        <v>1228</v>
      </c>
      <c r="H220" s="299">
        <f>'School Level ADM'!S141</f>
        <v>149.71999999999997</v>
      </c>
      <c r="I220" s="300">
        <v>73.87</v>
      </c>
      <c r="J220" s="300">
        <f>IF(OR($E220&lt;='Model Data Inputs'!$B$175,$F220="T"),$I220,IF($G220="E",'Model Data Inputs'!$B$176+$H220/'Model Data Inputs'!$B$179,IF($G220="M",'Model Data Inputs'!$B$177+$H220/'Model Data Inputs'!$B$179,IF($G220="H",'Model Data Inputs'!$B$178+$H220/'Model Data Inputs'!$B$179,IF($G220="N/A",0,$I220)))))</f>
        <v>73.87</v>
      </c>
      <c r="K220" s="300">
        <f t="shared" si="6"/>
        <v>73.87</v>
      </c>
      <c r="L220" s="300">
        <f>$K220*'Model Data Inputs'!$B$168</f>
        <v>6869.9100000000008</v>
      </c>
      <c r="M220" s="300">
        <f>$L220/'Model Data Inputs'!$B$169</f>
        <v>3.4212699203187253</v>
      </c>
      <c r="N220" s="300">
        <f>IF($G220="E",$M220*('Model Data Inputs'!$B$171-1),IF($G220="M",$M220*('Model Data Inputs'!$B$172-1),IF($G220="H",$M220*('Model Data Inputs'!$B$173-1),$M220*('Model Data Inputs'!$B$170-1))))</f>
        <v>5.1319048804780882</v>
      </c>
      <c r="O220" s="300">
        <f t="shared" si="7"/>
        <v>8.553174800796814</v>
      </c>
    </row>
    <row r="221" spans="1:15" s="40" customFormat="1" x14ac:dyDescent="0.2">
      <c r="A221" s="20" t="s">
        <v>56</v>
      </c>
      <c r="B221" s="20" t="s">
        <v>57</v>
      </c>
      <c r="C221" s="20" t="s">
        <v>1617</v>
      </c>
      <c r="D221" s="20" t="s">
        <v>1618</v>
      </c>
      <c r="E221" s="298">
        <v>35612</v>
      </c>
      <c r="F221" s="138" t="s">
        <v>1159</v>
      </c>
      <c r="G221" s="138">
        <v>0</v>
      </c>
      <c r="H221" s="299" t="s">
        <v>1191</v>
      </c>
      <c r="I221" s="300">
        <v>3</v>
      </c>
      <c r="J221" s="300">
        <f>IF(OR($E221&lt;='Model Data Inputs'!$B$175,$F221="T"),$I221,IF($G221="E",'Model Data Inputs'!$B$176+$H221/'Model Data Inputs'!$B$179,IF($G221="M",'Model Data Inputs'!$B$177+$H221/'Model Data Inputs'!$B$179,IF($G221="H",'Model Data Inputs'!$B$178+$H221/'Model Data Inputs'!$B$179,IF($G221="N/A",0,$I221)))))</f>
        <v>3</v>
      </c>
      <c r="K221" s="300">
        <f t="shared" si="6"/>
        <v>0</v>
      </c>
      <c r="L221" s="300">
        <f>$K221*'Model Data Inputs'!$B$168</f>
        <v>0</v>
      </c>
      <c r="M221" s="300">
        <f>$L221/'Model Data Inputs'!$B$169</f>
        <v>0</v>
      </c>
      <c r="N221" s="300">
        <f>IF($G221="E",$M221*('Model Data Inputs'!$B$171-1),IF($G221="M",$M221*('Model Data Inputs'!$B$172-1),IF($G221="H",$M221*('Model Data Inputs'!$B$173-1),$M221*('Model Data Inputs'!$B$170-1))))</f>
        <v>0</v>
      </c>
      <c r="O221" s="300">
        <f t="shared" si="7"/>
        <v>0</v>
      </c>
    </row>
    <row r="222" spans="1:15" s="40" customFormat="1" x14ac:dyDescent="0.2">
      <c r="A222" s="20" t="s">
        <v>56</v>
      </c>
      <c r="B222" s="20" t="s">
        <v>57</v>
      </c>
      <c r="C222" s="20" t="s">
        <v>1619</v>
      </c>
      <c r="D222" s="20" t="s">
        <v>1620</v>
      </c>
      <c r="E222" s="298">
        <v>35612</v>
      </c>
      <c r="F222" s="138" t="s">
        <v>1159</v>
      </c>
      <c r="G222" s="138">
        <v>0</v>
      </c>
      <c r="H222" s="299" t="s">
        <v>1191</v>
      </c>
      <c r="I222" s="300">
        <v>0.37</v>
      </c>
      <c r="J222" s="300">
        <f>IF(OR($E222&lt;='Model Data Inputs'!$B$175,$F222="T"),$I222,IF($G222="E",'Model Data Inputs'!$B$176+$H222/'Model Data Inputs'!$B$179,IF($G222="M",'Model Data Inputs'!$B$177+$H222/'Model Data Inputs'!$B$179,IF($G222="H",'Model Data Inputs'!$B$178+$H222/'Model Data Inputs'!$B$179,IF($G222="N/A",0,$I222)))))</f>
        <v>0.37</v>
      </c>
      <c r="K222" s="300">
        <f t="shared" si="6"/>
        <v>0</v>
      </c>
      <c r="L222" s="300">
        <f>$K222*'Model Data Inputs'!$B$168</f>
        <v>0</v>
      </c>
      <c r="M222" s="300">
        <f>$L222/'Model Data Inputs'!$B$169</f>
        <v>0</v>
      </c>
      <c r="N222" s="300">
        <f>IF($G222="E",$M222*('Model Data Inputs'!$B$171-1),IF($G222="M",$M222*('Model Data Inputs'!$B$172-1),IF($G222="H",$M222*('Model Data Inputs'!$B$173-1),$M222*('Model Data Inputs'!$B$170-1))))</f>
        <v>0</v>
      </c>
      <c r="O222" s="300">
        <f t="shared" si="7"/>
        <v>0</v>
      </c>
    </row>
    <row r="223" spans="1:15" s="40" customFormat="1" x14ac:dyDescent="0.2">
      <c r="A223" s="20" t="s">
        <v>56</v>
      </c>
      <c r="B223" s="20" t="s">
        <v>57</v>
      </c>
      <c r="C223" s="20" t="s">
        <v>1621</v>
      </c>
      <c r="D223" s="20" t="s">
        <v>1622</v>
      </c>
      <c r="E223" s="298">
        <v>35612</v>
      </c>
      <c r="F223" s="138" t="s">
        <v>1159</v>
      </c>
      <c r="G223" s="138">
        <v>0</v>
      </c>
      <c r="H223" s="299" t="s">
        <v>1191</v>
      </c>
      <c r="I223" s="300">
        <v>0.86</v>
      </c>
      <c r="J223" s="300">
        <f>IF(OR($E223&lt;='Model Data Inputs'!$B$175,$F223="T"),$I223,IF($G223="E",'Model Data Inputs'!$B$176+$H223/'Model Data Inputs'!$B$179,IF($G223="M",'Model Data Inputs'!$B$177+$H223/'Model Data Inputs'!$B$179,IF($G223="H",'Model Data Inputs'!$B$178+$H223/'Model Data Inputs'!$B$179,IF($G223="N/A",0,$I223)))))</f>
        <v>0.86</v>
      </c>
      <c r="K223" s="300">
        <f t="shared" si="6"/>
        <v>0</v>
      </c>
      <c r="L223" s="300">
        <f>$K223*'Model Data Inputs'!$B$168</f>
        <v>0</v>
      </c>
      <c r="M223" s="300">
        <f>$L223/'Model Data Inputs'!$B$169</f>
        <v>0</v>
      </c>
      <c r="N223" s="300">
        <f>IF($G223="E",$M223*('Model Data Inputs'!$B$171-1),IF($G223="M",$M223*('Model Data Inputs'!$B$172-1),IF($G223="H",$M223*('Model Data Inputs'!$B$173-1),$M223*('Model Data Inputs'!$B$170-1))))</f>
        <v>0</v>
      </c>
      <c r="O223" s="300">
        <f t="shared" si="7"/>
        <v>0</v>
      </c>
    </row>
    <row r="224" spans="1:15" s="40" customFormat="1" x14ac:dyDescent="0.2">
      <c r="A224" s="20" t="s">
        <v>56</v>
      </c>
      <c r="B224" s="20" t="s">
        <v>57</v>
      </c>
      <c r="C224" s="20" t="s">
        <v>1623</v>
      </c>
      <c r="D224" s="20" t="s">
        <v>1624</v>
      </c>
      <c r="E224" s="298">
        <v>35612</v>
      </c>
      <c r="F224" s="138" t="s">
        <v>1159</v>
      </c>
      <c r="G224" s="138">
        <v>0</v>
      </c>
      <c r="H224" s="299" t="s">
        <v>1191</v>
      </c>
      <c r="I224" s="300">
        <v>0.54630000000000001</v>
      </c>
      <c r="J224" s="300">
        <f>IF(OR($E224&lt;='Model Data Inputs'!$B$175,$F224="T"),$I224,IF($G224="E",'Model Data Inputs'!$B$176+$H224/'Model Data Inputs'!$B$179,IF($G224="M",'Model Data Inputs'!$B$177+$H224/'Model Data Inputs'!$B$179,IF($G224="H",'Model Data Inputs'!$B$178+$H224/'Model Data Inputs'!$B$179,IF($G224="N/A",0,$I224)))))</f>
        <v>0.54630000000000001</v>
      </c>
      <c r="K224" s="300">
        <f t="shared" si="6"/>
        <v>0</v>
      </c>
      <c r="L224" s="300">
        <f>$K224*'Model Data Inputs'!$B$168</f>
        <v>0</v>
      </c>
      <c r="M224" s="300">
        <f>$L224/'Model Data Inputs'!$B$169</f>
        <v>0</v>
      </c>
      <c r="N224" s="300">
        <f>IF($G224="E",$M224*('Model Data Inputs'!$B$171-1),IF($G224="M",$M224*('Model Data Inputs'!$B$172-1),IF($G224="H",$M224*('Model Data Inputs'!$B$173-1),$M224*('Model Data Inputs'!$B$170-1))))</f>
        <v>0</v>
      </c>
      <c r="O224" s="300">
        <f t="shared" si="7"/>
        <v>0</v>
      </c>
    </row>
    <row r="225" spans="1:15" s="40" customFormat="1" x14ac:dyDescent="0.2">
      <c r="A225" s="20" t="s">
        <v>56</v>
      </c>
      <c r="B225" s="20" t="s">
        <v>57</v>
      </c>
      <c r="C225" s="20" t="s">
        <v>1625</v>
      </c>
      <c r="D225" s="20" t="s">
        <v>1626</v>
      </c>
      <c r="E225" s="298">
        <v>40360</v>
      </c>
      <c r="F225" s="138" t="s">
        <v>1159</v>
      </c>
      <c r="G225" s="138" t="s">
        <v>1198</v>
      </c>
      <c r="H225" s="299">
        <f>'School Level ADM'!S139</f>
        <v>279.74</v>
      </c>
      <c r="I225" s="300">
        <v>6.89</v>
      </c>
      <c r="J225" s="300">
        <f>IF(OR($E225&lt;='Model Data Inputs'!$B$175,$F225="T"),$I225,IF($G225="E",'Model Data Inputs'!$B$176+$H225/'Model Data Inputs'!$B$179,IF($G225="M",'Model Data Inputs'!$B$177+$H225/'Model Data Inputs'!$B$179,IF($G225="H",'Model Data Inputs'!$B$178+$H225/'Model Data Inputs'!$B$179,IF($G225="N/A",0,$I225)))))</f>
        <v>6.7973999999999997</v>
      </c>
      <c r="K225" s="300">
        <f t="shared" si="6"/>
        <v>6.7973999999999997</v>
      </c>
      <c r="L225" s="300">
        <f>$K225*'Model Data Inputs'!$B$168</f>
        <v>632.15819999999997</v>
      </c>
      <c r="M225" s="300">
        <f>$L225/'Model Data Inputs'!$B$169</f>
        <v>0.31481982071713144</v>
      </c>
      <c r="N225" s="300">
        <f>IF($G225="E",$M225*('Model Data Inputs'!$B$171-1),IF($G225="M",$M225*('Model Data Inputs'!$B$172-1),IF($G225="H",$M225*('Model Data Inputs'!$B$173-1),$M225*('Model Data Inputs'!$B$170-1))))</f>
        <v>0</v>
      </c>
      <c r="O225" s="300">
        <f t="shared" si="7"/>
        <v>0.31481982071713144</v>
      </c>
    </row>
    <row r="226" spans="1:15" s="40" customFormat="1" x14ac:dyDescent="0.2">
      <c r="A226" s="20" t="s">
        <v>56</v>
      </c>
      <c r="B226" s="20" t="s">
        <v>57</v>
      </c>
      <c r="C226" s="20" t="s">
        <v>1627</v>
      </c>
      <c r="D226" s="20" t="s">
        <v>1628</v>
      </c>
      <c r="E226" s="298">
        <v>35612</v>
      </c>
      <c r="F226" s="138" t="s">
        <v>1159</v>
      </c>
      <c r="G226" s="138">
        <v>0</v>
      </c>
      <c r="H226" s="299" t="s">
        <v>1191</v>
      </c>
      <c r="I226" s="300">
        <v>0.28000000000000003</v>
      </c>
      <c r="J226" s="300">
        <f>IF(OR($E226&lt;='Model Data Inputs'!$B$175,$F226="T"),$I226,IF($G226="E",'Model Data Inputs'!$B$176+$H226/'Model Data Inputs'!$B$179,IF($G226="M",'Model Data Inputs'!$B$177+$H226/'Model Data Inputs'!$B$179,IF($G226="H",'Model Data Inputs'!$B$178+$H226/'Model Data Inputs'!$B$179,IF($G226="N/A",0,$I226)))))</f>
        <v>0.28000000000000003</v>
      </c>
      <c r="K226" s="300">
        <f t="shared" si="6"/>
        <v>0</v>
      </c>
      <c r="L226" s="300">
        <f>$K226*'Model Data Inputs'!$B$168</f>
        <v>0</v>
      </c>
      <c r="M226" s="300">
        <f>$L226/'Model Data Inputs'!$B$169</f>
        <v>0</v>
      </c>
      <c r="N226" s="300">
        <f>IF($G226="E",$M226*('Model Data Inputs'!$B$171-1),IF($G226="M",$M226*('Model Data Inputs'!$B$172-1),IF($G226="H",$M226*('Model Data Inputs'!$B$173-1),$M226*('Model Data Inputs'!$B$170-1))))</f>
        <v>0</v>
      </c>
      <c r="O226" s="300">
        <f t="shared" si="7"/>
        <v>0</v>
      </c>
    </row>
    <row r="227" spans="1:15" s="40" customFormat="1" x14ac:dyDescent="0.2">
      <c r="A227" s="20" t="s">
        <v>58</v>
      </c>
      <c r="B227" s="20" t="s">
        <v>59</v>
      </c>
      <c r="C227" s="20" t="s">
        <v>1629</v>
      </c>
      <c r="D227" s="20" t="s">
        <v>1630</v>
      </c>
      <c r="E227" s="298">
        <v>7081</v>
      </c>
      <c r="F227" s="138" t="s">
        <v>1159</v>
      </c>
      <c r="G227" s="138">
        <v>0</v>
      </c>
      <c r="H227" s="299" t="s">
        <v>1191</v>
      </c>
      <c r="I227" s="300">
        <v>6.58</v>
      </c>
      <c r="J227" s="300">
        <f>IF(OR($E227&lt;='Model Data Inputs'!$B$175,$F227="T"),$I227,IF($G227="E",'Model Data Inputs'!$B$176+$H227/'Model Data Inputs'!$B$179,IF($G227="M",'Model Data Inputs'!$B$177+$H227/'Model Data Inputs'!$B$179,IF($G227="H",'Model Data Inputs'!$B$178+$H227/'Model Data Inputs'!$B$179,IF($G227="N/A",0,$I227)))))</f>
        <v>6.58</v>
      </c>
      <c r="K227" s="300">
        <f t="shared" si="6"/>
        <v>0</v>
      </c>
      <c r="L227" s="300">
        <f>$K227*'Model Data Inputs'!$B$168</f>
        <v>0</v>
      </c>
      <c r="M227" s="300">
        <f>$L227/'Model Data Inputs'!$B$169</f>
        <v>0</v>
      </c>
      <c r="N227" s="300">
        <f>IF($G227="E",$M227*('Model Data Inputs'!$B$171-1),IF($G227="M",$M227*('Model Data Inputs'!$B$172-1),IF($G227="H",$M227*('Model Data Inputs'!$B$173-1),$M227*('Model Data Inputs'!$B$170-1))))</f>
        <v>0</v>
      </c>
      <c r="O227" s="300">
        <f t="shared" si="7"/>
        <v>0</v>
      </c>
    </row>
    <row r="228" spans="1:15" s="40" customFormat="1" x14ac:dyDescent="0.2">
      <c r="A228" s="20" t="s">
        <v>58</v>
      </c>
      <c r="B228" s="20" t="s">
        <v>59</v>
      </c>
      <c r="C228" s="20" t="s">
        <v>1631</v>
      </c>
      <c r="D228" s="20" t="s">
        <v>1632</v>
      </c>
      <c r="E228" s="298">
        <v>30104</v>
      </c>
      <c r="F228" s="138" t="s">
        <v>1159</v>
      </c>
      <c r="G228" s="138">
        <v>0</v>
      </c>
      <c r="H228" s="299" t="s">
        <v>1191</v>
      </c>
      <c r="I228" s="300">
        <v>14.95</v>
      </c>
      <c r="J228" s="300">
        <f>IF(OR($E228&lt;='Model Data Inputs'!$B$175,$F228="T"),$I228,IF($G228="E",'Model Data Inputs'!$B$176+$H228/'Model Data Inputs'!$B$179,IF($G228="M",'Model Data Inputs'!$B$177+$H228/'Model Data Inputs'!$B$179,IF($G228="H",'Model Data Inputs'!$B$178+$H228/'Model Data Inputs'!$B$179,IF($G228="N/A",0,$I228)))))</f>
        <v>14.95</v>
      </c>
      <c r="K228" s="300">
        <f t="shared" si="6"/>
        <v>0</v>
      </c>
      <c r="L228" s="300">
        <f>$K228*'Model Data Inputs'!$B$168</f>
        <v>0</v>
      </c>
      <c r="M228" s="300">
        <f>$L228/'Model Data Inputs'!$B$169</f>
        <v>0</v>
      </c>
      <c r="N228" s="300">
        <f>IF($G228="E",$M228*('Model Data Inputs'!$B$171-1),IF($G228="M",$M228*('Model Data Inputs'!$B$172-1),IF($G228="H",$M228*('Model Data Inputs'!$B$173-1),$M228*('Model Data Inputs'!$B$170-1))))</f>
        <v>0</v>
      </c>
      <c r="O228" s="300">
        <f t="shared" si="7"/>
        <v>0</v>
      </c>
    </row>
    <row r="229" spans="1:15" s="40" customFormat="1" x14ac:dyDescent="0.2">
      <c r="A229" s="20" t="s">
        <v>58</v>
      </c>
      <c r="B229" s="20" t="s">
        <v>59</v>
      </c>
      <c r="C229" s="20" t="s">
        <v>1633</v>
      </c>
      <c r="D229" s="20" t="s">
        <v>1634</v>
      </c>
      <c r="E229" s="298">
        <v>16621</v>
      </c>
      <c r="F229" s="138" t="s">
        <v>1159</v>
      </c>
      <c r="G229" s="138" t="s">
        <v>1198</v>
      </c>
      <c r="H229" s="299">
        <f>'School Level ADM'!S144</f>
        <v>268.90500000000003</v>
      </c>
      <c r="I229" s="300">
        <v>3.91</v>
      </c>
      <c r="J229" s="300">
        <f>IF(OR($E229&lt;='Model Data Inputs'!$B$175,$F229="T"),$I229,IF($G229="E",'Model Data Inputs'!$B$176+$H229/'Model Data Inputs'!$B$179,IF($G229="M",'Model Data Inputs'!$B$177+$H229/'Model Data Inputs'!$B$179,IF($G229="H",'Model Data Inputs'!$B$178+$H229/'Model Data Inputs'!$B$179,IF($G229="N/A",0,$I229)))))</f>
        <v>3.91</v>
      </c>
      <c r="K229" s="300">
        <f t="shared" si="6"/>
        <v>3.91</v>
      </c>
      <c r="L229" s="300">
        <f>$K229*'Model Data Inputs'!$B$168</f>
        <v>363.63</v>
      </c>
      <c r="M229" s="300">
        <f>$L229/'Model Data Inputs'!$B$169</f>
        <v>0.18109063745019921</v>
      </c>
      <c r="N229" s="300">
        <f>IF($G229="E",$M229*('Model Data Inputs'!$B$171-1),IF($G229="M",$M229*('Model Data Inputs'!$B$172-1),IF($G229="H",$M229*('Model Data Inputs'!$B$173-1),$M229*('Model Data Inputs'!$B$170-1))))</f>
        <v>0</v>
      </c>
      <c r="O229" s="300">
        <f t="shared" si="7"/>
        <v>0.18109063745019921</v>
      </c>
    </row>
    <row r="230" spans="1:15" s="40" customFormat="1" x14ac:dyDescent="0.2">
      <c r="A230" s="20" t="s">
        <v>58</v>
      </c>
      <c r="B230" s="20" t="s">
        <v>59</v>
      </c>
      <c r="C230" s="20" t="s">
        <v>1635</v>
      </c>
      <c r="D230" s="20" t="s">
        <v>1636</v>
      </c>
      <c r="E230" s="298">
        <v>22063</v>
      </c>
      <c r="F230" s="138" t="s">
        <v>1159</v>
      </c>
      <c r="G230" s="138" t="s">
        <v>1198</v>
      </c>
      <c r="H230" s="299">
        <f>'School Level ADM'!S145</f>
        <v>339.82500000000005</v>
      </c>
      <c r="I230" s="300">
        <v>16.86</v>
      </c>
      <c r="J230" s="300">
        <f>IF(OR($E230&lt;='Model Data Inputs'!$B$175,$F230="T"),$I230,IF($G230="E",'Model Data Inputs'!$B$176+$H230/'Model Data Inputs'!$B$179,IF($G230="M",'Model Data Inputs'!$B$177+$H230/'Model Data Inputs'!$B$179,IF($G230="H",'Model Data Inputs'!$B$178+$H230/'Model Data Inputs'!$B$179,IF($G230="N/A",0,$I230)))))</f>
        <v>16.86</v>
      </c>
      <c r="K230" s="300">
        <f t="shared" si="6"/>
        <v>16.86</v>
      </c>
      <c r="L230" s="300">
        <f>$K230*'Model Data Inputs'!$B$168</f>
        <v>1567.98</v>
      </c>
      <c r="M230" s="300">
        <f>$L230/'Model Data Inputs'!$B$169</f>
        <v>0.78086653386454186</v>
      </c>
      <c r="N230" s="300">
        <f>IF($G230="E",$M230*('Model Data Inputs'!$B$171-1),IF($G230="M",$M230*('Model Data Inputs'!$B$172-1),IF($G230="H",$M230*('Model Data Inputs'!$B$173-1),$M230*('Model Data Inputs'!$B$170-1))))</f>
        <v>0</v>
      </c>
      <c r="O230" s="300">
        <f t="shared" si="7"/>
        <v>0.78086653386454186</v>
      </c>
    </row>
    <row r="231" spans="1:15" s="40" customFormat="1" x14ac:dyDescent="0.2">
      <c r="A231" s="20" t="s">
        <v>58</v>
      </c>
      <c r="B231" s="20" t="s">
        <v>59</v>
      </c>
      <c r="C231" s="20" t="s">
        <v>1637</v>
      </c>
      <c r="D231" s="20" t="s">
        <v>1638</v>
      </c>
      <c r="E231" s="298">
        <v>21853</v>
      </c>
      <c r="F231" s="138" t="s">
        <v>1159</v>
      </c>
      <c r="G231" s="138" t="s">
        <v>1198</v>
      </c>
      <c r="H231" s="299">
        <f>'School Level ADM'!S146</f>
        <v>306.33499999999998</v>
      </c>
      <c r="I231" s="300">
        <v>6.25</v>
      </c>
      <c r="J231" s="300">
        <f>IF(OR($E231&lt;='Model Data Inputs'!$B$175,$F231="T"),$I231,IF($G231="E",'Model Data Inputs'!$B$176+$H231/'Model Data Inputs'!$B$179,IF($G231="M",'Model Data Inputs'!$B$177+$H231/'Model Data Inputs'!$B$179,IF($G231="H",'Model Data Inputs'!$B$178+$H231/'Model Data Inputs'!$B$179,IF($G231="N/A",0,$I231)))))</f>
        <v>6.25</v>
      </c>
      <c r="K231" s="300">
        <f t="shared" si="6"/>
        <v>6.25</v>
      </c>
      <c r="L231" s="300">
        <f>$K231*'Model Data Inputs'!$B$168</f>
        <v>581.25</v>
      </c>
      <c r="M231" s="300">
        <f>$L231/'Model Data Inputs'!$B$169</f>
        <v>0.28946713147410358</v>
      </c>
      <c r="N231" s="300">
        <f>IF($G231="E",$M231*('Model Data Inputs'!$B$171-1),IF($G231="M",$M231*('Model Data Inputs'!$B$172-1),IF($G231="H",$M231*('Model Data Inputs'!$B$173-1),$M231*('Model Data Inputs'!$B$170-1))))</f>
        <v>0</v>
      </c>
      <c r="O231" s="300">
        <f t="shared" si="7"/>
        <v>0.28946713147410358</v>
      </c>
    </row>
    <row r="232" spans="1:15" s="40" customFormat="1" x14ac:dyDescent="0.2">
      <c r="A232" s="20" t="s">
        <v>58</v>
      </c>
      <c r="B232" s="20" t="s">
        <v>59</v>
      </c>
      <c r="C232" s="20" t="s">
        <v>1639</v>
      </c>
      <c r="D232" s="20" t="s">
        <v>1640</v>
      </c>
      <c r="E232" s="298">
        <v>22126</v>
      </c>
      <c r="F232" s="138" t="s">
        <v>1159</v>
      </c>
      <c r="G232" s="138" t="s">
        <v>1198</v>
      </c>
      <c r="H232" s="299">
        <f>'School Level ADM'!S147</f>
        <v>302.39499999999998</v>
      </c>
      <c r="I232" s="300">
        <v>3.88</v>
      </c>
      <c r="J232" s="300">
        <f>IF(OR($E232&lt;='Model Data Inputs'!$B$175,$F232="T"),$I232,IF($G232="E",'Model Data Inputs'!$B$176+$H232/'Model Data Inputs'!$B$179,IF($G232="M",'Model Data Inputs'!$B$177+$H232/'Model Data Inputs'!$B$179,IF($G232="H",'Model Data Inputs'!$B$178+$H232/'Model Data Inputs'!$B$179,IF($G232="N/A",0,$I232)))))</f>
        <v>3.88</v>
      </c>
      <c r="K232" s="300">
        <f t="shared" si="6"/>
        <v>3.88</v>
      </c>
      <c r="L232" s="300">
        <f>$K232*'Model Data Inputs'!$B$168</f>
        <v>360.84</v>
      </c>
      <c r="M232" s="300">
        <f>$L232/'Model Data Inputs'!$B$169</f>
        <v>0.17970119521912351</v>
      </c>
      <c r="N232" s="300">
        <f>IF($G232="E",$M232*('Model Data Inputs'!$B$171-1),IF($G232="M",$M232*('Model Data Inputs'!$B$172-1),IF($G232="H",$M232*('Model Data Inputs'!$B$173-1),$M232*('Model Data Inputs'!$B$170-1))))</f>
        <v>0</v>
      </c>
      <c r="O232" s="300">
        <f t="shared" si="7"/>
        <v>0.17970119521912351</v>
      </c>
    </row>
    <row r="233" spans="1:15" s="40" customFormat="1" x14ac:dyDescent="0.2">
      <c r="A233" s="20" t="s">
        <v>58</v>
      </c>
      <c r="B233" s="20" t="s">
        <v>59</v>
      </c>
      <c r="C233" s="20" t="s">
        <v>1641</v>
      </c>
      <c r="D233" s="20" t="s">
        <v>1371</v>
      </c>
      <c r="E233" s="298">
        <v>21529</v>
      </c>
      <c r="F233" s="138" t="s">
        <v>1159</v>
      </c>
      <c r="G233" s="138" t="s">
        <v>1198</v>
      </c>
      <c r="H233" s="299">
        <f>'School Level ADM'!S148</f>
        <v>178.28500000000003</v>
      </c>
      <c r="I233" s="300">
        <v>7.5049999999999999</v>
      </c>
      <c r="J233" s="300">
        <f>IF(OR($E233&lt;='Model Data Inputs'!$B$175,$F233="T"),$I233,IF($G233="E",'Model Data Inputs'!$B$176+$H233/'Model Data Inputs'!$B$179,IF($G233="M",'Model Data Inputs'!$B$177+$H233/'Model Data Inputs'!$B$179,IF($G233="H",'Model Data Inputs'!$B$178+$H233/'Model Data Inputs'!$B$179,IF($G233="N/A",0,$I233)))))</f>
        <v>7.5049999999999999</v>
      </c>
      <c r="K233" s="300">
        <f t="shared" si="6"/>
        <v>7.5049999999999999</v>
      </c>
      <c r="L233" s="300">
        <f>$K233*'Model Data Inputs'!$B$168</f>
        <v>697.96500000000003</v>
      </c>
      <c r="M233" s="300">
        <f>$L233/'Model Data Inputs'!$B$169</f>
        <v>0.34759213147410362</v>
      </c>
      <c r="N233" s="300">
        <f>IF($G233="E",$M233*('Model Data Inputs'!$B$171-1),IF($G233="M",$M233*('Model Data Inputs'!$B$172-1),IF($G233="H",$M233*('Model Data Inputs'!$B$173-1),$M233*('Model Data Inputs'!$B$170-1))))</f>
        <v>0</v>
      </c>
      <c r="O233" s="300">
        <f t="shared" si="7"/>
        <v>0.34759213147410362</v>
      </c>
    </row>
    <row r="234" spans="1:15" s="40" customFormat="1" x14ac:dyDescent="0.2">
      <c r="A234" s="20" t="s">
        <v>58</v>
      </c>
      <c r="B234" s="20" t="s">
        <v>59</v>
      </c>
      <c r="C234" s="20" t="s">
        <v>1642</v>
      </c>
      <c r="D234" s="20" t="s">
        <v>1643</v>
      </c>
      <c r="E234" s="298">
        <v>16715</v>
      </c>
      <c r="F234" s="138" t="s">
        <v>1159</v>
      </c>
      <c r="G234" s="138" t="s">
        <v>1198</v>
      </c>
      <c r="H234" s="299">
        <f>'School Level ADM'!S149</f>
        <v>200.94</v>
      </c>
      <c r="I234" s="300">
        <v>3.42</v>
      </c>
      <c r="J234" s="300">
        <f>IF(OR($E234&lt;='Model Data Inputs'!$B$175,$F234="T"),$I234,IF($G234="E",'Model Data Inputs'!$B$176+$H234/'Model Data Inputs'!$B$179,IF($G234="M",'Model Data Inputs'!$B$177+$H234/'Model Data Inputs'!$B$179,IF($G234="H",'Model Data Inputs'!$B$178+$H234/'Model Data Inputs'!$B$179,IF($G234="N/A",0,$I234)))))</f>
        <v>3.42</v>
      </c>
      <c r="K234" s="300">
        <f t="shared" si="6"/>
        <v>3.42</v>
      </c>
      <c r="L234" s="300">
        <f>$K234*'Model Data Inputs'!$B$168</f>
        <v>318.06</v>
      </c>
      <c r="M234" s="300">
        <f>$L234/'Model Data Inputs'!$B$169</f>
        <v>0.15839641434262949</v>
      </c>
      <c r="N234" s="300">
        <f>IF($G234="E",$M234*('Model Data Inputs'!$B$171-1),IF($G234="M",$M234*('Model Data Inputs'!$B$172-1),IF($G234="H",$M234*('Model Data Inputs'!$B$173-1),$M234*('Model Data Inputs'!$B$170-1))))</f>
        <v>0</v>
      </c>
      <c r="O234" s="300">
        <f t="shared" si="7"/>
        <v>0.15839641434262949</v>
      </c>
    </row>
    <row r="235" spans="1:15" s="40" customFormat="1" x14ac:dyDescent="0.2">
      <c r="A235" s="20" t="s">
        <v>58</v>
      </c>
      <c r="B235" s="20" t="s">
        <v>59</v>
      </c>
      <c r="C235" s="20" t="s">
        <v>1644</v>
      </c>
      <c r="D235" s="20" t="s">
        <v>1645</v>
      </c>
      <c r="E235" s="298">
        <v>20962</v>
      </c>
      <c r="F235" s="138" t="s">
        <v>1159</v>
      </c>
      <c r="G235" s="138" t="s">
        <v>1198</v>
      </c>
      <c r="H235" s="299">
        <f>'School Level ADM'!S150</f>
        <v>353.61500000000001</v>
      </c>
      <c r="I235" s="300">
        <v>5.2</v>
      </c>
      <c r="J235" s="300">
        <f>IF(OR($E235&lt;='Model Data Inputs'!$B$175,$F235="T"),$I235,IF($G235="E",'Model Data Inputs'!$B$176+$H235/'Model Data Inputs'!$B$179,IF($G235="M",'Model Data Inputs'!$B$177+$H235/'Model Data Inputs'!$B$179,IF($G235="H",'Model Data Inputs'!$B$178+$H235/'Model Data Inputs'!$B$179,IF($G235="N/A",0,$I235)))))</f>
        <v>5.2</v>
      </c>
      <c r="K235" s="300">
        <f t="shared" si="6"/>
        <v>5.2</v>
      </c>
      <c r="L235" s="300">
        <f>$K235*'Model Data Inputs'!$B$168</f>
        <v>483.6</v>
      </c>
      <c r="M235" s="300">
        <f>$L235/'Model Data Inputs'!$B$169</f>
        <v>0.24083665338645419</v>
      </c>
      <c r="N235" s="300">
        <f>IF($G235="E",$M235*('Model Data Inputs'!$B$171-1),IF($G235="M",$M235*('Model Data Inputs'!$B$172-1),IF($G235="H",$M235*('Model Data Inputs'!$B$173-1),$M235*('Model Data Inputs'!$B$170-1))))</f>
        <v>0</v>
      </c>
      <c r="O235" s="300">
        <f t="shared" si="7"/>
        <v>0.24083665338645419</v>
      </c>
    </row>
    <row r="236" spans="1:15" s="40" customFormat="1" x14ac:dyDescent="0.2">
      <c r="A236" s="20" t="s">
        <v>58</v>
      </c>
      <c r="B236" s="20" t="s">
        <v>59</v>
      </c>
      <c r="C236" s="20" t="s">
        <v>1646</v>
      </c>
      <c r="D236" s="20" t="s">
        <v>1647</v>
      </c>
      <c r="E236" s="298">
        <v>9391</v>
      </c>
      <c r="F236" s="138" t="s">
        <v>1159</v>
      </c>
      <c r="G236" s="138" t="s">
        <v>1198</v>
      </c>
      <c r="H236" s="299">
        <f>'School Level ADM'!S151</f>
        <v>105.39500000000001</v>
      </c>
      <c r="I236" s="300">
        <v>1.24</v>
      </c>
      <c r="J236" s="300">
        <f>IF(OR($E236&lt;='Model Data Inputs'!$B$175,$F236="T"),$I236,IF($G236="E",'Model Data Inputs'!$B$176+$H236/'Model Data Inputs'!$B$179,IF($G236="M",'Model Data Inputs'!$B$177+$H236/'Model Data Inputs'!$B$179,IF($G236="H",'Model Data Inputs'!$B$178+$H236/'Model Data Inputs'!$B$179,IF($G236="N/A",0,$I236)))))</f>
        <v>1.24</v>
      </c>
      <c r="K236" s="300">
        <f t="shared" si="6"/>
        <v>1.24</v>
      </c>
      <c r="L236" s="300">
        <f>$K236*'Model Data Inputs'!$B$168</f>
        <v>115.32</v>
      </c>
      <c r="M236" s="300">
        <f>$L236/'Model Data Inputs'!$B$169</f>
        <v>5.7430278884462151E-2</v>
      </c>
      <c r="N236" s="300">
        <f>IF($G236="E",$M236*('Model Data Inputs'!$B$171-1),IF($G236="M",$M236*('Model Data Inputs'!$B$172-1),IF($G236="H",$M236*('Model Data Inputs'!$B$173-1),$M236*('Model Data Inputs'!$B$170-1))))</f>
        <v>0</v>
      </c>
      <c r="O236" s="300">
        <f t="shared" si="7"/>
        <v>5.7430278884462151E-2</v>
      </c>
    </row>
    <row r="237" spans="1:15" s="40" customFormat="1" x14ac:dyDescent="0.2">
      <c r="A237" s="20" t="s">
        <v>58</v>
      </c>
      <c r="B237" s="20" t="s">
        <v>59</v>
      </c>
      <c r="C237" s="20" t="s">
        <v>1648</v>
      </c>
      <c r="D237" s="20" t="s">
        <v>1649</v>
      </c>
      <c r="E237" s="298">
        <v>20384</v>
      </c>
      <c r="F237" s="138" t="s">
        <v>1159</v>
      </c>
      <c r="G237" s="138" t="s">
        <v>1198</v>
      </c>
      <c r="H237" s="299">
        <f>'School Level ADM'!S152</f>
        <v>318.15500000000003</v>
      </c>
      <c r="I237" s="300">
        <v>9.7899999999999991</v>
      </c>
      <c r="J237" s="300">
        <f>IF(OR($E237&lt;='Model Data Inputs'!$B$175,$F237="T"),$I237,IF($G237="E",'Model Data Inputs'!$B$176+$H237/'Model Data Inputs'!$B$179,IF($G237="M",'Model Data Inputs'!$B$177+$H237/'Model Data Inputs'!$B$179,IF($G237="H",'Model Data Inputs'!$B$178+$H237/'Model Data Inputs'!$B$179,IF($G237="N/A",0,$I237)))))</f>
        <v>9.7899999999999991</v>
      </c>
      <c r="K237" s="300">
        <f t="shared" si="6"/>
        <v>9.7899999999999991</v>
      </c>
      <c r="L237" s="300">
        <f>$K237*'Model Data Inputs'!$B$168</f>
        <v>910.46999999999991</v>
      </c>
      <c r="M237" s="300">
        <f>$L237/'Model Data Inputs'!$B$169</f>
        <v>0.45342131474103581</v>
      </c>
      <c r="N237" s="300">
        <f>IF($G237="E",$M237*('Model Data Inputs'!$B$171-1),IF($G237="M",$M237*('Model Data Inputs'!$B$172-1),IF($G237="H",$M237*('Model Data Inputs'!$B$173-1),$M237*('Model Data Inputs'!$B$170-1))))</f>
        <v>0</v>
      </c>
      <c r="O237" s="300">
        <f t="shared" si="7"/>
        <v>0.45342131474103581</v>
      </c>
    </row>
    <row r="238" spans="1:15" s="40" customFormat="1" x14ac:dyDescent="0.2">
      <c r="A238" s="20" t="s">
        <v>58</v>
      </c>
      <c r="B238" s="20" t="s">
        <v>59</v>
      </c>
      <c r="C238" s="20" t="s">
        <v>1650</v>
      </c>
      <c r="D238" s="20" t="s">
        <v>1651</v>
      </c>
      <c r="E238" s="298">
        <v>20520</v>
      </c>
      <c r="F238" s="138" t="s">
        <v>1159</v>
      </c>
      <c r="G238" s="138" t="s">
        <v>1198</v>
      </c>
      <c r="H238" s="299">
        <f>'School Level ADM'!S153</f>
        <v>129.035</v>
      </c>
      <c r="I238" s="300">
        <v>1.7</v>
      </c>
      <c r="J238" s="300">
        <f>IF(OR($E238&lt;='Model Data Inputs'!$B$175,$F238="T"),$I238,IF($G238="E",'Model Data Inputs'!$B$176+$H238/'Model Data Inputs'!$B$179,IF($G238="M",'Model Data Inputs'!$B$177+$H238/'Model Data Inputs'!$B$179,IF($G238="H",'Model Data Inputs'!$B$178+$H238/'Model Data Inputs'!$B$179,IF($G238="N/A",0,$I238)))))</f>
        <v>1.7</v>
      </c>
      <c r="K238" s="300">
        <f t="shared" si="6"/>
        <v>1.7</v>
      </c>
      <c r="L238" s="300">
        <f>$K238*'Model Data Inputs'!$B$168</f>
        <v>158.1</v>
      </c>
      <c r="M238" s="300">
        <f>$L238/'Model Data Inputs'!$B$169</f>
        <v>7.8735059760956169E-2</v>
      </c>
      <c r="N238" s="300">
        <f>IF($G238="E",$M238*('Model Data Inputs'!$B$171-1),IF($G238="M",$M238*('Model Data Inputs'!$B$172-1),IF($G238="H",$M238*('Model Data Inputs'!$B$173-1),$M238*('Model Data Inputs'!$B$170-1))))</f>
        <v>0</v>
      </c>
      <c r="O238" s="300">
        <f t="shared" si="7"/>
        <v>7.8735059760956169E-2</v>
      </c>
    </row>
    <row r="239" spans="1:15" s="40" customFormat="1" x14ac:dyDescent="0.2">
      <c r="A239" s="20" t="s">
        <v>58</v>
      </c>
      <c r="B239" s="20" t="s">
        <v>59</v>
      </c>
      <c r="C239" s="20" t="s">
        <v>1652</v>
      </c>
      <c r="D239" s="20" t="s">
        <v>1653</v>
      </c>
      <c r="E239" s="298">
        <v>30371</v>
      </c>
      <c r="F239" s="138" t="s">
        <v>1159</v>
      </c>
      <c r="G239" s="138" t="s">
        <v>1198</v>
      </c>
      <c r="H239" s="299">
        <f>'School Level ADM'!S154</f>
        <v>96.53</v>
      </c>
      <c r="I239" s="300">
        <v>11.98</v>
      </c>
      <c r="J239" s="300">
        <f>IF(OR($E239&lt;='Model Data Inputs'!$B$175,$F239="T"),$I239,IF($G239="E",'Model Data Inputs'!$B$176+$H239/'Model Data Inputs'!$B$179,IF($G239="M",'Model Data Inputs'!$B$177+$H239/'Model Data Inputs'!$B$179,IF($G239="H",'Model Data Inputs'!$B$178+$H239/'Model Data Inputs'!$B$179,IF($G239="N/A",0,$I239)))))</f>
        <v>11.98</v>
      </c>
      <c r="K239" s="300">
        <f t="shared" si="6"/>
        <v>11.98</v>
      </c>
      <c r="L239" s="300">
        <f>$K239*'Model Data Inputs'!$B$168</f>
        <v>1114.1400000000001</v>
      </c>
      <c r="M239" s="300">
        <f>$L239/'Model Data Inputs'!$B$169</f>
        <v>0.55485059760956179</v>
      </c>
      <c r="N239" s="300">
        <f>IF($G239="E",$M239*('Model Data Inputs'!$B$171-1),IF($G239="M",$M239*('Model Data Inputs'!$B$172-1),IF($G239="H",$M239*('Model Data Inputs'!$B$173-1),$M239*('Model Data Inputs'!$B$170-1))))</f>
        <v>0</v>
      </c>
      <c r="O239" s="300">
        <f t="shared" si="7"/>
        <v>0.55485059760956179</v>
      </c>
    </row>
    <row r="240" spans="1:15" s="40" customFormat="1" x14ac:dyDescent="0.2">
      <c r="A240" s="20" t="s">
        <v>58</v>
      </c>
      <c r="B240" s="20" t="s">
        <v>59</v>
      </c>
      <c r="C240" s="20" t="s">
        <v>1654</v>
      </c>
      <c r="D240" s="20" t="s">
        <v>1655</v>
      </c>
      <c r="E240" s="298">
        <v>20822</v>
      </c>
      <c r="F240" s="138" t="s">
        <v>1159</v>
      </c>
      <c r="G240" s="138" t="s">
        <v>1198</v>
      </c>
      <c r="H240" s="299">
        <f>'School Level ADM'!S155</f>
        <v>329.97500000000002</v>
      </c>
      <c r="I240" s="300">
        <v>4.8899999999999997</v>
      </c>
      <c r="J240" s="300">
        <f>IF(OR($E240&lt;='Model Data Inputs'!$B$175,$F240="T"),$I240,IF($G240="E",'Model Data Inputs'!$B$176+$H240/'Model Data Inputs'!$B$179,IF($G240="M",'Model Data Inputs'!$B$177+$H240/'Model Data Inputs'!$B$179,IF($G240="H",'Model Data Inputs'!$B$178+$H240/'Model Data Inputs'!$B$179,IF($G240="N/A",0,$I240)))))</f>
        <v>4.8899999999999997</v>
      </c>
      <c r="K240" s="300">
        <f t="shared" si="6"/>
        <v>4.8899999999999997</v>
      </c>
      <c r="L240" s="300">
        <f>$K240*'Model Data Inputs'!$B$168</f>
        <v>454.77</v>
      </c>
      <c r="M240" s="300">
        <f>$L240/'Model Data Inputs'!$B$169</f>
        <v>0.22647908366533864</v>
      </c>
      <c r="N240" s="300">
        <f>IF($G240="E",$M240*('Model Data Inputs'!$B$171-1),IF($G240="M",$M240*('Model Data Inputs'!$B$172-1),IF($G240="H",$M240*('Model Data Inputs'!$B$173-1),$M240*('Model Data Inputs'!$B$170-1))))</f>
        <v>0</v>
      </c>
      <c r="O240" s="300">
        <f t="shared" si="7"/>
        <v>0.22647908366533864</v>
      </c>
    </row>
    <row r="241" spans="1:15" s="40" customFormat="1" x14ac:dyDescent="0.2">
      <c r="A241" s="20" t="s">
        <v>58</v>
      </c>
      <c r="B241" s="20" t="s">
        <v>59</v>
      </c>
      <c r="C241" s="20" t="s">
        <v>1656</v>
      </c>
      <c r="D241" s="20" t="s">
        <v>1657</v>
      </c>
      <c r="E241" s="298">
        <v>16681</v>
      </c>
      <c r="F241" s="138" t="s">
        <v>1159</v>
      </c>
      <c r="G241" s="138" t="s">
        <v>1198</v>
      </c>
      <c r="H241" s="299">
        <f>'School Level ADM'!S156</f>
        <v>141.84</v>
      </c>
      <c r="I241" s="300">
        <v>3.88</v>
      </c>
      <c r="J241" s="300">
        <f>IF(OR($E241&lt;='Model Data Inputs'!$B$175,$F241="T"),$I241,IF($G241="E",'Model Data Inputs'!$B$176+$H241/'Model Data Inputs'!$B$179,IF($G241="M",'Model Data Inputs'!$B$177+$H241/'Model Data Inputs'!$B$179,IF($G241="H",'Model Data Inputs'!$B$178+$H241/'Model Data Inputs'!$B$179,IF($G241="N/A",0,$I241)))))</f>
        <v>3.88</v>
      </c>
      <c r="K241" s="300">
        <f t="shared" si="6"/>
        <v>3.88</v>
      </c>
      <c r="L241" s="300">
        <f>$K241*'Model Data Inputs'!$B$168</f>
        <v>360.84</v>
      </c>
      <c r="M241" s="300">
        <f>$L241/'Model Data Inputs'!$B$169</f>
        <v>0.17970119521912351</v>
      </c>
      <c r="N241" s="300">
        <f>IF($G241="E",$M241*('Model Data Inputs'!$B$171-1),IF($G241="M",$M241*('Model Data Inputs'!$B$172-1),IF($G241="H",$M241*('Model Data Inputs'!$B$173-1),$M241*('Model Data Inputs'!$B$170-1))))</f>
        <v>0</v>
      </c>
      <c r="O241" s="300">
        <f t="shared" si="7"/>
        <v>0.17970119521912351</v>
      </c>
    </row>
    <row r="242" spans="1:15" s="40" customFormat="1" x14ac:dyDescent="0.2">
      <c r="A242" s="20" t="s">
        <v>58</v>
      </c>
      <c r="B242" s="20" t="s">
        <v>59</v>
      </c>
      <c r="C242" s="20" t="s">
        <v>1658</v>
      </c>
      <c r="D242" s="20" t="s">
        <v>1659</v>
      </c>
      <c r="E242" s="298">
        <v>18157</v>
      </c>
      <c r="F242" s="138" t="s">
        <v>1159</v>
      </c>
      <c r="G242" s="138" t="s">
        <v>1198</v>
      </c>
      <c r="H242" s="299">
        <f>'School Level ADM'!S157</f>
        <v>279.74</v>
      </c>
      <c r="I242" s="300">
        <v>4.79</v>
      </c>
      <c r="J242" s="300">
        <f>IF(OR($E242&lt;='Model Data Inputs'!$B$175,$F242="T"),$I242,IF($G242="E",'Model Data Inputs'!$B$176+$H242/'Model Data Inputs'!$B$179,IF($G242="M",'Model Data Inputs'!$B$177+$H242/'Model Data Inputs'!$B$179,IF($G242="H",'Model Data Inputs'!$B$178+$H242/'Model Data Inputs'!$B$179,IF($G242="N/A",0,$I242)))))</f>
        <v>4.79</v>
      </c>
      <c r="K242" s="300">
        <f t="shared" si="6"/>
        <v>4.79</v>
      </c>
      <c r="L242" s="300">
        <f>$K242*'Model Data Inputs'!$B$168</f>
        <v>445.47</v>
      </c>
      <c r="M242" s="300">
        <f>$L242/'Model Data Inputs'!$B$169</f>
        <v>0.22184760956175301</v>
      </c>
      <c r="N242" s="300">
        <f>IF($G242="E",$M242*('Model Data Inputs'!$B$171-1),IF($G242="M",$M242*('Model Data Inputs'!$B$172-1),IF($G242="H",$M242*('Model Data Inputs'!$B$173-1),$M242*('Model Data Inputs'!$B$170-1))))</f>
        <v>0</v>
      </c>
      <c r="O242" s="300">
        <f t="shared" si="7"/>
        <v>0.22184760956175301</v>
      </c>
    </row>
    <row r="243" spans="1:15" s="40" customFormat="1" x14ac:dyDescent="0.2">
      <c r="A243" s="20" t="s">
        <v>58</v>
      </c>
      <c r="B243" s="20" t="s">
        <v>59</v>
      </c>
      <c r="C243" s="20" t="s">
        <v>1660</v>
      </c>
      <c r="D243" s="20" t="s">
        <v>1661</v>
      </c>
      <c r="E243" s="298">
        <v>19766</v>
      </c>
      <c r="F243" s="138" t="s">
        <v>1159</v>
      </c>
      <c r="G243" s="138" t="s">
        <v>1198</v>
      </c>
      <c r="H243" s="299">
        <f>'School Level ADM'!S158</f>
        <v>370.36</v>
      </c>
      <c r="I243" s="300">
        <v>9.23</v>
      </c>
      <c r="J243" s="300">
        <f>IF(OR($E243&lt;='Model Data Inputs'!$B$175,$F243="T"),$I243,IF($G243="E",'Model Data Inputs'!$B$176+$H243/'Model Data Inputs'!$B$179,IF($G243="M",'Model Data Inputs'!$B$177+$H243/'Model Data Inputs'!$B$179,IF($G243="H",'Model Data Inputs'!$B$178+$H243/'Model Data Inputs'!$B$179,IF($G243="N/A",0,$I243)))))</f>
        <v>9.23</v>
      </c>
      <c r="K243" s="300">
        <f t="shared" si="6"/>
        <v>9.23</v>
      </c>
      <c r="L243" s="300">
        <f>$K243*'Model Data Inputs'!$B$168</f>
        <v>858.39</v>
      </c>
      <c r="M243" s="300">
        <f>$L243/'Model Data Inputs'!$B$169</f>
        <v>0.42748505976095619</v>
      </c>
      <c r="N243" s="300">
        <f>IF($G243="E",$M243*('Model Data Inputs'!$B$171-1),IF($G243="M",$M243*('Model Data Inputs'!$B$172-1),IF($G243="H",$M243*('Model Data Inputs'!$B$173-1),$M243*('Model Data Inputs'!$B$170-1))))</f>
        <v>0</v>
      </c>
      <c r="O243" s="300">
        <f t="shared" si="7"/>
        <v>0.42748505976095619</v>
      </c>
    </row>
    <row r="244" spans="1:15" s="40" customFormat="1" x14ac:dyDescent="0.2">
      <c r="A244" s="20" t="s">
        <v>58</v>
      </c>
      <c r="B244" s="20" t="s">
        <v>59</v>
      </c>
      <c r="C244" s="20" t="s">
        <v>1662</v>
      </c>
      <c r="D244" s="20" t="s">
        <v>1663</v>
      </c>
      <c r="E244" s="298">
        <v>14380</v>
      </c>
      <c r="F244" s="138" t="s">
        <v>1159</v>
      </c>
      <c r="G244" s="138" t="s">
        <v>1198</v>
      </c>
      <c r="H244" s="299">
        <f>'School Level ADM'!S159</f>
        <v>10.834999999999999</v>
      </c>
      <c r="I244" s="300">
        <v>1.24</v>
      </c>
      <c r="J244" s="300">
        <f>IF(OR($E244&lt;='Model Data Inputs'!$B$175,$F244="T"),$I244,IF($G244="E",'Model Data Inputs'!$B$176+$H244/'Model Data Inputs'!$B$179,IF($G244="M",'Model Data Inputs'!$B$177+$H244/'Model Data Inputs'!$B$179,IF($G244="H",'Model Data Inputs'!$B$178+$H244/'Model Data Inputs'!$B$179,IF($G244="N/A",0,$I244)))))</f>
        <v>1.24</v>
      </c>
      <c r="K244" s="300">
        <f t="shared" si="6"/>
        <v>1.24</v>
      </c>
      <c r="L244" s="300">
        <f>$K244*'Model Data Inputs'!$B$168</f>
        <v>115.32</v>
      </c>
      <c r="M244" s="300">
        <f>$L244/'Model Data Inputs'!$B$169</f>
        <v>5.7430278884462151E-2</v>
      </c>
      <c r="N244" s="300">
        <f>IF($G244="E",$M244*('Model Data Inputs'!$B$171-1),IF($G244="M",$M244*('Model Data Inputs'!$B$172-1),IF($G244="H",$M244*('Model Data Inputs'!$B$173-1),$M244*('Model Data Inputs'!$B$170-1))))</f>
        <v>0</v>
      </c>
      <c r="O244" s="300">
        <f t="shared" si="7"/>
        <v>5.7430278884462151E-2</v>
      </c>
    </row>
    <row r="245" spans="1:15" s="40" customFormat="1" x14ac:dyDescent="0.2">
      <c r="A245" s="20" t="s">
        <v>58</v>
      </c>
      <c r="B245" s="20" t="s">
        <v>59</v>
      </c>
      <c r="C245" s="20" t="s">
        <v>1664</v>
      </c>
      <c r="D245" s="20" t="s">
        <v>1665</v>
      </c>
      <c r="E245" s="298">
        <v>22090</v>
      </c>
      <c r="F245" s="138" t="s">
        <v>1159</v>
      </c>
      <c r="G245" s="138" t="s">
        <v>1198</v>
      </c>
      <c r="H245" s="299">
        <f>'School Level ADM'!S160</f>
        <v>273.83</v>
      </c>
      <c r="I245" s="300">
        <v>5.46</v>
      </c>
      <c r="J245" s="300">
        <f>IF(OR($E245&lt;='Model Data Inputs'!$B$175,$F245="T"),$I245,IF($G245="E",'Model Data Inputs'!$B$176+$H245/'Model Data Inputs'!$B$179,IF($G245="M",'Model Data Inputs'!$B$177+$H245/'Model Data Inputs'!$B$179,IF($G245="H",'Model Data Inputs'!$B$178+$H245/'Model Data Inputs'!$B$179,IF($G245="N/A",0,$I245)))))</f>
        <v>5.46</v>
      </c>
      <c r="K245" s="300">
        <f t="shared" si="6"/>
        <v>5.46</v>
      </c>
      <c r="L245" s="300">
        <f>$K245*'Model Data Inputs'!$B$168</f>
        <v>507.78</v>
      </c>
      <c r="M245" s="300">
        <f>$L245/'Model Data Inputs'!$B$169</f>
        <v>0.2528784860557769</v>
      </c>
      <c r="N245" s="300">
        <f>IF($G245="E",$M245*('Model Data Inputs'!$B$171-1),IF($G245="M",$M245*('Model Data Inputs'!$B$172-1),IF($G245="H",$M245*('Model Data Inputs'!$B$173-1),$M245*('Model Data Inputs'!$B$170-1))))</f>
        <v>0</v>
      </c>
      <c r="O245" s="300">
        <f t="shared" si="7"/>
        <v>0.2528784860557769</v>
      </c>
    </row>
    <row r="246" spans="1:15" s="40" customFormat="1" x14ac:dyDescent="0.2">
      <c r="A246" s="20" t="s">
        <v>58</v>
      </c>
      <c r="B246" s="20" t="s">
        <v>59</v>
      </c>
      <c r="C246" s="20" t="s">
        <v>1666</v>
      </c>
      <c r="D246" s="20" t="s">
        <v>1667</v>
      </c>
      <c r="E246" s="298">
        <v>21702</v>
      </c>
      <c r="F246" s="138" t="s">
        <v>1159</v>
      </c>
      <c r="G246" s="138" t="s">
        <v>1198</v>
      </c>
      <c r="H246" s="299">
        <f>'School Level ADM'!S161</f>
        <v>96.53</v>
      </c>
      <c r="I246" s="300">
        <v>3.78</v>
      </c>
      <c r="J246" s="300">
        <f>IF(OR($E246&lt;='Model Data Inputs'!$B$175,$F246="T"),$I246,IF($G246="E",'Model Data Inputs'!$B$176+$H246/'Model Data Inputs'!$B$179,IF($G246="M",'Model Data Inputs'!$B$177+$H246/'Model Data Inputs'!$B$179,IF($G246="H",'Model Data Inputs'!$B$178+$H246/'Model Data Inputs'!$B$179,IF($G246="N/A",0,$I246)))))</f>
        <v>3.78</v>
      </c>
      <c r="K246" s="300">
        <f t="shared" si="6"/>
        <v>3.78</v>
      </c>
      <c r="L246" s="300">
        <f>$K246*'Model Data Inputs'!$B$168</f>
        <v>351.53999999999996</v>
      </c>
      <c r="M246" s="300">
        <f>$L246/'Model Data Inputs'!$B$169</f>
        <v>0.17506972111553784</v>
      </c>
      <c r="N246" s="300">
        <f>IF($G246="E",$M246*('Model Data Inputs'!$B$171-1),IF($G246="M",$M246*('Model Data Inputs'!$B$172-1),IF($G246="H",$M246*('Model Data Inputs'!$B$173-1),$M246*('Model Data Inputs'!$B$170-1))))</f>
        <v>0</v>
      </c>
      <c r="O246" s="300">
        <f t="shared" si="7"/>
        <v>0.17506972111553784</v>
      </c>
    </row>
    <row r="247" spans="1:15" s="40" customFormat="1" x14ac:dyDescent="0.2">
      <c r="A247" s="20" t="s">
        <v>58</v>
      </c>
      <c r="B247" s="20" t="s">
        <v>59</v>
      </c>
      <c r="C247" s="20" t="s">
        <v>1668</v>
      </c>
      <c r="D247" s="20" t="s">
        <v>1669</v>
      </c>
      <c r="E247" s="298">
        <v>35612</v>
      </c>
      <c r="F247" s="138" t="s">
        <v>1159</v>
      </c>
      <c r="G247" s="138" t="s">
        <v>1198</v>
      </c>
      <c r="H247" s="299">
        <f>'School Level ADM'!S162</f>
        <v>85.694999999999993</v>
      </c>
      <c r="I247" s="300">
        <v>8.0399999999999991</v>
      </c>
      <c r="J247" s="300">
        <f>IF(OR($E247&lt;='Model Data Inputs'!$B$175,$F247="T"),$I247,IF($G247="E",'Model Data Inputs'!$B$176+$H247/'Model Data Inputs'!$B$179,IF($G247="M",'Model Data Inputs'!$B$177+$H247/'Model Data Inputs'!$B$179,IF($G247="H",'Model Data Inputs'!$B$178+$H247/'Model Data Inputs'!$B$179,IF($G247="N/A",0,$I247)))))</f>
        <v>8.0399999999999991</v>
      </c>
      <c r="K247" s="300">
        <f t="shared" si="6"/>
        <v>8.0399999999999991</v>
      </c>
      <c r="L247" s="300">
        <f>$K247*'Model Data Inputs'!$B$168</f>
        <v>747.71999999999991</v>
      </c>
      <c r="M247" s="300">
        <f>$L247/'Model Data Inputs'!$B$169</f>
        <v>0.37237051792828679</v>
      </c>
      <c r="N247" s="300">
        <f>IF($G247="E",$M247*('Model Data Inputs'!$B$171-1),IF($G247="M",$M247*('Model Data Inputs'!$B$172-1),IF($G247="H",$M247*('Model Data Inputs'!$B$173-1),$M247*('Model Data Inputs'!$B$170-1))))</f>
        <v>0</v>
      </c>
      <c r="O247" s="300">
        <f t="shared" si="7"/>
        <v>0.37237051792828679</v>
      </c>
    </row>
    <row r="248" spans="1:15" s="40" customFormat="1" x14ac:dyDescent="0.2">
      <c r="A248" s="20" t="s">
        <v>58</v>
      </c>
      <c r="B248" s="20" t="s">
        <v>59</v>
      </c>
      <c r="C248" s="20" t="s">
        <v>1670</v>
      </c>
      <c r="D248" s="20" t="s">
        <v>1671</v>
      </c>
      <c r="E248" s="298">
        <v>35612</v>
      </c>
      <c r="F248" s="138" t="s">
        <v>1159</v>
      </c>
      <c r="G248" s="138" t="s">
        <v>1198</v>
      </c>
      <c r="H248" s="299">
        <f>'School Level ADM'!S163</f>
        <v>339.82500000000005</v>
      </c>
      <c r="I248" s="300">
        <v>9.5540000000000003</v>
      </c>
      <c r="J248" s="300">
        <f>IF(OR($E248&lt;='Model Data Inputs'!$B$175,$F248="T"),$I248,IF($G248="E",'Model Data Inputs'!$B$176+$H248/'Model Data Inputs'!$B$179,IF($G248="M",'Model Data Inputs'!$B$177+$H248/'Model Data Inputs'!$B$179,IF($G248="H",'Model Data Inputs'!$B$178+$H248/'Model Data Inputs'!$B$179,IF($G248="N/A",0,$I248)))))</f>
        <v>9.5540000000000003</v>
      </c>
      <c r="K248" s="300">
        <f t="shared" si="6"/>
        <v>9.5540000000000003</v>
      </c>
      <c r="L248" s="300">
        <f>$K248*'Model Data Inputs'!$B$168</f>
        <v>888.52200000000005</v>
      </c>
      <c r="M248" s="300">
        <f>$L248/'Model Data Inputs'!$B$169</f>
        <v>0.44249103585657373</v>
      </c>
      <c r="N248" s="300">
        <f>IF($G248="E",$M248*('Model Data Inputs'!$B$171-1),IF($G248="M",$M248*('Model Data Inputs'!$B$172-1),IF($G248="H",$M248*('Model Data Inputs'!$B$173-1),$M248*('Model Data Inputs'!$B$170-1))))</f>
        <v>0</v>
      </c>
      <c r="O248" s="300">
        <f t="shared" si="7"/>
        <v>0.44249103585657373</v>
      </c>
    </row>
    <row r="249" spans="1:15" s="40" customFormat="1" x14ac:dyDescent="0.2">
      <c r="A249" s="20" t="s">
        <v>58</v>
      </c>
      <c r="B249" s="20" t="s">
        <v>59</v>
      </c>
      <c r="C249" s="20" t="s">
        <v>1672</v>
      </c>
      <c r="D249" s="20" t="s">
        <v>1673</v>
      </c>
      <c r="E249" s="298">
        <v>35612</v>
      </c>
      <c r="F249" s="138" t="s">
        <v>1159</v>
      </c>
      <c r="G249" s="138" t="s">
        <v>1198</v>
      </c>
      <c r="H249" s="299">
        <f>'School Level ADM'!S164</f>
        <v>356.56999999999994</v>
      </c>
      <c r="I249" s="300">
        <v>8.82</v>
      </c>
      <c r="J249" s="300">
        <f>IF(OR($E249&lt;='Model Data Inputs'!$B$175,$F249="T"),$I249,IF($G249="E",'Model Data Inputs'!$B$176+$H249/'Model Data Inputs'!$B$179,IF($G249="M",'Model Data Inputs'!$B$177+$H249/'Model Data Inputs'!$B$179,IF($G249="H",'Model Data Inputs'!$B$178+$H249/'Model Data Inputs'!$B$179,IF($G249="N/A",0,$I249)))))</f>
        <v>8.82</v>
      </c>
      <c r="K249" s="300">
        <f t="shared" si="6"/>
        <v>8.82</v>
      </c>
      <c r="L249" s="300">
        <f>$K249*'Model Data Inputs'!$B$168</f>
        <v>820.26</v>
      </c>
      <c r="M249" s="300">
        <f>$L249/'Model Data Inputs'!$B$169</f>
        <v>0.40849601593625495</v>
      </c>
      <c r="N249" s="300">
        <f>IF($G249="E",$M249*('Model Data Inputs'!$B$171-1),IF($G249="M",$M249*('Model Data Inputs'!$B$172-1),IF($G249="H",$M249*('Model Data Inputs'!$B$173-1),$M249*('Model Data Inputs'!$B$170-1))))</f>
        <v>0</v>
      </c>
      <c r="O249" s="300">
        <f t="shared" si="7"/>
        <v>0.40849601593625495</v>
      </c>
    </row>
    <row r="250" spans="1:15" s="40" customFormat="1" x14ac:dyDescent="0.2">
      <c r="A250" s="20" t="s">
        <v>58</v>
      </c>
      <c r="B250" s="20" t="s">
        <v>59</v>
      </c>
      <c r="C250" s="20" t="s">
        <v>1674</v>
      </c>
      <c r="D250" s="20" t="s">
        <v>1675</v>
      </c>
      <c r="E250" s="298">
        <v>35612</v>
      </c>
      <c r="F250" s="138" t="s">
        <v>1159</v>
      </c>
      <c r="G250" s="138" t="s">
        <v>1198</v>
      </c>
      <c r="H250" s="299">
        <f>'School Level ADM'!S165</f>
        <v>1.97</v>
      </c>
      <c r="I250" s="300">
        <v>4.88</v>
      </c>
      <c r="J250" s="300">
        <f>IF(OR($E250&lt;='Model Data Inputs'!$B$175,$F250="T"),$I250,IF($G250="E",'Model Data Inputs'!$B$176+$H250/'Model Data Inputs'!$B$179,IF($G250="M",'Model Data Inputs'!$B$177+$H250/'Model Data Inputs'!$B$179,IF($G250="H",'Model Data Inputs'!$B$178+$H250/'Model Data Inputs'!$B$179,IF($G250="N/A",0,$I250)))))</f>
        <v>4.88</v>
      </c>
      <c r="K250" s="300">
        <f t="shared" si="6"/>
        <v>4.88</v>
      </c>
      <c r="L250" s="300">
        <f>$K250*'Model Data Inputs'!$B$168</f>
        <v>453.84</v>
      </c>
      <c r="M250" s="300">
        <f>$L250/'Model Data Inputs'!$B$169</f>
        <v>0.22601593625498007</v>
      </c>
      <c r="N250" s="300">
        <f>IF($G250="E",$M250*('Model Data Inputs'!$B$171-1),IF($G250="M",$M250*('Model Data Inputs'!$B$172-1),IF($G250="H",$M250*('Model Data Inputs'!$B$173-1),$M250*('Model Data Inputs'!$B$170-1))))</f>
        <v>0</v>
      </c>
      <c r="O250" s="300">
        <f t="shared" si="7"/>
        <v>0.22601593625498007</v>
      </c>
    </row>
    <row r="251" spans="1:15" s="40" customFormat="1" x14ac:dyDescent="0.2">
      <c r="A251" s="20" t="s">
        <v>58</v>
      </c>
      <c r="B251" s="20" t="s">
        <v>59</v>
      </c>
      <c r="C251" s="20" t="s">
        <v>1676</v>
      </c>
      <c r="D251" s="20" t="s">
        <v>1677</v>
      </c>
      <c r="E251" s="298">
        <v>30013</v>
      </c>
      <c r="F251" s="138" t="s">
        <v>1159</v>
      </c>
      <c r="G251" s="138" t="s">
        <v>1198</v>
      </c>
      <c r="H251" s="299">
        <f>'School Level ADM'!S166</f>
        <v>328.99</v>
      </c>
      <c r="I251" s="300">
        <v>13.44</v>
      </c>
      <c r="J251" s="300">
        <f>IF(OR($E251&lt;='Model Data Inputs'!$B$175,$F251="T"),$I251,IF($G251="E",'Model Data Inputs'!$B$176+$H251/'Model Data Inputs'!$B$179,IF($G251="M",'Model Data Inputs'!$B$177+$H251/'Model Data Inputs'!$B$179,IF($G251="H",'Model Data Inputs'!$B$178+$H251/'Model Data Inputs'!$B$179,IF($G251="N/A",0,$I251)))))</f>
        <v>13.44</v>
      </c>
      <c r="K251" s="300">
        <f t="shared" si="6"/>
        <v>13.44</v>
      </c>
      <c r="L251" s="300">
        <f>$K251*'Model Data Inputs'!$B$168</f>
        <v>1249.9199999999998</v>
      </c>
      <c r="M251" s="300">
        <f>$L251/'Model Data Inputs'!$B$169</f>
        <v>0.62247011952191222</v>
      </c>
      <c r="N251" s="300">
        <f>IF($G251="E",$M251*('Model Data Inputs'!$B$171-1),IF($G251="M",$M251*('Model Data Inputs'!$B$172-1),IF($G251="H",$M251*('Model Data Inputs'!$B$173-1),$M251*('Model Data Inputs'!$B$170-1))))</f>
        <v>0</v>
      </c>
      <c r="O251" s="300">
        <f t="shared" si="7"/>
        <v>0.62247011952191222</v>
      </c>
    </row>
    <row r="252" spans="1:15" s="40" customFormat="1" x14ac:dyDescent="0.2">
      <c r="A252" s="20" t="s">
        <v>58</v>
      </c>
      <c r="B252" s="20" t="s">
        <v>59</v>
      </c>
      <c r="C252" s="20" t="s">
        <v>1678</v>
      </c>
      <c r="D252" s="20" t="s">
        <v>1679</v>
      </c>
      <c r="E252" s="298">
        <v>35612</v>
      </c>
      <c r="F252" s="138" t="s">
        <v>1159</v>
      </c>
      <c r="G252" s="138" t="s">
        <v>1198</v>
      </c>
      <c r="H252" s="299">
        <f>'School Level ADM'!S167</f>
        <v>388.09000000000003</v>
      </c>
      <c r="I252" s="300">
        <v>49.83</v>
      </c>
      <c r="J252" s="300">
        <f>IF(OR($E252&lt;='Model Data Inputs'!$B$175,$F252="T"),$I252,IF($G252="E",'Model Data Inputs'!$B$176+$H252/'Model Data Inputs'!$B$179,IF($G252="M",'Model Data Inputs'!$B$177+$H252/'Model Data Inputs'!$B$179,IF($G252="H",'Model Data Inputs'!$B$178+$H252/'Model Data Inputs'!$B$179,IF($G252="N/A",0,$I252)))))</f>
        <v>49.83</v>
      </c>
      <c r="K252" s="300">
        <f t="shared" si="6"/>
        <v>49.83</v>
      </c>
      <c r="L252" s="300">
        <f>$K252*'Model Data Inputs'!$B$168</f>
        <v>4634.1899999999996</v>
      </c>
      <c r="M252" s="300">
        <f>$L252/'Model Data Inputs'!$B$169</f>
        <v>2.3078635458167329</v>
      </c>
      <c r="N252" s="300">
        <f>IF($G252="E",$M252*('Model Data Inputs'!$B$171-1),IF($G252="M",$M252*('Model Data Inputs'!$B$172-1),IF($G252="H",$M252*('Model Data Inputs'!$B$173-1),$M252*('Model Data Inputs'!$B$170-1))))</f>
        <v>0</v>
      </c>
      <c r="O252" s="300">
        <f t="shared" si="7"/>
        <v>2.3078635458167329</v>
      </c>
    </row>
    <row r="253" spans="1:15" s="40" customFormat="1" x14ac:dyDescent="0.2">
      <c r="A253" s="20" t="s">
        <v>58</v>
      </c>
      <c r="B253" s="20" t="s">
        <v>59</v>
      </c>
      <c r="C253" s="20" t="s">
        <v>1680</v>
      </c>
      <c r="D253" s="20" t="s">
        <v>1681</v>
      </c>
      <c r="E253" s="298">
        <v>18624</v>
      </c>
      <c r="F253" s="138" t="s">
        <v>1159</v>
      </c>
      <c r="G253" s="138" t="s">
        <v>1205</v>
      </c>
      <c r="H253" s="299">
        <f>'School Level ADM'!S175</f>
        <v>711.17</v>
      </c>
      <c r="I253" s="300">
        <v>11.72</v>
      </c>
      <c r="J253" s="300">
        <f>IF(OR($E253&lt;='Model Data Inputs'!$B$175,$F253="T"),$I253,IF($G253="E",'Model Data Inputs'!$B$176+$H253/'Model Data Inputs'!$B$179,IF($G253="M",'Model Data Inputs'!$B$177+$H253/'Model Data Inputs'!$B$179,IF($G253="H",'Model Data Inputs'!$B$178+$H253/'Model Data Inputs'!$B$179,IF($G253="N/A",0,$I253)))))</f>
        <v>11.72</v>
      </c>
      <c r="K253" s="300">
        <f t="shared" si="6"/>
        <v>11.72</v>
      </c>
      <c r="L253" s="300">
        <f>$K253*'Model Data Inputs'!$B$168</f>
        <v>1089.96</v>
      </c>
      <c r="M253" s="300">
        <f>$L253/'Model Data Inputs'!$B$169</f>
        <v>0.54280876494023911</v>
      </c>
      <c r="N253" s="300">
        <f>IF($G253="E",$M253*('Model Data Inputs'!$B$171-1),IF($G253="M",$M253*('Model Data Inputs'!$B$172-1),IF($G253="H",$M253*('Model Data Inputs'!$B$173-1),$M253*('Model Data Inputs'!$B$170-1))))</f>
        <v>0.27140438247011955</v>
      </c>
      <c r="O253" s="300">
        <f t="shared" si="7"/>
        <v>0.81421314741035866</v>
      </c>
    </row>
    <row r="254" spans="1:15" s="40" customFormat="1" x14ac:dyDescent="0.2">
      <c r="A254" s="20" t="s">
        <v>58</v>
      </c>
      <c r="B254" s="20" t="s">
        <v>59</v>
      </c>
      <c r="C254" s="20" t="s">
        <v>1682</v>
      </c>
      <c r="D254" s="20" t="s">
        <v>1683</v>
      </c>
      <c r="E254" s="298">
        <v>28866</v>
      </c>
      <c r="F254" s="138" t="s">
        <v>1159</v>
      </c>
      <c r="G254" s="138" t="s">
        <v>1205</v>
      </c>
      <c r="H254" s="299">
        <f>'School Level ADM'!S176</f>
        <v>688.51499999999999</v>
      </c>
      <c r="I254" s="300">
        <v>28.5</v>
      </c>
      <c r="J254" s="300">
        <f>IF(OR($E254&lt;='Model Data Inputs'!$B$175,$F254="T"),$I254,IF($G254="E",'Model Data Inputs'!$B$176+$H254/'Model Data Inputs'!$B$179,IF($G254="M",'Model Data Inputs'!$B$177+$H254/'Model Data Inputs'!$B$179,IF($G254="H",'Model Data Inputs'!$B$178+$H254/'Model Data Inputs'!$B$179,IF($G254="N/A",0,$I254)))))</f>
        <v>28.5</v>
      </c>
      <c r="K254" s="300">
        <f t="shared" si="6"/>
        <v>28.5</v>
      </c>
      <c r="L254" s="300">
        <f>$K254*'Model Data Inputs'!$B$168</f>
        <v>2650.5</v>
      </c>
      <c r="M254" s="300">
        <f>$L254/'Model Data Inputs'!$B$169</f>
        <v>1.3199701195219125</v>
      </c>
      <c r="N254" s="300">
        <f>IF($G254="E",$M254*('Model Data Inputs'!$B$171-1),IF($G254="M",$M254*('Model Data Inputs'!$B$172-1),IF($G254="H",$M254*('Model Data Inputs'!$B$173-1),$M254*('Model Data Inputs'!$B$170-1))))</f>
        <v>0.65998505976095623</v>
      </c>
      <c r="O254" s="300">
        <f t="shared" si="7"/>
        <v>1.9799551792828687</v>
      </c>
    </row>
    <row r="255" spans="1:15" s="40" customFormat="1" x14ac:dyDescent="0.2">
      <c r="A255" s="20" t="s">
        <v>58</v>
      </c>
      <c r="B255" s="20" t="s">
        <v>59</v>
      </c>
      <c r="C255" s="20" t="s">
        <v>1684</v>
      </c>
      <c r="D255" s="20" t="s">
        <v>1685</v>
      </c>
      <c r="E255" s="298">
        <v>27142</v>
      </c>
      <c r="F255" s="138" t="s">
        <v>1159</v>
      </c>
      <c r="G255" s="138" t="s">
        <v>1205</v>
      </c>
      <c r="H255" s="299">
        <f>'School Level ADM'!S177</f>
        <v>685.56</v>
      </c>
      <c r="I255" s="300">
        <v>23.93</v>
      </c>
      <c r="J255" s="300">
        <f>IF(OR($E255&lt;='Model Data Inputs'!$B$175,$F255="T"),$I255,IF($G255="E",'Model Data Inputs'!$B$176+$H255/'Model Data Inputs'!$B$179,IF($G255="M",'Model Data Inputs'!$B$177+$H255/'Model Data Inputs'!$B$179,IF($G255="H",'Model Data Inputs'!$B$178+$H255/'Model Data Inputs'!$B$179,IF($G255="N/A",0,$I255)))))</f>
        <v>23.93</v>
      </c>
      <c r="K255" s="300">
        <f t="shared" si="6"/>
        <v>23.93</v>
      </c>
      <c r="L255" s="300">
        <f>$K255*'Model Data Inputs'!$B$168</f>
        <v>2225.4899999999998</v>
      </c>
      <c r="M255" s="300">
        <f>$L255/'Model Data Inputs'!$B$169</f>
        <v>1.1083117529880477</v>
      </c>
      <c r="N255" s="300">
        <f>IF($G255="E",$M255*('Model Data Inputs'!$B$171-1),IF($G255="M",$M255*('Model Data Inputs'!$B$172-1),IF($G255="H",$M255*('Model Data Inputs'!$B$173-1),$M255*('Model Data Inputs'!$B$170-1))))</f>
        <v>0.55415587649402387</v>
      </c>
      <c r="O255" s="300">
        <f t="shared" si="7"/>
        <v>1.6624676294820717</v>
      </c>
    </row>
    <row r="256" spans="1:15" s="40" customFormat="1" x14ac:dyDescent="0.2">
      <c r="A256" s="20" t="s">
        <v>58</v>
      </c>
      <c r="B256" s="20" t="s">
        <v>59</v>
      </c>
      <c r="C256" s="20" t="s">
        <v>1686</v>
      </c>
      <c r="D256" s="20" t="s">
        <v>1687</v>
      </c>
      <c r="E256" s="298">
        <v>26959</v>
      </c>
      <c r="F256" s="138" t="s">
        <v>1159</v>
      </c>
      <c r="G256" s="138" t="s">
        <v>1228</v>
      </c>
      <c r="H256" s="299">
        <f>'School Level ADM'!S178</f>
        <v>1156.3900000000001</v>
      </c>
      <c r="I256" s="300">
        <v>39.53</v>
      </c>
      <c r="J256" s="300">
        <f>IF(OR($E256&lt;='Model Data Inputs'!$B$175,$F256="T"),$I256,IF($G256="E",'Model Data Inputs'!$B$176+$H256/'Model Data Inputs'!$B$179,IF($G256="M",'Model Data Inputs'!$B$177+$H256/'Model Data Inputs'!$B$179,IF($G256="H",'Model Data Inputs'!$B$178+$H256/'Model Data Inputs'!$B$179,IF($G256="N/A",0,$I256)))))</f>
        <v>39.53</v>
      </c>
      <c r="K256" s="300">
        <f t="shared" si="6"/>
        <v>39.53</v>
      </c>
      <c r="L256" s="300">
        <f>$K256*'Model Data Inputs'!$B$168</f>
        <v>3676.29</v>
      </c>
      <c r="M256" s="300">
        <f>$L256/'Model Data Inputs'!$B$169</f>
        <v>1.8308217131474103</v>
      </c>
      <c r="N256" s="300">
        <f>IF($G256="E",$M256*('Model Data Inputs'!$B$171-1),IF($G256="M",$M256*('Model Data Inputs'!$B$172-1),IF($G256="H",$M256*('Model Data Inputs'!$B$173-1),$M256*('Model Data Inputs'!$B$170-1))))</f>
        <v>2.7462325697211156</v>
      </c>
      <c r="O256" s="300">
        <f t="shared" si="7"/>
        <v>4.5770542828685254</v>
      </c>
    </row>
    <row r="257" spans="1:15" s="40" customFormat="1" x14ac:dyDescent="0.2">
      <c r="A257" s="20" t="s">
        <v>58</v>
      </c>
      <c r="B257" s="20" t="s">
        <v>59</v>
      </c>
      <c r="C257" s="20" t="s">
        <v>1688</v>
      </c>
      <c r="D257" s="20" t="s">
        <v>1689</v>
      </c>
      <c r="E257" s="298">
        <v>35612</v>
      </c>
      <c r="F257" s="138" t="s">
        <v>1159</v>
      </c>
      <c r="G257" s="138" t="s">
        <v>1228</v>
      </c>
      <c r="H257" s="299">
        <f>'School Level ADM'!S179</f>
        <v>1422.34</v>
      </c>
      <c r="I257" s="300">
        <v>66.959999999999994</v>
      </c>
      <c r="J257" s="300">
        <f>IF(OR($E257&lt;='Model Data Inputs'!$B$175,$F257="T"),$I257,IF($G257="E",'Model Data Inputs'!$B$176+$H257/'Model Data Inputs'!$B$179,IF($G257="M",'Model Data Inputs'!$B$177+$H257/'Model Data Inputs'!$B$179,IF($G257="H",'Model Data Inputs'!$B$178+$H257/'Model Data Inputs'!$B$179,IF($G257="N/A",0,$I257)))))</f>
        <v>66.959999999999994</v>
      </c>
      <c r="K257" s="300">
        <f t="shared" si="6"/>
        <v>66.959999999999994</v>
      </c>
      <c r="L257" s="300">
        <f>$K257*'Model Data Inputs'!$B$168</f>
        <v>6227.28</v>
      </c>
      <c r="M257" s="300">
        <f>$L257/'Model Data Inputs'!$B$169</f>
        <v>3.1012350597609561</v>
      </c>
      <c r="N257" s="300">
        <f>IF($G257="E",$M257*('Model Data Inputs'!$B$171-1),IF($G257="M",$M257*('Model Data Inputs'!$B$172-1),IF($G257="H",$M257*('Model Data Inputs'!$B$173-1),$M257*('Model Data Inputs'!$B$170-1))))</f>
        <v>4.6518525896414342</v>
      </c>
      <c r="O257" s="300">
        <f t="shared" si="7"/>
        <v>7.7530876494023904</v>
      </c>
    </row>
    <row r="258" spans="1:15" s="40" customFormat="1" x14ac:dyDescent="0.2">
      <c r="A258" s="20" t="s">
        <v>58</v>
      </c>
      <c r="B258" s="20" t="s">
        <v>59</v>
      </c>
      <c r="C258" s="20" t="s">
        <v>1690</v>
      </c>
      <c r="D258" s="20" t="s">
        <v>1691</v>
      </c>
      <c r="E258" s="298">
        <v>41487</v>
      </c>
      <c r="F258" s="138" t="s">
        <v>1159</v>
      </c>
      <c r="G258" s="138" t="s">
        <v>1205</v>
      </c>
      <c r="H258" s="299">
        <f>SUM('School Level ADM'!S173:S174)</f>
        <v>245.26499999999999</v>
      </c>
      <c r="I258" s="300">
        <v>1.7</v>
      </c>
      <c r="J258" s="300">
        <f>IF(OR($E258&lt;='Model Data Inputs'!$B$175,$F258="T"),$I258,IF($G258="E",'Model Data Inputs'!$B$176+$H258/'Model Data Inputs'!$B$179,IF($G258="M",'Model Data Inputs'!$B$177+$H258/'Model Data Inputs'!$B$179,IF($G258="H",'Model Data Inputs'!$B$178+$H258/'Model Data Inputs'!$B$179,IF($G258="N/A",0,$I258)))))</f>
        <v>12.45265</v>
      </c>
      <c r="K258" s="300">
        <f t="shared" si="6"/>
        <v>1.7</v>
      </c>
      <c r="L258" s="300">
        <f>$K258*'Model Data Inputs'!$B$168</f>
        <v>158.1</v>
      </c>
      <c r="M258" s="300">
        <f>$L258/'Model Data Inputs'!$B$169</f>
        <v>7.8735059760956169E-2</v>
      </c>
      <c r="N258" s="300">
        <f>IF($G258="E",$M258*('Model Data Inputs'!$B$171-1),IF($G258="M",$M258*('Model Data Inputs'!$B$172-1),IF($G258="H",$M258*('Model Data Inputs'!$B$173-1),$M258*('Model Data Inputs'!$B$170-1))))</f>
        <v>3.9367529880478085E-2</v>
      </c>
      <c r="O258" s="300">
        <f t="shared" si="7"/>
        <v>0.11810258964143425</v>
      </c>
    </row>
    <row r="259" spans="1:15" s="40" customFormat="1" x14ac:dyDescent="0.2">
      <c r="A259" s="20" t="s">
        <v>58</v>
      </c>
      <c r="B259" s="20" t="s">
        <v>59</v>
      </c>
      <c r="C259" s="20" t="s">
        <v>1692</v>
      </c>
      <c r="D259" s="20" t="s">
        <v>1693</v>
      </c>
      <c r="E259" s="298">
        <v>35612</v>
      </c>
      <c r="F259" s="138" t="s">
        <v>1159</v>
      </c>
      <c r="G259" s="138">
        <v>0</v>
      </c>
      <c r="H259" s="299" t="s">
        <v>1191</v>
      </c>
      <c r="I259" s="300">
        <v>6.5</v>
      </c>
      <c r="J259" s="300">
        <f>IF(OR($E259&lt;='Model Data Inputs'!$B$175,$F259="T"),$I259,IF($G259="E",'Model Data Inputs'!$B$176+$H259/'Model Data Inputs'!$B$179,IF($G259="M",'Model Data Inputs'!$B$177+$H259/'Model Data Inputs'!$B$179,IF($G259="H",'Model Data Inputs'!$B$178+$H259/'Model Data Inputs'!$B$179,IF($G259="N/A",0,$I259)))))</f>
        <v>6.5</v>
      </c>
      <c r="K259" s="300">
        <f t="shared" si="6"/>
        <v>0</v>
      </c>
      <c r="L259" s="300">
        <f>$K259*'Model Data Inputs'!$B$168</f>
        <v>0</v>
      </c>
      <c r="M259" s="300">
        <f>$L259/'Model Data Inputs'!$B$169</f>
        <v>0</v>
      </c>
      <c r="N259" s="300">
        <f>IF($G259="E",$M259*('Model Data Inputs'!$B$171-1),IF($G259="M",$M259*('Model Data Inputs'!$B$172-1),IF($G259="H",$M259*('Model Data Inputs'!$B$173-1),$M259*('Model Data Inputs'!$B$170-1))))</f>
        <v>0</v>
      </c>
      <c r="O259" s="300">
        <f t="shared" si="7"/>
        <v>0</v>
      </c>
    </row>
    <row r="260" spans="1:15" s="40" customFormat="1" x14ac:dyDescent="0.2">
      <c r="A260" s="20" t="s">
        <v>58</v>
      </c>
      <c r="B260" s="20" t="s">
        <v>59</v>
      </c>
      <c r="C260" s="20" t="s">
        <v>1694</v>
      </c>
      <c r="D260" s="20" t="s">
        <v>1695</v>
      </c>
      <c r="E260" s="298">
        <v>26844</v>
      </c>
      <c r="F260" s="138" t="s">
        <v>1159</v>
      </c>
      <c r="G260" s="138">
        <v>0</v>
      </c>
      <c r="H260" s="299" t="s">
        <v>1191</v>
      </c>
      <c r="I260" s="300">
        <v>406</v>
      </c>
      <c r="J260" s="300">
        <f>IF(OR($E260&lt;='Model Data Inputs'!$B$175,$F260="T"),$I260,IF($G260="E",'Model Data Inputs'!$B$176+$H260/'Model Data Inputs'!$B$179,IF($G260="M",'Model Data Inputs'!$B$177+$H260/'Model Data Inputs'!$B$179,IF($G260="H",'Model Data Inputs'!$B$178+$H260/'Model Data Inputs'!$B$179,IF($G260="N/A",0,$I260)))))</f>
        <v>406</v>
      </c>
      <c r="K260" s="300">
        <f t="shared" si="6"/>
        <v>0</v>
      </c>
      <c r="L260" s="300">
        <f>$K260*'Model Data Inputs'!$B$168</f>
        <v>0</v>
      </c>
      <c r="M260" s="300">
        <f>$L260/'Model Data Inputs'!$B$169</f>
        <v>0</v>
      </c>
      <c r="N260" s="300">
        <f>IF($G260="E",$M260*('Model Data Inputs'!$B$171-1),IF($G260="M",$M260*('Model Data Inputs'!$B$172-1),IF($G260="H",$M260*('Model Data Inputs'!$B$173-1),$M260*('Model Data Inputs'!$B$170-1))))</f>
        <v>0</v>
      </c>
      <c r="O260" s="300">
        <f t="shared" si="7"/>
        <v>0</v>
      </c>
    </row>
    <row r="261" spans="1:15" s="40" customFormat="1" x14ac:dyDescent="0.2">
      <c r="A261" s="20" t="s">
        <v>58</v>
      </c>
      <c r="B261" s="20" t="s">
        <v>59</v>
      </c>
      <c r="C261" s="20" t="s">
        <v>1696</v>
      </c>
      <c r="D261" s="20" t="s">
        <v>1697</v>
      </c>
      <c r="E261" s="298">
        <v>28879</v>
      </c>
      <c r="F261" s="138" t="s">
        <v>1159</v>
      </c>
      <c r="G261" s="138">
        <v>0</v>
      </c>
      <c r="H261" s="299" t="s">
        <v>1191</v>
      </c>
      <c r="I261" s="300">
        <v>238</v>
      </c>
      <c r="J261" s="300">
        <f>IF(OR($E261&lt;='Model Data Inputs'!$B$175,$F261="T"),$I261,IF($G261="E",'Model Data Inputs'!$B$176+$H261/'Model Data Inputs'!$B$179,IF($G261="M",'Model Data Inputs'!$B$177+$H261/'Model Data Inputs'!$B$179,IF($G261="H",'Model Data Inputs'!$B$178+$H261/'Model Data Inputs'!$B$179,IF($G261="N/A",0,$I261)))))</f>
        <v>238</v>
      </c>
      <c r="K261" s="300">
        <f t="shared" si="6"/>
        <v>0</v>
      </c>
      <c r="L261" s="300">
        <f>$K261*'Model Data Inputs'!$B$168</f>
        <v>0</v>
      </c>
      <c r="M261" s="300">
        <f>$L261/'Model Data Inputs'!$B$169</f>
        <v>0</v>
      </c>
      <c r="N261" s="300">
        <f>IF($G261="E",$M261*('Model Data Inputs'!$B$171-1),IF($G261="M",$M261*('Model Data Inputs'!$B$172-1),IF($G261="H",$M261*('Model Data Inputs'!$B$173-1),$M261*('Model Data Inputs'!$B$170-1))))</f>
        <v>0</v>
      </c>
      <c r="O261" s="300">
        <f t="shared" si="7"/>
        <v>0</v>
      </c>
    </row>
    <row r="262" spans="1:15" s="40" customFormat="1" x14ac:dyDescent="0.2">
      <c r="A262" s="20" t="s">
        <v>58</v>
      </c>
      <c r="B262" s="20" t="s">
        <v>59</v>
      </c>
      <c r="C262" s="20" t="s">
        <v>1698</v>
      </c>
      <c r="D262" s="20" t="s">
        <v>1699</v>
      </c>
      <c r="E262" s="298">
        <v>38488</v>
      </c>
      <c r="F262" s="138" t="s">
        <v>1159</v>
      </c>
      <c r="G262" s="138" t="s">
        <v>1198</v>
      </c>
      <c r="H262" s="299">
        <f>'School Level ADM'!S168</f>
        <v>333.91499999999996</v>
      </c>
      <c r="I262" s="300">
        <v>20.5</v>
      </c>
      <c r="J262" s="300">
        <f>IF(OR($E262&lt;='Model Data Inputs'!$B$175,$F262="T"),$I262,IF($G262="E",'Model Data Inputs'!$B$176+$H262/'Model Data Inputs'!$B$179,IF($G262="M",'Model Data Inputs'!$B$177+$H262/'Model Data Inputs'!$B$179,IF($G262="H",'Model Data Inputs'!$B$178+$H262/'Model Data Inputs'!$B$179,IF($G262="N/A",0,$I262)))))</f>
        <v>7.3391500000000001</v>
      </c>
      <c r="K262" s="300">
        <f t="shared" ref="K262:K325" si="8">IF(AND($A$2=2,OR(G262=0,G262="N/A")),0,IF($I262&lt;$J262,$I262,$J262))</f>
        <v>7.3391500000000001</v>
      </c>
      <c r="L262" s="300">
        <f>$K262*'Model Data Inputs'!$B$168</f>
        <v>682.54094999999995</v>
      </c>
      <c r="M262" s="300">
        <f>$L262/'Model Data Inputs'!$B$169</f>
        <v>0.33991083167330677</v>
      </c>
      <c r="N262" s="300">
        <f>IF($G262="E",$M262*('Model Data Inputs'!$B$171-1),IF($G262="M",$M262*('Model Data Inputs'!$B$172-1),IF($G262="H",$M262*('Model Data Inputs'!$B$173-1),$M262*('Model Data Inputs'!$B$170-1))))</f>
        <v>0</v>
      </c>
      <c r="O262" s="300">
        <f t="shared" si="7"/>
        <v>0.33991083167330677</v>
      </c>
    </row>
    <row r="263" spans="1:15" s="40" customFormat="1" x14ac:dyDescent="0.2">
      <c r="A263" s="20" t="s">
        <v>58</v>
      </c>
      <c r="B263" s="20" t="s">
        <v>59</v>
      </c>
      <c r="C263" s="20" t="s">
        <v>1700</v>
      </c>
      <c r="D263" s="20" t="s">
        <v>730</v>
      </c>
      <c r="E263" s="298">
        <v>37812</v>
      </c>
      <c r="F263" s="138" t="s">
        <v>1159</v>
      </c>
      <c r="G263" s="138" t="s">
        <v>1228</v>
      </c>
      <c r="H263" s="299">
        <f>'School Level ADM'!S181</f>
        <v>1123.885</v>
      </c>
      <c r="I263" s="300">
        <v>55.38</v>
      </c>
      <c r="J263" s="300">
        <f>IF(OR($E263&lt;='Model Data Inputs'!$B$175,$F263="T"),$I263,IF($G263="E",'Model Data Inputs'!$B$176+$H263/'Model Data Inputs'!$B$179,IF($G263="M",'Model Data Inputs'!$B$177+$H263/'Model Data Inputs'!$B$179,IF($G263="H",'Model Data Inputs'!$B$178+$H263/'Model Data Inputs'!$B$179,IF($G263="N/A",0,$I263)))))</f>
        <v>31.238849999999999</v>
      </c>
      <c r="K263" s="300">
        <f t="shared" si="8"/>
        <v>31.238849999999999</v>
      </c>
      <c r="L263" s="300">
        <f>$K263*'Model Data Inputs'!$B$168</f>
        <v>2905.2130499999998</v>
      </c>
      <c r="M263" s="300">
        <f>$L263/'Model Data Inputs'!$B$169</f>
        <v>1.446819248007968</v>
      </c>
      <c r="N263" s="300">
        <f>IF($G263="E",$M263*('Model Data Inputs'!$B$171-1),IF($G263="M",$M263*('Model Data Inputs'!$B$172-1),IF($G263="H",$M263*('Model Data Inputs'!$B$173-1),$M263*('Model Data Inputs'!$B$170-1))))</f>
        <v>2.1702288720119522</v>
      </c>
      <c r="O263" s="300">
        <f t="shared" si="7"/>
        <v>3.6170481200199203</v>
      </c>
    </row>
    <row r="264" spans="1:15" s="40" customFormat="1" x14ac:dyDescent="0.2">
      <c r="A264" s="20" t="s">
        <v>58</v>
      </c>
      <c r="B264" s="20" t="s">
        <v>59</v>
      </c>
      <c r="C264" s="20" t="s">
        <v>1701</v>
      </c>
      <c r="D264" s="20" t="s">
        <v>1702</v>
      </c>
      <c r="E264" s="298">
        <v>38133</v>
      </c>
      <c r="F264" s="138" t="s">
        <v>1159</v>
      </c>
      <c r="G264" s="138" t="s">
        <v>1228</v>
      </c>
      <c r="H264" s="299">
        <f>'School Level ADM'!S180</f>
        <v>202.91000000000003</v>
      </c>
      <c r="I264" s="300">
        <v>11.06</v>
      </c>
      <c r="J264" s="300">
        <f>IF(OR($E264&lt;='Model Data Inputs'!$B$175,$F264="T"),$I264,IF($G264="E",'Model Data Inputs'!$B$176+$H264/'Model Data Inputs'!$B$179,IF($G264="M",'Model Data Inputs'!$B$177+$H264/'Model Data Inputs'!$B$179,IF($G264="H",'Model Data Inputs'!$B$178+$H264/'Model Data Inputs'!$B$179,IF($G264="N/A",0,$I264)))))</f>
        <v>22.0291</v>
      </c>
      <c r="K264" s="300">
        <f t="shared" si="8"/>
        <v>11.06</v>
      </c>
      <c r="L264" s="300">
        <f>$K264*'Model Data Inputs'!$B$168</f>
        <v>1028.5800000000002</v>
      </c>
      <c r="M264" s="300">
        <f>$L264/'Model Data Inputs'!$B$169</f>
        <v>0.51224103585657377</v>
      </c>
      <c r="N264" s="300">
        <f>IF($G264="E",$M264*('Model Data Inputs'!$B$171-1),IF($G264="M",$M264*('Model Data Inputs'!$B$172-1),IF($G264="H",$M264*('Model Data Inputs'!$B$173-1),$M264*('Model Data Inputs'!$B$170-1))))</f>
        <v>0.76836155378486071</v>
      </c>
      <c r="O264" s="300">
        <f t="shared" si="7"/>
        <v>1.2806025896414344</v>
      </c>
    </row>
    <row r="265" spans="1:15" s="40" customFormat="1" x14ac:dyDescent="0.2">
      <c r="A265" s="20" t="s">
        <v>58</v>
      </c>
      <c r="B265" s="20" t="s">
        <v>59</v>
      </c>
      <c r="C265" s="20" t="s">
        <v>1703</v>
      </c>
      <c r="D265" s="20" t="s">
        <v>1704</v>
      </c>
      <c r="E265" s="298">
        <v>24668</v>
      </c>
      <c r="F265" s="138" t="s">
        <v>1159</v>
      </c>
      <c r="G265" s="138">
        <v>0</v>
      </c>
      <c r="H265" s="299" t="s">
        <v>1191</v>
      </c>
      <c r="I265" s="300">
        <v>0.04</v>
      </c>
      <c r="J265" s="300">
        <f>IF(OR($E265&lt;='Model Data Inputs'!$B$175,$F265="T"),$I265,IF($G265="E",'Model Data Inputs'!$B$176+$H265/'Model Data Inputs'!$B$179,IF($G265="M",'Model Data Inputs'!$B$177+$H265/'Model Data Inputs'!$B$179,IF($G265="H",'Model Data Inputs'!$B$178+$H265/'Model Data Inputs'!$B$179,IF($G265="N/A",0,$I265)))))</f>
        <v>0.04</v>
      </c>
      <c r="K265" s="300">
        <f t="shared" si="8"/>
        <v>0</v>
      </c>
      <c r="L265" s="300">
        <f>$K265*'Model Data Inputs'!$B$168</f>
        <v>0</v>
      </c>
      <c r="M265" s="300">
        <f>$L265/'Model Data Inputs'!$B$169</f>
        <v>0</v>
      </c>
      <c r="N265" s="300">
        <f>IF($G265="E",$M265*('Model Data Inputs'!$B$171-1),IF($G265="M",$M265*('Model Data Inputs'!$B$172-1),IF($G265="H",$M265*('Model Data Inputs'!$B$173-1),$M265*('Model Data Inputs'!$B$170-1))))</f>
        <v>0</v>
      </c>
      <c r="O265" s="300">
        <f t="shared" ref="O265:O328" si="9">SUM($M265:$N265)</f>
        <v>0</v>
      </c>
    </row>
    <row r="266" spans="1:15" s="40" customFormat="1" x14ac:dyDescent="0.2">
      <c r="A266" s="20" t="s">
        <v>58</v>
      </c>
      <c r="B266" s="20" t="s">
        <v>59</v>
      </c>
      <c r="C266" s="20" t="s">
        <v>1705</v>
      </c>
      <c r="D266" s="20" t="s">
        <v>1706</v>
      </c>
      <c r="E266" s="298">
        <v>38174</v>
      </c>
      <c r="F266" s="138" t="s">
        <v>1159</v>
      </c>
      <c r="G266" s="138">
        <v>0</v>
      </c>
      <c r="H266" s="299" t="s">
        <v>1191</v>
      </c>
      <c r="I266" s="300">
        <v>1.25</v>
      </c>
      <c r="J266" s="300">
        <f>IF(OR($E266&lt;='Model Data Inputs'!$B$175,$F266="T"),$I266,IF($G266="E",'Model Data Inputs'!$B$176+$H266/'Model Data Inputs'!$B$179,IF($G266="M",'Model Data Inputs'!$B$177+$H266/'Model Data Inputs'!$B$179,IF($G266="H",'Model Data Inputs'!$B$178+$H266/'Model Data Inputs'!$B$179,IF($G266="N/A",0,$I266)))))</f>
        <v>1.25</v>
      </c>
      <c r="K266" s="300">
        <f t="shared" si="8"/>
        <v>0</v>
      </c>
      <c r="L266" s="300">
        <f>$K266*'Model Data Inputs'!$B$168</f>
        <v>0</v>
      </c>
      <c r="M266" s="300">
        <f>$L266/'Model Data Inputs'!$B$169</f>
        <v>0</v>
      </c>
      <c r="N266" s="300">
        <f>IF($G266="E",$M266*('Model Data Inputs'!$B$171-1),IF($G266="M",$M266*('Model Data Inputs'!$B$172-1),IF($G266="H",$M266*('Model Data Inputs'!$B$173-1),$M266*('Model Data Inputs'!$B$170-1))))</f>
        <v>0</v>
      </c>
      <c r="O266" s="300">
        <f t="shared" si="9"/>
        <v>0</v>
      </c>
    </row>
    <row r="267" spans="1:15" s="40" customFormat="1" x14ac:dyDescent="0.2">
      <c r="A267" s="20" t="s">
        <v>58</v>
      </c>
      <c r="B267" s="20" t="s">
        <v>59</v>
      </c>
      <c r="C267" s="20" t="s">
        <v>1707</v>
      </c>
      <c r="D267" s="20" t="s">
        <v>707</v>
      </c>
      <c r="E267" s="298">
        <v>24668</v>
      </c>
      <c r="F267" s="138" t="s">
        <v>1159</v>
      </c>
      <c r="G267" s="138" t="s">
        <v>1198</v>
      </c>
      <c r="H267" s="299">
        <f>'School Level ADM'!S169</f>
        <v>353.61500000000001</v>
      </c>
      <c r="I267" s="300">
        <v>24.25</v>
      </c>
      <c r="J267" s="300">
        <f>IF(OR($E267&lt;='Model Data Inputs'!$B$175,$F267="T"),$I267,IF($G267="E",'Model Data Inputs'!$B$176+$H267/'Model Data Inputs'!$B$179,IF($G267="M",'Model Data Inputs'!$B$177+$H267/'Model Data Inputs'!$B$179,IF($G267="H",'Model Data Inputs'!$B$178+$H267/'Model Data Inputs'!$B$179,IF($G267="N/A",0,$I267)))))</f>
        <v>24.25</v>
      </c>
      <c r="K267" s="300">
        <f t="shared" si="8"/>
        <v>24.25</v>
      </c>
      <c r="L267" s="300">
        <f>$K267*'Model Data Inputs'!$B$168</f>
        <v>2255.25</v>
      </c>
      <c r="M267" s="300">
        <f>$L267/'Model Data Inputs'!$B$169</f>
        <v>1.123132470119522</v>
      </c>
      <c r="N267" s="300">
        <f>IF($G267="E",$M267*('Model Data Inputs'!$B$171-1),IF($G267="M",$M267*('Model Data Inputs'!$B$172-1),IF($G267="H",$M267*('Model Data Inputs'!$B$173-1),$M267*('Model Data Inputs'!$B$170-1))))</f>
        <v>0</v>
      </c>
      <c r="O267" s="300">
        <f t="shared" si="9"/>
        <v>1.123132470119522</v>
      </c>
    </row>
    <row r="268" spans="1:15" s="40" customFormat="1" x14ac:dyDescent="0.2">
      <c r="A268" s="20" t="s">
        <v>58</v>
      </c>
      <c r="B268" s="20" t="s">
        <v>59</v>
      </c>
      <c r="C268" s="20" t="s">
        <v>1708</v>
      </c>
      <c r="D268" s="20" t="s">
        <v>1709</v>
      </c>
      <c r="E268" s="298">
        <v>28909</v>
      </c>
      <c r="F268" s="138" t="s">
        <v>1159</v>
      </c>
      <c r="G268" s="138" t="s">
        <v>1198</v>
      </c>
      <c r="H268" s="299">
        <f>'School Level ADM'!S172</f>
        <v>521.06500000000005</v>
      </c>
      <c r="I268" s="300">
        <v>40.840000000000003</v>
      </c>
      <c r="J268" s="300">
        <f>IF(OR($E268&lt;='Model Data Inputs'!$B$175,$F268="T"),$I268,IF($G268="E",'Model Data Inputs'!$B$176+$H268/'Model Data Inputs'!$B$179,IF($G268="M",'Model Data Inputs'!$B$177+$H268/'Model Data Inputs'!$B$179,IF($G268="H",'Model Data Inputs'!$B$178+$H268/'Model Data Inputs'!$B$179,IF($G268="N/A",0,$I268)))))</f>
        <v>40.840000000000003</v>
      </c>
      <c r="K268" s="300">
        <f t="shared" si="8"/>
        <v>40.840000000000003</v>
      </c>
      <c r="L268" s="300">
        <f>$K268*'Model Data Inputs'!$B$168</f>
        <v>3798.1200000000003</v>
      </c>
      <c r="M268" s="300">
        <f>$L268/'Model Data Inputs'!$B$169</f>
        <v>1.8914940239043827</v>
      </c>
      <c r="N268" s="300">
        <f>IF($G268="E",$M268*('Model Data Inputs'!$B$171-1),IF($G268="M",$M268*('Model Data Inputs'!$B$172-1),IF($G268="H",$M268*('Model Data Inputs'!$B$173-1),$M268*('Model Data Inputs'!$B$170-1))))</f>
        <v>0</v>
      </c>
      <c r="O268" s="300">
        <f t="shared" si="9"/>
        <v>1.8914940239043827</v>
      </c>
    </row>
    <row r="269" spans="1:15" s="40" customFormat="1" x14ac:dyDescent="0.2">
      <c r="A269" s="20" t="s">
        <v>58</v>
      </c>
      <c r="B269" s="20" t="s">
        <v>59</v>
      </c>
      <c r="C269" s="20" t="s">
        <v>1710</v>
      </c>
      <c r="D269" s="20" t="s">
        <v>1711</v>
      </c>
      <c r="E269" s="298">
        <v>38974</v>
      </c>
      <c r="F269" s="138" t="s">
        <v>1159</v>
      </c>
      <c r="G269" s="138" t="s">
        <v>1198</v>
      </c>
      <c r="H269" s="299">
        <f>'School Level ADM'!S170</f>
        <v>361.495</v>
      </c>
      <c r="I269" s="300">
        <v>9.6300000000000008</v>
      </c>
      <c r="J269" s="300">
        <f>IF(OR($E269&lt;='Model Data Inputs'!$B$175,$F269="T"),$I269,IF($G269="E",'Model Data Inputs'!$B$176+$H269/'Model Data Inputs'!$B$179,IF($G269="M",'Model Data Inputs'!$B$177+$H269/'Model Data Inputs'!$B$179,IF($G269="H",'Model Data Inputs'!$B$178+$H269/'Model Data Inputs'!$B$179,IF($G269="N/A",0,$I269)))))</f>
        <v>7.6149500000000003</v>
      </c>
      <c r="K269" s="300">
        <f t="shared" si="8"/>
        <v>7.6149500000000003</v>
      </c>
      <c r="L269" s="300">
        <f>$K269*'Model Data Inputs'!$B$168</f>
        <v>708.19035000000008</v>
      </c>
      <c r="M269" s="300">
        <f>$L269/'Model Data Inputs'!$B$169</f>
        <v>0.35268443725099607</v>
      </c>
      <c r="N269" s="300">
        <f>IF($G269="E",$M269*('Model Data Inputs'!$B$171-1),IF($G269="M",$M269*('Model Data Inputs'!$B$172-1),IF($G269="H",$M269*('Model Data Inputs'!$B$173-1),$M269*('Model Data Inputs'!$B$170-1))))</f>
        <v>0</v>
      </c>
      <c r="O269" s="300">
        <f t="shared" si="9"/>
        <v>0.35268443725099607</v>
      </c>
    </row>
    <row r="270" spans="1:15" s="40" customFormat="1" x14ac:dyDescent="0.2">
      <c r="A270" s="20" t="s">
        <v>58</v>
      </c>
      <c r="B270" s="20" t="s">
        <v>59</v>
      </c>
      <c r="C270" s="20" t="s">
        <v>1712</v>
      </c>
      <c r="D270" s="20" t="s">
        <v>1713</v>
      </c>
      <c r="E270" s="298">
        <v>38614</v>
      </c>
      <c r="F270" s="138" t="s">
        <v>1159</v>
      </c>
      <c r="G270" s="138">
        <v>0</v>
      </c>
      <c r="H270" s="299" t="s">
        <v>1191</v>
      </c>
      <c r="I270" s="300">
        <v>4.76</v>
      </c>
      <c r="J270" s="300">
        <f>IF(OR($E270&lt;='Model Data Inputs'!$B$175,$F270="T"),$I270,IF($G270="E",'Model Data Inputs'!$B$176+$H270/'Model Data Inputs'!$B$179,IF($G270="M",'Model Data Inputs'!$B$177+$H270/'Model Data Inputs'!$B$179,IF($G270="H",'Model Data Inputs'!$B$178+$H270/'Model Data Inputs'!$B$179,IF($G270="N/A",0,$I270)))))</f>
        <v>4.76</v>
      </c>
      <c r="K270" s="300">
        <f t="shared" si="8"/>
        <v>0</v>
      </c>
      <c r="L270" s="300">
        <f>$K270*'Model Data Inputs'!$B$168</f>
        <v>0</v>
      </c>
      <c r="M270" s="300">
        <f>$L270/'Model Data Inputs'!$B$169</f>
        <v>0</v>
      </c>
      <c r="N270" s="300">
        <f>IF($G270="E",$M270*('Model Data Inputs'!$B$171-1),IF($G270="M",$M270*('Model Data Inputs'!$B$172-1),IF($G270="H",$M270*('Model Data Inputs'!$B$173-1),$M270*('Model Data Inputs'!$B$170-1))))</f>
        <v>0</v>
      </c>
      <c r="O270" s="300">
        <f t="shared" si="9"/>
        <v>0</v>
      </c>
    </row>
    <row r="271" spans="1:15" s="40" customFormat="1" x14ac:dyDescent="0.2">
      <c r="A271" s="20" t="s">
        <v>58</v>
      </c>
      <c r="B271" s="20" t="s">
        <v>59</v>
      </c>
      <c r="C271" s="20" t="s">
        <v>1714</v>
      </c>
      <c r="D271" s="20" t="s">
        <v>1359</v>
      </c>
      <c r="E271" s="298">
        <v>40360</v>
      </c>
      <c r="F271" s="138" t="s">
        <v>1159</v>
      </c>
      <c r="G271" s="138" t="s">
        <v>1198</v>
      </c>
      <c r="H271" s="299">
        <f>'School Level ADM'!S171</f>
        <v>450.14499999999998</v>
      </c>
      <c r="I271" s="300">
        <v>23.03</v>
      </c>
      <c r="J271" s="300">
        <f>IF(OR($E271&lt;='Model Data Inputs'!$B$175,$F271="T"),$I271,IF($G271="E",'Model Data Inputs'!$B$176+$H271/'Model Data Inputs'!$B$179,IF($G271="M",'Model Data Inputs'!$B$177+$H271/'Model Data Inputs'!$B$179,IF($G271="H",'Model Data Inputs'!$B$178+$H271/'Model Data Inputs'!$B$179,IF($G271="N/A",0,$I271)))))</f>
        <v>8.5014500000000002</v>
      </c>
      <c r="K271" s="300">
        <f t="shared" si="8"/>
        <v>8.5014500000000002</v>
      </c>
      <c r="L271" s="300">
        <f>$K271*'Model Data Inputs'!$B$168</f>
        <v>790.63485000000003</v>
      </c>
      <c r="M271" s="300">
        <f>$L271/'Model Data Inputs'!$B$169</f>
        <v>0.39374245517928286</v>
      </c>
      <c r="N271" s="300">
        <f>IF($G271="E",$M271*('Model Data Inputs'!$B$171-1),IF($G271="M",$M271*('Model Data Inputs'!$B$172-1),IF($G271="H",$M271*('Model Data Inputs'!$B$173-1),$M271*('Model Data Inputs'!$B$170-1))))</f>
        <v>0</v>
      </c>
      <c r="O271" s="300">
        <f t="shared" si="9"/>
        <v>0.39374245517928286</v>
      </c>
    </row>
    <row r="272" spans="1:15" s="40" customFormat="1" x14ac:dyDescent="0.2">
      <c r="A272" s="20" t="s">
        <v>58</v>
      </c>
      <c r="B272" s="20" t="s">
        <v>59</v>
      </c>
      <c r="C272" s="20" t="s">
        <v>1715</v>
      </c>
      <c r="D272" s="20" t="s">
        <v>1716</v>
      </c>
      <c r="E272" s="298">
        <v>41451</v>
      </c>
      <c r="F272" s="138" t="s">
        <v>1159</v>
      </c>
      <c r="G272" s="138" t="s">
        <v>1191</v>
      </c>
      <c r="H272" s="299" t="s">
        <v>1191</v>
      </c>
      <c r="I272" s="300">
        <v>7.89</v>
      </c>
      <c r="J272" s="300">
        <f>IF(OR($E272&lt;='Model Data Inputs'!$B$175,$F272="T"),$I272,IF($G272="E",'Model Data Inputs'!$B$176+$H272/'Model Data Inputs'!$B$179,IF($G272="M",'Model Data Inputs'!$B$177+$H272/'Model Data Inputs'!$B$179,IF($G272="H",'Model Data Inputs'!$B$178+$H272/'Model Data Inputs'!$B$179,IF($G272="N/A",0,$I272)))))</f>
        <v>0</v>
      </c>
      <c r="K272" s="300">
        <f t="shared" si="8"/>
        <v>0</v>
      </c>
      <c r="L272" s="300">
        <f>$K272*'Model Data Inputs'!$B$168</f>
        <v>0</v>
      </c>
      <c r="M272" s="300">
        <f>$L272/'Model Data Inputs'!$B$169</f>
        <v>0</v>
      </c>
      <c r="N272" s="300">
        <f>IF($G272="E",$M272*('Model Data Inputs'!$B$171-1),IF($G272="M",$M272*('Model Data Inputs'!$B$172-1),IF($G272="H",$M272*('Model Data Inputs'!$B$173-1),$M272*('Model Data Inputs'!$B$170-1))))</f>
        <v>0</v>
      </c>
      <c r="O272" s="300">
        <f t="shared" si="9"/>
        <v>0</v>
      </c>
    </row>
    <row r="273" spans="1:15" s="40" customFormat="1" x14ac:dyDescent="0.2">
      <c r="A273" s="20" t="s">
        <v>58</v>
      </c>
      <c r="B273" s="20" t="s">
        <v>59</v>
      </c>
      <c r="C273" s="20" t="s">
        <v>1717</v>
      </c>
      <c r="D273" s="20" t="s">
        <v>1718</v>
      </c>
      <c r="E273" s="298">
        <v>41527</v>
      </c>
      <c r="F273" s="138" t="s">
        <v>1159</v>
      </c>
      <c r="G273" s="138" t="s">
        <v>1191</v>
      </c>
      <c r="H273" s="299" t="s">
        <v>1191</v>
      </c>
      <c r="I273" s="300">
        <v>16.13</v>
      </c>
      <c r="J273" s="300">
        <f>IF(OR($E273&lt;='Model Data Inputs'!$B$175,$F273="T"),$I273,IF($G273="E",'Model Data Inputs'!$B$176+$H273/'Model Data Inputs'!$B$179,IF($G273="M",'Model Data Inputs'!$B$177+$H273/'Model Data Inputs'!$B$179,IF($G273="H",'Model Data Inputs'!$B$178+$H273/'Model Data Inputs'!$B$179,IF($G273="N/A",0,$I273)))))</f>
        <v>0</v>
      </c>
      <c r="K273" s="300">
        <f t="shared" si="8"/>
        <v>0</v>
      </c>
      <c r="L273" s="300">
        <f>$K273*'Model Data Inputs'!$B$168</f>
        <v>0</v>
      </c>
      <c r="M273" s="300">
        <f>$L273/'Model Data Inputs'!$B$169</f>
        <v>0</v>
      </c>
      <c r="N273" s="300">
        <f>IF($G273="E",$M273*('Model Data Inputs'!$B$171-1),IF($G273="M",$M273*('Model Data Inputs'!$B$172-1),IF($G273="H",$M273*('Model Data Inputs'!$B$173-1),$M273*('Model Data Inputs'!$B$170-1))))</f>
        <v>0</v>
      </c>
      <c r="O273" s="300">
        <f t="shared" si="9"/>
        <v>0</v>
      </c>
    </row>
    <row r="274" spans="1:15" s="40" customFormat="1" x14ac:dyDescent="0.2">
      <c r="A274" s="20" t="s">
        <v>58</v>
      </c>
      <c r="B274" s="20" t="s">
        <v>59</v>
      </c>
      <c r="C274" s="20" t="s">
        <v>1719</v>
      </c>
      <c r="D274" s="20" t="s">
        <v>1720</v>
      </c>
      <c r="E274" s="298">
        <v>42491</v>
      </c>
      <c r="F274" s="138" t="s">
        <v>1159</v>
      </c>
      <c r="G274" s="138" t="s">
        <v>1191</v>
      </c>
      <c r="H274" s="299" t="s">
        <v>1191</v>
      </c>
      <c r="I274" s="300">
        <v>9.56</v>
      </c>
      <c r="J274" s="300">
        <f>IF(OR($E274&lt;='Model Data Inputs'!$B$175,$F274="T"),$I274,IF($G274="E",'Model Data Inputs'!$B$176+$H274/'Model Data Inputs'!$B$179,IF($G274="M",'Model Data Inputs'!$B$177+$H274/'Model Data Inputs'!$B$179,IF($G274="H",'Model Data Inputs'!$B$178+$H274/'Model Data Inputs'!$B$179,IF($G274="N/A",0,$I274)))))</f>
        <v>0</v>
      </c>
      <c r="K274" s="300">
        <f t="shared" si="8"/>
        <v>0</v>
      </c>
      <c r="L274" s="300">
        <f>$K274*'Model Data Inputs'!$B$168</f>
        <v>0</v>
      </c>
      <c r="M274" s="300">
        <f>$L274/'Model Data Inputs'!$B$169</f>
        <v>0</v>
      </c>
      <c r="N274" s="300">
        <f>IF($G274="E",$M274*('Model Data Inputs'!$B$171-1),IF($G274="M",$M274*('Model Data Inputs'!$B$172-1),IF($G274="H",$M274*('Model Data Inputs'!$B$173-1),$M274*('Model Data Inputs'!$B$170-1))))</f>
        <v>0</v>
      </c>
      <c r="O274" s="300">
        <f t="shared" si="9"/>
        <v>0</v>
      </c>
    </row>
    <row r="275" spans="1:15" s="40" customFormat="1" x14ac:dyDescent="0.2">
      <c r="A275" s="20" t="s">
        <v>60</v>
      </c>
      <c r="B275" s="20" t="s">
        <v>61</v>
      </c>
      <c r="C275" s="20" t="s">
        <v>1721</v>
      </c>
      <c r="D275" s="20" t="s">
        <v>1722</v>
      </c>
      <c r="E275" s="298">
        <v>35612</v>
      </c>
      <c r="F275" s="138" t="s">
        <v>1159</v>
      </c>
      <c r="G275" s="138">
        <v>0</v>
      </c>
      <c r="H275" s="299" t="s">
        <v>1191</v>
      </c>
      <c r="I275" s="300">
        <v>0.55000000000000004</v>
      </c>
      <c r="J275" s="300">
        <f>IF(OR($E275&lt;='Model Data Inputs'!$B$175,$F275="T"),$I275,IF($G275="E",'Model Data Inputs'!$B$176+$H275/'Model Data Inputs'!$B$179,IF($G275="M",'Model Data Inputs'!$B$177+$H275/'Model Data Inputs'!$B$179,IF($G275="H",'Model Data Inputs'!$B$178+$H275/'Model Data Inputs'!$B$179,IF($G275="N/A",0,$I275)))))</f>
        <v>0.55000000000000004</v>
      </c>
      <c r="K275" s="300">
        <f t="shared" si="8"/>
        <v>0</v>
      </c>
      <c r="L275" s="300">
        <f>$K275*'Model Data Inputs'!$B$168</f>
        <v>0</v>
      </c>
      <c r="M275" s="300">
        <f>$L275/'Model Data Inputs'!$B$169</f>
        <v>0</v>
      </c>
      <c r="N275" s="300">
        <f>IF($G275="E",$M275*('Model Data Inputs'!$B$171-1),IF($G275="M",$M275*('Model Data Inputs'!$B$172-1),IF($G275="H",$M275*('Model Data Inputs'!$B$173-1),$M275*('Model Data Inputs'!$B$170-1))))</f>
        <v>0</v>
      </c>
      <c r="O275" s="300">
        <f t="shared" si="9"/>
        <v>0</v>
      </c>
    </row>
    <row r="276" spans="1:15" s="40" customFormat="1" x14ac:dyDescent="0.2">
      <c r="A276" s="20" t="s">
        <v>60</v>
      </c>
      <c r="B276" s="20" t="s">
        <v>61</v>
      </c>
      <c r="C276" s="20" t="s">
        <v>1723</v>
      </c>
      <c r="D276" s="20" t="s">
        <v>1724</v>
      </c>
      <c r="E276" s="298">
        <v>35612</v>
      </c>
      <c r="F276" s="138" t="s">
        <v>1159</v>
      </c>
      <c r="G276" s="138" t="s">
        <v>1198</v>
      </c>
      <c r="H276" s="299">
        <f>'School Level ADM'!S183</f>
        <v>105.39500000000001</v>
      </c>
      <c r="I276" s="300">
        <v>15.49</v>
      </c>
      <c r="J276" s="300">
        <f>IF(OR($E276&lt;='Model Data Inputs'!$B$175,$F276="T"),$I276,IF($G276="E",'Model Data Inputs'!$B$176+$H276/'Model Data Inputs'!$B$179,IF($G276="M",'Model Data Inputs'!$B$177+$H276/'Model Data Inputs'!$B$179,IF($G276="H",'Model Data Inputs'!$B$178+$H276/'Model Data Inputs'!$B$179,IF($G276="N/A",0,$I276)))))</f>
        <v>15.49</v>
      </c>
      <c r="K276" s="300">
        <f t="shared" si="8"/>
        <v>15.49</v>
      </c>
      <c r="L276" s="300">
        <f>$K276*'Model Data Inputs'!$B$168</f>
        <v>1440.57</v>
      </c>
      <c r="M276" s="300">
        <f>$L276/'Model Data Inputs'!$B$169</f>
        <v>0.71741533864541829</v>
      </c>
      <c r="N276" s="300">
        <f>IF($G276="E",$M276*('Model Data Inputs'!$B$171-1),IF($G276="M",$M276*('Model Data Inputs'!$B$172-1),IF($G276="H",$M276*('Model Data Inputs'!$B$173-1),$M276*('Model Data Inputs'!$B$170-1))))</f>
        <v>0</v>
      </c>
      <c r="O276" s="300">
        <f t="shared" si="9"/>
        <v>0.71741533864541829</v>
      </c>
    </row>
    <row r="277" spans="1:15" s="40" customFormat="1" x14ac:dyDescent="0.2">
      <c r="A277" s="20" t="s">
        <v>60</v>
      </c>
      <c r="B277" s="20" t="s">
        <v>61</v>
      </c>
      <c r="C277" s="20" t="s">
        <v>1725</v>
      </c>
      <c r="D277" s="20" t="s">
        <v>1726</v>
      </c>
      <c r="E277" s="298">
        <v>35612</v>
      </c>
      <c r="F277" s="138" t="s">
        <v>1159</v>
      </c>
      <c r="G277" s="138" t="s">
        <v>1228</v>
      </c>
      <c r="H277" s="299">
        <f>SUM('School Level ADM'!S184,'School Level ADM'!S187)</f>
        <v>328.99</v>
      </c>
      <c r="I277" s="300">
        <v>13.79</v>
      </c>
      <c r="J277" s="300">
        <f>IF(OR($E277&lt;='Model Data Inputs'!$B$175,$F277="T"),$I277,IF($G277="E",'Model Data Inputs'!$B$176+$H277/'Model Data Inputs'!$B$179,IF($G277="M",'Model Data Inputs'!$B$177+$H277/'Model Data Inputs'!$B$179,IF($G277="H",'Model Data Inputs'!$B$178+$H277/'Model Data Inputs'!$B$179,IF($G277="N/A",0,$I277)))))</f>
        <v>13.79</v>
      </c>
      <c r="K277" s="300">
        <f t="shared" si="8"/>
        <v>13.79</v>
      </c>
      <c r="L277" s="300">
        <f>$K277*'Model Data Inputs'!$B$168</f>
        <v>1282.47</v>
      </c>
      <c r="M277" s="300">
        <f>$L277/'Model Data Inputs'!$B$169</f>
        <v>0.63868027888446222</v>
      </c>
      <c r="N277" s="300">
        <f>IF($G277="E",$M277*('Model Data Inputs'!$B$171-1),IF($G277="M",$M277*('Model Data Inputs'!$B$172-1),IF($G277="H",$M277*('Model Data Inputs'!$B$173-1),$M277*('Model Data Inputs'!$B$170-1))))</f>
        <v>0.95802041832669338</v>
      </c>
      <c r="O277" s="300">
        <f t="shared" si="9"/>
        <v>1.5967006972111557</v>
      </c>
    </row>
    <row r="278" spans="1:15" s="40" customFormat="1" x14ac:dyDescent="0.2">
      <c r="A278" s="20" t="s">
        <v>60</v>
      </c>
      <c r="B278" s="20" t="s">
        <v>61</v>
      </c>
      <c r="C278" s="20" t="s">
        <v>1727</v>
      </c>
      <c r="D278" s="20" t="s">
        <v>1728</v>
      </c>
      <c r="E278" s="298">
        <v>11079</v>
      </c>
      <c r="F278" s="138" t="s">
        <v>1159</v>
      </c>
      <c r="G278" s="138" t="s">
        <v>1198</v>
      </c>
      <c r="H278" s="299">
        <f>'School Level ADM'!S182</f>
        <v>48.265000000000001</v>
      </c>
      <c r="I278" s="300">
        <v>4.84</v>
      </c>
      <c r="J278" s="300">
        <f>IF(OR($E278&lt;='Model Data Inputs'!$B$175,$F278="T"),$I278,IF($G278="E",'Model Data Inputs'!$B$176+$H278/'Model Data Inputs'!$B$179,IF($G278="M",'Model Data Inputs'!$B$177+$H278/'Model Data Inputs'!$B$179,IF($G278="H",'Model Data Inputs'!$B$178+$H278/'Model Data Inputs'!$B$179,IF($G278="N/A",0,$I278)))))</f>
        <v>4.84</v>
      </c>
      <c r="K278" s="300">
        <f t="shared" si="8"/>
        <v>4.84</v>
      </c>
      <c r="L278" s="300">
        <f>$K278*'Model Data Inputs'!$B$168</f>
        <v>450.12</v>
      </c>
      <c r="M278" s="300">
        <f>$L278/'Model Data Inputs'!$B$169</f>
        <v>0.22416334661354581</v>
      </c>
      <c r="N278" s="300">
        <f>IF($G278="E",$M278*('Model Data Inputs'!$B$171-1),IF($G278="M",$M278*('Model Data Inputs'!$B$172-1),IF($G278="H",$M278*('Model Data Inputs'!$B$173-1),$M278*('Model Data Inputs'!$B$170-1))))</f>
        <v>0</v>
      </c>
      <c r="O278" s="300">
        <f t="shared" si="9"/>
        <v>0.22416334661354581</v>
      </c>
    </row>
    <row r="279" spans="1:15" s="40" customFormat="1" x14ac:dyDescent="0.2">
      <c r="A279" s="20" t="s">
        <v>60</v>
      </c>
      <c r="B279" s="20" t="s">
        <v>61</v>
      </c>
      <c r="C279" s="20" t="s">
        <v>1729</v>
      </c>
      <c r="D279" s="20" t="s">
        <v>1730</v>
      </c>
      <c r="E279" s="298">
        <v>4854</v>
      </c>
      <c r="F279" s="138" t="s">
        <v>1159</v>
      </c>
      <c r="G279" s="138" t="s">
        <v>1228</v>
      </c>
      <c r="H279" s="299">
        <f>'School Level ADM'!S186</f>
        <v>291.56</v>
      </c>
      <c r="I279" s="300">
        <v>15.38</v>
      </c>
      <c r="J279" s="300">
        <f>IF(OR($E279&lt;='Model Data Inputs'!$B$175,$F279="T"),$I279,IF($G279="E",'Model Data Inputs'!$B$176+$H279/'Model Data Inputs'!$B$179,IF($G279="M",'Model Data Inputs'!$B$177+$H279/'Model Data Inputs'!$B$179,IF($G279="H",'Model Data Inputs'!$B$178+$H279/'Model Data Inputs'!$B$179,IF($G279="N/A",0,$I279)))))</f>
        <v>15.38</v>
      </c>
      <c r="K279" s="300">
        <f t="shared" si="8"/>
        <v>15.38</v>
      </c>
      <c r="L279" s="300">
        <f>$K279*'Model Data Inputs'!$B$168</f>
        <v>1430.3400000000001</v>
      </c>
      <c r="M279" s="300">
        <f>$L279/'Model Data Inputs'!$B$169</f>
        <v>0.71232071713147416</v>
      </c>
      <c r="N279" s="300">
        <f>IF($G279="E",$M279*('Model Data Inputs'!$B$171-1),IF($G279="M",$M279*('Model Data Inputs'!$B$172-1),IF($G279="H",$M279*('Model Data Inputs'!$B$173-1),$M279*('Model Data Inputs'!$B$170-1))))</f>
        <v>1.0684810756972112</v>
      </c>
      <c r="O279" s="300">
        <f t="shared" si="9"/>
        <v>1.7808017928286852</v>
      </c>
    </row>
    <row r="280" spans="1:15" s="40" customFormat="1" x14ac:dyDescent="0.2">
      <c r="A280" s="20" t="s">
        <v>60</v>
      </c>
      <c r="B280" s="20" t="s">
        <v>61</v>
      </c>
      <c r="C280" s="20" t="s">
        <v>1731</v>
      </c>
      <c r="D280" s="20" t="s">
        <v>1732</v>
      </c>
      <c r="E280" s="298">
        <v>4854</v>
      </c>
      <c r="F280" s="138" t="s">
        <v>1159</v>
      </c>
      <c r="G280" s="138">
        <v>0</v>
      </c>
      <c r="H280" s="299" t="s">
        <v>1191</v>
      </c>
      <c r="I280" s="300">
        <v>1.82</v>
      </c>
      <c r="J280" s="300">
        <f>IF(OR($E280&lt;='Model Data Inputs'!$B$175,$F280="T"),$I280,IF($G280="E",'Model Data Inputs'!$B$176+$H280/'Model Data Inputs'!$B$179,IF($G280="M",'Model Data Inputs'!$B$177+$H280/'Model Data Inputs'!$B$179,IF($G280="H",'Model Data Inputs'!$B$178+$H280/'Model Data Inputs'!$B$179,IF($G280="N/A",0,$I280)))))</f>
        <v>1.82</v>
      </c>
      <c r="K280" s="300">
        <f t="shared" si="8"/>
        <v>0</v>
      </c>
      <c r="L280" s="300">
        <f>$K280*'Model Data Inputs'!$B$168</f>
        <v>0</v>
      </c>
      <c r="M280" s="300">
        <f>$L280/'Model Data Inputs'!$B$169</f>
        <v>0</v>
      </c>
      <c r="N280" s="300">
        <f>IF($G280="E",$M280*('Model Data Inputs'!$B$171-1),IF($G280="M",$M280*('Model Data Inputs'!$B$172-1),IF($G280="H",$M280*('Model Data Inputs'!$B$173-1),$M280*('Model Data Inputs'!$B$170-1))))</f>
        <v>0</v>
      </c>
      <c r="O280" s="300">
        <f t="shared" si="9"/>
        <v>0</v>
      </c>
    </row>
    <row r="281" spans="1:15" s="40" customFormat="1" x14ac:dyDescent="0.2">
      <c r="A281" s="20" t="s">
        <v>60</v>
      </c>
      <c r="B281" s="20" t="s">
        <v>61</v>
      </c>
      <c r="C281" s="20" t="s">
        <v>1733</v>
      </c>
      <c r="D281" s="20" t="s">
        <v>1734</v>
      </c>
      <c r="E281" s="298">
        <v>39317</v>
      </c>
      <c r="F281" s="138" t="s">
        <v>1159</v>
      </c>
      <c r="G281" s="138" t="s">
        <v>1198</v>
      </c>
      <c r="H281" s="299">
        <f>'School Level ADM'!S185</f>
        <v>261.02499999999998</v>
      </c>
      <c r="I281" s="300">
        <v>13.2</v>
      </c>
      <c r="J281" s="300">
        <f>IF(OR($E281&lt;='Model Data Inputs'!$B$175,$F281="T"),$I281,IF($G281="E",'Model Data Inputs'!$B$176+$H281/'Model Data Inputs'!$B$179,IF($G281="M",'Model Data Inputs'!$B$177+$H281/'Model Data Inputs'!$B$179,IF($G281="H",'Model Data Inputs'!$B$178+$H281/'Model Data Inputs'!$B$179,IF($G281="N/A",0,$I281)))))</f>
        <v>6.6102499999999997</v>
      </c>
      <c r="K281" s="300">
        <f t="shared" si="8"/>
        <v>6.6102499999999997</v>
      </c>
      <c r="L281" s="300">
        <f>$K281*'Model Data Inputs'!$B$168</f>
        <v>614.75324999999998</v>
      </c>
      <c r="M281" s="300">
        <f>$L281/'Model Data Inputs'!$B$169</f>
        <v>0.3061520169322709</v>
      </c>
      <c r="N281" s="300">
        <f>IF($G281="E",$M281*('Model Data Inputs'!$B$171-1),IF($G281="M",$M281*('Model Data Inputs'!$B$172-1),IF($G281="H",$M281*('Model Data Inputs'!$B$173-1),$M281*('Model Data Inputs'!$B$170-1))))</f>
        <v>0</v>
      </c>
      <c r="O281" s="300">
        <f t="shared" si="9"/>
        <v>0.3061520169322709</v>
      </c>
    </row>
    <row r="282" spans="1:15" s="40" customFormat="1" x14ac:dyDescent="0.2">
      <c r="A282" s="20" t="s">
        <v>60</v>
      </c>
      <c r="B282" s="20" t="s">
        <v>61</v>
      </c>
      <c r="C282" s="20" t="s">
        <v>1735</v>
      </c>
      <c r="D282" s="20" t="s">
        <v>1736</v>
      </c>
      <c r="E282" s="298">
        <v>40324</v>
      </c>
      <c r="F282" s="138" t="s">
        <v>1159</v>
      </c>
      <c r="G282" s="138">
        <v>0</v>
      </c>
      <c r="H282" s="299" t="s">
        <v>1191</v>
      </c>
      <c r="I282" s="300">
        <v>10.402999999999999</v>
      </c>
      <c r="J282" s="300">
        <f>IF(OR($E282&lt;='Model Data Inputs'!$B$175,$F282="T"),$I282,IF($G282="E",'Model Data Inputs'!$B$176+$H282/'Model Data Inputs'!$B$179,IF($G282="M",'Model Data Inputs'!$B$177+$H282/'Model Data Inputs'!$B$179,IF($G282="H",'Model Data Inputs'!$B$178+$H282/'Model Data Inputs'!$B$179,IF($G282="N/A",0,$I282)))))</f>
        <v>10.402999999999999</v>
      </c>
      <c r="K282" s="300">
        <f t="shared" si="8"/>
        <v>0</v>
      </c>
      <c r="L282" s="300">
        <f>$K282*'Model Data Inputs'!$B$168</f>
        <v>0</v>
      </c>
      <c r="M282" s="300">
        <f>$L282/'Model Data Inputs'!$B$169</f>
        <v>0</v>
      </c>
      <c r="N282" s="300">
        <f>IF($G282="E",$M282*('Model Data Inputs'!$B$171-1),IF($G282="M",$M282*('Model Data Inputs'!$B$172-1),IF($G282="H",$M282*('Model Data Inputs'!$B$173-1),$M282*('Model Data Inputs'!$B$170-1))))</f>
        <v>0</v>
      </c>
      <c r="O282" s="300">
        <f t="shared" si="9"/>
        <v>0</v>
      </c>
    </row>
    <row r="283" spans="1:15" s="40" customFormat="1" x14ac:dyDescent="0.2">
      <c r="A283" s="20" t="s">
        <v>60</v>
      </c>
      <c r="B283" s="20" t="s">
        <v>61</v>
      </c>
      <c r="C283" s="20" t="s">
        <v>1737</v>
      </c>
      <c r="D283" s="20" t="s">
        <v>1738</v>
      </c>
      <c r="E283" s="298">
        <v>40623</v>
      </c>
      <c r="F283" s="138" t="s">
        <v>1159</v>
      </c>
      <c r="G283" s="138" t="s">
        <v>1191</v>
      </c>
      <c r="H283" s="299" t="s">
        <v>1191</v>
      </c>
      <c r="I283" s="300">
        <v>10.1</v>
      </c>
      <c r="J283" s="300">
        <f>IF(OR($E283&lt;='Model Data Inputs'!$B$175,$F283="T"),$I283,IF($G283="E",'Model Data Inputs'!$B$176+$H283/'Model Data Inputs'!$B$179,IF($G283="M",'Model Data Inputs'!$B$177+$H283/'Model Data Inputs'!$B$179,IF($G283="H",'Model Data Inputs'!$B$178+$H283/'Model Data Inputs'!$B$179,IF($G283="N/A",0,$I283)))))</f>
        <v>0</v>
      </c>
      <c r="K283" s="300">
        <f t="shared" si="8"/>
        <v>0</v>
      </c>
      <c r="L283" s="300">
        <f>$K283*'Model Data Inputs'!$B$168</f>
        <v>0</v>
      </c>
      <c r="M283" s="300">
        <f>$L283/'Model Data Inputs'!$B$169</f>
        <v>0</v>
      </c>
      <c r="N283" s="300">
        <f>IF($G283="E",$M283*('Model Data Inputs'!$B$171-1),IF($G283="M",$M283*('Model Data Inputs'!$B$172-1),IF($G283="H",$M283*('Model Data Inputs'!$B$173-1),$M283*('Model Data Inputs'!$B$170-1))))</f>
        <v>0</v>
      </c>
      <c r="O283" s="300">
        <f t="shared" si="9"/>
        <v>0</v>
      </c>
    </row>
    <row r="284" spans="1:15" s="40" customFormat="1" x14ac:dyDescent="0.2">
      <c r="A284" s="20" t="s">
        <v>62</v>
      </c>
      <c r="B284" s="20" t="s">
        <v>63</v>
      </c>
      <c r="C284" s="20" t="s">
        <v>1739</v>
      </c>
      <c r="D284" s="20" t="s">
        <v>1740</v>
      </c>
      <c r="E284" s="298">
        <v>19443</v>
      </c>
      <c r="F284" s="138" t="s">
        <v>1159</v>
      </c>
      <c r="G284" s="138">
        <v>0</v>
      </c>
      <c r="H284" s="299" t="s">
        <v>1191</v>
      </c>
      <c r="I284" s="300">
        <v>4.0199999999999996</v>
      </c>
      <c r="J284" s="300">
        <f>IF(OR($E284&lt;='Model Data Inputs'!$B$175,$F284="T"),$I284,IF($G284="E",'Model Data Inputs'!$B$176+$H284/'Model Data Inputs'!$B$179,IF($G284="M",'Model Data Inputs'!$B$177+$H284/'Model Data Inputs'!$B$179,IF($G284="H",'Model Data Inputs'!$B$178+$H284/'Model Data Inputs'!$B$179,IF($G284="N/A",0,$I284)))))</f>
        <v>4.0199999999999996</v>
      </c>
      <c r="K284" s="300">
        <f t="shared" si="8"/>
        <v>0</v>
      </c>
      <c r="L284" s="300">
        <f>$K284*'Model Data Inputs'!$B$168</f>
        <v>0</v>
      </c>
      <c r="M284" s="300">
        <f>$L284/'Model Data Inputs'!$B$169</f>
        <v>0</v>
      </c>
      <c r="N284" s="300">
        <f>IF($G284="E",$M284*('Model Data Inputs'!$B$171-1),IF($G284="M",$M284*('Model Data Inputs'!$B$172-1),IF($G284="H",$M284*('Model Data Inputs'!$B$173-1),$M284*('Model Data Inputs'!$B$170-1))))</f>
        <v>0</v>
      </c>
      <c r="O284" s="300">
        <f t="shared" si="9"/>
        <v>0</v>
      </c>
    </row>
    <row r="285" spans="1:15" s="40" customFormat="1" x14ac:dyDescent="0.2">
      <c r="A285" s="20" t="s">
        <v>62</v>
      </c>
      <c r="B285" s="20" t="s">
        <v>63</v>
      </c>
      <c r="C285" s="20" t="s">
        <v>1741</v>
      </c>
      <c r="D285" s="20" t="s">
        <v>1742</v>
      </c>
      <c r="E285" s="298">
        <v>29941</v>
      </c>
      <c r="F285" s="138" t="s">
        <v>1159</v>
      </c>
      <c r="G285" s="138" t="s">
        <v>1191</v>
      </c>
      <c r="H285" s="299" t="s">
        <v>1191</v>
      </c>
      <c r="I285" s="300">
        <v>1.02</v>
      </c>
      <c r="J285" s="300">
        <f>IF(OR($E285&lt;='Model Data Inputs'!$B$175,$F285="T"),$I285,IF($G285="E",'Model Data Inputs'!$B$176+$H285/'Model Data Inputs'!$B$179,IF($G285="M",'Model Data Inputs'!$B$177+$H285/'Model Data Inputs'!$B$179,IF($G285="H",'Model Data Inputs'!$B$178+$H285/'Model Data Inputs'!$B$179,IF($G285="N/A",0,$I285)))))</f>
        <v>1.02</v>
      </c>
      <c r="K285" s="300">
        <f t="shared" si="8"/>
        <v>0</v>
      </c>
      <c r="L285" s="300">
        <f>$K285*'Model Data Inputs'!$B$168</f>
        <v>0</v>
      </c>
      <c r="M285" s="300">
        <f>$L285/'Model Data Inputs'!$B$169</f>
        <v>0</v>
      </c>
      <c r="N285" s="300">
        <f>IF($G285="E",$M285*('Model Data Inputs'!$B$171-1),IF($G285="M",$M285*('Model Data Inputs'!$B$172-1),IF($G285="H",$M285*('Model Data Inputs'!$B$173-1),$M285*('Model Data Inputs'!$B$170-1))))</f>
        <v>0</v>
      </c>
      <c r="O285" s="300">
        <f t="shared" si="9"/>
        <v>0</v>
      </c>
    </row>
    <row r="286" spans="1:15" s="40" customFormat="1" x14ac:dyDescent="0.2">
      <c r="A286" s="20" t="s">
        <v>62</v>
      </c>
      <c r="B286" s="20" t="s">
        <v>63</v>
      </c>
      <c r="C286" s="20" t="s">
        <v>1743</v>
      </c>
      <c r="D286" s="20" t="s">
        <v>1744</v>
      </c>
      <c r="E286" s="298">
        <v>21306</v>
      </c>
      <c r="F286" s="138" t="s">
        <v>1159</v>
      </c>
      <c r="G286" s="138" t="s">
        <v>1198</v>
      </c>
      <c r="H286" s="299">
        <f>'School Level ADM'!S188</f>
        <v>145.78</v>
      </c>
      <c r="I286" s="300">
        <v>10.1</v>
      </c>
      <c r="J286" s="300">
        <f>IF(OR($E286&lt;='Model Data Inputs'!$B$175,$F286="T"),$I286,IF($G286="E",'Model Data Inputs'!$B$176+$H286/'Model Data Inputs'!$B$179,IF($G286="M",'Model Data Inputs'!$B$177+$H286/'Model Data Inputs'!$B$179,IF($G286="H",'Model Data Inputs'!$B$178+$H286/'Model Data Inputs'!$B$179,IF($G286="N/A",0,$I286)))))</f>
        <v>10.1</v>
      </c>
      <c r="K286" s="300">
        <f t="shared" si="8"/>
        <v>10.1</v>
      </c>
      <c r="L286" s="300">
        <f>$K286*'Model Data Inputs'!$B$168</f>
        <v>939.3</v>
      </c>
      <c r="M286" s="300">
        <f>$L286/'Model Data Inputs'!$B$169</f>
        <v>0.46777888446215138</v>
      </c>
      <c r="N286" s="300">
        <f>IF($G286="E",$M286*('Model Data Inputs'!$B$171-1),IF($G286="M",$M286*('Model Data Inputs'!$B$172-1),IF($G286="H",$M286*('Model Data Inputs'!$B$173-1),$M286*('Model Data Inputs'!$B$170-1))))</f>
        <v>0</v>
      </c>
      <c r="O286" s="300">
        <f t="shared" si="9"/>
        <v>0.46777888446215138</v>
      </c>
    </row>
    <row r="287" spans="1:15" s="40" customFormat="1" x14ac:dyDescent="0.2">
      <c r="A287" s="20" t="s">
        <v>62</v>
      </c>
      <c r="B287" s="20" t="s">
        <v>63</v>
      </c>
      <c r="C287" s="20" t="s">
        <v>1745</v>
      </c>
      <c r="D287" s="20" t="s">
        <v>1746</v>
      </c>
      <c r="E287" s="298">
        <v>30327</v>
      </c>
      <c r="F287" s="138" t="s">
        <v>1159</v>
      </c>
      <c r="G287" s="138">
        <v>0</v>
      </c>
      <c r="H287" s="299" t="s">
        <v>1191</v>
      </c>
      <c r="I287" s="300">
        <v>7.42</v>
      </c>
      <c r="J287" s="300">
        <f>IF(OR($E287&lt;='Model Data Inputs'!$B$175,$F287="T"),$I287,IF($G287="E",'Model Data Inputs'!$B$176+$H287/'Model Data Inputs'!$B$179,IF($G287="M",'Model Data Inputs'!$B$177+$H287/'Model Data Inputs'!$B$179,IF($G287="H",'Model Data Inputs'!$B$178+$H287/'Model Data Inputs'!$B$179,IF($G287="N/A",0,$I287)))))</f>
        <v>7.42</v>
      </c>
      <c r="K287" s="300">
        <f t="shared" si="8"/>
        <v>0</v>
      </c>
      <c r="L287" s="300">
        <f>$K287*'Model Data Inputs'!$B$168</f>
        <v>0</v>
      </c>
      <c r="M287" s="300">
        <f>$L287/'Model Data Inputs'!$B$169</f>
        <v>0</v>
      </c>
      <c r="N287" s="300">
        <f>IF($G287="E",$M287*('Model Data Inputs'!$B$171-1),IF($G287="M",$M287*('Model Data Inputs'!$B$172-1),IF($G287="H",$M287*('Model Data Inputs'!$B$173-1),$M287*('Model Data Inputs'!$B$170-1))))</f>
        <v>0</v>
      </c>
      <c r="O287" s="300">
        <f t="shared" si="9"/>
        <v>0</v>
      </c>
    </row>
    <row r="288" spans="1:15" s="40" customFormat="1" x14ac:dyDescent="0.2">
      <c r="A288" s="20" t="s">
        <v>62</v>
      </c>
      <c r="B288" s="20" t="s">
        <v>63</v>
      </c>
      <c r="C288" s="20" t="s">
        <v>1747</v>
      </c>
      <c r="D288" s="20" t="s">
        <v>1748</v>
      </c>
      <c r="E288" s="298">
        <v>21306</v>
      </c>
      <c r="F288" s="138" t="s">
        <v>1159</v>
      </c>
      <c r="G288" s="138" t="s">
        <v>1198</v>
      </c>
      <c r="H288" s="299">
        <f>'School Level ADM'!S189</f>
        <v>197</v>
      </c>
      <c r="I288" s="300">
        <v>10.8</v>
      </c>
      <c r="J288" s="300">
        <f>IF(OR($E288&lt;='Model Data Inputs'!$B$175,$F288="T"),$I288,IF($G288="E",'Model Data Inputs'!$B$176+$H288/'Model Data Inputs'!$B$179,IF($G288="M",'Model Data Inputs'!$B$177+$H288/'Model Data Inputs'!$B$179,IF($G288="H",'Model Data Inputs'!$B$178+$H288/'Model Data Inputs'!$B$179,IF($G288="N/A",0,$I288)))))</f>
        <v>10.8</v>
      </c>
      <c r="K288" s="300">
        <f t="shared" si="8"/>
        <v>10.8</v>
      </c>
      <c r="L288" s="300">
        <f>$K288*'Model Data Inputs'!$B$168</f>
        <v>1004.4000000000001</v>
      </c>
      <c r="M288" s="300">
        <f>$L288/'Model Data Inputs'!$B$169</f>
        <v>0.50019920318725108</v>
      </c>
      <c r="N288" s="300">
        <f>IF($G288="E",$M288*('Model Data Inputs'!$B$171-1),IF($G288="M",$M288*('Model Data Inputs'!$B$172-1),IF($G288="H",$M288*('Model Data Inputs'!$B$173-1),$M288*('Model Data Inputs'!$B$170-1))))</f>
        <v>0</v>
      </c>
      <c r="O288" s="300">
        <f t="shared" si="9"/>
        <v>0.50019920318725108</v>
      </c>
    </row>
    <row r="289" spans="1:15" s="40" customFormat="1" x14ac:dyDescent="0.2">
      <c r="A289" s="20" t="s">
        <v>62</v>
      </c>
      <c r="B289" s="20" t="s">
        <v>63</v>
      </c>
      <c r="C289" s="20" t="s">
        <v>1749</v>
      </c>
      <c r="D289" s="20" t="s">
        <v>1750</v>
      </c>
      <c r="E289" s="298">
        <v>21306</v>
      </c>
      <c r="F289" s="138" t="s">
        <v>1159</v>
      </c>
      <c r="G289" s="138" t="s">
        <v>1228</v>
      </c>
      <c r="H289" s="299">
        <f>'School Level ADM'!S191</f>
        <v>244.28</v>
      </c>
      <c r="I289" s="300">
        <v>36.83</v>
      </c>
      <c r="J289" s="300">
        <f>IF(OR($E289&lt;='Model Data Inputs'!$B$175,$F289="T"),$I289,IF($G289="E",'Model Data Inputs'!$B$176+$H289/'Model Data Inputs'!$B$179,IF($G289="M",'Model Data Inputs'!$B$177+$H289/'Model Data Inputs'!$B$179,IF($G289="H",'Model Data Inputs'!$B$178+$H289/'Model Data Inputs'!$B$179,IF($G289="N/A",0,$I289)))))</f>
        <v>36.83</v>
      </c>
      <c r="K289" s="300">
        <f t="shared" si="8"/>
        <v>36.83</v>
      </c>
      <c r="L289" s="300">
        <f>$K289*'Model Data Inputs'!$B$168</f>
        <v>3425.19</v>
      </c>
      <c r="M289" s="300">
        <f>$L289/'Model Data Inputs'!$B$169</f>
        <v>1.7057719123505977</v>
      </c>
      <c r="N289" s="300">
        <f>IF($G289="E",$M289*('Model Data Inputs'!$B$171-1),IF($G289="M",$M289*('Model Data Inputs'!$B$172-1),IF($G289="H",$M289*('Model Data Inputs'!$B$173-1),$M289*('Model Data Inputs'!$B$170-1))))</f>
        <v>2.5586578685258967</v>
      </c>
      <c r="O289" s="300">
        <f t="shared" si="9"/>
        <v>4.2644297808764939</v>
      </c>
    </row>
    <row r="290" spans="1:15" s="40" customFormat="1" x14ac:dyDescent="0.2">
      <c r="A290" s="20" t="s">
        <v>62</v>
      </c>
      <c r="B290" s="20" t="s">
        <v>63</v>
      </c>
      <c r="C290" s="20" t="s">
        <v>1751</v>
      </c>
      <c r="D290" s="20" t="s">
        <v>1558</v>
      </c>
      <c r="E290" s="298">
        <v>21306</v>
      </c>
      <c r="F290" s="138" t="s">
        <v>1159</v>
      </c>
      <c r="G290" s="138">
        <v>0</v>
      </c>
      <c r="H290" s="299" t="s">
        <v>1191</v>
      </c>
      <c r="I290" s="300">
        <v>2.42</v>
      </c>
      <c r="J290" s="300">
        <f>IF(OR($E290&lt;='Model Data Inputs'!$B$175,$F290="T"),$I290,IF($G290="E",'Model Data Inputs'!$B$176+$H290/'Model Data Inputs'!$B$179,IF($G290="M",'Model Data Inputs'!$B$177+$H290/'Model Data Inputs'!$B$179,IF($G290="H",'Model Data Inputs'!$B$178+$H290/'Model Data Inputs'!$B$179,IF($G290="N/A",0,$I290)))))</f>
        <v>2.42</v>
      </c>
      <c r="K290" s="300">
        <f t="shared" si="8"/>
        <v>0</v>
      </c>
      <c r="L290" s="300">
        <f>$K290*'Model Data Inputs'!$B$168</f>
        <v>0</v>
      </c>
      <c r="M290" s="300">
        <f>$L290/'Model Data Inputs'!$B$169</f>
        <v>0</v>
      </c>
      <c r="N290" s="300">
        <f>IF($G290="E",$M290*('Model Data Inputs'!$B$171-1),IF($G290="M",$M290*('Model Data Inputs'!$B$172-1),IF($G290="H",$M290*('Model Data Inputs'!$B$173-1),$M290*('Model Data Inputs'!$B$170-1))))</f>
        <v>0</v>
      </c>
      <c r="O290" s="300">
        <f t="shared" si="9"/>
        <v>0</v>
      </c>
    </row>
    <row r="291" spans="1:15" s="40" customFormat="1" x14ac:dyDescent="0.2">
      <c r="A291" s="20" t="s">
        <v>62</v>
      </c>
      <c r="B291" s="20" t="s">
        <v>63</v>
      </c>
      <c r="C291" s="20" t="s">
        <v>1752</v>
      </c>
      <c r="D291" s="20" t="s">
        <v>748</v>
      </c>
      <c r="E291" s="298">
        <v>29941</v>
      </c>
      <c r="F291" s="138" t="s">
        <v>1159</v>
      </c>
      <c r="G291" s="138" t="s">
        <v>1228</v>
      </c>
      <c r="H291" s="299">
        <f>'School Level ADM'!S190</f>
        <v>16.745000000000001</v>
      </c>
      <c r="I291" s="300">
        <v>1.01</v>
      </c>
      <c r="J291" s="300">
        <f>IF(OR($E291&lt;='Model Data Inputs'!$B$175,$F291="T"),$I291,IF($G291="E",'Model Data Inputs'!$B$176+$H291/'Model Data Inputs'!$B$179,IF($G291="M",'Model Data Inputs'!$B$177+$H291/'Model Data Inputs'!$B$179,IF($G291="H",'Model Data Inputs'!$B$178+$H291/'Model Data Inputs'!$B$179,IF($G291="N/A",0,$I291)))))</f>
        <v>1.01</v>
      </c>
      <c r="K291" s="300">
        <f t="shared" si="8"/>
        <v>1.01</v>
      </c>
      <c r="L291" s="300">
        <f>$K291*'Model Data Inputs'!$B$168</f>
        <v>93.93</v>
      </c>
      <c r="M291" s="300">
        <f>$L291/'Model Data Inputs'!$B$169</f>
        <v>4.6777888446215145E-2</v>
      </c>
      <c r="N291" s="300">
        <f>IF($G291="E",$M291*('Model Data Inputs'!$B$171-1),IF($G291="M",$M291*('Model Data Inputs'!$B$172-1),IF($G291="H",$M291*('Model Data Inputs'!$B$173-1),$M291*('Model Data Inputs'!$B$170-1))))</f>
        <v>7.0166832669322721E-2</v>
      </c>
      <c r="O291" s="300">
        <f t="shared" si="9"/>
        <v>0.11694472111553786</v>
      </c>
    </row>
    <row r="292" spans="1:15" s="40" customFormat="1" x14ac:dyDescent="0.2">
      <c r="A292" s="20" t="s">
        <v>62</v>
      </c>
      <c r="B292" s="20" t="s">
        <v>63</v>
      </c>
      <c r="C292" s="20" t="s">
        <v>1753</v>
      </c>
      <c r="D292" s="20" t="s">
        <v>1754</v>
      </c>
      <c r="E292" s="298">
        <v>35612</v>
      </c>
      <c r="F292" s="138" t="s">
        <v>1159</v>
      </c>
      <c r="G292" s="138">
        <v>0</v>
      </c>
      <c r="H292" s="299" t="s">
        <v>1191</v>
      </c>
      <c r="I292" s="300">
        <v>3</v>
      </c>
      <c r="J292" s="300">
        <f>IF(OR($E292&lt;='Model Data Inputs'!$B$175,$F292="T"),$I292,IF($G292="E",'Model Data Inputs'!$B$176+$H292/'Model Data Inputs'!$B$179,IF($G292="M",'Model Data Inputs'!$B$177+$H292/'Model Data Inputs'!$B$179,IF($G292="H",'Model Data Inputs'!$B$178+$H292/'Model Data Inputs'!$B$179,IF($G292="N/A",0,$I292)))))</f>
        <v>3</v>
      </c>
      <c r="K292" s="300">
        <f t="shared" si="8"/>
        <v>0</v>
      </c>
      <c r="L292" s="300">
        <f>$K292*'Model Data Inputs'!$B$168</f>
        <v>0</v>
      </c>
      <c r="M292" s="300">
        <f>$L292/'Model Data Inputs'!$B$169</f>
        <v>0</v>
      </c>
      <c r="N292" s="300">
        <f>IF($G292="E",$M292*('Model Data Inputs'!$B$171-1),IF($G292="M",$M292*('Model Data Inputs'!$B$172-1),IF($G292="H",$M292*('Model Data Inputs'!$B$173-1),$M292*('Model Data Inputs'!$B$170-1))))</f>
        <v>0</v>
      </c>
      <c r="O292" s="300">
        <f t="shared" si="9"/>
        <v>0</v>
      </c>
    </row>
    <row r="293" spans="1:15" s="40" customFormat="1" x14ac:dyDescent="0.2">
      <c r="A293" s="20" t="s">
        <v>62</v>
      </c>
      <c r="B293" s="20" t="s">
        <v>63</v>
      </c>
      <c r="C293" s="20" t="s">
        <v>1755</v>
      </c>
      <c r="D293" s="20" t="s">
        <v>1756</v>
      </c>
      <c r="E293" s="298">
        <v>19443</v>
      </c>
      <c r="F293" s="138" t="s">
        <v>1159</v>
      </c>
      <c r="G293" s="138">
        <v>0</v>
      </c>
      <c r="H293" s="299" t="s">
        <v>1191</v>
      </c>
      <c r="I293" s="300">
        <v>29.03</v>
      </c>
      <c r="J293" s="300">
        <f>IF(OR($E293&lt;='Model Data Inputs'!$B$175,$F293="T"),$I293,IF($G293="E",'Model Data Inputs'!$B$176+$H293/'Model Data Inputs'!$B$179,IF($G293="M",'Model Data Inputs'!$B$177+$H293/'Model Data Inputs'!$B$179,IF($G293="H",'Model Data Inputs'!$B$178+$H293/'Model Data Inputs'!$B$179,IF($G293="N/A",0,$I293)))))</f>
        <v>29.03</v>
      </c>
      <c r="K293" s="300">
        <f t="shared" si="8"/>
        <v>0</v>
      </c>
      <c r="L293" s="300">
        <f>$K293*'Model Data Inputs'!$B$168</f>
        <v>0</v>
      </c>
      <c r="M293" s="300">
        <f>$L293/'Model Data Inputs'!$B$169</f>
        <v>0</v>
      </c>
      <c r="N293" s="300">
        <f>IF($G293="E",$M293*('Model Data Inputs'!$B$171-1),IF($G293="M",$M293*('Model Data Inputs'!$B$172-1),IF($G293="H",$M293*('Model Data Inputs'!$B$173-1),$M293*('Model Data Inputs'!$B$170-1))))</f>
        <v>0</v>
      </c>
      <c r="O293" s="300">
        <f t="shared" si="9"/>
        <v>0</v>
      </c>
    </row>
    <row r="294" spans="1:15" s="40" customFormat="1" x14ac:dyDescent="0.2">
      <c r="A294" s="20" t="s">
        <v>64</v>
      </c>
      <c r="B294" s="20" t="s">
        <v>65</v>
      </c>
      <c r="C294" s="20" t="s">
        <v>1757</v>
      </c>
      <c r="D294" s="20" t="s">
        <v>1758</v>
      </c>
      <c r="E294" s="298">
        <v>35612</v>
      </c>
      <c r="F294" s="138" t="s">
        <v>1159</v>
      </c>
      <c r="G294" s="138" t="s">
        <v>1228</v>
      </c>
      <c r="H294" s="299">
        <f>'School Level ADM'!S200</f>
        <v>42.354999999999997</v>
      </c>
      <c r="I294" s="300">
        <v>3.15</v>
      </c>
      <c r="J294" s="300">
        <f>IF(OR($E294&lt;='Model Data Inputs'!$B$175,$F294="T"),$I294,IF($G294="E",'Model Data Inputs'!$B$176+$H294/'Model Data Inputs'!$B$179,IF($G294="M",'Model Data Inputs'!$B$177+$H294/'Model Data Inputs'!$B$179,IF($G294="H",'Model Data Inputs'!$B$178+$H294/'Model Data Inputs'!$B$179,IF($G294="N/A",0,$I294)))))</f>
        <v>3.15</v>
      </c>
      <c r="K294" s="300">
        <f t="shared" si="8"/>
        <v>3.15</v>
      </c>
      <c r="L294" s="300">
        <f>$K294*'Model Data Inputs'!$B$168</f>
        <v>292.95</v>
      </c>
      <c r="M294" s="300">
        <f>$L294/'Model Data Inputs'!$B$169</f>
        <v>0.14589143426294821</v>
      </c>
      <c r="N294" s="300">
        <f>IF($G294="E",$M294*('Model Data Inputs'!$B$171-1),IF($G294="M",$M294*('Model Data Inputs'!$B$172-1),IF($G294="H",$M294*('Model Data Inputs'!$B$173-1),$M294*('Model Data Inputs'!$B$170-1))))</f>
        <v>0.21883715139442231</v>
      </c>
      <c r="O294" s="300">
        <f t="shared" si="9"/>
        <v>0.36472858565737054</v>
      </c>
    </row>
    <row r="295" spans="1:15" s="40" customFormat="1" x14ac:dyDescent="0.2">
      <c r="A295" s="20" t="s">
        <v>64</v>
      </c>
      <c r="B295" s="20" t="s">
        <v>65</v>
      </c>
      <c r="C295" s="20" t="s">
        <v>1759</v>
      </c>
      <c r="D295" s="20" t="s">
        <v>1760</v>
      </c>
      <c r="E295" s="298">
        <v>35612</v>
      </c>
      <c r="F295" s="138" t="s">
        <v>1159</v>
      </c>
      <c r="G295" s="138">
        <v>0</v>
      </c>
      <c r="H295" s="299" t="s">
        <v>1191</v>
      </c>
      <c r="I295" s="300">
        <v>9.07</v>
      </c>
      <c r="J295" s="300">
        <f>IF(OR($E295&lt;='Model Data Inputs'!$B$175,$F295="T"),$I295,IF($G295="E",'Model Data Inputs'!$B$176+$H295/'Model Data Inputs'!$B$179,IF($G295="M",'Model Data Inputs'!$B$177+$H295/'Model Data Inputs'!$B$179,IF($G295="H",'Model Data Inputs'!$B$178+$H295/'Model Data Inputs'!$B$179,IF($G295="N/A",0,$I295)))))</f>
        <v>9.07</v>
      </c>
      <c r="K295" s="300">
        <f t="shared" si="8"/>
        <v>0</v>
      </c>
      <c r="L295" s="300">
        <f>$K295*'Model Data Inputs'!$B$168</f>
        <v>0</v>
      </c>
      <c r="M295" s="300">
        <f>$L295/'Model Data Inputs'!$B$169</f>
        <v>0</v>
      </c>
      <c r="N295" s="300">
        <f>IF($G295="E",$M295*('Model Data Inputs'!$B$171-1),IF($G295="M",$M295*('Model Data Inputs'!$B$172-1),IF($G295="H",$M295*('Model Data Inputs'!$B$173-1),$M295*('Model Data Inputs'!$B$170-1))))</f>
        <v>0</v>
      </c>
      <c r="O295" s="300">
        <f t="shared" si="9"/>
        <v>0</v>
      </c>
    </row>
    <row r="296" spans="1:15" s="40" customFormat="1" x14ac:dyDescent="0.2">
      <c r="A296" s="20" t="s">
        <v>64</v>
      </c>
      <c r="B296" s="20" t="s">
        <v>65</v>
      </c>
      <c r="C296" s="20" t="s">
        <v>1761</v>
      </c>
      <c r="D296" s="20" t="s">
        <v>1762</v>
      </c>
      <c r="E296" s="298">
        <v>35612</v>
      </c>
      <c r="F296" s="138" t="s">
        <v>1159</v>
      </c>
      <c r="G296" s="138">
        <v>0</v>
      </c>
      <c r="H296" s="299" t="s">
        <v>1191</v>
      </c>
      <c r="I296" s="300">
        <v>6.5</v>
      </c>
      <c r="J296" s="300">
        <f>IF(OR($E296&lt;='Model Data Inputs'!$B$175,$F296="T"),$I296,IF($G296="E",'Model Data Inputs'!$B$176+$H296/'Model Data Inputs'!$B$179,IF($G296="M",'Model Data Inputs'!$B$177+$H296/'Model Data Inputs'!$B$179,IF($G296="H",'Model Data Inputs'!$B$178+$H296/'Model Data Inputs'!$B$179,IF($G296="N/A",0,$I296)))))</f>
        <v>6.5</v>
      </c>
      <c r="K296" s="300">
        <f t="shared" si="8"/>
        <v>0</v>
      </c>
      <c r="L296" s="300">
        <f>$K296*'Model Data Inputs'!$B$168</f>
        <v>0</v>
      </c>
      <c r="M296" s="300">
        <f>$L296/'Model Data Inputs'!$B$169</f>
        <v>0</v>
      </c>
      <c r="N296" s="300">
        <f>IF($G296="E",$M296*('Model Data Inputs'!$B$171-1),IF($G296="M",$M296*('Model Data Inputs'!$B$172-1),IF($G296="H",$M296*('Model Data Inputs'!$B$173-1),$M296*('Model Data Inputs'!$B$170-1))))</f>
        <v>0</v>
      </c>
      <c r="O296" s="300">
        <f t="shared" si="9"/>
        <v>0</v>
      </c>
    </row>
    <row r="297" spans="1:15" s="40" customFormat="1" x14ac:dyDescent="0.2">
      <c r="A297" s="20" t="s">
        <v>64</v>
      </c>
      <c r="B297" s="20" t="s">
        <v>65</v>
      </c>
      <c r="C297" s="20" t="s">
        <v>1763</v>
      </c>
      <c r="D297" s="20" t="s">
        <v>1764</v>
      </c>
      <c r="E297" s="298">
        <v>30404</v>
      </c>
      <c r="F297" s="138" t="s">
        <v>1159</v>
      </c>
      <c r="G297" s="138" t="s">
        <v>1198</v>
      </c>
      <c r="H297" s="299">
        <f>'School Level ADM'!S193</f>
        <v>127.06500000000001</v>
      </c>
      <c r="I297" s="300">
        <v>10.282999999999999</v>
      </c>
      <c r="J297" s="300">
        <f>IF(OR($E297&lt;='Model Data Inputs'!$B$175,$F297="T"),$I297,IF($G297="E",'Model Data Inputs'!$B$176+$H297/'Model Data Inputs'!$B$179,IF($G297="M",'Model Data Inputs'!$B$177+$H297/'Model Data Inputs'!$B$179,IF($G297="H",'Model Data Inputs'!$B$178+$H297/'Model Data Inputs'!$B$179,IF($G297="N/A",0,$I297)))))</f>
        <v>10.282999999999999</v>
      </c>
      <c r="K297" s="300">
        <f t="shared" si="8"/>
        <v>10.282999999999999</v>
      </c>
      <c r="L297" s="300">
        <f>$K297*'Model Data Inputs'!$B$168</f>
        <v>956.31899999999996</v>
      </c>
      <c r="M297" s="300">
        <f>$L297/'Model Data Inputs'!$B$169</f>
        <v>0.47625448207171311</v>
      </c>
      <c r="N297" s="300">
        <f>IF($G297="E",$M297*('Model Data Inputs'!$B$171-1),IF($G297="M",$M297*('Model Data Inputs'!$B$172-1),IF($G297="H",$M297*('Model Data Inputs'!$B$173-1),$M297*('Model Data Inputs'!$B$170-1))))</f>
        <v>0</v>
      </c>
      <c r="O297" s="300">
        <f t="shared" si="9"/>
        <v>0.47625448207171311</v>
      </c>
    </row>
    <row r="298" spans="1:15" s="40" customFormat="1" x14ac:dyDescent="0.2">
      <c r="A298" s="20" t="s">
        <v>64</v>
      </c>
      <c r="B298" s="20" t="s">
        <v>65</v>
      </c>
      <c r="C298" s="20" t="s">
        <v>1765</v>
      </c>
      <c r="D298" s="20" t="s">
        <v>1766</v>
      </c>
      <c r="E298" s="298">
        <v>28994</v>
      </c>
      <c r="F298" s="138" t="s">
        <v>1159</v>
      </c>
      <c r="G298" s="138" t="s">
        <v>1198</v>
      </c>
      <c r="H298" s="299">
        <f>'School Level ADM'!S196</f>
        <v>354.6</v>
      </c>
      <c r="I298" s="300">
        <v>20.213999999999999</v>
      </c>
      <c r="J298" s="300">
        <f>IF(OR($E298&lt;='Model Data Inputs'!$B$175,$F298="T"),$I298,IF($G298="E",'Model Data Inputs'!$B$176+$H298/'Model Data Inputs'!$B$179,IF($G298="M",'Model Data Inputs'!$B$177+$H298/'Model Data Inputs'!$B$179,IF($G298="H",'Model Data Inputs'!$B$178+$H298/'Model Data Inputs'!$B$179,IF($G298="N/A",0,$I298)))))</f>
        <v>20.213999999999999</v>
      </c>
      <c r="K298" s="300">
        <f t="shared" si="8"/>
        <v>20.213999999999999</v>
      </c>
      <c r="L298" s="300">
        <f>$K298*'Model Data Inputs'!$B$168</f>
        <v>1879.9019999999998</v>
      </c>
      <c r="M298" s="300">
        <f>$L298/'Model Data Inputs'!$B$169</f>
        <v>0.93620617529880468</v>
      </c>
      <c r="N298" s="300">
        <f>IF($G298="E",$M298*('Model Data Inputs'!$B$171-1),IF($G298="M",$M298*('Model Data Inputs'!$B$172-1),IF($G298="H",$M298*('Model Data Inputs'!$B$173-1),$M298*('Model Data Inputs'!$B$170-1))))</f>
        <v>0</v>
      </c>
      <c r="O298" s="300">
        <f t="shared" si="9"/>
        <v>0.93620617529880468</v>
      </c>
    </row>
    <row r="299" spans="1:15" s="40" customFormat="1" x14ac:dyDescent="0.2">
      <c r="A299" s="20" t="s">
        <v>64</v>
      </c>
      <c r="B299" s="20" t="s">
        <v>65</v>
      </c>
      <c r="C299" s="20" t="s">
        <v>1767</v>
      </c>
      <c r="D299" s="20" t="s">
        <v>1768</v>
      </c>
      <c r="E299" s="298">
        <v>35612</v>
      </c>
      <c r="F299" s="138" t="s">
        <v>1159</v>
      </c>
      <c r="G299" s="138" t="s">
        <v>1205</v>
      </c>
      <c r="H299" s="299">
        <f>'School Level ADM'!S197</f>
        <v>397.94</v>
      </c>
      <c r="I299" s="300">
        <v>25.18</v>
      </c>
      <c r="J299" s="300">
        <f>IF(OR($E299&lt;='Model Data Inputs'!$B$175,$F299="T"),$I299,IF($G299="E",'Model Data Inputs'!$B$176+$H299/'Model Data Inputs'!$B$179,IF($G299="M",'Model Data Inputs'!$B$177+$H299/'Model Data Inputs'!$B$179,IF($G299="H",'Model Data Inputs'!$B$178+$H299/'Model Data Inputs'!$B$179,IF($G299="N/A",0,$I299)))))</f>
        <v>25.18</v>
      </c>
      <c r="K299" s="300">
        <f t="shared" si="8"/>
        <v>25.18</v>
      </c>
      <c r="L299" s="300">
        <f>$K299*'Model Data Inputs'!$B$168</f>
        <v>2341.7399999999998</v>
      </c>
      <c r="M299" s="300">
        <f>$L299/'Model Data Inputs'!$B$169</f>
        <v>1.1662051792828685</v>
      </c>
      <c r="N299" s="300">
        <f>IF($G299="E",$M299*('Model Data Inputs'!$B$171-1),IF($G299="M",$M299*('Model Data Inputs'!$B$172-1),IF($G299="H",$M299*('Model Data Inputs'!$B$173-1),$M299*('Model Data Inputs'!$B$170-1))))</f>
        <v>0.58310258964143424</v>
      </c>
      <c r="O299" s="300">
        <f t="shared" si="9"/>
        <v>1.7493077689243028</v>
      </c>
    </row>
    <row r="300" spans="1:15" s="40" customFormat="1" x14ac:dyDescent="0.2">
      <c r="A300" s="20" t="s">
        <v>64</v>
      </c>
      <c r="B300" s="20" t="s">
        <v>65</v>
      </c>
      <c r="C300" s="20" t="s">
        <v>1769</v>
      </c>
      <c r="D300" s="20" t="s">
        <v>1770</v>
      </c>
      <c r="E300" s="298">
        <v>35612</v>
      </c>
      <c r="F300" s="138" t="s">
        <v>1159</v>
      </c>
      <c r="G300" s="138" t="s">
        <v>1228</v>
      </c>
      <c r="H300" s="299">
        <f>'School Level ADM'!S199</f>
        <v>716.09500000000003</v>
      </c>
      <c r="I300" s="300">
        <v>58</v>
      </c>
      <c r="J300" s="300">
        <f>IF(OR($E300&lt;='Model Data Inputs'!$B$175,$F300="T"),$I300,IF($G300="E",'Model Data Inputs'!$B$176+$H300/'Model Data Inputs'!$B$179,IF($G300="M",'Model Data Inputs'!$B$177+$H300/'Model Data Inputs'!$B$179,IF($G300="H",'Model Data Inputs'!$B$178+$H300/'Model Data Inputs'!$B$179,IF($G300="N/A",0,$I300)))))</f>
        <v>58</v>
      </c>
      <c r="K300" s="300">
        <f t="shared" si="8"/>
        <v>58</v>
      </c>
      <c r="L300" s="300">
        <f>$K300*'Model Data Inputs'!$B$168</f>
        <v>5394</v>
      </c>
      <c r="M300" s="300">
        <f>$L300/'Model Data Inputs'!$B$169</f>
        <v>2.6862549800796813</v>
      </c>
      <c r="N300" s="300">
        <f>IF($G300="E",$M300*('Model Data Inputs'!$B$171-1),IF($G300="M",$M300*('Model Data Inputs'!$B$172-1),IF($G300="H",$M300*('Model Data Inputs'!$B$173-1),$M300*('Model Data Inputs'!$B$170-1))))</f>
        <v>4.029382470119522</v>
      </c>
      <c r="O300" s="300">
        <f t="shared" si="9"/>
        <v>6.7156374501992033</v>
      </c>
    </row>
    <row r="301" spans="1:15" s="40" customFormat="1" x14ac:dyDescent="0.2">
      <c r="A301" s="20" t="s">
        <v>64</v>
      </c>
      <c r="B301" s="20" t="s">
        <v>65</v>
      </c>
      <c r="C301" s="20" t="s">
        <v>1771</v>
      </c>
      <c r="D301" s="20" t="s">
        <v>1772</v>
      </c>
      <c r="E301" s="298">
        <v>35612</v>
      </c>
      <c r="F301" s="138" t="s">
        <v>1159</v>
      </c>
      <c r="G301" s="138" t="s">
        <v>1228</v>
      </c>
      <c r="H301" s="299">
        <f>'School Level ADM'!S198</f>
        <v>116.23</v>
      </c>
      <c r="I301" s="300">
        <v>10.75</v>
      </c>
      <c r="J301" s="300">
        <f>IF(OR($E301&lt;='Model Data Inputs'!$B$175,$F301="T"),$I301,IF($G301="E",'Model Data Inputs'!$B$176+$H301/'Model Data Inputs'!$B$179,IF($G301="M",'Model Data Inputs'!$B$177+$H301/'Model Data Inputs'!$B$179,IF($G301="H",'Model Data Inputs'!$B$178+$H301/'Model Data Inputs'!$B$179,IF($G301="N/A",0,$I301)))))</f>
        <v>10.75</v>
      </c>
      <c r="K301" s="300">
        <f t="shared" si="8"/>
        <v>10.75</v>
      </c>
      <c r="L301" s="300">
        <f>$K301*'Model Data Inputs'!$B$168</f>
        <v>999.75</v>
      </c>
      <c r="M301" s="300">
        <f>$L301/'Model Data Inputs'!$B$169</f>
        <v>0.49788346613545814</v>
      </c>
      <c r="N301" s="300">
        <f>IF($G301="E",$M301*('Model Data Inputs'!$B$171-1),IF($G301="M",$M301*('Model Data Inputs'!$B$172-1),IF($G301="H",$M301*('Model Data Inputs'!$B$173-1),$M301*('Model Data Inputs'!$B$170-1))))</f>
        <v>0.74682519920318724</v>
      </c>
      <c r="O301" s="300">
        <f t="shared" si="9"/>
        <v>1.2447086653386454</v>
      </c>
    </row>
    <row r="302" spans="1:15" s="40" customFormat="1" x14ac:dyDescent="0.2">
      <c r="A302" s="20" t="s">
        <v>64</v>
      </c>
      <c r="B302" s="20" t="s">
        <v>65</v>
      </c>
      <c r="C302" s="20" t="s">
        <v>1773</v>
      </c>
      <c r="D302" s="20" t="s">
        <v>1774</v>
      </c>
      <c r="E302" s="298">
        <v>5781</v>
      </c>
      <c r="F302" s="138" t="s">
        <v>1159</v>
      </c>
      <c r="G302" s="138">
        <v>0</v>
      </c>
      <c r="H302" s="299" t="s">
        <v>1191</v>
      </c>
      <c r="I302" s="300">
        <v>1</v>
      </c>
      <c r="J302" s="300">
        <f>IF(OR($E302&lt;='Model Data Inputs'!$B$175,$F302="T"),$I302,IF($G302="E",'Model Data Inputs'!$B$176+$H302/'Model Data Inputs'!$B$179,IF($G302="M",'Model Data Inputs'!$B$177+$H302/'Model Data Inputs'!$B$179,IF($G302="H",'Model Data Inputs'!$B$178+$H302/'Model Data Inputs'!$B$179,IF($G302="N/A",0,$I302)))))</f>
        <v>1</v>
      </c>
      <c r="K302" s="300">
        <f t="shared" si="8"/>
        <v>0</v>
      </c>
      <c r="L302" s="300">
        <f>$K302*'Model Data Inputs'!$B$168</f>
        <v>0</v>
      </c>
      <c r="M302" s="300">
        <f>$L302/'Model Data Inputs'!$B$169</f>
        <v>0</v>
      </c>
      <c r="N302" s="300">
        <f>IF($G302="E",$M302*('Model Data Inputs'!$B$171-1),IF($G302="M",$M302*('Model Data Inputs'!$B$172-1),IF($G302="H",$M302*('Model Data Inputs'!$B$173-1),$M302*('Model Data Inputs'!$B$170-1))))</f>
        <v>0</v>
      </c>
      <c r="O302" s="300">
        <f t="shared" si="9"/>
        <v>0</v>
      </c>
    </row>
    <row r="303" spans="1:15" s="40" customFormat="1" x14ac:dyDescent="0.2">
      <c r="A303" s="20" t="s">
        <v>64</v>
      </c>
      <c r="B303" s="20" t="s">
        <v>65</v>
      </c>
      <c r="C303" s="20" t="s">
        <v>1775</v>
      </c>
      <c r="D303" s="20" t="s">
        <v>1776</v>
      </c>
      <c r="E303" s="298">
        <v>38056</v>
      </c>
      <c r="F303" s="138" t="s">
        <v>1159</v>
      </c>
      <c r="G303" s="138" t="s">
        <v>1198</v>
      </c>
      <c r="H303" s="299">
        <f>'School Level ADM'!S192</f>
        <v>452.11500000000001</v>
      </c>
      <c r="I303" s="300">
        <v>22.07</v>
      </c>
      <c r="J303" s="300">
        <f>IF(OR($E303&lt;='Model Data Inputs'!$B$175,$F303="T"),$I303,IF($G303="E",'Model Data Inputs'!$B$176+$H303/'Model Data Inputs'!$B$179,IF($G303="M",'Model Data Inputs'!$B$177+$H303/'Model Data Inputs'!$B$179,IF($G303="H",'Model Data Inputs'!$B$178+$H303/'Model Data Inputs'!$B$179,IF($G303="N/A",0,$I303)))))</f>
        <v>8.5211500000000004</v>
      </c>
      <c r="K303" s="300">
        <f t="shared" si="8"/>
        <v>8.5211500000000004</v>
      </c>
      <c r="L303" s="300">
        <f>$K303*'Model Data Inputs'!$B$168</f>
        <v>792.46695</v>
      </c>
      <c r="M303" s="300">
        <f>$L303/'Model Data Inputs'!$B$169</f>
        <v>0.39465485557768926</v>
      </c>
      <c r="N303" s="300">
        <f>IF($G303="E",$M303*('Model Data Inputs'!$B$171-1),IF($G303="M",$M303*('Model Data Inputs'!$B$172-1),IF($G303="H",$M303*('Model Data Inputs'!$B$173-1),$M303*('Model Data Inputs'!$B$170-1))))</f>
        <v>0</v>
      </c>
      <c r="O303" s="300">
        <f t="shared" si="9"/>
        <v>0.39465485557768926</v>
      </c>
    </row>
    <row r="304" spans="1:15" s="40" customFormat="1" x14ac:dyDescent="0.2">
      <c r="A304" s="20" t="s">
        <v>64</v>
      </c>
      <c r="B304" s="20" t="s">
        <v>65</v>
      </c>
      <c r="C304" s="20" t="s">
        <v>1777</v>
      </c>
      <c r="D304" s="20" t="s">
        <v>756</v>
      </c>
      <c r="E304" s="298">
        <v>35110</v>
      </c>
      <c r="F304" s="138" t="s">
        <v>1159</v>
      </c>
      <c r="G304" s="138" t="s">
        <v>1198</v>
      </c>
      <c r="H304" s="299">
        <f>'School Level ADM'!S194</f>
        <v>365.435</v>
      </c>
      <c r="I304" s="300">
        <v>19</v>
      </c>
      <c r="J304" s="300">
        <f>IF(OR($E304&lt;='Model Data Inputs'!$B$175,$F304="T"),$I304,IF($G304="E",'Model Data Inputs'!$B$176+$H304/'Model Data Inputs'!$B$179,IF($G304="M",'Model Data Inputs'!$B$177+$H304/'Model Data Inputs'!$B$179,IF($G304="H",'Model Data Inputs'!$B$178+$H304/'Model Data Inputs'!$B$179,IF($G304="N/A",0,$I304)))))</f>
        <v>19</v>
      </c>
      <c r="K304" s="300">
        <f t="shared" si="8"/>
        <v>19</v>
      </c>
      <c r="L304" s="300">
        <f>$K304*'Model Data Inputs'!$B$168</f>
        <v>1767</v>
      </c>
      <c r="M304" s="300">
        <f>$L304/'Model Data Inputs'!$B$169</f>
        <v>0.8799800796812749</v>
      </c>
      <c r="N304" s="300">
        <f>IF($G304="E",$M304*('Model Data Inputs'!$B$171-1),IF($G304="M",$M304*('Model Data Inputs'!$B$172-1),IF($G304="H",$M304*('Model Data Inputs'!$B$173-1),$M304*('Model Data Inputs'!$B$170-1))))</f>
        <v>0</v>
      </c>
      <c r="O304" s="300">
        <f t="shared" si="9"/>
        <v>0.8799800796812749</v>
      </c>
    </row>
    <row r="305" spans="1:15" s="40" customFormat="1" x14ac:dyDescent="0.2">
      <c r="A305" s="20" t="s">
        <v>64</v>
      </c>
      <c r="B305" s="20" t="s">
        <v>65</v>
      </c>
      <c r="C305" s="20" t="s">
        <v>1778</v>
      </c>
      <c r="D305" s="20" t="s">
        <v>758</v>
      </c>
      <c r="E305" s="298">
        <v>38177</v>
      </c>
      <c r="F305" s="138" t="s">
        <v>1159</v>
      </c>
      <c r="G305" s="138" t="s">
        <v>1198</v>
      </c>
      <c r="H305" s="299">
        <f>'School Level ADM'!S195</f>
        <v>267.92</v>
      </c>
      <c r="I305" s="300">
        <v>26.89</v>
      </c>
      <c r="J305" s="300">
        <f>IF(OR($E305&lt;='Model Data Inputs'!$B$175,$F305="T"),$I305,IF($G305="E",'Model Data Inputs'!$B$176+$H305/'Model Data Inputs'!$B$179,IF($G305="M",'Model Data Inputs'!$B$177+$H305/'Model Data Inputs'!$B$179,IF($G305="H",'Model Data Inputs'!$B$178+$H305/'Model Data Inputs'!$B$179,IF($G305="N/A",0,$I305)))))</f>
        <v>6.6791999999999998</v>
      </c>
      <c r="K305" s="300">
        <f t="shared" si="8"/>
        <v>6.6791999999999998</v>
      </c>
      <c r="L305" s="300">
        <f>$K305*'Model Data Inputs'!$B$168</f>
        <v>621.16559999999993</v>
      </c>
      <c r="M305" s="300">
        <f>$L305/'Model Data Inputs'!$B$169</f>
        <v>0.30934541832669321</v>
      </c>
      <c r="N305" s="300">
        <f>IF($G305="E",$M305*('Model Data Inputs'!$B$171-1),IF($G305="M",$M305*('Model Data Inputs'!$B$172-1),IF($G305="H",$M305*('Model Data Inputs'!$B$173-1),$M305*('Model Data Inputs'!$B$170-1))))</f>
        <v>0</v>
      </c>
      <c r="O305" s="300">
        <f t="shared" si="9"/>
        <v>0.30934541832669321</v>
      </c>
    </row>
    <row r="306" spans="1:15" s="40" customFormat="1" x14ac:dyDescent="0.2">
      <c r="A306" s="20" t="s">
        <v>64</v>
      </c>
      <c r="B306" s="20" t="s">
        <v>65</v>
      </c>
      <c r="C306" s="20" t="s">
        <v>1779</v>
      </c>
      <c r="D306" s="20" t="s">
        <v>1780</v>
      </c>
      <c r="E306" s="298">
        <v>20269</v>
      </c>
      <c r="F306" s="138" t="s">
        <v>1159</v>
      </c>
      <c r="G306" s="138">
        <v>0</v>
      </c>
      <c r="H306" s="299" t="s">
        <v>1191</v>
      </c>
      <c r="I306" s="300">
        <v>2</v>
      </c>
      <c r="J306" s="300">
        <f>IF(OR($E306&lt;='Model Data Inputs'!$B$175,$F306="T"),$I306,IF($G306="E",'Model Data Inputs'!$B$176+$H306/'Model Data Inputs'!$B$179,IF($G306="M",'Model Data Inputs'!$B$177+$H306/'Model Data Inputs'!$B$179,IF($G306="H",'Model Data Inputs'!$B$178+$H306/'Model Data Inputs'!$B$179,IF($G306="N/A",0,$I306)))))</f>
        <v>2</v>
      </c>
      <c r="K306" s="300">
        <f t="shared" si="8"/>
        <v>0</v>
      </c>
      <c r="L306" s="300">
        <f>$K306*'Model Data Inputs'!$B$168</f>
        <v>0</v>
      </c>
      <c r="M306" s="300">
        <f>$L306/'Model Data Inputs'!$B$169</f>
        <v>0</v>
      </c>
      <c r="N306" s="300">
        <f>IF($G306="E",$M306*('Model Data Inputs'!$B$171-1),IF($G306="M",$M306*('Model Data Inputs'!$B$172-1),IF($G306="H",$M306*('Model Data Inputs'!$B$173-1),$M306*('Model Data Inputs'!$B$170-1))))</f>
        <v>0</v>
      </c>
      <c r="O306" s="300">
        <f t="shared" si="9"/>
        <v>0</v>
      </c>
    </row>
    <row r="307" spans="1:15" s="40" customFormat="1" x14ac:dyDescent="0.2">
      <c r="A307" s="20" t="s">
        <v>66</v>
      </c>
      <c r="B307" s="20" t="s">
        <v>67</v>
      </c>
      <c r="C307" s="20" t="s">
        <v>1781</v>
      </c>
      <c r="D307" s="20" t="s">
        <v>1782</v>
      </c>
      <c r="E307" s="298">
        <v>32579</v>
      </c>
      <c r="F307" s="138" t="s">
        <v>1159</v>
      </c>
      <c r="G307" s="138">
        <v>0</v>
      </c>
      <c r="H307" s="299" t="s">
        <v>1191</v>
      </c>
      <c r="I307" s="300">
        <v>11.38</v>
      </c>
      <c r="J307" s="300">
        <f>IF(OR($E307&lt;='Model Data Inputs'!$B$175,$F307="T"),$I307,IF($G307="E",'Model Data Inputs'!$B$176+$H307/'Model Data Inputs'!$B$179,IF($G307="M",'Model Data Inputs'!$B$177+$H307/'Model Data Inputs'!$B$179,IF($G307="H",'Model Data Inputs'!$B$178+$H307/'Model Data Inputs'!$B$179,IF($G307="N/A",0,$I307)))))</f>
        <v>11.38</v>
      </c>
      <c r="K307" s="300">
        <f t="shared" si="8"/>
        <v>0</v>
      </c>
      <c r="L307" s="300">
        <f>$K307*'Model Data Inputs'!$B$168</f>
        <v>0</v>
      </c>
      <c r="M307" s="300">
        <f>$L307/'Model Data Inputs'!$B$169</f>
        <v>0</v>
      </c>
      <c r="N307" s="300">
        <f>IF($G307="E",$M307*('Model Data Inputs'!$B$171-1),IF($G307="M",$M307*('Model Data Inputs'!$B$172-1),IF($G307="H",$M307*('Model Data Inputs'!$B$173-1),$M307*('Model Data Inputs'!$B$170-1))))</f>
        <v>0</v>
      </c>
      <c r="O307" s="300">
        <f t="shared" si="9"/>
        <v>0</v>
      </c>
    </row>
    <row r="308" spans="1:15" s="40" customFormat="1" x14ac:dyDescent="0.2">
      <c r="A308" s="20" t="s">
        <v>66</v>
      </c>
      <c r="B308" s="20" t="s">
        <v>67</v>
      </c>
      <c r="C308" s="20" t="s">
        <v>1783</v>
      </c>
      <c r="D308" s="20" t="s">
        <v>1784</v>
      </c>
      <c r="E308" s="298">
        <v>21391</v>
      </c>
      <c r="F308" s="138" t="s">
        <v>1159</v>
      </c>
      <c r="G308" s="138" t="s">
        <v>1198</v>
      </c>
      <c r="H308" s="299">
        <f>'School Level ADM'!S201</f>
        <v>4.1306666666666665</v>
      </c>
      <c r="I308" s="300">
        <v>2.09</v>
      </c>
      <c r="J308" s="300">
        <f>IF(OR($E308&lt;='Model Data Inputs'!$B$175,$F308="T"),$I308,IF($G308="E",'Model Data Inputs'!$B$176+$H308/'Model Data Inputs'!$B$179,IF($G308="M",'Model Data Inputs'!$B$177+$H308/'Model Data Inputs'!$B$179,IF($G308="H",'Model Data Inputs'!$B$178+$H308/'Model Data Inputs'!$B$179,IF($G308="N/A",0,$I308)))))</f>
        <v>2.09</v>
      </c>
      <c r="K308" s="300">
        <f t="shared" si="8"/>
        <v>2.09</v>
      </c>
      <c r="L308" s="300">
        <f>$K308*'Model Data Inputs'!$B$168</f>
        <v>194.36999999999998</v>
      </c>
      <c r="M308" s="300">
        <f>$L308/'Model Data Inputs'!$B$169</f>
        <v>9.6797808764940221E-2</v>
      </c>
      <c r="N308" s="300">
        <f>IF($G308="E",$M308*('Model Data Inputs'!$B$171-1),IF($G308="M",$M308*('Model Data Inputs'!$B$172-1),IF($G308="H",$M308*('Model Data Inputs'!$B$173-1),$M308*('Model Data Inputs'!$B$170-1))))</f>
        <v>0</v>
      </c>
      <c r="O308" s="300">
        <f t="shared" si="9"/>
        <v>9.6797808764940221E-2</v>
      </c>
    </row>
    <row r="309" spans="1:15" s="40" customFormat="1" x14ac:dyDescent="0.2">
      <c r="A309" s="20" t="s">
        <v>66</v>
      </c>
      <c r="B309" s="20" t="s">
        <v>67</v>
      </c>
      <c r="C309" s="20" t="s">
        <v>1785</v>
      </c>
      <c r="D309" s="20" t="s">
        <v>1786</v>
      </c>
      <c r="E309" s="298">
        <v>21915</v>
      </c>
      <c r="F309" s="138" t="s">
        <v>1159</v>
      </c>
      <c r="G309" s="138" t="s">
        <v>1198</v>
      </c>
      <c r="H309" s="299">
        <f>'School Level ADM'!S202</f>
        <v>334.51854385964913</v>
      </c>
      <c r="I309" s="300">
        <v>5.05</v>
      </c>
      <c r="J309" s="300">
        <f>IF(OR($E309&lt;='Model Data Inputs'!$B$175,$F309="T"),$I309,IF($G309="E",'Model Data Inputs'!$B$176+$H309/'Model Data Inputs'!$B$179,IF($G309="M",'Model Data Inputs'!$B$177+$H309/'Model Data Inputs'!$B$179,IF($G309="H",'Model Data Inputs'!$B$178+$H309/'Model Data Inputs'!$B$179,IF($G309="N/A",0,$I309)))))</f>
        <v>5.05</v>
      </c>
      <c r="K309" s="300">
        <f t="shared" si="8"/>
        <v>5.05</v>
      </c>
      <c r="L309" s="300">
        <f>$K309*'Model Data Inputs'!$B$168</f>
        <v>469.65</v>
      </c>
      <c r="M309" s="300">
        <f>$L309/'Model Data Inputs'!$B$169</f>
        <v>0.23388944223107569</v>
      </c>
      <c r="N309" s="300">
        <f>IF($G309="E",$M309*('Model Data Inputs'!$B$171-1),IF($G309="M",$M309*('Model Data Inputs'!$B$172-1),IF($G309="H",$M309*('Model Data Inputs'!$B$173-1),$M309*('Model Data Inputs'!$B$170-1))))</f>
        <v>0</v>
      </c>
      <c r="O309" s="300">
        <f t="shared" si="9"/>
        <v>0.23388944223107569</v>
      </c>
    </row>
    <row r="310" spans="1:15" s="40" customFormat="1" x14ac:dyDescent="0.2">
      <c r="A310" s="20" t="s">
        <v>66</v>
      </c>
      <c r="B310" s="20" t="s">
        <v>67</v>
      </c>
      <c r="C310" s="20" t="s">
        <v>1787</v>
      </c>
      <c r="D310" s="20" t="s">
        <v>1788</v>
      </c>
      <c r="E310" s="298">
        <v>26189</v>
      </c>
      <c r="F310" s="138" t="s">
        <v>1159</v>
      </c>
      <c r="G310" s="138" t="s">
        <v>1198</v>
      </c>
      <c r="H310" s="299">
        <f>'School Level ADM'!S203</f>
        <v>279.23787719298247</v>
      </c>
      <c r="I310" s="300">
        <v>11.98</v>
      </c>
      <c r="J310" s="300">
        <f>IF(OR($E310&lt;='Model Data Inputs'!$B$175,$F310="T"),$I310,IF($G310="E",'Model Data Inputs'!$B$176+$H310/'Model Data Inputs'!$B$179,IF($G310="M",'Model Data Inputs'!$B$177+$H310/'Model Data Inputs'!$B$179,IF($G310="H",'Model Data Inputs'!$B$178+$H310/'Model Data Inputs'!$B$179,IF($G310="N/A",0,$I310)))))</f>
        <v>11.98</v>
      </c>
      <c r="K310" s="300">
        <f t="shared" si="8"/>
        <v>11.98</v>
      </c>
      <c r="L310" s="300">
        <f>$K310*'Model Data Inputs'!$B$168</f>
        <v>1114.1400000000001</v>
      </c>
      <c r="M310" s="300">
        <f>$L310/'Model Data Inputs'!$B$169</f>
        <v>0.55485059760956179</v>
      </c>
      <c r="N310" s="300">
        <f>IF($G310="E",$M310*('Model Data Inputs'!$B$171-1),IF($G310="M",$M310*('Model Data Inputs'!$B$172-1),IF($G310="H",$M310*('Model Data Inputs'!$B$173-1),$M310*('Model Data Inputs'!$B$170-1))))</f>
        <v>0</v>
      </c>
      <c r="O310" s="300">
        <f t="shared" si="9"/>
        <v>0.55485059760956179</v>
      </c>
    </row>
    <row r="311" spans="1:15" s="40" customFormat="1" x14ac:dyDescent="0.2">
      <c r="A311" s="20" t="s">
        <v>66</v>
      </c>
      <c r="B311" s="20" t="s">
        <v>67</v>
      </c>
      <c r="C311" s="20" t="s">
        <v>1789</v>
      </c>
      <c r="D311" s="20" t="s">
        <v>1790</v>
      </c>
      <c r="E311" s="298">
        <v>21676</v>
      </c>
      <c r="F311" s="138" t="s">
        <v>1159</v>
      </c>
      <c r="G311" s="138">
        <v>0</v>
      </c>
      <c r="H311" s="299" t="s">
        <v>1191</v>
      </c>
      <c r="I311" s="300">
        <v>1.03</v>
      </c>
      <c r="J311" s="300">
        <f>IF(OR($E311&lt;='Model Data Inputs'!$B$175,$F311="T"),$I311,IF($G311="E",'Model Data Inputs'!$B$176+$H311/'Model Data Inputs'!$B$179,IF($G311="M",'Model Data Inputs'!$B$177+$H311/'Model Data Inputs'!$B$179,IF($G311="H",'Model Data Inputs'!$B$178+$H311/'Model Data Inputs'!$B$179,IF($G311="N/A",0,$I311)))))</f>
        <v>1.03</v>
      </c>
      <c r="K311" s="300">
        <f t="shared" si="8"/>
        <v>0</v>
      </c>
      <c r="L311" s="300">
        <f>$K311*'Model Data Inputs'!$B$168</f>
        <v>0</v>
      </c>
      <c r="M311" s="300">
        <f>$L311/'Model Data Inputs'!$B$169</f>
        <v>0</v>
      </c>
      <c r="N311" s="300">
        <f>IF($G311="E",$M311*('Model Data Inputs'!$B$171-1),IF($G311="M",$M311*('Model Data Inputs'!$B$172-1),IF($G311="H",$M311*('Model Data Inputs'!$B$173-1),$M311*('Model Data Inputs'!$B$170-1))))</f>
        <v>0</v>
      </c>
      <c r="O311" s="300">
        <f t="shared" si="9"/>
        <v>0</v>
      </c>
    </row>
    <row r="312" spans="1:15" s="40" customFormat="1" x14ac:dyDescent="0.2">
      <c r="A312" s="20" t="s">
        <v>66</v>
      </c>
      <c r="B312" s="20" t="s">
        <v>67</v>
      </c>
      <c r="C312" s="20" t="s">
        <v>1791</v>
      </c>
      <c r="D312" s="20" t="s">
        <v>1792</v>
      </c>
      <c r="E312" s="298">
        <v>8714</v>
      </c>
      <c r="F312" s="138" t="s">
        <v>1159</v>
      </c>
      <c r="G312" s="138" t="s">
        <v>1191</v>
      </c>
      <c r="H312" s="299" t="s">
        <v>1191</v>
      </c>
      <c r="I312" s="300">
        <v>5.85</v>
      </c>
      <c r="J312" s="300">
        <f>IF(OR($E312&lt;='Model Data Inputs'!$B$175,$F312="T"),$I312,IF($G312="E",'Model Data Inputs'!$B$176+$H312/'Model Data Inputs'!$B$179,IF($G312="M",'Model Data Inputs'!$B$177+$H312/'Model Data Inputs'!$B$179,IF($G312="H",'Model Data Inputs'!$B$178+$H312/'Model Data Inputs'!$B$179,IF($G312="N/A",0,$I312)))))</f>
        <v>5.85</v>
      </c>
      <c r="K312" s="300">
        <f t="shared" si="8"/>
        <v>0</v>
      </c>
      <c r="L312" s="300">
        <f>$K312*'Model Data Inputs'!$B$168</f>
        <v>0</v>
      </c>
      <c r="M312" s="300">
        <f>$L312/'Model Data Inputs'!$B$169</f>
        <v>0</v>
      </c>
      <c r="N312" s="300">
        <f>IF($G312="E",$M312*('Model Data Inputs'!$B$171-1),IF($G312="M",$M312*('Model Data Inputs'!$B$172-1),IF($G312="H",$M312*('Model Data Inputs'!$B$173-1),$M312*('Model Data Inputs'!$B$170-1))))</f>
        <v>0</v>
      </c>
      <c r="O312" s="300">
        <f t="shared" si="9"/>
        <v>0</v>
      </c>
    </row>
    <row r="313" spans="1:15" s="40" customFormat="1" x14ac:dyDescent="0.2">
      <c r="A313" s="20" t="s">
        <v>66</v>
      </c>
      <c r="B313" s="20" t="s">
        <v>67</v>
      </c>
      <c r="C313" s="20" t="s">
        <v>1793</v>
      </c>
      <c r="D313" s="20" t="s">
        <v>1794</v>
      </c>
      <c r="E313" s="298">
        <v>30358</v>
      </c>
      <c r="F313" s="138" t="s">
        <v>1159</v>
      </c>
      <c r="G313" s="138" t="s">
        <v>1198</v>
      </c>
      <c r="H313" s="299">
        <f>'School Level ADM'!S206</f>
        <v>311.96321052631578</v>
      </c>
      <c r="I313" s="300">
        <v>7.69</v>
      </c>
      <c r="J313" s="300">
        <f>IF(OR($E313&lt;='Model Data Inputs'!$B$175,$F313="T"),$I313,IF($G313="E",'Model Data Inputs'!$B$176+$H313/'Model Data Inputs'!$B$179,IF($G313="M",'Model Data Inputs'!$B$177+$H313/'Model Data Inputs'!$B$179,IF($G313="H",'Model Data Inputs'!$B$178+$H313/'Model Data Inputs'!$B$179,IF($G313="N/A",0,$I313)))))</f>
        <v>7.69</v>
      </c>
      <c r="K313" s="300">
        <f t="shared" si="8"/>
        <v>7.69</v>
      </c>
      <c r="L313" s="300">
        <f>$K313*'Model Data Inputs'!$B$168</f>
        <v>715.17000000000007</v>
      </c>
      <c r="M313" s="300">
        <f>$L313/'Model Data Inputs'!$B$169</f>
        <v>0.35616035856573708</v>
      </c>
      <c r="N313" s="300">
        <f>IF($G313="E",$M313*('Model Data Inputs'!$B$171-1),IF($G313="M",$M313*('Model Data Inputs'!$B$172-1),IF($G313="H",$M313*('Model Data Inputs'!$B$173-1),$M313*('Model Data Inputs'!$B$170-1))))</f>
        <v>0</v>
      </c>
      <c r="O313" s="300">
        <f t="shared" si="9"/>
        <v>0.35616035856573708</v>
      </c>
    </row>
    <row r="314" spans="1:15" s="40" customFormat="1" x14ac:dyDescent="0.2">
      <c r="A314" s="20" t="s">
        <v>66</v>
      </c>
      <c r="B314" s="20" t="s">
        <v>67</v>
      </c>
      <c r="C314" s="20" t="s">
        <v>1795</v>
      </c>
      <c r="D314" s="20" t="s">
        <v>1796</v>
      </c>
      <c r="E314" s="298">
        <v>6431</v>
      </c>
      <c r="F314" s="138" t="s">
        <v>1159</v>
      </c>
      <c r="G314" s="138">
        <v>0</v>
      </c>
      <c r="H314" s="299" t="s">
        <v>1191</v>
      </c>
      <c r="I314" s="300">
        <v>1.54</v>
      </c>
      <c r="J314" s="300">
        <f>IF(OR($E314&lt;='Model Data Inputs'!$B$175,$F314="T"),$I314,IF($G314="E",'Model Data Inputs'!$B$176+$H314/'Model Data Inputs'!$B$179,IF($G314="M",'Model Data Inputs'!$B$177+$H314/'Model Data Inputs'!$B$179,IF($G314="H",'Model Data Inputs'!$B$178+$H314/'Model Data Inputs'!$B$179,IF($G314="N/A",0,$I314)))))</f>
        <v>1.54</v>
      </c>
      <c r="K314" s="300">
        <f t="shared" si="8"/>
        <v>0</v>
      </c>
      <c r="L314" s="300">
        <f>$K314*'Model Data Inputs'!$B$168</f>
        <v>0</v>
      </c>
      <c r="M314" s="300">
        <f>$L314/'Model Data Inputs'!$B$169</f>
        <v>0</v>
      </c>
      <c r="N314" s="300">
        <f>IF($G314="E",$M314*('Model Data Inputs'!$B$171-1),IF($G314="M",$M314*('Model Data Inputs'!$B$172-1),IF($G314="H",$M314*('Model Data Inputs'!$B$173-1),$M314*('Model Data Inputs'!$B$170-1))))</f>
        <v>0</v>
      </c>
      <c r="O314" s="300">
        <f t="shared" si="9"/>
        <v>0</v>
      </c>
    </row>
    <row r="315" spans="1:15" s="40" customFormat="1" x14ac:dyDescent="0.2">
      <c r="A315" s="20" t="s">
        <v>66</v>
      </c>
      <c r="B315" s="20" t="s">
        <v>67</v>
      </c>
      <c r="C315" s="20" t="s">
        <v>1797</v>
      </c>
      <c r="D315" s="20" t="s">
        <v>1798</v>
      </c>
      <c r="E315" s="298">
        <v>23636</v>
      </c>
      <c r="F315" s="138" t="s">
        <v>1159</v>
      </c>
      <c r="G315" s="138" t="s">
        <v>1198</v>
      </c>
      <c r="H315" s="299">
        <f>'School Level ADM'!S207</f>
        <v>317.44854385964913</v>
      </c>
      <c r="I315" s="300">
        <v>6.8</v>
      </c>
      <c r="J315" s="300">
        <f>IF(OR($E315&lt;='Model Data Inputs'!$B$175,$F315="T"),$I315,IF($G315="E",'Model Data Inputs'!$B$176+$H315/'Model Data Inputs'!$B$179,IF($G315="M",'Model Data Inputs'!$B$177+$H315/'Model Data Inputs'!$B$179,IF($G315="H",'Model Data Inputs'!$B$178+$H315/'Model Data Inputs'!$B$179,IF($G315="N/A",0,$I315)))))</f>
        <v>6.8</v>
      </c>
      <c r="K315" s="300">
        <f t="shared" si="8"/>
        <v>6.8</v>
      </c>
      <c r="L315" s="300">
        <f>$K315*'Model Data Inputs'!$B$168</f>
        <v>632.4</v>
      </c>
      <c r="M315" s="300">
        <f>$L315/'Model Data Inputs'!$B$169</f>
        <v>0.31494023904382468</v>
      </c>
      <c r="N315" s="300">
        <f>IF($G315="E",$M315*('Model Data Inputs'!$B$171-1),IF($G315="M",$M315*('Model Data Inputs'!$B$172-1),IF($G315="H",$M315*('Model Data Inputs'!$B$173-1),$M315*('Model Data Inputs'!$B$170-1))))</f>
        <v>0</v>
      </c>
      <c r="O315" s="300">
        <f t="shared" si="9"/>
        <v>0.31494023904382468</v>
      </c>
    </row>
    <row r="316" spans="1:15" s="40" customFormat="1" x14ac:dyDescent="0.2">
      <c r="A316" s="20" t="s">
        <v>66</v>
      </c>
      <c r="B316" s="20" t="s">
        <v>67</v>
      </c>
      <c r="C316" s="20" t="s">
        <v>1799</v>
      </c>
      <c r="D316" s="20" t="s">
        <v>1313</v>
      </c>
      <c r="E316" s="298">
        <v>24852</v>
      </c>
      <c r="F316" s="138" t="s">
        <v>1159</v>
      </c>
      <c r="G316" s="138">
        <v>0</v>
      </c>
      <c r="H316" s="299">
        <f>'School Level ADM'!S204</f>
        <v>322.65621052631582</v>
      </c>
      <c r="I316" s="300">
        <v>4.2</v>
      </c>
      <c r="J316" s="300">
        <f>IF(OR($E316&lt;='Model Data Inputs'!$B$175,$F316="T"),$I316,IF($G316="E",'Model Data Inputs'!$B$176+$H316/'Model Data Inputs'!$B$179,IF($G316="M",'Model Data Inputs'!$B$177+$H316/'Model Data Inputs'!$B$179,IF($G316="H",'Model Data Inputs'!$B$178+$H316/'Model Data Inputs'!$B$179,IF($G316="N/A",0,$I316)))))</f>
        <v>4.2</v>
      </c>
      <c r="K316" s="300">
        <f t="shared" si="8"/>
        <v>0</v>
      </c>
      <c r="L316" s="300">
        <f>$K316*'Model Data Inputs'!$B$168</f>
        <v>0</v>
      </c>
      <c r="M316" s="300">
        <f>$L316/'Model Data Inputs'!$B$169</f>
        <v>0</v>
      </c>
      <c r="N316" s="300">
        <f>IF($G316="E",$M316*('Model Data Inputs'!$B$171-1),IF($G316="M",$M316*('Model Data Inputs'!$B$172-1),IF($G316="H",$M316*('Model Data Inputs'!$B$173-1),$M316*('Model Data Inputs'!$B$170-1))))</f>
        <v>0</v>
      </c>
      <c r="O316" s="300">
        <f t="shared" si="9"/>
        <v>0</v>
      </c>
    </row>
    <row r="317" spans="1:15" s="40" customFormat="1" x14ac:dyDescent="0.2">
      <c r="A317" s="20" t="s">
        <v>66</v>
      </c>
      <c r="B317" s="20" t="s">
        <v>67</v>
      </c>
      <c r="C317" s="20" t="s">
        <v>1800</v>
      </c>
      <c r="D317" s="20" t="s">
        <v>1801</v>
      </c>
      <c r="E317" s="298">
        <v>18962</v>
      </c>
      <c r="F317" s="138" t="s">
        <v>1159</v>
      </c>
      <c r="G317" s="138" t="s">
        <v>1198</v>
      </c>
      <c r="H317" s="299">
        <f>'School Level ADM'!S208</f>
        <v>222.67387719298245</v>
      </c>
      <c r="I317" s="300">
        <v>2.4900000000000002</v>
      </c>
      <c r="J317" s="300">
        <f>IF(OR($E317&lt;='Model Data Inputs'!$B$175,$F317="T"),$I317,IF($G317="E",'Model Data Inputs'!$B$176+$H317/'Model Data Inputs'!$B$179,IF($G317="M",'Model Data Inputs'!$B$177+$H317/'Model Data Inputs'!$B$179,IF($G317="H",'Model Data Inputs'!$B$178+$H317/'Model Data Inputs'!$B$179,IF($G317="N/A",0,$I317)))))</f>
        <v>2.4900000000000002</v>
      </c>
      <c r="K317" s="300">
        <f t="shared" si="8"/>
        <v>2.4900000000000002</v>
      </c>
      <c r="L317" s="300">
        <f>$K317*'Model Data Inputs'!$B$168</f>
        <v>231.57000000000002</v>
      </c>
      <c r="M317" s="300">
        <f>$L317/'Model Data Inputs'!$B$169</f>
        <v>0.11532370517928288</v>
      </c>
      <c r="N317" s="300">
        <f>IF($G317="E",$M317*('Model Data Inputs'!$B$171-1),IF($G317="M",$M317*('Model Data Inputs'!$B$172-1),IF($G317="H",$M317*('Model Data Inputs'!$B$173-1),$M317*('Model Data Inputs'!$B$170-1))))</f>
        <v>0</v>
      </c>
      <c r="O317" s="300">
        <f t="shared" si="9"/>
        <v>0.11532370517928288</v>
      </c>
    </row>
    <row r="318" spans="1:15" s="40" customFormat="1" x14ac:dyDescent="0.2">
      <c r="A318" s="20" t="s">
        <v>66</v>
      </c>
      <c r="B318" s="20" t="s">
        <v>67</v>
      </c>
      <c r="C318" s="20" t="s">
        <v>1802</v>
      </c>
      <c r="D318" s="20" t="s">
        <v>1803</v>
      </c>
      <c r="E318" s="298">
        <v>8985</v>
      </c>
      <c r="F318" s="138" t="s">
        <v>1159</v>
      </c>
      <c r="G318" s="138" t="s">
        <v>1198</v>
      </c>
      <c r="H318" s="299">
        <f>'School Level ADM'!S209</f>
        <v>170.60321052631579</v>
      </c>
      <c r="I318" s="300">
        <v>3.67</v>
      </c>
      <c r="J318" s="300">
        <f>IF(OR($E318&lt;='Model Data Inputs'!$B$175,$F318="T"),$I318,IF($G318="E",'Model Data Inputs'!$B$176+$H318/'Model Data Inputs'!$B$179,IF($G318="M",'Model Data Inputs'!$B$177+$H318/'Model Data Inputs'!$B$179,IF($G318="H",'Model Data Inputs'!$B$178+$H318/'Model Data Inputs'!$B$179,IF($G318="N/A",0,$I318)))))</f>
        <v>3.67</v>
      </c>
      <c r="K318" s="300">
        <f t="shared" si="8"/>
        <v>3.67</v>
      </c>
      <c r="L318" s="300">
        <f>$K318*'Model Data Inputs'!$B$168</f>
        <v>341.31</v>
      </c>
      <c r="M318" s="300">
        <f>$L318/'Model Data Inputs'!$B$169</f>
        <v>0.16997509960159363</v>
      </c>
      <c r="N318" s="300">
        <f>IF($G318="E",$M318*('Model Data Inputs'!$B$171-1),IF($G318="M",$M318*('Model Data Inputs'!$B$172-1),IF($G318="H",$M318*('Model Data Inputs'!$B$173-1),$M318*('Model Data Inputs'!$B$170-1))))</f>
        <v>0</v>
      </c>
      <c r="O318" s="300">
        <f t="shared" si="9"/>
        <v>0.16997509960159363</v>
      </c>
    </row>
    <row r="319" spans="1:15" s="40" customFormat="1" x14ac:dyDescent="0.2">
      <c r="A319" s="20" t="s">
        <v>66</v>
      </c>
      <c r="B319" s="20" t="s">
        <v>67</v>
      </c>
      <c r="C319" s="20" t="s">
        <v>1804</v>
      </c>
      <c r="D319" s="20" t="s">
        <v>1805</v>
      </c>
      <c r="E319" s="298">
        <v>6717</v>
      </c>
      <c r="F319" s="138" t="s">
        <v>1159</v>
      </c>
      <c r="G319" s="138">
        <v>0</v>
      </c>
      <c r="H319" s="299" t="s">
        <v>1191</v>
      </c>
      <c r="I319" s="300">
        <v>2.44</v>
      </c>
      <c r="J319" s="300">
        <f>IF(OR($E319&lt;='Model Data Inputs'!$B$175,$F319="T"),$I319,IF($G319="E",'Model Data Inputs'!$B$176+$H319/'Model Data Inputs'!$B$179,IF($G319="M",'Model Data Inputs'!$B$177+$H319/'Model Data Inputs'!$B$179,IF($G319="H",'Model Data Inputs'!$B$178+$H319/'Model Data Inputs'!$B$179,IF($G319="N/A",0,$I319)))))</f>
        <v>2.44</v>
      </c>
      <c r="K319" s="300">
        <f t="shared" si="8"/>
        <v>0</v>
      </c>
      <c r="L319" s="300">
        <f>$K319*'Model Data Inputs'!$B$168</f>
        <v>0</v>
      </c>
      <c r="M319" s="300">
        <f>$L319/'Model Data Inputs'!$B$169</f>
        <v>0</v>
      </c>
      <c r="N319" s="300">
        <f>IF($G319="E",$M319*('Model Data Inputs'!$B$171-1),IF($G319="M",$M319*('Model Data Inputs'!$B$172-1),IF($G319="H",$M319*('Model Data Inputs'!$B$173-1),$M319*('Model Data Inputs'!$B$170-1))))</f>
        <v>0</v>
      </c>
      <c r="O319" s="300">
        <f t="shared" si="9"/>
        <v>0</v>
      </c>
    </row>
    <row r="320" spans="1:15" s="40" customFormat="1" x14ac:dyDescent="0.2">
      <c r="A320" s="20" t="s">
        <v>66</v>
      </c>
      <c r="B320" s="20" t="s">
        <v>67</v>
      </c>
      <c r="C320" s="20" t="s">
        <v>1806</v>
      </c>
      <c r="D320" s="20" t="s">
        <v>1807</v>
      </c>
      <c r="E320" s="298">
        <v>21996</v>
      </c>
      <c r="F320" s="138" t="s">
        <v>1159</v>
      </c>
      <c r="G320" s="138" t="s">
        <v>1198</v>
      </c>
      <c r="H320" s="299">
        <f>'School Level ADM'!S211</f>
        <v>414.83521052631579</v>
      </c>
      <c r="I320" s="300">
        <v>6.87</v>
      </c>
      <c r="J320" s="300">
        <f>IF(OR($E320&lt;='Model Data Inputs'!$B$175,$F320="T"),$I320,IF($G320="E",'Model Data Inputs'!$B$176+$H320/'Model Data Inputs'!$B$179,IF($G320="M",'Model Data Inputs'!$B$177+$H320/'Model Data Inputs'!$B$179,IF($G320="H",'Model Data Inputs'!$B$178+$H320/'Model Data Inputs'!$B$179,IF($G320="N/A",0,$I320)))))</f>
        <v>6.87</v>
      </c>
      <c r="K320" s="300">
        <f t="shared" si="8"/>
        <v>6.87</v>
      </c>
      <c r="L320" s="300">
        <f>$K320*'Model Data Inputs'!$B$168</f>
        <v>638.91</v>
      </c>
      <c r="M320" s="300">
        <f>$L320/'Model Data Inputs'!$B$169</f>
        <v>0.31818227091633466</v>
      </c>
      <c r="N320" s="300">
        <f>IF($G320="E",$M320*('Model Data Inputs'!$B$171-1),IF($G320="M",$M320*('Model Data Inputs'!$B$172-1),IF($G320="H",$M320*('Model Data Inputs'!$B$173-1),$M320*('Model Data Inputs'!$B$170-1))))</f>
        <v>0</v>
      </c>
      <c r="O320" s="300">
        <f t="shared" si="9"/>
        <v>0.31818227091633466</v>
      </c>
    </row>
    <row r="321" spans="1:15" s="40" customFormat="1" x14ac:dyDescent="0.2">
      <c r="A321" s="20" t="s">
        <v>66</v>
      </c>
      <c r="B321" s="20" t="s">
        <v>67</v>
      </c>
      <c r="C321" s="20" t="s">
        <v>1808</v>
      </c>
      <c r="D321" s="20" t="s">
        <v>1809</v>
      </c>
      <c r="E321" s="298">
        <v>580</v>
      </c>
      <c r="F321" s="138" t="s">
        <v>1159</v>
      </c>
      <c r="G321" s="138" t="s">
        <v>1198</v>
      </c>
      <c r="H321" s="299">
        <f>'School Level ADM'!S212</f>
        <v>323.44854385964913</v>
      </c>
      <c r="I321" s="300">
        <v>2.0699999999999998</v>
      </c>
      <c r="J321" s="300">
        <f>IF(OR($E321&lt;='Model Data Inputs'!$B$175,$F321="T"),$I321,IF($G321="E",'Model Data Inputs'!$B$176+$H321/'Model Data Inputs'!$B$179,IF($G321="M",'Model Data Inputs'!$B$177+$H321/'Model Data Inputs'!$B$179,IF($G321="H",'Model Data Inputs'!$B$178+$H321/'Model Data Inputs'!$B$179,IF($G321="N/A",0,$I321)))))</f>
        <v>2.0699999999999998</v>
      </c>
      <c r="K321" s="300">
        <f t="shared" si="8"/>
        <v>2.0699999999999998</v>
      </c>
      <c r="L321" s="300">
        <f>$K321*'Model Data Inputs'!$B$168</f>
        <v>192.51</v>
      </c>
      <c r="M321" s="300">
        <f>$L321/'Model Data Inputs'!$B$169</f>
        <v>9.5871513944223108E-2</v>
      </c>
      <c r="N321" s="300">
        <f>IF($G321="E",$M321*('Model Data Inputs'!$B$171-1),IF($G321="M",$M321*('Model Data Inputs'!$B$172-1),IF($G321="H",$M321*('Model Data Inputs'!$B$173-1),$M321*('Model Data Inputs'!$B$170-1))))</f>
        <v>0</v>
      </c>
      <c r="O321" s="300">
        <f t="shared" si="9"/>
        <v>9.5871513944223108E-2</v>
      </c>
    </row>
    <row r="322" spans="1:15" s="40" customFormat="1" x14ac:dyDescent="0.2">
      <c r="A322" s="20" t="s">
        <v>66</v>
      </c>
      <c r="B322" s="20" t="s">
        <v>67</v>
      </c>
      <c r="C322" s="20" t="s">
        <v>1810</v>
      </c>
      <c r="D322" s="20" t="s">
        <v>1811</v>
      </c>
      <c r="E322" s="298">
        <v>19562</v>
      </c>
      <c r="F322" s="138" t="s">
        <v>1159</v>
      </c>
      <c r="G322" s="138" t="s">
        <v>1198</v>
      </c>
      <c r="H322" s="299">
        <f>'School Level ADM'!S213</f>
        <v>272.34887719298246</v>
      </c>
      <c r="I322" s="300">
        <v>7.24</v>
      </c>
      <c r="J322" s="300">
        <f>IF(OR($E322&lt;='Model Data Inputs'!$B$175,$F322="T"),$I322,IF($G322="E",'Model Data Inputs'!$B$176+$H322/'Model Data Inputs'!$B$179,IF($G322="M",'Model Data Inputs'!$B$177+$H322/'Model Data Inputs'!$B$179,IF($G322="H",'Model Data Inputs'!$B$178+$H322/'Model Data Inputs'!$B$179,IF($G322="N/A",0,$I322)))))</f>
        <v>7.24</v>
      </c>
      <c r="K322" s="300">
        <f t="shared" si="8"/>
        <v>7.24</v>
      </c>
      <c r="L322" s="300">
        <f>$K322*'Model Data Inputs'!$B$168</f>
        <v>673.32</v>
      </c>
      <c r="M322" s="300">
        <f>$L322/'Model Data Inputs'!$B$169</f>
        <v>0.33531872509960164</v>
      </c>
      <c r="N322" s="300">
        <f>IF($G322="E",$M322*('Model Data Inputs'!$B$171-1),IF($G322="M",$M322*('Model Data Inputs'!$B$172-1),IF($G322="H",$M322*('Model Data Inputs'!$B$173-1),$M322*('Model Data Inputs'!$B$170-1))))</f>
        <v>0</v>
      </c>
      <c r="O322" s="300">
        <f t="shared" si="9"/>
        <v>0.33531872509960164</v>
      </c>
    </row>
    <row r="323" spans="1:15" s="40" customFormat="1" x14ac:dyDescent="0.2">
      <c r="A323" s="20" t="s">
        <v>66</v>
      </c>
      <c r="B323" s="20" t="s">
        <v>67</v>
      </c>
      <c r="C323" s="20" t="s">
        <v>1812</v>
      </c>
      <c r="D323" s="20" t="s">
        <v>1813</v>
      </c>
      <c r="E323" s="298">
        <v>20057</v>
      </c>
      <c r="F323" s="138" t="s">
        <v>1159</v>
      </c>
      <c r="G323" s="138" t="s">
        <v>1205</v>
      </c>
      <c r="H323" s="299">
        <f>'School Level ADM'!S214</f>
        <v>172.32999999999998</v>
      </c>
      <c r="I323" s="300">
        <v>10.43</v>
      </c>
      <c r="J323" s="300">
        <f>IF(OR($E323&lt;='Model Data Inputs'!$B$175,$F323="T"),$I323,IF($G323="E",'Model Data Inputs'!$B$176+$H323/'Model Data Inputs'!$B$179,IF($G323="M",'Model Data Inputs'!$B$177+$H323/'Model Data Inputs'!$B$179,IF($G323="H",'Model Data Inputs'!$B$178+$H323/'Model Data Inputs'!$B$179,IF($G323="N/A",0,$I323)))))</f>
        <v>10.43</v>
      </c>
      <c r="K323" s="300">
        <f t="shared" si="8"/>
        <v>10.43</v>
      </c>
      <c r="L323" s="300">
        <f>$K323*'Model Data Inputs'!$B$168</f>
        <v>969.99</v>
      </c>
      <c r="M323" s="300">
        <f>$L323/'Model Data Inputs'!$B$169</f>
        <v>0.48306274900398405</v>
      </c>
      <c r="N323" s="300">
        <f>IF($G323="E",$M323*('Model Data Inputs'!$B$171-1),IF($G323="M",$M323*('Model Data Inputs'!$B$172-1),IF($G323="H",$M323*('Model Data Inputs'!$B$173-1),$M323*('Model Data Inputs'!$B$170-1))))</f>
        <v>0.24153137450199202</v>
      </c>
      <c r="O323" s="300">
        <f t="shared" si="9"/>
        <v>0.72459412350597607</v>
      </c>
    </row>
    <row r="324" spans="1:15" s="40" customFormat="1" x14ac:dyDescent="0.2">
      <c r="A324" s="20" t="s">
        <v>66</v>
      </c>
      <c r="B324" s="20" t="s">
        <v>67</v>
      </c>
      <c r="C324" s="20" t="s">
        <v>1814</v>
      </c>
      <c r="D324" s="20" t="s">
        <v>1815</v>
      </c>
      <c r="E324" s="298">
        <v>12341</v>
      </c>
      <c r="F324" s="138" t="s">
        <v>1159</v>
      </c>
      <c r="G324" s="138" t="s">
        <v>1198</v>
      </c>
      <c r="H324" s="299">
        <f>'School Level ADM'!S215</f>
        <v>3.8506666666666667</v>
      </c>
      <c r="I324" s="300">
        <v>1.67</v>
      </c>
      <c r="J324" s="300">
        <f>IF(OR($E324&lt;='Model Data Inputs'!$B$175,$F324="T"),$I324,IF($G324="E",'Model Data Inputs'!$B$176+$H324/'Model Data Inputs'!$B$179,IF($G324="M",'Model Data Inputs'!$B$177+$H324/'Model Data Inputs'!$B$179,IF($G324="H",'Model Data Inputs'!$B$178+$H324/'Model Data Inputs'!$B$179,IF($G324="N/A",0,$I324)))))</f>
        <v>1.67</v>
      </c>
      <c r="K324" s="300">
        <f t="shared" si="8"/>
        <v>1.67</v>
      </c>
      <c r="L324" s="300">
        <f>$K324*'Model Data Inputs'!$B$168</f>
        <v>155.31</v>
      </c>
      <c r="M324" s="300">
        <f>$L324/'Model Data Inputs'!$B$169</f>
        <v>7.7345617529880478E-2</v>
      </c>
      <c r="N324" s="300">
        <f>IF($G324="E",$M324*('Model Data Inputs'!$B$171-1),IF($G324="M",$M324*('Model Data Inputs'!$B$172-1),IF($G324="H",$M324*('Model Data Inputs'!$B$173-1),$M324*('Model Data Inputs'!$B$170-1))))</f>
        <v>0</v>
      </c>
      <c r="O324" s="300">
        <f t="shared" si="9"/>
        <v>7.7345617529880478E-2</v>
      </c>
    </row>
    <row r="325" spans="1:15" s="40" customFormat="1" x14ac:dyDescent="0.2">
      <c r="A325" s="20" t="s">
        <v>66</v>
      </c>
      <c r="B325" s="20" t="s">
        <v>67</v>
      </c>
      <c r="C325" s="20" t="s">
        <v>1816</v>
      </c>
      <c r="D325" s="20" t="s">
        <v>1817</v>
      </c>
      <c r="E325" s="298">
        <v>35612</v>
      </c>
      <c r="F325" s="138" t="s">
        <v>1159</v>
      </c>
      <c r="G325" s="138" t="s">
        <v>1198</v>
      </c>
      <c r="H325" s="299">
        <f>'School Level ADM'!S216</f>
        <v>9.2846666666666664</v>
      </c>
      <c r="I325" s="300">
        <v>0.99</v>
      </c>
      <c r="J325" s="300">
        <f>IF(OR($E325&lt;='Model Data Inputs'!$B$175,$F325="T"),$I325,IF($G325="E",'Model Data Inputs'!$B$176+$H325/'Model Data Inputs'!$B$179,IF($G325="M",'Model Data Inputs'!$B$177+$H325/'Model Data Inputs'!$B$179,IF($G325="H",'Model Data Inputs'!$B$178+$H325/'Model Data Inputs'!$B$179,IF($G325="N/A",0,$I325)))))</f>
        <v>0.99</v>
      </c>
      <c r="K325" s="300">
        <f t="shared" si="8"/>
        <v>0.99</v>
      </c>
      <c r="L325" s="300">
        <f>$K325*'Model Data Inputs'!$B$168</f>
        <v>92.07</v>
      </c>
      <c r="M325" s="300">
        <f>$L325/'Model Data Inputs'!$B$169</f>
        <v>4.5851593625498004E-2</v>
      </c>
      <c r="N325" s="300">
        <f>IF($G325="E",$M325*('Model Data Inputs'!$B$171-1),IF($G325="M",$M325*('Model Data Inputs'!$B$172-1),IF($G325="H",$M325*('Model Data Inputs'!$B$173-1),$M325*('Model Data Inputs'!$B$170-1))))</f>
        <v>0</v>
      </c>
      <c r="O325" s="300">
        <f t="shared" si="9"/>
        <v>4.5851593625498004E-2</v>
      </c>
    </row>
    <row r="326" spans="1:15" s="40" customFormat="1" x14ac:dyDescent="0.2">
      <c r="A326" s="20" t="s">
        <v>66</v>
      </c>
      <c r="B326" s="20" t="s">
        <v>67</v>
      </c>
      <c r="C326" s="20" t="s">
        <v>1818</v>
      </c>
      <c r="D326" s="20" t="s">
        <v>1819</v>
      </c>
      <c r="E326" s="298">
        <v>20666</v>
      </c>
      <c r="F326" s="138" t="s">
        <v>1159</v>
      </c>
      <c r="G326" s="138" t="s">
        <v>1198</v>
      </c>
      <c r="H326" s="299">
        <f>'School Level ADM'!S217</f>
        <v>323.82287719298245</v>
      </c>
      <c r="I326" s="300">
        <v>3.89</v>
      </c>
      <c r="J326" s="300">
        <f>IF(OR($E326&lt;='Model Data Inputs'!$B$175,$F326="T"),$I326,IF($G326="E",'Model Data Inputs'!$B$176+$H326/'Model Data Inputs'!$B$179,IF($G326="M",'Model Data Inputs'!$B$177+$H326/'Model Data Inputs'!$B$179,IF($G326="H",'Model Data Inputs'!$B$178+$H326/'Model Data Inputs'!$B$179,IF($G326="N/A",0,$I326)))))</f>
        <v>3.89</v>
      </c>
      <c r="K326" s="300">
        <f t="shared" ref="K326:K389" si="10">IF(AND($A$2=2,OR(G326=0,G326="N/A")),0,IF($I326&lt;$J326,$I326,$J326))</f>
        <v>3.89</v>
      </c>
      <c r="L326" s="300">
        <f>$K326*'Model Data Inputs'!$B$168</f>
        <v>361.77000000000004</v>
      </c>
      <c r="M326" s="300">
        <f>$L326/'Model Data Inputs'!$B$169</f>
        <v>0.18016434262948208</v>
      </c>
      <c r="N326" s="300">
        <f>IF($G326="E",$M326*('Model Data Inputs'!$B$171-1),IF($G326="M",$M326*('Model Data Inputs'!$B$172-1),IF($G326="H",$M326*('Model Data Inputs'!$B$173-1),$M326*('Model Data Inputs'!$B$170-1))))</f>
        <v>0</v>
      </c>
      <c r="O326" s="300">
        <f t="shared" si="9"/>
        <v>0.18016434262948208</v>
      </c>
    </row>
    <row r="327" spans="1:15" s="40" customFormat="1" x14ac:dyDescent="0.2">
      <c r="A327" s="20" t="s">
        <v>66</v>
      </c>
      <c r="B327" s="20" t="s">
        <v>67</v>
      </c>
      <c r="C327" s="20" t="s">
        <v>1820</v>
      </c>
      <c r="D327" s="20" t="s">
        <v>1821</v>
      </c>
      <c r="E327" s="298">
        <v>22360</v>
      </c>
      <c r="F327" s="138" t="s">
        <v>1159</v>
      </c>
      <c r="G327" s="138" t="s">
        <v>1198</v>
      </c>
      <c r="H327" s="299">
        <f>'School Level ADM'!S218</f>
        <v>211.72887719298245</v>
      </c>
      <c r="I327" s="300">
        <v>3.33</v>
      </c>
      <c r="J327" s="300">
        <f>IF(OR($E327&lt;='Model Data Inputs'!$B$175,$F327="T"),$I327,IF($G327="E",'Model Data Inputs'!$B$176+$H327/'Model Data Inputs'!$B$179,IF($G327="M",'Model Data Inputs'!$B$177+$H327/'Model Data Inputs'!$B$179,IF($G327="H",'Model Data Inputs'!$B$178+$H327/'Model Data Inputs'!$B$179,IF($G327="N/A",0,$I327)))))</f>
        <v>3.33</v>
      </c>
      <c r="K327" s="300">
        <f t="shared" si="10"/>
        <v>3.33</v>
      </c>
      <c r="L327" s="300">
        <f>$K327*'Model Data Inputs'!$B$168</f>
        <v>309.69</v>
      </c>
      <c r="M327" s="300">
        <f>$L327/'Model Data Inputs'!$B$169</f>
        <v>0.15422808764940238</v>
      </c>
      <c r="N327" s="300">
        <f>IF($G327="E",$M327*('Model Data Inputs'!$B$171-1),IF($G327="M",$M327*('Model Data Inputs'!$B$172-1),IF($G327="H",$M327*('Model Data Inputs'!$B$173-1),$M327*('Model Data Inputs'!$B$170-1))))</f>
        <v>0</v>
      </c>
      <c r="O327" s="300">
        <f t="shared" si="9"/>
        <v>0.15422808764940238</v>
      </c>
    </row>
    <row r="328" spans="1:15" s="40" customFormat="1" x14ac:dyDescent="0.2">
      <c r="A328" s="20" t="s">
        <v>66</v>
      </c>
      <c r="B328" s="20" t="s">
        <v>67</v>
      </c>
      <c r="C328" s="20" t="s">
        <v>1822</v>
      </c>
      <c r="D328" s="20" t="s">
        <v>1823</v>
      </c>
      <c r="E328" s="298">
        <v>28075</v>
      </c>
      <c r="F328" s="138" t="s">
        <v>1159</v>
      </c>
      <c r="G328" s="138" t="s">
        <v>1198</v>
      </c>
      <c r="H328" s="299">
        <f>'School Level ADM'!S219</f>
        <v>435.38821052631579</v>
      </c>
      <c r="I328" s="300">
        <v>3.98</v>
      </c>
      <c r="J328" s="300">
        <f>IF(OR($E328&lt;='Model Data Inputs'!$B$175,$F328="T"),$I328,IF($G328="E",'Model Data Inputs'!$B$176+$H328/'Model Data Inputs'!$B$179,IF($G328="M",'Model Data Inputs'!$B$177+$H328/'Model Data Inputs'!$B$179,IF($G328="H",'Model Data Inputs'!$B$178+$H328/'Model Data Inputs'!$B$179,IF($G328="N/A",0,$I328)))))</f>
        <v>3.98</v>
      </c>
      <c r="K328" s="300">
        <f t="shared" si="10"/>
        <v>3.98</v>
      </c>
      <c r="L328" s="300">
        <f>$K328*'Model Data Inputs'!$B$168</f>
        <v>370.14</v>
      </c>
      <c r="M328" s="300">
        <f>$L328/'Model Data Inputs'!$B$169</f>
        <v>0.18433266932270917</v>
      </c>
      <c r="N328" s="300">
        <f>IF($G328="E",$M328*('Model Data Inputs'!$B$171-1),IF($G328="M",$M328*('Model Data Inputs'!$B$172-1),IF($G328="H",$M328*('Model Data Inputs'!$B$173-1),$M328*('Model Data Inputs'!$B$170-1))))</f>
        <v>0</v>
      </c>
      <c r="O328" s="300">
        <f t="shared" si="9"/>
        <v>0.18433266932270917</v>
      </c>
    </row>
    <row r="329" spans="1:15" s="40" customFormat="1" x14ac:dyDescent="0.2">
      <c r="A329" s="20" t="s">
        <v>66</v>
      </c>
      <c r="B329" s="20" t="s">
        <v>67</v>
      </c>
      <c r="C329" s="20" t="s">
        <v>1824</v>
      </c>
      <c r="D329" s="20" t="s">
        <v>1825</v>
      </c>
      <c r="E329" s="298">
        <v>20225</v>
      </c>
      <c r="F329" s="138" t="s">
        <v>1159</v>
      </c>
      <c r="G329" s="138">
        <v>0</v>
      </c>
      <c r="H329" s="299" t="s">
        <v>1191</v>
      </c>
      <c r="I329" s="300">
        <v>3.06</v>
      </c>
      <c r="J329" s="300">
        <f>IF(OR($E329&lt;='Model Data Inputs'!$B$175,$F329="T"),$I329,IF($G329="E",'Model Data Inputs'!$B$176+$H329/'Model Data Inputs'!$B$179,IF($G329="M",'Model Data Inputs'!$B$177+$H329/'Model Data Inputs'!$B$179,IF($G329="H",'Model Data Inputs'!$B$178+$H329/'Model Data Inputs'!$B$179,IF($G329="N/A",0,$I329)))))</f>
        <v>3.06</v>
      </c>
      <c r="K329" s="300">
        <f t="shared" si="10"/>
        <v>0</v>
      </c>
      <c r="L329" s="300">
        <f>$K329*'Model Data Inputs'!$B$168</f>
        <v>0</v>
      </c>
      <c r="M329" s="300">
        <f>$L329/'Model Data Inputs'!$B$169</f>
        <v>0</v>
      </c>
      <c r="N329" s="300">
        <f>IF($G329="E",$M329*('Model Data Inputs'!$B$171-1),IF($G329="M",$M329*('Model Data Inputs'!$B$172-1),IF($G329="H",$M329*('Model Data Inputs'!$B$173-1),$M329*('Model Data Inputs'!$B$170-1))))</f>
        <v>0</v>
      </c>
      <c r="O329" s="300">
        <f t="shared" ref="O329:O392" si="11">SUM($M329:$N329)</f>
        <v>0</v>
      </c>
    </row>
    <row r="330" spans="1:15" s="40" customFormat="1" x14ac:dyDescent="0.2">
      <c r="A330" s="20" t="s">
        <v>66</v>
      </c>
      <c r="B330" s="20" t="s">
        <v>67</v>
      </c>
      <c r="C330" s="20" t="s">
        <v>1826</v>
      </c>
      <c r="D330" s="20" t="s">
        <v>1827</v>
      </c>
      <c r="E330" s="298">
        <v>7583</v>
      </c>
      <c r="F330" s="138" t="s">
        <v>1159</v>
      </c>
      <c r="G330" s="138" t="s">
        <v>1198</v>
      </c>
      <c r="H330" s="299">
        <f>'School Level ADM'!S220</f>
        <v>227.35354385964911</v>
      </c>
      <c r="I330" s="300">
        <v>2.31</v>
      </c>
      <c r="J330" s="300">
        <f>IF(OR($E330&lt;='Model Data Inputs'!$B$175,$F330="T"),$I330,IF($G330="E",'Model Data Inputs'!$B$176+$H330/'Model Data Inputs'!$B$179,IF($G330="M",'Model Data Inputs'!$B$177+$H330/'Model Data Inputs'!$B$179,IF($G330="H",'Model Data Inputs'!$B$178+$H330/'Model Data Inputs'!$B$179,IF($G330="N/A",0,$I330)))))</f>
        <v>2.31</v>
      </c>
      <c r="K330" s="300">
        <f t="shared" si="10"/>
        <v>2.31</v>
      </c>
      <c r="L330" s="300">
        <f>$K330*'Model Data Inputs'!$B$168</f>
        <v>214.83</v>
      </c>
      <c r="M330" s="300">
        <f>$L330/'Model Data Inputs'!$B$169</f>
        <v>0.10698705179282869</v>
      </c>
      <c r="N330" s="300">
        <f>IF($G330="E",$M330*('Model Data Inputs'!$B$171-1),IF($G330="M",$M330*('Model Data Inputs'!$B$172-1),IF($G330="H",$M330*('Model Data Inputs'!$B$173-1),$M330*('Model Data Inputs'!$B$170-1))))</f>
        <v>0</v>
      </c>
      <c r="O330" s="300">
        <f t="shared" si="11"/>
        <v>0.10698705179282869</v>
      </c>
    </row>
    <row r="331" spans="1:15" s="40" customFormat="1" x14ac:dyDescent="0.2">
      <c r="A331" s="20" t="s">
        <v>66</v>
      </c>
      <c r="B331" s="20" t="s">
        <v>67</v>
      </c>
      <c r="C331" s="20" t="s">
        <v>1828</v>
      </c>
      <c r="D331" s="20" t="s">
        <v>1829</v>
      </c>
      <c r="E331" s="298">
        <v>35612</v>
      </c>
      <c r="F331" s="138" t="s">
        <v>1159</v>
      </c>
      <c r="G331" s="138">
        <v>0</v>
      </c>
      <c r="H331" s="299" t="s">
        <v>1191</v>
      </c>
      <c r="I331" s="300">
        <v>0.39</v>
      </c>
      <c r="J331" s="300">
        <f>IF(OR($E331&lt;='Model Data Inputs'!$B$175,$F331="T"),$I331,IF($G331="E",'Model Data Inputs'!$B$176+$H331/'Model Data Inputs'!$B$179,IF($G331="M",'Model Data Inputs'!$B$177+$H331/'Model Data Inputs'!$B$179,IF($G331="H",'Model Data Inputs'!$B$178+$H331/'Model Data Inputs'!$B$179,IF($G331="N/A",0,$I331)))))</f>
        <v>0.39</v>
      </c>
      <c r="K331" s="300">
        <f t="shared" si="10"/>
        <v>0</v>
      </c>
      <c r="L331" s="300">
        <f>$K331*'Model Data Inputs'!$B$168</f>
        <v>0</v>
      </c>
      <c r="M331" s="300">
        <f>$L331/'Model Data Inputs'!$B$169</f>
        <v>0</v>
      </c>
      <c r="N331" s="300">
        <f>IF($G331="E",$M331*('Model Data Inputs'!$B$171-1),IF($G331="M",$M331*('Model Data Inputs'!$B$172-1),IF($G331="H",$M331*('Model Data Inputs'!$B$173-1),$M331*('Model Data Inputs'!$B$170-1))))</f>
        <v>0</v>
      </c>
      <c r="O331" s="300">
        <f t="shared" si="11"/>
        <v>0</v>
      </c>
    </row>
    <row r="332" spans="1:15" s="40" customFormat="1" x14ac:dyDescent="0.2">
      <c r="A332" s="20" t="s">
        <v>66</v>
      </c>
      <c r="B332" s="20" t="s">
        <v>67</v>
      </c>
      <c r="C332" s="20" t="s">
        <v>1830</v>
      </c>
      <c r="D332" s="20" t="s">
        <v>809</v>
      </c>
      <c r="E332" s="298">
        <v>23253</v>
      </c>
      <c r="F332" s="138" t="s">
        <v>1159</v>
      </c>
      <c r="G332" s="138" t="s">
        <v>1205</v>
      </c>
      <c r="H332" s="299">
        <f>'School Level ADM'!S221</f>
        <v>164.54721052631578</v>
      </c>
      <c r="I332" s="300">
        <v>7.25</v>
      </c>
      <c r="J332" s="300">
        <f>IF(OR($E332&lt;='Model Data Inputs'!$B$175,$F332="T"),$I332,IF($G332="E",'Model Data Inputs'!$B$176+$H332/'Model Data Inputs'!$B$179,IF($G332="M",'Model Data Inputs'!$B$177+$H332/'Model Data Inputs'!$B$179,IF($G332="H",'Model Data Inputs'!$B$178+$H332/'Model Data Inputs'!$B$179,IF($G332="N/A",0,$I332)))))</f>
        <v>7.25</v>
      </c>
      <c r="K332" s="300">
        <f t="shared" si="10"/>
        <v>7.25</v>
      </c>
      <c r="L332" s="300">
        <f>$K332*'Model Data Inputs'!$B$168</f>
        <v>674.25</v>
      </c>
      <c r="M332" s="300">
        <f>$L332/'Model Data Inputs'!$B$169</f>
        <v>0.33578187250996017</v>
      </c>
      <c r="N332" s="300">
        <f>IF($G332="E",$M332*('Model Data Inputs'!$B$171-1),IF($G332="M",$M332*('Model Data Inputs'!$B$172-1),IF($G332="H",$M332*('Model Data Inputs'!$B$173-1),$M332*('Model Data Inputs'!$B$170-1))))</f>
        <v>0.16789093625498008</v>
      </c>
      <c r="O332" s="300">
        <f t="shared" si="11"/>
        <v>0.50367280876494025</v>
      </c>
    </row>
    <row r="333" spans="1:15" s="40" customFormat="1" x14ac:dyDescent="0.2">
      <c r="A333" s="20" t="s">
        <v>66</v>
      </c>
      <c r="B333" s="20" t="s">
        <v>67</v>
      </c>
      <c r="C333" s="20" t="s">
        <v>1831</v>
      </c>
      <c r="D333" s="20" t="s">
        <v>1832</v>
      </c>
      <c r="E333" s="298">
        <v>21678</v>
      </c>
      <c r="F333" s="138" t="s">
        <v>1159</v>
      </c>
      <c r="G333" s="138" t="s">
        <v>1198</v>
      </c>
      <c r="H333" s="299">
        <f>'School Level ADM'!S222</f>
        <v>355.35821052631582</v>
      </c>
      <c r="I333" s="300">
        <v>6.18</v>
      </c>
      <c r="J333" s="300">
        <f>IF(OR($E333&lt;='Model Data Inputs'!$B$175,$F333="T"),$I333,IF($G333="E",'Model Data Inputs'!$B$176+$H333/'Model Data Inputs'!$B$179,IF($G333="M",'Model Data Inputs'!$B$177+$H333/'Model Data Inputs'!$B$179,IF($G333="H",'Model Data Inputs'!$B$178+$H333/'Model Data Inputs'!$B$179,IF($G333="N/A",0,$I333)))))</f>
        <v>6.18</v>
      </c>
      <c r="K333" s="300">
        <f t="shared" si="10"/>
        <v>6.18</v>
      </c>
      <c r="L333" s="300">
        <f>$K333*'Model Data Inputs'!$B$168</f>
        <v>574.74</v>
      </c>
      <c r="M333" s="300">
        <f>$L333/'Model Data Inputs'!$B$169</f>
        <v>0.28622509960159365</v>
      </c>
      <c r="N333" s="300">
        <f>IF($G333="E",$M333*('Model Data Inputs'!$B$171-1),IF($G333="M",$M333*('Model Data Inputs'!$B$172-1),IF($G333="H",$M333*('Model Data Inputs'!$B$173-1),$M333*('Model Data Inputs'!$B$170-1))))</f>
        <v>0</v>
      </c>
      <c r="O333" s="300">
        <f t="shared" si="11"/>
        <v>0.28622509960159365</v>
      </c>
    </row>
    <row r="334" spans="1:15" s="40" customFormat="1" x14ac:dyDescent="0.2">
      <c r="A334" s="20" t="s">
        <v>66</v>
      </c>
      <c r="B334" s="20" t="s">
        <v>67</v>
      </c>
      <c r="C334" s="20" t="s">
        <v>1833</v>
      </c>
      <c r="D334" s="20" t="s">
        <v>1834</v>
      </c>
      <c r="E334" s="298">
        <v>30092</v>
      </c>
      <c r="F334" s="138" t="s">
        <v>1159</v>
      </c>
      <c r="G334" s="138" t="s">
        <v>1198</v>
      </c>
      <c r="H334" s="299">
        <f>'School Level ADM'!S223</f>
        <v>223.96621052631582</v>
      </c>
      <c r="I334" s="300">
        <v>10.75</v>
      </c>
      <c r="J334" s="300">
        <f>IF(OR($E334&lt;='Model Data Inputs'!$B$175,$F334="T"),$I334,IF($G334="E",'Model Data Inputs'!$B$176+$H334/'Model Data Inputs'!$B$179,IF($G334="M",'Model Data Inputs'!$B$177+$H334/'Model Data Inputs'!$B$179,IF($G334="H",'Model Data Inputs'!$B$178+$H334/'Model Data Inputs'!$B$179,IF($G334="N/A",0,$I334)))))</f>
        <v>10.75</v>
      </c>
      <c r="K334" s="300">
        <f t="shared" si="10"/>
        <v>10.75</v>
      </c>
      <c r="L334" s="300">
        <f>$K334*'Model Data Inputs'!$B$168</f>
        <v>999.75</v>
      </c>
      <c r="M334" s="300">
        <f>$L334/'Model Data Inputs'!$B$169</f>
        <v>0.49788346613545814</v>
      </c>
      <c r="N334" s="300">
        <f>IF($G334="E",$M334*('Model Data Inputs'!$B$171-1),IF($G334="M",$M334*('Model Data Inputs'!$B$172-1),IF($G334="H",$M334*('Model Data Inputs'!$B$173-1),$M334*('Model Data Inputs'!$B$170-1))))</f>
        <v>0</v>
      </c>
      <c r="O334" s="300">
        <f t="shared" si="11"/>
        <v>0.49788346613545814</v>
      </c>
    </row>
    <row r="335" spans="1:15" s="40" customFormat="1" x14ac:dyDescent="0.2">
      <c r="A335" s="20" t="s">
        <v>66</v>
      </c>
      <c r="B335" s="20" t="s">
        <v>67</v>
      </c>
      <c r="C335" s="20" t="s">
        <v>1835</v>
      </c>
      <c r="D335" s="20" t="s">
        <v>1836</v>
      </c>
      <c r="E335" s="298">
        <v>22130</v>
      </c>
      <c r="F335" s="138" t="s">
        <v>1159</v>
      </c>
      <c r="G335" s="138">
        <v>0</v>
      </c>
      <c r="H335" s="299" t="s">
        <v>1191</v>
      </c>
      <c r="I335" s="300">
        <v>19.71</v>
      </c>
      <c r="J335" s="300">
        <f>IF(OR($E335&lt;='Model Data Inputs'!$B$175,$F335="T"),$I335,IF($G335="E",'Model Data Inputs'!$B$176+$H335/'Model Data Inputs'!$B$179,IF($G335="M",'Model Data Inputs'!$B$177+$H335/'Model Data Inputs'!$B$179,IF($G335="H",'Model Data Inputs'!$B$178+$H335/'Model Data Inputs'!$B$179,IF($G335="N/A",0,$I335)))))</f>
        <v>19.71</v>
      </c>
      <c r="K335" s="300">
        <f t="shared" si="10"/>
        <v>0</v>
      </c>
      <c r="L335" s="300">
        <f>$K335*'Model Data Inputs'!$B$168</f>
        <v>0</v>
      </c>
      <c r="M335" s="300">
        <f>$L335/'Model Data Inputs'!$B$169</f>
        <v>0</v>
      </c>
      <c r="N335" s="300">
        <f>IF($G335="E",$M335*('Model Data Inputs'!$B$171-1),IF($G335="M",$M335*('Model Data Inputs'!$B$172-1),IF($G335="H",$M335*('Model Data Inputs'!$B$173-1),$M335*('Model Data Inputs'!$B$170-1))))</f>
        <v>0</v>
      </c>
      <c r="O335" s="300">
        <f t="shared" si="11"/>
        <v>0</v>
      </c>
    </row>
    <row r="336" spans="1:15" s="40" customFormat="1" x14ac:dyDescent="0.2">
      <c r="A336" s="20" t="s">
        <v>66</v>
      </c>
      <c r="B336" s="20" t="s">
        <v>67</v>
      </c>
      <c r="C336" s="20" t="s">
        <v>1837</v>
      </c>
      <c r="D336" s="20" t="s">
        <v>1838</v>
      </c>
      <c r="E336" s="298">
        <v>13960</v>
      </c>
      <c r="F336" s="138" t="s">
        <v>1159</v>
      </c>
      <c r="G336" s="138" t="s">
        <v>1205</v>
      </c>
      <c r="H336" s="299">
        <f>'School Level ADM'!S229</f>
        <v>844.21733333333327</v>
      </c>
      <c r="I336" s="300">
        <v>6.34</v>
      </c>
      <c r="J336" s="300">
        <f>IF(OR($E336&lt;='Model Data Inputs'!$B$175,$F336="T"),$I336,IF($G336="E",'Model Data Inputs'!$B$176+$H336/'Model Data Inputs'!$B$179,IF($G336="M",'Model Data Inputs'!$B$177+$H336/'Model Data Inputs'!$B$179,IF($G336="H",'Model Data Inputs'!$B$178+$H336/'Model Data Inputs'!$B$179,IF($G336="N/A",0,$I336)))))</f>
        <v>6.34</v>
      </c>
      <c r="K336" s="300">
        <f t="shared" si="10"/>
        <v>6.34</v>
      </c>
      <c r="L336" s="300">
        <f>$K336*'Model Data Inputs'!$B$168</f>
        <v>589.62</v>
      </c>
      <c r="M336" s="300">
        <f>$L336/'Model Data Inputs'!$B$169</f>
        <v>0.29363545816733067</v>
      </c>
      <c r="N336" s="300">
        <f>IF($G336="E",$M336*('Model Data Inputs'!$B$171-1),IF($G336="M",$M336*('Model Data Inputs'!$B$172-1),IF($G336="H",$M336*('Model Data Inputs'!$B$173-1),$M336*('Model Data Inputs'!$B$170-1))))</f>
        <v>0.14681772908366533</v>
      </c>
      <c r="O336" s="300">
        <f t="shared" si="11"/>
        <v>0.44045318725099603</v>
      </c>
    </row>
    <row r="337" spans="1:15" s="40" customFormat="1" x14ac:dyDescent="0.2">
      <c r="A337" s="20" t="s">
        <v>66</v>
      </c>
      <c r="B337" s="20" t="s">
        <v>67</v>
      </c>
      <c r="C337" s="20" t="s">
        <v>1839</v>
      </c>
      <c r="D337" s="20" t="s">
        <v>1840</v>
      </c>
      <c r="E337" s="298">
        <v>28268</v>
      </c>
      <c r="F337" s="138" t="s">
        <v>1159</v>
      </c>
      <c r="G337" s="138" t="s">
        <v>1205</v>
      </c>
      <c r="H337" s="299">
        <f>SUM('School Level ADM'!S224,'School Level ADM'!S226)</f>
        <v>536.51700000000005</v>
      </c>
      <c r="I337" s="300">
        <v>15.03</v>
      </c>
      <c r="J337" s="300">
        <f>IF(OR($E337&lt;='Model Data Inputs'!$B$175,$F337="T"),$I337,IF($G337="E",'Model Data Inputs'!$B$176+$H337/'Model Data Inputs'!$B$179,IF($G337="M",'Model Data Inputs'!$B$177+$H337/'Model Data Inputs'!$B$179,IF($G337="H",'Model Data Inputs'!$B$178+$H337/'Model Data Inputs'!$B$179,IF($G337="N/A",0,$I337)))))</f>
        <v>15.03</v>
      </c>
      <c r="K337" s="300">
        <f t="shared" si="10"/>
        <v>15.03</v>
      </c>
      <c r="L337" s="300">
        <f>$K337*'Model Data Inputs'!$B$168</f>
        <v>1397.79</v>
      </c>
      <c r="M337" s="300">
        <f>$L337/'Model Data Inputs'!$B$169</f>
        <v>0.69611055776892428</v>
      </c>
      <c r="N337" s="300">
        <f>IF($G337="E",$M337*('Model Data Inputs'!$B$171-1),IF($G337="M",$M337*('Model Data Inputs'!$B$172-1),IF($G337="H",$M337*('Model Data Inputs'!$B$173-1),$M337*('Model Data Inputs'!$B$170-1))))</f>
        <v>0.34805527888446214</v>
      </c>
      <c r="O337" s="300">
        <f t="shared" si="11"/>
        <v>1.0441658366533864</v>
      </c>
    </row>
    <row r="338" spans="1:15" s="40" customFormat="1" x14ac:dyDescent="0.2">
      <c r="A338" s="20" t="s">
        <v>66</v>
      </c>
      <c r="B338" s="20" t="s">
        <v>67</v>
      </c>
      <c r="C338" s="20" t="s">
        <v>1841</v>
      </c>
      <c r="D338" s="20" t="s">
        <v>1842</v>
      </c>
      <c r="E338" s="298">
        <v>30146</v>
      </c>
      <c r="F338" s="138" t="s">
        <v>1159</v>
      </c>
      <c r="G338" s="138" t="s">
        <v>1205</v>
      </c>
      <c r="H338" s="299">
        <f>'School Level ADM'!S230</f>
        <v>717.33333333333337</v>
      </c>
      <c r="I338" s="300">
        <v>15.09</v>
      </c>
      <c r="J338" s="300">
        <f>IF(OR($E338&lt;='Model Data Inputs'!$B$175,$F338="T"),$I338,IF($G338="E",'Model Data Inputs'!$B$176+$H338/'Model Data Inputs'!$B$179,IF($G338="M",'Model Data Inputs'!$B$177+$H338/'Model Data Inputs'!$B$179,IF($G338="H",'Model Data Inputs'!$B$178+$H338/'Model Data Inputs'!$B$179,IF($G338="N/A",0,$I338)))))</f>
        <v>15.09</v>
      </c>
      <c r="K338" s="300">
        <f t="shared" si="10"/>
        <v>15.09</v>
      </c>
      <c r="L338" s="300">
        <f>$K338*'Model Data Inputs'!$B$168</f>
        <v>1403.37</v>
      </c>
      <c r="M338" s="300">
        <f>$L338/'Model Data Inputs'!$B$169</f>
        <v>0.69888944223107563</v>
      </c>
      <c r="N338" s="300">
        <f>IF($G338="E",$M338*('Model Data Inputs'!$B$171-1),IF($G338="M",$M338*('Model Data Inputs'!$B$172-1),IF($G338="H",$M338*('Model Data Inputs'!$B$173-1),$M338*('Model Data Inputs'!$B$170-1))))</f>
        <v>0.34944472111553782</v>
      </c>
      <c r="O338" s="300">
        <f t="shared" si="11"/>
        <v>1.0483341633466134</v>
      </c>
    </row>
    <row r="339" spans="1:15" s="40" customFormat="1" x14ac:dyDescent="0.2">
      <c r="A339" s="20" t="s">
        <v>66</v>
      </c>
      <c r="B339" s="20" t="s">
        <v>67</v>
      </c>
      <c r="C339" s="20" t="s">
        <v>1843</v>
      </c>
      <c r="D339" s="20" t="s">
        <v>1844</v>
      </c>
      <c r="E339" s="298">
        <v>21837</v>
      </c>
      <c r="F339" s="138" t="s">
        <v>1159</v>
      </c>
      <c r="G339" s="138" t="s">
        <v>1228</v>
      </c>
      <c r="H339" s="299">
        <f>'School Level ADM'!S231</f>
        <v>1742.1313333333333</v>
      </c>
      <c r="I339" s="300">
        <v>53.5</v>
      </c>
      <c r="J339" s="300">
        <f>IF(OR($E339&lt;='Model Data Inputs'!$B$175,$F339="T"),$I339,IF($G339="E",'Model Data Inputs'!$B$176+$H339/'Model Data Inputs'!$B$179,IF($G339="M",'Model Data Inputs'!$B$177+$H339/'Model Data Inputs'!$B$179,IF($G339="H",'Model Data Inputs'!$B$178+$H339/'Model Data Inputs'!$B$179,IF($G339="N/A",0,$I339)))))</f>
        <v>53.5</v>
      </c>
      <c r="K339" s="300">
        <f t="shared" si="10"/>
        <v>53.5</v>
      </c>
      <c r="L339" s="300">
        <f>$K339*'Model Data Inputs'!$B$168</f>
        <v>4975.5</v>
      </c>
      <c r="M339" s="300">
        <f>$L339/'Model Data Inputs'!$B$169</f>
        <v>2.4778386454183265</v>
      </c>
      <c r="N339" s="300">
        <f>IF($G339="E",$M339*('Model Data Inputs'!$B$171-1),IF($G339="M",$M339*('Model Data Inputs'!$B$172-1),IF($G339="H",$M339*('Model Data Inputs'!$B$173-1),$M339*('Model Data Inputs'!$B$170-1))))</f>
        <v>3.7167579681274896</v>
      </c>
      <c r="O339" s="300">
        <f t="shared" si="11"/>
        <v>6.1945966135458157</v>
      </c>
    </row>
    <row r="340" spans="1:15" s="40" customFormat="1" x14ac:dyDescent="0.2">
      <c r="A340" s="20" t="s">
        <v>66</v>
      </c>
      <c r="B340" s="20" t="s">
        <v>67</v>
      </c>
      <c r="C340" s="20" t="s">
        <v>1845</v>
      </c>
      <c r="D340" s="20" t="s">
        <v>1846</v>
      </c>
      <c r="E340" s="298">
        <v>23257</v>
      </c>
      <c r="F340" s="138" t="s">
        <v>1159</v>
      </c>
      <c r="G340" s="138" t="s">
        <v>1228</v>
      </c>
      <c r="H340" s="299">
        <f>'School Level ADM'!S227</f>
        <v>131.11000000000001</v>
      </c>
      <c r="I340" s="300">
        <v>22.1</v>
      </c>
      <c r="J340" s="300">
        <f>IF(OR($E340&lt;='Model Data Inputs'!$B$175,$F340="T"),$I340,IF($G340="E",'Model Data Inputs'!$B$176+$H340/'Model Data Inputs'!$B$179,IF($G340="M",'Model Data Inputs'!$B$177+$H340/'Model Data Inputs'!$B$179,IF($G340="H",'Model Data Inputs'!$B$178+$H340/'Model Data Inputs'!$B$179,IF($G340="N/A",0,$I340)))))</f>
        <v>22.1</v>
      </c>
      <c r="K340" s="300">
        <f t="shared" si="10"/>
        <v>22.1</v>
      </c>
      <c r="L340" s="300">
        <f>$K340*'Model Data Inputs'!$B$168</f>
        <v>2055.3000000000002</v>
      </c>
      <c r="M340" s="300">
        <f>$L340/'Model Data Inputs'!$B$169</f>
        <v>1.0235557768924304</v>
      </c>
      <c r="N340" s="300">
        <f>IF($G340="E",$M340*('Model Data Inputs'!$B$171-1),IF($G340="M",$M340*('Model Data Inputs'!$B$172-1),IF($G340="H",$M340*('Model Data Inputs'!$B$173-1),$M340*('Model Data Inputs'!$B$170-1))))</f>
        <v>1.5353336653386456</v>
      </c>
      <c r="O340" s="300">
        <f t="shared" si="11"/>
        <v>2.558889442231076</v>
      </c>
    </row>
    <row r="341" spans="1:15" s="40" customFormat="1" x14ac:dyDescent="0.2">
      <c r="A341" s="20" t="s">
        <v>66</v>
      </c>
      <c r="B341" s="20" t="s">
        <v>67</v>
      </c>
      <c r="C341" s="20" t="s">
        <v>1847</v>
      </c>
      <c r="D341" s="20" t="s">
        <v>1848</v>
      </c>
      <c r="E341" s="298">
        <v>35612</v>
      </c>
      <c r="F341" s="138" t="s">
        <v>1159</v>
      </c>
      <c r="G341" s="138" t="s">
        <v>1228</v>
      </c>
      <c r="H341" s="299">
        <f>'School Level ADM'!S232</f>
        <v>1606.7569999999998</v>
      </c>
      <c r="I341" s="300">
        <v>27.322399999999998</v>
      </c>
      <c r="J341" s="300">
        <f>IF(OR($E341&lt;='Model Data Inputs'!$B$175,$F341="T"),$I341,IF($G341="E",'Model Data Inputs'!$B$176+$H341/'Model Data Inputs'!$B$179,IF($G341="M",'Model Data Inputs'!$B$177+$H341/'Model Data Inputs'!$B$179,IF($G341="H",'Model Data Inputs'!$B$178+$H341/'Model Data Inputs'!$B$179,IF($G341="N/A",0,$I341)))))</f>
        <v>27.322399999999998</v>
      </c>
      <c r="K341" s="300">
        <f t="shared" si="10"/>
        <v>27.322399999999998</v>
      </c>
      <c r="L341" s="300">
        <f>$K341*'Model Data Inputs'!$B$168</f>
        <v>2540.9831999999997</v>
      </c>
      <c r="M341" s="300">
        <f>$L341/'Model Data Inputs'!$B$169</f>
        <v>1.2654298804780875</v>
      </c>
      <c r="N341" s="300">
        <f>IF($G341="E",$M341*('Model Data Inputs'!$B$171-1),IF($G341="M",$M341*('Model Data Inputs'!$B$172-1),IF($G341="H",$M341*('Model Data Inputs'!$B$173-1),$M341*('Model Data Inputs'!$B$170-1))))</f>
        <v>1.8981448207171312</v>
      </c>
      <c r="O341" s="300">
        <f t="shared" si="11"/>
        <v>3.1635747011952189</v>
      </c>
    </row>
    <row r="342" spans="1:15" s="40" customFormat="1" x14ac:dyDescent="0.2">
      <c r="A342" s="20" t="s">
        <v>66</v>
      </c>
      <c r="B342" s="20" t="s">
        <v>67</v>
      </c>
      <c r="C342" s="20" t="s">
        <v>1849</v>
      </c>
      <c r="D342" s="20" t="s">
        <v>1850</v>
      </c>
      <c r="E342" s="298">
        <v>35612</v>
      </c>
      <c r="F342" s="138" t="s">
        <v>1159</v>
      </c>
      <c r="G342" s="138">
        <v>0</v>
      </c>
      <c r="H342" s="299" t="s">
        <v>1191</v>
      </c>
      <c r="I342" s="300">
        <v>9.0299999999999994</v>
      </c>
      <c r="J342" s="300">
        <f>IF(OR($E342&lt;='Model Data Inputs'!$B$175,$F342="T"),$I342,IF($G342="E",'Model Data Inputs'!$B$176+$H342/'Model Data Inputs'!$B$179,IF($G342="M",'Model Data Inputs'!$B$177+$H342/'Model Data Inputs'!$B$179,IF($G342="H",'Model Data Inputs'!$B$178+$H342/'Model Data Inputs'!$B$179,IF($G342="N/A",0,$I342)))))</f>
        <v>9.0299999999999994</v>
      </c>
      <c r="K342" s="300">
        <f t="shared" si="10"/>
        <v>0</v>
      </c>
      <c r="L342" s="300">
        <f>$K342*'Model Data Inputs'!$B$168</f>
        <v>0</v>
      </c>
      <c r="M342" s="300">
        <f>$L342/'Model Data Inputs'!$B$169</f>
        <v>0</v>
      </c>
      <c r="N342" s="300">
        <f>IF($G342="E",$M342*('Model Data Inputs'!$B$171-1),IF($G342="M",$M342*('Model Data Inputs'!$B$172-1),IF($G342="H",$M342*('Model Data Inputs'!$B$173-1),$M342*('Model Data Inputs'!$B$170-1))))</f>
        <v>0</v>
      </c>
      <c r="O342" s="300">
        <f t="shared" si="11"/>
        <v>0</v>
      </c>
    </row>
    <row r="343" spans="1:15" s="40" customFormat="1" x14ac:dyDescent="0.2">
      <c r="A343" s="20" t="s">
        <v>66</v>
      </c>
      <c r="B343" s="20" t="s">
        <v>67</v>
      </c>
      <c r="C343" s="20" t="s">
        <v>1851</v>
      </c>
      <c r="D343" s="20" t="s">
        <v>1852</v>
      </c>
      <c r="E343" s="298">
        <v>24068</v>
      </c>
      <c r="F343" s="138" t="s">
        <v>1159</v>
      </c>
      <c r="G343" s="138">
        <v>0</v>
      </c>
      <c r="H343" s="299" t="s">
        <v>1191</v>
      </c>
      <c r="I343" s="300">
        <v>1.57</v>
      </c>
      <c r="J343" s="300">
        <f>IF(OR($E343&lt;='Model Data Inputs'!$B$175,$F343="T"),$I343,IF($G343="E",'Model Data Inputs'!$B$176+$H343/'Model Data Inputs'!$B$179,IF($G343="M",'Model Data Inputs'!$B$177+$H343/'Model Data Inputs'!$B$179,IF($G343="H",'Model Data Inputs'!$B$178+$H343/'Model Data Inputs'!$B$179,IF($G343="N/A",0,$I343)))))</f>
        <v>1.57</v>
      </c>
      <c r="K343" s="300">
        <f t="shared" si="10"/>
        <v>0</v>
      </c>
      <c r="L343" s="300">
        <f>$K343*'Model Data Inputs'!$B$168</f>
        <v>0</v>
      </c>
      <c r="M343" s="300">
        <f>$L343/'Model Data Inputs'!$B$169</f>
        <v>0</v>
      </c>
      <c r="N343" s="300">
        <f>IF($G343="E",$M343*('Model Data Inputs'!$B$171-1),IF($G343="M",$M343*('Model Data Inputs'!$B$172-1),IF($G343="H",$M343*('Model Data Inputs'!$B$173-1),$M343*('Model Data Inputs'!$B$170-1))))</f>
        <v>0</v>
      </c>
      <c r="O343" s="300">
        <f t="shared" si="11"/>
        <v>0</v>
      </c>
    </row>
    <row r="344" spans="1:15" s="40" customFormat="1" x14ac:dyDescent="0.2">
      <c r="A344" s="20" t="s">
        <v>66</v>
      </c>
      <c r="B344" s="20" t="s">
        <v>67</v>
      </c>
      <c r="C344" s="20" t="s">
        <v>1853</v>
      </c>
      <c r="D344" s="20" t="s">
        <v>1854</v>
      </c>
      <c r="E344" s="298">
        <v>20969</v>
      </c>
      <c r="F344" s="138" t="s">
        <v>1159</v>
      </c>
      <c r="G344" s="138">
        <v>0</v>
      </c>
      <c r="H344" s="299" t="s">
        <v>1191</v>
      </c>
      <c r="I344" s="300">
        <v>0.38</v>
      </c>
      <c r="J344" s="300">
        <f>IF(OR($E344&lt;='Model Data Inputs'!$B$175,$F344="T"),$I344,IF($G344="E",'Model Data Inputs'!$B$176+$H344/'Model Data Inputs'!$B$179,IF($G344="M",'Model Data Inputs'!$B$177+$H344/'Model Data Inputs'!$B$179,IF($G344="H",'Model Data Inputs'!$B$178+$H344/'Model Data Inputs'!$B$179,IF($G344="N/A",0,$I344)))))</f>
        <v>0.38</v>
      </c>
      <c r="K344" s="300">
        <f t="shared" si="10"/>
        <v>0</v>
      </c>
      <c r="L344" s="300">
        <f>$K344*'Model Data Inputs'!$B$168</f>
        <v>0</v>
      </c>
      <c r="M344" s="300">
        <f>$L344/'Model Data Inputs'!$B$169</f>
        <v>0</v>
      </c>
      <c r="N344" s="300">
        <f>IF($G344="E",$M344*('Model Data Inputs'!$B$171-1),IF($G344="M",$M344*('Model Data Inputs'!$B$172-1),IF($G344="H",$M344*('Model Data Inputs'!$B$173-1),$M344*('Model Data Inputs'!$B$170-1))))</f>
        <v>0</v>
      </c>
      <c r="O344" s="300">
        <f t="shared" si="11"/>
        <v>0</v>
      </c>
    </row>
    <row r="345" spans="1:15" s="40" customFormat="1" x14ac:dyDescent="0.2">
      <c r="A345" s="20" t="s">
        <v>66</v>
      </c>
      <c r="B345" s="20" t="s">
        <v>67</v>
      </c>
      <c r="C345" s="20" t="s">
        <v>1855</v>
      </c>
      <c r="D345" s="20" t="s">
        <v>1856</v>
      </c>
      <c r="E345" s="298">
        <v>21676</v>
      </c>
      <c r="F345" s="138" t="s">
        <v>1159</v>
      </c>
      <c r="G345" s="138">
        <v>0</v>
      </c>
      <c r="H345" s="299" t="s">
        <v>1191</v>
      </c>
      <c r="I345" s="300">
        <v>3.1</v>
      </c>
      <c r="J345" s="300">
        <f>IF(OR($E345&lt;='Model Data Inputs'!$B$175,$F345="T"),$I345,IF($G345="E",'Model Data Inputs'!$B$176+$H345/'Model Data Inputs'!$B$179,IF($G345="M",'Model Data Inputs'!$B$177+$H345/'Model Data Inputs'!$B$179,IF($G345="H",'Model Data Inputs'!$B$178+$H345/'Model Data Inputs'!$B$179,IF($G345="N/A",0,$I345)))))</f>
        <v>3.1</v>
      </c>
      <c r="K345" s="300">
        <f t="shared" si="10"/>
        <v>0</v>
      </c>
      <c r="L345" s="300">
        <f>$K345*'Model Data Inputs'!$B$168</f>
        <v>0</v>
      </c>
      <c r="M345" s="300">
        <f>$L345/'Model Data Inputs'!$B$169</f>
        <v>0</v>
      </c>
      <c r="N345" s="300">
        <f>IF($G345="E",$M345*('Model Data Inputs'!$B$171-1),IF($G345="M",$M345*('Model Data Inputs'!$B$172-1),IF($G345="H",$M345*('Model Data Inputs'!$B$173-1),$M345*('Model Data Inputs'!$B$170-1))))</f>
        <v>0</v>
      </c>
      <c r="O345" s="300">
        <f t="shared" si="11"/>
        <v>0</v>
      </c>
    </row>
    <row r="346" spans="1:15" s="40" customFormat="1" x14ac:dyDescent="0.2">
      <c r="A346" s="20" t="s">
        <v>66</v>
      </c>
      <c r="B346" s="20" t="s">
        <v>67</v>
      </c>
      <c r="C346" s="20" t="s">
        <v>1857</v>
      </c>
      <c r="D346" s="20" t="s">
        <v>1858</v>
      </c>
      <c r="E346" s="298">
        <v>35612</v>
      </c>
      <c r="F346" s="138" t="s">
        <v>1159</v>
      </c>
      <c r="G346" s="138">
        <v>0</v>
      </c>
      <c r="H346" s="299" t="s">
        <v>1191</v>
      </c>
      <c r="I346" s="300">
        <v>0.01</v>
      </c>
      <c r="J346" s="300">
        <f>IF(OR($E346&lt;='Model Data Inputs'!$B$175,$F346="T"),$I346,IF($G346="E",'Model Data Inputs'!$B$176+$H346/'Model Data Inputs'!$B$179,IF($G346="M",'Model Data Inputs'!$B$177+$H346/'Model Data Inputs'!$B$179,IF($G346="H",'Model Data Inputs'!$B$178+$H346/'Model Data Inputs'!$B$179,IF($G346="N/A",0,$I346)))))</f>
        <v>0.01</v>
      </c>
      <c r="K346" s="300">
        <f t="shared" si="10"/>
        <v>0</v>
      </c>
      <c r="L346" s="300">
        <f>$K346*'Model Data Inputs'!$B$168</f>
        <v>0</v>
      </c>
      <c r="M346" s="300">
        <f>$L346/'Model Data Inputs'!$B$169</f>
        <v>0</v>
      </c>
      <c r="N346" s="300">
        <f>IF($G346="E",$M346*('Model Data Inputs'!$B$171-1),IF($G346="M",$M346*('Model Data Inputs'!$B$172-1),IF($G346="H",$M346*('Model Data Inputs'!$B$173-1),$M346*('Model Data Inputs'!$B$170-1))))</f>
        <v>0</v>
      </c>
      <c r="O346" s="300">
        <f t="shared" si="11"/>
        <v>0</v>
      </c>
    </row>
    <row r="347" spans="1:15" s="40" customFormat="1" x14ac:dyDescent="0.2">
      <c r="A347" s="20" t="s">
        <v>66</v>
      </c>
      <c r="B347" s="20" t="s">
        <v>67</v>
      </c>
      <c r="C347" s="20" t="s">
        <v>1859</v>
      </c>
      <c r="D347" s="20" t="s">
        <v>1860</v>
      </c>
      <c r="E347" s="298">
        <v>30328</v>
      </c>
      <c r="F347" s="138" t="s">
        <v>1159</v>
      </c>
      <c r="G347" s="138" t="s">
        <v>1198</v>
      </c>
      <c r="H347" s="299">
        <f>'School Level ADM'!S205</f>
        <v>435.82887719298242</v>
      </c>
      <c r="I347" s="300">
        <v>9.01</v>
      </c>
      <c r="J347" s="300">
        <f>IF(OR($E347&lt;='Model Data Inputs'!$B$175,$F347="T"),$I347,IF($G347="E",'Model Data Inputs'!$B$176+$H347/'Model Data Inputs'!$B$179,IF($G347="M",'Model Data Inputs'!$B$177+$H347/'Model Data Inputs'!$B$179,IF($G347="H",'Model Data Inputs'!$B$178+$H347/'Model Data Inputs'!$B$179,IF($G347="N/A",0,$I347)))))</f>
        <v>9.01</v>
      </c>
      <c r="K347" s="300">
        <f t="shared" si="10"/>
        <v>9.01</v>
      </c>
      <c r="L347" s="300">
        <f>$K347*'Model Data Inputs'!$B$168</f>
        <v>837.93</v>
      </c>
      <c r="M347" s="300">
        <f>$L347/'Model Data Inputs'!$B$169</f>
        <v>0.4172958167330677</v>
      </c>
      <c r="N347" s="300">
        <f>IF($G347="E",$M347*('Model Data Inputs'!$B$171-1),IF($G347="M",$M347*('Model Data Inputs'!$B$172-1),IF($G347="H",$M347*('Model Data Inputs'!$B$173-1),$M347*('Model Data Inputs'!$B$170-1))))</f>
        <v>0</v>
      </c>
      <c r="O347" s="300">
        <f t="shared" si="11"/>
        <v>0.4172958167330677</v>
      </c>
    </row>
    <row r="348" spans="1:15" s="40" customFormat="1" x14ac:dyDescent="0.2">
      <c r="A348" s="20" t="s">
        <v>66</v>
      </c>
      <c r="B348" s="20" t="s">
        <v>67</v>
      </c>
      <c r="C348" s="20" t="s">
        <v>1861</v>
      </c>
      <c r="D348" s="20" t="s">
        <v>1862</v>
      </c>
      <c r="E348" s="298">
        <v>35612</v>
      </c>
      <c r="F348" s="138" t="s">
        <v>1159</v>
      </c>
      <c r="G348" s="138" t="s">
        <v>1228</v>
      </c>
      <c r="H348" s="299">
        <f>SUM('School Level ADM'!S228,'School Level ADM'!S233)</f>
        <v>942.62700000000018</v>
      </c>
      <c r="I348" s="300">
        <v>57.5</v>
      </c>
      <c r="J348" s="300">
        <f>IF(OR($E348&lt;='Model Data Inputs'!$B$175,$F348="T"),$I348,IF($G348="E",'Model Data Inputs'!$B$176+$H348/'Model Data Inputs'!$B$179,IF($G348="M",'Model Data Inputs'!$B$177+$H348/'Model Data Inputs'!$B$179,IF($G348="H",'Model Data Inputs'!$B$178+$H348/'Model Data Inputs'!$B$179,IF($G348="N/A",0,$I348)))))</f>
        <v>57.5</v>
      </c>
      <c r="K348" s="300">
        <f t="shared" si="10"/>
        <v>57.5</v>
      </c>
      <c r="L348" s="300">
        <f>$K348*'Model Data Inputs'!$B$168</f>
        <v>5347.5</v>
      </c>
      <c r="M348" s="300">
        <f>$L348/'Model Data Inputs'!$B$169</f>
        <v>2.6630976095617531</v>
      </c>
      <c r="N348" s="300">
        <f>IF($G348="E",$M348*('Model Data Inputs'!$B$171-1),IF($G348="M",$M348*('Model Data Inputs'!$B$172-1),IF($G348="H",$M348*('Model Data Inputs'!$B$173-1),$M348*('Model Data Inputs'!$B$170-1))))</f>
        <v>3.9946464143426299</v>
      </c>
      <c r="O348" s="300">
        <f t="shared" si="11"/>
        <v>6.6577440239043835</v>
      </c>
    </row>
    <row r="349" spans="1:15" s="40" customFormat="1" x14ac:dyDescent="0.2">
      <c r="A349" s="20" t="s">
        <v>66</v>
      </c>
      <c r="B349" s="20" t="s">
        <v>67</v>
      </c>
      <c r="C349" s="20" t="s">
        <v>1863</v>
      </c>
      <c r="D349" s="20" t="s">
        <v>1864</v>
      </c>
      <c r="E349" s="298">
        <v>39979</v>
      </c>
      <c r="F349" s="138" t="s">
        <v>1159</v>
      </c>
      <c r="G349" s="138" t="s">
        <v>1198</v>
      </c>
      <c r="H349" s="299">
        <f>'School Level ADM'!S225</f>
        <v>434.69599999999997</v>
      </c>
      <c r="I349" s="300">
        <v>11</v>
      </c>
      <c r="J349" s="300">
        <f>IF(OR($E349&lt;='Model Data Inputs'!$B$175,$F349="T"),$I349,IF($G349="E",'Model Data Inputs'!$B$176+$H349/'Model Data Inputs'!$B$179,IF($G349="M",'Model Data Inputs'!$B$177+$H349/'Model Data Inputs'!$B$179,IF($G349="H",'Model Data Inputs'!$B$178+$H349/'Model Data Inputs'!$B$179,IF($G349="N/A",0,$I349)))))</f>
        <v>8.3469599999999993</v>
      </c>
      <c r="K349" s="300">
        <f t="shared" si="10"/>
        <v>8.3469599999999993</v>
      </c>
      <c r="L349" s="300">
        <f>$K349*'Model Data Inputs'!$B$168</f>
        <v>776.26727999999991</v>
      </c>
      <c r="M349" s="300">
        <f>$L349/'Model Data Inputs'!$B$169</f>
        <v>0.38658729083665333</v>
      </c>
      <c r="N349" s="300">
        <f>IF($G349="E",$M349*('Model Data Inputs'!$B$171-1),IF($G349="M",$M349*('Model Data Inputs'!$B$172-1),IF($G349="H",$M349*('Model Data Inputs'!$B$173-1),$M349*('Model Data Inputs'!$B$170-1))))</f>
        <v>0</v>
      </c>
      <c r="O349" s="300">
        <f t="shared" si="11"/>
        <v>0.38658729083665333</v>
      </c>
    </row>
    <row r="350" spans="1:15" s="40" customFormat="1" x14ac:dyDescent="0.2">
      <c r="A350" s="20" t="s">
        <v>66</v>
      </c>
      <c r="B350" s="20" t="s">
        <v>67</v>
      </c>
      <c r="C350" s="20" t="s">
        <v>1865</v>
      </c>
      <c r="D350" s="20" t="s">
        <v>1866</v>
      </c>
      <c r="E350" s="298">
        <v>41733</v>
      </c>
      <c r="F350" s="138" t="s">
        <v>1159</v>
      </c>
      <c r="G350" s="138" t="s">
        <v>1198</v>
      </c>
      <c r="H350" s="299">
        <f>'School Level ADM'!S210</f>
        <v>305.54554385964911</v>
      </c>
      <c r="I350" s="300">
        <v>6.18</v>
      </c>
      <c r="J350" s="300">
        <f>IF(OR($E350&lt;='Model Data Inputs'!$B$175,$F350="T"),$I350,IF($G350="E",'Model Data Inputs'!$B$176+$H350/'Model Data Inputs'!$B$179,IF($G350="M",'Model Data Inputs'!$B$177+$H350/'Model Data Inputs'!$B$179,IF($G350="H",'Model Data Inputs'!$B$178+$H350/'Model Data Inputs'!$B$179,IF($G350="N/A",0,$I350)))))</f>
        <v>7.0554554385964909</v>
      </c>
      <c r="K350" s="300">
        <f t="shared" si="10"/>
        <v>6.18</v>
      </c>
      <c r="L350" s="300">
        <f>$K350*'Model Data Inputs'!$B$168</f>
        <v>574.74</v>
      </c>
      <c r="M350" s="300">
        <f>$L350/'Model Data Inputs'!$B$169</f>
        <v>0.28622509960159365</v>
      </c>
      <c r="N350" s="300">
        <f>IF($G350="E",$M350*('Model Data Inputs'!$B$171-1),IF($G350="M",$M350*('Model Data Inputs'!$B$172-1),IF($G350="H",$M350*('Model Data Inputs'!$B$173-1),$M350*('Model Data Inputs'!$B$170-1))))</f>
        <v>0</v>
      </c>
      <c r="O350" s="300">
        <f t="shared" si="11"/>
        <v>0.28622509960159365</v>
      </c>
    </row>
    <row r="351" spans="1:15" s="40" customFormat="1" x14ac:dyDescent="0.2">
      <c r="A351" s="20" t="s">
        <v>68</v>
      </c>
      <c r="B351" s="20" t="s">
        <v>69</v>
      </c>
      <c r="C351" s="20" t="s">
        <v>1867</v>
      </c>
      <c r="D351" s="20" t="s">
        <v>1868</v>
      </c>
      <c r="E351" s="298">
        <v>28389</v>
      </c>
      <c r="F351" s="138" t="s">
        <v>1159</v>
      </c>
      <c r="G351" s="138">
        <v>0</v>
      </c>
      <c r="H351" s="299" t="s">
        <v>1191</v>
      </c>
      <c r="I351" s="300">
        <v>0.53</v>
      </c>
      <c r="J351" s="300">
        <f>IF(OR($E351&lt;='Model Data Inputs'!$B$175,$F351="T"),$I351,IF($G351="E",'Model Data Inputs'!$B$176+$H351/'Model Data Inputs'!$B$179,IF($G351="M",'Model Data Inputs'!$B$177+$H351/'Model Data Inputs'!$B$179,IF($G351="H",'Model Data Inputs'!$B$178+$H351/'Model Data Inputs'!$B$179,IF($G351="N/A",0,$I351)))))</f>
        <v>0.53</v>
      </c>
      <c r="K351" s="300">
        <f t="shared" si="10"/>
        <v>0</v>
      </c>
      <c r="L351" s="300">
        <f>$K351*'Model Data Inputs'!$B$168</f>
        <v>0</v>
      </c>
      <c r="M351" s="300">
        <f>$L351/'Model Data Inputs'!$B$169</f>
        <v>0</v>
      </c>
      <c r="N351" s="300">
        <f>IF($G351="E",$M351*('Model Data Inputs'!$B$171-1),IF($G351="M",$M351*('Model Data Inputs'!$B$172-1),IF($G351="H",$M351*('Model Data Inputs'!$B$173-1),$M351*('Model Data Inputs'!$B$170-1))))</f>
        <v>0</v>
      </c>
      <c r="O351" s="300">
        <f t="shared" si="11"/>
        <v>0</v>
      </c>
    </row>
    <row r="352" spans="1:15" s="40" customFormat="1" x14ac:dyDescent="0.2">
      <c r="A352" s="20" t="s">
        <v>68</v>
      </c>
      <c r="B352" s="20" t="s">
        <v>69</v>
      </c>
      <c r="C352" s="20" t="s">
        <v>1869</v>
      </c>
      <c r="D352" s="20" t="s">
        <v>1870</v>
      </c>
      <c r="E352" s="298">
        <v>35612</v>
      </c>
      <c r="F352" s="138" t="s">
        <v>1159</v>
      </c>
      <c r="G352" s="138" t="s">
        <v>1205</v>
      </c>
      <c r="H352" s="299">
        <f>'School Level ADM'!S234</f>
        <v>4.3066666666666666</v>
      </c>
      <c r="I352" s="300">
        <v>1.7</v>
      </c>
      <c r="J352" s="300">
        <f>IF(OR($E352&lt;='Model Data Inputs'!$B$175,$F352="T"),$I352,IF($G352="E",'Model Data Inputs'!$B$176+$H352/'Model Data Inputs'!$B$179,IF($G352="M",'Model Data Inputs'!$B$177+$H352/'Model Data Inputs'!$B$179,IF($G352="H",'Model Data Inputs'!$B$178+$H352/'Model Data Inputs'!$B$179,IF($G352="N/A",0,$I352)))))</f>
        <v>1.7</v>
      </c>
      <c r="K352" s="300">
        <f t="shared" si="10"/>
        <v>1.7</v>
      </c>
      <c r="L352" s="300">
        <f>$K352*'Model Data Inputs'!$B$168</f>
        <v>158.1</v>
      </c>
      <c r="M352" s="300">
        <f>$L352/'Model Data Inputs'!$B$169</f>
        <v>7.8735059760956169E-2</v>
      </c>
      <c r="N352" s="300">
        <f>IF($G352="E",$M352*('Model Data Inputs'!$B$171-1),IF($G352="M",$M352*('Model Data Inputs'!$B$172-1),IF($G352="H",$M352*('Model Data Inputs'!$B$173-1),$M352*('Model Data Inputs'!$B$170-1))))</f>
        <v>3.9367529880478085E-2</v>
      </c>
      <c r="O352" s="300">
        <f t="shared" si="11"/>
        <v>0.11810258964143425</v>
      </c>
    </row>
    <row r="353" spans="1:15" s="40" customFormat="1" x14ac:dyDescent="0.2">
      <c r="A353" s="20" t="s">
        <v>68</v>
      </c>
      <c r="B353" s="20" t="s">
        <v>69</v>
      </c>
      <c r="C353" s="20" t="s">
        <v>1871</v>
      </c>
      <c r="D353" s="20" t="s">
        <v>1872</v>
      </c>
      <c r="E353" s="298">
        <v>35612</v>
      </c>
      <c r="F353" s="138" t="s">
        <v>1159</v>
      </c>
      <c r="G353" s="138" t="s">
        <v>1205</v>
      </c>
      <c r="H353" s="299">
        <f>SUM('School Level ADM'!S235:S236)</f>
        <v>511.07099999999997</v>
      </c>
      <c r="I353" s="300">
        <v>7.9</v>
      </c>
      <c r="J353" s="300">
        <f>IF(OR($E353&lt;='Model Data Inputs'!$B$175,$F353="T"),$I353,IF($G353="E",'Model Data Inputs'!$B$176+$H353/'Model Data Inputs'!$B$179,IF($G353="M",'Model Data Inputs'!$B$177+$H353/'Model Data Inputs'!$B$179,IF($G353="H",'Model Data Inputs'!$B$178+$H353/'Model Data Inputs'!$B$179,IF($G353="N/A",0,$I353)))))</f>
        <v>7.9</v>
      </c>
      <c r="K353" s="300">
        <f t="shared" si="10"/>
        <v>7.9</v>
      </c>
      <c r="L353" s="300">
        <f>$K353*'Model Data Inputs'!$B$168</f>
        <v>734.7</v>
      </c>
      <c r="M353" s="300">
        <f>$L353/'Model Data Inputs'!$B$169</f>
        <v>0.36588645418326693</v>
      </c>
      <c r="N353" s="300">
        <f>IF($G353="E",$M353*('Model Data Inputs'!$B$171-1),IF($G353="M",$M353*('Model Data Inputs'!$B$172-1),IF($G353="H",$M353*('Model Data Inputs'!$B$173-1),$M353*('Model Data Inputs'!$B$170-1))))</f>
        <v>0.18294322709163346</v>
      </c>
      <c r="O353" s="300">
        <f t="shared" si="11"/>
        <v>0.54882968127490039</v>
      </c>
    </row>
    <row r="354" spans="1:15" s="40" customFormat="1" x14ac:dyDescent="0.2">
      <c r="A354" s="20" t="s">
        <v>68</v>
      </c>
      <c r="B354" s="20" t="s">
        <v>69</v>
      </c>
      <c r="C354" s="20" t="s">
        <v>1873</v>
      </c>
      <c r="D354" s="20" t="s">
        <v>1874</v>
      </c>
      <c r="E354" s="298">
        <v>35612</v>
      </c>
      <c r="F354" s="138" t="s">
        <v>1159</v>
      </c>
      <c r="G354" s="138" t="s">
        <v>1228</v>
      </c>
      <c r="H354" s="299">
        <f>'School Level ADM'!S237</f>
        <v>302.96633333333335</v>
      </c>
      <c r="I354" s="300">
        <v>20</v>
      </c>
      <c r="J354" s="300">
        <f>IF(OR($E354&lt;='Model Data Inputs'!$B$175,$F354="T"),$I354,IF($G354="E",'Model Data Inputs'!$B$176+$H354/'Model Data Inputs'!$B$179,IF($G354="M",'Model Data Inputs'!$B$177+$H354/'Model Data Inputs'!$B$179,IF($G354="H",'Model Data Inputs'!$B$178+$H354/'Model Data Inputs'!$B$179,IF($G354="N/A",0,$I354)))))</f>
        <v>20</v>
      </c>
      <c r="K354" s="300">
        <f t="shared" si="10"/>
        <v>20</v>
      </c>
      <c r="L354" s="300">
        <f>$K354*'Model Data Inputs'!$B$168</f>
        <v>1860</v>
      </c>
      <c r="M354" s="300">
        <f>$L354/'Model Data Inputs'!$B$169</f>
        <v>0.92629482071713143</v>
      </c>
      <c r="N354" s="300">
        <f>IF($G354="E",$M354*('Model Data Inputs'!$B$171-1),IF($G354="M",$M354*('Model Data Inputs'!$B$172-1),IF($G354="H",$M354*('Model Data Inputs'!$B$173-1),$M354*('Model Data Inputs'!$B$170-1))))</f>
        <v>1.3894422310756971</v>
      </c>
      <c r="O354" s="300">
        <f t="shared" si="11"/>
        <v>2.3157370517928286</v>
      </c>
    </row>
    <row r="355" spans="1:15" s="40" customFormat="1" x14ac:dyDescent="0.2">
      <c r="A355" s="20" t="s">
        <v>68</v>
      </c>
      <c r="B355" s="20" t="s">
        <v>69</v>
      </c>
      <c r="C355" s="20" t="s">
        <v>1875</v>
      </c>
      <c r="D355" s="20" t="s">
        <v>1876</v>
      </c>
      <c r="E355" s="298">
        <v>35612</v>
      </c>
      <c r="F355" s="138" t="s">
        <v>1159</v>
      </c>
      <c r="G355" s="138">
        <v>0</v>
      </c>
      <c r="H355" s="299" t="s">
        <v>1191</v>
      </c>
      <c r="I355" s="300">
        <v>1</v>
      </c>
      <c r="J355" s="300">
        <f>IF(OR($E355&lt;='Model Data Inputs'!$B$175,$F355="T"),$I355,IF($G355="E",'Model Data Inputs'!$B$176+$H355/'Model Data Inputs'!$B$179,IF($G355="M",'Model Data Inputs'!$B$177+$H355/'Model Data Inputs'!$B$179,IF($G355="H",'Model Data Inputs'!$B$178+$H355/'Model Data Inputs'!$B$179,IF($G355="N/A",0,$I355)))))</f>
        <v>1</v>
      </c>
      <c r="K355" s="300">
        <f t="shared" si="10"/>
        <v>0</v>
      </c>
      <c r="L355" s="300">
        <f>$K355*'Model Data Inputs'!$B$168</f>
        <v>0</v>
      </c>
      <c r="M355" s="300">
        <f>$L355/'Model Data Inputs'!$B$169</f>
        <v>0</v>
      </c>
      <c r="N355" s="300">
        <f>IF($G355="E",$M355*('Model Data Inputs'!$B$171-1),IF($G355="M",$M355*('Model Data Inputs'!$B$172-1),IF($G355="H",$M355*('Model Data Inputs'!$B$173-1),$M355*('Model Data Inputs'!$B$170-1))))</f>
        <v>0</v>
      </c>
      <c r="O355" s="300">
        <f t="shared" si="11"/>
        <v>0</v>
      </c>
    </row>
    <row r="356" spans="1:15" s="40" customFormat="1" x14ac:dyDescent="0.2">
      <c r="A356" s="20" t="s">
        <v>70</v>
      </c>
      <c r="B356" s="20" t="s">
        <v>843</v>
      </c>
      <c r="C356" s="20" t="s">
        <v>1877</v>
      </c>
      <c r="D356" s="20" t="s">
        <v>1878</v>
      </c>
      <c r="E356" s="298">
        <v>32901</v>
      </c>
      <c r="F356" s="138" t="s">
        <v>1159</v>
      </c>
      <c r="G356" s="138">
        <v>0</v>
      </c>
      <c r="H356" s="299" t="s">
        <v>1191</v>
      </c>
      <c r="I356" s="300">
        <v>0.64</v>
      </c>
      <c r="J356" s="300">
        <f>IF(OR($E356&lt;='Model Data Inputs'!$B$175,$F356="T"),$I356,IF($G356="E",'Model Data Inputs'!$B$176+$H356/'Model Data Inputs'!$B$179,IF($G356="M",'Model Data Inputs'!$B$177+$H356/'Model Data Inputs'!$B$179,IF($G356="H",'Model Data Inputs'!$B$178+$H356/'Model Data Inputs'!$B$179,IF($G356="N/A",0,$I356)))))</f>
        <v>0.64</v>
      </c>
      <c r="K356" s="300">
        <f t="shared" si="10"/>
        <v>0</v>
      </c>
      <c r="L356" s="300">
        <f>$K356*'Model Data Inputs'!$B$168</f>
        <v>0</v>
      </c>
      <c r="M356" s="300">
        <f>$L356/'Model Data Inputs'!$B$169</f>
        <v>0</v>
      </c>
      <c r="N356" s="300">
        <f>IF($G356="E",$M356*('Model Data Inputs'!$B$171-1),IF($G356="M",$M356*('Model Data Inputs'!$B$172-1),IF($G356="H",$M356*('Model Data Inputs'!$B$173-1),$M356*('Model Data Inputs'!$B$170-1))))</f>
        <v>0</v>
      </c>
      <c r="O356" s="300">
        <f t="shared" si="11"/>
        <v>0</v>
      </c>
    </row>
    <row r="357" spans="1:15" s="40" customFormat="1" x14ac:dyDescent="0.2">
      <c r="A357" s="20" t="s">
        <v>70</v>
      </c>
      <c r="B357" s="20" t="s">
        <v>843</v>
      </c>
      <c r="C357" s="20" t="s">
        <v>1879</v>
      </c>
      <c r="D357" s="20" t="s">
        <v>1880</v>
      </c>
      <c r="E357" s="298">
        <v>35612</v>
      </c>
      <c r="F357" s="138" t="s">
        <v>1159</v>
      </c>
      <c r="G357" s="138" t="s">
        <v>1198</v>
      </c>
      <c r="H357" s="299">
        <f>'School Level ADM'!S238</f>
        <v>13.79</v>
      </c>
      <c r="I357" s="300">
        <v>20.18</v>
      </c>
      <c r="J357" s="300">
        <f>IF(OR($E357&lt;='Model Data Inputs'!$B$175,$F357="T"),$I357,IF($G357="E",'Model Data Inputs'!$B$176+$H357/'Model Data Inputs'!$B$179,IF($G357="M",'Model Data Inputs'!$B$177+$H357/'Model Data Inputs'!$B$179,IF($G357="H",'Model Data Inputs'!$B$178+$H357/'Model Data Inputs'!$B$179,IF($G357="N/A",0,$I357)))))</f>
        <v>20.18</v>
      </c>
      <c r="K357" s="300">
        <f t="shared" si="10"/>
        <v>20.18</v>
      </c>
      <c r="L357" s="300">
        <f>$K357*'Model Data Inputs'!$B$168</f>
        <v>1876.74</v>
      </c>
      <c r="M357" s="300">
        <f>$L357/'Model Data Inputs'!$B$169</f>
        <v>0.93463147410358571</v>
      </c>
      <c r="N357" s="300">
        <f>IF($G357="E",$M357*('Model Data Inputs'!$B$171-1),IF($G357="M",$M357*('Model Data Inputs'!$B$172-1),IF($G357="H",$M357*('Model Data Inputs'!$B$173-1),$M357*('Model Data Inputs'!$B$170-1))))</f>
        <v>0</v>
      </c>
      <c r="O357" s="300">
        <f t="shared" si="11"/>
        <v>0.93463147410358571</v>
      </c>
    </row>
    <row r="358" spans="1:15" s="40" customFormat="1" x14ac:dyDescent="0.2">
      <c r="A358" s="20" t="s">
        <v>70</v>
      </c>
      <c r="B358" s="20" t="s">
        <v>843</v>
      </c>
      <c r="C358" s="20" t="s">
        <v>1881</v>
      </c>
      <c r="D358" s="20" t="s">
        <v>1882</v>
      </c>
      <c r="E358" s="298">
        <v>17695</v>
      </c>
      <c r="F358" s="138" t="s">
        <v>1159</v>
      </c>
      <c r="G358" s="138" t="s">
        <v>1198</v>
      </c>
      <c r="H358" s="299">
        <f>'School Level ADM'!S239</f>
        <v>199.95500000000001</v>
      </c>
      <c r="I358" s="300">
        <v>3.62</v>
      </c>
      <c r="J358" s="300">
        <f>IF(OR($E358&lt;='Model Data Inputs'!$B$175,$F358="T"),$I358,IF($G358="E",'Model Data Inputs'!$B$176+$H358/'Model Data Inputs'!$B$179,IF($G358="M",'Model Data Inputs'!$B$177+$H358/'Model Data Inputs'!$B$179,IF($G358="H",'Model Data Inputs'!$B$178+$H358/'Model Data Inputs'!$B$179,IF($G358="N/A",0,$I358)))))</f>
        <v>3.62</v>
      </c>
      <c r="K358" s="300">
        <f t="shared" si="10"/>
        <v>3.62</v>
      </c>
      <c r="L358" s="300">
        <f>$K358*'Model Data Inputs'!$B$168</f>
        <v>336.66</v>
      </c>
      <c r="M358" s="300">
        <f>$L358/'Model Data Inputs'!$B$169</f>
        <v>0.16765936254980082</v>
      </c>
      <c r="N358" s="300">
        <f>IF($G358="E",$M358*('Model Data Inputs'!$B$171-1),IF($G358="M",$M358*('Model Data Inputs'!$B$172-1),IF($G358="H",$M358*('Model Data Inputs'!$B$173-1),$M358*('Model Data Inputs'!$B$170-1))))</f>
        <v>0</v>
      </c>
      <c r="O358" s="300">
        <f t="shared" si="11"/>
        <v>0.16765936254980082</v>
      </c>
    </row>
    <row r="359" spans="1:15" s="40" customFormat="1" x14ac:dyDescent="0.2">
      <c r="A359" s="20" t="s">
        <v>70</v>
      </c>
      <c r="B359" s="20" t="s">
        <v>843</v>
      </c>
      <c r="C359" s="20" t="s">
        <v>1883</v>
      </c>
      <c r="D359" s="20" t="s">
        <v>1884</v>
      </c>
      <c r="E359" s="298">
        <v>24958</v>
      </c>
      <c r="F359" s="138" t="s">
        <v>1159</v>
      </c>
      <c r="G359" s="138" t="s">
        <v>1198</v>
      </c>
      <c r="H359" s="299">
        <f>'School Level ADM'!S241</f>
        <v>299.44</v>
      </c>
      <c r="I359" s="300">
        <v>7.5</v>
      </c>
      <c r="J359" s="300">
        <f>IF(OR($E359&lt;='Model Data Inputs'!$B$175,$F359="T"),$I359,IF($G359="E",'Model Data Inputs'!$B$176+$H359/'Model Data Inputs'!$B$179,IF($G359="M",'Model Data Inputs'!$B$177+$H359/'Model Data Inputs'!$B$179,IF($G359="H",'Model Data Inputs'!$B$178+$H359/'Model Data Inputs'!$B$179,IF($G359="N/A",0,$I359)))))</f>
        <v>7.5</v>
      </c>
      <c r="K359" s="300">
        <f t="shared" si="10"/>
        <v>7.5</v>
      </c>
      <c r="L359" s="300">
        <f>$K359*'Model Data Inputs'!$B$168</f>
        <v>697.5</v>
      </c>
      <c r="M359" s="300">
        <f>$L359/'Model Data Inputs'!$B$169</f>
        <v>0.34736055776892433</v>
      </c>
      <c r="N359" s="300">
        <f>IF($G359="E",$M359*('Model Data Inputs'!$B$171-1),IF($G359="M",$M359*('Model Data Inputs'!$B$172-1),IF($G359="H",$M359*('Model Data Inputs'!$B$173-1),$M359*('Model Data Inputs'!$B$170-1))))</f>
        <v>0</v>
      </c>
      <c r="O359" s="300">
        <f t="shared" si="11"/>
        <v>0.34736055776892433</v>
      </c>
    </row>
    <row r="360" spans="1:15" s="40" customFormat="1" x14ac:dyDescent="0.2">
      <c r="A360" s="20" t="s">
        <v>70</v>
      </c>
      <c r="B360" s="20" t="s">
        <v>843</v>
      </c>
      <c r="C360" s="20" t="s">
        <v>1885</v>
      </c>
      <c r="D360" s="20" t="s">
        <v>1886</v>
      </c>
      <c r="E360" s="298">
        <v>22346</v>
      </c>
      <c r="F360" s="138" t="s">
        <v>1159</v>
      </c>
      <c r="G360" s="138" t="s">
        <v>1205</v>
      </c>
      <c r="H360" s="299">
        <f>'School Level ADM'!S242</f>
        <v>435.37</v>
      </c>
      <c r="I360" s="300">
        <v>16.649999999999999</v>
      </c>
      <c r="J360" s="300">
        <f>IF(OR($E360&lt;='Model Data Inputs'!$B$175,$F360="T"),$I360,IF($G360="E",'Model Data Inputs'!$B$176+$H360/'Model Data Inputs'!$B$179,IF($G360="M",'Model Data Inputs'!$B$177+$H360/'Model Data Inputs'!$B$179,IF($G360="H",'Model Data Inputs'!$B$178+$H360/'Model Data Inputs'!$B$179,IF($G360="N/A",0,$I360)))))</f>
        <v>16.649999999999999</v>
      </c>
      <c r="K360" s="300">
        <f t="shared" si="10"/>
        <v>16.649999999999999</v>
      </c>
      <c r="L360" s="300">
        <f>$K360*'Model Data Inputs'!$B$168</f>
        <v>1548.4499999999998</v>
      </c>
      <c r="M360" s="300">
        <f>$L360/'Model Data Inputs'!$B$169</f>
        <v>0.77114043824701184</v>
      </c>
      <c r="N360" s="300">
        <f>IF($G360="E",$M360*('Model Data Inputs'!$B$171-1),IF($G360="M",$M360*('Model Data Inputs'!$B$172-1),IF($G360="H",$M360*('Model Data Inputs'!$B$173-1),$M360*('Model Data Inputs'!$B$170-1))))</f>
        <v>0.38557021912350592</v>
      </c>
      <c r="O360" s="300">
        <f t="shared" si="11"/>
        <v>1.1567106573705177</v>
      </c>
    </row>
    <row r="361" spans="1:15" s="40" customFormat="1" x14ac:dyDescent="0.2">
      <c r="A361" s="20" t="s">
        <v>70</v>
      </c>
      <c r="B361" s="20" t="s">
        <v>843</v>
      </c>
      <c r="C361" s="20" t="s">
        <v>1887</v>
      </c>
      <c r="D361" s="20" t="s">
        <v>1888</v>
      </c>
      <c r="E361" s="298">
        <v>30286</v>
      </c>
      <c r="F361" s="138" t="s">
        <v>1159</v>
      </c>
      <c r="G361" s="138">
        <v>0</v>
      </c>
      <c r="H361" s="299" t="s">
        <v>1191</v>
      </c>
      <c r="I361" s="300">
        <v>3.13</v>
      </c>
      <c r="J361" s="300">
        <f>IF(OR($E361&lt;='Model Data Inputs'!$B$175,$F361="T"),$I361,IF($G361="E",'Model Data Inputs'!$B$176+$H361/'Model Data Inputs'!$B$179,IF($G361="M",'Model Data Inputs'!$B$177+$H361/'Model Data Inputs'!$B$179,IF($G361="H",'Model Data Inputs'!$B$178+$H361/'Model Data Inputs'!$B$179,IF($G361="N/A",0,$I361)))))</f>
        <v>3.13</v>
      </c>
      <c r="K361" s="300">
        <f t="shared" si="10"/>
        <v>0</v>
      </c>
      <c r="L361" s="300">
        <f>$K361*'Model Data Inputs'!$B$168</f>
        <v>0</v>
      </c>
      <c r="M361" s="300">
        <f>$L361/'Model Data Inputs'!$B$169</f>
        <v>0</v>
      </c>
      <c r="N361" s="300">
        <f>IF($G361="E",$M361*('Model Data Inputs'!$B$171-1),IF($G361="M",$M361*('Model Data Inputs'!$B$172-1),IF($G361="H",$M361*('Model Data Inputs'!$B$173-1),$M361*('Model Data Inputs'!$B$170-1))))</f>
        <v>0</v>
      </c>
      <c r="O361" s="300">
        <f t="shared" si="11"/>
        <v>0</v>
      </c>
    </row>
    <row r="362" spans="1:15" s="40" customFormat="1" x14ac:dyDescent="0.2">
      <c r="A362" s="20" t="s">
        <v>70</v>
      </c>
      <c r="B362" s="20" t="s">
        <v>843</v>
      </c>
      <c r="C362" s="20" t="s">
        <v>1889</v>
      </c>
      <c r="D362" s="20" t="s">
        <v>1890</v>
      </c>
      <c r="E362" s="298">
        <v>38037</v>
      </c>
      <c r="F362" s="138" t="s">
        <v>1159</v>
      </c>
      <c r="G362" s="138" t="s">
        <v>1228</v>
      </c>
      <c r="H362" s="299">
        <f>SUM('School Level ADM'!S243:S244)</f>
        <v>549.63</v>
      </c>
      <c r="I362" s="300">
        <v>40</v>
      </c>
      <c r="J362" s="300">
        <f>IF(OR($E362&lt;='Model Data Inputs'!$B$175,$F362="T"),$I362,IF($G362="E",'Model Data Inputs'!$B$176+$H362/'Model Data Inputs'!$B$179,IF($G362="M",'Model Data Inputs'!$B$177+$H362/'Model Data Inputs'!$B$179,IF($G362="H",'Model Data Inputs'!$B$178+$H362/'Model Data Inputs'!$B$179,IF($G362="N/A",0,$I362)))))</f>
        <v>25.496299999999998</v>
      </c>
      <c r="K362" s="300">
        <f t="shared" si="10"/>
        <v>25.496299999999998</v>
      </c>
      <c r="L362" s="300">
        <f>$K362*'Model Data Inputs'!$B$168</f>
        <v>2371.1558999999997</v>
      </c>
      <c r="M362" s="300">
        <f>$L362/'Model Data Inputs'!$B$169</f>
        <v>1.1808545318725099</v>
      </c>
      <c r="N362" s="300">
        <f>IF($G362="E",$M362*('Model Data Inputs'!$B$171-1),IF($G362="M",$M362*('Model Data Inputs'!$B$172-1),IF($G362="H",$M362*('Model Data Inputs'!$B$173-1),$M362*('Model Data Inputs'!$B$170-1))))</f>
        <v>1.7712817978087649</v>
      </c>
      <c r="O362" s="300">
        <f t="shared" si="11"/>
        <v>2.9521363296812746</v>
      </c>
    </row>
    <row r="363" spans="1:15" s="40" customFormat="1" x14ac:dyDescent="0.2">
      <c r="A363" s="20" t="s">
        <v>70</v>
      </c>
      <c r="B363" s="20" t="s">
        <v>843</v>
      </c>
      <c r="C363" s="20" t="s">
        <v>1891</v>
      </c>
      <c r="D363" s="20" t="s">
        <v>1892</v>
      </c>
      <c r="E363" s="298">
        <v>38883</v>
      </c>
      <c r="F363" s="138" t="s">
        <v>1159</v>
      </c>
      <c r="G363" s="138" t="s">
        <v>1198</v>
      </c>
      <c r="H363" s="299">
        <f>'School Level ADM'!S240</f>
        <v>311.26</v>
      </c>
      <c r="I363" s="300">
        <v>8.94</v>
      </c>
      <c r="J363" s="300">
        <f>IF(OR($E363&lt;='Model Data Inputs'!$B$175,$F363="T"),$I363,IF($G363="E",'Model Data Inputs'!$B$176+$H363/'Model Data Inputs'!$B$179,IF($G363="M",'Model Data Inputs'!$B$177+$H363/'Model Data Inputs'!$B$179,IF($G363="H",'Model Data Inputs'!$B$178+$H363/'Model Data Inputs'!$B$179,IF($G363="N/A",0,$I363)))))</f>
        <v>7.1126000000000005</v>
      </c>
      <c r="K363" s="300">
        <f t="shared" si="10"/>
        <v>7.1126000000000005</v>
      </c>
      <c r="L363" s="300">
        <f>$K363*'Model Data Inputs'!$B$168</f>
        <v>661.47180000000003</v>
      </c>
      <c r="M363" s="300">
        <f>$L363/'Model Data Inputs'!$B$169</f>
        <v>0.32941822709163349</v>
      </c>
      <c r="N363" s="300">
        <f>IF($G363="E",$M363*('Model Data Inputs'!$B$171-1),IF($G363="M",$M363*('Model Data Inputs'!$B$172-1),IF($G363="H",$M363*('Model Data Inputs'!$B$173-1),$M363*('Model Data Inputs'!$B$170-1))))</f>
        <v>0</v>
      </c>
      <c r="O363" s="300">
        <f t="shared" si="11"/>
        <v>0.32941822709163349</v>
      </c>
    </row>
    <row r="364" spans="1:15" s="40" customFormat="1" x14ac:dyDescent="0.2">
      <c r="A364" s="20" t="s">
        <v>70</v>
      </c>
      <c r="B364" s="20" t="s">
        <v>843</v>
      </c>
      <c r="C364" s="20" t="s">
        <v>1893</v>
      </c>
      <c r="D364" s="20" t="s">
        <v>1894</v>
      </c>
      <c r="E364" s="298">
        <v>42228</v>
      </c>
      <c r="F364" s="138" t="s">
        <v>1159</v>
      </c>
      <c r="G364" s="138" t="s">
        <v>1191</v>
      </c>
      <c r="H364" s="299" t="s">
        <v>1191</v>
      </c>
      <c r="I364" s="300">
        <v>19.850000000000001</v>
      </c>
      <c r="J364" s="300">
        <f>IF(OR($E364&lt;='Model Data Inputs'!$B$175,$F364="T"),$I364,IF($G364="E",'Model Data Inputs'!$B$176+$H364/'Model Data Inputs'!$B$179,IF($G364="M",'Model Data Inputs'!$B$177+$H364/'Model Data Inputs'!$B$179,IF($G364="H",'Model Data Inputs'!$B$178+$H364/'Model Data Inputs'!$B$179,IF($G364="N/A",0,$I364)))))</f>
        <v>0</v>
      </c>
      <c r="K364" s="300">
        <f t="shared" si="10"/>
        <v>0</v>
      </c>
      <c r="L364" s="300">
        <f>$K364*'Model Data Inputs'!$B$168</f>
        <v>0</v>
      </c>
      <c r="M364" s="300">
        <f>$L364/'Model Data Inputs'!$B$169</f>
        <v>0</v>
      </c>
      <c r="N364" s="300">
        <f>IF($G364="E",$M364*('Model Data Inputs'!$B$171-1),IF($G364="M",$M364*('Model Data Inputs'!$B$172-1),IF($G364="H",$M364*('Model Data Inputs'!$B$173-1),$M364*('Model Data Inputs'!$B$170-1))))</f>
        <v>0</v>
      </c>
      <c r="O364" s="300">
        <f t="shared" si="11"/>
        <v>0</v>
      </c>
    </row>
    <row r="365" spans="1:15" s="40" customFormat="1" x14ac:dyDescent="0.2">
      <c r="A365" s="20" t="s">
        <v>72</v>
      </c>
      <c r="B365" s="20" t="s">
        <v>858</v>
      </c>
      <c r="C365" s="20" t="s">
        <v>1895</v>
      </c>
      <c r="D365" s="20" t="s">
        <v>1896</v>
      </c>
      <c r="E365" s="298">
        <v>12966</v>
      </c>
      <c r="F365" s="138" t="s">
        <v>1159</v>
      </c>
      <c r="G365" s="138" t="s">
        <v>1228</v>
      </c>
      <c r="H365" s="299">
        <f>SUM('School Level ADM'!S251:S252)</f>
        <v>616.8839999999999</v>
      </c>
      <c r="I365" s="300">
        <v>15.66</v>
      </c>
      <c r="J365" s="300">
        <f>IF(OR($E365&lt;='Model Data Inputs'!$B$175,$F365="T"),$I365,IF($G365="E",'Model Data Inputs'!$B$176+$H365/'Model Data Inputs'!$B$179,IF($G365="M",'Model Data Inputs'!$B$177+$H365/'Model Data Inputs'!$B$179,IF($G365="H",'Model Data Inputs'!$B$178+$H365/'Model Data Inputs'!$B$179,IF($G365="N/A",0,$I365)))))</f>
        <v>15.66</v>
      </c>
      <c r="K365" s="300">
        <f t="shared" si="10"/>
        <v>15.66</v>
      </c>
      <c r="L365" s="300">
        <f>$K365*'Model Data Inputs'!$B$168</f>
        <v>1456.38</v>
      </c>
      <c r="M365" s="300">
        <f>$L365/'Model Data Inputs'!$B$169</f>
        <v>0.725288844621514</v>
      </c>
      <c r="N365" s="300">
        <f>IF($G365="E",$M365*('Model Data Inputs'!$B$171-1),IF($G365="M",$M365*('Model Data Inputs'!$B$172-1),IF($G365="H",$M365*('Model Data Inputs'!$B$173-1),$M365*('Model Data Inputs'!$B$170-1))))</f>
        <v>1.087933266932271</v>
      </c>
      <c r="O365" s="300">
        <f t="shared" si="11"/>
        <v>1.813222111553785</v>
      </c>
    </row>
    <row r="366" spans="1:15" s="40" customFormat="1" x14ac:dyDescent="0.2">
      <c r="A366" s="20" t="s">
        <v>72</v>
      </c>
      <c r="B366" s="20" t="s">
        <v>858</v>
      </c>
      <c r="C366" s="20" t="s">
        <v>1897</v>
      </c>
      <c r="D366" s="20" t="s">
        <v>1898</v>
      </c>
      <c r="E366" s="298">
        <v>16940</v>
      </c>
      <c r="F366" s="138" t="s">
        <v>1159</v>
      </c>
      <c r="G366" s="138" t="s">
        <v>1198</v>
      </c>
      <c r="H366" s="299">
        <f>'School Level ADM'!S245</f>
        <v>302.77199999999999</v>
      </c>
      <c r="I366" s="300">
        <v>6.71</v>
      </c>
      <c r="J366" s="300">
        <f>IF(OR($E366&lt;='Model Data Inputs'!$B$175,$F366="T"),$I366,IF($G366="E",'Model Data Inputs'!$B$176+$H366/'Model Data Inputs'!$B$179,IF($G366="M",'Model Data Inputs'!$B$177+$H366/'Model Data Inputs'!$B$179,IF($G366="H",'Model Data Inputs'!$B$178+$H366/'Model Data Inputs'!$B$179,IF($G366="N/A",0,$I366)))))</f>
        <v>6.71</v>
      </c>
      <c r="K366" s="300">
        <f t="shared" si="10"/>
        <v>6.71</v>
      </c>
      <c r="L366" s="300">
        <f>$K366*'Model Data Inputs'!$B$168</f>
        <v>624.03</v>
      </c>
      <c r="M366" s="300">
        <f>$L366/'Model Data Inputs'!$B$169</f>
        <v>0.31077191235059759</v>
      </c>
      <c r="N366" s="300">
        <f>IF($G366="E",$M366*('Model Data Inputs'!$B$171-1),IF($G366="M",$M366*('Model Data Inputs'!$B$172-1),IF($G366="H",$M366*('Model Data Inputs'!$B$173-1),$M366*('Model Data Inputs'!$B$170-1))))</f>
        <v>0</v>
      </c>
      <c r="O366" s="300">
        <f t="shared" si="11"/>
        <v>0.31077191235059759</v>
      </c>
    </row>
    <row r="367" spans="1:15" s="40" customFormat="1" x14ac:dyDescent="0.2">
      <c r="A367" s="20" t="s">
        <v>72</v>
      </c>
      <c r="B367" s="20" t="s">
        <v>858</v>
      </c>
      <c r="C367" s="20" t="s">
        <v>1899</v>
      </c>
      <c r="D367" s="20" t="s">
        <v>1900</v>
      </c>
      <c r="E367" s="298">
        <v>17790</v>
      </c>
      <c r="F367" s="138" t="s">
        <v>1159</v>
      </c>
      <c r="G367" s="138">
        <v>0</v>
      </c>
      <c r="H367" s="299" t="s">
        <v>1191</v>
      </c>
      <c r="I367" s="300">
        <v>4.5259999999999998</v>
      </c>
      <c r="J367" s="300">
        <f>IF(OR($E367&lt;='Model Data Inputs'!$B$175,$F367="T"),$I367,IF($G367="E",'Model Data Inputs'!$B$176+$H367/'Model Data Inputs'!$B$179,IF($G367="M",'Model Data Inputs'!$B$177+$H367/'Model Data Inputs'!$B$179,IF($G367="H",'Model Data Inputs'!$B$178+$H367/'Model Data Inputs'!$B$179,IF($G367="N/A",0,$I367)))))</f>
        <v>4.5259999999999998</v>
      </c>
      <c r="K367" s="300">
        <f t="shared" si="10"/>
        <v>0</v>
      </c>
      <c r="L367" s="300">
        <f>$K367*'Model Data Inputs'!$B$168</f>
        <v>0</v>
      </c>
      <c r="M367" s="300">
        <f>$L367/'Model Data Inputs'!$B$169</f>
        <v>0</v>
      </c>
      <c r="N367" s="300">
        <f>IF($G367="E",$M367*('Model Data Inputs'!$B$171-1),IF($G367="M",$M367*('Model Data Inputs'!$B$172-1),IF($G367="H",$M367*('Model Data Inputs'!$B$173-1),$M367*('Model Data Inputs'!$B$170-1))))</f>
        <v>0</v>
      </c>
      <c r="O367" s="300">
        <f t="shared" si="11"/>
        <v>0</v>
      </c>
    </row>
    <row r="368" spans="1:15" s="40" customFormat="1" x14ac:dyDescent="0.2">
      <c r="A368" s="20" t="s">
        <v>72</v>
      </c>
      <c r="B368" s="20" t="s">
        <v>858</v>
      </c>
      <c r="C368" s="20" t="s">
        <v>1901</v>
      </c>
      <c r="D368" s="20" t="s">
        <v>1902</v>
      </c>
      <c r="E368" s="298">
        <v>7753</v>
      </c>
      <c r="F368" s="138" t="s">
        <v>1159</v>
      </c>
      <c r="G368" s="138" t="s">
        <v>1198</v>
      </c>
      <c r="H368" s="299">
        <f>'School Level ADM'!S247</f>
        <v>5.6316666666666659</v>
      </c>
      <c r="I368" s="300">
        <v>3.5</v>
      </c>
      <c r="J368" s="300">
        <f>IF(OR($E368&lt;='Model Data Inputs'!$B$175,$F368="T"),$I368,IF($G368="E",'Model Data Inputs'!$B$176+$H368/'Model Data Inputs'!$B$179,IF($G368="M",'Model Data Inputs'!$B$177+$H368/'Model Data Inputs'!$B$179,IF($G368="H",'Model Data Inputs'!$B$178+$H368/'Model Data Inputs'!$B$179,IF($G368="N/A",0,$I368)))))</f>
        <v>3.5</v>
      </c>
      <c r="K368" s="300">
        <f t="shared" si="10"/>
        <v>3.5</v>
      </c>
      <c r="L368" s="300">
        <f>$K368*'Model Data Inputs'!$B$168</f>
        <v>325.5</v>
      </c>
      <c r="M368" s="300">
        <f>$L368/'Model Data Inputs'!$B$169</f>
        <v>0.162101593625498</v>
      </c>
      <c r="N368" s="300">
        <f>IF($G368="E",$M368*('Model Data Inputs'!$B$171-1),IF($G368="M",$M368*('Model Data Inputs'!$B$172-1),IF($G368="H",$M368*('Model Data Inputs'!$B$173-1),$M368*('Model Data Inputs'!$B$170-1))))</f>
        <v>0</v>
      </c>
      <c r="O368" s="300">
        <f t="shared" si="11"/>
        <v>0.162101593625498</v>
      </c>
    </row>
    <row r="369" spans="1:15" s="40" customFormat="1" x14ac:dyDescent="0.2">
      <c r="A369" s="20" t="s">
        <v>72</v>
      </c>
      <c r="B369" s="20" t="s">
        <v>858</v>
      </c>
      <c r="C369" s="20" t="s">
        <v>1903</v>
      </c>
      <c r="D369" s="20" t="s">
        <v>1904</v>
      </c>
      <c r="E369" s="298">
        <v>25214</v>
      </c>
      <c r="F369" s="138" t="s">
        <v>1159</v>
      </c>
      <c r="G369" s="138" t="s">
        <v>1198</v>
      </c>
      <c r="H369" s="299">
        <f>'School Level ADM'!S248</f>
        <v>11.193333333333333</v>
      </c>
      <c r="I369" s="300">
        <v>2</v>
      </c>
      <c r="J369" s="300">
        <f>IF(OR($E369&lt;='Model Data Inputs'!$B$175,$F369="T"),$I369,IF($G369="E",'Model Data Inputs'!$B$176+$H369/'Model Data Inputs'!$B$179,IF($G369="M",'Model Data Inputs'!$B$177+$H369/'Model Data Inputs'!$B$179,IF($G369="H",'Model Data Inputs'!$B$178+$H369/'Model Data Inputs'!$B$179,IF($G369="N/A",0,$I369)))))</f>
        <v>2</v>
      </c>
      <c r="K369" s="300">
        <f t="shared" si="10"/>
        <v>2</v>
      </c>
      <c r="L369" s="300">
        <f>$K369*'Model Data Inputs'!$B$168</f>
        <v>186</v>
      </c>
      <c r="M369" s="300">
        <f>$L369/'Model Data Inputs'!$B$169</f>
        <v>9.2629482071713148E-2</v>
      </c>
      <c r="N369" s="300">
        <f>IF($G369="E",$M369*('Model Data Inputs'!$B$171-1),IF($G369="M",$M369*('Model Data Inputs'!$B$172-1),IF($G369="H",$M369*('Model Data Inputs'!$B$173-1),$M369*('Model Data Inputs'!$B$170-1))))</f>
        <v>0</v>
      </c>
      <c r="O369" s="300">
        <f t="shared" si="11"/>
        <v>9.2629482071713148E-2</v>
      </c>
    </row>
    <row r="370" spans="1:15" s="40" customFormat="1" x14ac:dyDescent="0.2">
      <c r="A370" s="20" t="s">
        <v>72</v>
      </c>
      <c r="B370" s="20" t="s">
        <v>858</v>
      </c>
      <c r="C370" s="20" t="s">
        <v>1905</v>
      </c>
      <c r="D370" s="20" t="s">
        <v>1906</v>
      </c>
      <c r="E370" s="298">
        <v>22256</v>
      </c>
      <c r="F370" s="138" t="s">
        <v>1159</v>
      </c>
      <c r="G370" s="138" t="s">
        <v>1198</v>
      </c>
      <c r="H370" s="299">
        <f>'School Level ADM'!S249</f>
        <v>322.27099999999996</v>
      </c>
      <c r="I370" s="300">
        <v>7.96</v>
      </c>
      <c r="J370" s="300">
        <f>IF(OR($E370&lt;='Model Data Inputs'!$B$175,$F370="T"),$I370,IF($G370="E",'Model Data Inputs'!$B$176+$H370/'Model Data Inputs'!$B$179,IF($G370="M",'Model Data Inputs'!$B$177+$H370/'Model Data Inputs'!$B$179,IF($G370="H",'Model Data Inputs'!$B$178+$H370/'Model Data Inputs'!$B$179,IF($G370="N/A",0,$I370)))))</f>
        <v>7.96</v>
      </c>
      <c r="K370" s="300">
        <f t="shared" si="10"/>
        <v>7.96</v>
      </c>
      <c r="L370" s="300">
        <f>$K370*'Model Data Inputs'!$B$168</f>
        <v>740.28</v>
      </c>
      <c r="M370" s="300">
        <f>$L370/'Model Data Inputs'!$B$169</f>
        <v>0.36866533864541834</v>
      </c>
      <c r="N370" s="300">
        <f>IF($G370="E",$M370*('Model Data Inputs'!$B$171-1),IF($G370="M",$M370*('Model Data Inputs'!$B$172-1),IF($G370="H",$M370*('Model Data Inputs'!$B$173-1),$M370*('Model Data Inputs'!$B$170-1))))</f>
        <v>0</v>
      </c>
      <c r="O370" s="300">
        <f t="shared" si="11"/>
        <v>0.36866533864541834</v>
      </c>
    </row>
    <row r="371" spans="1:15" s="40" customFormat="1" x14ac:dyDescent="0.2">
      <c r="A371" s="20" t="s">
        <v>72</v>
      </c>
      <c r="B371" s="20" t="s">
        <v>858</v>
      </c>
      <c r="C371" s="20" t="s">
        <v>1907</v>
      </c>
      <c r="D371" s="20" t="s">
        <v>1908</v>
      </c>
      <c r="E371" s="298">
        <v>30140</v>
      </c>
      <c r="F371" s="138" t="s">
        <v>1159</v>
      </c>
      <c r="G371" s="138" t="s">
        <v>1205</v>
      </c>
      <c r="H371" s="299">
        <f>'School Level ADM'!S250</f>
        <v>465.44800000000004</v>
      </c>
      <c r="I371" s="300">
        <v>21.04</v>
      </c>
      <c r="J371" s="300">
        <f>IF(OR($E371&lt;='Model Data Inputs'!$B$175,$F371="T"),$I371,IF($G371="E",'Model Data Inputs'!$B$176+$H371/'Model Data Inputs'!$B$179,IF($G371="M",'Model Data Inputs'!$B$177+$H371/'Model Data Inputs'!$B$179,IF($G371="H",'Model Data Inputs'!$B$178+$H371/'Model Data Inputs'!$B$179,IF($G371="N/A",0,$I371)))))</f>
        <v>21.04</v>
      </c>
      <c r="K371" s="300">
        <f t="shared" si="10"/>
        <v>21.04</v>
      </c>
      <c r="L371" s="300">
        <f>$K371*'Model Data Inputs'!$B$168</f>
        <v>1956.72</v>
      </c>
      <c r="M371" s="300">
        <f>$L371/'Model Data Inputs'!$B$169</f>
        <v>0.97446215139442227</v>
      </c>
      <c r="N371" s="300">
        <f>IF($G371="E",$M371*('Model Data Inputs'!$B$171-1),IF($G371="M",$M371*('Model Data Inputs'!$B$172-1),IF($G371="H",$M371*('Model Data Inputs'!$B$173-1),$M371*('Model Data Inputs'!$B$170-1))))</f>
        <v>0.48723107569721114</v>
      </c>
      <c r="O371" s="300">
        <f t="shared" si="11"/>
        <v>1.4616932270916334</v>
      </c>
    </row>
    <row r="372" spans="1:15" s="40" customFormat="1" x14ac:dyDescent="0.2">
      <c r="A372" s="20" t="s">
        <v>72</v>
      </c>
      <c r="B372" s="20" t="s">
        <v>858</v>
      </c>
      <c r="C372" s="20" t="s">
        <v>1909</v>
      </c>
      <c r="D372" s="20" t="s">
        <v>1910</v>
      </c>
      <c r="E372" s="298">
        <v>21159</v>
      </c>
      <c r="F372" s="138" t="s">
        <v>1159</v>
      </c>
      <c r="G372" s="138">
        <v>0</v>
      </c>
      <c r="H372" s="299" t="s">
        <v>1191</v>
      </c>
      <c r="I372" s="300">
        <v>2.5499999999999998</v>
      </c>
      <c r="J372" s="300">
        <f>IF(OR($E372&lt;='Model Data Inputs'!$B$175,$F372="T"),$I372,IF($G372="E",'Model Data Inputs'!$B$176+$H372/'Model Data Inputs'!$B$179,IF($G372="M",'Model Data Inputs'!$B$177+$H372/'Model Data Inputs'!$B$179,IF($G372="H",'Model Data Inputs'!$B$178+$H372/'Model Data Inputs'!$B$179,IF($G372="N/A",0,$I372)))))</f>
        <v>2.5499999999999998</v>
      </c>
      <c r="K372" s="300">
        <f t="shared" si="10"/>
        <v>0</v>
      </c>
      <c r="L372" s="300">
        <f>$K372*'Model Data Inputs'!$B$168</f>
        <v>0</v>
      </c>
      <c r="M372" s="300">
        <f>$L372/'Model Data Inputs'!$B$169</f>
        <v>0</v>
      </c>
      <c r="N372" s="300">
        <f>IF($G372="E",$M372*('Model Data Inputs'!$B$171-1),IF($G372="M",$M372*('Model Data Inputs'!$B$172-1),IF($G372="H",$M372*('Model Data Inputs'!$B$173-1),$M372*('Model Data Inputs'!$B$170-1))))</f>
        <v>0</v>
      </c>
      <c r="O372" s="300">
        <f t="shared" si="11"/>
        <v>0</v>
      </c>
    </row>
    <row r="373" spans="1:15" s="40" customFormat="1" x14ac:dyDescent="0.2">
      <c r="A373" s="20" t="s">
        <v>72</v>
      </c>
      <c r="B373" s="20" t="s">
        <v>858</v>
      </c>
      <c r="C373" s="20" t="s">
        <v>1911</v>
      </c>
      <c r="D373" s="20" t="s">
        <v>1912</v>
      </c>
      <c r="E373" s="298">
        <v>38924</v>
      </c>
      <c r="F373" s="138" t="s">
        <v>1159</v>
      </c>
      <c r="G373" s="138">
        <v>0</v>
      </c>
      <c r="H373" s="299" t="s">
        <v>1191</v>
      </c>
      <c r="I373" s="300">
        <v>35.11</v>
      </c>
      <c r="J373" s="300">
        <f>IF(OR($E373&lt;='Model Data Inputs'!$B$175,$F373="T"),$I373,IF($G373="E",'Model Data Inputs'!$B$176+$H373/'Model Data Inputs'!$B$179,IF($G373="M",'Model Data Inputs'!$B$177+$H373/'Model Data Inputs'!$B$179,IF($G373="H",'Model Data Inputs'!$B$178+$H373/'Model Data Inputs'!$B$179,IF($G373="N/A",0,$I373)))))</f>
        <v>35.11</v>
      </c>
      <c r="K373" s="300">
        <f t="shared" si="10"/>
        <v>0</v>
      </c>
      <c r="L373" s="300">
        <f>$K373*'Model Data Inputs'!$B$168</f>
        <v>0</v>
      </c>
      <c r="M373" s="300">
        <f>$L373/'Model Data Inputs'!$B$169</f>
        <v>0</v>
      </c>
      <c r="N373" s="300">
        <f>IF($G373="E",$M373*('Model Data Inputs'!$B$171-1),IF($G373="M",$M373*('Model Data Inputs'!$B$172-1),IF($G373="H",$M373*('Model Data Inputs'!$B$173-1),$M373*('Model Data Inputs'!$B$170-1))))</f>
        <v>0</v>
      </c>
      <c r="O373" s="300">
        <f t="shared" si="11"/>
        <v>0</v>
      </c>
    </row>
    <row r="374" spans="1:15" s="40" customFormat="1" x14ac:dyDescent="0.2">
      <c r="A374" s="20" t="s">
        <v>72</v>
      </c>
      <c r="B374" s="20" t="s">
        <v>858</v>
      </c>
      <c r="C374" s="20" t="s">
        <v>1913</v>
      </c>
      <c r="D374" s="20" t="s">
        <v>1914</v>
      </c>
      <c r="E374" s="298">
        <v>38924</v>
      </c>
      <c r="F374" s="138" t="s">
        <v>1159</v>
      </c>
      <c r="G374" s="138" t="s">
        <v>1198</v>
      </c>
      <c r="H374" s="299">
        <f>'School Level ADM'!S246</f>
        <v>314.0146666666667</v>
      </c>
      <c r="I374" s="300">
        <v>11.07</v>
      </c>
      <c r="J374" s="300">
        <f>IF(OR($E374&lt;='Model Data Inputs'!$B$175,$F374="T"),$I374,IF($G374="E",'Model Data Inputs'!$B$176+$H374/'Model Data Inputs'!$B$179,IF($G374="M",'Model Data Inputs'!$B$177+$H374/'Model Data Inputs'!$B$179,IF($G374="H",'Model Data Inputs'!$B$178+$H374/'Model Data Inputs'!$B$179,IF($G374="N/A",0,$I374)))))</f>
        <v>7.1401466666666664</v>
      </c>
      <c r="K374" s="300">
        <f t="shared" si="10"/>
        <v>7.1401466666666664</v>
      </c>
      <c r="L374" s="300">
        <f>$K374*'Model Data Inputs'!$B$168</f>
        <v>664.03363999999999</v>
      </c>
      <c r="M374" s="300">
        <f>$L374/'Model Data Inputs'!$B$169</f>
        <v>0.33069404382470119</v>
      </c>
      <c r="N374" s="300">
        <f>IF($G374="E",$M374*('Model Data Inputs'!$B$171-1),IF($G374="M",$M374*('Model Data Inputs'!$B$172-1),IF($G374="H",$M374*('Model Data Inputs'!$B$173-1),$M374*('Model Data Inputs'!$B$170-1))))</f>
        <v>0</v>
      </c>
      <c r="O374" s="300">
        <f t="shared" si="11"/>
        <v>0.33069404382470119</v>
      </c>
    </row>
    <row r="375" spans="1:15" s="40" customFormat="1" x14ac:dyDescent="0.2">
      <c r="A375" s="20" t="s">
        <v>74</v>
      </c>
      <c r="B375" s="20" t="s">
        <v>75</v>
      </c>
      <c r="C375" s="20" t="s">
        <v>1915</v>
      </c>
      <c r="D375" s="20" t="s">
        <v>1916</v>
      </c>
      <c r="E375" s="298">
        <v>14793</v>
      </c>
      <c r="F375" s="138" t="s">
        <v>1159</v>
      </c>
      <c r="G375" s="138" t="s">
        <v>1228</v>
      </c>
      <c r="H375" s="299">
        <f>'School Level ADM'!S253</f>
        <v>119.18499999999999</v>
      </c>
      <c r="I375" s="300">
        <v>7.46</v>
      </c>
      <c r="J375" s="300">
        <f>IF(OR($E375&lt;='Model Data Inputs'!$B$175,$F375="T"),$I375,IF($G375="E",'Model Data Inputs'!$B$176+$H375/'Model Data Inputs'!$B$179,IF($G375="M",'Model Data Inputs'!$B$177+$H375/'Model Data Inputs'!$B$179,IF($G375="H",'Model Data Inputs'!$B$178+$H375/'Model Data Inputs'!$B$179,IF($G375="N/A",0,$I375)))))</f>
        <v>7.46</v>
      </c>
      <c r="K375" s="300">
        <f t="shared" si="10"/>
        <v>7.46</v>
      </c>
      <c r="L375" s="300">
        <f>$K375*'Model Data Inputs'!$B$168</f>
        <v>693.78</v>
      </c>
      <c r="M375" s="300">
        <f>$L375/'Model Data Inputs'!$B$169</f>
        <v>0.34550796812749002</v>
      </c>
      <c r="N375" s="300">
        <f>IF($G375="E",$M375*('Model Data Inputs'!$B$171-1),IF($G375="M",$M375*('Model Data Inputs'!$B$172-1),IF($G375="H",$M375*('Model Data Inputs'!$B$173-1),$M375*('Model Data Inputs'!$B$170-1))))</f>
        <v>0.51826195219123505</v>
      </c>
      <c r="O375" s="300">
        <f t="shared" si="11"/>
        <v>0.86376992031872502</v>
      </c>
    </row>
    <row r="376" spans="1:15" s="40" customFormat="1" x14ac:dyDescent="0.2">
      <c r="A376" s="20" t="s">
        <v>74</v>
      </c>
      <c r="B376" s="20" t="s">
        <v>75</v>
      </c>
      <c r="C376" s="20" t="s">
        <v>1917</v>
      </c>
      <c r="D376" s="20" t="s">
        <v>1918</v>
      </c>
      <c r="E376" s="298">
        <v>32297</v>
      </c>
      <c r="F376" s="138" t="s">
        <v>1159</v>
      </c>
      <c r="G376" s="138">
        <v>0</v>
      </c>
      <c r="H376" s="299" t="s">
        <v>1191</v>
      </c>
      <c r="I376" s="300">
        <v>0.33</v>
      </c>
      <c r="J376" s="300">
        <f>IF(OR($E376&lt;='Model Data Inputs'!$B$175,$F376="T"),$I376,IF($G376="E",'Model Data Inputs'!$B$176+$H376/'Model Data Inputs'!$B$179,IF($G376="M",'Model Data Inputs'!$B$177+$H376/'Model Data Inputs'!$B$179,IF($G376="H",'Model Data Inputs'!$B$178+$H376/'Model Data Inputs'!$B$179,IF($G376="N/A",0,$I376)))))</f>
        <v>0.33</v>
      </c>
      <c r="K376" s="300">
        <f t="shared" si="10"/>
        <v>0</v>
      </c>
      <c r="L376" s="300">
        <f>$K376*'Model Data Inputs'!$B$168</f>
        <v>0</v>
      </c>
      <c r="M376" s="300">
        <f>$L376/'Model Data Inputs'!$B$169</f>
        <v>0</v>
      </c>
      <c r="N376" s="300">
        <f>IF($G376="E",$M376*('Model Data Inputs'!$B$171-1),IF($G376="M",$M376*('Model Data Inputs'!$B$172-1),IF($G376="H",$M376*('Model Data Inputs'!$B$173-1),$M376*('Model Data Inputs'!$B$170-1))))</f>
        <v>0</v>
      </c>
      <c r="O376" s="300">
        <f t="shared" si="11"/>
        <v>0</v>
      </c>
    </row>
    <row r="377" spans="1:15" s="40" customFormat="1" x14ac:dyDescent="0.2">
      <c r="A377" s="20" t="s">
        <v>74</v>
      </c>
      <c r="B377" s="20" t="s">
        <v>75</v>
      </c>
      <c r="C377" s="20" t="s">
        <v>1919</v>
      </c>
      <c r="D377" s="20" t="s">
        <v>1920</v>
      </c>
      <c r="E377" s="298">
        <v>23559</v>
      </c>
      <c r="F377" s="138" t="s">
        <v>1159</v>
      </c>
      <c r="G377" s="138">
        <v>0</v>
      </c>
      <c r="H377" s="299" t="s">
        <v>1191</v>
      </c>
      <c r="I377" s="300">
        <v>0.32</v>
      </c>
      <c r="J377" s="300">
        <f>IF(OR($E377&lt;='Model Data Inputs'!$B$175,$F377="T"),$I377,IF($G377="E",'Model Data Inputs'!$B$176+$H377/'Model Data Inputs'!$B$179,IF($G377="M",'Model Data Inputs'!$B$177+$H377/'Model Data Inputs'!$B$179,IF($G377="H",'Model Data Inputs'!$B$178+$H377/'Model Data Inputs'!$B$179,IF($G377="N/A",0,$I377)))))</f>
        <v>0.32</v>
      </c>
      <c r="K377" s="300">
        <f t="shared" si="10"/>
        <v>0</v>
      </c>
      <c r="L377" s="300">
        <f>$K377*'Model Data Inputs'!$B$168</f>
        <v>0</v>
      </c>
      <c r="M377" s="300">
        <f>$L377/'Model Data Inputs'!$B$169</f>
        <v>0</v>
      </c>
      <c r="N377" s="300">
        <f>IF($G377="E",$M377*('Model Data Inputs'!$B$171-1),IF($G377="M",$M377*('Model Data Inputs'!$B$172-1),IF($G377="H",$M377*('Model Data Inputs'!$B$173-1),$M377*('Model Data Inputs'!$B$170-1))))</f>
        <v>0</v>
      </c>
      <c r="O377" s="300">
        <f t="shared" si="11"/>
        <v>0</v>
      </c>
    </row>
    <row r="378" spans="1:15" s="40" customFormat="1" x14ac:dyDescent="0.2">
      <c r="A378" s="20" t="s">
        <v>74</v>
      </c>
      <c r="B378" s="20" t="s">
        <v>75</v>
      </c>
      <c r="C378" s="20" t="s">
        <v>1921</v>
      </c>
      <c r="D378" s="20" t="s">
        <v>1922</v>
      </c>
      <c r="E378" s="298">
        <v>34555</v>
      </c>
      <c r="F378" s="138" t="s">
        <v>1159</v>
      </c>
      <c r="G378" s="138">
        <v>0</v>
      </c>
      <c r="H378" s="299" t="s">
        <v>1191</v>
      </c>
      <c r="I378" s="300">
        <v>0.22</v>
      </c>
      <c r="J378" s="300">
        <f>IF(OR($E378&lt;='Model Data Inputs'!$B$175,$F378="T"),$I378,IF($G378="E",'Model Data Inputs'!$B$176+$H378/'Model Data Inputs'!$B$179,IF($G378="M",'Model Data Inputs'!$B$177+$H378/'Model Data Inputs'!$B$179,IF($G378="H",'Model Data Inputs'!$B$178+$H378/'Model Data Inputs'!$B$179,IF($G378="N/A",0,$I378)))))</f>
        <v>0.22</v>
      </c>
      <c r="K378" s="300">
        <f t="shared" si="10"/>
        <v>0</v>
      </c>
      <c r="L378" s="300">
        <f>$K378*'Model Data Inputs'!$B$168</f>
        <v>0</v>
      </c>
      <c r="M378" s="300">
        <f>$L378/'Model Data Inputs'!$B$169</f>
        <v>0</v>
      </c>
      <c r="N378" s="300">
        <f>IF($G378="E",$M378*('Model Data Inputs'!$B$171-1),IF($G378="M",$M378*('Model Data Inputs'!$B$172-1),IF($G378="H",$M378*('Model Data Inputs'!$B$173-1),$M378*('Model Data Inputs'!$B$170-1))))</f>
        <v>0</v>
      </c>
      <c r="O378" s="300">
        <f t="shared" si="11"/>
        <v>0</v>
      </c>
    </row>
    <row r="379" spans="1:15" s="40" customFormat="1" x14ac:dyDescent="0.2">
      <c r="A379" s="20" t="s">
        <v>74</v>
      </c>
      <c r="B379" s="20" t="s">
        <v>75</v>
      </c>
      <c r="C379" s="20" t="s">
        <v>1923</v>
      </c>
      <c r="D379" s="20" t="s">
        <v>1924</v>
      </c>
      <c r="E379" s="298">
        <v>34555</v>
      </c>
      <c r="F379" s="138" t="s">
        <v>1159</v>
      </c>
      <c r="G379" s="138">
        <v>0</v>
      </c>
      <c r="H379" s="299" t="s">
        <v>1191</v>
      </c>
      <c r="I379" s="300">
        <v>0.41</v>
      </c>
      <c r="J379" s="300">
        <f>IF(OR($E379&lt;='Model Data Inputs'!$B$175,$F379="T"),$I379,IF($G379="E",'Model Data Inputs'!$B$176+$H379/'Model Data Inputs'!$B$179,IF($G379="M",'Model Data Inputs'!$B$177+$H379/'Model Data Inputs'!$B$179,IF($G379="H",'Model Data Inputs'!$B$178+$H379/'Model Data Inputs'!$B$179,IF($G379="N/A",0,$I379)))))</f>
        <v>0.41</v>
      </c>
      <c r="K379" s="300">
        <f t="shared" si="10"/>
        <v>0</v>
      </c>
      <c r="L379" s="300">
        <f>$K379*'Model Data Inputs'!$B$168</f>
        <v>0</v>
      </c>
      <c r="M379" s="300">
        <f>$L379/'Model Data Inputs'!$B$169</f>
        <v>0</v>
      </c>
      <c r="N379" s="300">
        <f>IF($G379="E",$M379*('Model Data Inputs'!$B$171-1),IF($G379="M",$M379*('Model Data Inputs'!$B$172-1),IF($G379="H",$M379*('Model Data Inputs'!$B$173-1),$M379*('Model Data Inputs'!$B$170-1))))</f>
        <v>0</v>
      </c>
      <c r="O379" s="300">
        <f t="shared" si="11"/>
        <v>0</v>
      </c>
    </row>
    <row r="380" spans="1:15" s="40" customFormat="1" x14ac:dyDescent="0.2">
      <c r="A380" s="20" t="s">
        <v>74</v>
      </c>
      <c r="B380" s="20" t="s">
        <v>75</v>
      </c>
      <c r="C380" s="20" t="s">
        <v>1925</v>
      </c>
      <c r="D380" s="20" t="s">
        <v>1926</v>
      </c>
      <c r="E380" s="298">
        <v>34555</v>
      </c>
      <c r="F380" s="138" t="s">
        <v>1159</v>
      </c>
      <c r="G380" s="138">
        <v>0</v>
      </c>
      <c r="H380" s="299" t="s">
        <v>1191</v>
      </c>
      <c r="I380" s="300">
        <v>0.38</v>
      </c>
      <c r="J380" s="300">
        <f>IF(OR($E380&lt;='Model Data Inputs'!$B$175,$F380="T"),$I380,IF($G380="E",'Model Data Inputs'!$B$176+$H380/'Model Data Inputs'!$B$179,IF($G380="M",'Model Data Inputs'!$B$177+$H380/'Model Data Inputs'!$B$179,IF($G380="H",'Model Data Inputs'!$B$178+$H380/'Model Data Inputs'!$B$179,IF($G380="N/A",0,$I380)))))</f>
        <v>0.38</v>
      </c>
      <c r="K380" s="300">
        <f t="shared" si="10"/>
        <v>0</v>
      </c>
      <c r="L380" s="300">
        <f>$K380*'Model Data Inputs'!$B$168</f>
        <v>0</v>
      </c>
      <c r="M380" s="300">
        <f>$L380/'Model Data Inputs'!$B$169</f>
        <v>0</v>
      </c>
      <c r="N380" s="300">
        <f>IF($G380="E",$M380*('Model Data Inputs'!$B$171-1),IF($G380="M",$M380*('Model Data Inputs'!$B$172-1),IF($G380="H",$M380*('Model Data Inputs'!$B$173-1),$M380*('Model Data Inputs'!$B$170-1))))</f>
        <v>0</v>
      </c>
      <c r="O380" s="300">
        <f t="shared" si="11"/>
        <v>0</v>
      </c>
    </row>
    <row r="381" spans="1:15" s="40" customFormat="1" x14ac:dyDescent="0.2">
      <c r="A381" s="20" t="s">
        <v>74</v>
      </c>
      <c r="B381" s="20" t="s">
        <v>75</v>
      </c>
      <c r="C381" s="20" t="s">
        <v>1927</v>
      </c>
      <c r="D381" s="20" t="s">
        <v>1928</v>
      </c>
      <c r="E381" s="298">
        <v>34555</v>
      </c>
      <c r="F381" s="138" t="s">
        <v>1159</v>
      </c>
      <c r="G381" s="138">
        <v>0</v>
      </c>
      <c r="H381" s="299" t="s">
        <v>1191</v>
      </c>
      <c r="I381" s="300">
        <v>0.44</v>
      </c>
      <c r="J381" s="300">
        <f>IF(OR($E381&lt;='Model Data Inputs'!$B$175,$F381="T"),$I381,IF($G381="E",'Model Data Inputs'!$B$176+$H381/'Model Data Inputs'!$B$179,IF($G381="M",'Model Data Inputs'!$B$177+$H381/'Model Data Inputs'!$B$179,IF($G381="H",'Model Data Inputs'!$B$178+$H381/'Model Data Inputs'!$B$179,IF($G381="N/A",0,$I381)))))</f>
        <v>0.44</v>
      </c>
      <c r="K381" s="300">
        <f t="shared" si="10"/>
        <v>0</v>
      </c>
      <c r="L381" s="300">
        <f>$K381*'Model Data Inputs'!$B$168</f>
        <v>0</v>
      </c>
      <c r="M381" s="300">
        <f>$L381/'Model Data Inputs'!$B$169</f>
        <v>0</v>
      </c>
      <c r="N381" s="300">
        <f>IF($G381="E",$M381*('Model Data Inputs'!$B$171-1),IF($G381="M",$M381*('Model Data Inputs'!$B$172-1),IF($G381="H",$M381*('Model Data Inputs'!$B$173-1),$M381*('Model Data Inputs'!$B$170-1))))</f>
        <v>0</v>
      </c>
      <c r="O381" s="300">
        <f t="shared" si="11"/>
        <v>0</v>
      </c>
    </row>
    <row r="382" spans="1:15" s="40" customFormat="1" x14ac:dyDescent="0.2">
      <c r="A382" s="20" t="s">
        <v>74</v>
      </c>
      <c r="B382" s="20" t="s">
        <v>75</v>
      </c>
      <c r="C382" s="20" t="s">
        <v>1929</v>
      </c>
      <c r="D382" s="20" t="s">
        <v>1930</v>
      </c>
      <c r="E382" s="298">
        <v>14793</v>
      </c>
      <c r="F382" s="138" t="s">
        <v>1159</v>
      </c>
      <c r="G382" s="138">
        <v>0</v>
      </c>
      <c r="H382" s="299" t="s">
        <v>1191</v>
      </c>
      <c r="I382" s="300">
        <v>0.14000000000000001</v>
      </c>
      <c r="J382" s="300">
        <f>IF(OR($E382&lt;='Model Data Inputs'!$B$175,$F382="T"),$I382,IF($G382="E",'Model Data Inputs'!$B$176+$H382/'Model Data Inputs'!$B$179,IF($G382="M",'Model Data Inputs'!$B$177+$H382/'Model Data Inputs'!$B$179,IF($G382="H",'Model Data Inputs'!$B$178+$H382/'Model Data Inputs'!$B$179,IF($G382="N/A",0,$I382)))))</f>
        <v>0.14000000000000001</v>
      </c>
      <c r="K382" s="300">
        <f t="shared" si="10"/>
        <v>0</v>
      </c>
      <c r="L382" s="300">
        <f>$K382*'Model Data Inputs'!$B$168</f>
        <v>0</v>
      </c>
      <c r="M382" s="300">
        <f>$L382/'Model Data Inputs'!$B$169</f>
        <v>0</v>
      </c>
      <c r="N382" s="300">
        <f>IF($G382="E",$M382*('Model Data Inputs'!$B$171-1),IF($G382="M",$M382*('Model Data Inputs'!$B$172-1),IF($G382="H",$M382*('Model Data Inputs'!$B$173-1),$M382*('Model Data Inputs'!$B$170-1))))</f>
        <v>0</v>
      </c>
      <c r="O382" s="300">
        <f t="shared" si="11"/>
        <v>0</v>
      </c>
    </row>
    <row r="383" spans="1:15" s="40" customFormat="1" x14ac:dyDescent="0.2">
      <c r="A383" s="20" t="s">
        <v>74</v>
      </c>
      <c r="B383" s="20" t="s">
        <v>75</v>
      </c>
      <c r="C383" s="20" t="s">
        <v>1931</v>
      </c>
      <c r="D383" s="20" t="s">
        <v>1932</v>
      </c>
      <c r="E383" s="298">
        <v>40527</v>
      </c>
      <c r="F383" s="138" t="s">
        <v>1159</v>
      </c>
      <c r="G383" s="138" t="s">
        <v>1191</v>
      </c>
      <c r="H383" s="299" t="s">
        <v>1191</v>
      </c>
      <c r="I383" s="300">
        <v>2.16</v>
      </c>
      <c r="J383" s="300">
        <f>IF(OR($E383&lt;='Model Data Inputs'!$B$175,$F383="T"),$I383,IF($G383="E",'Model Data Inputs'!$B$176+$H383/'Model Data Inputs'!$B$179,IF($G383="M",'Model Data Inputs'!$B$177+$H383/'Model Data Inputs'!$B$179,IF($G383="H",'Model Data Inputs'!$B$178+$H383/'Model Data Inputs'!$B$179,IF($G383="N/A",0,$I383)))))</f>
        <v>0</v>
      </c>
      <c r="K383" s="300">
        <f t="shared" si="10"/>
        <v>0</v>
      </c>
      <c r="L383" s="300">
        <f>$K383*'Model Data Inputs'!$B$168</f>
        <v>0</v>
      </c>
      <c r="M383" s="300">
        <f>$L383/'Model Data Inputs'!$B$169</f>
        <v>0</v>
      </c>
      <c r="N383" s="300">
        <f>IF($G383="E",$M383*('Model Data Inputs'!$B$171-1),IF($G383="M",$M383*('Model Data Inputs'!$B$172-1),IF($G383="H",$M383*('Model Data Inputs'!$B$173-1),$M383*('Model Data Inputs'!$B$170-1))))</f>
        <v>0</v>
      </c>
      <c r="O383" s="300">
        <f t="shared" si="11"/>
        <v>0</v>
      </c>
    </row>
    <row r="384" spans="1:15" s="40" customFormat="1" x14ac:dyDescent="0.2">
      <c r="A384" s="20" t="s">
        <v>76</v>
      </c>
      <c r="B384" s="20" t="s">
        <v>77</v>
      </c>
      <c r="C384" s="20" t="s">
        <v>1933</v>
      </c>
      <c r="D384" s="20" t="s">
        <v>1934</v>
      </c>
      <c r="E384" s="298">
        <v>19112</v>
      </c>
      <c r="F384" s="138" t="s">
        <v>1159</v>
      </c>
      <c r="G384" s="138">
        <v>0</v>
      </c>
      <c r="H384" s="299" t="s">
        <v>1191</v>
      </c>
      <c r="I384" s="300">
        <v>1.04</v>
      </c>
      <c r="J384" s="300">
        <f>IF(OR($E384&lt;='Model Data Inputs'!$B$175,$F384="T"),$I384,IF($G384="E",'Model Data Inputs'!$B$176+$H384/'Model Data Inputs'!$B$179,IF($G384="M",'Model Data Inputs'!$B$177+$H384/'Model Data Inputs'!$B$179,IF($G384="H",'Model Data Inputs'!$B$178+$H384/'Model Data Inputs'!$B$179,IF($G384="N/A",0,$I384)))))</f>
        <v>1.04</v>
      </c>
      <c r="K384" s="300">
        <f t="shared" si="10"/>
        <v>0</v>
      </c>
      <c r="L384" s="300">
        <f>$K384*'Model Data Inputs'!$B$168</f>
        <v>0</v>
      </c>
      <c r="M384" s="300">
        <f>$L384/'Model Data Inputs'!$B$169</f>
        <v>0</v>
      </c>
      <c r="N384" s="300">
        <f>IF($G384="E",$M384*('Model Data Inputs'!$B$171-1),IF($G384="M",$M384*('Model Data Inputs'!$B$172-1),IF($G384="H",$M384*('Model Data Inputs'!$B$173-1),$M384*('Model Data Inputs'!$B$170-1))))</f>
        <v>0</v>
      </c>
      <c r="O384" s="300">
        <f t="shared" si="11"/>
        <v>0</v>
      </c>
    </row>
    <row r="385" spans="1:15" s="40" customFormat="1" x14ac:dyDescent="0.2">
      <c r="A385" s="20" t="s">
        <v>76</v>
      </c>
      <c r="B385" s="20" t="s">
        <v>77</v>
      </c>
      <c r="C385" s="20" t="s">
        <v>1935</v>
      </c>
      <c r="D385" s="20" t="s">
        <v>1936</v>
      </c>
      <c r="E385" s="298">
        <v>19128</v>
      </c>
      <c r="F385" s="138" t="s">
        <v>1159</v>
      </c>
      <c r="G385" s="138" t="s">
        <v>1198</v>
      </c>
      <c r="H385" s="299">
        <f>'School Level ADM'!S256</f>
        <v>206.85</v>
      </c>
      <c r="I385" s="300">
        <v>2.42</v>
      </c>
      <c r="J385" s="300">
        <f>IF(OR($E385&lt;='Model Data Inputs'!$B$175,$F385="T"),$I385,IF($G385="E",'Model Data Inputs'!$B$176+$H385/'Model Data Inputs'!$B$179,IF($G385="M",'Model Data Inputs'!$B$177+$H385/'Model Data Inputs'!$B$179,IF($G385="H",'Model Data Inputs'!$B$178+$H385/'Model Data Inputs'!$B$179,IF($G385="N/A",0,$I385)))))</f>
        <v>2.42</v>
      </c>
      <c r="K385" s="300">
        <f t="shared" si="10"/>
        <v>2.42</v>
      </c>
      <c r="L385" s="300">
        <f>$K385*'Model Data Inputs'!$B$168</f>
        <v>225.06</v>
      </c>
      <c r="M385" s="300">
        <f>$L385/'Model Data Inputs'!$B$169</f>
        <v>0.11208167330677291</v>
      </c>
      <c r="N385" s="300">
        <f>IF($G385="E",$M385*('Model Data Inputs'!$B$171-1),IF($G385="M",$M385*('Model Data Inputs'!$B$172-1),IF($G385="H",$M385*('Model Data Inputs'!$B$173-1),$M385*('Model Data Inputs'!$B$170-1))))</f>
        <v>0</v>
      </c>
      <c r="O385" s="300">
        <f t="shared" si="11"/>
        <v>0.11208167330677291</v>
      </c>
    </row>
    <row r="386" spans="1:15" s="40" customFormat="1" x14ac:dyDescent="0.2">
      <c r="A386" s="20" t="s">
        <v>76</v>
      </c>
      <c r="B386" s="20" t="s">
        <v>77</v>
      </c>
      <c r="C386" s="20" t="s">
        <v>1937</v>
      </c>
      <c r="D386" s="20" t="s">
        <v>1938</v>
      </c>
      <c r="E386" s="298">
        <v>28419</v>
      </c>
      <c r="F386" s="138" t="s">
        <v>1159</v>
      </c>
      <c r="G386" s="138" t="s">
        <v>1198</v>
      </c>
      <c r="H386" s="299">
        <f>'School Level ADM'!S257</f>
        <v>194.04499999999999</v>
      </c>
      <c r="I386" s="300">
        <v>11</v>
      </c>
      <c r="J386" s="300">
        <f>IF(OR($E386&lt;='Model Data Inputs'!$B$175,$F386="T"),$I386,IF($G386="E",'Model Data Inputs'!$B$176+$H386/'Model Data Inputs'!$B$179,IF($G386="M",'Model Data Inputs'!$B$177+$H386/'Model Data Inputs'!$B$179,IF($G386="H",'Model Data Inputs'!$B$178+$H386/'Model Data Inputs'!$B$179,IF($G386="N/A",0,$I386)))))</f>
        <v>11</v>
      </c>
      <c r="K386" s="300">
        <f t="shared" si="10"/>
        <v>11</v>
      </c>
      <c r="L386" s="300">
        <f>$K386*'Model Data Inputs'!$B$168</f>
        <v>1023</v>
      </c>
      <c r="M386" s="300">
        <f>$L386/'Model Data Inputs'!$B$169</f>
        <v>0.5094621513944223</v>
      </c>
      <c r="N386" s="300">
        <f>IF($G386="E",$M386*('Model Data Inputs'!$B$171-1),IF($G386="M",$M386*('Model Data Inputs'!$B$172-1),IF($G386="H",$M386*('Model Data Inputs'!$B$173-1),$M386*('Model Data Inputs'!$B$170-1))))</f>
        <v>0</v>
      </c>
      <c r="O386" s="300">
        <f t="shared" si="11"/>
        <v>0.5094621513944223</v>
      </c>
    </row>
    <row r="387" spans="1:15" s="40" customFormat="1" x14ac:dyDescent="0.2">
      <c r="A387" s="20" t="s">
        <v>76</v>
      </c>
      <c r="B387" s="20" t="s">
        <v>77</v>
      </c>
      <c r="C387" s="20" t="s">
        <v>1939</v>
      </c>
      <c r="D387" s="20" t="s">
        <v>1940</v>
      </c>
      <c r="E387" s="298">
        <v>10117</v>
      </c>
      <c r="F387" s="138" t="s">
        <v>1159</v>
      </c>
      <c r="G387" s="138">
        <v>0</v>
      </c>
      <c r="H387" s="299" t="s">
        <v>1191</v>
      </c>
      <c r="I387" s="300">
        <v>1.61</v>
      </c>
      <c r="J387" s="300">
        <f>IF(OR($E387&lt;='Model Data Inputs'!$B$175,$F387="T"),$I387,IF($G387="E",'Model Data Inputs'!$B$176+$H387/'Model Data Inputs'!$B$179,IF($G387="M",'Model Data Inputs'!$B$177+$H387/'Model Data Inputs'!$B$179,IF($G387="H",'Model Data Inputs'!$B$178+$H387/'Model Data Inputs'!$B$179,IF($G387="N/A",0,$I387)))))</f>
        <v>1.61</v>
      </c>
      <c r="K387" s="300">
        <f t="shared" si="10"/>
        <v>0</v>
      </c>
      <c r="L387" s="300">
        <f>$K387*'Model Data Inputs'!$B$168</f>
        <v>0</v>
      </c>
      <c r="M387" s="300">
        <f>$L387/'Model Data Inputs'!$B$169</f>
        <v>0</v>
      </c>
      <c r="N387" s="300">
        <f>IF($G387="E",$M387*('Model Data Inputs'!$B$171-1),IF($G387="M",$M387*('Model Data Inputs'!$B$172-1),IF($G387="H",$M387*('Model Data Inputs'!$B$173-1),$M387*('Model Data Inputs'!$B$170-1))))</f>
        <v>0</v>
      </c>
      <c r="O387" s="300">
        <f t="shared" si="11"/>
        <v>0</v>
      </c>
    </row>
    <row r="388" spans="1:15" s="40" customFormat="1" x14ac:dyDescent="0.2">
      <c r="A388" s="20" t="s">
        <v>76</v>
      </c>
      <c r="B388" s="20" t="s">
        <v>77</v>
      </c>
      <c r="C388" s="20" t="s">
        <v>1941</v>
      </c>
      <c r="D388" s="20" t="s">
        <v>1942</v>
      </c>
      <c r="E388" s="298">
        <v>21694</v>
      </c>
      <c r="F388" s="138" t="s">
        <v>1159</v>
      </c>
      <c r="G388" s="138" t="s">
        <v>1228</v>
      </c>
      <c r="H388" s="299">
        <f>SUM('School Level ADM'!S254,'School Level ADM'!S259,'School Level ADM'!S261)</f>
        <v>49.25</v>
      </c>
      <c r="I388" s="300">
        <v>9.81</v>
      </c>
      <c r="J388" s="300">
        <f>IF(OR($E388&lt;='Model Data Inputs'!$B$175,$F388="T"),$I388,IF($G388="E",'Model Data Inputs'!$B$176+$H388/'Model Data Inputs'!$B$179,IF($G388="M",'Model Data Inputs'!$B$177+$H388/'Model Data Inputs'!$B$179,IF($G388="H",'Model Data Inputs'!$B$178+$H388/'Model Data Inputs'!$B$179,IF($G388="N/A",0,$I388)))))</f>
        <v>9.81</v>
      </c>
      <c r="K388" s="300">
        <f t="shared" si="10"/>
        <v>9.81</v>
      </c>
      <c r="L388" s="300">
        <f>$K388*'Model Data Inputs'!$B$168</f>
        <v>912.33</v>
      </c>
      <c r="M388" s="300">
        <f>$L388/'Model Data Inputs'!$B$169</f>
        <v>0.45434760956175302</v>
      </c>
      <c r="N388" s="300">
        <f>IF($G388="E",$M388*('Model Data Inputs'!$B$171-1),IF($G388="M",$M388*('Model Data Inputs'!$B$172-1),IF($G388="H",$M388*('Model Data Inputs'!$B$173-1),$M388*('Model Data Inputs'!$B$170-1))))</f>
        <v>0.68152141434262958</v>
      </c>
      <c r="O388" s="300">
        <f t="shared" si="11"/>
        <v>1.1358690239043825</v>
      </c>
    </row>
    <row r="389" spans="1:15" s="40" customFormat="1" x14ac:dyDescent="0.2">
      <c r="A389" s="20" t="s">
        <v>76</v>
      </c>
      <c r="B389" s="20" t="s">
        <v>77</v>
      </c>
      <c r="C389" s="20" t="s">
        <v>1943</v>
      </c>
      <c r="D389" s="20" t="s">
        <v>1944</v>
      </c>
      <c r="E389" s="298">
        <v>22691</v>
      </c>
      <c r="F389" s="138" t="s">
        <v>1159</v>
      </c>
      <c r="G389" s="138" t="s">
        <v>1228</v>
      </c>
      <c r="H389" s="299">
        <f>SUM('School Level ADM'!S263,'School Level ADM'!S264)</f>
        <v>293.52999999999997</v>
      </c>
      <c r="I389" s="300">
        <v>4.82</v>
      </c>
      <c r="J389" s="300">
        <f>IF(OR($E389&lt;='Model Data Inputs'!$B$175,$F389="T"),$I389,IF($G389="E",'Model Data Inputs'!$B$176+$H389/'Model Data Inputs'!$B$179,IF($G389="M",'Model Data Inputs'!$B$177+$H389/'Model Data Inputs'!$B$179,IF($G389="H",'Model Data Inputs'!$B$178+$H389/'Model Data Inputs'!$B$179,IF($G389="N/A",0,$I389)))))</f>
        <v>4.82</v>
      </c>
      <c r="K389" s="300">
        <f t="shared" si="10"/>
        <v>4.82</v>
      </c>
      <c r="L389" s="300">
        <f>$K389*'Model Data Inputs'!$B$168</f>
        <v>448.26000000000005</v>
      </c>
      <c r="M389" s="300">
        <f>$L389/'Model Data Inputs'!$B$169</f>
        <v>0.22323705179282871</v>
      </c>
      <c r="N389" s="300">
        <f>IF($G389="E",$M389*('Model Data Inputs'!$B$171-1),IF($G389="M",$M389*('Model Data Inputs'!$B$172-1),IF($G389="H",$M389*('Model Data Inputs'!$B$173-1),$M389*('Model Data Inputs'!$B$170-1))))</f>
        <v>0.33485557768924307</v>
      </c>
      <c r="O389" s="300">
        <f t="shared" si="11"/>
        <v>0.55809262948207183</v>
      </c>
    </row>
    <row r="390" spans="1:15" s="40" customFormat="1" x14ac:dyDescent="0.2">
      <c r="A390" s="20" t="s">
        <v>76</v>
      </c>
      <c r="B390" s="20" t="s">
        <v>77</v>
      </c>
      <c r="C390" s="20" t="s">
        <v>1945</v>
      </c>
      <c r="D390" s="20" t="s">
        <v>1946</v>
      </c>
      <c r="E390" s="298">
        <v>14207</v>
      </c>
      <c r="F390" s="138" t="s">
        <v>1159</v>
      </c>
      <c r="G390" s="138" t="s">
        <v>1228</v>
      </c>
      <c r="H390" s="299">
        <f>SUM('School Level ADM'!S255,'School Level ADM'!S260,'School Level ADM'!S262)</f>
        <v>61.069999999999993</v>
      </c>
      <c r="I390" s="300">
        <v>7.85</v>
      </c>
      <c r="J390" s="300">
        <f>IF(OR($E390&lt;='Model Data Inputs'!$B$175,$F390="T"),$I390,IF($G390="E",'Model Data Inputs'!$B$176+$H390/'Model Data Inputs'!$B$179,IF($G390="M",'Model Data Inputs'!$B$177+$H390/'Model Data Inputs'!$B$179,IF($G390="H",'Model Data Inputs'!$B$178+$H390/'Model Data Inputs'!$B$179,IF($G390="N/A",0,$I390)))))</f>
        <v>7.85</v>
      </c>
      <c r="K390" s="300">
        <f t="shared" ref="K390:K453" si="12">IF(AND($A$2=2,OR(G390=0,G390="N/A")),0,IF($I390&lt;$J390,$I390,$J390))</f>
        <v>7.85</v>
      </c>
      <c r="L390" s="300">
        <f>$K390*'Model Data Inputs'!$B$168</f>
        <v>730.05</v>
      </c>
      <c r="M390" s="300">
        <f>$L390/'Model Data Inputs'!$B$169</f>
        <v>0.3635707171314741</v>
      </c>
      <c r="N390" s="300">
        <f>IF($G390="E",$M390*('Model Data Inputs'!$B$171-1),IF($G390="M",$M390*('Model Data Inputs'!$B$172-1),IF($G390="H",$M390*('Model Data Inputs'!$B$173-1),$M390*('Model Data Inputs'!$B$170-1))))</f>
        <v>0.54535607569721112</v>
      </c>
      <c r="O390" s="300">
        <f t="shared" si="11"/>
        <v>0.90892679282868527</v>
      </c>
    </row>
    <row r="391" spans="1:15" s="40" customFormat="1" x14ac:dyDescent="0.2">
      <c r="A391" s="20" t="s">
        <v>76</v>
      </c>
      <c r="B391" s="20" t="s">
        <v>77</v>
      </c>
      <c r="C391" s="20" t="s">
        <v>1947</v>
      </c>
      <c r="D391" s="20" t="s">
        <v>1948</v>
      </c>
      <c r="E391" s="298">
        <v>4529</v>
      </c>
      <c r="F391" s="138" t="s">
        <v>1159</v>
      </c>
      <c r="G391" s="138">
        <v>0</v>
      </c>
      <c r="H391" s="299" t="s">
        <v>1191</v>
      </c>
      <c r="I391" s="300">
        <v>5.0999999999999996</v>
      </c>
      <c r="J391" s="300">
        <f>IF(OR($E391&lt;='Model Data Inputs'!$B$175,$F391="T"),$I391,IF($G391="E",'Model Data Inputs'!$B$176+$H391/'Model Data Inputs'!$B$179,IF($G391="M",'Model Data Inputs'!$B$177+$H391/'Model Data Inputs'!$B$179,IF($G391="H",'Model Data Inputs'!$B$178+$H391/'Model Data Inputs'!$B$179,IF($G391="N/A",0,$I391)))))</f>
        <v>5.0999999999999996</v>
      </c>
      <c r="K391" s="300">
        <f t="shared" si="12"/>
        <v>0</v>
      </c>
      <c r="L391" s="300">
        <f>$K391*'Model Data Inputs'!$B$168</f>
        <v>0</v>
      </c>
      <c r="M391" s="300">
        <f>$L391/'Model Data Inputs'!$B$169</f>
        <v>0</v>
      </c>
      <c r="N391" s="300">
        <f>IF($G391="E",$M391*('Model Data Inputs'!$B$171-1),IF($G391="M",$M391*('Model Data Inputs'!$B$172-1),IF($G391="H",$M391*('Model Data Inputs'!$B$173-1),$M391*('Model Data Inputs'!$B$170-1))))</f>
        <v>0</v>
      </c>
      <c r="O391" s="300">
        <f t="shared" si="11"/>
        <v>0</v>
      </c>
    </row>
    <row r="392" spans="1:15" s="40" customFormat="1" x14ac:dyDescent="0.2">
      <c r="A392" s="20" t="s">
        <v>76</v>
      </c>
      <c r="B392" s="20" t="s">
        <v>77</v>
      </c>
      <c r="C392" s="20" t="s">
        <v>1949</v>
      </c>
      <c r="D392" s="20" t="s">
        <v>1950</v>
      </c>
      <c r="E392" s="298">
        <v>27467</v>
      </c>
      <c r="F392" s="138" t="s">
        <v>1159</v>
      </c>
      <c r="G392" s="138">
        <v>0</v>
      </c>
      <c r="H392" s="299" t="s">
        <v>1191</v>
      </c>
      <c r="I392" s="300">
        <v>1.45</v>
      </c>
      <c r="J392" s="300">
        <f>IF(OR($E392&lt;='Model Data Inputs'!$B$175,$F392="T"),$I392,IF($G392="E",'Model Data Inputs'!$B$176+$H392/'Model Data Inputs'!$B$179,IF($G392="M",'Model Data Inputs'!$B$177+$H392/'Model Data Inputs'!$B$179,IF($G392="H",'Model Data Inputs'!$B$178+$H392/'Model Data Inputs'!$B$179,IF($G392="N/A",0,$I392)))))</f>
        <v>1.45</v>
      </c>
      <c r="K392" s="300">
        <f t="shared" si="12"/>
        <v>0</v>
      </c>
      <c r="L392" s="300">
        <f>$K392*'Model Data Inputs'!$B$168</f>
        <v>0</v>
      </c>
      <c r="M392" s="300">
        <f>$L392/'Model Data Inputs'!$B$169</f>
        <v>0</v>
      </c>
      <c r="N392" s="300">
        <f>IF($G392="E",$M392*('Model Data Inputs'!$B$171-1),IF($G392="M",$M392*('Model Data Inputs'!$B$172-1),IF($G392="H",$M392*('Model Data Inputs'!$B$173-1),$M392*('Model Data Inputs'!$B$170-1))))</f>
        <v>0</v>
      </c>
      <c r="O392" s="300">
        <f t="shared" si="11"/>
        <v>0</v>
      </c>
    </row>
    <row r="393" spans="1:15" s="40" customFormat="1" x14ac:dyDescent="0.2">
      <c r="A393" s="20" t="s">
        <v>76</v>
      </c>
      <c r="B393" s="20" t="s">
        <v>77</v>
      </c>
      <c r="C393" s="20" t="s">
        <v>1951</v>
      </c>
      <c r="D393" s="20" t="s">
        <v>1952</v>
      </c>
      <c r="E393" s="298">
        <v>30176</v>
      </c>
      <c r="F393" s="138" t="s">
        <v>1159</v>
      </c>
      <c r="G393" s="138">
        <v>0</v>
      </c>
      <c r="H393" s="299" t="s">
        <v>1191</v>
      </c>
      <c r="I393" s="300">
        <v>8</v>
      </c>
      <c r="J393" s="300">
        <f>IF(OR($E393&lt;='Model Data Inputs'!$B$175,$F393="T"),$I393,IF($G393="E",'Model Data Inputs'!$B$176+$H393/'Model Data Inputs'!$B$179,IF($G393="M",'Model Data Inputs'!$B$177+$H393/'Model Data Inputs'!$B$179,IF($G393="H",'Model Data Inputs'!$B$178+$H393/'Model Data Inputs'!$B$179,IF($G393="N/A",0,$I393)))))</f>
        <v>8</v>
      </c>
      <c r="K393" s="300">
        <f t="shared" si="12"/>
        <v>0</v>
      </c>
      <c r="L393" s="300">
        <f>$K393*'Model Data Inputs'!$B$168</f>
        <v>0</v>
      </c>
      <c r="M393" s="300">
        <f>$L393/'Model Data Inputs'!$B$169</f>
        <v>0</v>
      </c>
      <c r="N393" s="300">
        <f>IF($G393="E",$M393*('Model Data Inputs'!$B$171-1),IF($G393="M",$M393*('Model Data Inputs'!$B$172-1),IF($G393="H",$M393*('Model Data Inputs'!$B$173-1),$M393*('Model Data Inputs'!$B$170-1))))</f>
        <v>0</v>
      </c>
      <c r="O393" s="300">
        <f t="shared" ref="O393:O457" si="13">SUM($M393:$N393)</f>
        <v>0</v>
      </c>
    </row>
    <row r="394" spans="1:15" s="40" customFormat="1" x14ac:dyDescent="0.2">
      <c r="A394" s="20" t="s">
        <v>76</v>
      </c>
      <c r="B394" s="20" t="s">
        <v>77</v>
      </c>
      <c r="C394" s="20" t="s">
        <v>1953</v>
      </c>
      <c r="D394" s="20" t="s">
        <v>1954</v>
      </c>
      <c r="E394" s="298">
        <v>36370</v>
      </c>
      <c r="F394" s="138" t="s">
        <v>1159</v>
      </c>
      <c r="G394" s="138" t="s">
        <v>1205</v>
      </c>
      <c r="H394" s="299">
        <f>'School Level ADM'!S258</f>
        <v>202.91</v>
      </c>
      <c r="I394" s="300">
        <v>21</v>
      </c>
      <c r="J394" s="300">
        <f>IF(OR($E394&lt;='Model Data Inputs'!$B$175,$F394="T"),$I394,IF($G394="E",'Model Data Inputs'!$B$176+$H394/'Model Data Inputs'!$B$179,IF($G394="M",'Model Data Inputs'!$B$177+$H394/'Model Data Inputs'!$B$179,IF($G394="H",'Model Data Inputs'!$B$178+$H394/'Model Data Inputs'!$B$179,IF($G394="N/A",0,$I394)))))</f>
        <v>12.0291</v>
      </c>
      <c r="K394" s="300">
        <f t="shared" si="12"/>
        <v>12.0291</v>
      </c>
      <c r="L394" s="300">
        <f>$K394*'Model Data Inputs'!$B$168</f>
        <v>1118.7063000000001</v>
      </c>
      <c r="M394" s="300">
        <f>$L394/'Model Data Inputs'!$B$169</f>
        <v>0.55712465139442235</v>
      </c>
      <c r="N394" s="300">
        <f>IF($G394="E",$M394*('Model Data Inputs'!$B$171-1),IF($G394="M",$M394*('Model Data Inputs'!$B$172-1),IF($G394="H",$M394*('Model Data Inputs'!$B$173-1),$M394*('Model Data Inputs'!$B$170-1))))</f>
        <v>0.27856232569721118</v>
      </c>
      <c r="O394" s="300">
        <f t="shared" si="13"/>
        <v>0.83568697709163353</v>
      </c>
    </row>
    <row r="395" spans="1:15" s="40" customFormat="1" x14ac:dyDescent="0.2">
      <c r="A395" s="20" t="s">
        <v>76</v>
      </c>
      <c r="B395" s="20" t="s">
        <v>77</v>
      </c>
      <c r="C395" s="20" t="s">
        <v>1955</v>
      </c>
      <c r="D395" s="20" t="s">
        <v>1956</v>
      </c>
      <c r="E395" s="298">
        <v>42079</v>
      </c>
      <c r="F395" s="138" t="s">
        <v>1159</v>
      </c>
      <c r="G395" s="138" t="s">
        <v>1191</v>
      </c>
      <c r="H395" s="299" t="s">
        <v>1191</v>
      </c>
      <c r="I395" s="300">
        <v>1</v>
      </c>
      <c r="J395" s="300">
        <f>IF(OR($E395&lt;='Model Data Inputs'!$B$175,$F395="T"),$I395,IF($G395="E",'Model Data Inputs'!$B$176+$H395/'Model Data Inputs'!$B$179,IF($G395="M",'Model Data Inputs'!$B$177+$H395/'Model Data Inputs'!$B$179,IF($G395="H",'Model Data Inputs'!$B$178+$H395/'Model Data Inputs'!$B$179,IF($G395="N/A",0,$I395)))))</f>
        <v>0</v>
      </c>
      <c r="K395" s="300">
        <f t="shared" si="12"/>
        <v>0</v>
      </c>
      <c r="L395" s="300">
        <f>$K395*'Model Data Inputs'!$B$168</f>
        <v>0</v>
      </c>
      <c r="M395" s="300">
        <f>$L395/'Model Data Inputs'!$B$169</f>
        <v>0</v>
      </c>
      <c r="N395" s="300">
        <f>IF($G395="E",$M395*('Model Data Inputs'!$B$171-1),IF($G395="M",$M395*('Model Data Inputs'!$B$172-1),IF($G395="H",$M395*('Model Data Inputs'!$B$173-1),$M395*('Model Data Inputs'!$B$170-1))))</f>
        <v>0</v>
      </c>
      <c r="O395" s="300">
        <f t="shared" si="13"/>
        <v>0</v>
      </c>
    </row>
    <row r="396" spans="1:15" s="40" customFormat="1" x14ac:dyDescent="0.2">
      <c r="A396" s="20" t="s">
        <v>78</v>
      </c>
      <c r="B396" s="20" t="s">
        <v>79</v>
      </c>
      <c r="C396" s="20" t="s">
        <v>1957</v>
      </c>
      <c r="D396" s="20" t="s">
        <v>1958</v>
      </c>
      <c r="E396" s="298">
        <v>17275</v>
      </c>
      <c r="F396" s="138" t="s">
        <v>1159</v>
      </c>
      <c r="G396" s="138" t="s">
        <v>1228</v>
      </c>
      <c r="H396" s="299">
        <f>SUM('School Level ADM'!S265:S267)</f>
        <v>240.86133333333333</v>
      </c>
      <c r="I396" s="300">
        <v>19.260000000000002</v>
      </c>
      <c r="J396" s="300">
        <f>IF(OR($E396&lt;='Model Data Inputs'!$B$175,$F396="T"),$I396,IF($G396="E",'Model Data Inputs'!$B$176+$H396/'Model Data Inputs'!$B$179,IF($G396="M",'Model Data Inputs'!$B$177+$H396/'Model Data Inputs'!$B$179,IF($G396="H",'Model Data Inputs'!$B$178+$H396/'Model Data Inputs'!$B$179,IF($G396="N/A",0,$I396)))))</f>
        <v>19.260000000000002</v>
      </c>
      <c r="K396" s="300">
        <f t="shared" si="12"/>
        <v>19.260000000000002</v>
      </c>
      <c r="L396" s="300">
        <f>$K396*'Model Data Inputs'!$B$168</f>
        <v>1791.18</v>
      </c>
      <c r="M396" s="300">
        <f>$L396/'Model Data Inputs'!$B$169</f>
        <v>0.89202191235059769</v>
      </c>
      <c r="N396" s="300">
        <f>IF($G396="E",$M396*('Model Data Inputs'!$B$171-1),IF($G396="M",$M396*('Model Data Inputs'!$B$172-1),IF($G396="H",$M396*('Model Data Inputs'!$B$173-1),$M396*('Model Data Inputs'!$B$170-1))))</f>
        <v>1.3380328685258966</v>
      </c>
      <c r="O396" s="300">
        <f t="shared" si="13"/>
        <v>2.2300547808764941</v>
      </c>
    </row>
    <row r="397" spans="1:15" s="40" customFormat="1" x14ac:dyDescent="0.2">
      <c r="A397" s="20" t="s">
        <v>80</v>
      </c>
      <c r="B397" s="20" t="s">
        <v>81</v>
      </c>
      <c r="C397" s="20" t="s">
        <v>1959</v>
      </c>
      <c r="D397" s="20" t="s">
        <v>1960</v>
      </c>
      <c r="E397" s="298">
        <v>29150</v>
      </c>
      <c r="F397" s="138" t="s">
        <v>1159</v>
      </c>
      <c r="G397" s="138" t="s">
        <v>1198</v>
      </c>
      <c r="H397" s="299">
        <f>'School Level ADM'!S268</f>
        <v>200.20466666666667</v>
      </c>
      <c r="I397" s="300">
        <v>8</v>
      </c>
      <c r="J397" s="300">
        <f>IF(OR($E397&lt;='Model Data Inputs'!$B$175,$F397="T"),$I397,IF($G397="E",'Model Data Inputs'!$B$176+$H397/'Model Data Inputs'!$B$179,IF($G397="M",'Model Data Inputs'!$B$177+$H397/'Model Data Inputs'!$B$179,IF($G397="H",'Model Data Inputs'!$B$178+$H397/'Model Data Inputs'!$B$179,IF($G397="N/A",0,$I397)))))</f>
        <v>8</v>
      </c>
      <c r="K397" s="300">
        <f t="shared" si="12"/>
        <v>8</v>
      </c>
      <c r="L397" s="300">
        <f>$K397*'Model Data Inputs'!$B$168</f>
        <v>744</v>
      </c>
      <c r="M397" s="300">
        <f>$L397/'Model Data Inputs'!$B$169</f>
        <v>0.37051792828685259</v>
      </c>
      <c r="N397" s="300">
        <f>IF($G397="E",$M397*('Model Data Inputs'!$B$171-1),IF($G397="M",$M397*('Model Data Inputs'!$B$172-1),IF($G397="H",$M397*('Model Data Inputs'!$B$173-1),$M397*('Model Data Inputs'!$B$170-1))))</f>
        <v>0</v>
      </c>
      <c r="O397" s="300">
        <f t="shared" si="13"/>
        <v>0.37051792828685259</v>
      </c>
    </row>
    <row r="398" spans="1:15" s="40" customFormat="1" x14ac:dyDescent="0.2">
      <c r="A398" s="20" t="s">
        <v>80</v>
      </c>
      <c r="B398" s="20" t="s">
        <v>81</v>
      </c>
      <c r="C398" s="20" t="s">
        <v>1961</v>
      </c>
      <c r="D398" s="20" t="s">
        <v>1962</v>
      </c>
      <c r="E398" s="298">
        <v>1535</v>
      </c>
      <c r="F398" s="138" t="s">
        <v>1159</v>
      </c>
      <c r="G398" s="138" t="s">
        <v>1198</v>
      </c>
      <c r="H398" s="299">
        <f>'School Level ADM'!S269</f>
        <v>4.3716666666666661</v>
      </c>
      <c r="I398" s="300">
        <v>1</v>
      </c>
      <c r="J398" s="300">
        <f>IF(OR($E398&lt;='Model Data Inputs'!$B$175,$F398="T"),$I398,IF($G398="E",'Model Data Inputs'!$B$176+$H398/'Model Data Inputs'!$B$179,IF($G398="M",'Model Data Inputs'!$B$177+$H398/'Model Data Inputs'!$B$179,IF($G398="H",'Model Data Inputs'!$B$178+$H398/'Model Data Inputs'!$B$179,IF($G398="N/A",0,$I398)))))</f>
        <v>1</v>
      </c>
      <c r="K398" s="300">
        <f t="shared" si="12"/>
        <v>1</v>
      </c>
      <c r="L398" s="300">
        <f>$K398*'Model Data Inputs'!$B$168</f>
        <v>93</v>
      </c>
      <c r="M398" s="300">
        <f>$L398/'Model Data Inputs'!$B$169</f>
        <v>4.6314741035856574E-2</v>
      </c>
      <c r="N398" s="300">
        <f>IF($G398="E",$M398*('Model Data Inputs'!$B$171-1),IF($G398="M",$M398*('Model Data Inputs'!$B$172-1),IF($G398="H",$M398*('Model Data Inputs'!$B$173-1),$M398*('Model Data Inputs'!$B$170-1))))</f>
        <v>0</v>
      </c>
      <c r="O398" s="300">
        <f t="shared" si="13"/>
        <v>4.6314741035856574E-2</v>
      </c>
    </row>
    <row r="399" spans="1:15" s="40" customFormat="1" x14ac:dyDescent="0.2">
      <c r="A399" s="20" t="s">
        <v>80</v>
      </c>
      <c r="B399" s="20" t="s">
        <v>81</v>
      </c>
      <c r="C399" s="20" t="s">
        <v>1963</v>
      </c>
      <c r="D399" s="20" t="s">
        <v>1964</v>
      </c>
      <c r="E399" s="298">
        <v>15299</v>
      </c>
      <c r="F399" s="138" t="s">
        <v>1159</v>
      </c>
      <c r="G399" s="138">
        <v>0</v>
      </c>
      <c r="H399" s="299" t="s">
        <v>1191</v>
      </c>
      <c r="I399" s="300">
        <v>5.22</v>
      </c>
      <c r="J399" s="300">
        <f>IF(OR($E399&lt;='Model Data Inputs'!$B$175,$F399="T"),$I399,IF($G399="E",'Model Data Inputs'!$B$176+$H399/'Model Data Inputs'!$B$179,IF($G399="M",'Model Data Inputs'!$B$177+$H399/'Model Data Inputs'!$B$179,IF($G399="H",'Model Data Inputs'!$B$178+$H399/'Model Data Inputs'!$B$179,IF($G399="N/A",0,$I399)))))</f>
        <v>5.22</v>
      </c>
      <c r="K399" s="300">
        <f t="shared" si="12"/>
        <v>0</v>
      </c>
      <c r="L399" s="300">
        <f>$K399*'Model Data Inputs'!$B$168</f>
        <v>0</v>
      </c>
      <c r="M399" s="300">
        <f>$L399/'Model Data Inputs'!$B$169</f>
        <v>0</v>
      </c>
      <c r="N399" s="300">
        <f>IF($G399="E",$M399*('Model Data Inputs'!$B$171-1),IF($G399="M",$M399*('Model Data Inputs'!$B$172-1),IF($G399="H",$M399*('Model Data Inputs'!$B$173-1),$M399*('Model Data Inputs'!$B$170-1))))</f>
        <v>0</v>
      </c>
      <c r="O399" s="300">
        <f t="shared" si="13"/>
        <v>0</v>
      </c>
    </row>
    <row r="400" spans="1:15" s="40" customFormat="1" x14ac:dyDescent="0.2">
      <c r="A400" s="20" t="s">
        <v>80</v>
      </c>
      <c r="B400" s="20" t="s">
        <v>81</v>
      </c>
      <c r="C400" s="20" t="s">
        <v>1965</v>
      </c>
      <c r="D400" s="20" t="s">
        <v>1966</v>
      </c>
      <c r="E400" s="298">
        <v>31434</v>
      </c>
      <c r="F400" s="138" t="s">
        <v>1159</v>
      </c>
      <c r="G400" s="138" t="s">
        <v>1205</v>
      </c>
      <c r="H400" s="299">
        <f>'School Level ADM'!S273</f>
        <v>120.33366666666666</v>
      </c>
      <c r="I400" s="300">
        <v>27.12</v>
      </c>
      <c r="J400" s="300">
        <f>IF(OR($E400&lt;='Model Data Inputs'!$B$175,$F400="T"),$I400,IF($G400="E",'Model Data Inputs'!$B$176+$H400/'Model Data Inputs'!$B$179,IF($G400="M",'Model Data Inputs'!$B$177+$H400/'Model Data Inputs'!$B$179,IF($G400="H",'Model Data Inputs'!$B$178+$H400/'Model Data Inputs'!$B$179,IF($G400="N/A",0,$I400)))))</f>
        <v>27.12</v>
      </c>
      <c r="K400" s="300">
        <f t="shared" si="12"/>
        <v>27.12</v>
      </c>
      <c r="L400" s="300">
        <f>$K400*'Model Data Inputs'!$B$168</f>
        <v>2522.1600000000003</v>
      </c>
      <c r="M400" s="300">
        <f>$L400/'Model Data Inputs'!$B$169</f>
        <v>1.2560557768924305</v>
      </c>
      <c r="N400" s="300">
        <f>IF($G400="E",$M400*('Model Data Inputs'!$B$171-1),IF($G400="M",$M400*('Model Data Inputs'!$B$172-1),IF($G400="H",$M400*('Model Data Inputs'!$B$173-1),$M400*('Model Data Inputs'!$B$170-1))))</f>
        <v>0.62802788844621527</v>
      </c>
      <c r="O400" s="300">
        <f t="shared" si="13"/>
        <v>1.8840836653386459</v>
      </c>
    </row>
    <row r="401" spans="1:15" s="40" customFormat="1" x14ac:dyDescent="0.2">
      <c r="A401" s="20" t="s">
        <v>80</v>
      </c>
      <c r="B401" s="20" t="s">
        <v>81</v>
      </c>
      <c r="C401" s="20" t="s">
        <v>1967</v>
      </c>
      <c r="D401" s="20" t="s">
        <v>1968</v>
      </c>
      <c r="E401" s="298">
        <v>29150</v>
      </c>
      <c r="F401" s="138" t="s">
        <v>1159</v>
      </c>
      <c r="G401" s="138" t="s">
        <v>1228</v>
      </c>
      <c r="H401" s="299">
        <f>SUM('School Level ADM'!S272,'School Level ADM'!S274)</f>
        <v>236.64666666666665</v>
      </c>
      <c r="I401" s="300">
        <v>23.89</v>
      </c>
      <c r="J401" s="300">
        <f>IF(OR($E401&lt;='Model Data Inputs'!$B$175,$F401="T"),$I401,IF($G401="E",'Model Data Inputs'!$B$176+$H401/'Model Data Inputs'!$B$179,IF($G401="M",'Model Data Inputs'!$B$177+$H401/'Model Data Inputs'!$B$179,IF($G401="H",'Model Data Inputs'!$B$178+$H401/'Model Data Inputs'!$B$179,IF($G401="N/A",0,$I401)))))</f>
        <v>23.89</v>
      </c>
      <c r="K401" s="300">
        <f t="shared" si="12"/>
        <v>23.89</v>
      </c>
      <c r="L401" s="300">
        <f>$K401*'Model Data Inputs'!$B$168</f>
        <v>2221.77</v>
      </c>
      <c r="M401" s="300">
        <f>$L401/'Model Data Inputs'!$B$169</f>
        <v>1.1064591633466134</v>
      </c>
      <c r="N401" s="300">
        <f>IF($G401="E",$M401*('Model Data Inputs'!$B$171-1),IF($G401="M",$M401*('Model Data Inputs'!$B$172-1),IF($G401="H",$M401*('Model Data Inputs'!$B$173-1),$M401*('Model Data Inputs'!$B$170-1))))</f>
        <v>1.65968874501992</v>
      </c>
      <c r="O401" s="300">
        <f t="shared" si="13"/>
        <v>2.7661479083665332</v>
      </c>
    </row>
    <row r="402" spans="1:15" s="40" customFormat="1" x14ac:dyDescent="0.2">
      <c r="A402" s="20" t="s">
        <v>80</v>
      </c>
      <c r="B402" s="20" t="s">
        <v>81</v>
      </c>
      <c r="C402" s="20" t="s">
        <v>1969</v>
      </c>
      <c r="D402" s="20" t="s">
        <v>1970</v>
      </c>
      <c r="E402" s="298">
        <v>20891</v>
      </c>
      <c r="F402" s="138" t="s">
        <v>1159</v>
      </c>
      <c r="G402" s="138" t="s">
        <v>1228</v>
      </c>
      <c r="H402" s="299">
        <f>SUM('School Level ADM'!S271,'School Level ADM'!S275)</f>
        <v>127.16666666666666</v>
      </c>
      <c r="I402" s="300">
        <v>21.99</v>
      </c>
      <c r="J402" s="300">
        <f>IF(OR($E402&lt;='Model Data Inputs'!$B$175,$F402="T"),$I402,IF($G402="E",'Model Data Inputs'!$B$176+$H402/'Model Data Inputs'!$B$179,IF($G402="M",'Model Data Inputs'!$B$177+$H402/'Model Data Inputs'!$B$179,IF($G402="H",'Model Data Inputs'!$B$178+$H402/'Model Data Inputs'!$B$179,IF($G402="N/A",0,$I402)))))</f>
        <v>21.99</v>
      </c>
      <c r="K402" s="300">
        <f t="shared" si="12"/>
        <v>21.99</v>
      </c>
      <c r="L402" s="300">
        <f>$K402*'Model Data Inputs'!$B$168</f>
        <v>2045.07</v>
      </c>
      <c r="M402" s="300">
        <f>$L402/'Model Data Inputs'!$B$169</f>
        <v>1.0184611553784859</v>
      </c>
      <c r="N402" s="300">
        <f>IF($G402="E",$M402*('Model Data Inputs'!$B$171-1),IF($G402="M",$M402*('Model Data Inputs'!$B$172-1),IF($G402="H",$M402*('Model Data Inputs'!$B$173-1),$M402*('Model Data Inputs'!$B$170-1))))</f>
        <v>1.5276917330677289</v>
      </c>
      <c r="O402" s="300">
        <f t="shared" si="13"/>
        <v>2.5461528884462146</v>
      </c>
    </row>
    <row r="403" spans="1:15" s="40" customFormat="1" x14ac:dyDescent="0.2">
      <c r="A403" s="20" t="s">
        <v>80</v>
      </c>
      <c r="B403" s="20" t="s">
        <v>81</v>
      </c>
      <c r="C403" s="20" t="s">
        <v>1971</v>
      </c>
      <c r="D403" s="20" t="s">
        <v>1972</v>
      </c>
      <c r="E403" s="298">
        <v>39630</v>
      </c>
      <c r="F403" s="138" t="s">
        <v>1159</v>
      </c>
      <c r="G403" s="138" t="s">
        <v>1198</v>
      </c>
      <c r="H403" s="299">
        <f>'School Level ADM'!S270</f>
        <v>247.49</v>
      </c>
      <c r="I403" s="300">
        <v>10</v>
      </c>
      <c r="J403" s="300">
        <f>IF(OR($E403&lt;='Model Data Inputs'!$B$175,$F403="T"),$I403,IF($G403="E",'Model Data Inputs'!$B$176+$H403/'Model Data Inputs'!$B$179,IF($G403="M",'Model Data Inputs'!$B$177+$H403/'Model Data Inputs'!$B$179,IF($G403="H",'Model Data Inputs'!$B$178+$H403/'Model Data Inputs'!$B$179,IF($G403="N/A",0,$I403)))))</f>
        <v>6.4748999999999999</v>
      </c>
      <c r="K403" s="300">
        <f t="shared" si="12"/>
        <v>6.4748999999999999</v>
      </c>
      <c r="L403" s="300">
        <f>$K403*'Model Data Inputs'!$B$168</f>
        <v>602.16570000000002</v>
      </c>
      <c r="M403" s="300">
        <f>$L403/'Model Data Inputs'!$B$169</f>
        <v>0.29988331673306773</v>
      </c>
      <c r="N403" s="300">
        <f>IF($G403="E",$M403*('Model Data Inputs'!$B$171-1),IF($G403="M",$M403*('Model Data Inputs'!$B$172-1),IF($G403="H",$M403*('Model Data Inputs'!$B$173-1),$M403*('Model Data Inputs'!$B$170-1))))</f>
        <v>0</v>
      </c>
      <c r="O403" s="300">
        <f t="shared" si="13"/>
        <v>0.29988331673306773</v>
      </c>
    </row>
    <row r="404" spans="1:15" s="40" customFormat="1" x14ac:dyDescent="0.2">
      <c r="A404" s="20" t="s">
        <v>80</v>
      </c>
      <c r="B404" s="20" t="s">
        <v>81</v>
      </c>
      <c r="C404" s="20" t="s">
        <v>1973</v>
      </c>
      <c r="D404" s="20" t="s">
        <v>1974</v>
      </c>
      <c r="E404" s="298">
        <v>41091</v>
      </c>
      <c r="F404" s="138" t="s">
        <v>1159</v>
      </c>
      <c r="G404" s="138">
        <v>0</v>
      </c>
      <c r="H404" s="299" t="s">
        <v>1191</v>
      </c>
      <c r="I404" s="300">
        <v>8.48</v>
      </c>
      <c r="J404" s="300">
        <f>IF(OR($E404&lt;='Model Data Inputs'!$B$175,$F404="T"),$I404,IF($G404="E",'Model Data Inputs'!$B$176+$H404/'Model Data Inputs'!$B$179,IF($G404="M",'Model Data Inputs'!$B$177+$H404/'Model Data Inputs'!$B$179,IF($G404="H",'Model Data Inputs'!$B$178+$H404/'Model Data Inputs'!$B$179,IF($G404="N/A",0,$I404)))))</f>
        <v>8.48</v>
      </c>
      <c r="K404" s="300">
        <f t="shared" si="12"/>
        <v>0</v>
      </c>
      <c r="L404" s="300">
        <f>$K404*'Model Data Inputs'!$B$168</f>
        <v>0</v>
      </c>
      <c r="M404" s="300">
        <f>$L404/'Model Data Inputs'!$B$169</f>
        <v>0</v>
      </c>
      <c r="N404" s="300">
        <f>IF($G404="E",$M404*('Model Data Inputs'!$B$171-1),IF($G404="M",$M404*('Model Data Inputs'!$B$172-1),IF($G404="H",$M404*('Model Data Inputs'!$B$173-1),$M404*('Model Data Inputs'!$B$170-1))))</f>
        <v>0</v>
      </c>
      <c r="O404" s="300">
        <f t="shared" si="13"/>
        <v>0</v>
      </c>
    </row>
    <row r="405" spans="1:15" s="40" customFormat="1" x14ac:dyDescent="0.2">
      <c r="A405" s="20" t="s">
        <v>82</v>
      </c>
      <c r="B405" s="20" t="s">
        <v>83</v>
      </c>
      <c r="C405" s="20" t="s">
        <v>1975</v>
      </c>
      <c r="D405" s="20" t="s">
        <v>1976</v>
      </c>
      <c r="E405" s="298">
        <v>28307</v>
      </c>
      <c r="F405" s="138" t="s">
        <v>1159</v>
      </c>
      <c r="G405" s="138">
        <v>0</v>
      </c>
      <c r="H405" s="299" t="s">
        <v>1191</v>
      </c>
      <c r="I405" s="300">
        <v>7.3</v>
      </c>
      <c r="J405" s="300">
        <f>IF(OR($E405&lt;='Model Data Inputs'!$B$175,$F405="T"),$I405,IF($G405="E",'Model Data Inputs'!$B$176+$H405/'Model Data Inputs'!$B$179,IF($G405="M",'Model Data Inputs'!$B$177+$H405/'Model Data Inputs'!$B$179,IF($G405="H",'Model Data Inputs'!$B$178+$H405/'Model Data Inputs'!$B$179,IF($G405="N/A",0,$I405)))))</f>
        <v>7.3</v>
      </c>
      <c r="K405" s="300">
        <f t="shared" si="12"/>
        <v>0</v>
      </c>
      <c r="L405" s="300">
        <f>$K405*'Model Data Inputs'!$B$168</f>
        <v>0</v>
      </c>
      <c r="M405" s="300">
        <f>$L405/'Model Data Inputs'!$B$169</f>
        <v>0</v>
      </c>
      <c r="N405" s="300">
        <f>IF($G405="E",$M405*('Model Data Inputs'!$B$171-1),IF($G405="M",$M405*('Model Data Inputs'!$B$172-1),IF($G405="H",$M405*('Model Data Inputs'!$B$173-1),$M405*('Model Data Inputs'!$B$170-1))))</f>
        <v>0</v>
      </c>
      <c r="O405" s="300">
        <f t="shared" si="13"/>
        <v>0</v>
      </c>
    </row>
    <row r="406" spans="1:15" s="40" customFormat="1" x14ac:dyDescent="0.2">
      <c r="A406" s="20" t="s">
        <v>82</v>
      </c>
      <c r="B406" s="20" t="s">
        <v>83</v>
      </c>
      <c r="C406" s="20" t="s">
        <v>1977</v>
      </c>
      <c r="D406" s="20" t="s">
        <v>1978</v>
      </c>
      <c r="E406" s="298">
        <v>24289</v>
      </c>
      <c r="F406" s="138" t="s">
        <v>1159</v>
      </c>
      <c r="G406" s="138" t="s">
        <v>1198</v>
      </c>
      <c r="H406" s="299">
        <f>'School Level ADM'!S276</f>
        <v>343.76499999999999</v>
      </c>
      <c r="I406" s="300">
        <v>8.6715999999999998</v>
      </c>
      <c r="J406" s="300">
        <f>IF(OR($E406&lt;='Model Data Inputs'!$B$175,$F406="T"),$I406,IF($G406="E",'Model Data Inputs'!$B$176+$H406/'Model Data Inputs'!$B$179,IF($G406="M",'Model Data Inputs'!$B$177+$H406/'Model Data Inputs'!$B$179,IF($G406="H",'Model Data Inputs'!$B$178+$H406/'Model Data Inputs'!$B$179,IF($G406="N/A",0,$I406)))))</f>
        <v>8.6715999999999998</v>
      </c>
      <c r="K406" s="300">
        <f t="shared" si="12"/>
        <v>8.6715999999999998</v>
      </c>
      <c r="L406" s="300">
        <f>$K406*'Model Data Inputs'!$B$168</f>
        <v>806.4588</v>
      </c>
      <c r="M406" s="300">
        <f>$L406/'Model Data Inputs'!$B$169</f>
        <v>0.40162290836653386</v>
      </c>
      <c r="N406" s="300">
        <f>IF($G406="E",$M406*('Model Data Inputs'!$B$171-1),IF($G406="M",$M406*('Model Data Inputs'!$B$172-1),IF($G406="H",$M406*('Model Data Inputs'!$B$173-1),$M406*('Model Data Inputs'!$B$170-1))))</f>
        <v>0</v>
      </c>
      <c r="O406" s="300">
        <f t="shared" si="13"/>
        <v>0.40162290836653386</v>
      </c>
    </row>
    <row r="407" spans="1:15" s="40" customFormat="1" x14ac:dyDescent="0.2">
      <c r="A407" s="20" t="s">
        <v>82</v>
      </c>
      <c r="B407" s="20" t="s">
        <v>83</v>
      </c>
      <c r="C407" s="20" t="s">
        <v>1979</v>
      </c>
      <c r="D407" s="20" t="s">
        <v>1980</v>
      </c>
      <c r="E407" s="298">
        <v>19541</v>
      </c>
      <c r="F407" s="138" t="s">
        <v>1159</v>
      </c>
      <c r="G407" s="138" t="s">
        <v>1228</v>
      </c>
      <c r="H407" s="299">
        <f>SUM('School Level ADM'!S283:S284)</f>
        <v>71.905000000000001</v>
      </c>
      <c r="I407" s="300">
        <v>5.0999999999999996</v>
      </c>
      <c r="J407" s="300">
        <f>IF(OR($E407&lt;='Model Data Inputs'!$B$175,$F407="T"),$I407,IF($G407="E",'Model Data Inputs'!$B$176+$H407/'Model Data Inputs'!$B$179,IF($G407="M",'Model Data Inputs'!$B$177+$H407/'Model Data Inputs'!$B$179,IF($G407="H",'Model Data Inputs'!$B$178+$H407/'Model Data Inputs'!$B$179,IF($G407="N/A",0,$I407)))))</f>
        <v>5.0999999999999996</v>
      </c>
      <c r="K407" s="300">
        <f t="shared" si="12"/>
        <v>5.0999999999999996</v>
      </c>
      <c r="L407" s="300">
        <f>$K407*'Model Data Inputs'!$B$168</f>
        <v>474.29999999999995</v>
      </c>
      <c r="M407" s="300">
        <f>$L407/'Model Data Inputs'!$B$169</f>
        <v>0.23620517928286849</v>
      </c>
      <c r="N407" s="300">
        <f>IF($G407="E",$M407*('Model Data Inputs'!$B$171-1),IF($G407="M",$M407*('Model Data Inputs'!$B$172-1),IF($G407="H",$M407*('Model Data Inputs'!$B$173-1),$M407*('Model Data Inputs'!$B$170-1))))</f>
        <v>0.35430776892430271</v>
      </c>
      <c r="O407" s="300">
        <f t="shared" si="13"/>
        <v>0.59051294820717115</v>
      </c>
    </row>
    <row r="408" spans="1:15" s="40" customFormat="1" x14ac:dyDescent="0.2">
      <c r="A408" s="20" t="s">
        <v>82</v>
      </c>
      <c r="B408" s="20" t="s">
        <v>83</v>
      </c>
      <c r="C408" s="20" t="s">
        <v>1981</v>
      </c>
      <c r="D408" s="20" t="s">
        <v>1982</v>
      </c>
      <c r="E408" s="298">
        <v>20637</v>
      </c>
      <c r="F408" s="138" t="s">
        <v>1159</v>
      </c>
      <c r="G408" s="138" t="s">
        <v>1198</v>
      </c>
      <c r="H408" s="299">
        <f>'School Level ADM'!S278</f>
        <v>18.715</v>
      </c>
      <c r="I408" s="300">
        <v>1.01</v>
      </c>
      <c r="J408" s="300">
        <f>IF(OR($E408&lt;='Model Data Inputs'!$B$175,$F408="T"),$I408,IF($G408="E",'Model Data Inputs'!$B$176+$H408/'Model Data Inputs'!$B$179,IF($G408="M",'Model Data Inputs'!$B$177+$H408/'Model Data Inputs'!$B$179,IF($G408="H",'Model Data Inputs'!$B$178+$H408/'Model Data Inputs'!$B$179,IF($G408="N/A",0,$I408)))))</f>
        <v>1.01</v>
      </c>
      <c r="K408" s="300">
        <f t="shared" si="12"/>
        <v>1.01</v>
      </c>
      <c r="L408" s="300">
        <f>$K408*'Model Data Inputs'!$B$168</f>
        <v>93.93</v>
      </c>
      <c r="M408" s="300">
        <f>$L408/'Model Data Inputs'!$B$169</f>
        <v>4.6777888446215145E-2</v>
      </c>
      <c r="N408" s="300">
        <f>IF($G408="E",$M408*('Model Data Inputs'!$B$171-1),IF($G408="M",$M408*('Model Data Inputs'!$B$172-1),IF($G408="H",$M408*('Model Data Inputs'!$B$173-1),$M408*('Model Data Inputs'!$B$170-1))))</f>
        <v>0</v>
      </c>
      <c r="O408" s="300">
        <f t="shared" si="13"/>
        <v>4.6777888446215145E-2</v>
      </c>
    </row>
    <row r="409" spans="1:15" s="40" customFormat="1" x14ac:dyDescent="0.2">
      <c r="A409" s="20" t="s">
        <v>82</v>
      </c>
      <c r="B409" s="20" t="s">
        <v>83</v>
      </c>
      <c r="C409" s="20" t="s">
        <v>1983</v>
      </c>
      <c r="D409" s="20" t="s">
        <v>1984</v>
      </c>
      <c r="E409" s="298">
        <v>18445</v>
      </c>
      <c r="F409" s="138" t="s">
        <v>1159</v>
      </c>
      <c r="G409" s="138">
        <v>0</v>
      </c>
      <c r="H409" s="299" t="s">
        <v>1191</v>
      </c>
      <c r="I409" s="300">
        <v>4.55</v>
      </c>
      <c r="J409" s="300">
        <f>IF(OR($E409&lt;='Model Data Inputs'!$B$175,$F409="T"),$I409,IF($G409="E",'Model Data Inputs'!$B$176+$H409/'Model Data Inputs'!$B$179,IF($G409="M",'Model Data Inputs'!$B$177+$H409/'Model Data Inputs'!$B$179,IF($G409="H",'Model Data Inputs'!$B$178+$H409/'Model Data Inputs'!$B$179,IF($G409="N/A",0,$I409)))))</f>
        <v>4.55</v>
      </c>
      <c r="K409" s="300">
        <f t="shared" si="12"/>
        <v>0</v>
      </c>
      <c r="L409" s="300">
        <f>$K409*'Model Data Inputs'!$B$168</f>
        <v>0</v>
      </c>
      <c r="M409" s="300">
        <f>$L409/'Model Data Inputs'!$B$169</f>
        <v>0</v>
      </c>
      <c r="N409" s="300">
        <f>IF($G409="E",$M409*('Model Data Inputs'!$B$171-1),IF($G409="M",$M409*('Model Data Inputs'!$B$172-1),IF($G409="H",$M409*('Model Data Inputs'!$B$173-1),$M409*('Model Data Inputs'!$B$170-1))))</f>
        <v>0</v>
      </c>
      <c r="O409" s="300">
        <f t="shared" si="13"/>
        <v>0</v>
      </c>
    </row>
    <row r="410" spans="1:15" s="40" customFormat="1" x14ac:dyDescent="0.2">
      <c r="A410" s="20" t="s">
        <v>82</v>
      </c>
      <c r="B410" s="20" t="s">
        <v>83</v>
      </c>
      <c r="C410" s="20" t="s">
        <v>1985</v>
      </c>
      <c r="D410" s="20" t="s">
        <v>1317</v>
      </c>
      <c r="E410" s="298">
        <v>28672</v>
      </c>
      <c r="F410" s="138" t="s">
        <v>1159</v>
      </c>
      <c r="G410" s="138" t="s">
        <v>1198</v>
      </c>
      <c r="H410" s="299">
        <f>'School Level ADM'!S280</f>
        <v>330.96000000000004</v>
      </c>
      <c r="I410" s="300">
        <v>7.54</v>
      </c>
      <c r="J410" s="300">
        <f>IF(OR($E410&lt;='Model Data Inputs'!$B$175,$F410="T"),$I410,IF($G410="E",'Model Data Inputs'!$B$176+$H410/'Model Data Inputs'!$B$179,IF($G410="M",'Model Data Inputs'!$B$177+$H410/'Model Data Inputs'!$B$179,IF($G410="H",'Model Data Inputs'!$B$178+$H410/'Model Data Inputs'!$B$179,IF($G410="N/A",0,$I410)))))</f>
        <v>7.54</v>
      </c>
      <c r="K410" s="300">
        <f t="shared" si="12"/>
        <v>7.54</v>
      </c>
      <c r="L410" s="300">
        <f>$K410*'Model Data Inputs'!$B$168</f>
        <v>701.22</v>
      </c>
      <c r="M410" s="300">
        <f>$L410/'Model Data Inputs'!$B$169</f>
        <v>0.34921314741035858</v>
      </c>
      <c r="N410" s="300">
        <f>IF($G410="E",$M410*('Model Data Inputs'!$B$171-1),IF($G410="M",$M410*('Model Data Inputs'!$B$172-1),IF($G410="H",$M410*('Model Data Inputs'!$B$173-1),$M410*('Model Data Inputs'!$B$170-1))))</f>
        <v>0</v>
      </c>
      <c r="O410" s="300">
        <f t="shared" si="13"/>
        <v>0.34921314741035858</v>
      </c>
    </row>
    <row r="411" spans="1:15" s="40" customFormat="1" x14ac:dyDescent="0.2">
      <c r="A411" s="20" t="s">
        <v>82</v>
      </c>
      <c r="B411" s="20" t="s">
        <v>83</v>
      </c>
      <c r="C411" s="20" t="s">
        <v>1986</v>
      </c>
      <c r="D411" s="20" t="s">
        <v>1987</v>
      </c>
      <c r="E411" s="298">
        <v>31594</v>
      </c>
      <c r="F411" s="138" t="s">
        <v>1159</v>
      </c>
      <c r="G411" s="138" t="s">
        <v>1198</v>
      </c>
      <c r="H411" s="299">
        <f>'School Level ADM'!S281</f>
        <v>321.11</v>
      </c>
      <c r="I411" s="300">
        <v>9.8800000000000008</v>
      </c>
      <c r="J411" s="300">
        <f>IF(OR($E411&lt;='Model Data Inputs'!$B$175,$F411="T"),$I411,IF($G411="E",'Model Data Inputs'!$B$176+$H411/'Model Data Inputs'!$B$179,IF($G411="M",'Model Data Inputs'!$B$177+$H411/'Model Data Inputs'!$B$179,IF($G411="H",'Model Data Inputs'!$B$178+$H411/'Model Data Inputs'!$B$179,IF($G411="N/A",0,$I411)))))</f>
        <v>9.8800000000000008</v>
      </c>
      <c r="K411" s="300">
        <f t="shared" si="12"/>
        <v>9.8800000000000008</v>
      </c>
      <c r="L411" s="300">
        <f>$K411*'Model Data Inputs'!$B$168</f>
        <v>918.84</v>
      </c>
      <c r="M411" s="300">
        <f>$L411/'Model Data Inputs'!$B$169</f>
        <v>0.45758964143426295</v>
      </c>
      <c r="N411" s="300">
        <f>IF($G411="E",$M411*('Model Data Inputs'!$B$171-1),IF($G411="M",$M411*('Model Data Inputs'!$B$172-1),IF($G411="H",$M411*('Model Data Inputs'!$B$173-1),$M411*('Model Data Inputs'!$B$170-1))))</f>
        <v>0</v>
      </c>
      <c r="O411" s="300">
        <f t="shared" si="13"/>
        <v>0.45758964143426295</v>
      </c>
    </row>
    <row r="412" spans="1:15" s="40" customFormat="1" x14ac:dyDescent="0.2">
      <c r="A412" s="20" t="s">
        <v>82</v>
      </c>
      <c r="B412" s="20" t="s">
        <v>83</v>
      </c>
      <c r="C412" s="20" t="s">
        <v>1988</v>
      </c>
      <c r="D412" s="20" t="s">
        <v>1989</v>
      </c>
      <c r="E412" s="298">
        <v>7122</v>
      </c>
      <c r="F412" s="138" t="s">
        <v>1159</v>
      </c>
      <c r="G412" s="138" t="s">
        <v>1228</v>
      </c>
      <c r="H412" s="299">
        <f>'School Level ADM'!S282</f>
        <v>801.79</v>
      </c>
      <c r="I412" s="300">
        <v>17</v>
      </c>
      <c r="J412" s="300">
        <f>IF(OR($E412&lt;='Model Data Inputs'!$B$175,$F412="T"),$I412,IF($G412="E",'Model Data Inputs'!$B$176+$H412/'Model Data Inputs'!$B$179,IF($G412="M",'Model Data Inputs'!$B$177+$H412/'Model Data Inputs'!$B$179,IF($G412="H",'Model Data Inputs'!$B$178+$H412/'Model Data Inputs'!$B$179,IF($G412="N/A",0,$I412)))))</f>
        <v>17</v>
      </c>
      <c r="K412" s="300">
        <f t="shared" si="12"/>
        <v>17</v>
      </c>
      <c r="L412" s="300">
        <f>$K412*'Model Data Inputs'!$B$168</f>
        <v>1581</v>
      </c>
      <c r="M412" s="300">
        <f>$L412/'Model Data Inputs'!$B$169</f>
        <v>0.78735059760956172</v>
      </c>
      <c r="N412" s="300">
        <f>IF($G412="E",$M412*('Model Data Inputs'!$B$171-1),IF($G412="M",$M412*('Model Data Inputs'!$B$172-1),IF($G412="H",$M412*('Model Data Inputs'!$B$173-1),$M412*('Model Data Inputs'!$B$170-1))))</f>
        <v>1.1810258964143425</v>
      </c>
      <c r="O412" s="300">
        <f t="shared" si="13"/>
        <v>1.9683764940239041</v>
      </c>
    </row>
    <row r="413" spans="1:15" s="40" customFormat="1" x14ac:dyDescent="0.2">
      <c r="A413" s="20" t="s">
        <v>82</v>
      </c>
      <c r="B413" s="20" t="s">
        <v>83</v>
      </c>
      <c r="C413" s="20" t="s">
        <v>1990</v>
      </c>
      <c r="D413" s="20" t="s">
        <v>1991</v>
      </c>
      <c r="E413" s="298">
        <v>31959</v>
      </c>
      <c r="F413" s="138" t="s">
        <v>1159</v>
      </c>
      <c r="G413" s="138" t="s">
        <v>1228</v>
      </c>
      <c r="H413" s="299">
        <f>'School Level ADM'!S285</f>
        <v>929.83999999999992</v>
      </c>
      <c r="I413" s="300">
        <v>44.57</v>
      </c>
      <c r="J413" s="300">
        <f>IF(OR($E413&lt;='Model Data Inputs'!$B$175,$F413="T"),$I413,IF($G413="E",'Model Data Inputs'!$B$176+$H413/'Model Data Inputs'!$B$179,IF($G413="M",'Model Data Inputs'!$B$177+$H413/'Model Data Inputs'!$B$179,IF($G413="H",'Model Data Inputs'!$B$178+$H413/'Model Data Inputs'!$B$179,IF($G413="N/A",0,$I413)))))</f>
        <v>44.57</v>
      </c>
      <c r="K413" s="300">
        <f t="shared" si="12"/>
        <v>44.57</v>
      </c>
      <c r="L413" s="300">
        <f>$K413*'Model Data Inputs'!$B$168</f>
        <v>4145.01</v>
      </c>
      <c r="M413" s="300">
        <f>$L413/'Model Data Inputs'!$B$169</f>
        <v>2.0642480079681276</v>
      </c>
      <c r="N413" s="300">
        <f>IF($G413="E",$M413*('Model Data Inputs'!$B$171-1),IF($G413="M",$M413*('Model Data Inputs'!$B$172-1),IF($G413="H",$M413*('Model Data Inputs'!$B$173-1),$M413*('Model Data Inputs'!$B$170-1))))</f>
        <v>3.0963720119521914</v>
      </c>
      <c r="O413" s="300">
        <f t="shared" si="13"/>
        <v>5.1606200199203194</v>
      </c>
    </row>
    <row r="414" spans="1:15" s="40" customFormat="1" x14ac:dyDescent="0.2">
      <c r="A414" s="20" t="s">
        <v>82</v>
      </c>
      <c r="B414" s="20" t="s">
        <v>83</v>
      </c>
      <c r="C414" s="20" t="s">
        <v>1992</v>
      </c>
      <c r="D414" s="20" t="s">
        <v>1993</v>
      </c>
      <c r="E414" s="298">
        <v>38687</v>
      </c>
      <c r="F414" s="138" t="s">
        <v>1159</v>
      </c>
      <c r="G414" s="138">
        <v>0</v>
      </c>
      <c r="H414" s="299" t="s">
        <v>1191</v>
      </c>
      <c r="I414" s="300">
        <v>0.21</v>
      </c>
      <c r="J414" s="300">
        <f>IF(OR($E414&lt;='Model Data Inputs'!$B$175,$F414="T"),$I414,IF($G414="E",'Model Data Inputs'!$B$176+$H414/'Model Data Inputs'!$B$179,IF($G414="M",'Model Data Inputs'!$B$177+$H414/'Model Data Inputs'!$B$179,IF($G414="H",'Model Data Inputs'!$B$178+$H414/'Model Data Inputs'!$B$179,IF($G414="N/A",0,$I414)))))</f>
        <v>0.21</v>
      </c>
      <c r="K414" s="300">
        <f t="shared" si="12"/>
        <v>0</v>
      </c>
      <c r="L414" s="300">
        <f>$K414*'Model Data Inputs'!$B$168</f>
        <v>0</v>
      </c>
      <c r="M414" s="300">
        <f>$L414/'Model Data Inputs'!$B$169</f>
        <v>0</v>
      </c>
      <c r="N414" s="300">
        <f>IF($G414="E",$M414*('Model Data Inputs'!$B$171-1),IF($G414="M",$M414*('Model Data Inputs'!$B$172-1),IF($G414="H",$M414*('Model Data Inputs'!$B$173-1),$M414*('Model Data Inputs'!$B$170-1))))</f>
        <v>0</v>
      </c>
      <c r="O414" s="300">
        <f t="shared" si="13"/>
        <v>0</v>
      </c>
    </row>
    <row r="415" spans="1:15" s="40" customFormat="1" x14ac:dyDescent="0.2">
      <c r="A415" s="20" t="s">
        <v>82</v>
      </c>
      <c r="B415" s="20" t="s">
        <v>83</v>
      </c>
      <c r="C415" s="20" t="s">
        <v>1994</v>
      </c>
      <c r="D415" s="20" t="s">
        <v>1995</v>
      </c>
      <c r="E415" s="298">
        <v>38481</v>
      </c>
      <c r="F415" s="138" t="s">
        <v>1159</v>
      </c>
      <c r="G415" s="138" t="s">
        <v>1198</v>
      </c>
      <c r="H415" s="299">
        <f>'School Level ADM'!S277</f>
        <v>363.46500000000003</v>
      </c>
      <c r="I415" s="300">
        <v>9.3000000000000007</v>
      </c>
      <c r="J415" s="300">
        <f>IF(OR($E415&lt;='Model Data Inputs'!$B$175,$F415="T"),$I415,IF($G415="E",'Model Data Inputs'!$B$176+$H415/'Model Data Inputs'!$B$179,IF($G415="M",'Model Data Inputs'!$B$177+$H415/'Model Data Inputs'!$B$179,IF($G415="H",'Model Data Inputs'!$B$178+$H415/'Model Data Inputs'!$B$179,IF($G415="N/A",0,$I415)))))</f>
        <v>7.6346500000000006</v>
      </c>
      <c r="K415" s="300">
        <f t="shared" si="12"/>
        <v>7.6346500000000006</v>
      </c>
      <c r="L415" s="300">
        <f>$K415*'Model Data Inputs'!$B$168</f>
        <v>710.02245000000005</v>
      </c>
      <c r="M415" s="300">
        <f>$L415/'Model Data Inputs'!$B$169</f>
        <v>0.35359683764940242</v>
      </c>
      <c r="N415" s="300">
        <f>IF($G415="E",$M415*('Model Data Inputs'!$B$171-1),IF($G415="M",$M415*('Model Data Inputs'!$B$172-1),IF($G415="H",$M415*('Model Data Inputs'!$B$173-1),$M415*('Model Data Inputs'!$B$170-1))))</f>
        <v>0</v>
      </c>
      <c r="O415" s="300">
        <f t="shared" si="13"/>
        <v>0.35359683764940242</v>
      </c>
    </row>
    <row r="416" spans="1:15" s="40" customFormat="1" x14ac:dyDescent="0.2">
      <c r="A416" s="20" t="s">
        <v>82</v>
      </c>
      <c r="B416" s="20" t="s">
        <v>83</v>
      </c>
      <c r="C416" s="20" t="s">
        <v>1996</v>
      </c>
      <c r="D416" s="20" t="s">
        <v>1997</v>
      </c>
      <c r="E416" s="298">
        <v>39148</v>
      </c>
      <c r="F416" s="138" t="s">
        <v>1159</v>
      </c>
      <c r="G416" s="138">
        <v>0</v>
      </c>
      <c r="H416" s="299" t="s">
        <v>1191</v>
      </c>
      <c r="I416" s="300">
        <v>1.1000000000000001</v>
      </c>
      <c r="J416" s="300">
        <f>IF(OR($E416&lt;='Model Data Inputs'!$B$175,$F416="T"),$I416,IF($G416="E",'Model Data Inputs'!$B$176+$H416/'Model Data Inputs'!$B$179,IF($G416="M",'Model Data Inputs'!$B$177+$H416/'Model Data Inputs'!$B$179,IF($G416="H",'Model Data Inputs'!$B$178+$H416/'Model Data Inputs'!$B$179,IF($G416="N/A",0,$I416)))))</f>
        <v>1.1000000000000001</v>
      </c>
      <c r="K416" s="300">
        <f t="shared" si="12"/>
        <v>0</v>
      </c>
      <c r="L416" s="300">
        <f>$K416*'Model Data Inputs'!$B$168</f>
        <v>0</v>
      </c>
      <c r="M416" s="300">
        <f>$L416/'Model Data Inputs'!$B$169</f>
        <v>0</v>
      </c>
      <c r="N416" s="300">
        <f>IF($G416="E",$M416*('Model Data Inputs'!$B$171-1),IF($G416="M",$M416*('Model Data Inputs'!$B$172-1),IF($G416="H",$M416*('Model Data Inputs'!$B$173-1),$M416*('Model Data Inputs'!$B$170-1))))</f>
        <v>0</v>
      </c>
      <c r="O416" s="300">
        <f t="shared" si="13"/>
        <v>0</v>
      </c>
    </row>
    <row r="417" spans="1:15" s="40" customFormat="1" x14ac:dyDescent="0.2">
      <c r="A417" s="20" t="s">
        <v>82</v>
      </c>
      <c r="B417" s="20" t="s">
        <v>83</v>
      </c>
      <c r="C417" s="20" t="s">
        <v>1998</v>
      </c>
      <c r="D417" s="20" t="s">
        <v>1999</v>
      </c>
      <c r="E417" s="298">
        <v>40087</v>
      </c>
      <c r="F417" s="138" t="s">
        <v>1159</v>
      </c>
      <c r="G417" s="138" t="s">
        <v>1198</v>
      </c>
      <c r="H417" s="299">
        <f>'School Level ADM'!S279</f>
        <v>314.21499999999997</v>
      </c>
      <c r="I417" s="300">
        <v>11.24</v>
      </c>
      <c r="J417" s="300">
        <f>IF(OR($E417&lt;='Model Data Inputs'!$B$175,$F417="T"),$I417,IF($G417="E",'Model Data Inputs'!$B$176+$H417/'Model Data Inputs'!$B$179,IF($G417="M",'Model Data Inputs'!$B$177+$H417/'Model Data Inputs'!$B$179,IF($G417="H",'Model Data Inputs'!$B$178+$H417/'Model Data Inputs'!$B$179,IF($G417="N/A",0,$I417)))))</f>
        <v>7.1421499999999991</v>
      </c>
      <c r="K417" s="300">
        <f t="shared" si="12"/>
        <v>7.1421499999999991</v>
      </c>
      <c r="L417" s="300">
        <f>$K417*'Model Data Inputs'!$B$168</f>
        <v>664.21994999999993</v>
      </c>
      <c r="M417" s="300">
        <f>$L417/'Model Data Inputs'!$B$169</f>
        <v>0.330786827689243</v>
      </c>
      <c r="N417" s="300">
        <f>IF($G417="E",$M417*('Model Data Inputs'!$B$171-1),IF($G417="M",$M417*('Model Data Inputs'!$B$172-1),IF($G417="H",$M417*('Model Data Inputs'!$B$173-1),$M417*('Model Data Inputs'!$B$170-1))))</f>
        <v>0</v>
      </c>
      <c r="O417" s="300">
        <f t="shared" si="13"/>
        <v>0.330786827689243</v>
      </c>
    </row>
    <row r="418" spans="1:15" s="40" customFormat="1" x14ac:dyDescent="0.2">
      <c r="A418" s="20" t="s">
        <v>82</v>
      </c>
      <c r="B418" s="20" t="s">
        <v>83</v>
      </c>
      <c r="C418" s="20" t="s">
        <v>2000</v>
      </c>
      <c r="D418" s="20" t="s">
        <v>2001</v>
      </c>
      <c r="E418" s="298">
        <v>41250</v>
      </c>
      <c r="F418" s="138" t="s">
        <v>1159</v>
      </c>
      <c r="G418" s="138">
        <v>0</v>
      </c>
      <c r="H418" s="299" t="s">
        <v>1191</v>
      </c>
      <c r="I418" s="300">
        <v>0.33</v>
      </c>
      <c r="J418" s="300">
        <f>IF(OR($E418&lt;='Model Data Inputs'!$B$175,$F418="T"),$I418,IF($G418="E",'Model Data Inputs'!$B$176+$H418/'Model Data Inputs'!$B$179,IF($G418="M",'Model Data Inputs'!$B$177+$H418/'Model Data Inputs'!$B$179,IF($G418="H",'Model Data Inputs'!$B$178+$H418/'Model Data Inputs'!$B$179,IF($G418="N/A",0,$I418)))))</f>
        <v>0.33</v>
      </c>
      <c r="K418" s="300">
        <f t="shared" si="12"/>
        <v>0</v>
      </c>
      <c r="L418" s="300">
        <f>$K418*'Model Data Inputs'!$B$168</f>
        <v>0</v>
      </c>
      <c r="M418" s="300">
        <f>$L418/'Model Data Inputs'!$B$169</f>
        <v>0</v>
      </c>
      <c r="N418" s="300">
        <f>IF($G418="E",$M418*('Model Data Inputs'!$B$171-1),IF($G418="M",$M418*('Model Data Inputs'!$B$172-1),IF($G418="H",$M418*('Model Data Inputs'!$B$173-1),$M418*('Model Data Inputs'!$B$170-1))))</f>
        <v>0</v>
      </c>
      <c r="O418" s="300">
        <f t="shared" si="13"/>
        <v>0</v>
      </c>
    </row>
    <row r="419" spans="1:15" s="40" customFormat="1" x14ac:dyDescent="0.2">
      <c r="A419" s="20" t="s">
        <v>82</v>
      </c>
      <c r="B419" s="20" t="s">
        <v>83</v>
      </c>
      <c r="C419" s="20" t="s">
        <v>2002</v>
      </c>
      <c r="D419" s="20" t="s">
        <v>2003</v>
      </c>
      <c r="E419" s="298">
        <v>42180</v>
      </c>
      <c r="F419" s="138" t="s">
        <v>1159</v>
      </c>
      <c r="G419" s="138" t="s">
        <v>1191</v>
      </c>
      <c r="H419" s="299" t="s">
        <v>1191</v>
      </c>
      <c r="I419" s="300">
        <v>10</v>
      </c>
      <c r="J419" s="300">
        <f>IF(OR($E419&lt;='Model Data Inputs'!$B$175,$F419="T"),$I419,IF($G419="E",'Model Data Inputs'!$B$176+$H419/'Model Data Inputs'!$B$179,IF($G419="M",'Model Data Inputs'!$B$177+$H419/'Model Data Inputs'!$B$179,IF($G419="H",'Model Data Inputs'!$B$178+$H419/'Model Data Inputs'!$B$179,IF($G419="N/A",0,$I419)))))</f>
        <v>0</v>
      </c>
      <c r="K419" s="300">
        <f t="shared" si="12"/>
        <v>0</v>
      </c>
      <c r="L419" s="300">
        <f>$K419*'Model Data Inputs'!$B$168</f>
        <v>0</v>
      </c>
      <c r="M419" s="300">
        <f>$L419/'Model Data Inputs'!$B$169</f>
        <v>0</v>
      </c>
      <c r="N419" s="300">
        <f>IF($G419="E",$M419*('Model Data Inputs'!$B$171-1),IF($G419="M",$M419*('Model Data Inputs'!$B$172-1),IF($G419="H",$M419*('Model Data Inputs'!$B$173-1),$M419*('Model Data Inputs'!$B$170-1))))</f>
        <v>0</v>
      </c>
      <c r="O419" s="300">
        <f t="shared" si="13"/>
        <v>0</v>
      </c>
    </row>
    <row r="420" spans="1:15" s="40" customFormat="1" x14ac:dyDescent="0.2">
      <c r="A420" s="20" t="s">
        <v>84</v>
      </c>
      <c r="B420" s="20" t="s">
        <v>85</v>
      </c>
      <c r="C420" s="20" t="s">
        <v>2004</v>
      </c>
      <c r="D420" s="20" t="s">
        <v>2005</v>
      </c>
      <c r="E420" s="298">
        <v>20422</v>
      </c>
      <c r="F420" s="138" t="s">
        <v>1159</v>
      </c>
      <c r="G420" s="138" t="s">
        <v>1198</v>
      </c>
      <c r="H420" s="299">
        <f>'School Level ADM'!S286</f>
        <v>10.834999999999999</v>
      </c>
      <c r="I420" s="300">
        <v>1.29</v>
      </c>
      <c r="J420" s="300">
        <f>IF(OR($E420&lt;='Model Data Inputs'!$B$175,$F420="T"),$I420,IF($G420="E",'Model Data Inputs'!$B$176+$H420/'Model Data Inputs'!$B$179,IF($G420="M",'Model Data Inputs'!$B$177+$H420/'Model Data Inputs'!$B$179,IF($G420="H",'Model Data Inputs'!$B$178+$H420/'Model Data Inputs'!$B$179,IF($G420="N/A",0,$I420)))))</f>
        <v>1.29</v>
      </c>
      <c r="K420" s="300">
        <f t="shared" si="12"/>
        <v>1.29</v>
      </c>
      <c r="L420" s="300">
        <f>$K420*'Model Data Inputs'!$B$168</f>
        <v>119.97</v>
      </c>
      <c r="M420" s="300">
        <f>$L420/'Model Data Inputs'!$B$169</f>
        <v>5.9746015936254983E-2</v>
      </c>
      <c r="N420" s="300">
        <f>IF($G420="E",$M420*('Model Data Inputs'!$B$171-1),IF($G420="M",$M420*('Model Data Inputs'!$B$172-1),IF($G420="H",$M420*('Model Data Inputs'!$B$173-1),$M420*('Model Data Inputs'!$B$170-1))))</f>
        <v>0</v>
      </c>
      <c r="O420" s="300">
        <f t="shared" si="13"/>
        <v>5.9746015936254983E-2</v>
      </c>
    </row>
    <row r="421" spans="1:15" s="40" customFormat="1" x14ac:dyDescent="0.2">
      <c r="A421" s="20" t="s">
        <v>84</v>
      </c>
      <c r="B421" s="20" t="s">
        <v>85</v>
      </c>
      <c r="C421" s="20" t="s">
        <v>2006</v>
      </c>
      <c r="D421" s="20" t="s">
        <v>2007</v>
      </c>
      <c r="E421" s="298">
        <v>28614</v>
      </c>
      <c r="F421" s="138" t="s">
        <v>1159</v>
      </c>
      <c r="G421" s="138" t="s">
        <v>1228</v>
      </c>
      <c r="H421" s="299">
        <f>'School Level ADM'!S287</f>
        <v>84.71</v>
      </c>
      <c r="I421" s="300">
        <v>4.4450000000000003</v>
      </c>
      <c r="J421" s="300">
        <f>IF(OR($E421&lt;='Model Data Inputs'!$B$175,$F421="T"),$I421,IF($G421="E",'Model Data Inputs'!$B$176+$H421/'Model Data Inputs'!$B$179,IF($G421="M",'Model Data Inputs'!$B$177+$H421/'Model Data Inputs'!$B$179,IF($G421="H",'Model Data Inputs'!$B$178+$H421/'Model Data Inputs'!$B$179,IF($G421="N/A",0,$I421)))))</f>
        <v>4.4450000000000003</v>
      </c>
      <c r="K421" s="300">
        <f t="shared" si="12"/>
        <v>4.4450000000000003</v>
      </c>
      <c r="L421" s="300">
        <f>$K421*'Model Data Inputs'!$B$168</f>
        <v>413.38500000000005</v>
      </c>
      <c r="M421" s="300">
        <f>$L421/'Model Data Inputs'!$B$169</f>
        <v>0.2058690239043825</v>
      </c>
      <c r="N421" s="300">
        <f>IF($G421="E",$M421*('Model Data Inputs'!$B$171-1),IF($G421="M",$M421*('Model Data Inputs'!$B$172-1),IF($G421="H",$M421*('Model Data Inputs'!$B$173-1),$M421*('Model Data Inputs'!$B$170-1))))</f>
        <v>0.30880353585657372</v>
      </c>
      <c r="O421" s="300">
        <f t="shared" si="13"/>
        <v>0.51467255976095627</v>
      </c>
    </row>
    <row r="422" spans="1:15" s="40" customFormat="1" x14ac:dyDescent="0.2">
      <c r="A422" s="20" t="s">
        <v>84</v>
      </c>
      <c r="B422" s="20" t="s">
        <v>85</v>
      </c>
      <c r="C422" s="20" t="s">
        <v>2008</v>
      </c>
      <c r="D422" s="20" t="s">
        <v>2009</v>
      </c>
      <c r="E422" s="298">
        <v>32808</v>
      </c>
      <c r="F422" s="138" t="s">
        <v>1159</v>
      </c>
      <c r="G422" s="138">
        <v>0</v>
      </c>
      <c r="H422" s="299" t="s">
        <v>1191</v>
      </c>
      <c r="I422" s="300">
        <v>0.54</v>
      </c>
      <c r="J422" s="300">
        <f>IF(OR($E422&lt;='Model Data Inputs'!$B$175,$F422="T"),$I422,IF($G422="E",'Model Data Inputs'!$B$176+$H422/'Model Data Inputs'!$B$179,IF($G422="M",'Model Data Inputs'!$B$177+$H422/'Model Data Inputs'!$B$179,IF($G422="H",'Model Data Inputs'!$B$178+$H422/'Model Data Inputs'!$B$179,IF($G422="N/A",0,$I422)))))</f>
        <v>0.54</v>
      </c>
      <c r="K422" s="300">
        <f t="shared" si="12"/>
        <v>0</v>
      </c>
      <c r="L422" s="300">
        <f>$K422*'Model Data Inputs'!$B$168</f>
        <v>0</v>
      </c>
      <c r="M422" s="300">
        <f>$L422/'Model Data Inputs'!$B$169</f>
        <v>0</v>
      </c>
      <c r="N422" s="300">
        <f>IF($G422="E",$M422*('Model Data Inputs'!$B$171-1),IF($G422="M",$M422*('Model Data Inputs'!$B$172-1),IF($G422="H",$M422*('Model Data Inputs'!$B$173-1),$M422*('Model Data Inputs'!$B$170-1))))</f>
        <v>0</v>
      </c>
      <c r="O422" s="300">
        <f t="shared" si="13"/>
        <v>0</v>
      </c>
    </row>
    <row r="423" spans="1:15" s="40" customFormat="1" x14ac:dyDescent="0.2">
      <c r="A423" s="20" t="s">
        <v>84</v>
      </c>
      <c r="B423" s="20" t="s">
        <v>85</v>
      </c>
      <c r="C423" s="20" t="s">
        <v>2010</v>
      </c>
      <c r="D423" s="20" t="s">
        <v>2011</v>
      </c>
      <c r="E423" s="298">
        <v>35724</v>
      </c>
      <c r="F423" s="138" t="s">
        <v>1159</v>
      </c>
      <c r="G423" s="138">
        <v>0</v>
      </c>
      <c r="H423" s="299" t="s">
        <v>1191</v>
      </c>
      <c r="I423" s="300">
        <v>0.48</v>
      </c>
      <c r="J423" s="300">
        <f>IF(OR($E423&lt;='Model Data Inputs'!$B$175,$F423="T"),$I423,IF($G423="E",'Model Data Inputs'!$B$176+$H423/'Model Data Inputs'!$B$179,IF($G423="M",'Model Data Inputs'!$B$177+$H423/'Model Data Inputs'!$B$179,IF($G423="H",'Model Data Inputs'!$B$178+$H423/'Model Data Inputs'!$B$179,IF($G423="N/A",0,$I423)))))</f>
        <v>0.48</v>
      </c>
      <c r="K423" s="300">
        <f t="shared" si="12"/>
        <v>0</v>
      </c>
      <c r="L423" s="300">
        <f>$K423*'Model Data Inputs'!$B$168</f>
        <v>0</v>
      </c>
      <c r="M423" s="300">
        <f>$L423/'Model Data Inputs'!$B$169</f>
        <v>0</v>
      </c>
      <c r="N423" s="300">
        <f>IF($G423="E",$M423*('Model Data Inputs'!$B$171-1),IF($G423="M",$M423*('Model Data Inputs'!$B$172-1),IF($G423="H",$M423*('Model Data Inputs'!$B$173-1),$M423*('Model Data Inputs'!$B$170-1))))</f>
        <v>0</v>
      </c>
      <c r="O423" s="300">
        <f t="shared" si="13"/>
        <v>0</v>
      </c>
    </row>
    <row r="424" spans="1:15" s="40" customFormat="1" x14ac:dyDescent="0.2">
      <c r="A424" s="20" t="s">
        <v>84</v>
      </c>
      <c r="B424" s="20" t="s">
        <v>85</v>
      </c>
      <c r="C424" s="20" t="s">
        <v>2012</v>
      </c>
      <c r="D424" s="20" t="s">
        <v>2013</v>
      </c>
      <c r="E424" s="298">
        <v>23278</v>
      </c>
      <c r="F424" s="138" t="s">
        <v>1159</v>
      </c>
      <c r="G424" s="138">
        <v>0</v>
      </c>
      <c r="H424" s="299" t="s">
        <v>1191</v>
      </c>
      <c r="I424" s="300">
        <v>0.33169999999999999</v>
      </c>
      <c r="J424" s="300">
        <f>IF(OR($E424&lt;='Model Data Inputs'!$B$175,$F424="T"),$I424,IF($G424="E",'Model Data Inputs'!$B$176+$H424/'Model Data Inputs'!$B$179,IF($G424="M",'Model Data Inputs'!$B$177+$H424/'Model Data Inputs'!$B$179,IF($G424="H",'Model Data Inputs'!$B$178+$H424/'Model Data Inputs'!$B$179,IF($G424="N/A",0,$I424)))))</f>
        <v>0.33169999999999999</v>
      </c>
      <c r="K424" s="300">
        <f t="shared" si="12"/>
        <v>0</v>
      </c>
      <c r="L424" s="300">
        <f>$K424*'Model Data Inputs'!$B$168</f>
        <v>0</v>
      </c>
      <c r="M424" s="300">
        <f>$L424/'Model Data Inputs'!$B$169</f>
        <v>0</v>
      </c>
      <c r="N424" s="300">
        <f>IF($G424="E",$M424*('Model Data Inputs'!$B$171-1),IF($G424="M",$M424*('Model Data Inputs'!$B$172-1),IF($G424="H",$M424*('Model Data Inputs'!$B$173-1),$M424*('Model Data Inputs'!$B$170-1))))</f>
        <v>0</v>
      </c>
      <c r="O424" s="300">
        <f t="shared" si="13"/>
        <v>0</v>
      </c>
    </row>
    <row r="425" spans="1:15" s="40" customFormat="1" x14ac:dyDescent="0.2">
      <c r="A425" s="20" t="s">
        <v>84</v>
      </c>
      <c r="B425" s="20" t="s">
        <v>85</v>
      </c>
      <c r="C425" s="20" t="s">
        <v>2014</v>
      </c>
      <c r="D425" s="20" t="s">
        <v>2015</v>
      </c>
      <c r="E425" s="298">
        <v>32951</v>
      </c>
      <c r="F425" s="138" t="s">
        <v>1159</v>
      </c>
      <c r="G425" s="138">
        <v>0</v>
      </c>
      <c r="H425" s="299" t="s">
        <v>1191</v>
      </c>
      <c r="I425" s="300">
        <v>0.42</v>
      </c>
      <c r="J425" s="300">
        <f>IF(OR($E425&lt;='Model Data Inputs'!$B$175,$F425="T"),$I425,IF($G425="E",'Model Data Inputs'!$B$176+$H425/'Model Data Inputs'!$B$179,IF($G425="M",'Model Data Inputs'!$B$177+$H425/'Model Data Inputs'!$B$179,IF($G425="H",'Model Data Inputs'!$B$178+$H425/'Model Data Inputs'!$B$179,IF($G425="N/A",0,$I425)))))</f>
        <v>0.42</v>
      </c>
      <c r="K425" s="300">
        <f t="shared" si="12"/>
        <v>0</v>
      </c>
      <c r="L425" s="300">
        <f>$K425*'Model Data Inputs'!$B$168</f>
        <v>0</v>
      </c>
      <c r="M425" s="300">
        <f>$L425/'Model Data Inputs'!$B$169</f>
        <v>0</v>
      </c>
      <c r="N425" s="300">
        <f>IF($G425="E",$M425*('Model Data Inputs'!$B$171-1),IF($G425="M",$M425*('Model Data Inputs'!$B$172-1),IF($G425="H",$M425*('Model Data Inputs'!$B$173-1),$M425*('Model Data Inputs'!$B$170-1))))</f>
        <v>0</v>
      </c>
      <c r="O425" s="300">
        <f t="shared" si="13"/>
        <v>0</v>
      </c>
    </row>
    <row r="426" spans="1:15" s="40" customFormat="1" x14ac:dyDescent="0.2">
      <c r="A426" s="20" t="s">
        <v>84</v>
      </c>
      <c r="B426" s="20" t="s">
        <v>85</v>
      </c>
      <c r="C426" s="20" t="s">
        <v>2016</v>
      </c>
      <c r="D426" s="20" t="s">
        <v>2017</v>
      </c>
      <c r="E426" s="298">
        <v>35024</v>
      </c>
      <c r="F426" s="138" t="s">
        <v>1159</v>
      </c>
      <c r="G426" s="138">
        <v>0</v>
      </c>
      <c r="H426" s="299" t="s">
        <v>1191</v>
      </c>
      <c r="I426" s="300">
        <v>0.14000000000000001</v>
      </c>
      <c r="J426" s="300">
        <f>IF(OR($E426&lt;='Model Data Inputs'!$B$175,$F426="T"),$I426,IF($G426="E",'Model Data Inputs'!$B$176+$H426/'Model Data Inputs'!$B$179,IF($G426="M",'Model Data Inputs'!$B$177+$H426/'Model Data Inputs'!$B$179,IF($G426="H",'Model Data Inputs'!$B$178+$H426/'Model Data Inputs'!$B$179,IF($G426="N/A",0,$I426)))))</f>
        <v>0.14000000000000001</v>
      </c>
      <c r="K426" s="300">
        <f t="shared" si="12"/>
        <v>0</v>
      </c>
      <c r="L426" s="300">
        <f>$K426*'Model Data Inputs'!$B$168</f>
        <v>0</v>
      </c>
      <c r="M426" s="300">
        <f>$L426/'Model Data Inputs'!$B$169</f>
        <v>0</v>
      </c>
      <c r="N426" s="300">
        <f>IF($G426="E",$M426*('Model Data Inputs'!$B$171-1),IF($G426="M",$M426*('Model Data Inputs'!$B$172-1),IF($G426="H",$M426*('Model Data Inputs'!$B$173-1),$M426*('Model Data Inputs'!$B$170-1))))</f>
        <v>0</v>
      </c>
      <c r="O426" s="300">
        <f t="shared" si="13"/>
        <v>0</v>
      </c>
    </row>
    <row r="427" spans="1:15" s="40" customFormat="1" x14ac:dyDescent="0.2">
      <c r="A427" s="20" t="s">
        <v>86</v>
      </c>
      <c r="B427" s="20" t="s">
        <v>87</v>
      </c>
      <c r="C427" s="20" t="s">
        <v>2018</v>
      </c>
      <c r="D427" s="20" t="s">
        <v>2019</v>
      </c>
      <c r="E427" s="298">
        <v>18875</v>
      </c>
      <c r="F427" s="138" t="s">
        <v>1159</v>
      </c>
      <c r="G427" s="138">
        <v>0</v>
      </c>
      <c r="H427" s="299" t="s">
        <v>1191</v>
      </c>
      <c r="I427" s="300">
        <v>0.35</v>
      </c>
      <c r="J427" s="300">
        <f>IF(OR($E427&lt;='Model Data Inputs'!$B$175,$F427="T"),$I427,IF($G427="E",'Model Data Inputs'!$B$176+$H427/'Model Data Inputs'!$B$179,IF($G427="M",'Model Data Inputs'!$B$177+$H427/'Model Data Inputs'!$B$179,IF($G427="H",'Model Data Inputs'!$B$178+$H427/'Model Data Inputs'!$B$179,IF($G427="N/A",0,$I427)))))</f>
        <v>0.35</v>
      </c>
      <c r="K427" s="300">
        <f t="shared" si="12"/>
        <v>0</v>
      </c>
      <c r="L427" s="300">
        <f>$K427*'Model Data Inputs'!$B$168</f>
        <v>0</v>
      </c>
      <c r="M427" s="300">
        <f>$L427/'Model Data Inputs'!$B$169</f>
        <v>0</v>
      </c>
      <c r="N427" s="300">
        <f>IF($G427="E",$M427*('Model Data Inputs'!$B$171-1),IF($G427="M",$M427*('Model Data Inputs'!$B$172-1),IF($G427="H",$M427*('Model Data Inputs'!$B$173-1),$M427*('Model Data Inputs'!$B$170-1))))</f>
        <v>0</v>
      </c>
      <c r="O427" s="300">
        <f t="shared" si="13"/>
        <v>0</v>
      </c>
    </row>
    <row r="428" spans="1:15" s="40" customFormat="1" x14ac:dyDescent="0.2">
      <c r="A428" s="20" t="s">
        <v>86</v>
      </c>
      <c r="B428" s="20" t="s">
        <v>87</v>
      </c>
      <c r="C428" s="20" t="s">
        <v>2020</v>
      </c>
      <c r="D428" s="20" t="s">
        <v>2021</v>
      </c>
      <c r="E428" s="298">
        <v>18875</v>
      </c>
      <c r="F428" s="138" t="s">
        <v>1159</v>
      </c>
      <c r="G428" s="138" t="s">
        <v>1198</v>
      </c>
      <c r="H428" s="299">
        <f>'School Level ADM'!S288</f>
        <v>5.91</v>
      </c>
      <c r="I428" s="300">
        <v>2.71</v>
      </c>
      <c r="J428" s="300">
        <f>IF(OR($E428&lt;='Model Data Inputs'!$B$175,$F428="T"),$I428,IF($G428="E",'Model Data Inputs'!$B$176+$H428/'Model Data Inputs'!$B$179,IF($G428="M",'Model Data Inputs'!$B$177+$H428/'Model Data Inputs'!$B$179,IF($G428="H",'Model Data Inputs'!$B$178+$H428/'Model Data Inputs'!$B$179,IF($G428="N/A",0,$I428)))))</f>
        <v>2.71</v>
      </c>
      <c r="K428" s="300">
        <f t="shared" si="12"/>
        <v>2.71</v>
      </c>
      <c r="L428" s="300">
        <f>$K428*'Model Data Inputs'!$B$168</f>
        <v>252.03</v>
      </c>
      <c r="M428" s="300">
        <f>$L428/'Model Data Inputs'!$B$169</f>
        <v>0.12551294820717132</v>
      </c>
      <c r="N428" s="300">
        <f>IF($G428="E",$M428*('Model Data Inputs'!$B$171-1),IF($G428="M",$M428*('Model Data Inputs'!$B$172-1),IF($G428="H",$M428*('Model Data Inputs'!$B$173-1),$M428*('Model Data Inputs'!$B$170-1))))</f>
        <v>0</v>
      </c>
      <c r="O428" s="300">
        <f t="shared" si="13"/>
        <v>0.12551294820717132</v>
      </c>
    </row>
    <row r="429" spans="1:15" s="40" customFormat="1" x14ac:dyDescent="0.2">
      <c r="A429" s="20" t="s">
        <v>86</v>
      </c>
      <c r="B429" s="20" t="s">
        <v>87</v>
      </c>
      <c r="C429" s="20" t="s">
        <v>2022</v>
      </c>
      <c r="D429" s="20" t="s">
        <v>2023</v>
      </c>
      <c r="E429" s="298">
        <v>20824</v>
      </c>
      <c r="F429" s="138" t="s">
        <v>1159</v>
      </c>
      <c r="G429" s="138" t="s">
        <v>1228</v>
      </c>
      <c r="H429" s="299">
        <f>'School Level ADM'!S292</f>
        <v>20.685000000000002</v>
      </c>
      <c r="I429" s="300">
        <v>8.2200000000000006</v>
      </c>
      <c r="J429" s="300">
        <f>IF(OR($E429&lt;='Model Data Inputs'!$B$175,$F429="T"),$I429,IF($G429="E",'Model Data Inputs'!$B$176+$H429/'Model Data Inputs'!$B$179,IF($G429="M",'Model Data Inputs'!$B$177+$H429/'Model Data Inputs'!$B$179,IF($G429="H",'Model Data Inputs'!$B$178+$H429/'Model Data Inputs'!$B$179,IF($G429="N/A",0,$I429)))))</f>
        <v>8.2200000000000006</v>
      </c>
      <c r="K429" s="300">
        <f t="shared" si="12"/>
        <v>8.2200000000000006</v>
      </c>
      <c r="L429" s="300">
        <f>$K429*'Model Data Inputs'!$B$168</f>
        <v>764.46</v>
      </c>
      <c r="M429" s="300">
        <f>$L429/'Model Data Inputs'!$B$169</f>
        <v>0.38070717131474108</v>
      </c>
      <c r="N429" s="300">
        <f>IF($G429="E",$M429*('Model Data Inputs'!$B$171-1),IF($G429="M",$M429*('Model Data Inputs'!$B$172-1),IF($G429="H",$M429*('Model Data Inputs'!$B$173-1),$M429*('Model Data Inputs'!$B$170-1))))</f>
        <v>0.57106075697211156</v>
      </c>
      <c r="O429" s="300">
        <f t="shared" si="13"/>
        <v>0.95176792828685264</v>
      </c>
    </row>
    <row r="430" spans="1:15" s="40" customFormat="1" x14ac:dyDescent="0.2">
      <c r="A430" s="20" t="s">
        <v>86</v>
      </c>
      <c r="B430" s="20" t="s">
        <v>87</v>
      </c>
      <c r="C430" s="20" t="s">
        <v>2024</v>
      </c>
      <c r="D430" s="20" t="s">
        <v>2025</v>
      </c>
      <c r="E430" s="298">
        <v>20824</v>
      </c>
      <c r="F430" s="138" t="s">
        <v>1159</v>
      </c>
      <c r="G430" s="138" t="s">
        <v>1205</v>
      </c>
      <c r="H430" s="299">
        <f>'School Level ADM'!S290</f>
        <v>243.29499999999999</v>
      </c>
      <c r="I430" s="300">
        <v>13.86</v>
      </c>
      <c r="J430" s="300">
        <f>IF(OR($E430&lt;='Model Data Inputs'!$B$175,$F430="T"),$I430,IF($G430="E",'Model Data Inputs'!$B$176+$H430/'Model Data Inputs'!$B$179,IF($G430="M",'Model Data Inputs'!$B$177+$H430/'Model Data Inputs'!$B$179,IF($G430="H",'Model Data Inputs'!$B$178+$H430/'Model Data Inputs'!$B$179,IF($G430="N/A",0,$I430)))))</f>
        <v>13.86</v>
      </c>
      <c r="K430" s="300">
        <f t="shared" si="12"/>
        <v>13.86</v>
      </c>
      <c r="L430" s="300">
        <f>$K430*'Model Data Inputs'!$B$168</f>
        <v>1288.98</v>
      </c>
      <c r="M430" s="300">
        <f>$L430/'Model Data Inputs'!$B$169</f>
        <v>0.64192231075697215</v>
      </c>
      <c r="N430" s="300">
        <f>IF($G430="E",$M430*('Model Data Inputs'!$B$171-1),IF($G430="M",$M430*('Model Data Inputs'!$B$172-1),IF($G430="H",$M430*('Model Data Inputs'!$B$173-1),$M430*('Model Data Inputs'!$B$170-1))))</f>
        <v>0.32096115537848607</v>
      </c>
      <c r="O430" s="300">
        <f t="shared" si="13"/>
        <v>0.96288346613545817</v>
      </c>
    </row>
    <row r="431" spans="1:15" s="40" customFormat="1" x14ac:dyDescent="0.2">
      <c r="A431" s="20" t="s">
        <v>86</v>
      </c>
      <c r="B431" s="20" t="s">
        <v>87</v>
      </c>
      <c r="C431" s="20" t="s">
        <v>2026</v>
      </c>
      <c r="D431" s="20" t="s">
        <v>2027</v>
      </c>
      <c r="E431" s="298">
        <v>20824</v>
      </c>
      <c r="F431" s="138" t="s">
        <v>1159</v>
      </c>
      <c r="G431" s="138" t="s">
        <v>1228</v>
      </c>
      <c r="H431" s="299">
        <f>'School Level ADM'!S291</f>
        <v>278.755</v>
      </c>
      <c r="I431" s="300">
        <v>21.47</v>
      </c>
      <c r="J431" s="300">
        <f>IF(OR($E431&lt;='Model Data Inputs'!$B$175,$F431="T"),$I431,IF($G431="E",'Model Data Inputs'!$B$176+$H431/'Model Data Inputs'!$B$179,IF($G431="M",'Model Data Inputs'!$B$177+$H431/'Model Data Inputs'!$B$179,IF($G431="H",'Model Data Inputs'!$B$178+$H431/'Model Data Inputs'!$B$179,IF($G431="N/A",0,$I431)))))</f>
        <v>21.47</v>
      </c>
      <c r="K431" s="300">
        <f t="shared" si="12"/>
        <v>21.47</v>
      </c>
      <c r="L431" s="300">
        <f>$K431*'Model Data Inputs'!$B$168</f>
        <v>1996.7099999999998</v>
      </c>
      <c r="M431" s="300">
        <f>$L431/'Model Data Inputs'!$B$169</f>
        <v>0.99437749003984055</v>
      </c>
      <c r="N431" s="300">
        <f>IF($G431="E",$M431*('Model Data Inputs'!$B$171-1),IF($G431="M",$M431*('Model Data Inputs'!$B$172-1),IF($G431="H",$M431*('Model Data Inputs'!$B$173-1),$M431*('Model Data Inputs'!$B$170-1))))</f>
        <v>1.4915662350597607</v>
      </c>
      <c r="O431" s="300">
        <f t="shared" si="13"/>
        <v>2.4859437250996015</v>
      </c>
    </row>
    <row r="432" spans="1:15" s="40" customFormat="1" x14ac:dyDescent="0.2">
      <c r="A432" s="20" t="s">
        <v>86</v>
      </c>
      <c r="B432" s="20" t="s">
        <v>87</v>
      </c>
      <c r="C432" s="20" t="s">
        <v>2028</v>
      </c>
      <c r="D432" s="20" t="s">
        <v>2029</v>
      </c>
      <c r="E432" s="298">
        <v>38166</v>
      </c>
      <c r="F432" s="138" t="s">
        <v>1159</v>
      </c>
      <c r="G432" s="138">
        <v>0</v>
      </c>
      <c r="H432" s="299" t="s">
        <v>1191</v>
      </c>
      <c r="I432" s="300">
        <v>0.26</v>
      </c>
      <c r="J432" s="300">
        <f>IF(OR($E432&lt;='Model Data Inputs'!$B$175,$F432="T"),$I432,IF($G432="E",'Model Data Inputs'!$B$176+$H432/'Model Data Inputs'!$B$179,IF($G432="M",'Model Data Inputs'!$B$177+$H432/'Model Data Inputs'!$B$179,IF($G432="H",'Model Data Inputs'!$B$178+$H432/'Model Data Inputs'!$B$179,IF($G432="N/A",0,$I432)))))</f>
        <v>0.26</v>
      </c>
      <c r="K432" s="300">
        <f t="shared" si="12"/>
        <v>0</v>
      </c>
      <c r="L432" s="300">
        <f>$K432*'Model Data Inputs'!$B$168</f>
        <v>0</v>
      </c>
      <c r="M432" s="300">
        <f>$L432/'Model Data Inputs'!$B$169</f>
        <v>0</v>
      </c>
      <c r="N432" s="300">
        <f>IF($G432="E",$M432*('Model Data Inputs'!$B$171-1),IF($G432="M",$M432*('Model Data Inputs'!$B$172-1),IF($G432="H",$M432*('Model Data Inputs'!$B$173-1),$M432*('Model Data Inputs'!$B$170-1))))</f>
        <v>0</v>
      </c>
      <c r="O432" s="300">
        <f t="shared" si="13"/>
        <v>0</v>
      </c>
    </row>
    <row r="433" spans="1:15" s="40" customFormat="1" x14ac:dyDescent="0.2">
      <c r="A433" s="20" t="s">
        <v>86</v>
      </c>
      <c r="B433" s="20" t="s">
        <v>87</v>
      </c>
      <c r="C433" s="20" t="s">
        <v>2030</v>
      </c>
      <c r="D433" s="20" t="s">
        <v>2031</v>
      </c>
      <c r="E433" s="298">
        <v>38904</v>
      </c>
      <c r="F433" s="138" t="s">
        <v>1159</v>
      </c>
      <c r="G433" s="138">
        <v>0</v>
      </c>
      <c r="H433" s="299" t="s">
        <v>1191</v>
      </c>
      <c r="I433" s="300">
        <v>10.35</v>
      </c>
      <c r="J433" s="300">
        <f>IF(OR($E433&lt;='Model Data Inputs'!$B$175,$F433="T"),$I433,IF($G433="E",'Model Data Inputs'!$B$176+$H433/'Model Data Inputs'!$B$179,IF($G433="M",'Model Data Inputs'!$B$177+$H433/'Model Data Inputs'!$B$179,IF($G433="H",'Model Data Inputs'!$B$178+$H433/'Model Data Inputs'!$B$179,IF($G433="N/A",0,$I433)))))</f>
        <v>10.35</v>
      </c>
      <c r="K433" s="300">
        <f t="shared" si="12"/>
        <v>0</v>
      </c>
      <c r="L433" s="300">
        <f>$K433*'Model Data Inputs'!$B$168</f>
        <v>0</v>
      </c>
      <c r="M433" s="300">
        <f>$L433/'Model Data Inputs'!$B$169</f>
        <v>0</v>
      </c>
      <c r="N433" s="300">
        <f>IF($G433="E",$M433*('Model Data Inputs'!$B$171-1),IF($G433="M",$M433*('Model Data Inputs'!$B$172-1),IF($G433="H",$M433*('Model Data Inputs'!$B$173-1),$M433*('Model Data Inputs'!$B$170-1))))</f>
        <v>0</v>
      </c>
      <c r="O433" s="300">
        <f t="shared" si="13"/>
        <v>0</v>
      </c>
    </row>
    <row r="434" spans="1:15" s="40" customFormat="1" x14ac:dyDescent="0.2">
      <c r="A434" s="20" t="s">
        <v>86</v>
      </c>
      <c r="B434" s="20" t="s">
        <v>87</v>
      </c>
      <c r="C434" s="20" t="s">
        <v>2032</v>
      </c>
      <c r="D434" s="20" t="s">
        <v>2033</v>
      </c>
      <c r="E434" s="298">
        <v>37775</v>
      </c>
      <c r="F434" s="138" t="s">
        <v>1159</v>
      </c>
      <c r="G434" s="138">
        <v>0</v>
      </c>
      <c r="H434" s="299" t="s">
        <v>1191</v>
      </c>
      <c r="I434" s="300">
        <v>35</v>
      </c>
      <c r="J434" s="300">
        <f>IF(OR($E434&lt;='Model Data Inputs'!$B$175,$F434="T"),$I434,IF($G434="E",'Model Data Inputs'!$B$176+$H434/'Model Data Inputs'!$B$179,IF($G434="M",'Model Data Inputs'!$B$177+$H434/'Model Data Inputs'!$B$179,IF($G434="H",'Model Data Inputs'!$B$178+$H434/'Model Data Inputs'!$B$179,IF($G434="N/A",0,$I434)))))</f>
        <v>35</v>
      </c>
      <c r="K434" s="300">
        <f t="shared" si="12"/>
        <v>0</v>
      </c>
      <c r="L434" s="300">
        <f>$K434*'Model Data Inputs'!$B$168</f>
        <v>0</v>
      </c>
      <c r="M434" s="300">
        <f>$L434/'Model Data Inputs'!$B$169</f>
        <v>0</v>
      </c>
      <c r="N434" s="300">
        <f>IF($G434="E",$M434*('Model Data Inputs'!$B$171-1),IF($G434="M",$M434*('Model Data Inputs'!$B$172-1),IF($G434="H",$M434*('Model Data Inputs'!$B$173-1),$M434*('Model Data Inputs'!$B$170-1))))</f>
        <v>0</v>
      </c>
      <c r="O434" s="300">
        <f t="shared" si="13"/>
        <v>0</v>
      </c>
    </row>
    <row r="435" spans="1:15" s="40" customFormat="1" x14ac:dyDescent="0.2">
      <c r="A435" s="20" t="s">
        <v>86</v>
      </c>
      <c r="B435" s="20" t="s">
        <v>87</v>
      </c>
      <c r="C435" s="20" t="s">
        <v>2034</v>
      </c>
      <c r="D435" s="20" t="s">
        <v>2035</v>
      </c>
      <c r="E435" s="298">
        <v>8768</v>
      </c>
      <c r="F435" s="138" t="s">
        <v>1159</v>
      </c>
      <c r="G435" s="138">
        <v>0</v>
      </c>
      <c r="H435" s="299" t="s">
        <v>1191</v>
      </c>
      <c r="I435" s="300">
        <v>1.03</v>
      </c>
      <c r="J435" s="300">
        <f>IF(OR($E435&lt;='Model Data Inputs'!$B$175,$F435="T"),$I435,IF($G435="E",'Model Data Inputs'!$B$176+$H435/'Model Data Inputs'!$B$179,IF($G435="M",'Model Data Inputs'!$B$177+$H435/'Model Data Inputs'!$B$179,IF($G435="H",'Model Data Inputs'!$B$178+$H435/'Model Data Inputs'!$B$179,IF($G435="N/A",0,$I435)))))</f>
        <v>1.03</v>
      </c>
      <c r="K435" s="300">
        <f t="shared" si="12"/>
        <v>0</v>
      </c>
      <c r="L435" s="300">
        <f>$K435*'Model Data Inputs'!$B$168</f>
        <v>0</v>
      </c>
      <c r="M435" s="300">
        <f>$L435/'Model Data Inputs'!$B$169</f>
        <v>0</v>
      </c>
      <c r="N435" s="300">
        <f>IF($G435="E",$M435*('Model Data Inputs'!$B$171-1),IF($G435="M",$M435*('Model Data Inputs'!$B$172-1),IF($G435="H",$M435*('Model Data Inputs'!$B$173-1),$M435*('Model Data Inputs'!$B$170-1))))</f>
        <v>0</v>
      </c>
      <c r="O435" s="300">
        <f t="shared" si="13"/>
        <v>0</v>
      </c>
    </row>
    <row r="436" spans="1:15" s="40" customFormat="1" x14ac:dyDescent="0.2">
      <c r="A436" s="20" t="s">
        <v>86</v>
      </c>
      <c r="B436" s="20" t="s">
        <v>87</v>
      </c>
      <c r="C436" s="20" t="s">
        <v>2036</v>
      </c>
      <c r="D436" s="20" t="s">
        <v>2037</v>
      </c>
      <c r="E436" s="298">
        <v>30538</v>
      </c>
      <c r="F436" s="138" t="s">
        <v>1159</v>
      </c>
      <c r="G436" s="138">
        <v>0</v>
      </c>
      <c r="H436" s="299" t="s">
        <v>1191</v>
      </c>
      <c r="I436" s="300">
        <v>10</v>
      </c>
      <c r="J436" s="300">
        <f>IF(OR($E436&lt;='Model Data Inputs'!$B$175,$F436="T"),$I436,IF($G436="E",'Model Data Inputs'!$B$176+$H436/'Model Data Inputs'!$B$179,IF($G436="M",'Model Data Inputs'!$B$177+$H436/'Model Data Inputs'!$B$179,IF($G436="H",'Model Data Inputs'!$B$178+$H436/'Model Data Inputs'!$B$179,IF($G436="N/A",0,$I436)))))</f>
        <v>10</v>
      </c>
      <c r="K436" s="300">
        <f t="shared" si="12"/>
        <v>0</v>
      </c>
      <c r="L436" s="300">
        <f>$K436*'Model Data Inputs'!$B$168</f>
        <v>0</v>
      </c>
      <c r="M436" s="300">
        <f>$L436/'Model Data Inputs'!$B$169</f>
        <v>0</v>
      </c>
      <c r="N436" s="300">
        <f>IF($G436="E",$M436*('Model Data Inputs'!$B$171-1),IF($G436="M",$M436*('Model Data Inputs'!$B$172-1),IF($G436="H",$M436*('Model Data Inputs'!$B$173-1),$M436*('Model Data Inputs'!$B$170-1))))</f>
        <v>0</v>
      </c>
      <c r="O436" s="300">
        <f t="shared" si="13"/>
        <v>0</v>
      </c>
    </row>
    <row r="437" spans="1:15" s="40" customFormat="1" x14ac:dyDescent="0.2">
      <c r="A437" s="20" t="s">
        <v>86</v>
      </c>
      <c r="B437" s="20" t="s">
        <v>87</v>
      </c>
      <c r="C437" s="20" t="s">
        <v>2038</v>
      </c>
      <c r="D437" s="20" t="s">
        <v>2039</v>
      </c>
      <c r="E437" s="298">
        <v>39253</v>
      </c>
      <c r="F437" s="138" t="s">
        <v>1159</v>
      </c>
      <c r="G437" s="138">
        <v>0</v>
      </c>
      <c r="H437" s="299" t="s">
        <v>1191</v>
      </c>
      <c r="I437" s="300">
        <v>0.3</v>
      </c>
      <c r="J437" s="300">
        <f>IF(OR($E437&lt;='Model Data Inputs'!$B$175,$F437="T"),$I437,IF($G437="E",'Model Data Inputs'!$B$176+$H437/'Model Data Inputs'!$B$179,IF($G437="M",'Model Data Inputs'!$B$177+$H437/'Model Data Inputs'!$B$179,IF($G437="H",'Model Data Inputs'!$B$178+$H437/'Model Data Inputs'!$B$179,IF($G437="N/A",0,$I437)))))</f>
        <v>0.3</v>
      </c>
      <c r="K437" s="300">
        <f t="shared" si="12"/>
        <v>0</v>
      </c>
      <c r="L437" s="300">
        <f>$K437*'Model Data Inputs'!$B$168</f>
        <v>0</v>
      </c>
      <c r="M437" s="300">
        <f>$L437/'Model Data Inputs'!$B$169</f>
        <v>0</v>
      </c>
      <c r="N437" s="300">
        <f>IF($G437="E",$M437*('Model Data Inputs'!$B$171-1),IF($G437="M",$M437*('Model Data Inputs'!$B$172-1),IF($G437="H",$M437*('Model Data Inputs'!$B$173-1),$M437*('Model Data Inputs'!$B$170-1))))</f>
        <v>0</v>
      </c>
      <c r="O437" s="300">
        <f t="shared" si="13"/>
        <v>0</v>
      </c>
    </row>
    <row r="438" spans="1:15" s="40" customFormat="1" x14ac:dyDescent="0.2">
      <c r="A438" s="20" t="s">
        <v>86</v>
      </c>
      <c r="B438" s="20" t="s">
        <v>87</v>
      </c>
      <c r="C438" s="20" t="s">
        <v>2040</v>
      </c>
      <c r="D438" s="20" t="s">
        <v>2041</v>
      </c>
      <c r="E438" s="298">
        <v>36350</v>
      </c>
      <c r="F438" s="138" t="s">
        <v>1159</v>
      </c>
      <c r="G438" s="138" t="s">
        <v>1191</v>
      </c>
      <c r="H438" s="299" t="s">
        <v>1191</v>
      </c>
      <c r="I438" s="300">
        <v>41.164000000000001</v>
      </c>
      <c r="J438" s="300">
        <f>IF(OR($E438&lt;='Model Data Inputs'!$B$175,$F438="T"),$I438,IF($G438="E",'Model Data Inputs'!$B$176+$H438/'Model Data Inputs'!$B$179,IF($G438="M",'Model Data Inputs'!$B$177+$H438/'Model Data Inputs'!$B$179,IF($G438="H",'Model Data Inputs'!$B$178+$H438/'Model Data Inputs'!$B$179,IF($G438="N/A",0,$I438)))))</f>
        <v>0</v>
      </c>
      <c r="K438" s="300">
        <f t="shared" si="12"/>
        <v>0</v>
      </c>
      <c r="L438" s="300">
        <f>$K438*'Model Data Inputs'!$B$168</f>
        <v>0</v>
      </c>
      <c r="M438" s="300">
        <f>$L438/'Model Data Inputs'!$B$169</f>
        <v>0</v>
      </c>
      <c r="N438" s="300">
        <f>IF($G438="E",$M438*('Model Data Inputs'!$B$171-1),IF($G438="M",$M438*('Model Data Inputs'!$B$172-1),IF($G438="H",$M438*('Model Data Inputs'!$B$173-1),$M438*('Model Data Inputs'!$B$170-1))))</f>
        <v>0</v>
      </c>
      <c r="O438" s="300">
        <f t="shared" si="13"/>
        <v>0</v>
      </c>
    </row>
    <row r="439" spans="1:15" s="40" customFormat="1" x14ac:dyDescent="0.2">
      <c r="A439" s="20" t="s">
        <v>86</v>
      </c>
      <c r="B439" s="20" t="s">
        <v>87</v>
      </c>
      <c r="C439" s="20" t="s">
        <v>2042</v>
      </c>
      <c r="D439" s="20" t="s">
        <v>2043</v>
      </c>
      <c r="E439" s="298">
        <v>39577</v>
      </c>
      <c r="F439" s="138" t="s">
        <v>1159</v>
      </c>
      <c r="G439" s="138" t="s">
        <v>1198</v>
      </c>
      <c r="H439" s="299">
        <f>'School Level ADM'!S289</f>
        <v>499.39499999999998</v>
      </c>
      <c r="I439" s="300">
        <v>20.94</v>
      </c>
      <c r="J439" s="300">
        <f>IF(OR($E439&lt;='Model Data Inputs'!$B$175,$F439="T"),$I439,IF($G439="E",'Model Data Inputs'!$B$176+$H439/'Model Data Inputs'!$B$179,IF($G439="M",'Model Data Inputs'!$B$177+$H439/'Model Data Inputs'!$B$179,IF($G439="H",'Model Data Inputs'!$B$178+$H439/'Model Data Inputs'!$B$179,IF($G439="N/A",0,$I439)))))</f>
        <v>8.9939499999999999</v>
      </c>
      <c r="K439" s="300">
        <f t="shared" si="12"/>
        <v>8.9939499999999999</v>
      </c>
      <c r="L439" s="300">
        <f>$K439*'Model Data Inputs'!$B$168</f>
        <v>836.43735000000004</v>
      </c>
      <c r="M439" s="300">
        <f>$L439/'Model Data Inputs'!$B$169</f>
        <v>0.41655246513944227</v>
      </c>
      <c r="N439" s="300">
        <f>IF($G439="E",$M439*('Model Data Inputs'!$B$171-1),IF($G439="M",$M439*('Model Data Inputs'!$B$172-1),IF($G439="H",$M439*('Model Data Inputs'!$B$173-1),$M439*('Model Data Inputs'!$B$170-1))))</f>
        <v>0</v>
      </c>
      <c r="O439" s="300">
        <f t="shared" si="13"/>
        <v>0.41655246513944227</v>
      </c>
    </row>
    <row r="440" spans="1:15" s="40" customFormat="1" x14ac:dyDescent="0.2">
      <c r="A440" s="20" t="s">
        <v>86</v>
      </c>
      <c r="B440" s="20" t="s">
        <v>87</v>
      </c>
      <c r="C440" s="20" t="s">
        <v>2044</v>
      </c>
      <c r="D440" s="20" t="s">
        <v>2045</v>
      </c>
      <c r="E440" s="298">
        <v>41625</v>
      </c>
      <c r="F440" s="138" t="s">
        <v>1159</v>
      </c>
      <c r="G440" s="138" t="s">
        <v>1191</v>
      </c>
      <c r="H440" s="299" t="s">
        <v>1191</v>
      </c>
      <c r="I440" s="300">
        <v>0.22</v>
      </c>
      <c r="J440" s="300">
        <f>IF(OR($E440&lt;='Model Data Inputs'!$B$175,$F440="T"),$I440,IF($G440="E",'Model Data Inputs'!$B$176+$H440/'Model Data Inputs'!$B$179,IF($G440="M",'Model Data Inputs'!$B$177+$H440/'Model Data Inputs'!$B$179,IF($G440="H",'Model Data Inputs'!$B$178+$H440/'Model Data Inputs'!$B$179,IF($G440="N/A",0,$I440)))))</f>
        <v>0</v>
      </c>
      <c r="K440" s="300">
        <f t="shared" si="12"/>
        <v>0</v>
      </c>
      <c r="L440" s="300">
        <f>$K440*'Model Data Inputs'!$B$168</f>
        <v>0</v>
      </c>
      <c r="M440" s="300">
        <f>$L440/'Model Data Inputs'!$B$169</f>
        <v>0</v>
      </c>
      <c r="N440" s="300">
        <f>IF($G440="E",$M440*('Model Data Inputs'!$B$171-1),IF($G440="M",$M440*('Model Data Inputs'!$B$172-1),IF($G440="H",$M440*('Model Data Inputs'!$B$173-1),$M440*('Model Data Inputs'!$B$170-1))))</f>
        <v>0</v>
      </c>
      <c r="O440" s="300">
        <f t="shared" si="13"/>
        <v>0</v>
      </c>
    </row>
    <row r="441" spans="1:15" s="40" customFormat="1" x14ac:dyDescent="0.2">
      <c r="A441" s="20" t="s">
        <v>86</v>
      </c>
      <c r="B441" s="20" t="s">
        <v>87</v>
      </c>
      <c r="C441" s="20" t="s">
        <v>2046</v>
      </c>
      <c r="D441" s="20" t="s">
        <v>2047</v>
      </c>
      <c r="E441" s="298">
        <v>41625</v>
      </c>
      <c r="F441" s="138" t="s">
        <v>1159</v>
      </c>
      <c r="G441" s="138" t="s">
        <v>1191</v>
      </c>
      <c r="H441" s="299" t="s">
        <v>1191</v>
      </c>
      <c r="I441" s="300">
        <v>0.22</v>
      </c>
      <c r="J441" s="300">
        <f>IF(OR($E441&lt;='Model Data Inputs'!$B$175,$F441="T"),$I441,IF($G441="E",'Model Data Inputs'!$B$176+$H441/'Model Data Inputs'!$B$179,IF($G441="M",'Model Data Inputs'!$B$177+$H441/'Model Data Inputs'!$B$179,IF($G441="H",'Model Data Inputs'!$B$178+$H441/'Model Data Inputs'!$B$179,IF($G441="N/A",0,$I441)))))</f>
        <v>0</v>
      </c>
      <c r="K441" s="300">
        <f t="shared" si="12"/>
        <v>0</v>
      </c>
      <c r="L441" s="300">
        <f>$K441*'Model Data Inputs'!$B$168</f>
        <v>0</v>
      </c>
      <c r="M441" s="300">
        <f>$L441/'Model Data Inputs'!$B$169</f>
        <v>0</v>
      </c>
      <c r="N441" s="300">
        <f>IF($G441="E",$M441*('Model Data Inputs'!$B$171-1),IF($G441="M",$M441*('Model Data Inputs'!$B$172-1),IF($G441="H",$M441*('Model Data Inputs'!$B$173-1),$M441*('Model Data Inputs'!$B$170-1))))</f>
        <v>0</v>
      </c>
      <c r="O441" s="300">
        <f t="shared" si="13"/>
        <v>0</v>
      </c>
    </row>
    <row r="442" spans="1:15" s="40" customFormat="1" x14ac:dyDescent="0.2">
      <c r="A442" s="20" t="s">
        <v>86</v>
      </c>
      <c r="B442" s="20" t="s">
        <v>87</v>
      </c>
      <c r="C442" s="20" t="s">
        <v>2048</v>
      </c>
      <c r="D442" s="20" t="s">
        <v>2049</v>
      </c>
      <c r="E442" s="298">
        <v>41625</v>
      </c>
      <c r="F442" s="138" t="s">
        <v>1159</v>
      </c>
      <c r="G442" s="138" t="s">
        <v>1191</v>
      </c>
      <c r="H442" s="299" t="s">
        <v>1191</v>
      </c>
      <c r="I442" s="300">
        <v>0.22</v>
      </c>
      <c r="J442" s="300">
        <f>IF(OR($E442&lt;='Model Data Inputs'!$B$175,$F442="T"),$I442,IF($G442="E",'Model Data Inputs'!$B$176+$H442/'Model Data Inputs'!$B$179,IF($G442="M",'Model Data Inputs'!$B$177+$H442/'Model Data Inputs'!$B$179,IF($G442="H",'Model Data Inputs'!$B$178+$H442/'Model Data Inputs'!$B$179,IF($G442="N/A",0,$I442)))))</f>
        <v>0</v>
      </c>
      <c r="K442" s="300">
        <f t="shared" si="12"/>
        <v>0</v>
      </c>
      <c r="L442" s="300">
        <f>$K442*'Model Data Inputs'!$B$168</f>
        <v>0</v>
      </c>
      <c r="M442" s="300">
        <f>$L442/'Model Data Inputs'!$B$169</f>
        <v>0</v>
      </c>
      <c r="N442" s="300">
        <f>IF($G442="E",$M442*('Model Data Inputs'!$B$171-1),IF($G442="M",$M442*('Model Data Inputs'!$B$172-1),IF($G442="H",$M442*('Model Data Inputs'!$B$173-1),$M442*('Model Data Inputs'!$B$170-1))))</f>
        <v>0</v>
      </c>
      <c r="O442" s="300">
        <f t="shared" si="13"/>
        <v>0</v>
      </c>
    </row>
    <row r="443" spans="1:15" s="40" customFormat="1" x14ac:dyDescent="0.2">
      <c r="A443" s="20" t="s">
        <v>88</v>
      </c>
      <c r="B443" s="20" t="s">
        <v>89</v>
      </c>
      <c r="C443" s="20" t="s">
        <v>2050</v>
      </c>
      <c r="D443" s="20" t="s">
        <v>2051</v>
      </c>
      <c r="E443" s="298">
        <v>20271</v>
      </c>
      <c r="F443" s="138" t="s">
        <v>1159</v>
      </c>
      <c r="G443" s="138">
        <v>0</v>
      </c>
      <c r="H443" s="299" t="s">
        <v>1191</v>
      </c>
      <c r="I443" s="300">
        <v>0.17</v>
      </c>
      <c r="J443" s="300">
        <f>IF(OR($E443&lt;='Model Data Inputs'!$B$175,$F443="T"),$I443,IF($G443="E",'Model Data Inputs'!$B$176+$H443/'Model Data Inputs'!$B$179,IF($G443="M",'Model Data Inputs'!$B$177+$H443/'Model Data Inputs'!$B$179,IF($G443="H",'Model Data Inputs'!$B$178+$H443/'Model Data Inputs'!$B$179,IF($G443="N/A",0,$I443)))))</f>
        <v>0.17</v>
      </c>
      <c r="K443" s="300">
        <f t="shared" si="12"/>
        <v>0</v>
      </c>
      <c r="L443" s="300">
        <f>$K443*'Model Data Inputs'!$B$168</f>
        <v>0</v>
      </c>
      <c r="M443" s="300">
        <f>$L443/'Model Data Inputs'!$B$169</f>
        <v>0</v>
      </c>
      <c r="N443" s="300">
        <f>IF($G443="E",$M443*('Model Data Inputs'!$B$171-1),IF($G443="M",$M443*('Model Data Inputs'!$B$172-1),IF($G443="H",$M443*('Model Data Inputs'!$B$173-1),$M443*('Model Data Inputs'!$B$170-1))))</f>
        <v>0</v>
      </c>
      <c r="O443" s="300">
        <f t="shared" si="13"/>
        <v>0</v>
      </c>
    </row>
    <row r="444" spans="1:15" s="40" customFormat="1" x14ac:dyDescent="0.2">
      <c r="A444" s="20" t="s">
        <v>88</v>
      </c>
      <c r="B444" s="20" t="s">
        <v>89</v>
      </c>
      <c r="C444" s="20" t="s">
        <v>2052</v>
      </c>
      <c r="D444" s="20" t="s">
        <v>2053</v>
      </c>
      <c r="E444" s="298">
        <v>29768</v>
      </c>
      <c r="F444" s="138" t="s">
        <v>1159</v>
      </c>
      <c r="G444" s="138" t="s">
        <v>1198</v>
      </c>
      <c r="H444" s="299">
        <f>'School Level ADM'!S293</f>
        <v>195.21966666666668</v>
      </c>
      <c r="I444" s="300">
        <v>7.31</v>
      </c>
      <c r="J444" s="300">
        <f>IF(OR($E444&lt;='Model Data Inputs'!$B$175,$F444="T"),$I444,IF($G444="E",'Model Data Inputs'!$B$176+$H444/'Model Data Inputs'!$B$179,IF($G444="M",'Model Data Inputs'!$B$177+$H444/'Model Data Inputs'!$B$179,IF($G444="H",'Model Data Inputs'!$B$178+$H444/'Model Data Inputs'!$B$179,IF($G444="N/A",0,$I444)))))</f>
        <v>7.31</v>
      </c>
      <c r="K444" s="300">
        <f t="shared" si="12"/>
        <v>7.31</v>
      </c>
      <c r="L444" s="300">
        <f>$K444*'Model Data Inputs'!$B$168</f>
        <v>679.82999999999993</v>
      </c>
      <c r="M444" s="300">
        <f>$L444/'Model Data Inputs'!$B$169</f>
        <v>0.33856075697211152</v>
      </c>
      <c r="N444" s="300">
        <f>IF($G444="E",$M444*('Model Data Inputs'!$B$171-1),IF($G444="M",$M444*('Model Data Inputs'!$B$172-1),IF($G444="H",$M444*('Model Data Inputs'!$B$173-1),$M444*('Model Data Inputs'!$B$170-1))))</f>
        <v>0</v>
      </c>
      <c r="O444" s="300">
        <f t="shared" si="13"/>
        <v>0.33856075697211152</v>
      </c>
    </row>
    <row r="445" spans="1:15" s="40" customFormat="1" x14ac:dyDescent="0.2">
      <c r="A445" s="20" t="s">
        <v>88</v>
      </c>
      <c r="B445" s="20" t="s">
        <v>89</v>
      </c>
      <c r="C445" s="20" t="s">
        <v>2054</v>
      </c>
      <c r="D445" s="20" t="s">
        <v>2055</v>
      </c>
      <c r="E445" s="298">
        <v>21367</v>
      </c>
      <c r="F445" s="138" t="s">
        <v>1159</v>
      </c>
      <c r="G445" s="138" t="s">
        <v>1198</v>
      </c>
      <c r="H445" s="299">
        <f>'School Level ADM'!S294</f>
        <v>52.264000000000003</v>
      </c>
      <c r="I445" s="300">
        <v>6.26</v>
      </c>
      <c r="J445" s="300">
        <f>IF(OR($E445&lt;='Model Data Inputs'!$B$175,$F445="T"),$I445,IF($G445="E",'Model Data Inputs'!$B$176+$H445/'Model Data Inputs'!$B$179,IF($G445="M",'Model Data Inputs'!$B$177+$H445/'Model Data Inputs'!$B$179,IF($G445="H",'Model Data Inputs'!$B$178+$H445/'Model Data Inputs'!$B$179,IF($G445="N/A",0,$I445)))))</f>
        <v>6.26</v>
      </c>
      <c r="K445" s="300">
        <f t="shared" si="12"/>
        <v>6.26</v>
      </c>
      <c r="L445" s="300">
        <f>$K445*'Model Data Inputs'!$B$168</f>
        <v>582.17999999999995</v>
      </c>
      <c r="M445" s="300">
        <f>$L445/'Model Data Inputs'!$B$169</f>
        <v>0.2899302788844621</v>
      </c>
      <c r="N445" s="300">
        <f>IF($G445="E",$M445*('Model Data Inputs'!$B$171-1),IF($G445="M",$M445*('Model Data Inputs'!$B$172-1),IF($G445="H",$M445*('Model Data Inputs'!$B$173-1),$M445*('Model Data Inputs'!$B$170-1))))</f>
        <v>0</v>
      </c>
      <c r="O445" s="300">
        <f t="shared" si="13"/>
        <v>0.2899302788844621</v>
      </c>
    </row>
    <row r="446" spans="1:15" s="40" customFormat="1" x14ac:dyDescent="0.2">
      <c r="A446" s="20" t="s">
        <v>88</v>
      </c>
      <c r="B446" s="20" t="s">
        <v>89</v>
      </c>
      <c r="C446" s="20" t="s">
        <v>2056</v>
      </c>
      <c r="D446" s="20" t="s">
        <v>2057</v>
      </c>
      <c r="E446" s="298">
        <v>29768</v>
      </c>
      <c r="F446" s="138" t="s">
        <v>1159</v>
      </c>
      <c r="G446" s="138" t="s">
        <v>1205</v>
      </c>
      <c r="H446" s="299">
        <f>'School Level ADM'!S295</f>
        <v>131.779</v>
      </c>
      <c r="I446" s="300">
        <v>9</v>
      </c>
      <c r="J446" s="300">
        <f>IF(OR($E446&lt;='Model Data Inputs'!$B$175,$F446="T"),$I446,IF($G446="E",'Model Data Inputs'!$B$176+$H446/'Model Data Inputs'!$B$179,IF($G446="M",'Model Data Inputs'!$B$177+$H446/'Model Data Inputs'!$B$179,IF($G446="H",'Model Data Inputs'!$B$178+$H446/'Model Data Inputs'!$B$179,IF($G446="N/A",0,$I446)))))</f>
        <v>9</v>
      </c>
      <c r="K446" s="300">
        <f t="shared" si="12"/>
        <v>9</v>
      </c>
      <c r="L446" s="300">
        <f>$K446*'Model Data Inputs'!$B$168</f>
        <v>837</v>
      </c>
      <c r="M446" s="300">
        <f>$L446/'Model Data Inputs'!$B$169</f>
        <v>0.41683266932270918</v>
      </c>
      <c r="N446" s="300">
        <f>IF($G446="E",$M446*('Model Data Inputs'!$B$171-1),IF($G446="M",$M446*('Model Data Inputs'!$B$172-1),IF($G446="H",$M446*('Model Data Inputs'!$B$173-1),$M446*('Model Data Inputs'!$B$170-1))))</f>
        <v>0.20841633466135459</v>
      </c>
      <c r="O446" s="300">
        <f t="shared" si="13"/>
        <v>0.6252490039840638</v>
      </c>
    </row>
    <row r="447" spans="1:15" s="40" customFormat="1" x14ac:dyDescent="0.2">
      <c r="A447" s="20" t="s">
        <v>88</v>
      </c>
      <c r="B447" s="20" t="s">
        <v>89</v>
      </c>
      <c r="C447" s="20" t="s">
        <v>2058</v>
      </c>
      <c r="D447" s="20" t="s">
        <v>2059</v>
      </c>
      <c r="E447" s="298">
        <v>31959</v>
      </c>
      <c r="F447" s="138" t="s">
        <v>1159</v>
      </c>
      <c r="G447" s="138" t="s">
        <v>1228</v>
      </c>
      <c r="H447" s="299">
        <f>'School Level ADM'!S296</f>
        <v>187.81033333333332</v>
      </c>
      <c r="I447" s="300">
        <v>29</v>
      </c>
      <c r="J447" s="300">
        <f>IF(OR($E447&lt;='Model Data Inputs'!$B$175,$F447="T"),$I447,IF($G447="E",'Model Data Inputs'!$B$176+$H447/'Model Data Inputs'!$B$179,IF($G447="M",'Model Data Inputs'!$B$177+$H447/'Model Data Inputs'!$B$179,IF($G447="H",'Model Data Inputs'!$B$178+$H447/'Model Data Inputs'!$B$179,IF($G447="N/A",0,$I447)))))</f>
        <v>29</v>
      </c>
      <c r="K447" s="300">
        <f t="shared" si="12"/>
        <v>29</v>
      </c>
      <c r="L447" s="300">
        <f>$K447*'Model Data Inputs'!$B$168</f>
        <v>2697</v>
      </c>
      <c r="M447" s="300">
        <f>$L447/'Model Data Inputs'!$B$169</f>
        <v>1.3431274900398407</v>
      </c>
      <c r="N447" s="300">
        <f>IF($G447="E",$M447*('Model Data Inputs'!$B$171-1),IF($G447="M",$M447*('Model Data Inputs'!$B$172-1),IF($G447="H",$M447*('Model Data Inputs'!$B$173-1),$M447*('Model Data Inputs'!$B$170-1))))</f>
        <v>2.014691235059761</v>
      </c>
      <c r="O447" s="300">
        <f t="shared" si="13"/>
        <v>3.3578187250996017</v>
      </c>
    </row>
    <row r="448" spans="1:15" s="40" customFormat="1" x14ac:dyDescent="0.2">
      <c r="A448" s="20" t="s">
        <v>88</v>
      </c>
      <c r="B448" s="20" t="s">
        <v>89</v>
      </c>
      <c r="C448" s="20" t="s">
        <v>2060</v>
      </c>
      <c r="D448" s="20" t="s">
        <v>2061</v>
      </c>
      <c r="E448" s="298">
        <v>18445</v>
      </c>
      <c r="F448" s="138" t="s">
        <v>1159</v>
      </c>
      <c r="G448" s="138">
        <v>0</v>
      </c>
      <c r="H448" s="299" t="s">
        <v>1191</v>
      </c>
      <c r="I448" s="300">
        <v>1.41</v>
      </c>
      <c r="J448" s="300">
        <f>IF(OR($E448&lt;='Model Data Inputs'!$B$175,$F448="T"),$I448,IF($G448="E",'Model Data Inputs'!$B$176+$H448/'Model Data Inputs'!$B$179,IF($G448="M",'Model Data Inputs'!$B$177+$H448/'Model Data Inputs'!$B$179,IF($G448="H",'Model Data Inputs'!$B$178+$H448/'Model Data Inputs'!$B$179,IF($G448="N/A",0,$I448)))))</f>
        <v>1.41</v>
      </c>
      <c r="K448" s="300">
        <f t="shared" si="12"/>
        <v>0</v>
      </c>
      <c r="L448" s="300">
        <f>$K448*'Model Data Inputs'!$B$168</f>
        <v>0</v>
      </c>
      <c r="M448" s="300">
        <f>$L448/'Model Data Inputs'!$B$169</f>
        <v>0</v>
      </c>
      <c r="N448" s="300">
        <f>IF($G448="E",$M448*('Model Data Inputs'!$B$171-1),IF($G448="M",$M448*('Model Data Inputs'!$B$172-1),IF($G448="H",$M448*('Model Data Inputs'!$B$173-1),$M448*('Model Data Inputs'!$B$170-1))))</f>
        <v>0</v>
      </c>
      <c r="O448" s="300">
        <f t="shared" si="13"/>
        <v>0</v>
      </c>
    </row>
    <row r="449" spans="1:15" s="40" customFormat="1" x14ac:dyDescent="0.2">
      <c r="A449" s="20" t="s">
        <v>88</v>
      </c>
      <c r="B449" s="20" t="s">
        <v>89</v>
      </c>
      <c r="C449" s="20" t="s">
        <v>2062</v>
      </c>
      <c r="D449" s="20" t="s">
        <v>2063</v>
      </c>
      <c r="E449" s="298">
        <v>24289</v>
      </c>
      <c r="F449" s="138" t="s">
        <v>1159</v>
      </c>
      <c r="G449" s="138">
        <v>0</v>
      </c>
      <c r="H449" s="299" t="s">
        <v>1191</v>
      </c>
      <c r="I449" s="300">
        <v>2.77</v>
      </c>
      <c r="J449" s="300">
        <f>IF(OR($E449&lt;='Model Data Inputs'!$B$175,$F449="T"),$I449,IF($G449="E",'Model Data Inputs'!$B$176+$H449/'Model Data Inputs'!$B$179,IF($G449="M",'Model Data Inputs'!$B$177+$H449/'Model Data Inputs'!$B$179,IF($G449="H",'Model Data Inputs'!$B$178+$H449/'Model Data Inputs'!$B$179,IF($G449="N/A",0,$I449)))))</f>
        <v>2.77</v>
      </c>
      <c r="K449" s="300">
        <f t="shared" si="12"/>
        <v>0</v>
      </c>
      <c r="L449" s="300">
        <f>$K449*'Model Data Inputs'!$B$168</f>
        <v>0</v>
      </c>
      <c r="M449" s="300">
        <f>$L449/'Model Data Inputs'!$B$169</f>
        <v>0</v>
      </c>
      <c r="N449" s="300">
        <f>IF($G449="E",$M449*('Model Data Inputs'!$B$171-1),IF($G449="M",$M449*('Model Data Inputs'!$B$172-1),IF($G449="H",$M449*('Model Data Inputs'!$B$173-1),$M449*('Model Data Inputs'!$B$170-1))))</f>
        <v>0</v>
      </c>
      <c r="O449" s="300">
        <f t="shared" si="13"/>
        <v>0</v>
      </c>
    </row>
    <row r="450" spans="1:15" s="40" customFormat="1" x14ac:dyDescent="0.2">
      <c r="A450" s="20" t="s">
        <v>88</v>
      </c>
      <c r="B450" s="20" t="s">
        <v>89</v>
      </c>
      <c r="C450" s="20" t="s">
        <v>2064</v>
      </c>
      <c r="D450" s="20" t="s">
        <v>2065</v>
      </c>
      <c r="E450" s="298">
        <v>18445</v>
      </c>
      <c r="F450" s="138" t="s">
        <v>1159</v>
      </c>
      <c r="G450" s="138">
        <v>0</v>
      </c>
      <c r="H450" s="299" t="s">
        <v>1191</v>
      </c>
      <c r="I450" s="300">
        <v>0.16</v>
      </c>
      <c r="J450" s="300">
        <f>IF(OR($E450&lt;='Model Data Inputs'!$B$175,$F450="T"),$I450,IF($G450="E",'Model Data Inputs'!$B$176+$H450/'Model Data Inputs'!$B$179,IF($G450="M",'Model Data Inputs'!$B$177+$H450/'Model Data Inputs'!$B$179,IF($G450="H",'Model Data Inputs'!$B$178+$H450/'Model Data Inputs'!$B$179,IF($G450="N/A",0,$I450)))))</f>
        <v>0.16</v>
      </c>
      <c r="K450" s="300">
        <f t="shared" si="12"/>
        <v>0</v>
      </c>
      <c r="L450" s="300">
        <f>$K450*'Model Data Inputs'!$B$168</f>
        <v>0</v>
      </c>
      <c r="M450" s="300">
        <f>$L450/'Model Data Inputs'!$B$169</f>
        <v>0</v>
      </c>
      <c r="N450" s="300">
        <f>IF($G450="E",$M450*('Model Data Inputs'!$B$171-1),IF($G450="M",$M450*('Model Data Inputs'!$B$172-1),IF($G450="H",$M450*('Model Data Inputs'!$B$173-1),$M450*('Model Data Inputs'!$B$170-1))))</f>
        <v>0</v>
      </c>
      <c r="O450" s="300">
        <f t="shared" si="13"/>
        <v>0</v>
      </c>
    </row>
    <row r="451" spans="1:15" s="40" customFormat="1" x14ac:dyDescent="0.2">
      <c r="A451" s="20" t="s">
        <v>88</v>
      </c>
      <c r="B451" s="20" t="s">
        <v>89</v>
      </c>
      <c r="C451" s="20" t="s">
        <v>2066</v>
      </c>
      <c r="D451" s="20" t="s">
        <v>2067</v>
      </c>
      <c r="E451" s="298">
        <v>38899</v>
      </c>
      <c r="F451" s="138" t="s">
        <v>1159</v>
      </c>
      <c r="G451" s="138">
        <v>0</v>
      </c>
      <c r="H451" s="299" t="s">
        <v>1191</v>
      </c>
      <c r="I451" s="300">
        <v>0.46</v>
      </c>
      <c r="J451" s="300">
        <f>IF(OR($E451&lt;='Model Data Inputs'!$B$175,$F451="T"),$I451,IF($G451="E",'Model Data Inputs'!$B$176+$H451/'Model Data Inputs'!$B$179,IF($G451="M",'Model Data Inputs'!$B$177+$H451/'Model Data Inputs'!$B$179,IF($G451="H",'Model Data Inputs'!$B$178+$H451/'Model Data Inputs'!$B$179,IF($G451="N/A",0,$I451)))))</f>
        <v>0.46</v>
      </c>
      <c r="K451" s="300">
        <f t="shared" si="12"/>
        <v>0</v>
      </c>
      <c r="L451" s="300">
        <f>$K451*'Model Data Inputs'!$B$168</f>
        <v>0</v>
      </c>
      <c r="M451" s="300">
        <f>$L451/'Model Data Inputs'!$B$169</f>
        <v>0</v>
      </c>
      <c r="N451" s="300">
        <f>IF($G451="E",$M451*('Model Data Inputs'!$B$171-1),IF($G451="M",$M451*('Model Data Inputs'!$B$172-1),IF($G451="H",$M451*('Model Data Inputs'!$B$173-1),$M451*('Model Data Inputs'!$B$170-1))))</f>
        <v>0</v>
      </c>
      <c r="O451" s="300">
        <f t="shared" si="13"/>
        <v>0</v>
      </c>
    </row>
    <row r="452" spans="1:15" s="40" customFormat="1" x14ac:dyDescent="0.2">
      <c r="A452" s="20" t="s">
        <v>88</v>
      </c>
      <c r="B452" s="20" t="s">
        <v>89</v>
      </c>
      <c r="C452" s="20" t="s">
        <v>2068</v>
      </c>
      <c r="D452" s="20" t="s">
        <v>2069</v>
      </c>
      <c r="E452" s="298">
        <v>38899</v>
      </c>
      <c r="F452" s="138" t="s">
        <v>1159</v>
      </c>
      <c r="G452" s="138">
        <v>0</v>
      </c>
      <c r="H452" s="299" t="s">
        <v>1191</v>
      </c>
      <c r="I452" s="300">
        <v>0.33</v>
      </c>
      <c r="J452" s="300">
        <f>IF(OR($E452&lt;='Model Data Inputs'!$B$175,$F452="T"),$I452,IF($G452="E",'Model Data Inputs'!$B$176+$H452/'Model Data Inputs'!$B$179,IF($G452="M",'Model Data Inputs'!$B$177+$H452/'Model Data Inputs'!$B$179,IF($G452="H",'Model Data Inputs'!$B$178+$H452/'Model Data Inputs'!$B$179,IF($G452="N/A",0,$I452)))))</f>
        <v>0.33</v>
      </c>
      <c r="K452" s="300">
        <f t="shared" si="12"/>
        <v>0</v>
      </c>
      <c r="L452" s="300">
        <f>$K452*'Model Data Inputs'!$B$168</f>
        <v>0</v>
      </c>
      <c r="M452" s="300">
        <f>$L452/'Model Data Inputs'!$B$169</f>
        <v>0</v>
      </c>
      <c r="N452" s="300">
        <f>IF($G452="E",$M452*('Model Data Inputs'!$B$171-1),IF($G452="M",$M452*('Model Data Inputs'!$B$172-1),IF($G452="H",$M452*('Model Data Inputs'!$B$173-1),$M452*('Model Data Inputs'!$B$170-1))))</f>
        <v>0</v>
      </c>
      <c r="O452" s="300">
        <f t="shared" si="13"/>
        <v>0</v>
      </c>
    </row>
    <row r="453" spans="1:15" s="40" customFormat="1" x14ac:dyDescent="0.2">
      <c r="A453" s="20" t="s">
        <v>88</v>
      </c>
      <c r="B453" s="20" t="s">
        <v>89</v>
      </c>
      <c r="C453" s="20" t="s">
        <v>2070</v>
      </c>
      <c r="D453" s="20" t="s">
        <v>2071</v>
      </c>
      <c r="E453" s="298">
        <v>39630</v>
      </c>
      <c r="F453" s="138" t="s">
        <v>1159</v>
      </c>
      <c r="G453" s="138">
        <v>0</v>
      </c>
      <c r="H453" s="299" t="s">
        <v>1191</v>
      </c>
      <c r="I453" s="300">
        <v>0.33</v>
      </c>
      <c r="J453" s="300">
        <f>IF(OR($E453&lt;='Model Data Inputs'!$B$175,$F453="T"),$I453,IF($G453="E",'Model Data Inputs'!$B$176+$H453/'Model Data Inputs'!$B$179,IF($G453="M",'Model Data Inputs'!$B$177+$H453/'Model Data Inputs'!$B$179,IF($G453="H",'Model Data Inputs'!$B$178+$H453/'Model Data Inputs'!$B$179,IF($G453="N/A",0,$I453)))))</f>
        <v>0.33</v>
      </c>
      <c r="K453" s="300">
        <f t="shared" si="12"/>
        <v>0</v>
      </c>
      <c r="L453" s="300">
        <f>$K453*'Model Data Inputs'!$B$168</f>
        <v>0</v>
      </c>
      <c r="M453" s="300">
        <f>$L453/'Model Data Inputs'!$B$169</f>
        <v>0</v>
      </c>
      <c r="N453" s="300">
        <f>IF($G453="E",$M453*('Model Data Inputs'!$B$171-1),IF($G453="M",$M453*('Model Data Inputs'!$B$172-1),IF($G453="H",$M453*('Model Data Inputs'!$B$173-1),$M453*('Model Data Inputs'!$B$170-1))))</f>
        <v>0</v>
      </c>
      <c r="O453" s="300">
        <f t="shared" si="13"/>
        <v>0</v>
      </c>
    </row>
    <row r="454" spans="1:15" s="40" customFormat="1" x14ac:dyDescent="0.2">
      <c r="A454" s="20" t="s">
        <v>88</v>
      </c>
      <c r="B454" s="20" t="s">
        <v>89</v>
      </c>
      <c r="C454" s="20" t="s">
        <v>2072</v>
      </c>
      <c r="D454" s="20" t="s">
        <v>2073</v>
      </c>
      <c r="E454" s="298">
        <v>39630</v>
      </c>
      <c r="F454" s="138" t="s">
        <v>1159</v>
      </c>
      <c r="G454" s="138">
        <v>0</v>
      </c>
      <c r="H454" s="299" t="s">
        <v>1191</v>
      </c>
      <c r="I454" s="300">
        <v>1.1599999999999999</v>
      </c>
      <c r="J454" s="300">
        <f>IF(OR($E454&lt;='Model Data Inputs'!$B$175,$F454="T"),$I454,IF($G454="E",'Model Data Inputs'!$B$176+$H454/'Model Data Inputs'!$B$179,IF($G454="M",'Model Data Inputs'!$B$177+$H454/'Model Data Inputs'!$B$179,IF($G454="H",'Model Data Inputs'!$B$178+$H454/'Model Data Inputs'!$B$179,IF($G454="N/A",0,$I454)))))</f>
        <v>1.1599999999999999</v>
      </c>
      <c r="K454" s="300">
        <f t="shared" ref="K454:K517" si="14">IF(AND($A$2=2,OR(G454=0,G454="N/A")),0,IF($I454&lt;$J454,$I454,$J454))</f>
        <v>0</v>
      </c>
      <c r="L454" s="300">
        <f>$K454*'Model Data Inputs'!$B$168</f>
        <v>0</v>
      </c>
      <c r="M454" s="300">
        <f>$L454/'Model Data Inputs'!$B$169</f>
        <v>0</v>
      </c>
      <c r="N454" s="300">
        <f>IF($G454="E",$M454*('Model Data Inputs'!$B$171-1),IF($G454="M",$M454*('Model Data Inputs'!$B$172-1),IF($G454="H",$M454*('Model Data Inputs'!$B$173-1),$M454*('Model Data Inputs'!$B$170-1))))</f>
        <v>0</v>
      </c>
      <c r="O454" s="300">
        <f t="shared" si="13"/>
        <v>0</v>
      </c>
    </row>
    <row r="455" spans="1:15" s="40" customFormat="1" x14ac:dyDescent="0.2">
      <c r="A455" s="20" t="s">
        <v>90</v>
      </c>
      <c r="B455" s="20" t="s">
        <v>91</v>
      </c>
      <c r="C455" s="20" t="s">
        <v>2074</v>
      </c>
      <c r="D455" s="20" t="s">
        <v>2075</v>
      </c>
      <c r="E455" s="298">
        <v>27222</v>
      </c>
      <c r="F455" s="138" t="s">
        <v>1159</v>
      </c>
      <c r="G455" s="138">
        <v>0</v>
      </c>
      <c r="H455" s="299" t="s">
        <v>1191</v>
      </c>
      <c r="I455" s="300">
        <v>10.050000000000001</v>
      </c>
      <c r="J455" s="300">
        <f>IF(OR($E455&lt;='Model Data Inputs'!$B$175,$F455="T"),$I455,IF($G455="E",'Model Data Inputs'!$B$176+$H455/'Model Data Inputs'!$B$179,IF($G455="M",'Model Data Inputs'!$B$177+$H455/'Model Data Inputs'!$B$179,IF($G455="H",'Model Data Inputs'!$B$178+$H455/'Model Data Inputs'!$B$179,IF($G455="N/A",0,$I455)))))</f>
        <v>10.050000000000001</v>
      </c>
      <c r="K455" s="300">
        <f t="shared" si="14"/>
        <v>0</v>
      </c>
      <c r="L455" s="300">
        <f>$K455*'Model Data Inputs'!$B$168</f>
        <v>0</v>
      </c>
      <c r="M455" s="300">
        <f>$L455/'Model Data Inputs'!$B$169</f>
        <v>0</v>
      </c>
      <c r="N455" s="300">
        <f>IF($G455="E",$M455*('Model Data Inputs'!$B$171-1),IF($G455="M",$M455*('Model Data Inputs'!$B$172-1),IF($G455="H",$M455*('Model Data Inputs'!$B$173-1),$M455*('Model Data Inputs'!$B$170-1))))</f>
        <v>0</v>
      </c>
      <c r="O455" s="300">
        <f t="shared" si="13"/>
        <v>0</v>
      </c>
    </row>
    <row r="456" spans="1:15" s="40" customFormat="1" x14ac:dyDescent="0.2">
      <c r="A456" s="20" t="s">
        <v>90</v>
      </c>
      <c r="B456" s="20" t="s">
        <v>91</v>
      </c>
      <c r="C456" s="20" t="s">
        <v>2076</v>
      </c>
      <c r="D456" s="20" t="s">
        <v>2077</v>
      </c>
      <c r="E456" s="298">
        <v>9398</v>
      </c>
      <c r="F456" s="138" t="s">
        <v>1159</v>
      </c>
      <c r="G456" s="138" t="s">
        <v>1205</v>
      </c>
      <c r="H456" s="299">
        <f>SUM('School Level ADM'!S297,'School Level ADM'!S309)</f>
        <v>35.072000000000003</v>
      </c>
      <c r="I456" s="300">
        <v>20.55</v>
      </c>
      <c r="J456" s="300">
        <f>IF(OR($E456&lt;='Model Data Inputs'!$B$175,$F456="T"),$I456,IF($G456="E",'Model Data Inputs'!$B$176+$H456/'Model Data Inputs'!$B$179,IF($G456="M",'Model Data Inputs'!$B$177+$H456/'Model Data Inputs'!$B$179,IF($G456="H",'Model Data Inputs'!$B$178+$H456/'Model Data Inputs'!$B$179,IF($G456="N/A",0,$I456)))))</f>
        <v>20.55</v>
      </c>
      <c r="K456" s="300">
        <f t="shared" si="14"/>
        <v>20.55</v>
      </c>
      <c r="L456" s="300">
        <f>$K456*'Model Data Inputs'!$B$168</f>
        <v>1911.15</v>
      </c>
      <c r="M456" s="300">
        <f>$L456/'Model Data Inputs'!$B$169</f>
        <v>0.95176792828685264</v>
      </c>
      <c r="N456" s="300">
        <f>IF($G456="E",$M456*('Model Data Inputs'!$B$171-1),IF($G456="M",$M456*('Model Data Inputs'!$B$172-1),IF($G456="H",$M456*('Model Data Inputs'!$B$173-1),$M456*('Model Data Inputs'!$B$170-1))))</f>
        <v>0.47588396414342632</v>
      </c>
      <c r="O456" s="300">
        <f t="shared" si="13"/>
        <v>1.427651892430279</v>
      </c>
    </row>
    <row r="457" spans="1:15" s="40" customFormat="1" x14ac:dyDescent="0.2">
      <c r="A457" s="20" t="s">
        <v>90</v>
      </c>
      <c r="B457" s="20" t="s">
        <v>91</v>
      </c>
      <c r="C457" s="20" t="s">
        <v>2078</v>
      </c>
      <c r="D457" s="20" t="s">
        <v>2079</v>
      </c>
      <c r="E457" s="298">
        <v>29430</v>
      </c>
      <c r="F457" s="138" t="s">
        <v>1159</v>
      </c>
      <c r="G457" s="138" t="s">
        <v>1198</v>
      </c>
      <c r="H457" s="299">
        <f>'School Level ADM'!S298</f>
        <v>287.24252380952385</v>
      </c>
      <c r="I457" s="300">
        <v>17.079999999999998</v>
      </c>
      <c r="J457" s="300">
        <f>IF(OR($E457&lt;='Model Data Inputs'!$B$175,$F457="T"),$I457,IF($G457="E",'Model Data Inputs'!$B$176+$H457/'Model Data Inputs'!$B$179,IF($G457="M",'Model Data Inputs'!$B$177+$H457/'Model Data Inputs'!$B$179,IF($G457="H",'Model Data Inputs'!$B$178+$H457/'Model Data Inputs'!$B$179,IF($G457="N/A",0,$I457)))))</f>
        <v>17.079999999999998</v>
      </c>
      <c r="K457" s="300">
        <f t="shared" si="14"/>
        <v>17.079999999999998</v>
      </c>
      <c r="L457" s="300">
        <f>$K457*'Model Data Inputs'!$B$168</f>
        <v>1588.4399999999998</v>
      </c>
      <c r="M457" s="300">
        <f>$L457/'Model Data Inputs'!$B$169</f>
        <v>0.79105577689243023</v>
      </c>
      <c r="N457" s="300">
        <f>IF($G457="E",$M457*('Model Data Inputs'!$B$171-1),IF($G457="M",$M457*('Model Data Inputs'!$B$172-1),IF($G457="H",$M457*('Model Data Inputs'!$B$173-1),$M457*('Model Data Inputs'!$B$170-1))))</f>
        <v>0</v>
      </c>
      <c r="O457" s="300">
        <f t="shared" si="13"/>
        <v>0.79105577689243023</v>
      </c>
    </row>
    <row r="458" spans="1:15" s="40" customFormat="1" x14ac:dyDescent="0.2">
      <c r="A458" s="20" t="s">
        <v>90</v>
      </c>
      <c r="B458" s="20" t="s">
        <v>91</v>
      </c>
      <c r="C458" s="20" t="s">
        <v>2080</v>
      </c>
      <c r="D458" s="20" t="s">
        <v>2081</v>
      </c>
      <c r="E458" s="298">
        <v>17092</v>
      </c>
      <c r="F458" s="138" t="s">
        <v>1159</v>
      </c>
      <c r="G458" s="138" t="s">
        <v>1191</v>
      </c>
      <c r="H458" s="299" t="s">
        <v>1191</v>
      </c>
      <c r="I458" s="300">
        <v>5.17</v>
      </c>
      <c r="J458" s="300">
        <f>IF(OR($E458&lt;='Model Data Inputs'!$B$175,$F458="T"),$I458,IF($G458="E",'Model Data Inputs'!$B$176+$H458/'Model Data Inputs'!$B$179,IF($G458="M",'Model Data Inputs'!$B$177+$H458/'Model Data Inputs'!$B$179,IF($G458="H",'Model Data Inputs'!$B$178+$H458/'Model Data Inputs'!$B$179,IF($G458="N/A",0,$I458)))))</f>
        <v>5.17</v>
      </c>
      <c r="K458" s="300">
        <f t="shared" si="14"/>
        <v>0</v>
      </c>
      <c r="L458" s="300">
        <f>$K458*'Model Data Inputs'!$B$168</f>
        <v>0</v>
      </c>
      <c r="M458" s="300">
        <f>$L458/'Model Data Inputs'!$B$169</f>
        <v>0</v>
      </c>
      <c r="N458" s="300">
        <f>IF($G458="E",$M458*('Model Data Inputs'!$B$171-1),IF($G458="M",$M458*('Model Data Inputs'!$B$172-1),IF($G458="H",$M458*('Model Data Inputs'!$B$173-1),$M458*('Model Data Inputs'!$B$170-1))))</f>
        <v>0</v>
      </c>
      <c r="O458" s="300">
        <f t="shared" ref="O458:O529" si="15">SUM($M458:$N458)</f>
        <v>0</v>
      </c>
    </row>
    <row r="459" spans="1:15" s="40" customFormat="1" x14ac:dyDescent="0.2">
      <c r="A459" s="20" t="s">
        <v>90</v>
      </c>
      <c r="B459" s="20" t="s">
        <v>91</v>
      </c>
      <c r="C459" s="20" t="s">
        <v>2082</v>
      </c>
      <c r="D459" s="20" t="s">
        <v>2083</v>
      </c>
      <c r="E459" s="298">
        <v>9541</v>
      </c>
      <c r="F459" s="138" t="s">
        <v>1159</v>
      </c>
      <c r="G459" s="138">
        <v>0</v>
      </c>
      <c r="H459" s="299" t="s">
        <v>1191</v>
      </c>
      <c r="I459" s="300">
        <v>1.73</v>
      </c>
      <c r="J459" s="300">
        <f>IF(OR($E459&lt;='Model Data Inputs'!$B$175,$F459="T"),$I459,IF($G459="E",'Model Data Inputs'!$B$176+$H459/'Model Data Inputs'!$B$179,IF($G459="M",'Model Data Inputs'!$B$177+$H459/'Model Data Inputs'!$B$179,IF($G459="H",'Model Data Inputs'!$B$178+$H459/'Model Data Inputs'!$B$179,IF($G459="N/A",0,$I459)))))</f>
        <v>1.73</v>
      </c>
      <c r="K459" s="300">
        <f t="shared" si="14"/>
        <v>0</v>
      </c>
      <c r="L459" s="300">
        <f>$K459*'Model Data Inputs'!$B$168</f>
        <v>0</v>
      </c>
      <c r="M459" s="300">
        <f>$L459/'Model Data Inputs'!$B$169</f>
        <v>0</v>
      </c>
      <c r="N459" s="300">
        <f>IF($G459="E",$M459*('Model Data Inputs'!$B$171-1),IF($G459="M",$M459*('Model Data Inputs'!$B$172-1),IF($G459="H",$M459*('Model Data Inputs'!$B$173-1),$M459*('Model Data Inputs'!$B$170-1))))</f>
        <v>0</v>
      </c>
      <c r="O459" s="300">
        <f t="shared" si="15"/>
        <v>0</v>
      </c>
    </row>
    <row r="460" spans="1:15" s="40" customFormat="1" x14ac:dyDescent="0.2">
      <c r="A460" s="20" t="s">
        <v>90</v>
      </c>
      <c r="B460" s="20" t="s">
        <v>91</v>
      </c>
      <c r="C460" s="20" t="s">
        <v>2084</v>
      </c>
      <c r="D460" s="20" t="s">
        <v>2085</v>
      </c>
      <c r="E460" s="298">
        <v>26947</v>
      </c>
      <c r="F460" s="138" t="s">
        <v>1159</v>
      </c>
      <c r="G460" s="138" t="s">
        <v>1198</v>
      </c>
      <c r="H460" s="299">
        <f>'School Level ADM'!S301</f>
        <v>272.54485714285715</v>
      </c>
      <c r="I460" s="300">
        <v>9.58</v>
      </c>
      <c r="J460" s="300">
        <f>IF(OR($E460&lt;='Model Data Inputs'!$B$175,$F460="T"),$I460,IF($G460="E",'Model Data Inputs'!$B$176+$H460/'Model Data Inputs'!$B$179,IF($G460="M",'Model Data Inputs'!$B$177+$H460/'Model Data Inputs'!$B$179,IF($G460="H",'Model Data Inputs'!$B$178+$H460/'Model Data Inputs'!$B$179,IF($G460="N/A",0,$I460)))))</f>
        <v>9.58</v>
      </c>
      <c r="K460" s="300">
        <f t="shared" si="14"/>
        <v>9.58</v>
      </c>
      <c r="L460" s="300">
        <f>$K460*'Model Data Inputs'!$B$168</f>
        <v>890.94</v>
      </c>
      <c r="M460" s="300">
        <f>$L460/'Model Data Inputs'!$B$169</f>
        <v>0.44369521912350601</v>
      </c>
      <c r="N460" s="300">
        <f>IF($G460="E",$M460*('Model Data Inputs'!$B$171-1),IF($G460="M",$M460*('Model Data Inputs'!$B$172-1),IF($G460="H",$M460*('Model Data Inputs'!$B$173-1),$M460*('Model Data Inputs'!$B$170-1))))</f>
        <v>0</v>
      </c>
      <c r="O460" s="300">
        <f t="shared" si="15"/>
        <v>0.44369521912350601</v>
      </c>
    </row>
    <row r="461" spans="1:15" s="40" customFormat="1" x14ac:dyDescent="0.2">
      <c r="A461" s="20" t="s">
        <v>90</v>
      </c>
      <c r="B461" s="20" t="s">
        <v>91</v>
      </c>
      <c r="C461" s="20" t="s">
        <v>2086</v>
      </c>
      <c r="D461" s="20" t="s">
        <v>2087</v>
      </c>
      <c r="E461" s="298">
        <v>29454</v>
      </c>
      <c r="F461" s="138" t="s">
        <v>1159</v>
      </c>
      <c r="G461" s="138" t="s">
        <v>1198</v>
      </c>
      <c r="H461" s="299">
        <f>'School Level ADM'!S302</f>
        <v>263.62819047619053</v>
      </c>
      <c r="I461" s="300">
        <v>11.23</v>
      </c>
      <c r="J461" s="300">
        <f>IF(OR($E461&lt;='Model Data Inputs'!$B$175,$F461="T"),$I461,IF($G461="E",'Model Data Inputs'!$B$176+$H461/'Model Data Inputs'!$B$179,IF($G461="M",'Model Data Inputs'!$B$177+$H461/'Model Data Inputs'!$B$179,IF($G461="H",'Model Data Inputs'!$B$178+$H461/'Model Data Inputs'!$B$179,IF($G461="N/A",0,$I461)))))</f>
        <v>11.23</v>
      </c>
      <c r="K461" s="300">
        <f t="shared" si="14"/>
        <v>11.23</v>
      </c>
      <c r="L461" s="300">
        <f>$K461*'Model Data Inputs'!$B$168</f>
        <v>1044.3900000000001</v>
      </c>
      <c r="M461" s="300">
        <f>$L461/'Model Data Inputs'!$B$169</f>
        <v>0.52011454183266936</v>
      </c>
      <c r="N461" s="300">
        <f>IF($G461="E",$M461*('Model Data Inputs'!$B$171-1),IF($G461="M",$M461*('Model Data Inputs'!$B$172-1),IF($G461="H",$M461*('Model Data Inputs'!$B$173-1),$M461*('Model Data Inputs'!$B$170-1))))</f>
        <v>0</v>
      </c>
      <c r="O461" s="300">
        <f t="shared" si="15"/>
        <v>0.52011454183266936</v>
      </c>
    </row>
    <row r="462" spans="1:15" s="40" customFormat="1" x14ac:dyDescent="0.2">
      <c r="A462" s="20" t="s">
        <v>90</v>
      </c>
      <c r="B462" s="20" t="s">
        <v>91</v>
      </c>
      <c r="C462" s="20" t="s">
        <v>2088</v>
      </c>
      <c r="D462" s="20" t="s">
        <v>2089</v>
      </c>
      <c r="E462" s="298">
        <v>26785</v>
      </c>
      <c r="F462" s="138" t="s">
        <v>1159</v>
      </c>
      <c r="G462" s="138">
        <v>0</v>
      </c>
      <c r="H462" s="299" t="s">
        <v>1191</v>
      </c>
      <c r="I462" s="300">
        <v>3.34</v>
      </c>
      <c r="J462" s="300">
        <f>IF(OR($E462&lt;='Model Data Inputs'!$B$175,$F462="T"),$I462,IF($G462="E",'Model Data Inputs'!$B$176+$H462/'Model Data Inputs'!$B$179,IF($G462="M",'Model Data Inputs'!$B$177+$H462/'Model Data Inputs'!$B$179,IF($G462="H",'Model Data Inputs'!$B$178+$H462/'Model Data Inputs'!$B$179,IF($G462="N/A",0,$I462)))))</f>
        <v>3.34</v>
      </c>
      <c r="K462" s="300">
        <f t="shared" si="14"/>
        <v>0</v>
      </c>
      <c r="L462" s="300">
        <f>$K462*'Model Data Inputs'!$B$168</f>
        <v>0</v>
      </c>
      <c r="M462" s="300">
        <f>$L462/'Model Data Inputs'!$B$169</f>
        <v>0</v>
      </c>
      <c r="N462" s="300">
        <f>IF($G462="E",$M462*('Model Data Inputs'!$B$171-1),IF($G462="M",$M462*('Model Data Inputs'!$B$172-1),IF($G462="H",$M462*('Model Data Inputs'!$B$173-1),$M462*('Model Data Inputs'!$B$170-1))))</f>
        <v>0</v>
      </c>
      <c r="O462" s="300">
        <f t="shared" si="15"/>
        <v>0</v>
      </c>
    </row>
    <row r="463" spans="1:15" s="40" customFormat="1" x14ac:dyDescent="0.2">
      <c r="A463" s="20" t="s">
        <v>90</v>
      </c>
      <c r="B463" s="20" t="s">
        <v>91</v>
      </c>
      <c r="C463" s="20" t="s">
        <v>2090</v>
      </c>
      <c r="D463" s="20" t="s">
        <v>2091</v>
      </c>
      <c r="E463" s="298">
        <v>31630</v>
      </c>
      <c r="F463" s="138" t="s">
        <v>1159</v>
      </c>
      <c r="G463" s="138" t="s">
        <v>1198</v>
      </c>
      <c r="H463" s="299">
        <f>'School Level ADM'!S303</f>
        <v>320.75952380952378</v>
      </c>
      <c r="I463" s="300">
        <v>19.736999999999998</v>
      </c>
      <c r="J463" s="300">
        <f>IF(OR($E463&lt;='Model Data Inputs'!$B$175,$F463="T"),$I463,IF($G463="E",'Model Data Inputs'!$B$176+$H463/'Model Data Inputs'!$B$179,IF($G463="M",'Model Data Inputs'!$B$177+$H463/'Model Data Inputs'!$B$179,IF($G463="H",'Model Data Inputs'!$B$178+$H463/'Model Data Inputs'!$B$179,IF($G463="N/A",0,$I463)))))</f>
        <v>19.736999999999998</v>
      </c>
      <c r="K463" s="300">
        <f t="shared" si="14"/>
        <v>19.736999999999998</v>
      </c>
      <c r="L463" s="300">
        <f>$K463*'Model Data Inputs'!$B$168</f>
        <v>1835.5409999999999</v>
      </c>
      <c r="M463" s="300">
        <f>$L463/'Model Data Inputs'!$B$169</f>
        <v>0.91411404382470118</v>
      </c>
      <c r="N463" s="300">
        <f>IF($G463="E",$M463*('Model Data Inputs'!$B$171-1),IF($G463="M",$M463*('Model Data Inputs'!$B$172-1),IF($G463="H",$M463*('Model Data Inputs'!$B$173-1),$M463*('Model Data Inputs'!$B$170-1))))</f>
        <v>0</v>
      </c>
      <c r="O463" s="300">
        <f t="shared" si="15"/>
        <v>0.91411404382470118</v>
      </c>
    </row>
    <row r="464" spans="1:15" s="40" customFormat="1" x14ac:dyDescent="0.2">
      <c r="A464" s="20" t="s">
        <v>90</v>
      </c>
      <c r="B464" s="20" t="s">
        <v>91</v>
      </c>
      <c r="C464" s="20" t="s">
        <v>2092</v>
      </c>
      <c r="D464" s="20" t="s">
        <v>2093</v>
      </c>
      <c r="E464" s="298">
        <v>38034</v>
      </c>
      <c r="F464" s="138" t="s">
        <v>1159</v>
      </c>
      <c r="G464" s="138" t="s">
        <v>1198</v>
      </c>
      <c r="H464" s="299">
        <f>'School Level ADM'!S304</f>
        <v>359.07985714285712</v>
      </c>
      <c r="I464" s="300">
        <v>9.64</v>
      </c>
      <c r="J464" s="300">
        <f>IF(OR($E464&lt;='Model Data Inputs'!$B$175,$F464="T"),$I464,IF($G464="E",'Model Data Inputs'!$B$176+$H464/'Model Data Inputs'!$B$179,IF($G464="M",'Model Data Inputs'!$B$177+$H464/'Model Data Inputs'!$B$179,IF($G464="H",'Model Data Inputs'!$B$178+$H464/'Model Data Inputs'!$B$179,IF($G464="N/A",0,$I464)))))</f>
        <v>7.5907985714285715</v>
      </c>
      <c r="K464" s="300">
        <f t="shared" si="14"/>
        <v>7.5907985714285715</v>
      </c>
      <c r="L464" s="300">
        <f>$K464*'Model Data Inputs'!$B$168</f>
        <v>705.94426714285714</v>
      </c>
      <c r="M464" s="300">
        <f>$L464/'Model Data Inputs'!$B$169</f>
        <v>0.35156587009106433</v>
      </c>
      <c r="N464" s="300">
        <f>IF($G464="E",$M464*('Model Data Inputs'!$B$171-1),IF($G464="M",$M464*('Model Data Inputs'!$B$172-1),IF($G464="H",$M464*('Model Data Inputs'!$B$173-1),$M464*('Model Data Inputs'!$B$170-1))))</f>
        <v>0</v>
      </c>
      <c r="O464" s="300">
        <f t="shared" si="15"/>
        <v>0.35156587009106433</v>
      </c>
    </row>
    <row r="465" spans="1:15" s="40" customFormat="1" x14ac:dyDescent="0.2">
      <c r="A465" s="20" t="s">
        <v>90</v>
      </c>
      <c r="B465" s="20" t="s">
        <v>91</v>
      </c>
      <c r="C465" s="20" t="s">
        <v>2094</v>
      </c>
      <c r="D465" s="20" t="s">
        <v>2095</v>
      </c>
      <c r="E465" s="298">
        <v>19698</v>
      </c>
      <c r="F465" s="138" t="s">
        <v>1159</v>
      </c>
      <c r="G465" s="138" t="s">
        <v>1198</v>
      </c>
      <c r="H465" s="299">
        <f>'School Level ADM'!S300</f>
        <v>441.19766666666663</v>
      </c>
      <c r="I465" s="300">
        <v>7.22</v>
      </c>
      <c r="J465" s="300">
        <f>IF(OR($E465&lt;='Model Data Inputs'!$B$175,$F465="T"),$I465,IF($G465="E",'Model Data Inputs'!$B$176+$H465/'Model Data Inputs'!$B$179,IF($G465="M",'Model Data Inputs'!$B$177+$H465/'Model Data Inputs'!$B$179,IF($G465="H",'Model Data Inputs'!$B$178+$H465/'Model Data Inputs'!$B$179,IF($G465="N/A",0,$I465)))))</f>
        <v>7.22</v>
      </c>
      <c r="K465" s="300">
        <f t="shared" si="14"/>
        <v>7.22</v>
      </c>
      <c r="L465" s="300">
        <f>$K465*'Model Data Inputs'!$B$168</f>
        <v>671.45999999999992</v>
      </c>
      <c r="M465" s="300">
        <f>$L465/'Model Data Inputs'!$B$169</f>
        <v>0.33439243027888443</v>
      </c>
      <c r="N465" s="300">
        <f>IF($G465="E",$M465*('Model Data Inputs'!$B$171-1),IF($G465="M",$M465*('Model Data Inputs'!$B$172-1),IF($G465="H",$M465*('Model Data Inputs'!$B$173-1),$M465*('Model Data Inputs'!$B$170-1))))</f>
        <v>0</v>
      </c>
      <c r="O465" s="300">
        <f t="shared" si="15"/>
        <v>0.33439243027888443</v>
      </c>
    </row>
    <row r="466" spans="1:15" s="40" customFormat="1" x14ac:dyDescent="0.2">
      <c r="A466" s="20" t="s">
        <v>90</v>
      </c>
      <c r="B466" s="20" t="s">
        <v>91</v>
      </c>
      <c r="C466" s="20" t="s">
        <v>2096</v>
      </c>
      <c r="D466" s="20" t="s">
        <v>2097</v>
      </c>
      <c r="E466" s="298">
        <v>27222</v>
      </c>
      <c r="F466" s="138" t="s">
        <v>1159</v>
      </c>
      <c r="G466" s="138" t="s">
        <v>1205</v>
      </c>
      <c r="H466" s="299">
        <f>'School Level ADM'!S308</f>
        <v>806.00900000000001</v>
      </c>
      <c r="I466" s="300">
        <v>30.44</v>
      </c>
      <c r="J466" s="300">
        <f>IF(OR($E466&lt;='Model Data Inputs'!$B$175,$F466="T"),$I466,IF($G466="E",'Model Data Inputs'!$B$176+$H466/'Model Data Inputs'!$B$179,IF($G466="M",'Model Data Inputs'!$B$177+$H466/'Model Data Inputs'!$B$179,IF($G466="H",'Model Data Inputs'!$B$178+$H466/'Model Data Inputs'!$B$179,IF($G466="N/A",0,$I466)))))</f>
        <v>30.44</v>
      </c>
      <c r="K466" s="300">
        <f t="shared" si="14"/>
        <v>30.44</v>
      </c>
      <c r="L466" s="300">
        <f>$K466*'Model Data Inputs'!$B$168</f>
        <v>2830.92</v>
      </c>
      <c r="M466" s="300">
        <f>$L466/'Model Data Inputs'!$B$169</f>
        <v>1.4098207171314741</v>
      </c>
      <c r="N466" s="300">
        <f>IF($G466="E",$M466*('Model Data Inputs'!$B$171-1),IF($G466="M",$M466*('Model Data Inputs'!$B$172-1),IF($G466="H",$M466*('Model Data Inputs'!$B$173-1),$M466*('Model Data Inputs'!$B$170-1))))</f>
        <v>0.70491035856573703</v>
      </c>
      <c r="O466" s="300">
        <f t="shared" si="15"/>
        <v>2.1147310756972111</v>
      </c>
    </row>
    <row r="467" spans="1:15" s="40" customFormat="1" x14ac:dyDescent="0.2">
      <c r="A467" s="20" t="s">
        <v>90</v>
      </c>
      <c r="B467" s="20" t="s">
        <v>91</v>
      </c>
      <c r="C467" s="20" t="s">
        <v>2098</v>
      </c>
      <c r="D467" s="20" t="s">
        <v>2099</v>
      </c>
      <c r="E467" s="298">
        <v>32374</v>
      </c>
      <c r="F467" s="138" t="s">
        <v>1159</v>
      </c>
      <c r="G467" s="138" t="s">
        <v>1228</v>
      </c>
      <c r="H467" s="299">
        <f>SUM('School Level ADM'!S299,'School Level ADM'!S310:S311)</f>
        <v>169.23699999999999</v>
      </c>
      <c r="I467" s="300">
        <v>35.270000000000003</v>
      </c>
      <c r="J467" s="300">
        <f>IF(OR($E467&lt;='Model Data Inputs'!$B$175,$F467="T"),$I467,IF($G467="E",'Model Data Inputs'!$B$176+$H467/'Model Data Inputs'!$B$179,IF($G467="M",'Model Data Inputs'!$B$177+$H467/'Model Data Inputs'!$B$179,IF($G467="H",'Model Data Inputs'!$B$178+$H467/'Model Data Inputs'!$B$179,IF($G467="N/A",0,$I467)))))</f>
        <v>35.270000000000003</v>
      </c>
      <c r="K467" s="300">
        <f t="shared" si="14"/>
        <v>35.270000000000003</v>
      </c>
      <c r="L467" s="300">
        <f>$K467*'Model Data Inputs'!$B$168</f>
        <v>3280.11</v>
      </c>
      <c r="M467" s="300">
        <f>$L467/'Model Data Inputs'!$B$169</f>
        <v>1.6335209163346613</v>
      </c>
      <c r="N467" s="300">
        <f>IF($G467="E",$M467*('Model Data Inputs'!$B$171-1),IF($G467="M",$M467*('Model Data Inputs'!$B$172-1),IF($G467="H",$M467*('Model Data Inputs'!$B$173-1),$M467*('Model Data Inputs'!$B$170-1))))</f>
        <v>2.450281374501992</v>
      </c>
      <c r="O467" s="300">
        <f t="shared" si="15"/>
        <v>4.0838022908366529</v>
      </c>
    </row>
    <row r="468" spans="1:15" s="40" customFormat="1" x14ac:dyDescent="0.2">
      <c r="A468" s="20" t="s">
        <v>90</v>
      </c>
      <c r="B468" s="20" t="s">
        <v>91</v>
      </c>
      <c r="C468" s="20" t="s">
        <v>2100</v>
      </c>
      <c r="D468" s="20" t="s">
        <v>2101</v>
      </c>
      <c r="E468" s="298">
        <v>25689</v>
      </c>
      <c r="F468" s="138" t="s">
        <v>1159</v>
      </c>
      <c r="G468" s="138" t="s">
        <v>1228</v>
      </c>
      <c r="H468" s="299">
        <f>'School Level ADM'!S312</f>
        <v>1348.7190000000001</v>
      </c>
      <c r="I468" s="300">
        <v>22.62</v>
      </c>
      <c r="J468" s="300">
        <f>IF(OR($E468&lt;='Model Data Inputs'!$B$175,$F468="T"),$I468,IF($G468="E",'Model Data Inputs'!$B$176+$H468/'Model Data Inputs'!$B$179,IF($G468="M",'Model Data Inputs'!$B$177+$H468/'Model Data Inputs'!$B$179,IF($G468="H",'Model Data Inputs'!$B$178+$H468/'Model Data Inputs'!$B$179,IF($G468="N/A",0,$I468)))))</f>
        <v>22.62</v>
      </c>
      <c r="K468" s="300">
        <f t="shared" si="14"/>
        <v>22.62</v>
      </c>
      <c r="L468" s="300">
        <f>$K468*'Model Data Inputs'!$B$168</f>
        <v>2103.6600000000003</v>
      </c>
      <c r="M468" s="300">
        <f>$L468/'Model Data Inputs'!$B$169</f>
        <v>1.0476394422310757</v>
      </c>
      <c r="N468" s="300">
        <f>IF($G468="E",$M468*('Model Data Inputs'!$B$171-1),IF($G468="M",$M468*('Model Data Inputs'!$B$172-1),IF($G468="H",$M468*('Model Data Inputs'!$B$173-1),$M468*('Model Data Inputs'!$B$170-1))))</f>
        <v>1.5714591633466135</v>
      </c>
      <c r="O468" s="300">
        <f t="shared" si="15"/>
        <v>2.6190986055776895</v>
      </c>
    </row>
    <row r="469" spans="1:15" s="40" customFormat="1" x14ac:dyDescent="0.2">
      <c r="A469" s="20" t="s">
        <v>90</v>
      </c>
      <c r="B469" s="20" t="s">
        <v>91</v>
      </c>
      <c r="C469" s="20" t="s">
        <v>2102</v>
      </c>
      <c r="D469" s="20" t="s">
        <v>2103</v>
      </c>
      <c r="E469" s="298">
        <v>39465</v>
      </c>
      <c r="F469" s="138" t="s">
        <v>1159</v>
      </c>
      <c r="G469" s="138" t="s">
        <v>1198</v>
      </c>
      <c r="H469" s="299">
        <f>'School Level ADM'!S306</f>
        <v>334.57152380952385</v>
      </c>
      <c r="I469" s="300">
        <v>21.139399999999998</v>
      </c>
      <c r="J469" s="300">
        <f>IF(OR($E469&lt;='Model Data Inputs'!$B$175,$F469="T"),$I469,IF($G469="E",'Model Data Inputs'!$B$176+$H469/'Model Data Inputs'!$B$179,IF($G469="M",'Model Data Inputs'!$B$177+$H469/'Model Data Inputs'!$B$179,IF($G469="H",'Model Data Inputs'!$B$178+$H469/'Model Data Inputs'!$B$179,IF($G469="N/A",0,$I469)))))</f>
        <v>7.345715238095238</v>
      </c>
      <c r="K469" s="300">
        <f t="shared" si="14"/>
        <v>7.345715238095238</v>
      </c>
      <c r="L469" s="300">
        <f>$K469*'Model Data Inputs'!$B$168</f>
        <v>683.15151714285707</v>
      </c>
      <c r="M469" s="300">
        <f>$L469/'Model Data Inputs'!$B$169</f>
        <v>0.34021489897552643</v>
      </c>
      <c r="N469" s="300">
        <f>IF($G469="E",$M469*('Model Data Inputs'!$B$171-1),IF($G469="M",$M469*('Model Data Inputs'!$B$172-1),IF($G469="H",$M469*('Model Data Inputs'!$B$173-1),$M469*('Model Data Inputs'!$B$170-1))))</f>
        <v>0</v>
      </c>
      <c r="O469" s="300">
        <f t="shared" si="15"/>
        <v>0.34021489897552643</v>
      </c>
    </row>
    <row r="470" spans="1:15" s="40" customFormat="1" x14ac:dyDescent="0.2">
      <c r="A470" s="20" t="s">
        <v>90</v>
      </c>
      <c r="B470" s="20" t="s">
        <v>91</v>
      </c>
      <c r="C470" s="20" t="s">
        <v>2104</v>
      </c>
      <c r="D470" s="20" t="s">
        <v>2105</v>
      </c>
      <c r="E470" s="298">
        <v>40039</v>
      </c>
      <c r="F470" s="138" t="s">
        <v>1159</v>
      </c>
      <c r="G470" s="138">
        <v>0</v>
      </c>
      <c r="H470" s="299" t="s">
        <v>1191</v>
      </c>
      <c r="I470" s="300">
        <v>0</v>
      </c>
      <c r="J470" s="300">
        <f>IF(OR($E470&lt;='Model Data Inputs'!$B$175,$F470="T"),$I470,IF($G470="E",'Model Data Inputs'!$B$176+$H470/'Model Data Inputs'!$B$179,IF($G470="M",'Model Data Inputs'!$B$177+$H470/'Model Data Inputs'!$B$179,IF($G470="H",'Model Data Inputs'!$B$178+$H470/'Model Data Inputs'!$B$179,IF($G470="N/A",0,$I470)))))</f>
        <v>0</v>
      </c>
      <c r="K470" s="300">
        <f t="shared" si="14"/>
        <v>0</v>
      </c>
      <c r="L470" s="300">
        <f>$K470*'Model Data Inputs'!$B$168</f>
        <v>0</v>
      </c>
      <c r="M470" s="300">
        <f>$L470/'Model Data Inputs'!$B$169</f>
        <v>0</v>
      </c>
      <c r="N470" s="300">
        <f>IF($G470="E",$M470*('Model Data Inputs'!$B$171-1),IF($G470="M",$M470*('Model Data Inputs'!$B$172-1),IF($G470="H",$M470*('Model Data Inputs'!$B$173-1),$M470*('Model Data Inputs'!$B$170-1))))</f>
        <v>0</v>
      </c>
      <c r="O470" s="300">
        <f t="shared" si="15"/>
        <v>0</v>
      </c>
    </row>
    <row r="471" spans="1:15" s="40" customFormat="1" x14ac:dyDescent="0.2">
      <c r="A471" s="20" t="s">
        <v>90</v>
      </c>
      <c r="B471" s="20" t="s">
        <v>91</v>
      </c>
      <c r="C471" s="20" t="s">
        <v>2106</v>
      </c>
      <c r="D471" s="20" t="s">
        <v>2107</v>
      </c>
      <c r="E471" s="298">
        <v>40039</v>
      </c>
      <c r="F471" s="138" t="s">
        <v>1159</v>
      </c>
      <c r="G471" s="138">
        <v>0</v>
      </c>
      <c r="H471" s="299" t="s">
        <v>1191</v>
      </c>
      <c r="I471" s="300">
        <v>0</v>
      </c>
      <c r="J471" s="300">
        <f>IF(OR($E471&lt;='Model Data Inputs'!$B$175,$F471="T"),$I471,IF($G471="E",'Model Data Inputs'!$B$176+$H471/'Model Data Inputs'!$B$179,IF($G471="M",'Model Data Inputs'!$B$177+$H471/'Model Data Inputs'!$B$179,IF($G471="H",'Model Data Inputs'!$B$178+$H471/'Model Data Inputs'!$B$179,IF($G471="N/A",0,$I471)))))</f>
        <v>0</v>
      </c>
      <c r="K471" s="300">
        <f t="shared" si="14"/>
        <v>0</v>
      </c>
      <c r="L471" s="300">
        <f>$K471*'Model Data Inputs'!$B$168</f>
        <v>0</v>
      </c>
      <c r="M471" s="300">
        <f>$L471/'Model Data Inputs'!$B$169</f>
        <v>0</v>
      </c>
      <c r="N471" s="300">
        <f>IF($G471="E",$M471*('Model Data Inputs'!$B$171-1),IF($G471="M",$M471*('Model Data Inputs'!$B$172-1),IF($G471="H",$M471*('Model Data Inputs'!$B$173-1),$M471*('Model Data Inputs'!$B$170-1))))</f>
        <v>0</v>
      </c>
      <c r="O471" s="300">
        <f t="shared" si="15"/>
        <v>0</v>
      </c>
    </row>
    <row r="472" spans="1:15" s="40" customFormat="1" x14ac:dyDescent="0.2">
      <c r="A472" s="20" t="s">
        <v>90</v>
      </c>
      <c r="B472" s="20" t="s">
        <v>91</v>
      </c>
      <c r="C472" s="20" t="s">
        <v>2108</v>
      </c>
      <c r="D472" s="20" t="s">
        <v>2109</v>
      </c>
      <c r="E472" s="298">
        <v>39465</v>
      </c>
      <c r="F472" s="138" t="s">
        <v>1159</v>
      </c>
      <c r="G472" s="138" t="s">
        <v>1198</v>
      </c>
      <c r="H472" s="299">
        <f>'School Level ADM'!S305</f>
        <v>438.18766666666664</v>
      </c>
      <c r="I472" s="300">
        <v>16.61</v>
      </c>
      <c r="J472" s="300">
        <f>IF(OR($E472&lt;='Model Data Inputs'!$B$175,$F472="T"),$I472,IF($G472="E",'Model Data Inputs'!$B$176+$H472/'Model Data Inputs'!$B$179,IF($G472="M",'Model Data Inputs'!$B$177+$H472/'Model Data Inputs'!$B$179,IF($G472="H",'Model Data Inputs'!$B$178+$H472/'Model Data Inputs'!$B$179,IF($G472="N/A",0,$I472)))))</f>
        <v>8.3818766666666669</v>
      </c>
      <c r="K472" s="300">
        <f t="shared" si="14"/>
        <v>8.3818766666666669</v>
      </c>
      <c r="L472" s="300">
        <f>$K472*'Model Data Inputs'!$B$168</f>
        <v>779.51453000000004</v>
      </c>
      <c r="M472" s="300">
        <f>$L472/'Model Data Inputs'!$B$169</f>
        <v>0.38820444721115538</v>
      </c>
      <c r="N472" s="300">
        <f>IF($G472="E",$M472*('Model Data Inputs'!$B$171-1),IF($G472="M",$M472*('Model Data Inputs'!$B$172-1),IF($G472="H",$M472*('Model Data Inputs'!$B$173-1),$M472*('Model Data Inputs'!$B$170-1))))</f>
        <v>0</v>
      </c>
      <c r="O472" s="300">
        <f t="shared" si="15"/>
        <v>0.38820444721115538</v>
      </c>
    </row>
    <row r="473" spans="1:15" s="40" customFormat="1" x14ac:dyDescent="0.2">
      <c r="A473" s="20" t="s">
        <v>90</v>
      </c>
      <c r="B473" s="20" t="s">
        <v>91</v>
      </c>
      <c r="C473" s="20" t="s">
        <v>2110</v>
      </c>
      <c r="D473" s="20" t="s">
        <v>2111</v>
      </c>
      <c r="E473" s="298">
        <v>41253</v>
      </c>
      <c r="F473" s="138" t="s">
        <v>1159</v>
      </c>
      <c r="G473" s="138" t="s">
        <v>1228</v>
      </c>
      <c r="H473" s="299">
        <f>'School Level ADM'!S313</f>
        <v>90.953333333333333</v>
      </c>
      <c r="I473" s="300">
        <v>1.58</v>
      </c>
      <c r="J473" s="300">
        <f>IF(OR($E473&lt;='Model Data Inputs'!$B$175,$F473="T"),$I473,IF($G473="E",'Model Data Inputs'!$B$176+$H473/'Model Data Inputs'!$B$179,IF($G473="M",'Model Data Inputs'!$B$177+$H473/'Model Data Inputs'!$B$179,IF($G473="H",'Model Data Inputs'!$B$178+$H473/'Model Data Inputs'!$B$179,IF($G473="N/A",0,$I473)))))</f>
        <v>20.909533333333332</v>
      </c>
      <c r="K473" s="300">
        <f t="shared" si="14"/>
        <v>1.58</v>
      </c>
      <c r="L473" s="300">
        <f>$K473*'Model Data Inputs'!$B$168</f>
        <v>146.94</v>
      </c>
      <c r="M473" s="300">
        <f>$L473/'Model Data Inputs'!$B$169</f>
        <v>7.3177290836653391E-2</v>
      </c>
      <c r="N473" s="300">
        <f>IF($G473="E",$M473*('Model Data Inputs'!$B$171-1),IF($G473="M",$M473*('Model Data Inputs'!$B$172-1),IF($G473="H",$M473*('Model Data Inputs'!$B$173-1),$M473*('Model Data Inputs'!$B$170-1))))</f>
        <v>0.10976593625498009</v>
      </c>
      <c r="O473" s="300">
        <f t="shared" si="15"/>
        <v>0.18294322709163346</v>
      </c>
    </row>
    <row r="474" spans="1:15" s="40" customFormat="1" x14ac:dyDescent="0.2">
      <c r="A474" s="20" t="s">
        <v>90</v>
      </c>
      <c r="B474" s="20" t="s">
        <v>91</v>
      </c>
      <c r="C474" s="20" t="s">
        <v>2112</v>
      </c>
      <c r="D474" s="20" t="s">
        <v>2113</v>
      </c>
      <c r="E474" s="298">
        <v>41640</v>
      </c>
      <c r="F474" s="138" t="s">
        <v>1159</v>
      </c>
      <c r="G474" s="138" t="s">
        <v>1198</v>
      </c>
      <c r="H474" s="299">
        <f>'School Level ADM'!S307</f>
        <v>392.51919047619049</v>
      </c>
      <c r="I474" s="300">
        <v>20</v>
      </c>
      <c r="J474" s="300">
        <f>IF(OR($E474&lt;='Model Data Inputs'!$B$175,$F474="T"),$I474,IF($G474="E",'Model Data Inputs'!$B$176+$H474/'Model Data Inputs'!$B$179,IF($G474="M",'Model Data Inputs'!$B$177+$H474/'Model Data Inputs'!$B$179,IF($G474="H",'Model Data Inputs'!$B$178+$H474/'Model Data Inputs'!$B$179,IF($G474="N/A",0,$I474)))))</f>
        <v>7.9251919047619044</v>
      </c>
      <c r="K474" s="300">
        <f t="shared" si="14"/>
        <v>7.9251919047619044</v>
      </c>
      <c r="L474" s="300">
        <f>$K474*'Model Data Inputs'!$B$168</f>
        <v>737.04284714285711</v>
      </c>
      <c r="M474" s="300">
        <f>$L474/'Model Data Inputs'!$B$169</f>
        <v>0.36705321072851449</v>
      </c>
      <c r="N474" s="300">
        <f>IF($G474="E",$M474*('Model Data Inputs'!$B$171-1),IF($G474="M",$M474*('Model Data Inputs'!$B$172-1),IF($G474="H",$M474*('Model Data Inputs'!$B$173-1),$M474*('Model Data Inputs'!$B$170-1))))</f>
        <v>0</v>
      </c>
      <c r="O474" s="300">
        <f t="shared" si="15"/>
        <v>0.36705321072851449</v>
      </c>
    </row>
    <row r="475" spans="1:15" s="40" customFormat="1" x14ac:dyDescent="0.2">
      <c r="A475" s="20" t="s">
        <v>90</v>
      </c>
      <c r="B475" s="20" t="s">
        <v>91</v>
      </c>
      <c r="C475" s="20" t="s">
        <v>2114</v>
      </c>
      <c r="D475" s="20" t="s">
        <v>2115</v>
      </c>
      <c r="E475" s="298">
        <v>9041</v>
      </c>
      <c r="F475" s="138" t="s">
        <v>1159</v>
      </c>
      <c r="G475" s="138" t="s">
        <v>1191</v>
      </c>
      <c r="H475" s="299" t="s">
        <v>1191</v>
      </c>
      <c r="I475" s="300">
        <v>12.4</v>
      </c>
      <c r="J475" s="300">
        <f>IF(OR($E475&lt;='Model Data Inputs'!$B$175,$F475="T"),$I475,IF($G475="E",'Model Data Inputs'!$B$176+$H475/'Model Data Inputs'!$B$179,IF($G475="M",'Model Data Inputs'!$B$177+$H475/'Model Data Inputs'!$B$179,IF($G475="H",'Model Data Inputs'!$B$178+$H475/'Model Data Inputs'!$B$179,IF($G475="N/A",0,$I475)))))</f>
        <v>12.4</v>
      </c>
      <c r="K475" s="300">
        <f t="shared" si="14"/>
        <v>0</v>
      </c>
      <c r="L475" s="300">
        <f>$K475*'Model Data Inputs'!$B$168</f>
        <v>0</v>
      </c>
      <c r="M475" s="300">
        <f>$L475/'Model Data Inputs'!$B$169</f>
        <v>0</v>
      </c>
      <c r="N475" s="300">
        <f>IF($G475="E",$M475*('Model Data Inputs'!$B$171-1),IF($G475="M",$M475*('Model Data Inputs'!$B$172-1),IF($G475="H",$M475*('Model Data Inputs'!$B$173-1),$M475*('Model Data Inputs'!$B$170-1))))</f>
        <v>0</v>
      </c>
      <c r="O475" s="300">
        <f t="shared" si="15"/>
        <v>0</v>
      </c>
    </row>
    <row r="476" spans="1:15" s="40" customFormat="1" x14ac:dyDescent="0.2">
      <c r="A476" s="20" t="s">
        <v>90</v>
      </c>
      <c r="B476" s="20" t="s">
        <v>91</v>
      </c>
      <c r="C476" s="20" t="s">
        <v>2116</v>
      </c>
      <c r="D476" s="20" t="s">
        <v>2117</v>
      </c>
      <c r="E476" s="298">
        <v>35612</v>
      </c>
      <c r="F476" s="138" t="s">
        <v>1159</v>
      </c>
      <c r="G476" s="138" t="s">
        <v>1191</v>
      </c>
      <c r="H476" s="299" t="s">
        <v>1191</v>
      </c>
      <c r="I476" s="300">
        <v>10.199999999999999</v>
      </c>
      <c r="J476" s="300">
        <f>IF(OR($E476&lt;='Model Data Inputs'!$B$175,$F476="T"),$I476,IF($G476="E",'Model Data Inputs'!$B$176+$H476/'Model Data Inputs'!$B$179,IF($G476="M",'Model Data Inputs'!$B$177+$H476/'Model Data Inputs'!$B$179,IF($G476="H",'Model Data Inputs'!$B$178+$H476/'Model Data Inputs'!$B$179,IF($G476="N/A",0,$I476)))))</f>
        <v>10.199999999999999</v>
      </c>
      <c r="K476" s="300">
        <f t="shared" si="14"/>
        <v>0</v>
      </c>
      <c r="L476" s="300">
        <f>$K476*'Model Data Inputs'!$B$168</f>
        <v>0</v>
      </c>
      <c r="M476" s="300">
        <f>$L476/'Model Data Inputs'!$B$169</f>
        <v>0</v>
      </c>
      <c r="N476" s="300">
        <f>IF($G476="E",$M476*('Model Data Inputs'!$B$171-1),IF($G476="M",$M476*('Model Data Inputs'!$B$172-1),IF($G476="H",$M476*('Model Data Inputs'!$B$173-1),$M476*('Model Data Inputs'!$B$170-1))))</f>
        <v>0</v>
      </c>
      <c r="O476" s="300">
        <f t="shared" si="15"/>
        <v>0</v>
      </c>
    </row>
    <row r="477" spans="1:15" s="40" customFormat="1" x14ac:dyDescent="0.2">
      <c r="A477" s="20" t="s">
        <v>90</v>
      </c>
      <c r="B477" s="20" t="s">
        <v>91</v>
      </c>
      <c r="C477" s="20" t="s">
        <v>2118</v>
      </c>
      <c r="D477" s="20" t="s">
        <v>2119</v>
      </c>
      <c r="E477" s="298">
        <v>42079</v>
      </c>
      <c r="F477" s="138" t="s">
        <v>1159</v>
      </c>
      <c r="G477" s="138" t="s">
        <v>1191</v>
      </c>
      <c r="H477" s="299" t="s">
        <v>1191</v>
      </c>
      <c r="I477" s="300">
        <v>66.720600000000005</v>
      </c>
      <c r="J477" s="300">
        <f>IF(OR($E477&lt;='Model Data Inputs'!$B$175,$F477="T"),$I477,IF($G477="E",'Model Data Inputs'!$B$176+$H477/'Model Data Inputs'!$B$179,IF($G477="M",'Model Data Inputs'!$B$177+$H477/'Model Data Inputs'!$B$179,IF($G477="H",'Model Data Inputs'!$B$178+$H477/'Model Data Inputs'!$B$179,IF($G477="N/A",0,$I477)))))</f>
        <v>0</v>
      </c>
      <c r="K477" s="300">
        <f t="shared" si="14"/>
        <v>0</v>
      </c>
      <c r="L477" s="300">
        <f>$K477*'Model Data Inputs'!$B$168</f>
        <v>0</v>
      </c>
      <c r="M477" s="300">
        <f>$L477/'Model Data Inputs'!$B$169</f>
        <v>0</v>
      </c>
      <c r="N477" s="300">
        <f>IF($G477="E",$M477*('Model Data Inputs'!$B$171-1),IF($G477="M",$M477*('Model Data Inputs'!$B$172-1),IF($G477="H",$M477*('Model Data Inputs'!$B$173-1),$M477*('Model Data Inputs'!$B$170-1))))</f>
        <v>0</v>
      </c>
      <c r="O477" s="300">
        <f t="shared" si="15"/>
        <v>0</v>
      </c>
    </row>
    <row r="478" spans="1:15" s="40" customFormat="1" x14ac:dyDescent="0.2">
      <c r="A478" s="20" t="s">
        <v>92</v>
      </c>
      <c r="B478" s="20" t="s">
        <v>93</v>
      </c>
      <c r="C478" s="20" t="s">
        <v>2120</v>
      </c>
      <c r="D478" s="20" t="s">
        <v>2075</v>
      </c>
      <c r="E478" s="298">
        <v>25776</v>
      </c>
      <c r="F478" s="138" t="s">
        <v>1159</v>
      </c>
      <c r="G478" s="138">
        <v>0</v>
      </c>
      <c r="H478" s="299" t="s">
        <v>1191</v>
      </c>
      <c r="I478" s="300">
        <v>0</v>
      </c>
      <c r="J478" s="300">
        <f>IF(OR($E478&lt;='Model Data Inputs'!$B$175,$F478="T"),$I478,IF($G478="E",'Model Data Inputs'!$B$176+$H478/'Model Data Inputs'!$B$179,IF($G478="M",'Model Data Inputs'!$B$177+$H478/'Model Data Inputs'!$B$179,IF($G478="H",'Model Data Inputs'!$B$178+$H478/'Model Data Inputs'!$B$179,IF($G478="N/A",0,$I478)))))</f>
        <v>0</v>
      </c>
      <c r="K478" s="300">
        <f t="shared" si="14"/>
        <v>0</v>
      </c>
      <c r="L478" s="300">
        <f>$K478*'Model Data Inputs'!$B$168</f>
        <v>0</v>
      </c>
      <c r="M478" s="300">
        <f>$L478/'Model Data Inputs'!$B$169</f>
        <v>0</v>
      </c>
      <c r="N478" s="300">
        <f>IF($G478="E",$M478*('Model Data Inputs'!$B$171-1),IF($G478="M",$M478*('Model Data Inputs'!$B$172-1),IF($G478="H",$M478*('Model Data Inputs'!$B$173-1),$M478*('Model Data Inputs'!$B$170-1))))</f>
        <v>0</v>
      </c>
      <c r="O478" s="300">
        <f t="shared" si="15"/>
        <v>0</v>
      </c>
    </row>
    <row r="479" spans="1:15" s="40" customFormat="1" x14ac:dyDescent="0.2">
      <c r="A479" s="20" t="s">
        <v>92</v>
      </c>
      <c r="B479" s="20" t="s">
        <v>93</v>
      </c>
      <c r="C479" s="20" t="s">
        <v>2121</v>
      </c>
      <c r="D479" s="20" t="s">
        <v>2122</v>
      </c>
      <c r="E479" s="298">
        <v>35612</v>
      </c>
      <c r="F479" s="138" t="s">
        <v>1159</v>
      </c>
      <c r="G479" s="138" t="s">
        <v>1198</v>
      </c>
      <c r="H479" s="299">
        <f>'School Level ADM'!S314</f>
        <v>3.2943333333333333</v>
      </c>
      <c r="I479" s="300">
        <v>10</v>
      </c>
      <c r="J479" s="300">
        <f>IF(OR($E479&lt;='Model Data Inputs'!$B$175,$F479="T"),$I479,IF($G479="E",'Model Data Inputs'!$B$176+$H479/'Model Data Inputs'!$B$179,IF($G479="M",'Model Data Inputs'!$B$177+$H479/'Model Data Inputs'!$B$179,IF($G479="H",'Model Data Inputs'!$B$178+$H479/'Model Data Inputs'!$B$179,IF($G479="N/A",0,$I479)))))</f>
        <v>10</v>
      </c>
      <c r="K479" s="300">
        <f t="shared" si="14"/>
        <v>10</v>
      </c>
      <c r="L479" s="300">
        <f>$K479*'Model Data Inputs'!$B$168</f>
        <v>930</v>
      </c>
      <c r="M479" s="300">
        <f>$L479/'Model Data Inputs'!$B$169</f>
        <v>0.46314741035856571</v>
      </c>
      <c r="N479" s="300">
        <f>IF($G479="E",$M479*('Model Data Inputs'!$B$171-1),IF($G479="M",$M479*('Model Data Inputs'!$B$172-1),IF($G479="H",$M479*('Model Data Inputs'!$B$173-1),$M479*('Model Data Inputs'!$B$170-1))))</f>
        <v>0</v>
      </c>
      <c r="O479" s="300">
        <f t="shared" si="15"/>
        <v>0.46314741035856571</v>
      </c>
    </row>
    <row r="480" spans="1:15" s="40" customFormat="1" x14ac:dyDescent="0.2">
      <c r="A480" s="20" t="s">
        <v>92</v>
      </c>
      <c r="B480" s="20" t="s">
        <v>93</v>
      </c>
      <c r="C480" s="20" t="s">
        <v>2123</v>
      </c>
      <c r="D480" s="20" t="s">
        <v>2124</v>
      </c>
      <c r="E480" s="298">
        <v>27491</v>
      </c>
      <c r="F480" s="138" t="s">
        <v>1159</v>
      </c>
      <c r="G480" s="138" t="s">
        <v>1198</v>
      </c>
      <c r="H480" s="299">
        <f>'School Level ADM'!S315</f>
        <v>256.57466666666664</v>
      </c>
      <c r="I480" s="300">
        <v>6</v>
      </c>
      <c r="J480" s="300">
        <f>IF(OR($E480&lt;='Model Data Inputs'!$B$175,$F480="T"),$I480,IF($G480="E",'Model Data Inputs'!$B$176+$H480/'Model Data Inputs'!$B$179,IF($G480="M",'Model Data Inputs'!$B$177+$H480/'Model Data Inputs'!$B$179,IF($G480="H",'Model Data Inputs'!$B$178+$H480/'Model Data Inputs'!$B$179,IF($G480="N/A",0,$I480)))))</f>
        <v>6</v>
      </c>
      <c r="K480" s="300">
        <f t="shared" si="14"/>
        <v>6</v>
      </c>
      <c r="L480" s="300">
        <f>$K480*'Model Data Inputs'!$B$168</f>
        <v>558</v>
      </c>
      <c r="M480" s="300">
        <f>$L480/'Model Data Inputs'!$B$169</f>
        <v>0.27788844621513942</v>
      </c>
      <c r="N480" s="300">
        <f>IF($G480="E",$M480*('Model Data Inputs'!$B$171-1),IF($G480="M",$M480*('Model Data Inputs'!$B$172-1),IF($G480="H",$M480*('Model Data Inputs'!$B$173-1),$M480*('Model Data Inputs'!$B$170-1))))</f>
        <v>0</v>
      </c>
      <c r="O480" s="300">
        <f t="shared" si="15"/>
        <v>0.27788844621513942</v>
      </c>
    </row>
    <row r="481" spans="1:15" s="40" customFormat="1" x14ac:dyDescent="0.2">
      <c r="A481" s="20" t="s">
        <v>92</v>
      </c>
      <c r="B481" s="20" t="s">
        <v>93</v>
      </c>
      <c r="C481" s="20" t="s">
        <v>2125</v>
      </c>
      <c r="D481" s="20" t="s">
        <v>2126</v>
      </c>
      <c r="E481" s="298">
        <v>30228</v>
      </c>
      <c r="F481" s="138" t="s">
        <v>1159</v>
      </c>
      <c r="G481" s="138" t="s">
        <v>1205</v>
      </c>
      <c r="H481" s="299">
        <f>'School Level ADM'!S316</f>
        <v>17.387000000000004</v>
      </c>
      <c r="I481" s="300">
        <v>2.61</v>
      </c>
      <c r="J481" s="300">
        <f>IF(OR($E481&lt;='Model Data Inputs'!$B$175,$F481="T"),$I481,IF($G481="E",'Model Data Inputs'!$B$176+$H481/'Model Data Inputs'!$B$179,IF($G481="M",'Model Data Inputs'!$B$177+$H481/'Model Data Inputs'!$B$179,IF($G481="H",'Model Data Inputs'!$B$178+$H481/'Model Data Inputs'!$B$179,IF($G481="N/A",0,$I481)))))</f>
        <v>2.61</v>
      </c>
      <c r="K481" s="300">
        <f t="shared" si="14"/>
        <v>2.61</v>
      </c>
      <c r="L481" s="300">
        <f>$K481*'Model Data Inputs'!$B$168</f>
        <v>242.73</v>
      </c>
      <c r="M481" s="300">
        <f>$L481/'Model Data Inputs'!$B$169</f>
        <v>0.12088147410358566</v>
      </c>
      <c r="N481" s="300">
        <f>IF($G481="E",$M481*('Model Data Inputs'!$B$171-1),IF($G481="M",$M481*('Model Data Inputs'!$B$172-1),IF($G481="H",$M481*('Model Data Inputs'!$B$173-1),$M481*('Model Data Inputs'!$B$170-1))))</f>
        <v>6.0440737051792828E-2</v>
      </c>
      <c r="O481" s="300">
        <f t="shared" si="15"/>
        <v>0.1813222111553785</v>
      </c>
    </row>
    <row r="482" spans="1:15" s="40" customFormat="1" x14ac:dyDescent="0.2">
      <c r="A482" s="20" t="s">
        <v>92</v>
      </c>
      <c r="B482" s="20" t="s">
        <v>93</v>
      </c>
      <c r="C482" s="20" t="s">
        <v>2127</v>
      </c>
      <c r="D482" s="20" t="s">
        <v>2128</v>
      </c>
      <c r="E482" s="298">
        <v>35612</v>
      </c>
      <c r="F482" s="138" t="s">
        <v>1159</v>
      </c>
      <c r="G482" s="138" t="s">
        <v>1205</v>
      </c>
      <c r="H482" s="299">
        <f>'School Level ADM'!S317</f>
        <v>1.5653333333333332</v>
      </c>
      <c r="I482" s="300">
        <v>1</v>
      </c>
      <c r="J482" s="300">
        <f>IF(OR($E482&lt;='Model Data Inputs'!$B$175,$F482="T"),$I482,IF($G482="E",'Model Data Inputs'!$B$176+$H482/'Model Data Inputs'!$B$179,IF($G482="M",'Model Data Inputs'!$B$177+$H482/'Model Data Inputs'!$B$179,IF($G482="H",'Model Data Inputs'!$B$178+$H482/'Model Data Inputs'!$B$179,IF($G482="N/A",0,$I482)))))</f>
        <v>1</v>
      </c>
      <c r="K482" s="300">
        <f t="shared" si="14"/>
        <v>1</v>
      </c>
      <c r="L482" s="300">
        <f>$K482*'Model Data Inputs'!$B$168</f>
        <v>93</v>
      </c>
      <c r="M482" s="300">
        <f>$L482/'Model Data Inputs'!$B$169</f>
        <v>4.6314741035856574E-2</v>
      </c>
      <c r="N482" s="300">
        <f>IF($G482="E",$M482*('Model Data Inputs'!$B$171-1),IF($G482="M",$M482*('Model Data Inputs'!$B$172-1),IF($G482="H",$M482*('Model Data Inputs'!$B$173-1),$M482*('Model Data Inputs'!$B$170-1))))</f>
        <v>2.3157370517928287E-2</v>
      </c>
      <c r="O482" s="300">
        <f t="shared" si="15"/>
        <v>6.9472111553784854E-2</v>
      </c>
    </row>
    <row r="483" spans="1:15" s="40" customFormat="1" x14ac:dyDescent="0.2">
      <c r="A483" s="20" t="s">
        <v>92</v>
      </c>
      <c r="B483" s="20" t="s">
        <v>93</v>
      </c>
      <c r="C483" s="20" t="s">
        <v>2129</v>
      </c>
      <c r="D483" s="20" t="s">
        <v>2130</v>
      </c>
      <c r="E483" s="298">
        <v>19099</v>
      </c>
      <c r="F483" s="138" t="s">
        <v>1159</v>
      </c>
      <c r="G483" s="138" t="s">
        <v>1198</v>
      </c>
      <c r="H483" s="299">
        <f>'School Level ADM'!S318</f>
        <v>207.09133333333332</v>
      </c>
      <c r="I483" s="300">
        <v>4.0199999999999996</v>
      </c>
      <c r="J483" s="300">
        <f>IF(OR($E483&lt;='Model Data Inputs'!$B$175,$F483="T"),$I483,IF($G483="E",'Model Data Inputs'!$B$176+$H483/'Model Data Inputs'!$B$179,IF($G483="M",'Model Data Inputs'!$B$177+$H483/'Model Data Inputs'!$B$179,IF($G483="H",'Model Data Inputs'!$B$178+$H483/'Model Data Inputs'!$B$179,IF($G483="N/A",0,$I483)))))</f>
        <v>4.0199999999999996</v>
      </c>
      <c r="K483" s="300">
        <f t="shared" si="14"/>
        <v>4.0199999999999996</v>
      </c>
      <c r="L483" s="300">
        <f>$K483*'Model Data Inputs'!$B$168</f>
        <v>373.85999999999996</v>
      </c>
      <c r="M483" s="300">
        <f>$L483/'Model Data Inputs'!$B$169</f>
        <v>0.1861852589641434</v>
      </c>
      <c r="N483" s="300">
        <f>IF($G483="E",$M483*('Model Data Inputs'!$B$171-1),IF($G483="M",$M483*('Model Data Inputs'!$B$172-1),IF($G483="H",$M483*('Model Data Inputs'!$B$173-1),$M483*('Model Data Inputs'!$B$170-1))))</f>
        <v>0</v>
      </c>
      <c r="O483" s="300">
        <f t="shared" si="15"/>
        <v>0.1861852589641434</v>
      </c>
    </row>
    <row r="484" spans="1:15" s="40" customFormat="1" x14ac:dyDescent="0.2">
      <c r="A484" s="20" t="s">
        <v>92</v>
      </c>
      <c r="B484" s="20" t="s">
        <v>93</v>
      </c>
      <c r="C484" s="20" t="s">
        <v>2131</v>
      </c>
      <c r="D484" s="20" t="s">
        <v>2132</v>
      </c>
      <c r="E484" s="298">
        <v>25258</v>
      </c>
      <c r="F484" s="138" t="s">
        <v>1159</v>
      </c>
      <c r="G484" s="138">
        <v>0</v>
      </c>
      <c r="H484" s="299" t="s">
        <v>1191</v>
      </c>
      <c r="I484" s="300">
        <v>10</v>
      </c>
      <c r="J484" s="300">
        <f>IF(OR($E484&lt;='Model Data Inputs'!$B$175,$F484="T"),$I484,IF($G484="E",'Model Data Inputs'!$B$176+$H484/'Model Data Inputs'!$B$179,IF($G484="M",'Model Data Inputs'!$B$177+$H484/'Model Data Inputs'!$B$179,IF($G484="H",'Model Data Inputs'!$B$178+$H484/'Model Data Inputs'!$B$179,IF($G484="N/A",0,$I484)))))</f>
        <v>10</v>
      </c>
      <c r="K484" s="300">
        <f t="shared" si="14"/>
        <v>0</v>
      </c>
      <c r="L484" s="300">
        <f>$K484*'Model Data Inputs'!$B$168</f>
        <v>0</v>
      </c>
      <c r="M484" s="300">
        <f>$L484/'Model Data Inputs'!$B$169</f>
        <v>0</v>
      </c>
      <c r="N484" s="300">
        <f>IF($G484="E",$M484*('Model Data Inputs'!$B$171-1),IF($G484="M",$M484*('Model Data Inputs'!$B$172-1),IF($G484="H",$M484*('Model Data Inputs'!$B$173-1),$M484*('Model Data Inputs'!$B$170-1))))</f>
        <v>0</v>
      </c>
      <c r="O484" s="300">
        <f t="shared" si="15"/>
        <v>0</v>
      </c>
    </row>
    <row r="485" spans="1:15" s="40" customFormat="1" x14ac:dyDescent="0.2">
      <c r="A485" s="20" t="s">
        <v>92</v>
      </c>
      <c r="B485" s="20" t="s">
        <v>93</v>
      </c>
      <c r="C485" s="20" t="s">
        <v>2133</v>
      </c>
      <c r="D485" s="20" t="s">
        <v>2134</v>
      </c>
      <c r="E485" s="298">
        <v>31530</v>
      </c>
      <c r="F485" s="138" t="s">
        <v>1159</v>
      </c>
      <c r="G485" s="138" t="s">
        <v>1198</v>
      </c>
      <c r="H485" s="299">
        <f>'School Level ADM'!S319</f>
        <v>237.21499999999997</v>
      </c>
      <c r="I485" s="300">
        <v>5.4</v>
      </c>
      <c r="J485" s="300">
        <f>IF(OR($E485&lt;='Model Data Inputs'!$B$175,$F485="T"),$I485,IF($G485="E",'Model Data Inputs'!$B$176+$H485/'Model Data Inputs'!$B$179,IF($G485="M",'Model Data Inputs'!$B$177+$H485/'Model Data Inputs'!$B$179,IF($G485="H",'Model Data Inputs'!$B$178+$H485/'Model Data Inputs'!$B$179,IF($G485="N/A",0,$I485)))))</f>
        <v>5.4</v>
      </c>
      <c r="K485" s="300">
        <f t="shared" si="14"/>
        <v>5.4</v>
      </c>
      <c r="L485" s="300">
        <f>$K485*'Model Data Inputs'!$B$168</f>
        <v>502.20000000000005</v>
      </c>
      <c r="M485" s="300">
        <f>$L485/'Model Data Inputs'!$B$169</f>
        <v>0.25009960159362554</v>
      </c>
      <c r="N485" s="300">
        <f>IF($G485="E",$M485*('Model Data Inputs'!$B$171-1),IF($G485="M",$M485*('Model Data Inputs'!$B$172-1),IF($G485="H",$M485*('Model Data Inputs'!$B$173-1),$M485*('Model Data Inputs'!$B$170-1))))</f>
        <v>0</v>
      </c>
      <c r="O485" s="300">
        <f t="shared" si="15"/>
        <v>0.25009960159362554</v>
      </c>
    </row>
    <row r="486" spans="1:15" s="40" customFormat="1" x14ac:dyDescent="0.2">
      <c r="A486" s="20" t="s">
        <v>92</v>
      </c>
      <c r="B486" s="20" t="s">
        <v>93</v>
      </c>
      <c r="C486" s="20" t="s">
        <v>2135</v>
      </c>
      <c r="D486" s="20" t="s">
        <v>2136</v>
      </c>
      <c r="E486" s="298">
        <v>29074</v>
      </c>
      <c r="F486" s="138" t="s">
        <v>1159</v>
      </c>
      <c r="G486" s="138" t="s">
        <v>1198</v>
      </c>
      <c r="H486" s="299">
        <f>'School Level ADM'!S320</f>
        <v>302.39499999999998</v>
      </c>
      <c r="I486" s="300">
        <v>8.09</v>
      </c>
      <c r="J486" s="300">
        <f>IF(OR($E486&lt;='Model Data Inputs'!$B$175,$F486="T"),$I486,IF($G486="E",'Model Data Inputs'!$B$176+$H486/'Model Data Inputs'!$B$179,IF($G486="M",'Model Data Inputs'!$B$177+$H486/'Model Data Inputs'!$B$179,IF($G486="H",'Model Data Inputs'!$B$178+$H486/'Model Data Inputs'!$B$179,IF($G486="N/A",0,$I486)))))</f>
        <v>8.09</v>
      </c>
      <c r="K486" s="300">
        <f t="shared" si="14"/>
        <v>8.09</v>
      </c>
      <c r="L486" s="300">
        <f>$K486*'Model Data Inputs'!$B$168</f>
        <v>752.37</v>
      </c>
      <c r="M486" s="300">
        <f>$L486/'Model Data Inputs'!$B$169</f>
        <v>0.37468625498007968</v>
      </c>
      <c r="N486" s="300">
        <f>IF($G486="E",$M486*('Model Data Inputs'!$B$171-1),IF($G486="M",$M486*('Model Data Inputs'!$B$172-1),IF($G486="H",$M486*('Model Data Inputs'!$B$173-1),$M486*('Model Data Inputs'!$B$170-1))))</f>
        <v>0</v>
      </c>
      <c r="O486" s="300">
        <f t="shared" si="15"/>
        <v>0.37468625498007968</v>
      </c>
    </row>
    <row r="487" spans="1:15" s="40" customFormat="1" x14ac:dyDescent="0.2">
      <c r="A487" s="20" t="s">
        <v>92</v>
      </c>
      <c r="B487" s="20" t="s">
        <v>93</v>
      </c>
      <c r="C487" s="20" t="s">
        <v>2137</v>
      </c>
      <c r="D487" s="20" t="s">
        <v>2138</v>
      </c>
      <c r="E487" s="298">
        <v>25776</v>
      </c>
      <c r="F487" s="138" t="s">
        <v>1159</v>
      </c>
      <c r="G487" s="138" t="s">
        <v>1205</v>
      </c>
      <c r="H487" s="299">
        <f>'School Level ADM'!S322</f>
        <v>395.8846666666667</v>
      </c>
      <c r="I487" s="300">
        <v>22.69</v>
      </c>
      <c r="J487" s="300">
        <f>IF(OR($E487&lt;='Model Data Inputs'!$B$175,$F487="T"),$I487,IF($G487="E",'Model Data Inputs'!$B$176+$H487/'Model Data Inputs'!$B$179,IF($G487="M",'Model Data Inputs'!$B$177+$H487/'Model Data Inputs'!$B$179,IF($G487="H",'Model Data Inputs'!$B$178+$H487/'Model Data Inputs'!$B$179,IF($G487="N/A",0,$I487)))))</f>
        <v>22.69</v>
      </c>
      <c r="K487" s="300">
        <f t="shared" si="14"/>
        <v>22.69</v>
      </c>
      <c r="L487" s="300">
        <f>$K487*'Model Data Inputs'!$B$168</f>
        <v>2110.17</v>
      </c>
      <c r="M487" s="300">
        <f>$L487/'Model Data Inputs'!$B$169</f>
        <v>1.0508814741035857</v>
      </c>
      <c r="N487" s="300">
        <f>IF($G487="E",$M487*('Model Data Inputs'!$B$171-1),IF($G487="M",$M487*('Model Data Inputs'!$B$172-1),IF($G487="H",$M487*('Model Data Inputs'!$B$173-1),$M487*('Model Data Inputs'!$B$170-1))))</f>
        <v>0.52544073705179284</v>
      </c>
      <c r="O487" s="300">
        <f t="shared" si="15"/>
        <v>1.5763222111553785</v>
      </c>
    </row>
    <row r="488" spans="1:15" s="40" customFormat="1" x14ac:dyDescent="0.2">
      <c r="A488" s="20" t="s">
        <v>92</v>
      </c>
      <c r="B488" s="20" t="s">
        <v>93</v>
      </c>
      <c r="C488" s="20" t="s">
        <v>2139</v>
      </c>
      <c r="D488" s="20" t="s">
        <v>2140</v>
      </c>
      <c r="E488" s="298">
        <v>25776</v>
      </c>
      <c r="F488" s="138" t="s">
        <v>1159</v>
      </c>
      <c r="G488" s="138" t="s">
        <v>1198</v>
      </c>
      <c r="H488" s="299">
        <f>'School Level ADM'!S321</f>
        <v>388.65499999999997</v>
      </c>
      <c r="I488" s="300">
        <v>26.791</v>
      </c>
      <c r="J488" s="300">
        <f>IF(OR($E488&lt;='Model Data Inputs'!$B$175,$F488="T"),$I488,IF($G488="E",'Model Data Inputs'!$B$176+$H488/'Model Data Inputs'!$B$179,IF($G488="M",'Model Data Inputs'!$B$177+$H488/'Model Data Inputs'!$B$179,IF($G488="H",'Model Data Inputs'!$B$178+$H488/'Model Data Inputs'!$B$179,IF($G488="N/A",0,$I488)))))</f>
        <v>26.791</v>
      </c>
      <c r="K488" s="300">
        <f t="shared" si="14"/>
        <v>26.791</v>
      </c>
      <c r="L488" s="300">
        <f>$K488*'Model Data Inputs'!$B$168</f>
        <v>2491.5630000000001</v>
      </c>
      <c r="M488" s="300">
        <f>$L488/'Model Data Inputs'!$B$169</f>
        <v>1.2408182270916335</v>
      </c>
      <c r="N488" s="300">
        <f>IF($G488="E",$M488*('Model Data Inputs'!$B$171-1),IF($G488="M",$M488*('Model Data Inputs'!$B$172-1),IF($G488="H",$M488*('Model Data Inputs'!$B$173-1),$M488*('Model Data Inputs'!$B$170-1))))</f>
        <v>0</v>
      </c>
      <c r="O488" s="300">
        <f t="shared" si="15"/>
        <v>1.2408182270916335</v>
      </c>
    </row>
    <row r="489" spans="1:15" s="40" customFormat="1" x14ac:dyDescent="0.2">
      <c r="A489" s="20" t="s">
        <v>92</v>
      </c>
      <c r="B489" s="20" t="s">
        <v>93</v>
      </c>
      <c r="C489" s="20" t="s">
        <v>2141</v>
      </c>
      <c r="D489" s="20" t="s">
        <v>2142</v>
      </c>
      <c r="E489" s="298">
        <v>34097</v>
      </c>
      <c r="F489" s="138" t="s">
        <v>1159</v>
      </c>
      <c r="G489" s="138" t="s">
        <v>1228</v>
      </c>
      <c r="H489" s="299">
        <f>'School Level ADM'!S323</f>
        <v>764.18633333333332</v>
      </c>
      <c r="I489" s="300">
        <v>54.9</v>
      </c>
      <c r="J489" s="300">
        <f>IF(OR($E489&lt;='Model Data Inputs'!$B$175,$F489="T"),$I489,IF($G489="E",'Model Data Inputs'!$B$176+$H489/'Model Data Inputs'!$B$179,IF($G489="M",'Model Data Inputs'!$B$177+$H489/'Model Data Inputs'!$B$179,IF($G489="H",'Model Data Inputs'!$B$178+$H489/'Model Data Inputs'!$B$179,IF($G489="N/A",0,$I489)))))</f>
        <v>54.9</v>
      </c>
      <c r="K489" s="300">
        <f t="shared" si="14"/>
        <v>54.9</v>
      </c>
      <c r="L489" s="300">
        <f>$K489*'Model Data Inputs'!$B$168</f>
        <v>5105.7</v>
      </c>
      <c r="M489" s="300">
        <f>$L489/'Model Data Inputs'!$B$169</f>
        <v>2.5426792828685256</v>
      </c>
      <c r="N489" s="300">
        <f>IF($G489="E",$M489*('Model Data Inputs'!$B$171-1),IF($G489="M",$M489*('Model Data Inputs'!$B$172-1),IF($G489="H",$M489*('Model Data Inputs'!$B$173-1),$M489*('Model Data Inputs'!$B$170-1))))</f>
        <v>3.8140189243027884</v>
      </c>
      <c r="O489" s="300">
        <f t="shared" si="15"/>
        <v>6.3566982071713145</v>
      </c>
    </row>
    <row r="490" spans="1:15" s="40" customFormat="1" x14ac:dyDescent="0.2">
      <c r="A490" s="20" t="s">
        <v>92</v>
      </c>
      <c r="B490" s="20" t="s">
        <v>93</v>
      </c>
      <c r="C490" s="20" t="s">
        <v>2143</v>
      </c>
      <c r="D490" s="20" t="s">
        <v>2144</v>
      </c>
      <c r="E490" s="298">
        <v>25315</v>
      </c>
      <c r="F490" s="138" t="s">
        <v>1159</v>
      </c>
      <c r="G490" s="138">
        <v>0</v>
      </c>
      <c r="H490" s="299" t="s">
        <v>1191</v>
      </c>
      <c r="I490" s="300">
        <v>3.9777</v>
      </c>
      <c r="J490" s="300">
        <f>IF(OR($E490&lt;='Model Data Inputs'!$B$175,$F490="T"),$I490,IF($G490="E",'Model Data Inputs'!$B$176+$H490/'Model Data Inputs'!$B$179,IF($G490="M",'Model Data Inputs'!$B$177+$H490/'Model Data Inputs'!$B$179,IF($G490="H",'Model Data Inputs'!$B$178+$H490/'Model Data Inputs'!$B$179,IF($G490="N/A",0,$I490)))))</f>
        <v>3.9777</v>
      </c>
      <c r="K490" s="300">
        <f t="shared" si="14"/>
        <v>0</v>
      </c>
      <c r="L490" s="300">
        <f>$K490*'Model Data Inputs'!$B$168</f>
        <v>0</v>
      </c>
      <c r="M490" s="300">
        <f>$L490/'Model Data Inputs'!$B$169</f>
        <v>0</v>
      </c>
      <c r="N490" s="300">
        <f>IF($G490="E",$M490*('Model Data Inputs'!$B$171-1),IF($G490="M",$M490*('Model Data Inputs'!$B$172-1),IF($G490="H",$M490*('Model Data Inputs'!$B$173-1),$M490*('Model Data Inputs'!$B$170-1))))</f>
        <v>0</v>
      </c>
      <c r="O490" s="300">
        <f t="shared" si="15"/>
        <v>0</v>
      </c>
    </row>
    <row r="491" spans="1:15" s="40" customFormat="1" x14ac:dyDescent="0.2">
      <c r="A491" s="20" t="s">
        <v>92</v>
      </c>
      <c r="B491" s="20" t="s">
        <v>93</v>
      </c>
      <c r="C491" s="20" t="s">
        <v>2145</v>
      </c>
      <c r="D491" s="20" t="s">
        <v>2146</v>
      </c>
      <c r="E491" s="298">
        <v>41649</v>
      </c>
      <c r="F491" s="138" t="s">
        <v>1159</v>
      </c>
      <c r="G491" s="138" t="s">
        <v>1228</v>
      </c>
      <c r="H491" s="299">
        <f>'School Level ADM'!S324</f>
        <v>48.337666666666671</v>
      </c>
      <c r="I491" s="300">
        <v>3</v>
      </c>
      <c r="J491" s="300">
        <f>IF(OR($E491&lt;='Model Data Inputs'!$B$175,$F491="T"),$I491,IF($G491="E",'Model Data Inputs'!$B$176+$H491/'Model Data Inputs'!$B$179,IF($G491="M",'Model Data Inputs'!$B$177+$H491/'Model Data Inputs'!$B$179,IF($G491="H",'Model Data Inputs'!$B$178+$H491/'Model Data Inputs'!$B$179,IF($G491="N/A",0,$I491)))))</f>
        <v>20.483376666666668</v>
      </c>
      <c r="K491" s="300">
        <f t="shared" si="14"/>
        <v>3</v>
      </c>
      <c r="L491" s="300">
        <f>$K491*'Model Data Inputs'!$B$168</f>
        <v>279</v>
      </c>
      <c r="M491" s="300">
        <f>$L491/'Model Data Inputs'!$B$169</f>
        <v>0.13894422310756971</v>
      </c>
      <c r="N491" s="300">
        <f>IF($G491="E",$M491*('Model Data Inputs'!$B$171-1),IF($G491="M",$M491*('Model Data Inputs'!$B$172-1),IF($G491="H",$M491*('Model Data Inputs'!$B$173-1),$M491*('Model Data Inputs'!$B$170-1))))</f>
        <v>0.20841633466135456</v>
      </c>
      <c r="O491" s="300">
        <f t="shared" si="15"/>
        <v>0.34736055776892427</v>
      </c>
    </row>
    <row r="492" spans="1:15" s="40" customFormat="1" x14ac:dyDescent="0.2">
      <c r="A492" s="20" t="s">
        <v>92</v>
      </c>
      <c r="B492" s="20" t="s">
        <v>93</v>
      </c>
      <c r="C492" s="20" t="s">
        <v>2147</v>
      </c>
      <c r="D492" s="20" t="s">
        <v>2148</v>
      </c>
      <c r="E492" s="298">
        <v>42228</v>
      </c>
      <c r="F492" s="138" t="s">
        <v>1159</v>
      </c>
      <c r="G492" s="138">
        <v>0</v>
      </c>
      <c r="H492" s="299" t="s">
        <v>1191</v>
      </c>
      <c r="I492" s="300">
        <v>0.872</v>
      </c>
      <c r="J492" s="300">
        <f>IF(OR($E492&lt;='Model Data Inputs'!$B$175,$F492="T"),$I492,IF($G492="E",'Model Data Inputs'!$B$176+$H492/'Model Data Inputs'!$B$179,IF($G492="M",'Model Data Inputs'!$B$177+$H492/'Model Data Inputs'!$B$179,IF($G492="H",'Model Data Inputs'!$B$178+$H492/'Model Data Inputs'!$B$179,IF($G492="N/A",0,$I492)))))</f>
        <v>0.872</v>
      </c>
      <c r="K492" s="300">
        <f t="shared" si="14"/>
        <v>0</v>
      </c>
      <c r="L492" s="300">
        <f>$K492*'Model Data Inputs'!$B$168</f>
        <v>0</v>
      </c>
      <c r="M492" s="300">
        <f>$L492/'Model Data Inputs'!$B$169</f>
        <v>0</v>
      </c>
      <c r="N492" s="300">
        <f>IF($G492="E",$M492*('Model Data Inputs'!$B$171-1),IF($G492="M",$M492*('Model Data Inputs'!$B$172-1),IF($G492="H",$M492*('Model Data Inputs'!$B$173-1),$M492*('Model Data Inputs'!$B$170-1))))</f>
        <v>0</v>
      </c>
      <c r="O492" s="300">
        <f t="shared" si="15"/>
        <v>0</v>
      </c>
    </row>
    <row r="493" spans="1:15" s="40" customFormat="1" x14ac:dyDescent="0.2">
      <c r="A493" s="20" t="s">
        <v>94</v>
      </c>
      <c r="B493" s="20" t="s">
        <v>95</v>
      </c>
      <c r="C493" s="20" t="s">
        <v>2149</v>
      </c>
      <c r="D493" s="20" t="s">
        <v>2150</v>
      </c>
      <c r="E493" s="298">
        <v>33085</v>
      </c>
      <c r="F493" s="138" t="s">
        <v>1159</v>
      </c>
      <c r="G493" s="138">
        <v>0</v>
      </c>
      <c r="H493" s="299" t="s">
        <v>1191</v>
      </c>
      <c r="I493" s="300">
        <v>0.01</v>
      </c>
      <c r="J493" s="300">
        <f>IF(OR($E493&lt;='Model Data Inputs'!$B$175,$F493="T"),$I493,IF($G493="E",'Model Data Inputs'!$B$176+$H493/'Model Data Inputs'!$B$179,IF($G493="M",'Model Data Inputs'!$B$177+$H493/'Model Data Inputs'!$B$179,IF($G493="H",'Model Data Inputs'!$B$178+$H493/'Model Data Inputs'!$B$179,IF($G493="N/A",0,$I493)))))</f>
        <v>0.01</v>
      </c>
      <c r="K493" s="300">
        <f t="shared" si="14"/>
        <v>0</v>
      </c>
      <c r="L493" s="300">
        <f>$K493*'Model Data Inputs'!$B$168</f>
        <v>0</v>
      </c>
      <c r="M493" s="300">
        <f>$L493/'Model Data Inputs'!$B$169</f>
        <v>0</v>
      </c>
      <c r="N493" s="300">
        <f>IF($G493="E",$M493*('Model Data Inputs'!$B$171-1),IF($G493="M",$M493*('Model Data Inputs'!$B$172-1),IF($G493="H",$M493*('Model Data Inputs'!$B$173-1),$M493*('Model Data Inputs'!$B$170-1))))</f>
        <v>0</v>
      </c>
      <c r="O493" s="300">
        <f t="shared" si="15"/>
        <v>0</v>
      </c>
    </row>
    <row r="494" spans="1:15" s="40" customFormat="1" x14ac:dyDescent="0.2">
      <c r="A494" s="20" t="s">
        <v>94</v>
      </c>
      <c r="B494" s="20" t="s">
        <v>95</v>
      </c>
      <c r="C494" s="20" t="s">
        <v>2151</v>
      </c>
      <c r="D494" s="20" t="s">
        <v>2152</v>
      </c>
      <c r="E494" s="298">
        <v>35612</v>
      </c>
      <c r="F494" s="138" t="s">
        <v>1159</v>
      </c>
      <c r="G494" s="138">
        <v>0</v>
      </c>
      <c r="H494" s="299" t="s">
        <v>1191</v>
      </c>
      <c r="I494" s="300">
        <v>2.37</v>
      </c>
      <c r="J494" s="300">
        <f>IF(OR($E494&lt;='Model Data Inputs'!$B$175,$F494="T"),$I494,IF($G494="E",'Model Data Inputs'!$B$176+$H494/'Model Data Inputs'!$B$179,IF($G494="M",'Model Data Inputs'!$B$177+$H494/'Model Data Inputs'!$B$179,IF($G494="H",'Model Data Inputs'!$B$178+$H494/'Model Data Inputs'!$B$179,IF($G494="N/A",0,$I494)))))</f>
        <v>2.37</v>
      </c>
      <c r="K494" s="300">
        <f t="shared" si="14"/>
        <v>0</v>
      </c>
      <c r="L494" s="300">
        <f>$K494*'Model Data Inputs'!$B$168</f>
        <v>0</v>
      </c>
      <c r="M494" s="300">
        <f>$L494/'Model Data Inputs'!$B$169</f>
        <v>0</v>
      </c>
      <c r="N494" s="300">
        <f>IF($G494="E",$M494*('Model Data Inputs'!$B$171-1),IF($G494="M",$M494*('Model Data Inputs'!$B$172-1),IF($G494="H",$M494*('Model Data Inputs'!$B$173-1),$M494*('Model Data Inputs'!$B$170-1))))</f>
        <v>0</v>
      </c>
      <c r="O494" s="300">
        <f t="shared" si="15"/>
        <v>0</v>
      </c>
    </row>
    <row r="495" spans="1:15" s="40" customFormat="1" x14ac:dyDescent="0.2">
      <c r="A495" s="20" t="s">
        <v>94</v>
      </c>
      <c r="B495" s="20" t="s">
        <v>95</v>
      </c>
      <c r="C495" s="20" t="s">
        <v>2153</v>
      </c>
      <c r="D495" s="20" t="s">
        <v>2154</v>
      </c>
      <c r="E495" s="298">
        <v>6143</v>
      </c>
      <c r="F495" s="138" t="s">
        <v>1159</v>
      </c>
      <c r="G495" s="138" t="s">
        <v>1198</v>
      </c>
      <c r="H495" s="299">
        <f>'School Level ADM'!S325</f>
        <v>46.295000000000002</v>
      </c>
      <c r="I495" s="300">
        <v>5</v>
      </c>
      <c r="J495" s="300">
        <f>IF(OR($E495&lt;='Model Data Inputs'!$B$175,$F495="T"),$I495,IF($G495="E",'Model Data Inputs'!$B$176+$H495/'Model Data Inputs'!$B$179,IF($G495="M",'Model Data Inputs'!$B$177+$H495/'Model Data Inputs'!$B$179,IF($G495="H",'Model Data Inputs'!$B$178+$H495/'Model Data Inputs'!$B$179,IF($G495="N/A",0,$I495)))))</f>
        <v>5</v>
      </c>
      <c r="K495" s="300">
        <f t="shared" si="14"/>
        <v>5</v>
      </c>
      <c r="L495" s="300">
        <f>$K495*'Model Data Inputs'!$B$168</f>
        <v>465</v>
      </c>
      <c r="M495" s="300">
        <f>$L495/'Model Data Inputs'!$B$169</f>
        <v>0.23157370517928286</v>
      </c>
      <c r="N495" s="300">
        <f>IF($G495="E",$M495*('Model Data Inputs'!$B$171-1),IF($G495="M",$M495*('Model Data Inputs'!$B$172-1),IF($G495="H",$M495*('Model Data Inputs'!$B$173-1),$M495*('Model Data Inputs'!$B$170-1))))</f>
        <v>0</v>
      </c>
      <c r="O495" s="300">
        <f t="shared" si="15"/>
        <v>0.23157370517928286</v>
      </c>
    </row>
    <row r="496" spans="1:15" s="40" customFormat="1" x14ac:dyDescent="0.2">
      <c r="A496" s="20" t="s">
        <v>94</v>
      </c>
      <c r="B496" s="20" t="s">
        <v>95</v>
      </c>
      <c r="C496" s="20" t="s">
        <v>2155</v>
      </c>
      <c r="D496" s="20" t="s">
        <v>2156</v>
      </c>
      <c r="E496" s="298">
        <v>26900</v>
      </c>
      <c r="F496" s="138" t="s">
        <v>1159</v>
      </c>
      <c r="G496" s="138" t="s">
        <v>1198</v>
      </c>
      <c r="H496" s="299">
        <f>'School Level ADM'!S330</f>
        <v>561.45000000000016</v>
      </c>
      <c r="I496" s="300">
        <v>15.83</v>
      </c>
      <c r="J496" s="300">
        <f>IF(OR($E496&lt;='Model Data Inputs'!$B$175,$F496="T"),$I496,IF($G496="E",'Model Data Inputs'!$B$176+$H496/'Model Data Inputs'!$B$179,IF($G496="M",'Model Data Inputs'!$B$177+$H496/'Model Data Inputs'!$B$179,IF($G496="H",'Model Data Inputs'!$B$178+$H496/'Model Data Inputs'!$B$179,IF($G496="N/A",0,$I496)))))</f>
        <v>15.83</v>
      </c>
      <c r="K496" s="300">
        <f t="shared" si="14"/>
        <v>15.83</v>
      </c>
      <c r="L496" s="300">
        <f>$K496*'Model Data Inputs'!$B$168</f>
        <v>1472.19</v>
      </c>
      <c r="M496" s="300">
        <f>$L496/'Model Data Inputs'!$B$169</f>
        <v>0.73316235059760959</v>
      </c>
      <c r="N496" s="300">
        <f>IF($G496="E",$M496*('Model Data Inputs'!$B$171-1),IF($G496="M",$M496*('Model Data Inputs'!$B$172-1),IF($G496="H",$M496*('Model Data Inputs'!$B$173-1),$M496*('Model Data Inputs'!$B$170-1))))</f>
        <v>0</v>
      </c>
      <c r="O496" s="300">
        <f t="shared" si="15"/>
        <v>0.73316235059760959</v>
      </c>
    </row>
    <row r="497" spans="1:15" s="40" customFormat="1" x14ac:dyDescent="0.2">
      <c r="A497" s="20" t="s">
        <v>94</v>
      </c>
      <c r="B497" s="20" t="s">
        <v>95</v>
      </c>
      <c r="C497" s="20" t="s">
        <v>2157</v>
      </c>
      <c r="D497" s="20" t="s">
        <v>2158</v>
      </c>
      <c r="E497" s="298">
        <v>5462</v>
      </c>
      <c r="F497" s="138" t="s">
        <v>1159</v>
      </c>
      <c r="G497" s="138" t="s">
        <v>1198</v>
      </c>
      <c r="H497" s="299">
        <f>'School Level ADM'!S326</f>
        <v>51.220000000000006</v>
      </c>
      <c r="I497" s="300">
        <v>1.571</v>
      </c>
      <c r="J497" s="300">
        <f>IF(OR($E497&lt;='Model Data Inputs'!$B$175,$F497="T"),$I497,IF($G497="E",'Model Data Inputs'!$B$176+$H497/'Model Data Inputs'!$B$179,IF($G497="M",'Model Data Inputs'!$B$177+$H497/'Model Data Inputs'!$B$179,IF($G497="H",'Model Data Inputs'!$B$178+$H497/'Model Data Inputs'!$B$179,IF($G497="N/A",0,$I497)))))</f>
        <v>1.571</v>
      </c>
      <c r="K497" s="300">
        <f t="shared" si="14"/>
        <v>1.571</v>
      </c>
      <c r="L497" s="300">
        <f>$K497*'Model Data Inputs'!$B$168</f>
        <v>146.10300000000001</v>
      </c>
      <c r="M497" s="300">
        <f>$L497/'Model Data Inputs'!$B$169</f>
        <v>7.2760458167330677E-2</v>
      </c>
      <c r="N497" s="300">
        <f>IF($G497="E",$M497*('Model Data Inputs'!$B$171-1),IF($G497="M",$M497*('Model Data Inputs'!$B$172-1),IF($G497="H",$M497*('Model Data Inputs'!$B$173-1),$M497*('Model Data Inputs'!$B$170-1))))</f>
        <v>0</v>
      </c>
      <c r="O497" s="300">
        <f t="shared" si="15"/>
        <v>7.2760458167330677E-2</v>
      </c>
    </row>
    <row r="498" spans="1:15" s="40" customFormat="1" x14ac:dyDescent="0.2">
      <c r="A498" s="20" t="s">
        <v>94</v>
      </c>
      <c r="B498" s="20" t="s">
        <v>95</v>
      </c>
      <c r="C498" s="20" t="s">
        <v>2159</v>
      </c>
      <c r="D498" s="20" t="s">
        <v>2160</v>
      </c>
      <c r="E498" s="298">
        <v>35612</v>
      </c>
      <c r="F498" s="138" t="s">
        <v>1159</v>
      </c>
      <c r="G498" s="138" t="s">
        <v>1198</v>
      </c>
      <c r="H498" s="299">
        <f>'School Level ADM'!S327</f>
        <v>17.73</v>
      </c>
      <c r="I498" s="300">
        <v>2.69</v>
      </c>
      <c r="J498" s="300">
        <f>IF(OR($E498&lt;='Model Data Inputs'!$B$175,$F498="T"),$I498,IF($G498="E",'Model Data Inputs'!$B$176+$H498/'Model Data Inputs'!$B$179,IF($G498="M",'Model Data Inputs'!$B$177+$H498/'Model Data Inputs'!$B$179,IF($G498="H",'Model Data Inputs'!$B$178+$H498/'Model Data Inputs'!$B$179,IF($G498="N/A",0,$I498)))))</f>
        <v>2.69</v>
      </c>
      <c r="K498" s="300">
        <f t="shared" si="14"/>
        <v>2.69</v>
      </c>
      <c r="L498" s="300">
        <f>$K498*'Model Data Inputs'!$B$168</f>
        <v>250.17</v>
      </c>
      <c r="M498" s="300">
        <f>$L498/'Model Data Inputs'!$B$169</f>
        <v>0.12458665338645418</v>
      </c>
      <c r="N498" s="300">
        <f>IF($G498="E",$M498*('Model Data Inputs'!$B$171-1),IF($G498="M",$M498*('Model Data Inputs'!$B$172-1),IF($G498="H",$M498*('Model Data Inputs'!$B$173-1),$M498*('Model Data Inputs'!$B$170-1))))</f>
        <v>0</v>
      </c>
      <c r="O498" s="300">
        <f t="shared" si="15"/>
        <v>0.12458665338645418</v>
      </c>
    </row>
    <row r="499" spans="1:15" s="40" customFormat="1" x14ac:dyDescent="0.2">
      <c r="A499" s="20" t="s">
        <v>94</v>
      </c>
      <c r="B499" s="20" t="s">
        <v>95</v>
      </c>
      <c r="C499" s="20" t="s">
        <v>2161</v>
      </c>
      <c r="D499" s="20" t="s">
        <v>2162</v>
      </c>
      <c r="E499" s="298">
        <v>35612</v>
      </c>
      <c r="F499" s="138" t="s">
        <v>1159</v>
      </c>
      <c r="G499" s="138" t="s">
        <v>1191</v>
      </c>
      <c r="H499" s="299" t="s">
        <v>1191</v>
      </c>
      <c r="I499" s="300">
        <v>0.5</v>
      </c>
      <c r="J499" s="300">
        <f>IF(OR($E499&lt;='Model Data Inputs'!$B$175,$F499="T"),$I499,IF($G499="E",'Model Data Inputs'!$B$176+$H499/'Model Data Inputs'!$B$179,IF($G499="M",'Model Data Inputs'!$B$177+$H499/'Model Data Inputs'!$B$179,IF($G499="H",'Model Data Inputs'!$B$178+$H499/'Model Data Inputs'!$B$179,IF($G499="N/A",0,$I499)))))</f>
        <v>0.5</v>
      </c>
      <c r="K499" s="300">
        <f t="shared" si="14"/>
        <v>0</v>
      </c>
      <c r="L499" s="300">
        <f>$K499*'Model Data Inputs'!$B$168</f>
        <v>0</v>
      </c>
      <c r="M499" s="300">
        <f>$L499/'Model Data Inputs'!$B$169</f>
        <v>0</v>
      </c>
      <c r="N499" s="300">
        <f>IF($G499="E",$M499*('Model Data Inputs'!$B$171-1),IF($G499="M",$M499*('Model Data Inputs'!$B$172-1),IF($G499="H",$M499*('Model Data Inputs'!$B$173-1),$M499*('Model Data Inputs'!$B$170-1))))</f>
        <v>0</v>
      </c>
      <c r="O499" s="300">
        <f t="shared" si="15"/>
        <v>0</v>
      </c>
    </row>
    <row r="500" spans="1:15" s="40" customFormat="1" x14ac:dyDescent="0.2">
      <c r="A500" s="20" t="s">
        <v>94</v>
      </c>
      <c r="B500" s="20" t="s">
        <v>95</v>
      </c>
      <c r="C500" s="20" t="s">
        <v>2163</v>
      </c>
      <c r="D500" s="20" t="s">
        <v>2164</v>
      </c>
      <c r="E500" s="298">
        <v>35612</v>
      </c>
      <c r="F500" s="138" t="s">
        <v>1159</v>
      </c>
      <c r="G500" s="138" t="s">
        <v>1198</v>
      </c>
      <c r="H500" s="299">
        <f>'School Level ADM'!S329</f>
        <v>524.02</v>
      </c>
      <c r="I500" s="300">
        <v>12.7</v>
      </c>
      <c r="J500" s="300">
        <f>IF(OR($E500&lt;='Model Data Inputs'!$B$175,$F500="T"),$I500,IF($G500="E",'Model Data Inputs'!$B$176+$H500/'Model Data Inputs'!$B$179,IF($G500="M",'Model Data Inputs'!$B$177+$H500/'Model Data Inputs'!$B$179,IF($G500="H",'Model Data Inputs'!$B$178+$H500/'Model Data Inputs'!$B$179,IF($G500="N/A",0,$I500)))))</f>
        <v>12.7</v>
      </c>
      <c r="K500" s="300">
        <f t="shared" si="14"/>
        <v>12.7</v>
      </c>
      <c r="L500" s="300">
        <f>$K500*'Model Data Inputs'!$B$168</f>
        <v>1181.0999999999999</v>
      </c>
      <c r="M500" s="300">
        <f>$L500/'Model Data Inputs'!$B$169</f>
        <v>0.58819721115537849</v>
      </c>
      <c r="N500" s="300">
        <f>IF($G500="E",$M500*('Model Data Inputs'!$B$171-1),IF($G500="M",$M500*('Model Data Inputs'!$B$172-1),IF($G500="H",$M500*('Model Data Inputs'!$B$173-1),$M500*('Model Data Inputs'!$B$170-1))))</f>
        <v>0</v>
      </c>
      <c r="O500" s="300">
        <f t="shared" si="15"/>
        <v>0.58819721115537849</v>
      </c>
    </row>
    <row r="501" spans="1:15" s="40" customFormat="1" x14ac:dyDescent="0.2">
      <c r="A501" s="20" t="s">
        <v>94</v>
      </c>
      <c r="B501" s="20" t="s">
        <v>95</v>
      </c>
      <c r="C501" s="20" t="s">
        <v>2165</v>
      </c>
      <c r="D501" s="20" t="s">
        <v>2166</v>
      </c>
      <c r="E501" s="298">
        <v>33085</v>
      </c>
      <c r="F501" s="138" t="s">
        <v>1159</v>
      </c>
      <c r="G501" s="138" t="s">
        <v>1205</v>
      </c>
      <c r="H501" s="299">
        <f>'School Level ADM'!S331</f>
        <v>682.60500000000002</v>
      </c>
      <c r="I501" s="300">
        <v>17.64</v>
      </c>
      <c r="J501" s="300">
        <f>IF(OR($E501&lt;='Model Data Inputs'!$B$175,$F501="T"),$I501,IF($G501="E",'Model Data Inputs'!$B$176+$H501/'Model Data Inputs'!$B$179,IF($G501="M",'Model Data Inputs'!$B$177+$H501/'Model Data Inputs'!$B$179,IF($G501="H",'Model Data Inputs'!$B$178+$H501/'Model Data Inputs'!$B$179,IF($G501="N/A",0,$I501)))))</f>
        <v>17.64</v>
      </c>
      <c r="K501" s="300">
        <f t="shared" si="14"/>
        <v>17.64</v>
      </c>
      <c r="L501" s="300">
        <f>$K501*'Model Data Inputs'!$B$168</f>
        <v>1640.52</v>
      </c>
      <c r="M501" s="300">
        <f>$L501/'Model Data Inputs'!$B$169</f>
        <v>0.81699203187250991</v>
      </c>
      <c r="N501" s="300">
        <f>IF($G501="E",$M501*('Model Data Inputs'!$B$171-1),IF($G501="M",$M501*('Model Data Inputs'!$B$172-1),IF($G501="H",$M501*('Model Data Inputs'!$B$173-1),$M501*('Model Data Inputs'!$B$170-1))))</f>
        <v>0.40849601593625495</v>
      </c>
      <c r="O501" s="300">
        <f t="shared" si="15"/>
        <v>1.2254880478087649</v>
      </c>
    </row>
    <row r="502" spans="1:15" s="40" customFormat="1" x14ac:dyDescent="0.2">
      <c r="A502" s="20" t="s">
        <v>94</v>
      </c>
      <c r="B502" s="20" t="s">
        <v>95</v>
      </c>
      <c r="C502" s="20" t="s">
        <v>2167</v>
      </c>
      <c r="D502" s="20" t="s">
        <v>2168</v>
      </c>
      <c r="E502" s="298">
        <v>35613</v>
      </c>
      <c r="F502" s="138" t="s">
        <v>1159</v>
      </c>
      <c r="G502" s="138" t="s">
        <v>1228</v>
      </c>
      <c r="H502" s="299">
        <f>'School Level ADM'!S332</f>
        <v>668.81499999999994</v>
      </c>
      <c r="I502" s="300">
        <v>30.5</v>
      </c>
      <c r="J502" s="300">
        <f>IF(OR($E502&lt;='Model Data Inputs'!$B$175,$F502="T"),$I502,IF($G502="E",'Model Data Inputs'!$B$176+$H502/'Model Data Inputs'!$B$179,IF($G502="M",'Model Data Inputs'!$B$177+$H502/'Model Data Inputs'!$B$179,IF($G502="H",'Model Data Inputs'!$B$178+$H502/'Model Data Inputs'!$B$179,IF($G502="N/A",0,$I502)))))</f>
        <v>26.68815</v>
      </c>
      <c r="K502" s="300">
        <f t="shared" si="14"/>
        <v>26.68815</v>
      </c>
      <c r="L502" s="300">
        <f>$K502*'Model Data Inputs'!$B$168</f>
        <v>2481.9979499999999</v>
      </c>
      <c r="M502" s="300">
        <f>$L502/'Model Data Inputs'!$B$169</f>
        <v>1.2360547559760955</v>
      </c>
      <c r="N502" s="300">
        <f>IF($G502="E",$M502*('Model Data Inputs'!$B$171-1),IF($G502="M",$M502*('Model Data Inputs'!$B$172-1),IF($G502="H",$M502*('Model Data Inputs'!$B$173-1),$M502*('Model Data Inputs'!$B$170-1))))</f>
        <v>1.8540821339641433</v>
      </c>
      <c r="O502" s="300">
        <f t="shared" si="15"/>
        <v>3.0901368899402391</v>
      </c>
    </row>
    <row r="503" spans="1:15" s="40" customFormat="1" x14ac:dyDescent="0.2">
      <c r="A503" s="20" t="s">
        <v>94</v>
      </c>
      <c r="B503" s="20" t="s">
        <v>95</v>
      </c>
      <c r="C503" s="20" t="s">
        <v>2169</v>
      </c>
      <c r="D503" s="20" t="s">
        <v>2170</v>
      </c>
      <c r="E503" s="298">
        <v>35612</v>
      </c>
      <c r="F503" s="138" t="s">
        <v>1159</v>
      </c>
      <c r="G503" s="138" t="s">
        <v>1228</v>
      </c>
      <c r="H503" s="299">
        <f>'School Level ADM'!S333</f>
        <v>46.295000000000002</v>
      </c>
      <c r="I503" s="300">
        <v>24.71</v>
      </c>
      <c r="J503" s="300">
        <f>IF(OR($E503&lt;='Model Data Inputs'!$B$175,$F503="T"),$I503,IF($G503="E",'Model Data Inputs'!$B$176+$H503/'Model Data Inputs'!$B$179,IF($G503="M",'Model Data Inputs'!$B$177+$H503/'Model Data Inputs'!$B$179,IF($G503="H",'Model Data Inputs'!$B$178+$H503/'Model Data Inputs'!$B$179,IF($G503="N/A",0,$I503)))))</f>
        <v>24.71</v>
      </c>
      <c r="K503" s="300">
        <f t="shared" si="14"/>
        <v>24.71</v>
      </c>
      <c r="L503" s="300">
        <f>$K503*'Model Data Inputs'!$B$168</f>
        <v>2298.0300000000002</v>
      </c>
      <c r="M503" s="300">
        <f>$L503/'Model Data Inputs'!$B$169</f>
        <v>1.1444372509960161</v>
      </c>
      <c r="N503" s="300">
        <f>IF($G503="E",$M503*('Model Data Inputs'!$B$171-1),IF($G503="M",$M503*('Model Data Inputs'!$B$172-1),IF($G503="H",$M503*('Model Data Inputs'!$B$173-1),$M503*('Model Data Inputs'!$B$170-1))))</f>
        <v>1.7166558764940243</v>
      </c>
      <c r="O503" s="300">
        <f t="shared" si="15"/>
        <v>2.8610931274900402</v>
      </c>
    </row>
    <row r="504" spans="1:15" s="40" customFormat="1" x14ac:dyDescent="0.2">
      <c r="A504" s="20" t="s">
        <v>94</v>
      </c>
      <c r="B504" s="20" t="s">
        <v>95</v>
      </c>
      <c r="C504" s="20" t="s">
        <v>2171</v>
      </c>
      <c r="D504" s="20" t="s">
        <v>2172</v>
      </c>
      <c r="E504" s="298">
        <v>37095</v>
      </c>
      <c r="F504" s="138" t="s">
        <v>1159</v>
      </c>
      <c r="G504" s="138">
        <v>0</v>
      </c>
      <c r="H504" s="299" t="s">
        <v>1191</v>
      </c>
      <c r="I504" s="300">
        <v>0.33</v>
      </c>
      <c r="J504" s="300">
        <f>IF(OR($E504&lt;='Model Data Inputs'!$B$175,$F504="T"),$I504,IF($G504="E",'Model Data Inputs'!$B$176+$H504/'Model Data Inputs'!$B$179,IF($G504="M",'Model Data Inputs'!$B$177+$H504/'Model Data Inputs'!$B$179,IF($G504="H",'Model Data Inputs'!$B$178+$H504/'Model Data Inputs'!$B$179,IF($G504="N/A",0,$I504)))))</f>
        <v>0.33</v>
      </c>
      <c r="K504" s="300">
        <f t="shared" si="14"/>
        <v>0</v>
      </c>
      <c r="L504" s="300">
        <f>$K504*'Model Data Inputs'!$B$168</f>
        <v>0</v>
      </c>
      <c r="M504" s="300">
        <f>$L504/'Model Data Inputs'!$B$169</f>
        <v>0</v>
      </c>
      <c r="N504" s="300">
        <f>IF($G504="E",$M504*('Model Data Inputs'!$B$171-1),IF($G504="M",$M504*('Model Data Inputs'!$B$172-1),IF($G504="H",$M504*('Model Data Inputs'!$B$173-1),$M504*('Model Data Inputs'!$B$170-1))))</f>
        <v>0</v>
      </c>
      <c r="O504" s="300">
        <f t="shared" si="15"/>
        <v>0</v>
      </c>
    </row>
    <row r="505" spans="1:15" s="40" customFormat="1" x14ac:dyDescent="0.2">
      <c r="A505" s="20" t="s">
        <v>94</v>
      </c>
      <c r="B505" s="20" t="s">
        <v>95</v>
      </c>
      <c r="C505" s="20" t="s">
        <v>2173</v>
      </c>
      <c r="D505" s="20" t="s">
        <v>2174</v>
      </c>
      <c r="E505" s="298">
        <v>35865</v>
      </c>
      <c r="F505" s="138" t="s">
        <v>1159</v>
      </c>
      <c r="G505" s="138" t="s">
        <v>1198</v>
      </c>
      <c r="H505" s="299">
        <f>'School Level ADM'!S328</f>
        <v>220.64000000000004</v>
      </c>
      <c r="I505" s="300">
        <v>10.050000000000001</v>
      </c>
      <c r="J505" s="300">
        <f>IF(OR($E505&lt;='Model Data Inputs'!$B$175,$F505="T"),$I505,IF($G505="E",'Model Data Inputs'!$B$176+$H505/'Model Data Inputs'!$B$179,IF($G505="M",'Model Data Inputs'!$B$177+$H505/'Model Data Inputs'!$B$179,IF($G505="H",'Model Data Inputs'!$B$178+$H505/'Model Data Inputs'!$B$179,IF($G505="N/A",0,$I505)))))</f>
        <v>6.2064000000000004</v>
      </c>
      <c r="K505" s="300">
        <f t="shared" si="14"/>
        <v>6.2064000000000004</v>
      </c>
      <c r="L505" s="300">
        <f>$K505*'Model Data Inputs'!$B$168</f>
        <v>577.1952</v>
      </c>
      <c r="M505" s="300">
        <f>$L505/'Model Data Inputs'!$B$169</f>
        <v>0.28744780876494025</v>
      </c>
      <c r="N505" s="300">
        <f>IF($G505="E",$M505*('Model Data Inputs'!$B$171-1),IF($G505="M",$M505*('Model Data Inputs'!$B$172-1),IF($G505="H",$M505*('Model Data Inputs'!$B$173-1),$M505*('Model Data Inputs'!$B$170-1))))</f>
        <v>0</v>
      </c>
      <c r="O505" s="300">
        <f t="shared" si="15"/>
        <v>0.28744780876494025</v>
      </c>
    </row>
    <row r="506" spans="1:15" s="40" customFormat="1" x14ac:dyDescent="0.2">
      <c r="A506" s="20" t="s">
        <v>94</v>
      </c>
      <c r="B506" s="20" t="s">
        <v>95</v>
      </c>
      <c r="C506" s="20" t="s">
        <v>2175</v>
      </c>
      <c r="D506" s="20" t="s">
        <v>2176</v>
      </c>
      <c r="E506" s="298">
        <v>37635</v>
      </c>
      <c r="F506" s="138" t="s">
        <v>1159</v>
      </c>
      <c r="G506" s="138" t="s">
        <v>1191</v>
      </c>
      <c r="H506" s="299" t="s">
        <v>1191</v>
      </c>
      <c r="I506" s="300">
        <v>0.46</v>
      </c>
      <c r="J506" s="300">
        <f>IF(OR($E506&lt;='Model Data Inputs'!$B$175,$F506="T"),$I506,IF($G506="E",'Model Data Inputs'!$B$176+$H506/'Model Data Inputs'!$B$179,IF($G506="M",'Model Data Inputs'!$B$177+$H506/'Model Data Inputs'!$B$179,IF($G506="H",'Model Data Inputs'!$B$178+$H506/'Model Data Inputs'!$B$179,IF($G506="N/A",0,$I506)))))</f>
        <v>0</v>
      </c>
      <c r="K506" s="300">
        <f t="shared" si="14"/>
        <v>0</v>
      </c>
      <c r="L506" s="300">
        <f>$K506*'Model Data Inputs'!$B$168</f>
        <v>0</v>
      </c>
      <c r="M506" s="300">
        <f>$L506/'Model Data Inputs'!$B$169</f>
        <v>0</v>
      </c>
      <c r="N506" s="300">
        <f>IF($G506="E",$M506*('Model Data Inputs'!$B$171-1),IF($G506="M",$M506*('Model Data Inputs'!$B$172-1),IF($G506="H",$M506*('Model Data Inputs'!$B$173-1),$M506*('Model Data Inputs'!$B$170-1))))</f>
        <v>0</v>
      </c>
      <c r="O506" s="300">
        <f t="shared" si="15"/>
        <v>0</v>
      </c>
    </row>
    <row r="507" spans="1:15" s="40" customFormat="1" x14ac:dyDescent="0.2">
      <c r="A507" s="20" t="s">
        <v>94</v>
      </c>
      <c r="B507" s="20" t="s">
        <v>95</v>
      </c>
      <c r="C507" s="20" t="s">
        <v>2177</v>
      </c>
      <c r="D507" s="20" t="s">
        <v>2178</v>
      </c>
      <c r="E507" s="298">
        <v>35612</v>
      </c>
      <c r="F507" s="138" t="s">
        <v>1159</v>
      </c>
      <c r="G507" s="138">
        <v>0</v>
      </c>
      <c r="H507" s="299" t="s">
        <v>1191</v>
      </c>
      <c r="I507" s="300">
        <v>3.75</v>
      </c>
      <c r="J507" s="300">
        <f>IF(OR($E507&lt;='Model Data Inputs'!$B$175,$F507="T"),$I507,IF($G507="E",'Model Data Inputs'!$B$176+$H507/'Model Data Inputs'!$B$179,IF($G507="M",'Model Data Inputs'!$B$177+$H507/'Model Data Inputs'!$B$179,IF($G507="H",'Model Data Inputs'!$B$178+$H507/'Model Data Inputs'!$B$179,IF($G507="N/A",0,$I507)))))</f>
        <v>3.75</v>
      </c>
      <c r="K507" s="300">
        <f t="shared" si="14"/>
        <v>0</v>
      </c>
      <c r="L507" s="300">
        <f>$K507*'Model Data Inputs'!$B$168</f>
        <v>0</v>
      </c>
      <c r="M507" s="300">
        <f>$L507/'Model Data Inputs'!$B$169</f>
        <v>0</v>
      </c>
      <c r="N507" s="300">
        <f>IF($G507="E",$M507*('Model Data Inputs'!$B$171-1),IF($G507="M",$M507*('Model Data Inputs'!$B$172-1),IF($G507="H",$M507*('Model Data Inputs'!$B$173-1),$M507*('Model Data Inputs'!$B$170-1))))</f>
        <v>0</v>
      </c>
      <c r="O507" s="300">
        <f t="shared" si="15"/>
        <v>0</v>
      </c>
    </row>
    <row r="508" spans="1:15" s="40" customFormat="1" x14ac:dyDescent="0.2">
      <c r="A508" s="20" t="s">
        <v>94</v>
      </c>
      <c r="B508" s="20" t="s">
        <v>95</v>
      </c>
      <c r="C508" s="20" t="s">
        <v>2179</v>
      </c>
      <c r="D508" s="20" t="s">
        <v>2180</v>
      </c>
      <c r="E508" s="298">
        <v>35612</v>
      </c>
      <c r="F508" s="138" t="s">
        <v>1159</v>
      </c>
      <c r="G508" s="138">
        <v>0</v>
      </c>
      <c r="H508" s="299" t="s">
        <v>1191</v>
      </c>
      <c r="I508" s="300">
        <v>23.8</v>
      </c>
      <c r="J508" s="300">
        <f>IF(OR($E508&lt;='Model Data Inputs'!$B$175,$F508="T"),$I508,IF($G508="E",'Model Data Inputs'!$B$176+$H508/'Model Data Inputs'!$B$179,IF($G508="M",'Model Data Inputs'!$B$177+$H508/'Model Data Inputs'!$B$179,IF($G508="H",'Model Data Inputs'!$B$178+$H508/'Model Data Inputs'!$B$179,IF($G508="N/A",0,$I508)))))</f>
        <v>23.8</v>
      </c>
      <c r="K508" s="300">
        <f t="shared" si="14"/>
        <v>0</v>
      </c>
      <c r="L508" s="300">
        <f>$K508*'Model Data Inputs'!$B$168</f>
        <v>0</v>
      </c>
      <c r="M508" s="300">
        <f>$L508/'Model Data Inputs'!$B$169</f>
        <v>0</v>
      </c>
      <c r="N508" s="300">
        <f>IF($G508="E",$M508*('Model Data Inputs'!$B$171-1),IF($G508="M",$M508*('Model Data Inputs'!$B$172-1),IF($G508="H",$M508*('Model Data Inputs'!$B$173-1),$M508*('Model Data Inputs'!$B$170-1))))</f>
        <v>0</v>
      </c>
      <c r="O508" s="300">
        <f t="shared" si="15"/>
        <v>0</v>
      </c>
    </row>
    <row r="509" spans="1:15" s="40" customFormat="1" x14ac:dyDescent="0.2">
      <c r="A509" s="20" t="s">
        <v>94</v>
      </c>
      <c r="B509" s="20" t="s">
        <v>95</v>
      </c>
      <c r="C509" s="20" t="s">
        <v>2181</v>
      </c>
      <c r="D509" s="20" t="s">
        <v>2182</v>
      </c>
      <c r="E509" s="298">
        <v>42352</v>
      </c>
      <c r="F509" s="138" t="s">
        <v>1159</v>
      </c>
      <c r="G509" s="138" t="s">
        <v>1191</v>
      </c>
      <c r="H509" s="299" t="s">
        <v>1191</v>
      </c>
      <c r="I509" s="300">
        <v>20</v>
      </c>
      <c r="J509" s="300">
        <f>IF(OR($E509&lt;='Model Data Inputs'!$B$175,$F509="T"),$I509,IF($G509="E",'Model Data Inputs'!$B$176+$H509/'Model Data Inputs'!$B$179,IF($G509="M",'Model Data Inputs'!$B$177+$H509/'Model Data Inputs'!$B$179,IF($G509="H",'Model Data Inputs'!$B$178+$H509/'Model Data Inputs'!$B$179,IF($G509="N/A",0,$I509)))))</f>
        <v>0</v>
      </c>
      <c r="K509" s="300">
        <f t="shared" si="14"/>
        <v>0</v>
      </c>
      <c r="L509" s="300">
        <f>$K509*'Model Data Inputs'!$B$168</f>
        <v>0</v>
      </c>
      <c r="M509" s="300">
        <f>$L509/'Model Data Inputs'!$B$169</f>
        <v>0</v>
      </c>
      <c r="N509" s="300">
        <f>IF($G509="E",$M509*('Model Data Inputs'!$B$171-1),IF($G509="M",$M509*('Model Data Inputs'!$B$172-1),IF($G509="H",$M509*('Model Data Inputs'!$B$173-1),$M509*('Model Data Inputs'!$B$170-1))))</f>
        <v>0</v>
      </c>
      <c r="O509" s="300">
        <f t="shared" si="15"/>
        <v>0</v>
      </c>
    </row>
    <row r="510" spans="1:15" s="40" customFormat="1" x14ac:dyDescent="0.2">
      <c r="A510" s="20" t="s">
        <v>96</v>
      </c>
      <c r="B510" s="20" t="s">
        <v>97</v>
      </c>
      <c r="C510" s="20" t="s">
        <v>2183</v>
      </c>
      <c r="D510" s="20" t="s">
        <v>2184</v>
      </c>
      <c r="E510" s="298" t="s">
        <v>2185</v>
      </c>
      <c r="F510" s="138" t="s">
        <v>1159</v>
      </c>
      <c r="G510" s="138">
        <v>0</v>
      </c>
      <c r="H510" s="299" t="s">
        <v>1191</v>
      </c>
      <c r="I510" s="300">
        <v>2.0699999999999998</v>
      </c>
      <c r="J510" s="300">
        <f>IF(OR($E510&lt;='Model Data Inputs'!$B$175,$F510="T"),$I510,IF($G510="E",'Model Data Inputs'!$B$176+$H510/'Model Data Inputs'!$B$179,IF($G510="M",'Model Data Inputs'!$B$177+$H510/'Model Data Inputs'!$B$179,IF($G510="H",'Model Data Inputs'!$B$178+$H510/'Model Data Inputs'!$B$179,IF($G510="N/A",0,$I510)))))</f>
        <v>2.0699999999999998</v>
      </c>
      <c r="K510" s="300">
        <f t="shared" si="14"/>
        <v>0</v>
      </c>
      <c r="L510" s="300">
        <f>$K510*'Model Data Inputs'!$B$168</f>
        <v>0</v>
      </c>
      <c r="M510" s="300">
        <f>$L510/'Model Data Inputs'!$B$169</f>
        <v>0</v>
      </c>
      <c r="N510" s="300">
        <f>IF($G510="E",$M510*('Model Data Inputs'!$B$171-1),IF($G510="M",$M510*('Model Data Inputs'!$B$172-1),IF($G510="H",$M510*('Model Data Inputs'!$B$173-1),$M510*('Model Data Inputs'!$B$170-1))))</f>
        <v>0</v>
      </c>
      <c r="O510" s="300">
        <f t="shared" si="15"/>
        <v>0</v>
      </c>
    </row>
    <row r="511" spans="1:15" s="40" customFormat="1" x14ac:dyDescent="0.2">
      <c r="A511" s="20" t="s">
        <v>96</v>
      </c>
      <c r="B511" s="20" t="s">
        <v>97</v>
      </c>
      <c r="C511" s="20" t="s">
        <v>2186</v>
      </c>
      <c r="D511" s="20" t="s">
        <v>1880</v>
      </c>
      <c r="E511" s="298">
        <v>14693</v>
      </c>
      <c r="F511" s="138" t="s">
        <v>1159</v>
      </c>
      <c r="G511" s="138" t="s">
        <v>1198</v>
      </c>
      <c r="H511" s="299">
        <f>'School Level ADM'!S334</f>
        <v>205.03033333333332</v>
      </c>
      <c r="I511" s="300">
        <v>5.64</v>
      </c>
      <c r="J511" s="300">
        <f>IF(OR($E511&lt;='Model Data Inputs'!$B$175,$F511="T"),$I511,IF($G511="E",'Model Data Inputs'!$B$176+$H511/'Model Data Inputs'!$B$179,IF($G511="M",'Model Data Inputs'!$B$177+$H511/'Model Data Inputs'!$B$179,IF($G511="H",'Model Data Inputs'!$B$178+$H511/'Model Data Inputs'!$B$179,IF($G511="N/A",0,$I511)))))</f>
        <v>5.64</v>
      </c>
      <c r="K511" s="300">
        <f t="shared" si="14"/>
        <v>5.64</v>
      </c>
      <c r="L511" s="300">
        <f>$K511*'Model Data Inputs'!$B$168</f>
        <v>524.52</v>
      </c>
      <c r="M511" s="300">
        <f>$L511/'Model Data Inputs'!$B$169</f>
        <v>0.26121513944223107</v>
      </c>
      <c r="N511" s="300">
        <f>IF($G511="E",$M511*('Model Data Inputs'!$B$171-1),IF($G511="M",$M511*('Model Data Inputs'!$B$172-1),IF($G511="H",$M511*('Model Data Inputs'!$B$173-1),$M511*('Model Data Inputs'!$B$170-1))))</f>
        <v>0</v>
      </c>
      <c r="O511" s="300">
        <f t="shared" si="15"/>
        <v>0.26121513944223107</v>
      </c>
    </row>
    <row r="512" spans="1:15" s="40" customFormat="1" x14ac:dyDescent="0.2">
      <c r="A512" s="20" t="s">
        <v>96</v>
      </c>
      <c r="B512" s="20" t="s">
        <v>97</v>
      </c>
      <c r="C512" s="20" t="s">
        <v>2187</v>
      </c>
      <c r="D512" s="20" t="s">
        <v>2188</v>
      </c>
      <c r="E512" s="298">
        <v>29524</v>
      </c>
      <c r="F512" s="138" t="s">
        <v>1159</v>
      </c>
      <c r="G512" s="138" t="s">
        <v>1198</v>
      </c>
      <c r="H512" s="299">
        <f>'School Level ADM'!S335</f>
        <v>475.61866666666668</v>
      </c>
      <c r="I512" s="300">
        <v>10.69</v>
      </c>
      <c r="J512" s="300">
        <f>IF(OR($E512&lt;='Model Data Inputs'!$B$175,$F512="T"),$I512,IF($G512="E",'Model Data Inputs'!$B$176+$H512/'Model Data Inputs'!$B$179,IF($G512="M",'Model Data Inputs'!$B$177+$H512/'Model Data Inputs'!$B$179,IF($G512="H",'Model Data Inputs'!$B$178+$H512/'Model Data Inputs'!$B$179,IF($G512="N/A",0,$I512)))))</f>
        <v>10.69</v>
      </c>
      <c r="K512" s="300">
        <f t="shared" si="14"/>
        <v>10.69</v>
      </c>
      <c r="L512" s="300">
        <f>$K512*'Model Data Inputs'!$B$168</f>
        <v>994.17</v>
      </c>
      <c r="M512" s="300">
        <f>$L512/'Model Data Inputs'!$B$169</f>
        <v>0.49510458167330673</v>
      </c>
      <c r="N512" s="300">
        <f>IF($G512="E",$M512*('Model Data Inputs'!$B$171-1),IF($G512="M",$M512*('Model Data Inputs'!$B$172-1),IF($G512="H",$M512*('Model Data Inputs'!$B$173-1),$M512*('Model Data Inputs'!$B$170-1))))</f>
        <v>0</v>
      </c>
      <c r="O512" s="300">
        <f t="shared" si="15"/>
        <v>0.49510458167330673</v>
      </c>
    </row>
    <row r="513" spans="1:15" s="40" customFormat="1" x14ac:dyDescent="0.2">
      <c r="A513" s="20" t="s">
        <v>96</v>
      </c>
      <c r="B513" s="20" t="s">
        <v>97</v>
      </c>
      <c r="C513" s="20" t="s">
        <v>2189</v>
      </c>
      <c r="D513" s="20" t="s">
        <v>2190</v>
      </c>
      <c r="E513" s="298">
        <v>29970</v>
      </c>
      <c r="F513" s="138" t="s">
        <v>1159</v>
      </c>
      <c r="G513" s="138" t="s">
        <v>1198</v>
      </c>
      <c r="H513" s="299">
        <f>'School Level ADM'!S336</f>
        <v>321.59966666666668</v>
      </c>
      <c r="I513" s="300">
        <v>9.68</v>
      </c>
      <c r="J513" s="300">
        <f>IF(OR($E513&lt;='Model Data Inputs'!$B$175,$F513="T"),$I513,IF($G513="E",'Model Data Inputs'!$B$176+$H513/'Model Data Inputs'!$B$179,IF($G513="M",'Model Data Inputs'!$B$177+$H513/'Model Data Inputs'!$B$179,IF($G513="H",'Model Data Inputs'!$B$178+$H513/'Model Data Inputs'!$B$179,IF($G513="N/A",0,$I513)))))</f>
        <v>9.68</v>
      </c>
      <c r="K513" s="300">
        <f t="shared" si="14"/>
        <v>9.68</v>
      </c>
      <c r="L513" s="300">
        <f>$K513*'Model Data Inputs'!$B$168</f>
        <v>900.24</v>
      </c>
      <c r="M513" s="300">
        <f>$L513/'Model Data Inputs'!$B$169</f>
        <v>0.44832669322709162</v>
      </c>
      <c r="N513" s="300">
        <f>IF($G513="E",$M513*('Model Data Inputs'!$B$171-1),IF($G513="M",$M513*('Model Data Inputs'!$B$172-1),IF($G513="H",$M513*('Model Data Inputs'!$B$173-1),$M513*('Model Data Inputs'!$B$170-1))))</f>
        <v>0</v>
      </c>
      <c r="O513" s="300">
        <f t="shared" si="15"/>
        <v>0.44832669322709162</v>
      </c>
    </row>
    <row r="514" spans="1:15" s="40" customFormat="1" x14ac:dyDescent="0.2">
      <c r="A514" s="20" t="s">
        <v>96</v>
      </c>
      <c r="B514" s="20" t="s">
        <v>97</v>
      </c>
      <c r="C514" s="20" t="s">
        <v>2191</v>
      </c>
      <c r="D514" s="20" t="s">
        <v>2192</v>
      </c>
      <c r="E514" s="298">
        <v>29502</v>
      </c>
      <c r="F514" s="138" t="s">
        <v>1159</v>
      </c>
      <c r="G514" s="138" t="s">
        <v>1198</v>
      </c>
      <c r="H514" s="299">
        <f>'School Level ADM'!S337</f>
        <v>302.17166666666662</v>
      </c>
      <c r="I514" s="300">
        <v>16.88</v>
      </c>
      <c r="J514" s="300">
        <f>IF(OR($E514&lt;='Model Data Inputs'!$B$175,$F514="T"),$I514,IF($G514="E",'Model Data Inputs'!$B$176+$H514/'Model Data Inputs'!$B$179,IF($G514="M",'Model Data Inputs'!$B$177+$H514/'Model Data Inputs'!$B$179,IF($G514="H",'Model Data Inputs'!$B$178+$H514/'Model Data Inputs'!$B$179,IF($G514="N/A",0,$I514)))))</f>
        <v>16.88</v>
      </c>
      <c r="K514" s="300">
        <f t="shared" si="14"/>
        <v>16.88</v>
      </c>
      <c r="L514" s="300">
        <f>$K514*'Model Data Inputs'!$B$168</f>
        <v>1569.84</v>
      </c>
      <c r="M514" s="300">
        <f>$L514/'Model Data Inputs'!$B$169</f>
        <v>0.7817928286852589</v>
      </c>
      <c r="N514" s="300">
        <f>IF($G514="E",$M514*('Model Data Inputs'!$B$171-1),IF($G514="M",$M514*('Model Data Inputs'!$B$172-1),IF($G514="H",$M514*('Model Data Inputs'!$B$173-1),$M514*('Model Data Inputs'!$B$170-1))))</f>
        <v>0</v>
      </c>
      <c r="O514" s="300">
        <f t="shared" si="15"/>
        <v>0.7817928286852589</v>
      </c>
    </row>
    <row r="515" spans="1:15" s="40" customFormat="1" x14ac:dyDescent="0.2">
      <c r="A515" s="20" t="s">
        <v>96</v>
      </c>
      <c r="B515" s="20" t="s">
        <v>97</v>
      </c>
      <c r="C515" s="20" t="s">
        <v>2193</v>
      </c>
      <c r="D515" s="20" t="s">
        <v>2194</v>
      </c>
      <c r="E515" s="298">
        <v>13221</v>
      </c>
      <c r="F515" s="138" t="s">
        <v>1159</v>
      </c>
      <c r="G515" s="138" t="s">
        <v>1205</v>
      </c>
      <c r="H515" s="299">
        <f>'School Level ADM'!S338</f>
        <v>311.23766666666666</v>
      </c>
      <c r="I515" s="300">
        <v>11.32</v>
      </c>
      <c r="J515" s="300">
        <f>IF(OR($E515&lt;='Model Data Inputs'!$B$175,$F515="T"),$I515,IF($G515="E",'Model Data Inputs'!$B$176+$H515/'Model Data Inputs'!$B$179,IF($G515="M",'Model Data Inputs'!$B$177+$H515/'Model Data Inputs'!$B$179,IF($G515="H",'Model Data Inputs'!$B$178+$H515/'Model Data Inputs'!$B$179,IF($G515="N/A",0,$I515)))))</f>
        <v>11.32</v>
      </c>
      <c r="K515" s="300">
        <f t="shared" si="14"/>
        <v>11.32</v>
      </c>
      <c r="L515" s="300">
        <f>$K515*'Model Data Inputs'!$B$168</f>
        <v>1052.76</v>
      </c>
      <c r="M515" s="300">
        <f>$L515/'Model Data Inputs'!$B$169</f>
        <v>0.52428286852589645</v>
      </c>
      <c r="N515" s="300">
        <f>IF($G515="E",$M515*('Model Data Inputs'!$B$171-1),IF($G515="M",$M515*('Model Data Inputs'!$B$172-1),IF($G515="H",$M515*('Model Data Inputs'!$B$173-1),$M515*('Model Data Inputs'!$B$170-1))))</f>
        <v>0.26214143426294823</v>
      </c>
      <c r="O515" s="300">
        <f t="shared" si="15"/>
        <v>0.78642430278884468</v>
      </c>
    </row>
    <row r="516" spans="1:15" s="40" customFormat="1" x14ac:dyDescent="0.2">
      <c r="A516" s="20" t="s">
        <v>96</v>
      </c>
      <c r="B516" s="20" t="s">
        <v>97</v>
      </c>
      <c r="C516" s="20" t="s">
        <v>2195</v>
      </c>
      <c r="D516" s="20" t="s">
        <v>2196</v>
      </c>
      <c r="E516" s="298">
        <v>28249</v>
      </c>
      <c r="F516" s="138" t="s">
        <v>1159</v>
      </c>
      <c r="G516" s="138" t="s">
        <v>1205</v>
      </c>
      <c r="H516" s="299">
        <f>'School Level ADM'!S339</f>
        <v>307.37599999999998</v>
      </c>
      <c r="I516" s="300">
        <v>22.88</v>
      </c>
      <c r="J516" s="300">
        <f>IF(OR($E516&lt;='Model Data Inputs'!$B$175,$F516="T"),$I516,IF($G516="E",'Model Data Inputs'!$B$176+$H516/'Model Data Inputs'!$B$179,IF($G516="M",'Model Data Inputs'!$B$177+$H516/'Model Data Inputs'!$B$179,IF($G516="H",'Model Data Inputs'!$B$178+$H516/'Model Data Inputs'!$B$179,IF($G516="N/A",0,$I516)))))</f>
        <v>22.88</v>
      </c>
      <c r="K516" s="300">
        <f t="shared" si="14"/>
        <v>22.88</v>
      </c>
      <c r="L516" s="300">
        <f>$K516*'Model Data Inputs'!$B$168</f>
        <v>2127.8399999999997</v>
      </c>
      <c r="M516" s="300">
        <f>$L516/'Model Data Inputs'!$B$169</f>
        <v>1.0596812749003983</v>
      </c>
      <c r="N516" s="300">
        <f>IF($G516="E",$M516*('Model Data Inputs'!$B$171-1),IF($G516="M",$M516*('Model Data Inputs'!$B$172-1),IF($G516="H",$M516*('Model Data Inputs'!$B$173-1),$M516*('Model Data Inputs'!$B$170-1))))</f>
        <v>0.52984063745019916</v>
      </c>
      <c r="O516" s="300">
        <f t="shared" si="15"/>
        <v>1.5895219123505975</v>
      </c>
    </row>
    <row r="517" spans="1:15" s="40" customFormat="1" x14ac:dyDescent="0.2">
      <c r="A517" s="20" t="s">
        <v>96</v>
      </c>
      <c r="B517" s="20" t="s">
        <v>97</v>
      </c>
      <c r="C517" s="20" t="s">
        <v>2197</v>
      </c>
      <c r="D517" s="20" t="s">
        <v>2198</v>
      </c>
      <c r="E517" s="298">
        <v>30578</v>
      </c>
      <c r="F517" s="138" t="s">
        <v>1159</v>
      </c>
      <c r="G517" s="138" t="s">
        <v>1228</v>
      </c>
      <c r="H517" s="299">
        <f>'School Level ADM'!S340</f>
        <v>736.125</v>
      </c>
      <c r="I517" s="300">
        <v>44.22</v>
      </c>
      <c r="J517" s="300">
        <f>IF(OR($E517&lt;='Model Data Inputs'!$B$175,$F517="T"),$I517,IF($G517="E",'Model Data Inputs'!$B$176+$H517/'Model Data Inputs'!$B$179,IF($G517="M",'Model Data Inputs'!$B$177+$H517/'Model Data Inputs'!$B$179,IF($G517="H",'Model Data Inputs'!$B$178+$H517/'Model Data Inputs'!$B$179,IF($G517="N/A",0,$I517)))))</f>
        <v>44.22</v>
      </c>
      <c r="K517" s="300">
        <f t="shared" si="14"/>
        <v>44.22</v>
      </c>
      <c r="L517" s="300">
        <f>$K517*'Model Data Inputs'!$B$168</f>
        <v>4112.46</v>
      </c>
      <c r="M517" s="300">
        <f>$L517/'Model Data Inputs'!$B$169</f>
        <v>2.0480378486055777</v>
      </c>
      <c r="N517" s="300">
        <f>IF($G517="E",$M517*('Model Data Inputs'!$B$171-1),IF($G517="M",$M517*('Model Data Inputs'!$B$172-1),IF($G517="H",$M517*('Model Data Inputs'!$B$173-1),$M517*('Model Data Inputs'!$B$170-1))))</f>
        <v>3.0720567729083665</v>
      </c>
      <c r="O517" s="300">
        <f t="shared" si="15"/>
        <v>5.1200946215139442</v>
      </c>
    </row>
    <row r="518" spans="1:15" s="40" customFormat="1" x14ac:dyDescent="0.2">
      <c r="A518" s="20" t="s">
        <v>96</v>
      </c>
      <c r="B518" s="20" t="s">
        <v>97</v>
      </c>
      <c r="C518" s="20" t="s">
        <v>2199</v>
      </c>
      <c r="D518" s="20" t="s">
        <v>2200</v>
      </c>
      <c r="E518" s="298">
        <v>33785</v>
      </c>
      <c r="F518" s="138" t="s">
        <v>1159</v>
      </c>
      <c r="G518" s="138">
        <v>0</v>
      </c>
      <c r="H518" s="299" t="s">
        <v>1191</v>
      </c>
      <c r="I518" s="300">
        <v>60.01</v>
      </c>
      <c r="J518" s="300">
        <f>IF(OR($E518&lt;='Model Data Inputs'!$B$175,$F518="T"),$I518,IF($G518="E",'Model Data Inputs'!$B$176+$H518/'Model Data Inputs'!$B$179,IF($G518="M",'Model Data Inputs'!$B$177+$H518/'Model Data Inputs'!$B$179,IF($G518="H",'Model Data Inputs'!$B$178+$H518/'Model Data Inputs'!$B$179,IF($G518="N/A",0,$I518)))))</f>
        <v>60.01</v>
      </c>
      <c r="K518" s="300">
        <f t="shared" ref="K518:K557" si="16">IF(AND($A$2=2,OR(G518=0,G518="N/A")),0,IF($I518&lt;$J518,$I518,$J518))</f>
        <v>0</v>
      </c>
      <c r="L518" s="300">
        <f>$K518*'Model Data Inputs'!$B$168</f>
        <v>0</v>
      </c>
      <c r="M518" s="300">
        <f>$L518/'Model Data Inputs'!$B$169</f>
        <v>0</v>
      </c>
      <c r="N518" s="300">
        <f>IF($G518="E",$M518*('Model Data Inputs'!$B$171-1),IF($G518="M",$M518*('Model Data Inputs'!$B$172-1),IF($G518="H",$M518*('Model Data Inputs'!$B$173-1),$M518*('Model Data Inputs'!$B$170-1))))</f>
        <v>0</v>
      </c>
      <c r="O518" s="300">
        <f t="shared" si="15"/>
        <v>0</v>
      </c>
    </row>
    <row r="519" spans="1:15" s="40" customFormat="1" x14ac:dyDescent="0.2">
      <c r="A519" s="20" t="s">
        <v>96</v>
      </c>
      <c r="B519" s="20" t="s">
        <v>97</v>
      </c>
      <c r="C519" s="20" t="s">
        <v>2201</v>
      </c>
      <c r="D519" s="20" t="s">
        <v>1047</v>
      </c>
      <c r="E519" s="298">
        <v>40247</v>
      </c>
      <c r="F519" s="138" t="s">
        <v>1159</v>
      </c>
      <c r="G519" s="138" t="s">
        <v>1228</v>
      </c>
      <c r="H519" s="299">
        <f>'School Level ADM'!S341</f>
        <v>56.727000000000004</v>
      </c>
      <c r="I519" s="300">
        <v>3.85</v>
      </c>
      <c r="J519" s="300">
        <f>IF(OR($E519&lt;='Model Data Inputs'!$B$175,$F519="T"),$I519,IF($G519="E",'Model Data Inputs'!$B$176+$H519/'Model Data Inputs'!$B$179,IF($G519="M",'Model Data Inputs'!$B$177+$H519/'Model Data Inputs'!$B$179,IF($G519="H",'Model Data Inputs'!$B$178+$H519/'Model Data Inputs'!$B$179,IF($G519="N/A",0,$I519)))))</f>
        <v>20.567270000000001</v>
      </c>
      <c r="K519" s="300">
        <f t="shared" si="16"/>
        <v>3.85</v>
      </c>
      <c r="L519" s="300">
        <f>$K519*'Model Data Inputs'!$B$168</f>
        <v>358.05</v>
      </c>
      <c r="M519" s="300">
        <f>$L519/'Model Data Inputs'!$B$169</f>
        <v>0.17831175298804783</v>
      </c>
      <c r="N519" s="300">
        <f>IF($G519="E",$M519*('Model Data Inputs'!$B$171-1),IF($G519="M",$M519*('Model Data Inputs'!$B$172-1),IF($G519="H",$M519*('Model Data Inputs'!$B$173-1),$M519*('Model Data Inputs'!$B$170-1))))</f>
        <v>0.26746762948207176</v>
      </c>
      <c r="O519" s="300">
        <f t="shared" si="15"/>
        <v>0.44577938247011961</v>
      </c>
    </row>
    <row r="520" spans="1:15" s="40" customFormat="1" x14ac:dyDescent="0.2">
      <c r="A520" s="20" t="s">
        <v>98</v>
      </c>
      <c r="B520" s="20" t="s">
        <v>99</v>
      </c>
      <c r="C520" s="20" t="s">
        <v>2202</v>
      </c>
      <c r="D520" s="20" t="s">
        <v>2203</v>
      </c>
      <c r="E520" s="298">
        <v>32650</v>
      </c>
      <c r="F520" s="138" t="s">
        <v>1159</v>
      </c>
      <c r="G520" s="138">
        <v>0</v>
      </c>
      <c r="H520" s="299" t="s">
        <v>1191</v>
      </c>
      <c r="I520" s="300">
        <v>1.38</v>
      </c>
      <c r="J520" s="300">
        <f>IF(OR($E520&lt;='Model Data Inputs'!$B$175,$F520="T"),$I520,IF($G520="E",'Model Data Inputs'!$B$176+$H520/'Model Data Inputs'!$B$179,IF($G520="M",'Model Data Inputs'!$B$177+$H520/'Model Data Inputs'!$B$179,IF($G520="H",'Model Data Inputs'!$B$178+$H520/'Model Data Inputs'!$B$179,IF($G520="N/A",0,$I520)))))</f>
        <v>1.38</v>
      </c>
      <c r="K520" s="300">
        <f t="shared" si="16"/>
        <v>0</v>
      </c>
      <c r="L520" s="300">
        <f>$K520*'Model Data Inputs'!$B$168</f>
        <v>0</v>
      </c>
      <c r="M520" s="300">
        <f>$L520/'Model Data Inputs'!$B$169</f>
        <v>0</v>
      </c>
      <c r="N520" s="300">
        <f>IF($G520="E",$M520*('Model Data Inputs'!$B$171-1),IF($G520="M",$M520*('Model Data Inputs'!$B$172-1),IF($G520="H",$M520*('Model Data Inputs'!$B$173-1),$M520*('Model Data Inputs'!$B$170-1))))</f>
        <v>0</v>
      </c>
      <c r="O520" s="300">
        <f t="shared" si="15"/>
        <v>0</v>
      </c>
    </row>
    <row r="521" spans="1:15" s="40" customFormat="1" x14ac:dyDescent="0.2">
      <c r="A521" s="20" t="s">
        <v>98</v>
      </c>
      <c r="B521" s="20" t="s">
        <v>99</v>
      </c>
      <c r="C521" s="20" t="s">
        <v>2204</v>
      </c>
      <c r="D521" s="20" t="s">
        <v>2205</v>
      </c>
      <c r="E521" s="298">
        <v>616</v>
      </c>
      <c r="F521" s="138" t="s">
        <v>1159</v>
      </c>
      <c r="G521" s="138" t="s">
        <v>1191</v>
      </c>
      <c r="H521" s="299" t="s">
        <v>1191</v>
      </c>
      <c r="I521" s="300">
        <v>3.55</v>
      </c>
      <c r="J521" s="300">
        <f>IF(OR($E521&lt;='Model Data Inputs'!$B$175,$F521="T"),$I521,IF($G521="E",'Model Data Inputs'!$B$176+$H521/'Model Data Inputs'!$B$179,IF($G521="M",'Model Data Inputs'!$B$177+$H521/'Model Data Inputs'!$B$179,IF($G521="H",'Model Data Inputs'!$B$178+$H521/'Model Data Inputs'!$B$179,IF($G521="N/A",0,$I521)))))</f>
        <v>3.55</v>
      </c>
      <c r="K521" s="300">
        <f t="shared" si="16"/>
        <v>0</v>
      </c>
      <c r="L521" s="300">
        <f>$K521*'Model Data Inputs'!$B$168</f>
        <v>0</v>
      </c>
      <c r="M521" s="300">
        <f>$L521/'Model Data Inputs'!$B$169</f>
        <v>0</v>
      </c>
      <c r="N521" s="300">
        <f>IF($G521="E",$M521*('Model Data Inputs'!$B$171-1),IF($G521="M",$M521*('Model Data Inputs'!$B$172-1),IF($G521="H",$M521*('Model Data Inputs'!$B$173-1),$M521*('Model Data Inputs'!$B$170-1))))</f>
        <v>0</v>
      </c>
      <c r="O521" s="300">
        <f t="shared" si="15"/>
        <v>0</v>
      </c>
    </row>
    <row r="522" spans="1:15" s="40" customFormat="1" x14ac:dyDescent="0.2">
      <c r="A522" s="20" t="s">
        <v>98</v>
      </c>
      <c r="B522" s="20" t="s">
        <v>99</v>
      </c>
      <c r="C522" s="20" t="s">
        <v>2206</v>
      </c>
      <c r="D522" s="20" t="s">
        <v>2207</v>
      </c>
      <c r="E522" s="298">
        <v>29991</v>
      </c>
      <c r="F522" s="138" t="s">
        <v>1159</v>
      </c>
      <c r="G522" s="138" t="s">
        <v>1191</v>
      </c>
      <c r="H522" s="299" t="s">
        <v>1191</v>
      </c>
      <c r="I522" s="300">
        <v>7.15</v>
      </c>
      <c r="J522" s="300">
        <f>IF(OR($E522&lt;='Model Data Inputs'!$B$175,$F522="T"),$I522,IF($G522="E",'Model Data Inputs'!$B$176+$H522/'Model Data Inputs'!$B$179,IF($G522="M",'Model Data Inputs'!$B$177+$H522/'Model Data Inputs'!$B$179,IF($G522="H",'Model Data Inputs'!$B$178+$H522/'Model Data Inputs'!$B$179,IF($G522="N/A",0,$I522)))))</f>
        <v>7.15</v>
      </c>
      <c r="K522" s="300">
        <f t="shared" si="16"/>
        <v>0</v>
      </c>
      <c r="L522" s="300">
        <f>$K522*'Model Data Inputs'!$B$168</f>
        <v>0</v>
      </c>
      <c r="M522" s="300">
        <f>$L522/'Model Data Inputs'!$B$169</f>
        <v>0</v>
      </c>
      <c r="N522" s="300">
        <f>IF($G522="E",$M522*('Model Data Inputs'!$B$171-1),IF($G522="M",$M522*('Model Data Inputs'!$B$172-1),IF($G522="H",$M522*('Model Data Inputs'!$B$173-1),$M522*('Model Data Inputs'!$B$170-1))))</f>
        <v>0</v>
      </c>
      <c r="O522" s="300">
        <f t="shared" si="15"/>
        <v>0</v>
      </c>
    </row>
    <row r="523" spans="1:15" s="40" customFormat="1" x14ac:dyDescent="0.2">
      <c r="A523" s="20" t="s">
        <v>98</v>
      </c>
      <c r="B523" s="20" t="s">
        <v>99</v>
      </c>
      <c r="C523" s="20" t="s">
        <v>2208</v>
      </c>
      <c r="D523" s="20" t="s">
        <v>2209</v>
      </c>
      <c r="E523" s="298">
        <v>6941</v>
      </c>
      <c r="F523" s="138" t="s">
        <v>1159</v>
      </c>
      <c r="G523" s="138" t="s">
        <v>1191</v>
      </c>
      <c r="H523" s="299" t="s">
        <v>1191</v>
      </c>
      <c r="I523" s="300">
        <v>1.2</v>
      </c>
      <c r="J523" s="300">
        <f>IF(OR($E523&lt;='Model Data Inputs'!$B$175,$F523="T"),$I523,IF($G523="E",'Model Data Inputs'!$B$176+$H523/'Model Data Inputs'!$B$179,IF($G523="M",'Model Data Inputs'!$B$177+$H523/'Model Data Inputs'!$B$179,IF($G523="H",'Model Data Inputs'!$B$178+$H523/'Model Data Inputs'!$B$179,IF($G523="N/A",0,$I523)))))</f>
        <v>1.2</v>
      </c>
      <c r="K523" s="300">
        <f t="shared" si="16"/>
        <v>0</v>
      </c>
      <c r="L523" s="300">
        <f>$K523*'Model Data Inputs'!$B$168</f>
        <v>0</v>
      </c>
      <c r="M523" s="300">
        <f>$L523/'Model Data Inputs'!$B$169</f>
        <v>0</v>
      </c>
      <c r="N523" s="300">
        <f>IF($G523="E",$M523*('Model Data Inputs'!$B$171-1),IF($G523="M",$M523*('Model Data Inputs'!$B$172-1),IF($G523="H",$M523*('Model Data Inputs'!$B$173-1),$M523*('Model Data Inputs'!$B$170-1))))</f>
        <v>0</v>
      </c>
      <c r="O523" s="300">
        <f t="shared" si="15"/>
        <v>0</v>
      </c>
    </row>
    <row r="524" spans="1:15" s="40" customFormat="1" x14ac:dyDescent="0.2">
      <c r="A524" s="20" t="s">
        <v>98</v>
      </c>
      <c r="B524" s="20" t="s">
        <v>99</v>
      </c>
      <c r="C524" s="20" t="s">
        <v>2210</v>
      </c>
      <c r="D524" s="20" t="s">
        <v>2211</v>
      </c>
      <c r="E524" s="298">
        <v>616</v>
      </c>
      <c r="F524" s="138" t="s">
        <v>1159</v>
      </c>
      <c r="G524" s="138" t="s">
        <v>1191</v>
      </c>
      <c r="H524" s="299" t="s">
        <v>1191</v>
      </c>
      <c r="I524" s="300">
        <v>3.55</v>
      </c>
      <c r="J524" s="300">
        <f>IF(OR($E524&lt;='Model Data Inputs'!$B$175,$F524="T"),$I524,IF($G524="E",'Model Data Inputs'!$B$176+$H524/'Model Data Inputs'!$B$179,IF($G524="M",'Model Data Inputs'!$B$177+$H524/'Model Data Inputs'!$B$179,IF($G524="H",'Model Data Inputs'!$B$178+$H524/'Model Data Inputs'!$B$179,IF($G524="N/A",0,$I524)))))</f>
        <v>3.55</v>
      </c>
      <c r="K524" s="300">
        <f t="shared" si="16"/>
        <v>0</v>
      </c>
      <c r="L524" s="300">
        <f>$K524*'Model Data Inputs'!$B$168</f>
        <v>0</v>
      </c>
      <c r="M524" s="300">
        <f>$L524/'Model Data Inputs'!$B$169</f>
        <v>0</v>
      </c>
      <c r="N524" s="300">
        <f>IF($G524="E",$M524*('Model Data Inputs'!$B$171-1),IF($G524="M",$M524*('Model Data Inputs'!$B$172-1),IF($G524="H",$M524*('Model Data Inputs'!$B$173-1),$M524*('Model Data Inputs'!$B$170-1))))</f>
        <v>0</v>
      </c>
      <c r="O524" s="300">
        <f t="shared" si="15"/>
        <v>0</v>
      </c>
    </row>
    <row r="525" spans="1:15" s="40" customFormat="1" x14ac:dyDescent="0.2">
      <c r="A525" s="20" t="s">
        <v>98</v>
      </c>
      <c r="B525" s="20" t="s">
        <v>99</v>
      </c>
      <c r="C525" s="20" t="s">
        <v>2212</v>
      </c>
      <c r="D525" s="20" t="s">
        <v>2213</v>
      </c>
      <c r="E525" s="298">
        <v>29774</v>
      </c>
      <c r="F525" s="138" t="s">
        <v>1159</v>
      </c>
      <c r="G525" s="138" t="s">
        <v>1228</v>
      </c>
      <c r="H525" s="299">
        <f>'School Level ADM'!S343</f>
        <v>230.13499999999999</v>
      </c>
      <c r="I525" s="300">
        <v>27.02</v>
      </c>
      <c r="J525" s="300">
        <f>IF(OR($E525&lt;='Model Data Inputs'!$B$175,$F525="T"),$I525,IF($G525="E",'Model Data Inputs'!$B$176+$H525/'Model Data Inputs'!$B$179,IF($G525="M",'Model Data Inputs'!$B$177+$H525/'Model Data Inputs'!$B$179,IF($G525="H",'Model Data Inputs'!$B$178+$H525/'Model Data Inputs'!$B$179,IF($G525="N/A",0,$I525)))))</f>
        <v>27.02</v>
      </c>
      <c r="K525" s="300">
        <f t="shared" si="16"/>
        <v>27.02</v>
      </c>
      <c r="L525" s="300">
        <f>$K525*'Model Data Inputs'!$B$168</f>
        <v>2512.86</v>
      </c>
      <c r="M525" s="300">
        <f>$L525/'Model Data Inputs'!$B$169</f>
        <v>1.2514243027888448</v>
      </c>
      <c r="N525" s="300">
        <f>IF($G525="E",$M525*('Model Data Inputs'!$B$171-1),IF($G525="M",$M525*('Model Data Inputs'!$B$172-1),IF($G525="H",$M525*('Model Data Inputs'!$B$173-1),$M525*('Model Data Inputs'!$B$170-1))))</f>
        <v>1.8771364541832671</v>
      </c>
      <c r="O525" s="300">
        <f t="shared" si="15"/>
        <v>3.1285607569721119</v>
      </c>
    </row>
    <row r="526" spans="1:15" s="40" customFormat="1" x14ac:dyDescent="0.2">
      <c r="A526" s="20" t="s">
        <v>98</v>
      </c>
      <c r="B526" s="20" t="s">
        <v>99</v>
      </c>
      <c r="C526" s="20" t="s">
        <v>2214</v>
      </c>
      <c r="D526" s="20" t="s">
        <v>2215</v>
      </c>
      <c r="E526" s="298">
        <v>33276</v>
      </c>
      <c r="F526" s="138" t="s">
        <v>1159</v>
      </c>
      <c r="G526" s="138">
        <v>0</v>
      </c>
      <c r="H526" s="299" t="s">
        <v>1191</v>
      </c>
      <c r="I526" s="300">
        <v>4.3</v>
      </c>
      <c r="J526" s="300">
        <f>IF(OR($E526&lt;='Model Data Inputs'!$B$175,$F526="T"),$I526,IF($G526="E",'Model Data Inputs'!$B$176+$H526/'Model Data Inputs'!$B$179,IF($G526="M",'Model Data Inputs'!$B$177+$H526/'Model Data Inputs'!$B$179,IF($G526="H",'Model Data Inputs'!$B$178+$H526/'Model Data Inputs'!$B$179,IF($G526="N/A",0,$I526)))))</f>
        <v>4.3</v>
      </c>
      <c r="K526" s="300">
        <f t="shared" si="16"/>
        <v>0</v>
      </c>
      <c r="L526" s="300">
        <f>$K526*'Model Data Inputs'!$B$168</f>
        <v>0</v>
      </c>
      <c r="M526" s="300">
        <f>$L526/'Model Data Inputs'!$B$169</f>
        <v>0</v>
      </c>
      <c r="N526" s="300">
        <f>IF($G526="E",$M526*('Model Data Inputs'!$B$171-1),IF($G526="M",$M526*('Model Data Inputs'!$B$172-1),IF($G526="H",$M526*('Model Data Inputs'!$B$173-1),$M526*('Model Data Inputs'!$B$170-1))))</f>
        <v>0</v>
      </c>
      <c r="O526" s="300">
        <f t="shared" si="15"/>
        <v>0</v>
      </c>
    </row>
    <row r="527" spans="1:15" s="40" customFormat="1" x14ac:dyDescent="0.2">
      <c r="A527" s="20" t="s">
        <v>98</v>
      </c>
      <c r="B527" s="20" t="s">
        <v>99</v>
      </c>
      <c r="C527" s="20" t="s">
        <v>2216</v>
      </c>
      <c r="D527" s="20" t="s">
        <v>2217</v>
      </c>
      <c r="E527" s="298">
        <v>31714</v>
      </c>
      <c r="F527" s="138" t="s">
        <v>1159</v>
      </c>
      <c r="G527" s="138">
        <v>0</v>
      </c>
      <c r="H527" s="299" t="s">
        <v>1191</v>
      </c>
      <c r="I527" s="300">
        <v>4.83</v>
      </c>
      <c r="J527" s="300">
        <f>IF(OR($E527&lt;='Model Data Inputs'!$B$175,$F527="T"),$I527,IF($G527="E",'Model Data Inputs'!$B$176+$H527/'Model Data Inputs'!$B$179,IF($G527="M",'Model Data Inputs'!$B$177+$H527/'Model Data Inputs'!$B$179,IF($G527="H",'Model Data Inputs'!$B$178+$H527/'Model Data Inputs'!$B$179,IF($G527="N/A",0,$I527)))))</f>
        <v>4.83</v>
      </c>
      <c r="K527" s="300">
        <f t="shared" si="16"/>
        <v>0</v>
      </c>
      <c r="L527" s="300">
        <f>$K527*'Model Data Inputs'!$B$168</f>
        <v>0</v>
      </c>
      <c r="M527" s="300">
        <f>$L527/'Model Data Inputs'!$B$169</f>
        <v>0</v>
      </c>
      <c r="N527" s="300">
        <f>IF($G527="E",$M527*('Model Data Inputs'!$B$171-1),IF($G527="M",$M527*('Model Data Inputs'!$B$172-1),IF($G527="H",$M527*('Model Data Inputs'!$B$173-1),$M527*('Model Data Inputs'!$B$170-1))))</f>
        <v>0</v>
      </c>
      <c r="O527" s="300">
        <f t="shared" si="15"/>
        <v>0</v>
      </c>
    </row>
    <row r="528" spans="1:15" s="40" customFormat="1" x14ac:dyDescent="0.2">
      <c r="A528" s="20" t="s">
        <v>98</v>
      </c>
      <c r="B528" s="20" t="s">
        <v>99</v>
      </c>
      <c r="C528" s="20" t="s">
        <v>2218</v>
      </c>
      <c r="D528" s="20" t="s">
        <v>2219</v>
      </c>
      <c r="E528" s="298">
        <v>24267</v>
      </c>
      <c r="F528" s="138" t="s">
        <v>1159</v>
      </c>
      <c r="G528" s="138">
        <v>0</v>
      </c>
      <c r="H528" s="299" t="s">
        <v>1191</v>
      </c>
      <c r="I528" s="300">
        <v>0.84</v>
      </c>
      <c r="J528" s="300">
        <f>IF(OR($E528&lt;='Model Data Inputs'!$B$175,$F528="T"),$I528,IF($G528="E",'Model Data Inputs'!$B$176+$H528/'Model Data Inputs'!$B$179,IF($G528="M",'Model Data Inputs'!$B$177+$H528/'Model Data Inputs'!$B$179,IF($G528="H",'Model Data Inputs'!$B$178+$H528/'Model Data Inputs'!$B$179,IF($G528="N/A",0,$I528)))))</f>
        <v>0.84</v>
      </c>
      <c r="K528" s="300">
        <f t="shared" si="16"/>
        <v>0</v>
      </c>
      <c r="L528" s="300">
        <f>$K528*'Model Data Inputs'!$B$168</f>
        <v>0</v>
      </c>
      <c r="M528" s="300">
        <f>$L528/'Model Data Inputs'!$B$169</f>
        <v>0</v>
      </c>
      <c r="N528" s="300">
        <f>IF($G528="E",$M528*('Model Data Inputs'!$B$171-1),IF($G528="M",$M528*('Model Data Inputs'!$B$172-1),IF($G528="H",$M528*('Model Data Inputs'!$B$173-1),$M528*('Model Data Inputs'!$B$170-1))))</f>
        <v>0</v>
      </c>
      <c r="O528" s="300">
        <f t="shared" si="15"/>
        <v>0</v>
      </c>
    </row>
    <row r="529" spans="1:15" s="40" customFormat="1" x14ac:dyDescent="0.2">
      <c r="A529" s="20" t="s">
        <v>98</v>
      </c>
      <c r="B529" s="20" t="s">
        <v>99</v>
      </c>
      <c r="C529" s="20" t="s">
        <v>2220</v>
      </c>
      <c r="D529" s="20" t="s">
        <v>2221</v>
      </c>
      <c r="E529" s="298">
        <v>27849</v>
      </c>
      <c r="F529" s="138" t="s">
        <v>1159</v>
      </c>
      <c r="G529" s="138">
        <v>0</v>
      </c>
      <c r="H529" s="299" t="s">
        <v>1191</v>
      </c>
      <c r="I529" s="300">
        <v>0.41</v>
      </c>
      <c r="J529" s="300">
        <f>IF(OR($E529&lt;='Model Data Inputs'!$B$175,$F529="T"),$I529,IF($G529="E",'Model Data Inputs'!$B$176+$H529/'Model Data Inputs'!$B$179,IF($G529="M",'Model Data Inputs'!$B$177+$H529/'Model Data Inputs'!$B$179,IF($G529="H",'Model Data Inputs'!$B$178+$H529/'Model Data Inputs'!$B$179,IF($G529="N/A",0,$I529)))))</f>
        <v>0.41</v>
      </c>
      <c r="K529" s="300">
        <f t="shared" si="16"/>
        <v>0</v>
      </c>
      <c r="L529" s="300">
        <f>$K529*'Model Data Inputs'!$B$168</f>
        <v>0</v>
      </c>
      <c r="M529" s="300">
        <f>$L529/'Model Data Inputs'!$B$169</f>
        <v>0</v>
      </c>
      <c r="N529" s="300">
        <f>IF($G529="E",$M529*('Model Data Inputs'!$B$171-1),IF($G529="M",$M529*('Model Data Inputs'!$B$172-1),IF($G529="H",$M529*('Model Data Inputs'!$B$173-1),$M529*('Model Data Inputs'!$B$170-1))))</f>
        <v>0</v>
      </c>
      <c r="O529" s="300">
        <f t="shared" si="15"/>
        <v>0</v>
      </c>
    </row>
    <row r="530" spans="1:15" s="40" customFormat="1" x14ac:dyDescent="0.2">
      <c r="A530" s="20" t="s">
        <v>98</v>
      </c>
      <c r="B530" s="20" t="s">
        <v>99</v>
      </c>
      <c r="C530" s="20" t="s">
        <v>2222</v>
      </c>
      <c r="D530" s="20" t="s">
        <v>2223</v>
      </c>
      <c r="E530" s="298">
        <v>6858</v>
      </c>
      <c r="F530" s="138" t="s">
        <v>1159</v>
      </c>
      <c r="G530" s="138">
        <v>0</v>
      </c>
      <c r="H530" s="299" t="s">
        <v>1191</v>
      </c>
      <c r="I530" s="300">
        <v>1</v>
      </c>
      <c r="J530" s="300">
        <f>IF(OR($E530&lt;='Model Data Inputs'!$B$175,$F530="T"),$I530,IF($G530="E",'Model Data Inputs'!$B$176+$H530/'Model Data Inputs'!$B$179,IF($G530="M",'Model Data Inputs'!$B$177+$H530/'Model Data Inputs'!$B$179,IF($G530="H",'Model Data Inputs'!$B$178+$H530/'Model Data Inputs'!$B$179,IF($G530="N/A",0,$I530)))))</f>
        <v>1</v>
      </c>
      <c r="K530" s="300">
        <f t="shared" si="16"/>
        <v>0</v>
      </c>
      <c r="L530" s="300">
        <f>$K530*'Model Data Inputs'!$B$168</f>
        <v>0</v>
      </c>
      <c r="M530" s="300">
        <f>$L530/'Model Data Inputs'!$B$169</f>
        <v>0</v>
      </c>
      <c r="N530" s="300">
        <f>IF($G530="E",$M530*('Model Data Inputs'!$B$171-1),IF($G530="M",$M530*('Model Data Inputs'!$B$172-1),IF($G530="H",$M530*('Model Data Inputs'!$B$173-1),$M530*('Model Data Inputs'!$B$170-1))))</f>
        <v>0</v>
      </c>
      <c r="O530" s="300">
        <f t="shared" ref="O530:O557" si="17">SUM($M530:$N530)</f>
        <v>0</v>
      </c>
    </row>
    <row r="531" spans="1:15" s="40" customFormat="1" x14ac:dyDescent="0.2">
      <c r="A531" s="20" t="s">
        <v>98</v>
      </c>
      <c r="B531" s="20" t="s">
        <v>99</v>
      </c>
      <c r="C531" s="20" t="s">
        <v>2224</v>
      </c>
      <c r="D531" s="20" t="s">
        <v>2225</v>
      </c>
      <c r="E531" s="298">
        <v>11560</v>
      </c>
      <c r="F531" s="138" t="s">
        <v>1159</v>
      </c>
      <c r="G531" s="138">
        <v>0</v>
      </c>
      <c r="H531" s="299" t="s">
        <v>1191</v>
      </c>
      <c r="I531" s="300">
        <v>2.42</v>
      </c>
      <c r="J531" s="300">
        <f>IF(OR($E531&lt;='Model Data Inputs'!$B$175,$F531="T"),$I531,IF($G531="E",'Model Data Inputs'!$B$176+$H531/'Model Data Inputs'!$B$179,IF($G531="M",'Model Data Inputs'!$B$177+$H531/'Model Data Inputs'!$B$179,IF($G531="H",'Model Data Inputs'!$B$178+$H531/'Model Data Inputs'!$B$179,IF($G531="N/A",0,$I531)))))</f>
        <v>2.42</v>
      </c>
      <c r="K531" s="300">
        <f t="shared" si="16"/>
        <v>0</v>
      </c>
      <c r="L531" s="300">
        <f>$K531*'Model Data Inputs'!$B$168</f>
        <v>0</v>
      </c>
      <c r="M531" s="300">
        <f>$L531/'Model Data Inputs'!$B$169</f>
        <v>0</v>
      </c>
      <c r="N531" s="300">
        <f>IF($G531="E",$M531*('Model Data Inputs'!$B$171-1),IF($G531="M",$M531*('Model Data Inputs'!$B$172-1),IF($G531="H",$M531*('Model Data Inputs'!$B$173-1),$M531*('Model Data Inputs'!$B$170-1))))</f>
        <v>0</v>
      </c>
      <c r="O531" s="300">
        <f t="shared" si="17"/>
        <v>0</v>
      </c>
    </row>
    <row r="532" spans="1:15" s="40" customFormat="1" x14ac:dyDescent="0.2">
      <c r="A532" s="20" t="s">
        <v>98</v>
      </c>
      <c r="B532" s="20" t="s">
        <v>99</v>
      </c>
      <c r="C532" s="20" t="s">
        <v>2226</v>
      </c>
      <c r="D532" s="20" t="s">
        <v>2227</v>
      </c>
      <c r="E532" s="298">
        <v>35612</v>
      </c>
      <c r="F532" s="138" t="s">
        <v>1159</v>
      </c>
      <c r="G532" s="138">
        <v>0</v>
      </c>
      <c r="H532" s="299" t="s">
        <v>1191</v>
      </c>
      <c r="I532" s="300">
        <v>1.696</v>
      </c>
      <c r="J532" s="300">
        <f>IF(OR($E532&lt;='Model Data Inputs'!$B$175,$F532="T"),$I532,IF($G532="E",'Model Data Inputs'!$B$176+$H532/'Model Data Inputs'!$B$179,IF($G532="M",'Model Data Inputs'!$B$177+$H532/'Model Data Inputs'!$B$179,IF($G532="H",'Model Data Inputs'!$B$178+$H532/'Model Data Inputs'!$B$179,IF($G532="N/A",0,$I532)))))</f>
        <v>1.696</v>
      </c>
      <c r="K532" s="300">
        <f t="shared" si="16"/>
        <v>0</v>
      </c>
      <c r="L532" s="300">
        <f>$K532*'Model Data Inputs'!$B$168</f>
        <v>0</v>
      </c>
      <c r="M532" s="300">
        <f>$L532/'Model Data Inputs'!$B$169</f>
        <v>0</v>
      </c>
      <c r="N532" s="300">
        <f>IF($G532="E",$M532*('Model Data Inputs'!$B$171-1),IF($G532="M",$M532*('Model Data Inputs'!$B$172-1),IF($G532="H",$M532*('Model Data Inputs'!$B$173-1),$M532*('Model Data Inputs'!$B$170-1))))</f>
        <v>0</v>
      </c>
      <c r="O532" s="300">
        <f t="shared" si="17"/>
        <v>0</v>
      </c>
    </row>
    <row r="533" spans="1:15" s="40" customFormat="1" x14ac:dyDescent="0.2">
      <c r="A533" s="20" t="s">
        <v>98</v>
      </c>
      <c r="B533" s="20" t="s">
        <v>99</v>
      </c>
      <c r="C533" s="20" t="s">
        <v>2228</v>
      </c>
      <c r="D533" s="20" t="s">
        <v>1049</v>
      </c>
      <c r="E533" s="298">
        <v>40553</v>
      </c>
      <c r="F533" s="138" t="s">
        <v>1159</v>
      </c>
      <c r="G533" s="138" t="s">
        <v>1205</v>
      </c>
      <c r="H533" s="299">
        <f>'School Level ADM'!S342</f>
        <v>605.84199999999998</v>
      </c>
      <c r="I533" s="300">
        <v>16.989999999999998</v>
      </c>
      <c r="J533" s="300">
        <f>IF(OR($E533&lt;='Model Data Inputs'!$B$175,$F533="T"),$I533,IF($G533="E",'Model Data Inputs'!$B$176+$H533/'Model Data Inputs'!$B$179,IF($G533="M",'Model Data Inputs'!$B$177+$H533/'Model Data Inputs'!$B$179,IF($G533="H",'Model Data Inputs'!$B$178+$H533/'Model Data Inputs'!$B$179,IF($G533="N/A",0,$I533)))))</f>
        <v>16.058419999999998</v>
      </c>
      <c r="K533" s="300">
        <f t="shared" si="16"/>
        <v>16.058419999999998</v>
      </c>
      <c r="L533" s="300">
        <f>$K533*'Model Data Inputs'!$B$168</f>
        <v>1493.4330599999998</v>
      </c>
      <c r="M533" s="300">
        <f>$L533/'Model Data Inputs'!$B$169</f>
        <v>0.74374156374501987</v>
      </c>
      <c r="N533" s="300">
        <f>IF($G533="E",$M533*('Model Data Inputs'!$B$171-1),IF($G533="M",$M533*('Model Data Inputs'!$B$172-1),IF($G533="H",$M533*('Model Data Inputs'!$B$173-1),$M533*('Model Data Inputs'!$B$170-1))))</f>
        <v>0.37187078187250994</v>
      </c>
      <c r="O533" s="300">
        <f t="shared" si="17"/>
        <v>1.1156123456175298</v>
      </c>
    </row>
    <row r="534" spans="1:15" s="40" customFormat="1" x14ac:dyDescent="0.2">
      <c r="A534" s="20" t="s">
        <v>100</v>
      </c>
      <c r="B534" s="20" t="s">
        <v>101</v>
      </c>
      <c r="C534" s="20" t="s">
        <v>2229</v>
      </c>
      <c r="D534" s="20" t="s">
        <v>2230</v>
      </c>
      <c r="E534" s="298">
        <v>27290</v>
      </c>
      <c r="F534" s="138" t="s">
        <v>1159</v>
      </c>
      <c r="G534" s="138">
        <v>0</v>
      </c>
      <c r="H534" s="299" t="s">
        <v>1191</v>
      </c>
      <c r="I534" s="300">
        <v>4.38</v>
      </c>
      <c r="J534" s="300">
        <f>IF(OR($E534&lt;='Model Data Inputs'!$B$175,$F534="T"),$I534,IF($G534="E",'Model Data Inputs'!$B$176+$H534/'Model Data Inputs'!$B$179,IF($G534="M",'Model Data Inputs'!$B$177+$H534/'Model Data Inputs'!$B$179,IF($G534="H",'Model Data Inputs'!$B$178+$H534/'Model Data Inputs'!$B$179,IF($G534="N/A",0,$I534)))))</f>
        <v>4.38</v>
      </c>
      <c r="K534" s="300">
        <f t="shared" si="16"/>
        <v>0</v>
      </c>
      <c r="L534" s="300">
        <f>$K534*'Model Data Inputs'!$B$168</f>
        <v>0</v>
      </c>
      <c r="M534" s="300">
        <f>$L534/'Model Data Inputs'!$B$169</f>
        <v>0</v>
      </c>
      <c r="N534" s="300">
        <f>IF($G534="E",$M534*('Model Data Inputs'!$B$171-1),IF($G534="M",$M534*('Model Data Inputs'!$B$172-1),IF($G534="H",$M534*('Model Data Inputs'!$B$173-1),$M534*('Model Data Inputs'!$B$170-1))))</f>
        <v>0</v>
      </c>
      <c r="O534" s="300">
        <f t="shared" si="17"/>
        <v>0</v>
      </c>
    </row>
    <row r="535" spans="1:15" s="40" customFormat="1" x14ac:dyDescent="0.2">
      <c r="A535" s="20" t="s">
        <v>100</v>
      </c>
      <c r="B535" s="20" t="s">
        <v>101</v>
      </c>
      <c r="C535" s="20" t="s">
        <v>2231</v>
      </c>
      <c r="D535" s="20" t="s">
        <v>2232</v>
      </c>
      <c r="E535" s="298">
        <v>35612</v>
      </c>
      <c r="F535" s="138" t="s">
        <v>1159</v>
      </c>
      <c r="G535" s="138" t="s">
        <v>1198</v>
      </c>
      <c r="H535" s="299">
        <f>'School Level ADM'!S344</f>
        <v>277.77</v>
      </c>
      <c r="I535" s="300">
        <v>8.0180000000000007</v>
      </c>
      <c r="J535" s="300">
        <f>IF(OR($E535&lt;='Model Data Inputs'!$B$175,$F535="T"),$I535,IF($G535="E",'Model Data Inputs'!$B$176+$H535/'Model Data Inputs'!$B$179,IF($G535="M",'Model Data Inputs'!$B$177+$H535/'Model Data Inputs'!$B$179,IF($G535="H",'Model Data Inputs'!$B$178+$H535/'Model Data Inputs'!$B$179,IF($G535="N/A",0,$I535)))))</f>
        <v>8.0180000000000007</v>
      </c>
      <c r="K535" s="300">
        <f t="shared" si="16"/>
        <v>8.0180000000000007</v>
      </c>
      <c r="L535" s="300">
        <f>$K535*'Model Data Inputs'!$B$168</f>
        <v>745.67400000000009</v>
      </c>
      <c r="M535" s="300">
        <f>$L535/'Model Data Inputs'!$B$169</f>
        <v>0.37135159362549808</v>
      </c>
      <c r="N535" s="300">
        <f>IF($G535="E",$M535*('Model Data Inputs'!$B$171-1),IF($G535="M",$M535*('Model Data Inputs'!$B$172-1),IF($G535="H",$M535*('Model Data Inputs'!$B$173-1),$M535*('Model Data Inputs'!$B$170-1))))</f>
        <v>0</v>
      </c>
      <c r="O535" s="300">
        <f t="shared" si="17"/>
        <v>0.37135159362549808</v>
      </c>
    </row>
    <row r="536" spans="1:15" s="40" customFormat="1" x14ac:dyDescent="0.2">
      <c r="A536" s="20" t="s">
        <v>100</v>
      </c>
      <c r="B536" s="20" t="s">
        <v>101</v>
      </c>
      <c r="C536" s="20" t="s">
        <v>2233</v>
      </c>
      <c r="D536" s="20" t="s">
        <v>1055</v>
      </c>
      <c r="E536" s="298">
        <v>8550</v>
      </c>
      <c r="F536" s="138" t="s">
        <v>1159</v>
      </c>
      <c r="G536" s="138" t="s">
        <v>1205</v>
      </c>
      <c r="H536" s="299">
        <f>'School Level ADM'!S345</f>
        <v>234.43</v>
      </c>
      <c r="I536" s="300">
        <v>5.41</v>
      </c>
      <c r="J536" s="300">
        <f>IF(OR($E536&lt;='Model Data Inputs'!$B$175,$F536="T"),$I536,IF($G536="E",'Model Data Inputs'!$B$176+$H536/'Model Data Inputs'!$B$179,IF($G536="M",'Model Data Inputs'!$B$177+$H536/'Model Data Inputs'!$B$179,IF($G536="H",'Model Data Inputs'!$B$178+$H536/'Model Data Inputs'!$B$179,IF($G536="N/A",0,$I536)))))</f>
        <v>5.41</v>
      </c>
      <c r="K536" s="300">
        <f t="shared" si="16"/>
        <v>5.41</v>
      </c>
      <c r="L536" s="300">
        <f>$K536*'Model Data Inputs'!$B$168</f>
        <v>503.13</v>
      </c>
      <c r="M536" s="300">
        <f>$L536/'Model Data Inputs'!$B$169</f>
        <v>0.25056274900398406</v>
      </c>
      <c r="N536" s="300">
        <f>IF($G536="E",$M536*('Model Data Inputs'!$B$171-1),IF($G536="M",$M536*('Model Data Inputs'!$B$172-1),IF($G536="H",$M536*('Model Data Inputs'!$B$173-1),$M536*('Model Data Inputs'!$B$170-1))))</f>
        <v>0.12528137450199203</v>
      </c>
      <c r="O536" s="300">
        <f t="shared" si="17"/>
        <v>0.37584412350597607</v>
      </c>
    </row>
    <row r="537" spans="1:15" s="40" customFormat="1" x14ac:dyDescent="0.2">
      <c r="A537" s="20" t="s">
        <v>100</v>
      </c>
      <c r="B537" s="20" t="s">
        <v>101</v>
      </c>
      <c r="C537" s="20" t="s">
        <v>2234</v>
      </c>
      <c r="D537" s="20" t="s">
        <v>2235</v>
      </c>
      <c r="E537" s="298">
        <v>5582</v>
      </c>
      <c r="F537" s="138" t="s">
        <v>1159</v>
      </c>
      <c r="G537" s="138" t="s">
        <v>1228</v>
      </c>
      <c r="H537" s="299">
        <f>'School Level ADM'!S346</f>
        <v>215.71500000000003</v>
      </c>
      <c r="I537" s="300">
        <v>40</v>
      </c>
      <c r="J537" s="300">
        <f>IF(OR($E537&lt;='Model Data Inputs'!$B$175,$F537="T"),$I537,IF($G537="E",'Model Data Inputs'!$B$176+$H537/'Model Data Inputs'!$B$179,IF($G537="M",'Model Data Inputs'!$B$177+$H537/'Model Data Inputs'!$B$179,IF($G537="H",'Model Data Inputs'!$B$178+$H537/'Model Data Inputs'!$B$179,IF($G537="N/A",0,$I537)))))</f>
        <v>40</v>
      </c>
      <c r="K537" s="300">
        <f t="shared" si="16"/>
        <v>40</v>
      </c>
      <c r="L537" s="300">
        <f>$K537*'Model Data Inputs'!$B$168</f>
        <v>3720</v>
      </c>
      <c r="M537" s="300">
        <f>$L537/'Model Data Inputs'!$B$169</f>
        <v>1.8525896414342629</v>
      </c>
      <c r="N537" s="300">
        <f>IF($G537="E",$M537*('Model Data Inputs'!$B$171-1),IF($G537="M",$M537*('Model Data Inputs'!$B$172-1),IF($G537="H",$M537*('Model Data Inputs'!$B$173-1),$M537*('Model Data Inputs'!$B$170-1))))</f>
        <v>2.7788844621513942</v>
      </c>
      <c r="O537" s="300">
        <f t="shared" si="17"/>
        <v>4.6314741035856573</v>
      </c>
    </row>
    <row r="538" spans="1:15" s="40" customFormat="1" x14ac:dyDescent="0.2">
      <c r="A538" s="20" t="s">
        <v>100</v>
      </c>
      <c r="B538" s="20" t="s">
        <v>101</v>
      </c>
      <c r="C538" s="20" t="s">
        <v>2236</v>
      </c>
      <c r="D538" s="20" t="s">
        <v>2237</v>
      </c>
      <c r="E538" s="298">
        <v>26928</v>
      </c>
      <c r="F538" s="138" t="s">
        <v>1159</v>
      </c>
      <c r="G538" s="138">
        <v>0</v>
      </c>
      <c r="H538" s="299" t="s">
        <v>1191</v>
      </c>
      <c r="I538" s="300">
        <v>2.62</v>
      </c>
      <c r="J538" s="300">
        <f>IF(OR($E538&lt;='Model Data Inputs'!$B$175,$F538="T"),$I538,IF($G538="E",'Model Data Inputs'!$B$176+$H538/'Model Data Inputs'!$B$179,IF($G538="M",'Model Data Inputs'!$B$177+$H538/'Model Data Inputs'!$B$179,IF($G538="H",'Model Data Inputs'!$B$178+$H538/'Model Data Inputs'!$B$179,IF($G538="N/A",0,$I538)))))</f>
        <v>2.62</v>
      </c>
      <c r="K538" s="300">
        <f t="shared" si="16"/>
        <v>0</v>
      </c>
      <c r="L538" s="300">
        <f>$K538*'Model Data Inputs'!$B$168</f>
        <v>0</v>
      </c>
      <c r="M538" s="300">
        <f>$L538/'Model Data Inputs'!$B$169</f>
        <v>0</v>
      </c>
      <c r="N538" s="300">
        <f>IF($G538="E",$M538*('Model Data Inputs'!$B$171-1),IF($G538="M",$M538*('Model Data Inputs'!$B$172-1),IF($G538="H",$M538*('Model Data Inputs'!$B$173-1),$M538*('Model Data Inputs'!$B$170-1))))</f>
        <v>0</v>
      </c>
      <c r="O538" s="300">
        <f t="shared" si="17"/>
        <v>0</v>
      </c>
    </row>
    <row r="539" spans="1:15" s="40" customFormat="1" x14ac:dyDescent="0.2">
      <c r="A539" s="20" t="s">
        <v>102</v>
      </c>
      <c r="B539" s="20" t="s">
        <v>103</v>
      </c>
      <c r="C539" s="20" t="s">
        <v>2238</v>
      </c>
      <c r="D539" s="20" t="s">
        <v>1898</v>
      </c>
      <c r="E539" s="298">
        <v>20547</v>
      </c>
      <c r="F539" s="138" t="s">
        <v>1159</v>
      </c>
      <c r="G539" s="138" t="s">
        <v>1198</v>
      </c>
      <c r="H539" s="299">
        <f>'School Level ADM'!S347</f>
        <v>190.28300000000002</v>
      </c>
      <c r="I539" s="300">
        <v>8.73</v>
      </c>
      <c r="J539" s="300">
        <f>IF(OR($E539&lt;='Model Data Inputs'!$B$175,$F539="T"),$I539,IF($G539="E",'Model Data Inputs'!$B$176+$H539/'Model Data Inputs'!$B$179,IF($G539="M",'Model Data Inputs'!$B$177+$H539/'Model Data Inputs'!$B$179,IF($G539="H",'Model Data Inputs'!$B$178+$H539/'Model Data Inputs'!$B$179,IF($G539="N/A",0,$I539)))))</f>
        <v>8.73</v>
      </c>
      <c r="K539" s="300">
        <f t="shared" si="16"/>
        <v>8.73</v>
      </c>
      <c r="L539" s="300">
        <f>$K539*'Model Data Inputs'!$B$168</f>
        <v>811.89</v>
      </c>
      <c r="M539" s="300">
        <f>$L539/'Model Data Inputs'!$B$169</f>
        <v>0.40432768924302787</v>
      </c>
      <c r="N539" s="300">
        <f>IF($G539="E",$M539*('Model Data Inputs'!$B$171-1),IF($G539="M",$M539*('Model Data Inputs'!$B$172-1),IF($G539="H",$M539*('Model Data Inputs'!$B$173-1),$M539*('Model Data Inputs'!$B$170-1))))</f>
        <v>0</v>
      </c>
      <c r="O539" s="300">
        <f t="shared" si="17"/>
        <v>0.40432768924302787</v>
      </c>
    </row>
    <row r="540" spans="1:15" s="40" customFormat="1" x14ac:dyDescent="0.2">
      <c r="A540" s="20" t="s">
        <v>102</v>
      </c>
      <c r="B540" s="20" t="s">
        <v>103</v>
      </c>
      <c r="C540" s="20" t="s">
        <v>2239</v>
      </c>
      <c r="D540" s="20" t="s">
        <v>2240</v>
      </c>
      <c r="E540" s="298">
        <v>18603</v>
      </c>
      <c r="F540" s="138" t="s">
        <v>1159</v>
      </c>
      <c r="G540" s="138" t="s">
        <v>1198</v>
      </c>
      <c r="H540" s="299">
        <f>'School Level ADM'!S348</f>
        <v>179.23366666666669</v>
      </c>
      <c r="I540" s="300">
        <v>5.13</v>
      </c>
      <c r="J540" s="300">
        <f>IF(OR($E540&lt;='Model Data Inputs'!$B$175,$F540="T"),$I540,IF($G540="E",'Model Data Inputs'!$B$176+$H540/'Model Data Inputs'!$B$179,IF($G540="M",'Model Data Inputs'!$B$177+$H540/'Model Data Inputs'!$B$179,IF($G540="H",'Model Data Inputs'!$B$178+$H540/'Model Data Inputs'!$B$179,IF($G540="N/A",0,$I540)))))</f>
        <v>5.13</v>
      </c>
      <c r="K540" s="300">
        <f t="shared" si="16"/>
        <v>5.13</v>
      </c>
      <c r="L540" s="300">
        <f>$K540*'Model Data Inputs'!$B$168</f>
        <v>477.09</v>
      </c>
      <c r="M540" s="300">
        <f>$L540/'Model Data Inputs'!$B$169</f>
        <v>0.2375946215139442</v>
      </c>
      <c r="N540" s="300">
        <f>IF($G540="E",$M540*('Model Data Inputs'!$B$171-1),IF($G540="M",$M540*('Model Data Inputs'!$B$172-1),IF($G540="H",$M540*('Model Data Inputs'!$B$173-1),$M540*('Model Data Inputs'!$B$170-1))))</f>
        <v>0</v>
      </c>
      <c r="O540" s="300">
        <f t="shared" si="17"/>
        <v>0.2375946215139442</v>
      </c>
    </row>
    <row r="541" spans="1:15" s="40" customFormat="1" x14ac:dyDescent="0.2">
      <c r="A541" s="20" t="s">
        <v>102</v>
      </c>
      <c r="B541" s="20" t="s">
        <v>103</v>
      </c>
      <c r="C541" s="20" t="s">
        <v>2241</v>
      </c>
      <c r="D541" s="20" t="s">
        <v>1884</v>
      </c>
      <c r="E541" s="298">
        <v>21993</v>
      </c>
      <c r="F541" s="138" t="s">
        <v>1159</v>
      </c>
      <c r="G541" s="138" t="s">
        <v>1198</v>
      </c>
      <c r="H541" s="299">
        <f>'School Level ADM'!S349</f>
        <v>218.02300000000002</v>
      </c>
      <c r="I541" s="300">
        <v>6.09</v>
      </c>
      <c r="J541" s="300">
        <f>IF(OR($E541&lt;='Model Data Inputs'!$B$175,$F541="T"),$I541,IF($G541="E",'Model Data Inputs'!$B$176+$H541/'Model Data Inputs'!$B$179,IF($G541="M",'Model Data Inputs'!$B$177+$H541/'Model Data Inputs'!$B$179,IF($G541="H",'Model Data Inputs'!$B$178+$H541/'Model Data Inputs'!$B$179,IF($G541="N/A",0,$I541)))))</f>
        <v>6.09</v>
      </c>
      <c r="K541" s="300">
        <f t="shared" si="16"/>
        <v>6.09</v>
      </c>
      <c r="L541" s="300">
        <f>$K541*'Model Data Inputs'!$B$168</f>
        <v>566.37</v>
      </c>
      <c r="M541" s="300">
        <f>$L541/'Model Data Inputs'!$B$169</f>
        <v>0.28205677290836656</v>
      </c>
      <c r="N541" s="300">
        <f>IF($G541="E",$M541*('Model Data Inputs'!$B$171-1),IF($G541="M",$M541*('Model Data Inputs'!$B$172-1),IF($G541="H",$M541*('Model Data Inputs'!$B$173-1),$M541*('Model Data Inputs'!$B$170-1))))</f>
        <v>0</v>
      </c>
      <c r="O541" s="300">
        <f t="shared" si="17"/>
        <v>0.28205677290836656</v>
      </c>
    </row>
    <row r="542" spans="1:15" s="40" customFormat="1" x14ac:dyDescent="0.2">
      <c r="A542" s="20" t="s">
        <v>102</v>
      </c>
      <c r="B542" s="20" t="s">
        <v>103</v>
      </c>
      <c r="C542" s="20" t="s">
        <v>2242</v>
      </c>
      <c r="D542" s="20" t="s">
        <v>2243</v>
      </c>
      <c r="E542" s="298">
        <v>21325</v>
      </c>
      <c r="F542" s="138" t="s">
        <v>1159</v>
      </c>
      <c r="G542" s="138" t="s">
        <v>1228</v>
      </c>
      <c r="H542" s="299">
        <f>SUM('School Level ADM'!S350:S351)</f>
        <v>721.15233333333322</v>
      </c>
      <c r="I542" s="300">
        <v>52.96</v>
      </c>
      <c r="J542" s="300">
        <f>IF(OR($E542&lt;='Model Data Inputs'!$B$175,$F542="T"),$I542,IF($G542="E",'Model Data Inputs'!$B$176+$H542/'Model Data Inputs'!$B$179,IF($G542="M",'Model Data Inputs'!$B$177+$H542/'Model Data Inputs'!$B$179,IF($G542="H",'Model Data Inputs'!$B$178+$H542/'Model Data Inputs'!$B$179,IF($G542="N/A",0,$I542)))))</f>
        <v>52.96</v>
      </c>
      <c r="K542" s="300">
        <f t="shared" si="16"/>
        <v>52.96</v>
      </c>
      <c r="L542" s="300">
        <f>$K542*'Model Data Inputs'!$B$168</f>
        <v>4925.28</v>
      </c>
      <c r="M542" s="300">
        <f>$L542/'Model Data Inputs'!$B$169</f>
        <v>2.452828685258964</v>
      </c>
      <c r="N542" s="300">
        <f>IF($G542="E",$M542*('Model Data Inputs'!$B$171-1),IF($G542="M",$M542*('Model Data Inputs'!$B$172-1),IF($G542="H",$M542*('Model Data Inputs'!$B$173-1),$M542*('Model Data Inputs'!$B$170-1))))</f>
        <v>3.6792430278884458</v>
      </c>
      <c r="O542" s="300">
        <f t="shared" si="17"/>
        <v>6.1320717131474094</v>
      </c>
    </row>
    <row r="543" spans="1:15" s="40" customFormat="1" x14ac:dyDescent="0.2">
      <c r="A543" s="20" t="s">
        <v>102</v>
      </c>
      <c r="B543" s="20" t="s">
        <v>103</v>
      </c>
      <c r="C543" s="20" t="s">
        <v>2244</v>
      </c>
      <c r="D543" s="20" t="s">
        <v>2245</v>
      </c>
      <c r="E543" s="298">
        <v>35612</v>
      </c>
      <c r="F543" s="138" t="s">
        <v>1159</v>
      </c>
      <c r="G543" s="138">
        <v>0</v>
      </c>
      <c r="H543" s="299" t="s">
        <v>1191</v>
      </c>
      <c r="I543" s="300">
        <v>5</v>
      </c>
      <c r="J543" s="300">
        <f>IF(OR($E543&lt;='Model Data Inputs'!$B$175,$F543="T"),$I543,IF($G543="E",'Model Data Inputs'!$B$176+$H543/'Model Data Inputs'!$B$179,IF($G543="M",'Model Data Inputs'!$B$177+$H543/'Model Data Inputs'!$B$179,IF($G543="H",'Model Data Inputs'!$B$178+$H543/'Model Data Inputs'!$B$179,IF($G543="N/A",0,$I543)))))</f>
        <v>5</v>
      </c>
      <c r="K543" s="300">
        <f t="shared" si="16"/>
        <v>0</v>
      </c>
      <c r="L543" s="300">
        <f>$K543*'Model Data Inputs'!$B$168</f>
        <v>0</v>
      </c>
      <c r="M543" s="300">
        <f>$L543/'Model Data Inputs'!$B$169</f>
        <v>0</v>
      </c>
      <c r="N543" s="300">
        <f>IF($G543="E",$M543*('Model Data Inputs'!$B$171-1),IF($G543="M",$M543*('Model Data Inputs'!$B$172-1),IF($G543="H",$M543*('Model Data Inputs'!$B$173-1),$M543*('Model Data Inputs'!$B$170-1))))</f>
        <v>0</v>
      </c>
      <c r="O543" s="300">
        <f t="shared" si="17"/>
        <v>0</v>
      </c>
    </row>
    <row r="544" spans="1:15" s="40" customFormat="1" x14ac:dyDescent="0.2">
      <c r="A544" s="20" t="s">
        <v>104</v>
      </c>
      <c r="B544" s="20" t="s">
        <v>105</v>
      </c>
      <c r="C544" s="20" t="s">
        <v>2246</v>
      </c>
      <c r="D544" s="20" t="s">
        <v>2247</v>
      </c>
      <c r="E544" s="298">
        <v>11170</v>
      </c>
      <c r="F544" s="138" t="s">
        <v>1159</v>
      </c>
      <c r="G544" s="138" t="s">
        <v>1228</v>
      </c>
      <c r="H544" s="299">
        <f>'School Level ADM'!S352</f>
        <v>107.16066666666666</v>
      </c>
      <c r="I544" s="300">
        <v>6.05</v>
      </c>
      <c r="J544" s="300">
        <f>IF(OR($E544&lt;='Model Data Inputs'!$B$175,$F544="T"),$I544,IF($G544="E",'Model Data Inputs'!$B$176+$H544/'Model Data Inputs'!$B$179,IF($G544="M",'Model Data Inputs'!$B$177+$H544/'Model Data Inputs'!$B$179,IF($G544="H",'Model Data Inputs'!$B$178+$H544/'Model Data Inputs'!$B$179,IF($G544="N/A",0,$I544)))))</f>
        <v>6.05</v>
      </c>
      <c r="K544" s="300">
        <f t="shared" si="16"/>
        <v>6.05</v>
      </c>
      <c r="L544" s="300">
        <f>$K544*'Model Data Inputs'!$B$168</f>
        <v>562.65</v>
      </c>
      <c r="M544" s="300">
        <f>$L544/'Model Data Inputs'!$B$169</f>
        <v>0.28020418326693225</v>
      </c>
      <c r="N544" s="300">
        <f>IF($G544="E",$M544*('Model Data Inputs'!$B$171-1),IF($G544="M",$M544*('Model Data Inputs'!$B$172-1),IF($G544="H",$M544*('Model Data Inputs'!$B$173-1),$M544*('Model Data Inputs'!$B$170-1))))</f>
        <v>0.4203062749003984</v>
      </c>
      <c r="O544" s="300">
        <f t="shared" si="17"/>
        <v>0.70051045816733071</v>
      </c>
    </row>
    <row r="545" spans="1:15" s="40" customFormat="1" x14ac:dyDescent="0.2">
      <c r="A545" s="20" t="s">
        <v>104</v>
      </c>
      <c r="B545" s="20" t="s">
        <v>105</v>
      </c>
      <c r="C545" s="20" t="s">
        <v>2248</v>
      </c>
      <c r="D545" s="20" t="s">
        <v>2249</v>
      </c>
      <c r="E545" s="298">
        <v>18286</v>
      </c>
      <c r="F545" s="138" t="s">
        <v>1159</v>
      </c>
      <c r="G545" s="138">
        <v>0</v>
      </c>
      <c r="H545" s="299" t="s">
        <v>1191</v>
      </c>
      <c r="I545" s="300">
        <v>0.51</v>
      </c>
      <c r="J545" s="300">
        <f>IF(OR($E545&lt;='Model Data Inputs'!$B$175,$F545="T"),$I545,IF($G545="E",'Model Data Inputs'!$B$176+$H545/'Model Data Inputs'!$B$179,IF($G545="M",'Model Data Inputs'!$B$177+$H545/'Model Data Inputs'!$B$179,IF($G545="H",'Model Data Inputs'!$B$178+$H545/'Model Data Inputs'!$B$179,IF($G545="N/A",0,$I545)))))</f>
        <v>0.51</v>
      </c>
      <c r="K545" s="300">
        <f t="shared" si="16"/>
        <v>0</v>
      </c>
      <c r="L545" s="300">
        <f>$K545*'Model Data Inputs'!$B$168</f>
        <v>0</v>
      </c>
      <c r="M545" s="300">
        <f>$L545/'Model Data Inputs'!$B$169</f>
        <v>0</v>
      </c>
      <c r="N545" s="300">
        <f>IF($G545="E",$M545*('Model Data Inputs'!$B$171-1),IF($G545="M",$M545*('Model Data Inputs'!$B$172-1),IF($G545="H",$M545*('Model Data Inputs'!$B$173-1),$M545*('Model Data Inputs'!$B$170-1))))</f>
        <v>0</v>
      </c>
      <c r="O545" s="300">
        <f t="shared" si="17"/>
        <v>0</v>
      </c>
    </row>
    <row r="546" spans="1:15" s="40" customFormat="1" x14ac:dyDescent="0.2">
      <c r="A546" s="20" t="s">
        <v>104</v>
      </c>
      <c r="B546" s="20" t="s">
        <v>105</v>
      </c>
      <c r="C546" s="20" t="s">
        <v>2250</v>
      </c>
      <c r="D546" s="20" t="s">
        <v>2251</v>
      </c>
      <c r="E546" s="298">
        <v>42719</v>
      </c>
      <c r="F546" s="138" t="s">
        <v>1159</v>
      </c>
      <c r="G546" s="138" t="s">
        <v>1191</v>
      </c>
      <c r="H546" s="299" t="s">
        <v>1191</v>
      </c>
      <c r="I546" s="300">
        <v>10</v>
      </c>
      <c r="J546" s="300">
        <f>IF(OR($E546&lt;='Model Data Inputs'!$B$175,$F546="T"),$I546,IF($G546="E",'Model Data Inputs'!$B$176+$H546/'Model Data Inputs'!$B$179,IF($G546="M",'Model Data Inputs'!$B$177+$H546/'Model Data Inputs'!$B$179,IF($G546="H",'Model Data Inputs'!$B$178+$H546/'Model Data Inputs'!$B$179,IF($G546="N/A",0,$I546)))))</f>
        <v>0</v>
      </c>
      <c r="K546" s="300">
        <f t="shared" si="16"/>
        <v>0</v>
      </c>
      <c r="L546" s="300">
        <f>$K546*'Model Data Inputs'!$B$168</f>
        <v>0</v>
      </c>
      <c r="M546" s="300">
        <f>$L546/'Model Data Inputs'!$B$169</f>
        <v>0</v>
      </c>
      <c r="N546" s="300">
        <f>IF($G546="E",$M546*('Model Data Inputs'!$B$171-1),IF($G546="M",$M546*('Model Data Inputs'!$B$172-1),IF($G546="H",$M546*('Model Data Inputs'!$B$173-1),$M546*('Model Data Inputs'!$B$170-1))))</f>
        <v>0</v>
      </c>
      <c r="O546" s="300">
        <f t="shared" si="17"/>
        <v>0</v>
      </c>
    </row>
    <row r="547" spans="1:15" s="40" customFormat="1" x14ac:dyDescent="0.2">
      <c r="A547" s="20" t="s">
        <v>104</v>
      </c>
      <c r="B547" s="20" t="s">
        <v>105</v>
      </c>
      <c r="C547" s="20" t="s">
        <v>2252</v>
      </c>
      <c r="D547" s="20" t="s">
        <v>2253</v>
      </c>
      <c r="E547" s="298">
        <v>42719</v>
      </c>
      <c r="F547" s="138" t="s">
        <v>1159</v>
      </c>
      <c r="G547" s="138">
        <v>0</v>
      </c>
      <c r="H547" s="299" t="s">
        <v>1191</v>
      </c>
      <c r="I547" s="300">
        <v>0.17</v>
      </c>
      <c r="J547" s="300">
        <f>IF(OR($E547&lt;='Model Data Inputs'!$B$175,$F547="T"),$I547,IF($G547="E",'Model Data Inputs'!$B$176+$H547/'Model Data Inputs'!$B$179,IF($G547="M",'Model Data Inputs'!$B$177+$H547/'Model Data Inputs'!$B$179,IF($G547="H",'Model Data Inputs'!$B$178+$H547/'Model Data Inputs'!$B$179,IF($G547="N/A",0,$I547)))))</f>
        <v>0.17</v>
      </c>
      <c r="K547" s="300">
        <f t="shared" si="16"/>
        <v>0</v>
      </c>
      <c r="L547" s="300">
        <f>$K547*'Model Data Inputs'!$B$168</f>
        <v>0</v>
      </c>
      <c r="M547" s="300">
        <f>$L547/'Model Data Inputs'!$B$169</f>
        <v>0</v>
      </c>
      <c r="N547" s="300">
        <f>IF($G547="E",$M547*('Model Data Inputs'!$B$171-1),IF($G547="M",$M547*('Model Data Inputs'!$B$172-1),IF($G547="H",$M547*('Model Data Inputs'!$B$173-1),$M547*('Model Data Inputs'!$B$170-1))))</f>
        <v>0</v>
      </c>
      <c r="O547" s="300">
        <f t="shared" si="17"/>
        <v>0</v>
      </c>
    </row>
    <row r="548" spans="1:15" s="40" customFormat="1" x14ac:dyDescent="0.2">
      <c r="A548" s="20" t="s">
        <v>106</v>
      </c>
      <c r="B548" s="20" t="s">
        <v>107</v>
      </c>
      <c r="C548" s="20" t="s">
        <v>2254</v>
      </c>
      <c r="D548" s="20" t="s">
        <v>2255</v>
      </c>
      <c r="E548" s="298">
        <v>32367</v>
      </c>
      <c r="F548" s="138" t="s">
        <v>1159</v>
      </c>
      <c r="G548" s="138">
        <v>0</v>
      </c>
      <c r="H548" s="299" t="s">
        <v>1191</v>
      </c>
      <c r="I548" s="300">
        <v>4.0199999999999996</v>
      </c>
      <c r="J548" s="300">
        <f>IF(OR($E548&lt;='Model Data Inputs'!$B$175,$F548="T"),$I548,IF($G548="E",'Model Data Inputs'!$B$176+$H548/'Model Data Inputs'!$B$179,IF($G548="M",'Model Data Inputs'!$B$177+$H548/'Model Data Inputs'!$B$179,IF($G548="H",'Model Data Inputs'!$B$178+$H548/'Model Data Inputs'!$B$179,IF($G548="N/A",0,$I548)))))</f>
        <v>4.0199999999999996</v>
      </c>
      <c r="K548" s="300">
        <f t="shared" si="16"/>
        <v>0</v>
      </c>
      <c r="L548" s="300">
        <f>$K548*'Model Data Inputs'!$B$168</f>
        <v>0</v>
      </c>
      <c r="M548" s="300">
        <f>$L548/'Model Data Inputs'!$B$169</f>
        <v>0</v>
      </c>
      <c r="N548" s="300">
        <f>IF($G548="E",$M548*('Model Data Inputs'!$B$171-1),IF($G548="M",$M548*('Model Data Inputs'!$B$172-1),IF($G548="H",$M548*('Model Data Inputs'!$B$173-1),$M548*('Model Data Inputs'!$B$170-1))))</f>
        <v>0</v>
      </c>
      <c r="O548" s="300">
        <f t="shared" si="17"/>
        <v>0</v>
      </c>
    </row>
    <row r="549" spans="1:15" s="40" customFormat="1" x14ac:dyDescent="0.2">
      <c r="A549" s="20" t="s">
        <v>106</v>
      </c>
      <c r="B549" s="20" t="s">
        <v>107</v>
      </c>
      <c r="C549" s="20" t="s">
        <v>2256</v>
      </c>
      <c r="D549" s="20" t="s">
        <v>2257</v>
      </c>
      <c r="E549" s="298">
        <v>23257</v>
      </c>
      <c r="F549" s="138" t="s">
        <v>1159</v>
      </c>
      <c r="G549" s="138" t="s">
        <v>1228</v>
      </c>
      <c r="H549" s="299">
        <f>SUM('School Level ADM'!S355:S356)</f>
        <v>413.06466666666665</v>
      </c>
      <c r="I549" s="300">
        <v>28.56</v>
      </c>
      <c r="J549" s="300">
        <f>IF(OR($E549&lt;='Model Data Inputs'!$B$175,$F549="T"),$I549,IF($G549="E",'Model Data Inputs'!$B$176+$H549/'Model Data Inputs'!$B$179,IF($G549="M",'Model Data Inputs'!$B$177+$H549/'Model Data Inputs'!$B$179,IF($G549="H",'Model Data Inputs'!$B$178+$H549/'Model Data Inputs'!$B$179,IF($G549="N/A",0,$I549)))))</f>
        <v>28.56</v>
      </c>
      <c r="K549" s="300">
        <f t="shared" si="16"/>
        <v>28.56</v>
      </c>
      <c r="L549" s="300">
        <f>$K549*'Model Data Inputs'!$B$168</f>
        <v>2656.08</v>
      </c>
      <c r="M549" s="300">
        <f>$L549/'Model Data Inputs'!$B$169</f>
        <v>1.3227490039840637</v>
      </c>
      <c r="N549" s="300">
        <f>IF($G549="E",$M549*('Model Data Inputs'!$B$171-1),IF($G549="M",$M549*('Model Data Inputs'!$B$172-1),IF($G549="H",$M549*('Model Data Inputs'!$B$173-1),$M549*('Model Data Inputs'!$B$170-1))))</f>
        <v>1.9841235059760955</v>
      </c>
      <c r="O549" s="300">
        <f t="shared" si="17"/>
        <v>3.3068725099601592</v>
      </c>
    </row>
    <row r="550" spans="1:15" s="40" customFormat="1" x14ac:dyDescent="0.2">
      <c r="A550" s="20" t="s">
        <v>106</v>
      </c>
      <c r="B550" s="20" t="s">
        <v>107</v>
      </c>
      <c r="C550" s="20" t="s">
        <v>2258</v>
      </c>
      <c r="D550" s="20" t="s">
        <v>2259</v>
      </c>
      <c r="E550" s="298">
        <v>19758</v>
      </c>
      <c r="F550" s="138" t="s">
        <v>1159</v>
      </c>
      <c r="G550" s="138">
        <v>0</v>
      </c>
      <c r="H550" s="299" t="s">
        <v>1191</v>
      </c>
      <c r="I550" s="300">
        <v>1.64</v>
      </c>
      <c r="J550" s="300">
        <f>IF(OR($E550&lt;='Model Data Inputs'!$B$175,$F550="T"),$I550,IF($G550="E",'Model Data Inputs'!$B$176+$H550/'Model Data Inputs'!$B$179,IF($G550="M",'Model Data Inputs'!$B$177+$H550/'Model Data Inputs'!$B$179,IF($G550="H",'Model Data Inputs'!$B$178+$H550/'Model Data Inputs'!$B$179,IF($G550="N/A",0,$I550)))))</f>
        <v>1.64</v>
      </c>
      <c r="K550" s="300">
        <f t="shared" si="16"/>
        <v>0</v>
      </c>
      <c r="L550" s="300">
        <f>$K550*'Model Data Inputs'!$B$168</f>
        <v>0</v>
      </c>
      <c r="M550" s="300">
        <f>$L550/'Model Data Inputs'!$B$169</f>
        <v>0</v>
      </c>
      <c r="N550" s="300">
        <f>IF($G550="E",$M550*('Model Data Inputs'!$B$171-1),IF($G550="M",$M550*('Model Data Inputs'!$B$172-1),IF($G550="H",$M550*('Model Data Inputs'!$B$173-1),$M550*('Model Data Inputs'!$B$170-1))))</f>
        <v>0</v>
      </c>
      <c r="O550" s="300">
        <f t="shared" si="17"/>
        <v>0</v>
      </c>
    </row>
    <row r="551" spans="1:15" s="40" customFormat="1" x14ac:dyDescent="0.2">
      <c r="A551" s="20" t="s">
        <v>106</v>
      </c>
      <c r="B551" s="20" t="s">
        <v>107</v>
      </c>
      <c r="C551" s="20" t="s">
        <v>2260</v>
      </c>
      <c r="D551" s="20" t="s">
        <v>2261</v>
      </c>
      <c r="E551" s="298">
        <v>36753</v>
      </c>
      <c r="F551" s="138" t="s">
        <v>1159</v>
      </c>
      <c r="G551" s="138" t="s">
        <v>1198</v>
      </c>
      <c r="H551" s="299">
        <f>SUM('School Level ADM'!S353:S354)</f>
        <v>352.19133333333332</v>
      </c>
      <c r="I551" s="300">
        <v>23.59</v>
      </c>
      <c r="J551" s="300">
        <f>IF(OR($E551&lt;='Model Data Inputs'!$B$175,$F551="T"),$I551,IF($G551="E",'Model Data Inputs'!$B$176+$H551/'Model Data Inputs'!$B$179,IF($G551="M",'Model Data Inputs'!$B$177+$H551/'Model Data Inputs'!$B$179,IF($G551="H",'Model Data Inputs'!$B$178+$H551/'Model Data Inputs'!$B$179,IF($G551="N/A",0,$I551)))))</f>
        <v>7.521913333333333</v>
      </c>
      <c r="K551" s="300">
        <f t="shared" si="16"/>
        <v>7.521913333333333</v>
      </c>
      <c r="L551" s="300">
        <f>$K551*'Model Data Inputs'!$B$168</f>
        <v>699.53793999999994</v>
      </c>
      <c r="M551" s="300">
        <f>$L551/'Model Data Inputs'!$B$169</f>
        <v>0.34837546812748998</v>
      </c>
      <c r="N551" s="300">
        <f>IF($G551="E",$M551*('Model Data Inputs'!$B$171-1),IF($G551="M",$M551*('Model Data Inputs'!$B$172-1),IF($G551="H",$M551*('Model Data Inputs'!$B$173-1),$M551*('Model Data Inputs'!$B$170-1))))</f>
        <v>0</v>
      </c>
      <c r="O551" s="300">
        <f t="shared" si="17"/>
        <v>0.34837546812748998</v>
      </c>
    </row>
    <row r="552" spans="1:15" s="40" customFormat="1" x14ac:dyDescent="0.2">
      <c r="A552" s="20" t="s">
        <v>108</v>
      </c>
      <c r="B552" s="20" t="s">
        <v>109</v>
      </c>
      <c r="C552" s="20" t="s">
        <v>2262</v>
      </c>
      <c r="D552" s="20" t="s">
        <v>2263</v>
      </c>
      <c r="E552" s="298">
        <v>18867</v>
      </c>
      <c r="F552" s="138" t="s">
        <v>1159</v>
      </c>
      <c r="G552" s="138">
        <v>0</v>
      </c>
      <c r="H552" s="299" t="s">
        <v>1191</v>
      </c>
      <c r="I552" s="300">
        <v>1.6</v>
      </c>
      <c r="J552" s="300">
        <f>IF(OR($E552&lt;='Model Data Inputs'!$B$175,$F552="T"),$I552,IF($G552="E",'Model Data Inputs'!$B$176+$H552/'Model Data Inputs'!$B$179,IF($G552="M",'Model Data Inputs'!$B$177+$H552/'Model Data Inputs'!$B$179,IF($G552="H",'Model Data Inputs'!$B$178+$H552/'Model Data Inputs'!$B$179,IF($G552="N/A",0,$I552)))))</f>
        <v>1.6</v>
      </c>
      <c r="K552" s="300">
        <f t="shared" si="16"/>
        <v>0</v>
      </c>
      <c r="L552" s="300">
        <f>$K552*'Model Data Inputs'!$B$168</f>
        <v>0</v>
      </c>
      <c r="M552" s="300">
        <f>$L552/'Model Data Inputs'!$B$169</f>
        <v>0</v>
      </c>
      <c r="N552" s="300">
        <f>IF($G552="E",$M552*('Model Data Inputs'!$B$171-1),IF($G552="M",$M552*('Model Data Inputs'!$B$172-1),IF($G552="H",$M552*('Model Data Inputs'!$B$173-1),$M552*('Model Data Inputs'!$B$170-1))))</f>
        <v>0</v>
      </c>
      <c r="O552" s="300">
        <f t="shared" si="17"/>
        <v>0</v>
      </c>
    </row>
    <row r="553" spans="1:15" s="40" customFormat="1" x14ac:dyDescent="0.2">
      <c r="A553" s="20" t="s">
        <v>108</v>
      </c>
      <c r="B553" s="20" t="s">
        <v>109</v>
      </c>
      <c r="C553" s="20" t="s">
        <v>2264</v>
      </c>
      <c r="D553" s="20" t="s">
        <v>2265</v>
      </c>
      <c r="E553" s="298">
        <v>17807</v>
      </c>
      <c r="F553" s="138" t="s">
        <v>1159</v>
      </c>
      <c r="G553" s="138" t="s">
        <v>1205</v>
      </c>
      <c r="H553" s="299">
        <f>SUM('School Level ADM'!S357:S358)</f>
        <v>175.05166666666665</v>
      </c>
      <c r="I553" s="300">
        <v>7.2</v>
      </c>
      <c r="J553" s="300">
        <f>IF(OR($E553&lt;='Model Data Inputs'!$B$175,$F553="T"),$I553,IF($G553="E",'Model Data Inputs'!$B$176+$H553/'Model Data Inputs'!$B$179,IF($G553="M",'Model Data Inputs'!$B$177+$H553/'Model Data Inputs'!$B$179,IF($G553="H",'Model Data Inputs'!$B$178+$H553/'Model Data Inputs'!$B$179,IF($G553="N/A",0,$I553)))))</f>
        <v>7.2</v>
      </c>
      <c r="K553" s="300">
        <f t="shared" si="16"/>
        <v>7.2</v>
      </c>
      <c r="L553" s="300">
        <f>$K553*'Model Data Inputs'!$B$168</f>
        <v>669.6</v>
      </c>
      <c r="M553" s="300">
        <f>$L553/'Model Data Inputs'!$B$169</f>
        <v>0.33346613545816733</v>
      </c>
      <c r="N553" s="300">
        <f>IF($G553="E",$M553*('Model Data Inputs'!$B$171-1),IF($G553="M",$M553*('Model Data Inputs'!$B$172-1),IF($G553="H",$M553*('Model Data Inputs'!$B$173-1),$M553*('Model Data Inputs'!$B$170-1))))</f>
        <v>0.16673306772908367</v>
      </c>
      <c r="O553" s="300">
        <f t="shared" si="17"/>
        <v>0.50019920318725097</v>
      </c>
    </row>
    <row r="554" spans="1:15" s="40" customFormat="1" x14ac:dyDescent="0.2">
      <c r="A554" s="20" t="s">
        <v>108</v>
      </c>
      <c r="B554" s="20" t="s">
        <v>109</v>
      </c>
      <c r="C554" s="20" t="s">
        <v>2266</v>
      </c>
      <c r="D554" s="20" t="s">
        <v>1083</v>
      </c>
      <c r="E554" s="298">
        <v>36708</v>
      </c>
      <c r="F554" s="138" t="s">
        <v>1159</v>
      </c>
      <c r="G554" s="138" t="s">
        <v>1228</v>
      </c>
      <c r="H554" s="299">
        <f>'School Level ADM'!S359</f>
        <v>80.86</v>
      </c>
      <c r="I554" s="300">
        <v>19.995999999999999</v>
      </c>
      <c r="J554" s="300">
        <f>IF(OR($E554&lt;='Model Data Inputs'!$B$175,$F554="T"),$I554,IF($G554="E",'Model Data Inputs'!$B$176+$H554/'Model Data Inputs'!$B$179,IF($G554="M",'Model Data Inputs'!$B$177+$H554/'Model Data Inputs'!$B$179,IF($G554="H",'Model Data Inputs'!$B$178+$H554/'Model Data Inputs'!$B$179,IF($G554="N/A",0,$I554)))))</f>
        <v>20.808599999999998</v>
      </c>
      <c r="K554" s="300">
        <f t="shared" si="16"/>
        <v>19.995999999999999</v>
      </c>
      <c r="L554" s="300">
        <f>$K554*'Model Data Inputs'!$B$168</f>
        <v>1859.6279999999999</v>
      </c>
      <c r="M554" s="300">
        <f>$L554/'Model Data Inputs'!$B$169</f>
        <v>0.92610956175298798</v>
      </c>
      <c r="N554" s="300">
        <f>IF($G554="E",$M554*('Model Data Inputs'!$B$171-1),IF($G554="M",$M554*('Model Data Inputs'!$B$172-1),IF($G554="H",$M554*('Model Data Inputs'!$B$173-1),$M554*('Model Data Inputs'!$B$170-1))))</f>
        <v>1.389164342629482</v>
      </c>
      <c r="O554" s="300">
        <f t="shared" si="17"/>
        <v>2.3152739043824697</v>
      </c>
    </row>
    <row r="555" spans="1:15" s="40" customFormat="1" x14ac:dyDescent="0.2">
      <c r="A555" s="20" t="s">
        <v>108</v>
      </c>
      <c r="B555" s="20" t="s">
        <v>109</v>
      </c>
      <c r="C555" s="20" t="s">
        <v>2267</v>
      </c>
      <c r="D555" s="20" t="s">
        <v>2268</v>
      </c>
      <c r="E555" s="298">
        <v>37553</v>
      </c>
      <c r="F555" s="138" t="s">
        <v>1159</v>
      </c>
      <c r="G555" s="138">
        <v>0</v>
      </c>
      <c r="H555" s="299" t="s">
        <v>1191</v>
      </c>
      <c r="I555" s="300">
        <v>0.4</v>
      </c>
      <c r="J555" s="300">
        <f>IF(OR($E555&lt;='Model Data Inputs'!$B$175,$F555="T"),$I555,IF($G555="E",'Model Data Inputs'!$B$176+$H555/'Model Data Inputs'!$B$179,IF($G555="M",'Model Data Inputs'!$B$177+$H555/'Model Data Inputs'!$B$179,IF($G555="H",'Model Data Inputs'!$B$178+$H555/'Model Data Inputs'!$B$179,IF($G555="N/A",0,$I555)))))</f>
        <v>0.4</v>
      </c>
      <c r="K555" s="300">
        <f t="shared" si="16"/>
        <v>0</v>
      </c>
      <c r="L555" s="300">
        <f>$K555*'Model Data Inputs'!$B$168</f>
        <v>0</v>
      </c>
      <c r="M555" s="300">
        <f>$L555/'Model Data Inputs'!$B$169</f>
        <v>0</v>
      </c>
      <c r="N555" s="300">
        <f>IF($G555="E",$M555*('Model Data Inputs'!$B$171-1),IF($G555="M",$M555*('Model Data Inputs'!$B$172-1),IF($G555="H",$M555*('Model Data Inputs'!$B$173-1),$M555*('Model Data Inputs'!$B$170-1))))</f>
        <v>0</v>
      </c>
      <c r="O555" s="300">
        <f t="shared" si="17"/>
        <v>0</v>
      </c>
    </row>
    <row r="556" spans="1:15" s="40" customFormat="1" x14ac:dyDescent="0.2">
      <c r="A556" s="20" t="s">
        <v>108</v>
      </c>
      <c r="B556" s="20" t="s">
        <v>109</v>
      </c>
      <c r="C556" s="20" t="s">
        <v>2269</v>
      </c>
      <c r="D556" s="20" t="s">
        <v>2270</v>
      </c>
      <c r="E556" s="298">
        <v>18867</v>
      </c>
      <c r="F556" s="138" t="s">
        <v>1159</v>
      </c>
      <c r="G556" s="138">
        <v>0</v>
      </c>
      <c r="H556" s="299" t="s">
        <v>1191</v>
      </c>
      <c r="I556" s="300">
        <v>0.5</v>
      </c>
      <c r="J556" s="300">
        <f>IF(OR($E556&lt;='Model Data Inputs'!$B$175,$F556="T"),$I556,IF($G556="E",'Model Data Inputs'!$B$176+$H556/'Model Data Inputs'!$B$179,IF($G556="M",'Model Data Inputs'!$B$177+$H556/'Model Data Inputs'!$B$179,IF($G556="H",'Model Data Inputs'!$B$178+$H556/'Model Data Inputs'!$B$179,IF($G556="N/A",0,$I556)))))</f>
        <v>0.5</v>
      </c>
      <c r="K556" s="300">
        <f t="shared" si="16"/>
        <v>0</v>
      </c>
      <c r="L556" s="300">
        <f>$K556*'Model Data Inputs'!$B$168</f>
        <v>0</v>
      </c>
      <c r="M556" s="300">
        <f>$L556/'Model Data Inputs'!$B$169</f>
        <v>0</v>
      </c>
      <c r="N556" s="300">
        <f>IF($G556="E",$M556*('Model Data Inputs'!$B$171-1),IF($G556="M",$M556*('Model Data Inputs'!$B$172-1),IF($G556="H",$M556*('Model Data Inputs'!$B$173-1),$M556*('Model Data Inputs'!$B$170-1))))</f>
        <v>0</v>
      </c>
      <c r="O556" s="300">
        <f t="shared" si="17"/>
        <v>0</v>
      </c>
    </row>
    <row r="557" spans="1:15" s="40" customFormat="1" x14ac:dyDescent="0.2">
      <c r="A557" s="20" t="s">
        <v>108</v>
      </c>
      <c r="B557" s="20" t="s">
        <v>109</v>
      </c>
      <c r="C557" s="20" t="s">
        <v>2271</v>
      </c>
      <c r="D557" s="20" t="s">
        <v>2272</v>
      </c>
      <c r="E557" s="298">
        <v>21082</v>
      </c>
      <c r="F557" s="138" t="s">
        <v>1159</v>
      </c>
      <c r="G557" s="138">
        <v>0</v>
      </c>
      <c r="H557" s="299" t="s">
        <v>1191</v>
      </c>
      <c r="I557" s="300">
        <v>13.45</v>
      </c>
      <c r="J557" s="300">
        <f>IF(OR($E557&lt;='Model Data Inputs'!$B$175,$F557="T"),$I557,IF($G557="E",'Model Data Inputs'!$B$176+$H557/'Model Data Inputs'!$B$179,IF($G557="M",'Model Data Inputs'!$B$177+$H557/'Model Data Inputs'!$B$179,IF($G557="H",'Model Data Inputs'!$B$178+$H557/'Model Data Inputs'!$B$179,IF($G557="N/A",0,$I557)))))</f>
        <v>13.45</v>
      </c>
      <c r="K557" s="300">
        <f t="shared" si="16"/>
        <v>0</v>
      </c>
      <c r="L557" s="300">
        <f>$K557*'Model Data Inputs'!$B$168</f>
        <v>0</v>
      </c>
      <c r="M557" s="300">
        <f>$L557/'Model Data Inputs'!$B$169</f>
        <v>0</v>
      </c>
      <c r="N557" s="300">
        <f>IF($G557="E",$M557*('Model Data Inputs'!$B$171-1),IF($G557="M",$M557*('Model Data Inputs'!$B$172-1),IF($G557="H",$M557*('Model Data Inputs'!$B$173-1),$M557*('Model Data Inputs'!$B$170-1))))</f>
        <v>0</v>
      </c>
      <c r="O557" s="300">
        <f t="shared" si="17"/>
        <v>0</v>
      </c>
    </row>
    <row r="559" spans="1:15" ht="13.5" thickBot="1" x14ac:dyDescent="0.25">
      <c r="H559" s="302">
        <f t="shared" ref="H559:O559" si="18">SUM(H5:H557)</f>
        <v>92369.294999999984</v>
      </c>
      <c r="I559" s="303">
        <f t="shared" si="18"/>
        <v>6945.6799000000028</v>
      </c>
      <c r="J559" s="303">
        <f t="shared" si="18"/>
        <v>6364.1893044862163</v>
      </c>
      <c r="K559" s="303">
        <f t="shared" si="18"/>
        <v>4344.656685714288</v>
      </c>
      <c r="L559" s="303">
        <f t="shared" si="18"/>
        <v>404053.0717714288</v>
      </c>
      <c r="M559" s="303">
        <f t="shared" si="18"/>
        <v>201.22164928855992</v>
      </c>
      <c r="N559" s="303">
        <f t="shared" si="18"/>
        <v>172.7222040463148</v>
      </c>
      <c r="O559" s="303">
        <f t="shared" si="18"/>
        <v>373.94385333487503</v>
      </c>
    </row>
    <row r="560" spans="1:15" ht="13.5" thickTop="1" x14ac:dyDescent="0.2"/>
  </sheetData>
  <sheetProtection algorithmName="SHA-512" hashValue="c0x5nVxpmg/ocS5CN4R0u9op1Be7WUdG7U++BPUH9KnRrfGaP9AMfWcVLG0VN7oPggLCdKt0iW8FmW9NEpQFjA==" saltValue="g34dMfBiCevNLfwUv4Glag==" spinCount="100000" sheet="1" objects="1" scenarios="1"/>
  <mergeCells count="2">
    <mergeCell ref="A1:O1"/>
    <mergeCell ref="B2:K2"/>
  </mergeCells>
  <pageMargins left="0.5" right="0.5" top="0.5" bottom="0.5" header="0.25" footer="0.25"/>
  <pageSetup scale="73" fitToHeight="11" orientation="landscape" r:id="rId1"/>
  <headerFooter>
    <oddHeader>&amp;L&amp;"Calibri,Bold"&amp;12Groundskeeper Worksheet (Staffing Model at Site Level)</oddHead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55"/>
  <sheetViews>
    <sheetView zoomScale="85" zoomScaleNormal="85" workbookViewId="0">
      <pane ySplit="4" topLeftCell="A5" activePane="bottomLeft" state="frozen"/>
      <selection sqref="A1:M1"/>
      <selection pane="bottomLeft" sqref="A1:D1"/>
    </sheetView>
  </sheetViews>
  <sheetFormatPr defaultRowHeight="12.75" x14ac:dyDescent="0.2"/>
  <cols>
    <col min="1" max="2" width="14.7109375" customWidth="1"/>
    <col min="3" max="6" width="12.7109375" customWidth="1"/>
  </cols>
  <sheetData>
    <row r="1" spans="1:6" ht="15.75" x14ac:dyDescent="0.25">
      <c r="A1" s="479" t="s">
        <v>2273</v>
      </c>
      <c r="B1" s="479"/>
      <c r="C1" s="479"/>
      <c r="D1" s="479"/>
    </row>
    <row r="4" spans="1:6" ht="64.5" thickBot="1" x14ac:dyDescent="0.25">
      <c r="A4" s="1" t="s">
        <v>1</v>
      </c>
      <c r="B4" s="1" t="s">
        <v>2</v>
      </c>
      <c r="C4" s="1" t="str">
        <f>'School Level ADM'!AU4</f>
        <v>Est. 2017-18 ADM Total</v>
      </c>
      <c r="D4" s="1" t="str">
        <f>'School Level ADM'!AG4</f>
        <v>3yr Avg. ADM Total</v>
      </c>
      <c r="E4" s="1" t="s">
        <v>2274</v>
      </c>
      <c r="F4" s="1" t="s">
        <v>2275</v>
      </c>
    </row>
    <row r="5" spans="1:6" x14ac:dyDescent="0.2">
      <c r="A5" s="2" t="s">
        <v>14</v>
      </c>
      <c r="B5" s="2" t="s">
        <v>15</v>
      </c>
      <c r="C5" s="3">
        <f>SUMIFS('School Level ADM'!$AU$5:$AU$359,'School Level ADM'!$A$5:$A$359,$A5)</f>
        <v>3965.61</v>
      </c>
      <c r="D5" s="3">
        <f>SUMIFS('School Level ADM'!$AG$5:$AG$359,'School Level ADM'!$A$5:$A$359,$A5)</f>
        <v>3930.5630000000001</v>
      </c>
      <c r="E5" s="2" t="str">
        <f>IF(C5&gt;=D5,"Prior Year","3-Year Avg.")</f>
        <v>Prior Year</v>
      </c>
      <c r="F5" s="3">
        <f>MAX(C5:D5)</f>
        <v>3965.61</v>
      </c>
    </row>
    <row r="6" spans="1:6" x14ac:dyDescent="0.2">
      <c r="A6" s="6" t="s">
        <v>16</v>
      </c>
      <c r="B6" s="6" t="s">
        <v>17</v>
      </c>
      <c r="C6" s="44">
        <f>SUMIFS('School Level ADM'!$AU$5:$AU$359,'School Level ADM'!$A$5:$A$359,$A6)</f>
        <v>1028.3399999999999</v>
      </c>
      <c r="D6" s="3">
        <f>SUMIFS('School Level ADM'!$AG$5:$AG$359,'School Level ADM'!$A$5:$A$359,$A6)</f>
        <v>997.76166666666666</v>
      </c>
      <c r="E6" s="6" t="str">
        <f t="shared" ref="E6:E52" si="0">IF(C6&gt;=D6,"Prior Year","3-Year Avg.")</f>
        <v>Prior Year</v>
      </c>
      <c r="F6" s="3">
        <f t="shared" ref="F6:F52" si="1">MAX(C6:D6)</f>
        <v>1028.3399999999999</v>
      </c>
    </row>
    <row r="7" spans="1:6" x14ac:dyDescent="0.2">
      <c r="A7" s="6" t="s">
        <v>18</v>
      </c>
      <c r="B7" s="6" t="s">
        <v>19</v>
      </c>
      <c r="C7" s="44">
        <f>SUMIFS('School Level ADM'!$AU$5:$AU$359,'School Level ADM'!$A$5:$A$359,$A7)</f>
        <v>707.23</v>
      </c>
      <c r="D7" s="3">
        <f>SUMIFS('School Level ADM'!$AG$5:$AG$359,'School Level ADM'!$A$5:$A$359,$A7)</f>
        <v>704.45933333333335</v>
      </c>
      <c r="E7" s="6" t="str">
        <f t="shared" si="0"/>
        <v>Prior Year</v>
      </c>
      <c r="F7" s="3">
        <f t="shared" si="1"/>
        <v>707.23</v>
      </c>
    </row>
    <row r="8" spans="1:6" x14ac:dyDescent="0.2">
      <c r="A8" s="6" t="s">
        <v>20</v>
      </c>
      <c r="B8" s="6" t="s">
        <v>21</v>
      </c>
      <c r="C8" s="44">
        <f>SUMIFS('School Level ADM'!$AU$5:$AU$359,'School Level ADM'!$A$5:$A$359,$A8)</f>
        <v>468.86</v>
      </c>
      <c r="D8" s="3">
        <f>SUMIFS('School Level ADM'!$AG$5:$AG$359,'School Level ADM'!$A$5:$A$359,$A8)</f>
        <v>495.58300000000003</v>
      </c>
      <c r="E8" s="6" t="str">
        <f t="shared" si="0"/>
        <v>3-Year Avg.</v>
      </c>
      <c r="F8" s="3">
        <f t="shared" si="1"/>
        <v>495.58300000000003</v>
      </c>
    </row>
    <row r="9" spans="1:6" x14ac:dyDescent="0.2">
      <c r="A9" s="6" t="s">
        <v>22</v>
      </c>
      <c r="B9" s="6" t="s">
        <v>23</v>
      </c>
      <c r="C9" s="44">
        <f>SUMIFS('School Level ADM'!$AU$5:$AU$359,'School Level ADM'!$A$5:$A$359,$A9)</f>
        <v>262.01</v>
      </c>
      <c r="D9" s="3">
        <f>SUMIFS('School Level ADM'!$AG$5:$AG$359,'School Level ADM'!$A$5:$A$359,$A9)</f>
        <v>279.23933333333332</v>
      </c>
      <c r="E9" s="6" t="str">
        <f t="shared" si="0"/>
        <v>3-Year Avg.</v>
      </c>
      <c r="F9" s="3">
        <f t="shared" si="1"/>
        <v>279.23933333333332</v>
      </c>
    </row>
    <row r="10" spans="1:6" x14ac:dyDescent="0.2">
      <c r="A10" s="6" t="s">
        <v>24</v>
      </c>
      <c r="B10" s="6" t="s">
        <v>25</v>
      </c>
      <c r="C10" s="44">
        <f>SUMIFS('School Level ADM'!$AU$5:$AU$359,'School Level ADM'!$A$5:$A$359,$A10)</f>
        <v>8577.3799999999992</v>
      </c>
      <c r="D10" s="3">
        <f>SUMIFS('School Level ADM'!$AG$5:$AG$359,'School Level ADM'!$A$5:$A$359,$A10)</f>
        <v>8676.6579999999994</v>
      </c>
      <c r="E10" s="6" t="str">
        <f t="shared" si="0"/>
        <v>3-Year Avg.</v>
      </c>
      <c r="F10" s="3">
        <f t="shared" si="1"/>
        <v>8676.6579999999994</v>
      </c>
    </row>
    <row r="11" spans="1:6" x14ac:dyDescent="0.2">
      <c r="A11" s="6" t="s">
        <v>26</v>
      </c>
      <c r="B11" s="6" t="s">
        <v>27</v>
      </c>
      <c r="C11" s="44">
        <f>SUMIFS('School Level ADM'!$AU$5:$AU$359,'School Level ADM'!$A$5:$A$359,$A11)</f>
        <v>1735.57</v>
      </c>
      <c r="D11" s="3">
        <f>SUMIFS('School Level ADM'!$AG$5:$AG$359,'School Level ADM'!$A$5:$A$359,$A11)</f>
        <v>1793.1540000000002</v>
      </c>
      <c r="E11" s="6" t="str">
        <f t="shared" si="0"/>
        <v>3-Year Avg.</v>
      </c>
      <c r="F11" s="3">
        <f t="shared" si="1"/>
        <v>1793.1540000000002</v>
      </c>
    </row>
    <row r="12" spans="1:6" x14ac:dyDescent="0.2">
      <c r="A12" s="6" t="s">
        <v>28</v>
      </c>
      <c r="B12" s="6" t="s">
        <v>29</v>
      </c>
      <c r="C12" s="44">
        <f>SUMIFS('School Level ADM'!$AU$5:$AU$359,'School Level ADM'!$A$5:$A$359,$A12)</f>
        <v>593.95499999999993</v>
      </c>
      <c r="D12" s="3">
        <f>SUMIFS('School Level ADM'!$AG$5:$AG$359,'School Level ADM'!$A$5:$A$359,$A12)</f>
        <v>619.12233333333336</v>
      </c>
      <c r="E12" s="6" t="str">
        <f t="shared" si="0"/>
        <v>3-Year Avg.</v>
      </c>
      <c r="F12" s="3">
        <f t="shared" si="1"/>
        <v>619.12233333333336</v>
      </c>
    </row>
    <row r="13" spans="1:6" x14ac:dyDescent="0.2">
      <c r="A13" s="6" t="s">
        <v>30</v>
      </c>
      <c r="B13" s="6" t="s">
        <v>31</v>
      </c>
      <c r="C13" s="44">
        <f>SUMIFS('School Level ADM'!$AU$5:$AU$359,'School Level ADM'!$A$5:$A$359,$A13)</f>
        <v>1680.4099999999999</v>
      </c>
      <c r="D13" s="3">
        <f>SUMIFS('School Level ADM'!$AG$5:$AG$359,'School Level ADM'!$A$5:$A$359,$A13)</f>
        <v>1689.6276666666668</v>
      </c>
      <c r="E13" s="6" t="str">
        <f t="shared" si="0"/>
        <v>3-Year Avg.</v>
      </c>
      <c r="F13" s="3">
        <f t="shared" si="1"/>
        <v>1689.6276666666668</v>
      </c>
    </row>
    <row r="14" spans="1:6" x14ac:dyDescent="0.2">
      <c r="A14" s="6" t="s">
        <v>32</v>
      </c>
      <c r="B14" s="6" t="s">
        <v>33</v>
      </c>
      <c r="C14" s="44">
        <f>SUMIFS('School Level ADM'!$AU$5:$AU$359,'School Level ADM'!$A$5:$A$359,$A14)</f>
        <v>563.41999999999996</v>
      </c>
      <c r="D14" s="3">
        <f>SUMIFS('School Level ADM'!$AG$5:$AG$359,'School Level ADM'!$A$5:$A$359,$A14)</f>
        <v>607.05766666666671</v>
      </c>
      <c r="E14" s="6" t="str">
        <f t="shared" si="0"/>
        <v>3-Year Avg.</v>
      </c>
      <c r="F14" s="3">
        <f t="shared" si="1"/>
        <v>607.05766666666671</v>
      </c>
    </row>
    <row r="15" spans="1:6" x14ac:dyDescent="0.2">
      <c r="A15" s="6" t="s">
        <v>34</v>
      </c>
      <c r="B15" s="6" t="s">
        <v>35</v>
      </c>
      <c r="C15" s="44">
        <f>SUMIFS('School Level ADM'!$AU$5:$AU$359,'School Level ADM'!$A$5:$A$359,$A15)</f>
        <v>1127.825</v>
      </c>
      <c r="D15" s="3">
        <f>SUMIFS('School Level ADM'!$AG$5:$AG$359,'School Level ADM'!$A$5:$A$359,$A15)</f>
        <v>1134.6060000000002</v>
      </c>
      <c r="E15" s="6" t="str">
        <f t="shared" si="0"/>
        <v>3-Year Avg.</v>
      </c>
      <c r="F15" s="3">
        <f t="shared" si="1"/>
        <v>1134.6060000000002</v>
      </c>
    </row>
    <row r="16" spans="1:6" x14ac:dyDescent="0.2">
      <c r="A16" s="6" t="s">
        <v>36</v>
      </c>
      <c r="B16" s="6" t="s">
        <v>37</v>
      </c>
      <c r="C16" s="44">
        <f>SUMIFS('School Level ADM'!$AU$5:$AU$359,'School Level ADM'!$A$5:$A$359,$A16)</f>
        <v>1760.1949999999997</v>
      </c>
      <c r="D16" s="3">
        <f>SUMIFS('School Level ADM'!$AG$5:$AG$359,'School Level ADM'!$A$5:$A$359,$A16)</f>
        <v>1729.8446666666669</v>
      </c>
      <c r="E16" s="6" t="str">
        <f t="shared" si="0"/>
        <v>Prior Year</v>
      </c>
      <c r="F16" s="3">
        <f t="shared" si="1"/>
        <v>1760.1949999999997</v>
      </c>
    </row>
    <row r="17" spans="1:6" x14ac:dyDescent="0.2">
      <c r="A17" s="6" t="s">
        <v>38</v>
      </c>
      <c r="B17" s="6" t="s">
        <v>39</v>
      </c>
      <c r="C17" s="44">
        <f>SUMIFS('School Level ADM'!$AU$5:$AU$359,'School Level ADM'!$A$5:$A$359,$A17)</f>
        <v>148.73500000000001</v>
      </c>
      <c r="D17" s="3">
        <f>SUMIFS('School Level ADM'!$AG$5:$AG$359,'School Level ADM'!$A$5:$A$359,$A17)</f>
        <v>146.13499999999999</v>
      </c>
      <c r="E17" s="6" t="str">
        <f t="shared" si="0"/>
        <v>Prior Year</v>
      </c>
      <c r="F17" s="3">
        <f t="shared" si="1"/>
        <v>148.73500000000001</v>
      </c>
    </row>
    <row r="18" spans="1:6" x14ac:dyDescent="0.2">
      <c r="A18" s="6" t="s">
        <v>40</v>
      </c>
      <c r="B18" s="6" t="s">
        <v>41</v>
      </c>
      <c r="C18" s="44">
        <f>SUMIFS('School Level ADM'!$AU$5:$AU$359,'School Level ADM'!$A$5:$A$359,$A18)</f>
        <v>406.80500000000001</v>
      </c>
      <c r="D18" s="3">
        <f>SUMIFS('School Level ADM'!$AG$5:$AG$359,'School Level ADM'!$A$5:$A$359,$A18)</f>
        <v>385.85933333333332</v>
      </c>
      <c r="E18" s="6" t="str">
        <f t="shared" si="0"/>
        <v>Prior Year</v>
      </c>
      <c r="F18" s="3">
        <f t="shared" si="1"/>
        <v>406.80500000000001</v>
      </c>
    </row>
    <row r="19" spans="1:6" x14ac:dyDescent="0.2">
      <c r="A19" s="6" t="s">
        <v>42</v>
      </c>
      <c r="B19" s="6" t="s">
        <v>43</v>
      </c>
      <c r="C19" s="44">
        <f>SUMIFS('School Level ADM'!$AU$5:$AU$359,'School Level ADM'!$A$5:$A$359,$A19)</f>
        <v>611.68499999999995</v>
      </c>
      <c r="D19" s="3">
        <f>SUMIFS('School Level ADM'!$AG$5:$AG$359,'School Level ADM'!$A$5:$A$359,$A19)</f>
        <v>617.3413333333333</v>
      </c>
      <c r="E19" s="6" t="str">
        <f t="shared" si="0"/>
        <v>3-Year Avg.</v>
      </c>
      <c r="F19" s="3">
        <f t="shared" si="1"/>
        <v>617.3413333333333</v>
      </c>
    </row>
    <row r="20" spans="1:6" x14ac:dyDescent="0.2">
      <c r="A20" s="6" t="s">
        <v>44</v>
      </c>
      <c r="B20" s="6" t="s">
        <v>45</v>
      </c>
      <c r="C20" s="44">
        <f>SUMIFS('School Level ADM'!$AU$5:$AU$359,'School Level ADM'!$A$5:$A$359,$A20)</f>
        <v>497.42500000000001</v>
      </c>
      <c r="D20" s="3">
        <f>SUMIFS('School Level ADM'!$AG$5:$AG$359,'School Level ADM'!$A$5:$A$359,$A20)</f>
        <v>493.47966666666667</v>
      </c>
      <c r="E20" s="6" t="str">
        <f t="shared" si="0"/>
        <v>Prior Year</v>
      </c>
      <c r="F20" s="3">
        <f t="shared" si="1"/>
        <v>497.42500000000001</v>
      </c>
    </row>
    <row r="21" spans="1:6" x14ac:dyDescent="0.2">
      <c r="A21" s="6" t="s">
        <v>46</v>
      </c>
      <c r="B21" s="6" t="s">
        <v>47</v>
      </c>
      <c r="C21" s="44">
        <f>SUMIFS('School Level ADM'!$AU$5:$AU$359,'School Level ADM'!$A$5:$A$359,$A21)</f>
        <v>383.16500000000002</v>
      </c>
      <c r="D21" s="3">
        <f>SUMIFS('School Level ADM'!$AG$5:$AG$359,'School Level ADM'!$A$5:$A$359,$A21)</f>
        <v>388.52100000000002</v>
      </c>
      <c r="E21" s="6" t="str">
        <f t="shared" si="0"/>
        <v>3-Year Avg.</v>
      </c>
      <c r="F21" s="3">
        <f t="shared" si="1"/>
        <v>388.52100000000002</v>
      </c>
    </row>
    <row r="22" spans="1:6" x14ac:dyDescent="0.2">
      <c r="A22" s="6" t="s">
        <v>48</v>
      </c>
      <c r="B22" s="6" t="s">
        <v>49</v>
      </c>
      <c r="C22" s="44">
        <f>SUMIFS('School Level ADM'!$AU$5:$AU$359,'School Level ADM'!$A$5:$A$359,$A22)</f>
        <v>2417.1899999999996</v>
      </c>
      <c r="D22" s="3">
        <f>SUMIFS('School Level ADM'!$AG$5:$AG$359,'School Level ADM'!$A$5:$A$359,$A22)</f>
        <v>2449.0836666666669</v>
      </c>
      <c r="E22" s="6" t="str">
        <f t="shared" si="0"/>
        <v>3-Year Avg.</v>
      </c>
      <c r="F22" s="3">
        <f t="shared" si="1"/>
        <v>2449.0836666666669</v>
      </c>
    </row>
    <row r="23" spans="1:6" x14ac:dyDescent="0.2">
      <c r="A23" s="6" t="s">
        <v>50</v>
      </c>
      <c r="B23" s="6" t="s">
        <v>51</v>
      </c>
      <c r="C23" s="44">
        <f>SUMIFS('School Level ADM'!$AU$5:$AU$359,'School Level ADM'!$A$5:$A$359,$A23)</f>
        <v>437.34</v>
      </c>
      <c r="D23" s="3">
        <f>SUMIFS('School Level ADM'!$AG$5:$AG$359,'School Level ADM'!$A$5:$A$359,$A23)</f>
        <v>416.65833333333336</v>
      </c>
      <c r="E23" s="6" t="str">
        <f t="shared" si="0"/>
        <v>Prior Year</v>
      </c>
      <c r="F23" s="3">
        <f t="shared" si="1"/>
        <v>437.34</v>
      </c>
    </row>
    <row r="24" spans="1:6" x14ac:dyDescent="0.2">
      <c r="A24" s="6" t="s">
        <v>52</v>
      </c>
      <c r="B24" s="6" t="s">
        <v>53</v>
      </c>
      <c r="C24" s="44">
        <f>SUMIFS('School Level ADM'!$AU$5:$AU$359,'School Level ADM'!$A$5:$A$359,$A24)</f>
        <v>1670.5600000000002</v>
      </c>
      <c r="D24" s="3">
        <f>SUMIFS('School Level ADM'!$AG$5:$AG$359,'School Level ADM'!$A$5:$A$359,$A24)</f>
        <v>1703.5450000000001</v>
      </c>
      <c r="E24" s="6" t="str">
        <f t="shared" si="0"/>
        <v>3-Year Avg.</v>
      </c>
      <c r="F24" s="3">
        <f t="shared" si="1"/>
        <v>1703.5450000000001</v>
      </c>
    </row>
    <row r="25" spans="1:6" x14ac:dyDescent="0.2">
      <c r="A25" s="6" t="s">
        <v>54</v>
      </c>
      <c r="B25" s="6" t="s">
        <v>55</v>
      </c>
      <c r="C25" s="44">
        <f>SUMIFS('School Level ADM'!$AU$5:$AU$359,'School Level ADM'!$A$5:$A$359,$A25)</f>
        <v>662.90499999999997</v>
      </c>
      <c r="D25" s="3">
        <f>SUMIFS('School Level ADM'!$AG$5:$AG$359,'School Level ADM'!$A$5:$A$359,$A25)</f>
        <v>659.91000000000008</v>
      </c>
      <c r="E25" s="6" t="str">
        <f t="shared" si="0"/>
        <v>Prior Year</v>
      </c>
      <c r="F25" s="3">
        <f t="shared" si="1"/>
        <v>662.90499999999997</v>
      </c>
    </row>
    <row r="26" spans="1:6" x14ac:dyDescent="0.2">
      <c r="A26" s="6" t="s">
        <v>56</v>
      </c>
      <c r="B26" s="6" t="s">
        <v>57</v>
      </c>
      <c r="C26" s="44">
        <f>SUMIFS('School Level ADM'!$AU$5:$AU$359,'School Level ADM'!$A$5:$A$359,$A26)</f>
        <v>1269.665</v>
      </c>
      <c r="D26" s="3">
        <f>SUMIFS('School Level ADM'!$AG$5:$AG$359,'School Level ADM'!$A$5:$A$359,$A26)</f>
        <v>1265.3043333333333</v>
      </c>
      <c r="E26" s="6" t="str">
        <f t="shared" si="0"/>
        <v>Prior Year</v>
      </c>
      <c r="F26" s="3">
        <f t="shared" si="1"/>
        <v>1269.665</v>
      </c>
    </row>
    <row r="27" spans="1:6" x14ac:dyDescent="0.2">
      <c r="A27" s="6" t="s">
        <v>58</v>
      </c>
      <c r="B27" s="6" t="s">
        <v>59</v>
      </c>
      <c r="C27" s="44">
        <f>SUMIFS('School Level ADM'!$AU$5:$AU$359,'School Level ADM'!$A$5:$A$359,$A27)</f>
        <v>13859.934999999998</v>
      </c>
      <c r="D27" s="3">
        <f>SUMIFS('School Level ADM'!$AG$5:$AG$359,'School Level ADM'!$A$5:$A$359,$A27)</f>
        <v>13853.861666666669</v>
      </c>
      <c r="E27" s="6" t="str">
        <f t="shared" si="0"/>
        <v>Prior Year</v>
      </c>
      <c r="F27" s="3">
        <f t="shared" si="1"/>
        <v>13859.934999999998</v>
      </c>
    </row>
    <row r="28" spans="1:6" x14ac:dyDescent="0.2">
      <c r="A28" s="6" t="s">
        <v>60</v>
      </c>
      <c r="B28" s="6" t="s">
        <v>61</v>
      </c>
      <c r="C28" s="44">
        <f>SUMIFS('School Level ADM'!$AU$5:$AU$359,'School Level ADM'!$A$5:$A$359,$A28)</f>
        <v>1035.2350000000001</v>
      </c>
      <c r="D28" s="3">
        <f>SUMIFS('School Level ADM'!$AG$5:$AG$359,'School Level ADM'!$A$5:$A$359,$A28)</f>
        <v>1003.5853333333332</v>
      </c>
      <c r="E28" s="6" t="str">
        <f t="shared" si="0"/>
        <v>Prior Year</v>
      </c>
      <c r="F28" s="3">
        <f t="shared" si="1"/>
        <v>1035.2350000000001</v>
      </c>
    </row>
    <row r="29" spans="1:6" x14ac:dyDescent="0.2">
      <c r="A29" s="6" t="s">
        <v>62</v>
      </c>
      <c r="B29" s="6" t="s">
        <v>63</v>
      </c>
      <c r="C29" s="44">
        <f>SUMIFS('School Level ADM'!$AU$5:$AU$359,'School Level ADM'!$A$5:$A$359,$A29)</f>
        <v>603.80499999999995</v>
      </c>
      <c r="D29" s="3">
        <f>SUMIFS('School Level ADM'!$AG$5:$AG$359,'School Level ADM'!$A$5:$A$359,$A29)</f>
        <v>601.22433333333333</v>
      </c>
      <c r="E29" s="6" t="str">
        <f t="shared" si="0"/>
        <v>Prior Year</v>
      </c>
      <c r="F29" s="3">
        <f t="shared" si="1"/>
        <v>603.80499999999995</v>
      </c>
    </row>
    <row r="30" spans="1:6" x14ac:dyDescent="0.2">
      <c r="A30" s="6" t="s">
        <v>64</v>
      </c>
      <c r="B30" s="6" t="s">
        <v>65</v>
      </c>
      <c r="C30" s="44">
        <f>SUMIFS('School Level ADM'!$AU$5:$AU$359,'School Level ADM'!$A$5:$A$359,$A30)</f>
        <v>2839.7550000000006</v>
      </c>
      <c r="D30" s="3">
        <f>SUMIFS('School Level ADM'!$AG$5:$AG$359,'School Level ADM'!$A$5:$A$359,$A30)</f>
        <v>2823.4366666666665</v>
      </c>
      <c r="E30" s="6" t="str">
        <f t="shared" si="0"/>
        <v>Prior Year</v>
      </c>
      <c r="F30" s="3">
        <f t="shared" si="1"/>
        <v>2839.7550000000006</v>
      </c>
    </row>
    <row r="31" spans="1:6" x14ac:dyDescent="0.2">
      <c r="A31" s="6" t="s">
        <v>66</v>
      </c>
      <c r="B31" s="6" t="s">
        <v>67</v>
      </c>
      <c r="C31" s="44">
        <f>SUMIFS('School Level ADM'!$AU$5:$AU$359,'School Level ADM'!$A$5:$A$359,$A31)</f>
        <v>12780.375000000002</v>
      </c>
      <c r="D31" s="3">
        <f>SUMIFS('School Level ADM'!$AG$5:$AG$359,'School Level ADM'!$A$5:$A$359,$A31)</f>
        <v>12798.258666666667</v>
      </c>
      <c r="E31" s="6" t="str">
        <f t="shared" si="0"/>
        <v>3-Year Avg.</v>
      </c>
      <c r="F31" s="3">
        <f t="shared" si="1"/>
        <v>12798.258666666667</v>
      </c>
    </row>
    <row r="32" spans="1:6" x14ac:dyDescent="0.2">
      <c r="A32" s="6" t="s">
        <v>68</v>
      </c>
      <c r="B32" s="6" t="s">
        <v>69</v>
      </c>
      <c r="C32" s="44">
        <f>SUMIFS('School Level ADM'!$AU$5:$AU$359,'School Level ADM'!$A$5:$A$359,$A32)</f>
        <v>802.77499999999998</v>
      </c>
      <c r="D32" s="3">
        <f>SUMIFS('School Level ADM'!$AG$5:$AG$359,'School Level ADM'!$A$5:$A$359,$A32)</f>
        <v>818.34400000000005</v>
      </c>
      <c r="E32" s="6" t="str">
        <f t="shared" si="0"/>
        <v>3-Year Avg.</v>
      </c>
      <c r="F32" s="3">
        <f t="shared" si="1"/>
        <v>818.34400000000005</v>
      </c>
    </row>
    <row r="33" spans="1:6" x14ac:dyDescent="0.2">
      <c r="A33" s="6" t="s">
        <v>70</v>
      </c>
      <c r="B33" s="6" t="s">
        <v>71</v>
      </c>
      <c r="C33" s="44">
        <f>SUMIFS('School Level ADM'!$AU$5:$AU$359,'School Level ADM'!$A$5:$A$359,$A33)</f>
        <v>1809.4450000000002</v>
      </c>
      <c r="D33" s="3">
        <f>SUMIFS('School Level ADM'!$AG$5:$AG$359,'School Level ADM'!$A$5:$A$359,$A33)</f>
        <v>1791.2883333333332</v>
      </c>
      <c r="E33" s="6" t="str">
        <f t="shared" si="0"/>
        <v>Prior Year</v>
      </c>
      <c r="F33" s="3">
        <f t="shared" si="1"/>
        <v>1809.4450000000002</v>
      </c>
    </row>
    <row r="34" spans="1:6" x14ac:dyDescent="0.2">
      <c r="A34" s="6" t="s">
        <v>72</v>
      </c>
      <c r="B34" s="6" t="s">
        <v>73</v>
      </c>
      <c r="C34" s="44">
        <f>SUMIFS('School Level ADM'!$AU$5:$AU$359,'School Level ADM'!$A$5:$A$359,$A34)</f>
        <v>2027.13</v>
      </c>
      <c r="D34" s="3">
        <f>SUMIFS('School Level ADM'!$AG$5:$AG$359,'School Level ADM'!$A$5:$A$359,$A34)</f>
        <v>2038.2146666666667</v>
      </c>
      <c r="E34" s="6" t="str">
        <f t="shared" si="0"/>
        <v>3-Year Avg.</v>
      </c>
      <c r="F34" s="3">
        <f t="shared" si="1"/>
        <v>2038.2146666666667</v>
      </c>
    </row>
    <row r="35" spans="1:6" x14ac:dyDescent="0.2">
      <c r="A35" s="6" t="s">
        <v>74</v>
      </c>
      <c r="B35" s="6" t="s">
        <v>75</v>
      </c>
      <c r="C35" s="44">
        <f>SUMIFS('School Level ADM'!$AU$5:$AU$359,'School Level ADM'!$A$5:$A$359,$A35)</f>
        <v>119.18499999999999</v>
      </c>
      <c r="D35" s="3">
        <f>SUMIFS('School Level ADM'!$AG$5:$AG$359,'School Level ADM'!$A$5:$A$359,$A35)</f>
        <v>118.89633333333333</v>
      </c>
      <c r="E35" s="6" t="str">
        <f t="shared" si="0"/>
        <v>Prior Year</v>
      </c>
      <c r="F35" s="3">
        <f t="shared" si="1"/>
        <v>119.18499999999999</v>
      </c>
    </row>
    <row r="36" spans="1:6" x14ac:dyDescent="0.2">
      <c r="A36" s="6" t="s">
        <v>76</v>
      </c>
      <c r="B36" s="6" t="s">
        <v>77</v>
      </c>
      <c r="C36" s="44">
        <f>SUMIFS('School Level ADM'!$AU$5:$AU$359,'School Level ADM'!$A$5:$A$359,$A36)</f>
        <v>1007.6549999999999</v>
      </c>
      <c r="D36" s="3">
        <f>SUMIFS('School Level ADM'!$AG$5:$AG$359,'School Level ADM'!$A$5:$A$359,$A36)</f>
        <v>1000.3449999999999</v>
      </c>
      <c r="E36" s="6" t="str">
        <f t="shared" si="0"/>
        <v>Prior Year</v>
      </c>
      <c r="F36" s="3">
        <f t="shared" si="1"/>
        <v>1007.6549999999999</v>
      </c>
    </row>
    <row r="37" spans="1:6" x14ac:dyDescent="0.2">
      <c r="A37" s="6" t="s">
        <v>78</v>
      </c>
      <c r="B37" s="6" t="s">
        <v>79</v>
      </c>
      <c r="C37" s="44">
        <f>SUMIFS('School Level ADM'!$AU$5:$AU$359,'School Level ADM'!$A$5:$A$359,$A37)</f>
        <v>239.35500000000002</v>
      </c>
      <c r="D37" s="3">
        <f>SUMIFS('School Level ADM'!$AG$5:$AG$359,'School Level ADM'!$A$5:$A$359,$A37)</f>
        <v>240.86133333333333</v>
      </c>
      <c r="E37" s="6" t="str">
        <f t="shared" si="0"/>
        <v>3-Year Avg.</v>
      </c>
      <c r="F37" s="3">
        <f t="shared" si="1"/>
        <v>240.86133333333333</v>
      </c>
    </row>
    <row r="38" spans="1:6" x14ac:dyDescent="0.2">
      <c r="A38" s="6" t="s">
        <v>80</v>
      </c>
      <c r="B38" s="6" t="s">
        <v>81</v>
      </c>
      <c r="C38" s="44">
        <f>SUMIFS('School Level ADM'!$AU$5:$AU$359,'School Level ADM'!$A$5:$A$359,$A38)</f>
        <v>917.60399999999993</v>
      </c>
      <c r="D38" s="3">
        <f>SUMIFS('School Level ADM'!$AG$5:$AG$359,'School Level ADM'!$A$5:$A$359,$A38)</f>
        <v>936.21333333333337</v>
      </c>
      <c r="E38" s="6" t="str">
        <f t="shared" si="0"/>
        <v>3-Year Avg.</v>
      </c>
      <c r="F38" s="3">
        <f t="shared" si="1"/>
        <v>936.21333333333337</v>
      </c>
    </row>
    <row r="39" spans="1:6" x14ac:dyDescent="0.2">
      <c r="A39" s="6" t="s">
        <v>82</v>
      </c>
      <c r="B39" s="6" t="s">
        <v>83</v>
      </c>
      <c r="C39" s="44">
        <f>SUMIFS('School Level ADM'!$AU$5:$AU$359,'School Level ADM'!$A$5:$A$359,$A39)</f>
        <v>3495.7650000000003</v>
      </c>
      <c r="D39" s="3">
        <f>SUMIFS('School Level ADM'!$AG$5:$AG$359,'School Level ADM'!$A$5:$A$359,$A39)</f>
        <v>3461.9286666666667</v>
      </c>
      <c r="E39" s="6" t="str">
        <f t="shared" si="0"/>
        <v>Prior Year</v>
      </c>
      <c r="F39" s="3">
        <f t="shared" si="1"/>
        <v>3495.7650000000003</v>
      </c>
    </row>
    <row r="40" spans="1:6" x14ac:dyDescent="0.2">
      <c r="A40" s="6" t="s">
        <v>84</v>
      </c>
      <c r="B40" s="6" t="s">
        <v>85</v>
      </c>
      <c r="C40" s="44">
        <f>SUMIFS('School Level ADM'!$AU$5:$AU$359,'School Level ADM'!$A$5:$A$359,$A40)</f>
        <v>95.544999999999987</v>
      </c>
      <c r="D40" s="3">
        <f>SUMIFS('School Level ADM'!$AG$5:$AG$359,'School Level ADM'!$A$5:$A$359,$A40)</f>
        <v>95.183333333333337</v>
      </c>
      <c r="E40" s="6" t="str">
        <f t="shared" si="0"/>
        <v>Prior Year</v>
      </c>
      <c r="F40" s="3">
        <f t="shared" si="1"/>
        <v>95.544999999999987</v>
      </c>
    </row>
    <row r="41" spans="1:6" x14ac:dyDescent="0.2">
      <c r="A41" s="6" t="s">
        <v>86</v>
      </c>
      <c r="B41" s="6" t="s">
        <v>87</v>
      </c>
      <c r="C41" s="44">
        <f>SUMIFS('School Level ADM'!$AU$5:$AU$359,'School Level ADM'!$A$5:$A$359,$A41)</f>
        <v>1048.04</v>
      </c>
      <c r="D41" s="3">
        <f>SUMIFS('School Level ADM'!$AG$5:$AG$359,'School Level ADM'!$A$5:$A$359,$A41)</f>
        <v>1035.4780000000001</v>
      </c>
      <c r="E41" s="6" t="str">
        <f t="shared" si="0"/>
        <v>Prior Year</v>
      </c>
      <c r="F41" s="3">
        <f t="shared" si="1"/>
        <v>1048.04</v>
      </c>
    </row>
    <row r="42" spans="1:6" x14ac:dyDescent="0.2">
      <c r="A42" s="6" t="s">
        <v>88</v>
      </c>
      <c r="B42" s="6" t="s">
        <v>89</v>
      </c>
      <c r="C42" s="44">
        <f>SUMIFS('School Level ADM'!$AU$5:$AU$359,'School Level ADM'!$A$5:$A$359,$A42)</f>
        <v>537.81000000000006</v>
      </c>
      <c r="D42" s="3">
        <f>SUMIFS('School Level ADM'!$AG$5:$AG$359,'School Level ADM'!$A$5:$A$359,$A42)</f>
        <v>567.07299999999998</v>
      </c>
      <c r="E42" s="6" t="str">
        <f t="shared" si="0"/>
        <v>3-Year Avg.</v>
      </c>
      <c r="F42" s="3">
        <f t="shared" si="1"/>
        <v>567.07299999999998</v>
      </c>
    </row>
    <row r="43" spans="1:6" x14ac:dyDescent="0.2">
      <c r="A43" s="6" t="s">
        <v>90</v>
      </c>
      <c r="B43" s="6" t="s">
        <v>91</v>
      </c>
      <c r="C43" s="44">
        <f>SUMIFS('School Level ADM'!$AU$5:$AU$359,'School Level ADM'!$A$5:$A$359,$A43)</f>
        <v>5455.915</v>
      </c>
      <c r="D43" s="3">
        <f>SUMIFS('School Level ADM'!$AG$5:$AG$359,'School Level ADM'!$A$5:$A$359,$A43)</f>
        <v>5559.7213333333339</v>
      </c>
      <c r="E43" s="6" t="str">
        <f t="shared" si="0"/>
        <v>3-Year Avg.</v>
      </c>
      <c r="F43" s="3">
        <f t="shared" si="1"/>
        <v>5559.7213333333339</v>
      </c>
    </row>
    <row r="44" spans="1:6" x14ac:dyDescent="0.2">
      <c r="A44" s="6" t="s">
        <v>92</v>
      </c>
      <c r="B44" s="6" t="s">
        <v>93</v>
      </c>
      <c r="C44" s="44">
        <f>SUMIFS('School Level ADM'!$AU$5:$AU$359,'School Level ADM'!$A$5:$A$359,$A44)</f>
        <v>2566.91</v>
      </c>
      <c r="D44" s="3">
        <f>SUMIFS('School Level ADM'!$AG$5:$AG$359,'School Level ADM'!$A$5:$A$359,$A44)</f>
        <v>2622.5863333333332</v>
      </c>
      <c r="E44" s="6" t="str">
        <f t="shared" si="0"/>
        <v>3-Year Avg.</v>
      </c>
      <c r="F44" s="3">
        <f t="shared" si="1"/>
        <v>2622.5863333333332</v>
      </c>
    </row>
    <row r="45" spans="1:6" x14ac:dyDescent="0.2">
      <c r="A45" s="6" t="s">
        <v>94</v>
      </c>
      <c r="B45" s="6" t="s">
        <v>95</v>
      </c>
      <c r="C45" s="44">
        <f>SUMIFS('School Level ADM'!$AU$5:$AU$359,'School Level ADM'!$A$5:$A$359,$A45)</f>
        <v>2819.07</v>
      </c>
      <c r="D45" s="3">
        <f>SUMIFS('School Level ADM'!$AG$5:$AG$359,'School Level ADM'!$A$5:$A$359,$A45)</f>
        <v>2803.579333333334</v>
      </c>
      <c r="E45" s="6" t="str">
        <f t="shared" si="0"/>
        <v>Prior Year</v>
      </c>
      <c r="F45" s="3">
        <f t="shared" si="1"/>
        <v>2819.07</v>
      </c>
    </row>
    <row r="46" spans="1:6" x14ac:dyDescent="0.2">
      <c r="A46" s="6" t="s">
        <v>96</v>
      </c>
      <c r="B46" s="6" t="s">
        <v>97</v>
      </c>
      <c r="C46" s="44">
        <f>SUMIFS('School Level ADM'!$AU$5:$AU$359,'School Level ADM'!$A$5:$A$359,$A46)</f>
        <v>2643.7400000000002</v>
      </c>
      <c r="D46" s="3">
        <f>SUMIFS('School Level ADM'!$AG$5:$AG$359,'School Level ADM'!$A$5:$A$359,$A46)</f>
        <v>2715.8859999999995</v>
      </c>
      <c r="E46" s="6" t="str">
        <f t="shared" si="0"/>
        <v>3-Year Avg.</v>
      </c>
      <c r="F46" s="3">
        <f t="shared" si="1"/>
        <v>2715.8859999999995</v>
      </c>
    </row>
    <row r="47" spans="1:6" x14ac:dyDescent="0.2">
      <c r="A47" s="6" t="s">
        <v>98</v>
      </c>
      <c r="B47" s="6" t="s">
        <v>99</v>
      </c>
      <c r="C47" s="44">
        <f>SUMIFS('School Level ADM'!$AU$5:$AU$359,'School Level ADM'!$A$5:$A$359,$A47)</f>
        <v>825.43000000000006</v>
      </c>
      <c r="D47" s="3">
        <f>SUMIFS('School Level ADM'!$AG$5:$AG$359,'School Level ADM'!$A$5:$A$359,$A47)</f>
        <v>835.97699999999998</v>
      </c>
      <c r="E47" s="6" t="str">
        <f t="shared" si="0"/>
        <v>3-Year Avg.</v>
      </c>
      <c r="F47" s="3">
        <f t="shared" si="1"/>
        <v>835.97699999999998</v>
      </c>
    </row>
    <row r="48" spans="1:6" x14ac:dyDescent="0.2">
      <c r="A48" s="6" t="s">
        <v>100</v>
      </c>
      <c r="B48" s="6" t="s">
        <v>101</v>
      </c>
      <c r="C48" s="44">
        <f>SUMIFS('School Level ADM'!$AU$5:$AU$359,'School Level ADM'!$A$5:$A$359,$A48)</f>
        <v>727.91500000000008</v>
      </c>
      <c r="D48" s="3">
        <f>SUMIFS('School Level ADM'!$AG$5:$AG$359,'School Level ADM'!$A$5:$A$359,$A48)</f>
        <v>713.77966666666657</v>
      </c>
      <c r="E48" s="6" t="str">
        <f t="shared" si="0"/>
        <v>Prior Year</v>
      </c>
      <c r="F48" s="3">
        <f t="shared" si="1"/>
        <v>727.91500000000008</v>
      </c>
    </row>
    <row r="49" spans="1:6" x14ac:dyDescent="0.2">
      <c r="A49" s="6" t="s">
        <v>102</v>
      </c>
      <c r="B49" s="6" t="s">
        <v>103</v>
      </c>
      <c r="C49" s="44">
        <f>SUMIFS('School Level ADM'!$AU$5:$AU$359,'School Level ADM'!$A$5:$A$359,$A49)</f>
        <v>1254.8899999999999</v>
      </c>
      <c r="D49" s="3">
        <f>SUMIFS('School Level ADM'!$AG$5:$AG$359,'School Level ADM'!$A$5:$A$359,$A49)</f>
        <v>1308.692</v>
      </c>
      <c r="E49" s="6" t="str">
        <f t="shared" si="0"/>
        <v>3-Year Avg.</v>
      </c>
      <c r="F49" s="3">
        <f t="shared" si="1"/>
        <v>1308.692</v>
      </c>
    </row>
    <row r="50" spans="1:6" x14ac:dyDescent="0.2">
      <c r="A50" s="6" t="s">
        <v>104</v>
      </c>
      <c r="B50" s="6" t="s">
        <v>105</v>
      </c>
      <c r="C50" s="44">
        <f>SUMIFS('School Level ADM'!$AU$5:$AU$359,'School Level ADM'!$A$5:$A$359,$A50)</f>
        <v>100.46999999999998</v>
      </c>
      <c r="D50" s="3">
        <f>SUMIFS('School Level ADM'!$AG$5:$AG$359,'School Level ADM'!$A$5:$A$359,$A50)</f>
        <v>107.16066666666666</v>
      </c>
      <c r="E50" s="6" t="str">
        <f t="shared" si="0"/>
        <v>3-Year Avg.</v>
      </c>
      <c r="F50" s="3">
        <f t="shared" si="1"/>
        <v>107.16066666666666</v>
      </c>
    </row>
    <row r="51" spans="1:6" x14ac:dyDescent="0.2">
      <c r="A51" s="6" t="s">
        <v>106</v>
      </c>
      <c r="B51" s="6" t="s">
        <v>107</v>
      </c>
      <c r="C51" s="44">
        <f>SUMIFS('School Level ADM'!$AU$5:$AU$359,'School Level ADM'!$A$5:$A$359,$A51)</f>
        <v>742.69</v>
      </c>
      <c r="D51" s="3">
        <f>SUMIFS('School Level ADM'!$AG$5:$AG$359,'School Level ADM'!$A$5:$A$359,$A51)</f>
        <v>765.25600000000009</v>
      </c>
      <c r="E51" s="6" t="str">
        <f t="shared" si="0"/>
        <v>3-Year Avg.</v>
      </c>
      <c r="F51" s="3">
        <f t="shared" si="1"/>
        <v>765.25600000000009</v>
      </c>
    </row>
    <row r="52" spans="1:6" x14ac:dyDescent="0.2">
      <c r="A52" s="6" t="s">
        <v>108</v>
      </c>
      <c r="B52" s="6" t="s">
        <v>109</v>
      </c>
      <c r="C52" s="44">
        <f>SUMIFS('School Level ADM'!$AU$5:$AU$359,'School Level ADM'!$A$5:$A$359,$A52)</f>
        <v>250.19</v>
      </c>
      <c r="D52" s="3">
        <f>SUMIFS('School Level ADM'!$AG$5:$AG$359,'School Level ADM'!$A$5:$A$359,$A52)</f>
        <v>255.91166666666663</v>
      </c>
      <c r="E52" s="6" t="str">
        <f t="shared" si="0"/>
        <v>3-Year Avg.</v>
      </c>
      <c r="F52" s="3">
        <f t="shared" si="1"/>
        <v>255.91166666666663</v>
      </c>
    </row>
    <row r="54" spans="1:6" ht="13.5" thickBot="1" x14ac:dyDescent="0.25">
      <c r="C54" s="8">
        <f>SUM(C5:C52)</f>
        <v>91582.91399999999</v>
      </c>
      <c r="D54" s="8">
        <f>SUM(D5:D52)</f>
        <v>92056.256999999998</v>
      </c>
      <c r="E54" s="148"/>
      <c r="F54" s="8">
        <f>SUM(F5:F52)</f>
        <v>92369.294999999969</v>
      </c>
    </row>
    <row r="55" spans="1:6" ht="13.5" thickTop="1" x14ac:dyDescent="0.2"/>
  </sheetData>
  <sheetProtection algorithmName="SHA-512" hashValue="JUnsKq6QZCjviiFjGs4ZrdESMCKyzAIO5syYY2kWzS7s2zJZNl5A0RwuRHwF6UAQ2RtsKlbpfAx2spKPekDZSw==" saltValue="S3Y3RiVMmRue97lVCQExhQ==" spinCount="100000" sheet="1" objects="1" scenarios="1"/>
  <mergeCells count="1">
    <mergeCell ref="A1:D1"/>
  </mergeCells>
  <pageMargins left="0.5" right="0.5" top="0.5" bottom="0.5" header="0.25" footer="0.25"/>
  <pageSetup scale="94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F394"/>
  <sheetViews>
    <sheetView showGridLines="0" zoomScale="85" zoomScaleNormal="85" zoomScalePageLayoutView="85" workbookViewId="0">
      <pane xSplit="5" ySplit="4" topLeftCell="F5" activePane="bottomRight" state="frozen"/>
      <selection sqref="A1:M1"/>
      <selection pane="topRight" sqref="A1:M1"/>
      <selection pane="bottomLeft" sqref="A1:M1"/>
      <selection pane="bottomRight" sqref="A1:E1"/>
    </sheetView>
  </sheetViews>
  <sheetFormatPr defaultColWidth="8.85546875" defaultRowHeight="12.75" x14ac:dyDescent="0.2"/>
  <cols>
    <col min="1" max="1" width="14.7109375" customWidth="1"/>
    <col min="2" max="2" width="15.28515625" customWidth="1"/>
    <col min="3" max="3" width="14.7109375" customWidth="1"/>
    <col min="4" max="4" width="30.7109375" customWidth="1"/>
    <col min="5" max="75" width="12.7109375" customWidth="1"/>
    <col min="76" max="734" width="8.85546875" style="40"/>
  </cols>
  <sheetData>
    <row r="1" spans="1:75" ht="15.75" x14ac:dyDescent="0.25">
      <c r="A1" s="479" t="s">
        <v>2276</v>
      </c>
      <c r="B1" s="479"/>
      <c r="C1" s="479"/>
      <c r="D1" s="479"/>
      <c r="E1" s="479"/>
      <c r="AW1" s="304"/>
      <c r="AX1" s="304"/>
      <c r="AY1" s="304"/>
      <c r="AZ1" s="304"/>
      <c r="BJ1" s="304"/>
      <c r="BK1" s="304"/>
      <c r="BL1" s="304"/>
      <c r="BM1" s="304"/>
    </row>
    <row r="2" spans="1:75" ht="15" x14ac:dyDescent="0.25">
      <c r="A2" s="305">
        <v>4</v>
      </c>
      <c r="B2" s="489" t="s">
        <v>2277</v>
      </c>
      <c r="C2" s="489"/>
      <c r="D2" s="489"/>
      <c r="E2" s="489"/>
      <c r="F2" s="489"/>
      <c r="G2" s="489"/>
      <c r="H2" s="489"/>
      <c r="AH2" s="306"/>
    </row>
    <row r="3" spans="1:75" x14ac:dyDescent="0.2">
      <c r="A3" s="128"/>
      <c r="B3" s="128"/>
      <c r="C3" s="128"/>
      <c r="D3" s="128"/>
      <c r="E3" s="128"/>
      <c r="AH3" s="307"/>
      <c r="AI3" s="307"/>
      <c r="AJ3" s="307"/>
      <c r="AK3" s="307"/>
      <c r="AL3" s="307"/>
      <c r="AM3" s="307"/>
      <c r="AN3" s="307"/>
      <c r="AO3" s="307"/>
      <c r="AP3" s="307"/>
      <c r="AQ3" s="307"/>
      <c r="AR3" s="307"/>
      <c r="AS3" s="307"/>
      <c r="AT3" s="307"/>
      <c r="AU3" s="307"/>
    </row>
    <row r="4" spans="1:75" ht="26.25" thickBot="1" x14ac:dyDescent="0.25">
      <c r="A4" s="129" t="s">
        <v>1</v>
      </c>
      <c r="B4" s="129" t="s">
        <v>2</v>
      </c>
      <c r="C4" s="129" t="s">
        <v>312</v>
      </c>
      <c r="D4" s="129" t="s">
        <v>313</v>
      </c>
      <c r="E4" s="1" t="s">
        <v>314</v>
      </c>
      <c r="F4" s="1" t="s">
        <v>2278</v>
      </c>
      <c r="G4" s="1" t="s">
        <v>2279</v>
      </c>
      <c r="H4" s="1" t="s">
        <v>2280</v>
      </c>
      <c r="I4" s="1" t="s">
        <v>2281</v>
      </c>
      <c r="J4" s="1" t="s">
        <v>2282</v>
      </c>
      <c r="K4" s="1" t="s">
        <v>2283</v>
      </c>
      <c r="L4" s="1" t="s">
        <v>2284</v>
      </c>
      <c r="M4" s="1" t="s">
        <v>2285</v>
      </c>
      <c r="N4" s="1" t="s">
        <v>2286</v>
      </c>
      <c r="O4" s="1" t="s">
        <v>2287</v>
      </c>
      <c r="P4" s="1" t="s">
        <v>2288</v>
      </c>
      <c r="Q4" s="1" t="s">
        <v>2289</v>
      </c>
      <c r="R4" s="1" t="s">
        <v>2290</v>
      </c>
      <c r="S4" s="1" t="s">
        <v>2291</v>
      </c>
      <c r="T4" s="1" t="s">
        <v>2292</v>
      </c>
      <c r="U4" s="1" t="s">
        <v>2293</v>
      </c>
      <c r="V4" s="1" t="s">
        <v>2294</v>
      </c>
      <c r="W4" s="1" t="s">
        <v>2295</v>
      </c>
      <c r="X4" s="1" t="s">
        <v>2296</v>
      </c>
      <c r="Y4" s="1" t="s">
        <v>2297</v>
      </c>
      <c r="Z4" s="1" t="s">
        <v>2298</v>
      </c>
      <c r="AA4" s="1" t="s">
        <v>2299</v>
      </c>
      <c r="AB4" s="1" t="s">
        <v>2300</v>
      </c>
      <c r="AC4" s="1" t="s">
        <v>2301</v>
      </c>
      <c r="AD4" s="1" t="s">
        <v>2302</v>
      </c>
      <c r="AE4" s="1" t="s">
        <v>2303</v>
      </c>
      <c r="AF4" s="1" t="s">
        <v>2304</v>
      </c>
      <c r="AG4" s="1" t="s">
        <v>2305</v>
      </c>
      <c r="AH4" s="308" t="s">
        <v>2306</v>
      </c>
      <c r="AI4" s="308" t="s">
        <v>2307</v>
      </c>
      <c r="AJ4" s="308" t="s">
        <v>2308</v>
      </c>
      <c r="AK4" s="308" t="s">
        <v>2309</v>
      </c>
      <c r="AL4" s="308" t="s">
        <v>2310</v>
      </c>
      <c r="AM4" s="308" t="s">
        <v>2311</v>
      </c>
      <c r="AN4" s="308" t="s">
        <v>2312</v>
      </c>
      <c r="AO4" s="308" t="s">
        <v>2313</v>
      </c>
      <c r="AP4" s="308" t="s">
        <v>2314</v>
      </c>
      <c r="AQ4" s="308" t="s">
        <v>2315</v>
      </c>
      <c r="AR4" s="308" t="s">
        <v>2316</v>
      </c>
      <c r="AS4" s="308" t="s">
        <v>2317</v>
      </c>
      <c r="AT4" s="308" t="s">
        <v>2318</v>
      </c>
      <c r="AU4" s="308" t="s">
        <v>2319</v>
      </c>
      <c r="AV4" s="309" t="s">
        <v>2320</v>
      </c>
      <c r="AW4" s="309" t="s">
        <v>2321</v>
      </c>
      <c r="AX4" s="309" t="s">
        <v>2322</v>
      </c>
      <c r="AY4" s="309" t="s">
        <v>2323</v>
      </c>
      <c r="AZ4" s="309" t="s">
        <v>2324</v>
      </c>
      <c r="BA4" s="309" t="s">
        <v>2325</v>
      </c>
      <c r="BB4" s="309" t="s">
        <v>2326</v>
      </c>
      <c r="BC4" s="309" t="s">
        <v>2327</v>
      </c>
      <c r="BD4" s="309" t="s">
        <v>2328</v>
      </c>
      <c r="BE4" s="309" t="s">
        <v>2329</v>
      </c>
      <c r="BF4" s="309" t="s">
        <v>2330</v>
      </c>
      <c r="BG4" s="309" t="s">
        <v>2331</v>
      </c>
      <c r="BH4" s="309" t="s">
        <v>2332</v>
      </c>
      <c r="BI4" s="309" t="s">
        <v>2333</v>
      </c>
      <c r="BJ4" s="310" t="s">
        <v>2334</v>
      </c>
      <c r="BK4" s="310" t="s">
        <v>2335</v>
      </c>
      <c r="BL4" s="310" t="s">
        <v>2336</v>
      </c>
      <c r="BM4" s="310" t="s">
        <v>2337</v>
      </c>
      <c r="BN4" s="310" t="s">
        <v>2338</v>
      </c>
      <c r="BO4" s="310" t="s">
        <v>2339</v>
      </c>
      <c r="BP4" s="310" t="s">
        <v>2340</v>
      </c>
      <c r="BQ4" s="310" t="s">
        <v>2341</v>
      </c>
      <c r="BR4" s="310" t="s">
        <v>2342</v>
      </c>
      <c r="BS4" s="310" t="s">
        <v>2343</v>
      </c>
      <c r="BT4" s="310" t="s">
        <v>2344</v>
      </c>
      <c r="BU4" s="310" t="s">
        <v>2345</v>
      </c>
      <c r="BV4" s="310" t="s">
        <v>2346</v>
      </c>
      <c r="BW4" s="310" t="s">
        <v>2347</v>
      </c>
    </row>
    <row r="5" spans="1:75" x14ac:dyDescent="0.2">
      <c r="A5" s="311" t="str">
        <f>'School Level Inst. Resources'!A5</f>
        <v>0101000</v>
      </c>
      <c r="B5" s="311" t="str">
        <f>'School Level Inst. Resources'!B5</f>
        <v>Albany #1</v>
      </c>
      <c r="C5" s="311" t="str">
        <f>'School Level Inst. Resources'!C5</f>
        <v>0101001</v>
      </c>
      <c r="D5" s="311" t="str">
        <f>'School Level Inst. Resources'!D5</f>
        <v>Snowy Range Academy</v>
      </c>
      <c r="E5" s="312" t="str">
        <f>'School Level Inst. Resources'!E5</f>
        <v>K-9</v>
      </c>
      <c r="F5" s="313">
        <f>IF(AND($A$2=4,VLOOKUP($A5,'District Level ADM'!$A$5:$W$52,5,FALSE)="Prior Year"),AH5,IF(AND($A$2=4,VLOOKUP($A5,'District Level ADM'!$A$5:$W$52,5,FALSE)="3-Year Avg."),T5,IF($A$2=2,AH5,IF($A$2=3,T5,IF(($AG5&gt;$AU5),T5,AH5)))))</f>
        <v>27.58</v>
      </c>
      <c r="G5" s="313">
        <f>IF(AND($A$2=4,VLOOKUP($A5,'District Level ADM'!$A$5:$W$52,5,FALSE)="Prior Year"),AI5,IF(AND($A$2=4,VLOOKUP($A5,'District Level ADM'!$A$5:$W$52,5,FALSE)="3-Year Avg."),U5,IF($A$2=2,AI5,IF($A$2=3,U5,IF(($AG5&gt;$AU5),U5,AI5)))))</f>
        <v>33.49</v>
      </c>
      <c r="H5" s="313">
        <f>IF(AND($A$2=4,VLOOKUP($A5,'District Level ADM'!$A$5:$W$52,5,FALSE)="Prior Year"),AJ5,IF(AND($A$2=4,VLOOKUP($A5,'District Level ADM'!$A$5:$W$52,5,FALSE)="3-Year Avg."),V5,IF($A$2=2,AJ5,IF($A$2=3,V5,IF(($AG5&gt;$AU5),V5,AJ5)))))</f>
        <v>31.52</v>
      </c>
      <c r="I5" s="313">
        <f>IF(AND($A$2=4,VLOOKUP($A5,'District Level ADM'!$A$5:$W$52,5,FALSE)="Prior Year"),AK5,IF(AND($A$2=4,VLOOKUP($A5,'District Level ADM'!$A$5:$W$52,5,FALSE)="3-Year Avg."),W5,IF($A$2=2,AK5,IF($A$2=3,W5,IF(($AG5&gt;$AU5),W5,AK5)))))</f>
        <v>22.655000000000001</v>
      </c>
      <c r="J5" s="313">
        <f>IF(AND($A$2=4,VLOOKUP($A5,'District Level ADM'!$A$5:$W$52,5,FALSE)="Prior Year"),AL5,IF(AND($A$2=4,VLOOKUP($A5,'District Level ADM'!$A$5:$W$52,5,FALSE)="3-Year Avg."),X5,IF($A$2=2,AL5,IF($A$2=3,X5,IF(($AG5&gt;$AU5),X5,AL5)))))</f>
        <v>23.64</v>
      </c>
      <c r="K5" s="313">
        <f>IF(AND($A$2=4,VLOOKUP($A5,'District Level ADM'!$A$5:$W$52,5,FALSE)="Prior Year"),AM5,IF(AND($A$2=4,VLOOKUP($A5,'District Level ADM'!$A$5:$W$52,5,FALSE)="3-Year Avg."),Y5,IF($A$2=2,AM5,IF($A$2=3,Y5,IF(($AG5&gt;$AU5),Y5,AM5)))))</f>
        <v>23.64</v>
      </c>
      <c r="L5" s="313">
        <f>IF(AND($A$2=4,VLOOKUP($A5,'District Level ADM'!$A$5:$W$52,5,FALSE)="Prior Year"),AN5,IF(AND($A$2=4,VLOOKUP($A5,'District Level ADM'!$A$5:$W$52,5,FALSE)="3-Year Avg."),Z5,IF($A$2=2,AN5,IF($A$2=3,Z5,IF(($AG5&gt;$AU5),Z5,AN5)))))</f>
        <v>12.805</v>
      </c>
      <c r="M5" s="313">
        <f>IF(AND($A$2=4,VLOOKUP($A5,'District Level ADM'!$A$5:$W$52,5,FALSE)="Prior Year"),AO5,IF(AND($A$2=4,VLOOKUP($A5,'District Level ADM'!$A$5:$W$52,5,FALSE)="3-Year Avg."),AA5,IF($A$2=2,AO5,IF($A$2=3,AA5,IF(($AG5&gt;$AU5),AA5,AO5)))))</f>
        <v>16.745000000000001</v>
      </c>
      <c r="N5" s="313">
        <f>IF(AND($A$2=4,VLOOKUP($A5,'District Level ADM'!$A$5:$W$52,5,FALSE)="Prior Year"),AP5,IF(AND($A$2=4,VLOOKUP($A5,'District Level ADM'!$A$5:$W$52,5,FALSE)="3-Year Avg."),AB5,IF($A$2=2,AP5,IF($A$2=3,AB5,IF(($AG5&gt;$AU5),AB5,AP5)))))</f>
        <v>8.8650000000000002</v>
      </c>
      <c r="O5" s="313">
        <f>IF(AND($A$2=4,VLOOKUP($A5,'District Level ADM'!$A$5:$W$52,5,FALSE)="Prior Year"),AQ5,IF(AND($A$2=4,VLOOKUP($A5,'District Level ADM'!$A$5:$W$52,5,FALSE)="3-Year Avg."),AC5,IF($A$2=2,AQ5,IF($A$2=3,AC5,IF(($AG5&gt;$AU5),AC5,AQ5)))))</f>
        <v>0</v>
      </c>
      <c r="P5" s="313">
        <f>IF(AND($A$2=4,VLOOKUP($A5,'District Level ADM'!$A$5:$W$52,5,FALSE)="Prior Year"),AR5,IF(AND($A$2=4,VLOOKUP($A5,'District Level ADM'!$A$5:$W$52,5,FALSE)="3-Year Avg."),AD5,IF($A$2=2,AR5,IF($A$2=3,AD5,IF(($AG5&gt;$AU5),AD5,AR5)))))</f>
        <v>0</v>
      </c>
      <c r="Q5" s="313">
        <f>IF(AND($A$2=4,VLOOKUP($A5,'District Level ADM'!$A$5:$W$52,5,FALSE)="Prior Year"),AS5,IF(AND($A$2=4,VLOOKUP($A5,'District Level ADM'!$A$5:$W$52,5,FALSE)="3-Year Avg."),AE5,IF($A$2=2,AS5,IF($A$2=3,AE5,IF(($AG5&gt;$AU5),AE5,AS5)))))</f>
        <v>0</v>
      </c>
      <c r="R5" s="313">
        <f>IF(AND($A$2=4,VLOOKUP($A5,'District Level ADM'!$A$5:$W$52,5,FALSE)="Prior Year"),AT5,IF(AND($A$2=4,VLOOKUP($A5,'District Level ADM'!$A$5:$W$52,5,FALSE)="3-Year Avg."),AF5,IF($A$2=2,AT5,IF($A$2=3,AF5,IF(($AG5&gt;$AU5),AF5,AT5)))))</f>
        <v>0</v>
      </c>
      <c r="S5" s="313">
        <f>SUM(F5:R5)</f>
        <v>200.94</v>
      </c>
      <c r="T5" s="313">
        <f>AVERAGE(AH5,AV5,BJ5)</f>
        <v>31.782</v>
      </c>
      <c r="U5" s="313">
        <f t="shared" ref="U5:AF20" si="0">AVERAGE(AI5,AW5,BK5)</f>
        <v>31.058333333333337</v>
      </c>
      <c r="V5" s="313">
        <f t="shared" si="0"/>
        <v>26.506666666666664</v>
      </c>
      <c r="W5" s="313">
        <f t="shared" si="0"/>
        <v>23.551666666666666</v>
      </c>
      <c r="X5" s="313">
        <f t="shared" si="0"/>
        <v>21.525666666666666</v>
      </c>
      <c r="Y5" s="313">
        <f t="shared" si="0"/>
        <v>19.295333333333335</v>
      </c>
      <c r="Z5" s="313">
        <f t="shared" si="0"/>
        <v>15.750333333333332</v>
      </c>
      <c r="AA5" s="313">
        <f t="shared" si="0"/>
        <v>13.248333333333335</v>
      </c>
      <c r="AB5" s="313">
        <f t="shared" si="0"/>
        <v>9.593</v>
      </c>
      <c r="AC5" s="313">
        <f t="shared" si="0"/>
        <v>0</v>
      </c>
      <c r="AD5" s="313">
        <f t="shared" si="0"/>
        <v>0</v>
      </c>
      <c r="AE5" s="313">
        <f t="shared" si="0"/>
        <v>0</v>
      </c>
      <c r="AF5" s="313">
        <f t="shared" si="0"/>
        <v>0</v>
      </c>
      <c r="AG5" s="313">
        <f>SUM(T5:AF5)</f>
        <v>192.31133333333332</v>
      </c>
      <c r="AH5" s="314">
        <v>27.58</v>
      </c>
      <c r="AI5" s="314">
        <v>33.49</v>
      </c>
      <c r="AJ5" s="314">
        <v>31.52</v>
      </c>
      <c r="AK5" s="314">
        <v>22.655000000000001</v>
      </c>
      <c r="AL5" s="314">
        <v>23.64</v>
      </c>
      <c r="AM5" s="314">
        <v>23.64</v>
      </c>
      <c r="AN5" s="314">
        <v>12.805</v>
      </c>
      <c r="AO5" s="314">
        <v>16.745000000000001</v>
      </c>
      <c r="AP5" s="314">
        <v>8.8650000000000002</v>
      </c>
      <c r="AQ5" s="314">
        <v>0</v>
      </c>
      <c r="AR5" s="314">
        <v>0</v>
      </c>
      <c r="AS5" s="314">
        <v>0</v>
      </c>
      <c r="AT5" s="314">
        <v>0</v>
      </c>
      <c r="AU5" s="313">
        <f>SUM(AH5:AT5)</f>
        <v>200.94</v>
      </c>
      <c r="AV5" s="315">
        <v>32.765999999999998</v>
      </c>
      <c r="AW5" s="315">
        <v>35.731000000000002</v>
      </c>
      <c r="AX5" s="315">
        <v>24</v>
      </c>
      <c r="AY5" s="315">
        <v>24</v>
      </c>
      <c r="AZ5" s="315">
        <v>23.422999999999998</v>
      </c>
      <c r="BA5" s="315">
        <v>13.246</v>
      </c>
      <c r="BB5" s="315">
        <v>20.908999999999999</v>
      </c>
      <c r="BC5" s="315">
        <v>11</v>
      </c>
      <c r="BD5" s="315">
        <v>11.423</v>
      </c>
      <c r="BE5" s="315">
        <v>0</v>
      </c>
      <c r="BF5" s="315">
        <v>0</v>
      </c>
      <c r="BG5" s="315">
        <v>0</v>
      </c>
      <c r="BH5" s="315">
        <v>0</v>
      </c>
      <c r="BI5" s="313">
        <f>SUM(AV5:BH5)</f>
        <v>196.49799999999999</v>
      </c>
      <c r="BJ5" s="316">
        <v>35</v>
      </c>
      <c r="BK5" s="316">
        <v>23.954000000000001</v>
      </c>
      <c r="BL5" s="316">
        <v>24</v>
      </c>
      <c r="BM5" s="316">
        <v>24</v>
      </c>
      <c r="BN5" s="316">
        <v>17.513999999999999</v>
      </c>
      <c r="BO5" s="316">
        <v>21</v>
      </c>
      <c r="BP5" s="316">
        <v>13.537000000000001</v>
      </c>
      <c r="BQ5" s="316">
        <v>12</v>
      </c>
      <c r="BR5" s="316">
        <v>8.4909999999999997</v>
      </c>
      <c r="BS5" s="316">
        <v>0</v>
      </c>
      <c r="BT5" s="316">
        <v>0</v>
      </c>
      <c r="BU5" s="316">
        <v>0</v>
      </c>
      <c r="BV5" s="316">
        <v>0</v>
      </c>
      <c r="BW5" s="313">
        <f>SUM(BJ5:BV5)</f>
        <v>179.49600000000004</v>
      </c>
    </row>
    <row r="6" spans="1:75" x14ac:dyDescent="0.2">
      <c r="A6" s="20" t="str">
        <f>'School Level Inst. Resources'!A6</f>
        <v>0101000</v>
      </c>
      <c r="B6" s="20" t="str">
        <f>'School Level Inst. Resources'!B6</f>
        <v>Albany #1</v>
      </c>
      <c r="C6" s="20" t="str">
        <f>'School Level Inst. Resources'!C6</f>
        <v>0101002</v>
      </c>
      <c r="D6" s="20" t="str">
        <f>'School Level Inst. Resources'!D6</f>
        <v>Beitel Elementary</v>
      </c>
      <c r="E6" s="138" t="str">
        <f>'School Level Inst. Resources'!E6</f>
        <v>K-5</v>
      </c>
      <c r="F6" s="317">
        <f>IF(AND($A$2=4,VLOOKUP($A6,'District Level ADM'!$A$5:$W$52,5,FALSE)="Prior Year"),AH6,IF(AND($A$2=4,VLOOKUP($A6,'District Level ADM'!$A$5:$W$52,5,FALSE)="3-Year Avg."),T6,IF($A$2=2,AH6,IF($A$2=3,T6,IF(($AG6&gt;$AU6),T6,AH6)))))</f>
        <v>41.37</v>
      </c>
      <c r="G6" s="317">
        <f>IF(AND($A$2=4,VLOOKUP($A6,'District Level ADM'!$A$5:$W$52,5,FALSE)="Prior Year"),AI6,IF(AND($A$2=4,VLOOKUP($A6,'District Level ADM'!$A$5:$W$52,5,FALSE)="3-Year Avg."),U6,IF($A$2=2,AI6,IF($A$2=3,U6,IF(($AG6&gt;$AU6),U6,AI6)))))</f>
        <v>41.37</v>
      </c>
      <c r="H6" s="317">
        <f>IF(AND($A$2=4,VLOOKUP($A6,'District Level ADM'!$A$5:$W$52,5,FALSE)="Prior Year"),AJ6,IF(AND($A$2=4,VLOOKUP($A6,'District Level ADM'!$A$5:$W$52,5,FALSE)="3-Year Avg."),V6,IF($A$2=2,AJ6,IF($A$2=3,V6,IF(($AG6&gt;$AU6),V6,AJ6)))))</f>
        <v>38.414999999999999</v>
      </c>
      <c r="I6" s="317">
        <f>IF(AND($A$2=4,VLOOKUP($A6,'District Level ADM'!$A$5:$W$52,5,FALSE)="Prior Year"),AK6,IF(AND($A$2=4,VLOOKUP($A6,'District Level ADM'!$A$5:$W$52,5,FALSE)="3-Year Avg."),W6,IF($A$2=2,AK6,IF($A$2=3,W6,IF(($AG6&gt;$AU6),W6,AK6)))))</f>
        <v>36.445</v>
      </c>
      <c r="J6" s="317">
        <f>IF(AND($A$2=4,VLOOKUP($A6,'District Level ADM'!$A$5:$W$52,5,FALSE)="Prior Year"),AL6,IF(AND($A$2=4,VLOOKUP($A6,'District Level ADM'!$A$5:$W$52,5,FALSE)="3-Year Avg."),X6,IF($A$2=2,AL6,IF($A$2=3,X6,IF(($AG6&gt;$AU6),X6,AL6)))))</f>
        <v>35.46</v>
      </c>
      <c r="K6" s="317">
        <f>IF(AND($A$2=4,VLOOKUP($A6,'District Level ADM'!$A$5:$W$52,5,FALSE)="Prior Year"),AM6,IF(AND($A$2=4,VLOOKUP($A6,'District Level ADM'!$A$5:$W$52,5,FALSE)="3-Year Avg."),Y6,IF($A$2=2,AM6,IF($A$2=3,Y6,IF(($AG6&gt;$AU6),Y6,AM6)))))</f>
        <v>45.31</v>
      </c>
      <c r="L6" s="317">
        <f>IF(AND($A$2=4,VLOOKUP($A6,'District Level ADM'!$A$5:$W$52,5,FALSE)="Prior Year"),AN6,IF(AND($A$2=4,VLOOKUP($A6,'District Level ADM'!$A$5:$W$52,5,FALSE)="3-Year Avg."),Z6,IF($A$2=2,AN6,IF($A$2=3,Z6,IF(($AG6&gt;$AU6),Z6,AN6)))))</f>
        <v>0</v>
      </c>
      <c r="M6" s="317">
        <f>IF(AND($A$2=4,VLOOKUP($A6,'District Level ADM'!$A$5:$W$52,5,FALSE)="Prior Year"),AO6,IF(AND($A$2=4,VLOOKUP($A6,'District Level ADM'!$A$5:$W$52,5,FALSE)="3-Year Avg."),AA6,IF($A$2=2,AO6,IF($A$2=3,AA6,IF(($AG6&gt;$AU6),AA6,AO6)))))</f>
        <v>0</v>
      </c>
      <c r="N6" s="317">
        <f>IF(AND($A$2=4,VLOOKUP($A6,'District Level ADM'!$A$5:$W$52,5,FALSE)="Prior Year"),AP6,IF(AND($A$2=4,VLOOKUP($A6,'District Level ADM'!$A$5:$W$52,5,FALSE)="3-Year Avg."),AB6,IF($A$2=2,AP6,IF($A$2=3,AB6,IF(($AG6&gt;$AU6),AB6,AP6)))))</f>
        <v>0</v>
      </c>
      <c r="O6" s="317">
        <f>IF(AND($A$2=4,VLOOKUP($A6,'District Level ADM'!$A$5:$W$52,5,FALSE)="Prior Year"),AQ6,IF(AND($A$2=4,VLOOKUP($A6,'District Level ADM'!$A$5:$W$52,5,FALSE)="3-Year Avg."),AC6,IF($A$2=2,AQ6,IF($A$2=3,AC6,IF(($AG6&gt;$AU6),AC6,AQ6)))))</f>
        <v>0</v>
      </c>
      <c r="P6" s="317">
        <f>IF(AND($A$2=4,VLOOKUP($A6,'District Level ADM'!$A$5:$W$52,5,FALSE)="Prior Year"),AR6,IF(AND($A$2=4,VLOOKUP($A6,'District Level ADM'!$A$5:$W$52,5,FALSE)="3-Year Avg."),AD6,IF($A$2=2,AR6,IF($A$2=3,AD6,IF(($AG6&gt;$AU6),AD6,AR6)))))</f>
        <v>0</v>
      </c>
      <c r="Q6" s="317">
        <f>IF(AND($A$2=4,VLOOKUP($A6,'District Level ADM'!$A$5:$W$52,5,FALSE)="Prior Year"),AS6,IF(AND($A$2=4,VLOOKUP($A6,'District Level ADM'!$A$5:$W$52,5,FALSE)="3-Year Avg."),AE6,IF($A$2=2,AS6,IF($A$2=3,AE6,IF(($AG6&gt;$AU6),AE6,AS6)))))</f>
        <v>0</v>
      </c>
      <c r="R6" s="317">
        <f>IF(AND($A$2=4,VLOOKUP($A6,'District Level ADM'!$A$5:$W$52,5,FALSE)="Prior Year"),AT6,IF(AND($A$2=4,VLOOKUP($A6,'District Level ADM'!$A$5:$W$52,5,FALSE)="3-Year Avg."),AF6,IF($A$2=2,AT6,IF($A$2=3,AF6,IF(($AG6&gt;$AU6),AF6,AT6)))))</f>
        <v>0</v>
      </c>
      <c r="S6" s="317">
        <f t="shared" ref="S6:S69" si="1">SUM(F6:R6)</f>
        <v>238.37</v>
      </c>
      <c r="T6" s="317">
        <f t="shared" ref="T6:AF39" si="2">AVERAGE(AH6,AV6,BJ6)</f>
        <v>45.239666666666665</v>
      </c>
      <c r="U6" s="317">
        <f t="shared" si="0"/>
        <v>41.027999999999999</v>
      </c>
      <c r="V6" s="317">
        <f t="shared" si="0"/>
        <v>41.079333333333331</v>
      </c>
      <c r="W6" s="317">
        <f t="shared" si="0"/>
        <v>41.618000000000002</v>
      </c>
      <c r="X6" s="317">
        <f t="shared" si="0"/>
        <v>39.494333333333337</v>
      </c>
      <c r="Y6" s="317">
        <f t="shared" si="0"/>
        <v>43.556666666666672</v>
      </c>
      <c r="Z6" s="317">
        <f t="shared" si="0"/>
        <v>0</v>
      </c>
      <c r="AA6" s="317">
        <f t="shared" si="0"/>
        <v>0</v>
      </c>
      <c r="AB6" s="317">
        <f t="shared" si="0"/>
        <v>0</v>
      </c>
      <c r="AC6" s="317">
        <f t="shared" si="0"/>
        <v>0</v>
      </c>
      <c r="AD6" s="317">
        <f t="shared" si="0"/>
        <v>0</v>
      </c>
      <c r="AE6" s="317">
        <f t="shared" si="0"/>
        <v>0</v>
      </c>
      <c r="AF6" s="317">
        <f t="shared" si="0"/>
        <v>0</v>
      </c>
      <c r="AG6" s="317">
        <f t="shared" ref="AG6:AG69" si="3">SUM(T6:AF6)</f>
        <v>252.01599999999999</v>
      </c>
      <c r="AH6" s="318">
        <v>41.37</v>
      </c>
      <c r="AI6" s="318">
        <v>41.37</v>
      </c>
      <c r="AJ6" s="318">
        <v>38.414999999999999</v>
      </c>
      <c r="AK6" s="318">
        <v>36.445</v>
      </c>
      <c r="AL6" s="318">
        <v>35.46</v>
      </c>
      <c r="AM6" s="318">
        <v>45.31</v>
      </c>
      <c r="AN6" s="318">
        <v>0</v>
      </c>
      <c r="AO6" s="318">
        <v>0</v>
      </c>
      <c r="AP6" s="318">
        <v>0</v>
      </c>
      <c r="AQ6" s="318">
        <v>0</v>
      </c>
      <c r="AR6" s="318">
        <v>0</v>
      </c>
      <c r="AS6" s="318">
        <v>0</v>
      </c>
      <c r="AT6" s="318">
        <v>0</v>
      </c>
      <c r="AU6" s="317">
        <f t="shared" ref="AU6:AU69" si="4">SUM(AH6:AT6)</f>
        <v>238.37</v>
      </c>
      <c r="AV6" s="319">
        <v>44.4</v>
      </c>
      <c r="AW6" s="319">
        <v>44.994</v>
      </c>
      <c r="AX6" s="319">
        <v>34.479999999999997</v>
      </c>
      <c r="AY6" s="319">
        <v>38.119999999999997</v>
      </c>
      <c r="AZ6" s="319">
        <v>43.92</v>
      </c>
      <c r="BA6" s="319">
        <v>38.530999999999999</v>
      </c>
      <c r="BB6" s="319">
        <v>0</v>
      </c>
      <c r="BC6" s="319">
        <v>0</v>
      </c>
      <c r="BD6" s="319">
        <v>0</v>
      </c>
      <c r="BE6" s="319">
        <v>0</v>
      </c>
      <c r="BF6" s="319">
        <v>0</v>
      </c>
      <c r="BG6" s="319">
        <v>0</v>
      </c>
      <c r="BH6" s="319">
        <v>0</v>
      </c>
      <c r="BI6" s="317">
        <f t="shared" ref="BI6:BI69" si="5">SUM(AV6:BH6)</f>
        <v>244.44499999999999</v>
      </c>
      <c r="BJ6" s="316">
        <v>49.948999999999998</v>
      </c>
      <c r="BK6" s="316">
        <v>36.72</v>
      </c>
      <c r="BL6" s="316">
        <v>50.343000000000004</v>
      </c>
      <c r="BM6" s="316">
        <v>50.289000000000001</v>
      </c>
      <c r="BN6" s="316">
        <v>39.103000000000002</v>
      </c>
      <c r="BO6" s="316">
        <v>46.829000000000001</v>
      </c>
      <c r="BP6" s="316">
        <v>0</v>
      </c>
      <c r="BQ6" s="316">
        <v>0</v>
      </c>
      <c r="BR6" s="316">
        <v>0</v>
      </c>
      <c r="BS6" s="316">
        <v>0</v>
      </c>
      <c r="BT6" s="316">
        <v>0</v>
      </c>
      <c r="BU6" s="316">
        <v>0</v>
      </c>
      <c r="BV6" s="316">
        <v>0</v>
      </c>
      <c r="BW6" s="317">
        <f t="shared" ref="BW6:BW69" si="6">SUM(BJ6:BV6)</f>
        <v>273.233</v>
      </c>
    </row>
    <row r="7" spans="1:75" x14ac:dyDescent="0.2">
      <c r="A7" s="20" t="str">
        <f>'School Level Inst. Resources'!A7</f>
        <v>0101000</v>
      </c>
      <c r="B7" s="20" t="str">
        <f>'School Level Inst. Resources'!B7</f>
        <v>Albany #1</v>
      </c>
      <c r="C7" s="20" t="str">
        <f>'School Level Inst. Resources'!C7</f>
        <v>0101005</v>
      </c>
      <c r="D7" s="20" t="str">
        <f>'School Level Inst. Resources'!D7</f>
        <v>Centennial Elementary</v>
      </c>
      <c r="E7" s="138" t="str">
        <f>'School Level Inst. Resources'!E7</f>
        <v>K-6</v>
      </c>
      <c r="F7" s="317">
        <f>IF(AND($A$2=4,VLOOKUP($A7,'District Level ADM'!$A$5:$W$52,5,FALSE)="Prior Year"),AH7,IF(AND($A$2=4,VLOOKUP($A7,'District Level ADM'!$A$5:$W$52,5,FALSE)="3-Year Avg."),T7,IF($A$2=2,AH7,IF($A$2=3,T7,IF(($AG7&gt;$AU7),T7,AH7)))))</f>
        <v>0.98499999999999999</v>
      </c>
      <c r="G7" s="317">
        <f>IF(AND($A$2=4,VLOOKUP($A7,'District Level ADM'!$A$5:$W$52,5,FALSE)="Prior Year"),AI7,IF(AND($A$2=4,VLOOKUP($A7,'District Level ADM'!$A$5:$W$52,5,FALSE)="3-Year Avg."),U7,IF($A$2=2,AI7,IF($A$2=3,U7,IF(($AG7&gt;$AU7),U7,AI7)))))</f>
        <v>2.9550000000000001</v>
      </c>
      <c r="H7" s="317">
        <f>IF(AND($A$2=4,VLOOKUP($A7,'District Level ADM'!$A$5:$W$52,5,FALSE)="Prior Year"),AJ7,IF(AND($A$2=4,VLOOKUP($A7,'District Level ADM'!$A$5:$W$52,5,FALSE)="3-Year Avg."),V7,IF($A$2=2,AJ7,IF($A$2=3,V7,IF(($AG7&gt;$AU7),V7,AJ7)))))</f>
        <v>1.97</v>
      </c>
      <c r="I7" s="317">
        <f>IF(AND($A$2=4,VLOOKUP($A7,'District Level ADM'!$A$5:$W$52,5,FALSE)="Prior Year"),AK7,IF(AND($A$2=4,VLOOKUP($A7,'District Level ADM'!$A$5:$W$52,5,FALSE)="3-Year Avg."),W7,IF($A$2=2,AK7,IF($A$2=3,W7,IF(($AG7&gt;$AU7),W7,AK7)))))</f>
        <v>0.98499999999999999</v>
      </c>
      <c r="J7" s="317">
        <f>IF(AND($A$2=4,VLOOKUP($A7,'District Level ADM'!$A$5:$W$52,5,FALSE)="Prior Year"),AL7,IF(AND($A$2=4,VLOOKUP($A7,'District Level ADM'!$A$5:$W$52,5,FALSE)="3-Year Avg."),X7,IF($A$2=2,AL7,IF($A$2=3,X7,IF(($AG7&gt;$AU7),X7,AL7)))))</f>
        <v>0.98499999999999999</v>
      </c>
      <c r="K7" s="317">
        <f>IF(AND($A$2=4,VLOOKUP($A7,'District Level ADM'!$A$5:$W$52,5,FALSE)="Prior Year"),AM7,IF(AND($A$2=4,VLOOKUP($A7,'District Level ADM'!$A$5:$W$52,5,FALSE)="3-Year Avg."),Y7,IF($A$2=2,AM7,IF($A$2=3,Y7,IF(($AG7&gt;$AU7),Y7,AM7)))))</f>
        <v>0</v>
      </c>
      <c r="L7" s="317">
        <f>IF(AND($A$2=4,VLOOKUP($A7,'District Level ADM'!$A$5:$W$52,5,FALSE)="Prior Year"),AN7,IF(AND($A$2=4,VLOOKUP($A7,'District Level ADM'!$A$5:$W$52,5,FALSE)="3-Year Avg."),Z7,IF($A$2=2,AN7,IF($A$2=3,Z7,IF(($AG7&gt;$AU7),Z7,AN7)))))</f>
        <v>0</v>
      </c>
      <c r="M7" s="317">
        <f>IF(AND($A$2=4,VLOOKUP($A7,'District Level ADM'!$A$5:$W$52,5,FALSE)="Prior Year"),AO7,IF(AND($A$2=4,VLOOKUP($A7,'District Level ADM'!$A$5:$W$52,5,FALSE)="3-Year Avg."),AA7,IF($A$2=2,AO7,IF($A$2=3,AA7,IF(($AG7&gt;$AU7),AA7,AO7)))))</f>
        <v>0</v>
      </c>
      <c r="N7" s="317">
        <f>IF(AND($A$2=4,VLOOKUP($A7,'District Level ADM'!$A$5:$W$52,5,FALSE)="Prior Year"),AP7,IF(AND($A$2=4,VLOOKUP($A7,'District Level ADM'!$A$5:$W$52,5,FALSE)="3-Year Avg."),AB7,IF($A$2=2,AP7,IF($A$2=3,AB7,IF(($AG7&gt;$AU7),AB7,AP7)))))</f>
        <v>0</v>
      </c>
      <c r="O7" s="317">
        <f>IF(AND($A$2=4,VLOOKUP($A7,'District Level ADM'!$A$5:$W$52,5,FALSE)="Prior Year"),AQ7,IF(AND($A$2=4,VLOOKUP($A7,'District Level ADM'!$A$5:$W$52,5,FALSE)="3-Year Avg."),AC7,IF($A$2=2,AQ7,IF($A$2=3,AC7,IF(($AG7&gt;$AU7),AC7,AQ7)))))</f>
        <v>0</v>
      </c>
      <c r="P7" s="317">
        <f>IF(AND($A$2=4,VLOOKUP($A7,'District Level ADM'!$A$5:$W$52,5,FALSE)="Prior Year"),AR7,IF(AND($A$2=4,VLOOKUP($A7,'District Level ADM'!$A$5:$W$52,5,FALSE)="3-Year Avg."),AD7,IF($A$2=2,AR7,IF($A$2=3,AD7,IF(($AG7&gt;$AU7),AD7,AR7)))))</f>
        <v>0</v>
      </c>
      <c r="Q7" s="317">
        <f>IF(AND($A$2=4,VLOOKUP($A7,'District Level ADM'!$A$5:$W$52,5,FALSE)="Prior Year"),AS7,IF(AND($A$2=4,VLOOKUP($A7,'District Level ADM'!$A$5:$W$52,5,FALSE)="3-Year Avg."),AE7,IF($A$2=2,AS7,IF($A$2=3,AE7,IF(($AG7&gt;$AU7),AE7,AS7)))))</f>
        <v>0</v>
      </c>
      <c r="R7" s="317">
        <f>IF(AND($A$2=4,VLOOKUP($A7,'District Level ADM'!$A$5:$W$52,5,FALSE)="Prior Year"),AT7,IF(AND($A$2=4,VLOOKUP($A7,'District Level ADM'!$A$5:$W$52,5,FALSE)="3-Year Avg."),AF7,IF($A$2=2,AT7,IF($A$2=3,AF7,IF(($AG7&gt;$AU7),AF7,AT7)))))</f>
        <v>0</v>
      </c>
      <c r="S7" s="317">
        <f t="shared" si="1"/>
        <v>7.8800000000000008</v>
      </c>
      <c r="T7" s="317">
        <f t="shared" si="2"/>
        <v>1.1796666666666666</v>
      </c>
      <c r="U7" s="317">
        <f t="shared" si="0"/>
        <v>1.3183333333333334</v>
      </c>
      <c r="V7" s="317">
        <f t="shared" si="0"/>
        <v>1.1746666666666667</v>
      </c>
      <c r="W7" s="317">
        <f t="shared" si="0"/>
        <v>1.3283333333333334</v>
      </c>
      <c r="X7" s="317">
        <f t="shared" si="0"/>
        <v>1.3283333333333334</v>
      </c>
      <c r="Y7" s="317">
        <f t="shared" si="0"/>
        <v>1.6666666666666667</v>
      </c>
      <c r="Z7" s="317">
        <f t="shared" si="0"/>
        <v>0.66666666666666663</v>
      </c>
      <c r="AA7" s="317">
        <f t="shared" si="0"/>
        <v>0</v>
      </c>
      <c r="AB7" s="317">
        <f t="shared" si="0"/>
        <v>0</v>
      </c>
      <c r="AC7" s="317">
        <f t="shared" si="0"/>
        <v>0</v>
      </c>
      <c r="AD7" s="317">
        <f t="shared" si="0"/>
        <v>0</v>
      </c>
      <c r="AE7" s="317">
        <f t="shared" si="0"/>
        <v>0</v>
      </c>
      <c r="AF7" s="317">
        <f t="shared" si="0"/>
        <v>0</v>
      </c>
      <c r="AG7" s="317">
        <f t="shared" si="3"/>
        <v>8.6626666666666665</v>
      </c>
      <c r="AH7" s="318">
        <v>0.98499999999999999</v>
      </c>
      <c r="AI7" s="318">
        <v>2.9550000000000001</v>
      </c>
      <c r="AJ7" s="318">
        <v>1.97</v>
      </c>
      <c r="AK7" s="318">
        <v>0.98499999999999999</v>
      </c>
      <c r="AL7" s="318">
        <v>0.98499999999999999</v>
      </c>
      <c r="AM7" s="318">
        <v>0</v>
      </c>
      <c r="AN7" s="318">
        <v>0</v>
      </c>
      <c r="AO7" s="318">
        <v>0</v>
      </c>
      <c r="AP7" s="318">
        <v>0</v>
      </c>
      <c r="AQ7" s="318">
        <v>0</v>
      </c>
      <c r="AR7" s="318">
        <v>0</v>
      </c>
      <c r="AS7" s="318">
        <v>0</v>
      </c>
      <c r="AT7" s="318">
        <v>0</v>
      </c>
      <c r="AU7" s="317">
        <f t="shared" si="4"/>
        <v>7.8800000000000008</v>
      </c>
      <c r="AV7" s="319">
        <v>2.5539999999999998</v>
      </c>
      <c r="AW7" s="319">
        <v>1</v>
      </c>
      <c r="AX7" s="319">
        <v>0.55400000000000005</v>
      </c>
      <c r="AY7" s="319">
        <v>1</v>
      </c>
      <c r="AZ7" s="319">
        <v>1</v>
      </c>
      <c r="BA7" s="319">
        <v>1</v>
      </c>
      <c r="BB7" s="319">
        <v>0</v>
      </c>
      <c r="BC7" s="319">
        <v>0</v>
      </c>
      <c r="BD7" s="319">
        <v>0</v>
      </c>
      <c r="BE7" s="319">
        <v>0</v>
      </c>
      <c r="BF7" s="319">
        <v>0</v>
      </c>
      <c r="BG7" s="319">
        <v>0</v>
      </c>
      <c r="BH7" s="319">
        <v>0</v>
      </c>
      <c r="BI7" s="317">
        <f t="shared" si="5"/>
        <v>7.1079999999999997</v>
      </c>
      <c r="BJ7" s="316">
        <v>0</v>
      </c>
      <c r="BK7" s="316">
        <v>0</v>
      </c>
      <c r="BL7" s="316">
        <v>1</v>
      </c>
      <c r="BM7" s="316">
        <v>2</v>
      </c>
      <c r="BN7" s="316">
        <v>2</v>
      </c>
      <c r="BO7" s="316">
        <v>4</v>
      </c>
      <c r="BP7" s="316">
        <v>2</v>
      </c>
      <c r="BQ7" s="316">
        <v>0</v>
      </c>
      <c r="BR7" s="316">
        <v>0</v>
      </c>
      <c r="BS7" s="316">
        <v>0</v>
      </c>
      <c r="BT7" s="316">
        <v>0</v>
      </c>
      <c r="BU7" s="316">
        <v>0</v>
      </c>
      <c r="BV7" s="316">
        <v>0</v>
      </c>
      <c r="BW7" s="317">
        <f t="shared" si="6"/>
        <v>11</v>
      </c>
    </row>
    <row r="8" spans="1:75" x14ac:dyDescent="0.2">
      <c r="A8" s="20" t="str">
        <f>'School Level Inst. Resources'!A8</f>
        <v>0101000</v>
      </c>
      <c r="B8" s="20" t="str">
        <f>'School Level Inst. Resources'!B8</f>
        <v>Albany #1</v>
      </c>
      <c r="C8" s="20" t="str">
        <f>'School Level Inst. Resources'!C8</f>
        <v>0101009</v>
      </c>
      <c r="D8" s="20" t="str">
        <f>'School Level Inst. Resources'!D8</f>
        <v>Harmony Elementary</v>
      </c>
      <c r="E8" s="138" t="str">
        <f>'School Level Inst. Resources'!E8</f>
        <v>K-6</v>
      </c>
      <c r="F8" s="317">
        <f>IF(AND($A$2=4,VLOOKUP($A8,'District Level ADM'!$A$5:$W$52,5,FALSE)="Prior Year"),AH8,IF(AND($A$2=4,VLOOKUP($A8,'District Level ADM'!$A$5:$W$52,5,FALSE)="3-Year Avg."),T8,IF($A$2=2,AH8,IF($A$2=3,T8,IF(($AG8&gt;$AU8),T8,AH8)))))</f>
        <v>2.9550000000000001</v>
      </c>
      <c r="G8" s="317">
        <f>IF(AND($A$2=4,VLOOKUP($A8,'District Level ADM'!$A$5:$W$52,5,FALSE)="Prior Year"),AI8,IF(AND($A$2=4,VLOOKUP($A8,'District Level ADM'!$A$5:$W$52,5,FALSE)="3-Year Avg."),U8,IF($A$2=2,AI8,IF($A$2=3,U8,IF(($AG8&gt;$AU8),U8,AI8)))))</f>
        <v>5.91</v>
      </c>
      <c r="H8" s="317">
        <f>IF(AND($A$2=4,VLOOKUP($A8,'District Level ADM'!$A$5:$W$52,5,FALSE)="Prior Year"),AJ8,IF(AND($A$2=4,VLOOKUP($A8,'District Level ADM'!$A$5:$W$52,5,FALSE)="3-Year Avg."),V8,IF($A$2=2,AJ8,IF($A$2=3,V8,IF(($AG8&gt;$AU8),V8,AJ8)))))</f>
        <v>2.9550000000000001</v>
      </c>
      <c r="I8" s="317">
        <f>IF(AND($A$2=4,VLOOKUP($A8,'District Level ADM'!$A$5:$W$52,5,FALSE)="Prior Year"),AK8,IF(AND($A$2=4,VLOOKUP($A8,'District Level ADM'!$A$5:$W$52,5,FALSE)="3-Year Avg."),W8,IF($A$2=2,AK8,IF($A$2=3,W8,IF(($AG8&gt;$AU8),W8,AK8)))))</f>
        <v>1.97</v>
      </c>
      <c r="J8" s="317">
        <f>IF(AND($A$2=4,VLOOKUP($A8,'District Level ADM'!$A$5:$W$52,5,FALSE)="Prior Year"),AL8,IF(AND($A$2=4,VLOOKUP($A8,'District Level ADM'!$A$5:$W$52,5,FALSE)="3-Year Avg."),X8,IF($A$2=2,AL8,IF($A$2=3,X8,IF(($AG8&gt;$AU8),X8,AL8)))))</f>
        <v>2.9550000000000001</v>
      </c>
      <c r="K8" s="317">
        <f>IF(AND($A$2=4,VLOOKUP($A8,'District Level ADM'!$A$5:$W$52,5,FALSE)="Prior Year"),AM8,IF(AND($A$2=4,VLOOKUP($A8,'District Level ADM'!$A$5:$W$52,5,FALSE)="3-Year Avg."),Y8,IF($A$2=2,AM8,IF($A$2=3,Y8,IF(($AG8&gt;$AU8),Y8,AM8)))))</f>
        <v>6.8949999999999996</v>
      </c>
      <c r="L8" s="317">
        <f>IF(AND($A$2=4,VLOOKUP($A8,'District Level ADM'!$A$5:$W$52,5,FALSE)="Prior Year"),AN8,IF(AND($A$2=4,VLOOKUP($A8,'District Level ADM'!$A$5:$W$52,5,FALSE)="3-Year Avg."),Z8,IF($A$2=2,AN8,IF($A$2=3,Z8,IF(($AG8&gt;$AU8),Z8,AN8)))))</f>
        <v>0</v>
      </c>
      <c r="M8" s="317">
        <f>IF(AND($A$2=4,VLOOKUP($A8,'District Level ADM'!$A$5:$W$52,5,FALSE)="Prior Year"),AO8,IF(AND($A$2=4,VLOOKUP($A8,'District Level ADM'!$A$5:$W$52,5,FALSE)="3-Year Avg."),AA8,IF($A$2=2,AO8,IF($A$2=3,AA8,IF(($AG8&gt;$AU8),AA8,AO8)))))</f>
        <v>0</v>
      </c>
      <c r="N8" s="317">
        <f>IF(AND($A$2=4,VLOOKUP($A8,'District Level ADM'!$A$5:$W$52,5,FALSE)="Prior Year"),AP8,IF(AND($A$2=4,VLOOKUP($A8,'District Level ADM'!$A$5:$W$52,5,FALSE)="3-Year Avg."),AB8,IF($A$2=2,AP8,IF($A$2=3,AB8,IF(($AG8&gt;$AU8),AB8,AP8)))))</f>
        <v>0</v>
      </c>
      <c r="O8" s="317">
        <f>IF(AND($A$2=4,VLOOKUP($A8,'District Level ADM'!$A$5:$W$52,5,FALSE)="Prior Year"),AQ8,IF(AND($A$2=4,VLOOKUP($A8,'District Level ADM'!$A$5:$W$52,5,FALSE)="3-Year Avg."),AC8,IF($A$2=2,AQ8,IF($A$2=3,AC8,IF(($AG8&gt;$AU8),AC8,AQ8)))))</f>
        <v>0</v>
      </c>
      <c r="P8" s="317">
        <f>IF(AND($A$2=4,VLOOKUP($A8,'District Level ADM'!$A$5:$W$52,5,FALSE)="Prior Year"),AR8,IF(AND($A$2=4,VLOOKUP($A8,'District Level ADM'!$A$5:$W$52,5,FALSE)="3-Year Avg."),AD8,IF($A$2=2,AR8,IF($A$2=3,AD8,IF(($AG8&gt;$AU8),AD8,AR8)))))</f>
        <v>0</v>
      </c>
      <c r="Q8" s="317">
        <f>IF(AND($A$2=4,VLOOKUP($A8,'District Level ADM'!$A$5:$W$52,5,FALSE)="Prior Year"),AS8,IF(AND($A$2=4,VLOOKUP($A8,'District Level ADM'!$A$5:$W$52,5,FALSE)="3-Year Avg."),AE8,IF($A$2=2,AS8,IF($A$2=3,AE8,IF(($AG8&gt;$AU8),AE8,AS8)))))</f>
        <v>0</v>
      </c>
      <c r="R8" s="317">
        <f>IF(AND($A$2=4,VLOOKUP($A8,'District Level ADM'!$A$5:$W$52,5,FALSE)="Prior Year"),AT8,IF(AND($A$2=4,VLOOKUP($A8,'District Level ADM'!$A$5:$W$52,5,FALSE)="3-Year Avg."),AF8,IF($A$2=2,AT8,IF($A$2=3,AF8,IF(($AG8&gt;$AU8),AF8,AT8)))))</f>
        <v>0</v>
      </c>
      <c r="S8" s="317">
        <f t="shared" si="1"/>
        <v>23.64</v>
      </c>
      <c r="T8" s="317">
        <f t="shared" si="2"/>
        <v>3.1753333333333331</v>
      </c>
      <c r="U8" s="317">
        <f t="shared" si="0"/>
        <v>3.6366666666666667</v>
      </c>
      <c r="V8" s="317">
        <f t="shared" si="0"/>
        <v>3.1753333333333331</v>
      </c>
      <c r="W8" s="317">
        <f t="shared" si="0"/>
        <v>4.1079999999999997</v>
      </c>
      <c r="X8" s="317">
        <f t="shared" si="0"/>
        <v>4.3183333333333334</v>
      </c>
      <c r="Y8" s="317">
        <f t="shared" si="0"/>
        <v>5.2983333333333329</v>
      </c>
      <c r="Z8" s="317">
        <f t="shared" si="0"/>
        <v>0.33333333333333331</v>
      </c>
      <c r="AA8" s="317">
        <f t="shared" si="0"/>
        <v>0</v>
      </c>
      <c r="AB8" s="317">
        <f t="shared" si="0"/>
        <v>0</v>
      </c>
      <c r="AC8" s="317">
        <f t="shared" si="0"/>
        <v>0</v>
      </c>
      <c r="AD8" s="317">
        <f t="shared" si="0"/>
        <v>0</v>
      </c>
      <c r="AE8" s="317">
        <f t="shared" si="0"/>
        <v>0</v>
      </c>
      <c r="AF8" s="317">
        <f t="shared" si="0"/>
        <v>0</v>
      </c>
      <c r="AG8" s="317">
        <f t="shared" si="3"/>
        <v>24.045333333333328</v>
      </c>
      <c r="AH8" s="318">
        <v>2.9550000000000001</v>
      </c>
      <c r="AI8" s="318">
        <v>5.91</v>
      </c>
      <c r="AJ8" s="318">
        <v>2.9550000000000001</v>
      </c>
      <c r="AK8" s="318">
        <v>1.97</v>
      </c>
      <c r="AL8" s="318">
        <v>2.9550000000000001</v>
      </c>
      <c r="AM8" s="318">
        <v>6.8949999999999996</v>
      </c>
      <c r="AN8" s="318">
        <v>0</v>
      </c>
      <c r="AO8" s="318">
        <v>0</v>
      </c>
      <c r="AP8" s="318">
        <v>0</v>
      </c>
      <c r="AQ8" s="318">
        <v>0</v>
      </c>
      <c r="AR8" s="318">
        <v>0</v>
      </c>
      <c r="AS8" s="318">
        <v>0</v>
      </c>
      <c r="AT8" s="318">
        <v>0</v>
      </c>
      <c r="AU8" s="317">
        <f t="shared" si="4"/>
        <v>23.64</v>
      </c>
      <c r="AV8" s="319">
        <v>5.5709999999999997</v>
      </c>
      <c r="AW8" s="319">
        <v>2</v>
      </c>
      <c r="AX8" s="319">
        <v>2.5710000000000002</v>
      </c>
      <c r="AY8" s="319">
        <v>3</v>
      </c>
      <c r="AZ8" s="319">
        <v>7</v>
      </c>
      <c r="BA8" s="319">
        <v>4</v>
      </c>
      <c r="BB8" s="319">
        <v>0</v>
      </c>
      <c r="BC8" s="319">
        <v>0</v>
      </c>
      <c r="BD8" s="319">
        <v>0</v>
      </c>
      <c r="BE8" s="319">
        <v>0</v>
      </c>
      <c r="BF8" s="319">
        <v>0</v>
      </c>
      <c r="BG8" s="319">
        <v>0</v>
      </c>
      <c r="BH8" s="319">
        <v>0</v>
      </c>
      <c r="BI8" s="317">
        <f t="shared" si="5"/>
        <v>24.141999999999999</v>
      </c>
      <c r="BJ8" s="316">
        <v>1</v>
      </c>
      <c r="BK8" s="316">
        <v>3</v>
      </c>
      <c r="BL8" s="316">
        <v>4</v>
      </c>
      <c r="BM8" s="316">
        <v>7.3540000000000001</v>
      </c>
      <c r="BN8" s="316">
        <v>3</v>
      </c>
      <c r="BO8" s="316">
        <v>5</v>
      </c>
      <c r="BP8" s="316">
        <v>1</v>
      </c>
      <c r="BQ8" s="316">
        <v>0</v>
      </c>
      <c r="BR8" s="316">
        <v>0</v>
      </c>
      <c r="BS8" s="316">
        <v>0</v>
      </c>
      <c r="BT8" s="316">
        <v>0</v>
      </c>
      <c r="BU8" s="316">
        <v>0</v>
      </c>
      <c r="BV8" s="316">
        <v>0</v>
      </c>
      <c r="BW8" s="317">
        <f t="shared" si="6"/>
        <v>24.353999999999999</v>
      </c>
    </row>
    <row r="9" spans="1:75" x14ac:dyDescent="0.2">
      <c r="A9" s="20" t="str">
        <f>'School Level Inst. Resources'!A9</f>
        <v>0101000</v>
      </c>
      <c r="B9" s="20" t="str">
        <f>'School Level Inst. Resources'!B9</f>
        <v>Albany #1</v>
      </c>
      <c r="C9" s="20" t="str">
        <f>'School Level Inst. Resources'!C9</f>
        <v>0101015</v>
      </c>
      <c r="D9" s="20" t="str">
        <f>'School Level Inst. Resources'!D9</f>
        <v>Rock River Elementary</v>
      </c>
      <c r="E9" s="138" t="str">
        <f>'School Level Inst. Resources'!E9</f>
        <v>P-6</v>
      </c>
      <c r="F9" s="317">
        <f>IF(AND($A$2=4,VLOOKUP($A9,'District Level ADM'!$A$5:$W$52,5,FALSE)="Prior Year"),AH9,IF(AND($A$2=4,VLOOKUP($A9,'District Level ADM'!$A$5:$W$52,5,FALSE)="3-Year Avg."),T9,IF($A$2=2,AH9,IF($A$2=3,T9,IF(($AG9&gt;$AU9),T9,AH9)))))</f>
        <v>2.9550000000000001</v>
      </c>
      <c r="G9" s="317">
        <f>IF(AND($A$2=4,VLOOKUP($A9,'District Level ADM'!$A$5:$W$52,5,FALSE)="Prior Year"),AI9,IF(AND($A$2=4,VLOOKUP($A9,'District Level ADM'!$A$5:$W$52,5,FALSE)="3-Year Avg."),U9,IF($A$2=2,AI9,IF($A$2=3,U9,IF(($AG9&gt;$AU9),U9,AI9)))))</f>
        <v>2.9550000000000001</v>
      </c>
      <c r="H9" s="317">
        <f>IF(AND($A$2=4,VLOOKUP($A9,'District Level ADM'!$A$5:$W$52,5,FALSE)="Prior Year"),AJ9,IF(AND($A$2=4,VLOOKUP($A9,'District Level ADM'!$A$5:$W$52,5,FALSE)="3-Year Avg."),V9,IF($A$2=2,AJ9,IF($A$2=3,V9,IF(($AG9&gt;$AU9),V9,AJ9)))))</f>
        <v>6.8949999999999996</v>
      </c>
      <c r="I9" s="317">
        <f>IF(AND($A$2=4,VLOOKUP($A9,'District Level ADM'!$A$5:$W$52,5,FALSE)="Prior Year"),AK9,IF(AND($A$2=4,VLOOKUP($A9,'District Level ADM'!$A$5:$W$52,5,FALSE)="3-Year Avg."),W9,IF($A$2=2,AK9,IF($A$2=3,W9,IF(($AG9&gt;$AU9),W9,AK9)))))</f>
        <v>1.97</v>
      </c>
      <c r="J9" s="317">
        <f>IF(AND($A$2=4,VLOOKUP($A9,'District Level ADM'!$A$5:$W$52,5,FALSE)="Prior Year"),AL9,IF(AND($A$2=4,VLOOKUP($A9,'District Level ADM'!$A$5:$W$52,5,FALSE)="3-Year Avg."),X9,IF($A$2=2,AL9,IF($A$2=3,X9,IF(($AG9&gt;$AU9),X9,AL9)))))</f>
        <v>2.9550000000000001</v>
      </c>
      <c r="K9" s="317">
        <f>IF(AND($A$2=4,VLOOKUP($A9,'District Level ADM'!$A$5:$W$52,5,FALSE)="Prior Year"),AM9,IF(AND($A$2=4,VLOOKUP($A9,'District Level ADM'!$A$5:$W$52,5,FALSE)="3-Year Avg."),Y9,IF($A$2=2,AM9,IF($A$2=3,Y9,IF(($AG9&gt;$AU9),Y9,AM9)))))</f>
        <v>1.97</v>
      </c>
      <c r="L9" s="317">
        <f>IF(AND($A$2=4,VLOOKUP($A9,'District Level ADM'!$A$5:$W$52,5,FALSE)="Prior Year"),AN9,IF(AND($A$2=4,VLOOKUP($A9,'District Level ADM'!$A$5:$W$52,5,FALSE)="3-Year Avg."),Z9,IF($A$2=2,AN9,IF($A$2=3,Z9,IF(($AG9&gt;$AU9),Z9,AN9)))))</f>
        <v>5.91</v>
      </c>
      <c r="M9" s="317">
        <f>IF(AND($A$2=4,VLOOKUP($A9,'District Level ADM'!$A$5:$W$52,5,FALSE)="Prior Year"),AO9,IF(AND($A$2=4,VLOOKUP($A9,'District Level ADM'!$A$5:$W$52,5,FALSE)="3-Year Avg."),AA9,IF($A$2=2,AO9,IF($A$2=3,AA9,IF(($AG9&gt;$AU9),AA9,AO9)))))</f>
        <v>0</v>
      </c>
      <c r="N9" s="317">
        <f>IF(AND($A$2=4,VLOOKUP($A9,'District Level ADM'!$A$5:$W$52,5,FALSE)="Prior Year"),AP9,IF(AND($A$2=4,VLOOKUP($A9,'District Level ADM'!$A$5:$W$52,5,FALSE)="3-Year Avg."),AB9,IF($A$2=2,AP9,IF($A$2=3,AB9,IF(($AG9&gt;$AU9),AB9,AP9)))))</f>
        <v>0</v>
      </c>
      <c r="O9" s="317">
        <f>IF(AND($A$2=4,VLOOKUP($A9,'District Level ADM'!$A$5:$W$52,5,FALSE)="Prior Year"),AQ9,IF(AND($A$2=4,VLOOKUP($A9,'District Level ADM'!$A$5:$W$52,5,FALSE)="3-Year Avg."),AC9,IF($A$2=2,AQ9,IF($A$2=3,AC9,IF(($AG9&gt;$AU9),AC9,AQ9)))))</f>
        <v>0</v>
      </c>
      <c r="P9" s="317">
        <f>IF(AND($A$2=4,VLOOKUP($A9,'District Level ADM'!$A$5:$W$52,5,FALSE)="Prior Year"),AR9,IF(AND($A$2=4,VLOOKUP($A9,'District Level ADM'!$A$5:$W$52,5,FALSE)="3-Year Avg."),AD9,IF($A$2=2,AR9,IF($A$2=3,AD9,IF(($AG9&gt;$AU9),AD9,AR9)))))</f>
        <v>0</v>
      </c>
      <c r="Q9" s="317">
        <f>IF(AND($A$2=4,VLOOKUP($A9,'District Level ADM'!$A$5:$W$52,5,FALSE)="Prior Year"),AS9,IF(AND($A$2=4,VLOOKUP($A9,'District Level ADM'!$A$5:$W$52,5,FALSE)="3-Year Avg."),AE9,IF($A$2=2,AS9,IF($A$2=3,AE9,IF(($AG9&gt;$AU9),AE9,AS9)))))</f>
        <v>0</v>
      </c>
      <c r="R9" s="317">
        <f>IF(AND($A$2=4,VLOOKUP($A9,'District Level ADM'!$A$5:$W$52,5,FALSE)="Prior Year"),AT9,IF(AND($A$2=4,VLOOKUP($A9,'District Level ADM'!$A$5:$W$52,5,FALSE)="3-Year Avg."),AF9,IF($A$2=2,AT9,IF($A$2=3,AF9,IF(($AG9&gt;$AU9),AF9,AT9)))))</f>
        <v>0</v>
      </c>
      <c r="S9" s="317">
        <f t="shared" si="1"/>
        <v>25.61</v>
      </c>
      <c r="T9" s="317">
        <f t="shared" si="2"/>
        <v>4.0629999999999997</v>
      </c>
      <c r="U9" s="317">
        <f t="shared" si="0"/>
        <v>3.8820000000000001</v>
      </c>
      <c r="V9" s="317">
        <f t="shared" si="0"/>
        <v>4.3096666666666659</v>
      </c>
      <c r="W9" s="317">
        <f t="shared" si="0"/>
        <v>3.4663333333333335</v>
      </c>
      <c r="X9" s="317">
        <f t="shared" si="0"/>
        <v>3.8726666666666669</v>
      </c>
      <c r="Y9" s="317">
        <f t="shared" si="0"/>
        <v>4.4663333333333339</v>
      </c>
      <c r="Z9" s="317">
        <f t="shared" si="0"/>
        <v>5.0023333333333335</v>
      </c>
      <c r="AA9" s="317">
        <f t="shared" si="0"/>
        <v>0</v>
      </c>
      <c r="AB9" s="317">
        <f t="shared" si="0"/>
        <v>0</v>
      </c>
      <c r="AC9" s="317">
        <f t="shared" si="0"/>
        <v>0</v>
      </c>
      <c r="AD9" s="317">
        <f t="shared" si="0"/>
        <v>0</v>
      </c>
      <c r="AE9" s="317">
        <f t="shared" si="0"/>
        <v>0</v>
      </c>
      <c r="AF9" s="317">
        <f t="shared" si="0"/>
        <v>0</v>
      </c>
      <c r="AG9" s="317">
        <f t="shared" si="3"/>
        <v>29.062333333333331</v>
      </c>
      <c r="AH9" s="318">
        <v>2.9550000000000001</v>
      </c>
      <c r="AI9" s="318">
        <v>2.9550000000000001</v>
      </c>
      <c r="AJ9" s="318">
        <v>6.8949999999999996</v>
      </c>
      <c r="AK9" s="318">
        <v>1.97</v>
      </c>
      <c r="AL9" s="318">
        <v>2.9550000000000001</v>
      </c>
      <c r="AM9" s="318">
        <v>1.97</v>
      </c>
      <c r="AN9" s="318">
        <v>5.91</v>
      </c>
      <c r="AO9" s="318">
        <v>0</v>
      </c>
      <c r="AP9" s="318">
        <v>0</v>
      </c>
      <c r="AQ9" s="318">
        <v>0</v>
      </c>
      <c r="AR9" s="318">
        <v>0</v>
      </c>
      <c r="AS9" s="318">
        <v>0</v>
      </c>
      <c r="AT9" s="318">
        <v>0</v>
      </c>
      <c r="AU9" s="317">
        <f t="shared" si="4"/>
        <v>25.61</v>
      </c>
      <c r="AV9" s="319">
        <v>4</v>
      </c>
      <c r="AW9" s="319">
        <v>6</v>
      </c>
      <c r="AX9" s="319">
        <v>3.0339999999999998</v>
      </c>
      <c r="AY9" s="319">
        <v>3.4289999999999998</v>
      </c>
      <c r="AZ9" s="319">
        <v>4.6630000000000003</v>
      </c>
      <c r="BA9" s="319">
        <v>5.4290000000000003</v>
      </c>
      <c r="BB9" s="319">
        <v>6.0970000000000004</v>
      </c>
      <c r="BC9" s="319">
        <v>0</v>
      </c>
      <c r="BD9" s="319">
        <v>0</v>
      </c>
      <c r="BE9" s="319">
        <v>0</v>
      </c>
      <c r="BF9" s="319">
        <v>0</v>
      </c>
      <c r="BG9" s="319">
        <v>0</v>
      </c>
      <c r="BH9" s="319">
        <v>0</v>
      </c>
      <c r="BI9" s="317">
        <f t="shared" si="5"/>
        <v>32.652000000000001</v>
      </c>
      <c r="BJ9" s="316">
        <v>5.234</v>
      </c>
      <c r="BK9" s="316">
        <v>2.6909999999999998</v>
      </c>
      <c r="BL9" s="316">
        <v>3</v>
      </c>
      <c r="BM9" s="316">
        <v>5</v>
      </c>
      <c r="BN9" s="316">
        <v>4</v>
      </c>
      <c r="BO9" s="316">
        <v>6</v>
      </c>
      <c r="BP9" s="316">
        <v>3</v>
      </c>
      <c r="BQ9" s="316">
        <v>0</v>
      </c>
      <c r="BR9" s="316">
        <v>0</v>
      </c>
      <c r="BS9" s="316">
        <v>0</v>
      </c>
      <c r="BT9" s="316">
        <v>0</v>
      </c>
      <c r="BU9" s="316">
        <v>0</v>
      </c>
      <c r="BV9" s="316">
        <v>0</v>
      </c>
      <c r="BW9" s="317">
        <f t="shared" si="6"/>
        <v>28.925000000000001</v>
      </c>
    </row>
    <row r="10" spans="1:75" x14ac:dyDescent="0.2">
      <c r="A10" s="20" t="str">
        <f>'School Level Inst. Resources'!A10</f>
        <v>0101000</v>
      </c>
      <c r="B10" s="20" t="str">
        <f>'School Level Inst. Resources'!B10</f>
        <v>Albany #1</v>
      </c>
      <c r="C10" s="20" t="str">
        <f>'School Level Inst. Resources'!C10</f>
        <v>0101017</v>
      </c>
      <c r="D10" s="20" t="str">
        <f>'School Level Inst. Resources'!D10</f>
        <v>Slade Elementary</v>
      </c>
      <c r="E10" s="138" t="str">
        <f>'School Level Inst. Resources'!E10</f>
        <v>P-5</v>
      </c>
      <c r="F10" s="317">
        <f>IF(AND($A$2=4,VLOOKUP($A10,'District Level ADM'!$A$5:$W$52,5,FALSE)="Prior Year"),AH10,IF(AND($A$2=4,VLOOKUP($A10,'District Level ADM'!$A$5:$W$52,5,FALSE)="3-Year Avg."),T10,IF($A$2=2,AH10,IF($A$2=3,T10,IF(($AG10&gt;$AU10),T10,AH10)))))</f>
        <v>51.22</v>
      </c>
      <c r="G10" s="317">
        <f>IF(AND($A$2=4,VLOOKUP($A10,'District Level ADM'!$A$5:$W$52,5,FALSE)="Prior Year"),AI10,IF(AND($A$2=4,VLOOKUP($A10,'District Level ADM'!$A$5:$W$52,5,FALSE)="3-Year Avg."),U10,IF($A$2=2,AI10,IF($A$2=3,U10,IF(($AG10&gt;$AU10),U10,AI10)))))</f>
        <v>35.46</v>
      </c>
      <c r="H10" s="317">
        <f>IF(AND($A$2=4,VLOOKUP($A10,'District Level ADM'!$A$5:$W$52,5,FALSE)="Prior Year"),AJ10,IF(AND($A$2=4,VLOOKUP($A10,'District Level ADM'!$A$5:$W$52,5,FALSE)="3-Year Avg."),V10,IF($A$2=2,AJ10,IF($A$2=3,V10,IF(($AG10&gt;$AU10),V10,AJ10)))))</f>
        <v>34.475000000000001</v>
      </c>
      <c r="I10" s="317">
        <f>IF(AND($A$2=4,VLOOKUP($A10,'District Level ADM'!$A$5:$W$52,5,FALSE)="Prior Year"),AK10,IF(AND($A$2=4,VLOOKUP($A10,'District Level ADM'!$A$5:$W$52,5,FALSE)="3-Year Avg."),W10,IF($A$2=2,AK10,IF($A$2=3,W10,IF(($AG10&gt;$AU10),W10,AK10)))))</f>
        <v>41.37</v>
      </c>
      <c r="J10" s="317">
        <f>IF(AND($A$2=4,VLOOKUP($A10,'District Level ADM'!$A$5:$W$52,5,FALSE)="Prior Year"),AL10,IF(AND($A$2=4,VLOOKUP($A10,'District Level ADM'!$A$5:$W$52,5,FALSE)="3-Year Avg."),X10,IF($A$2=2,AL10,IF($A$2=3,X10,IF(($AG10&gt;$AU10),X10,AL10)))))</f>
        <v>42.354999999999997</v>
      </c>
      <c r="K10" s="317">
        <f>IF(AND($A$2=4,VLOOKUP($A10,'District Level ADM'!$A$5:$W$52,5,FALSE)="Prior Year"),AM10,IF(AND($A$2=4,VLOOKUP($A10,'District Level ADM'!$A$5:$W$52,5,FALSE)="3-Year Avg."),Y10,IF($A$2=2,AM10,IF($A$2=3,Y10,IF(($AG10&gt;$AU10),Y10,AM10)))))</f>
        <v>41.37</v>
      </c>
      <c r="L10" s="317">
        <f>IF(AND($A$2=4,VLOOKUP($A10,'District Level ADM'!$A$5:$W$52,5,FALSE)="Prior Year"),AN10,IF(AND($A$2=4,VLOOKUP($A10,'District Level ADM'!$A$5:$W$52,5,FALSE)="3-Year Avg."),Z10,IF($A$2=2,AN10,IF($A$2=3,Z10,IF(($AG10&gt;$AU10),Z10,AN10)))))</f>
        <v>0</v>
      </c>
      <c r="M10" s="317">
        <f>IF(AND($A$2=4,VLOOKUP($A10,'District Level ADM'!$A$5:$W$52,5,FALSE)="Prior Year"),AO10,IF(AND($A$2=4,VLOOKUP($A10,'District Level ADM'!$A$5:$W$52,5,FALSE)="3-Year Avg."),AA10,IF($A$2=2,AO10,IF($A$2=3,AA10,IF(($AG10&gt;$AU10),AA10,AO10)))))</f>
        <v>0</v>
      </c>
      <c r="N10" s="317">
        <f>IF(AND($A$2=4,VLOOKUP($A10,'District Level ADM'!$A$5:$W$52,5,FALSE)="Prior Year"),AP10,IF(AND($A$2=4,VLOOKUP($A10,'District Level ADM'!$A$5:$W$52,5,FALSE)="3-Year Avg."),AB10,IF($A$2=2,AP10,IF($A$2=3,AB10,IF(($AG10&gt;$AU10),AB10,AP10)))))</f>
        <v>0</v>
      </c>
      <c r="O10" s="317">
        <f>IF(AND($A$2=4,VLOOKUP($A10,'District Level ADM'!$A$5:$W$52,5,FALSE)="Prior Year"),AQ10,IF(AND($A$2=4,VLOOKUP($A10,'District Level ADM'!$A$5:$W$52,5,FALSE)="3-Year Avg."),AC10,IF($A$2=2,AQ10,IF($A$2=3,AC10,IF(($AG10&gt;$AU10),AC10,AQ10)))))</f>
        <v>0</v>
      </c>
      <c r="P10" s="317">
        <f>IF(AND($A$2=4,VLOOKUP($A10,'District Level ADM'!$A$5:$W$52,5,FALSE)="Prior Year"),AR10,IF(AND($A$2=4,VLOOKUP($A10,'District Level ADM'!$A$5:$W$52,5,FALSE)="3-Year Avg."),AD10,IF($A$2=2,AR10,IF($A$2=3,AD10,IF(($AG10&gt;$AU10),AD10,AR10)))))</f>
        <v>0</v>
      </c>
      <c r="Q10" s="317">
        <f>IF(AND($A$2=4,VLOOKUP($A10,'District Level ADM'!$A$5:$W$52,5,FALSE)="Prior Year"),AS10,IF(AND($A$2=4,VLOOKUP($A10,'District Level ADM'!$A$5:$W$52,5,FALSE)="3-Year Avg."),AE10,IF($A$2=2,AS10,IF($A$2=3,AE10,IF(($AG10&gt;$AU10),AE10,AS10)))))</f>
        <v>0</v>
      </c>
      <c r="R10" s="317">
        <f>IF(AND($A$2=4,VLOOKUP($A10,'District Level ADM'!$A$5:$W$52,5,FALSE)="Prior Year"),AT10,IF(AND($A$2=4,VLOOKUP($A10,'District Level ADM'!$A$5:$W$52,5,FALSE)="3-Year Avg."),AF10,IF($A$2=2,AT10,IF($A$2=3,AF10,IF(($AG10&gt;$AU10),AF10,AT10)))))</f>
        <v>0</v>
      </c>
      <c r="S10" s="317">
        <f t="shared" si="1"/>
        <v>246.25</v>
      </c>
      <c r="T10" s="317">
        <f t="shared" si="2"/>
        <v>46.945666666666661</v>
      </c>
      <c r="U10" s="317">
        <f t="shared" si="0"/>
        <v>38.907666666666664</v>
      </c>
      <c r="V10" s="317">
        <f t="shared" si="0"/>
        <v>41.022999999999996</v>
      </c>
      <c r="W10" s="317">
        <f t="shared" si="0"/>
        <v>45.917666666666662</v>
      </c>
      <c r="X10" s="317">
        <f t="shared" si="0"/>
        <v>45.251666666666665</v>
      </c>
      <c r="Y10" s="317">
        <f t="shared" si="0"/>
        <v>42.729000000000006</v>
      </c>
      <c r="Z10" s="317">
        <f t="shared" si="0"/>
        <v>0</v>
      </c>
      <c r="AA10" s="317">
        <f t="shared" si="0"/>
        <v>0</v>
      </c>
      <c r="AB10" s="317">
        <f t="shared" si="0"/>
        <v>0</v>
      </c>
      <c r="AC10" s="317">
        <f t="shared" si="0"/>
        <v>0</v>
      </c>
      <c r="AD10" s="317">
        <f t="shared" si="0"/>
        <v>0</v>
      </c>
      <c r="AE10" s="317">
        <f t="shared" si="0"/>
        <v>0</v>
      </c>
      <c r="AF10" s="317">
        <f t="shared" si="0"/>
        <v>0</v>
      </c>
      <c r="AG10" s="317">
        <f t="shared" si="3"/>
        <v>260.77466666666663</v>
      </c>
      <c r="AH10" s="318">
        <v>51.22</v>
      </c>
      <c r="AI10" s="318">
        <v>35.46</v>
      </c>
      <c r="AJ10" s="318">
        <v>34.475000000000001</v>
      </c>
      <c r="AK10" s="318">
        <v>41.37</v>
      </c>
      <c r="AL10" s="318">
        <v>42.354999999999997</v>
      </c>
      <c r="AM10" s="318">
        <v>41.37</v>
      </c>
      <c r="AN10" s="318">
        <v>0</v>
      </c>
      <c r="AO10" s="318">
        <v>0</v>
      </c>
      <c r="AP10" s="318">
        <v>0</v>
      </c>
      <c r="AQ10" s="318">
        <v>0</v>
      </c>
      <c r="AR10" s="318">
        <v>0</v>
      </c>
      <c r="AS10" s="318">
        <v>0</v>
      </c>
      <c r="AT10" s="318">
        <v>0</v>
      </c>
      <c r="AU10" s="317">
        <f t="shared" si="4"/>
        <v>246.25</v>
      </c>
      <c r="AV10" s="319">
        <v>43.856999999999999</v>
      </c>
      <c r="AW10" s="319">
        <v>40.616999999999997</v>
      </c>
      <c r="AX10" s="319">
        <v>39.423000000000002</v>
      </c>
      <c r="AY10" s="319">
        <v>47.154000000000003</v>
      </c>
      <c r="AZ10" s="319">
        <v>45.302999999999997</v>
      </c>
      <c r="BA10" s="319">
        <v>40.874000000000002</v>
      </c>
      <c r="BB10" s="319">
        <v>0</v>
      </c>
      <c r="BC10" s="319">
        <v>0</v>
      </c>
      <c r="BD10" s="319">
        <v>0</v>
      </c>
      <c r="BE10" s="319">
        <v>0</v>
      </c>
      <c r="BF10" s="319">
        <v>0</v>
      </c>
      <c r="BG10" s="319">
        <v>0</v>
      </c>
      <c r="BH10" s="319">
        <v>0</v>
      </c>
      <c r="BI10" s="317">
        <f t="shared" si="5"/>
        <v>257.22800000000001</v>
      </c>
      <c r="BJ10" s="316">
        <v>45.76</v>
      </c>
      <c r="BK10" s="316">
        <v>40.646000000000001</v>
      </c>
      <c r="BL10" s="316">
        <v>49.170999999999999</v>
      </c>
      <c r="BM10" s="316">
        <v>49.228999999999999</v>
      </c>
      <c r="BN10" s="316">
        <v>48.097000000000001</v>
      </c>
      <c r="BO10" s="316">
        <v>45.942999999999998</v>
      </c>
      <c r="BP10" s="316">
        <v>0</v>
      </c>
      <c r="BQ10" s="316">
        <v>0</v>
      </c>
      <c r="BR10" s="316">
        <v>0</v>
      </c>
      <c r="BS10" s="316">
        <v>0</v>
      </c>
      <c r="BT10" s="316">
        <v>0</v>
      </c>
      <c r="BU10" s="316">
        <v>0</v>
      </c>
      <c r="BV10" s="316">
        <v>0</v>
      </c>
      <c r="BW10" s="317">
        <f t="shared" si="6"/>
        <v>278.846</v>
      </c>
    </row>
    <row r="11" spans="1:75" x14ac:dyDescent="0.2">
      <c r="A11" s="20" t="str">
        <f>'School Level Inst. Resources'!A11</f>
        <v>0101000</v>
      </c>
      <c r="B11" s="20" t="str">
        <f>'School Level Inst. Resources'!B11</f>
        <v>Albany #1</v>
      </c>
      <c r="C11" s="20" t="str">
        <f>'School Level Inst. Resources'!C11</f>
        <v>0101019</v>
      </c>
      <c r="D11" s="20" t="str">
        <f>'School Level Inst. Resources'!D11</f>
        <v>Valley View Elementary</v>
      </c>
      <c r="E11" s="138" t="str">
        <f>'School Level Inst. Resources'!E11</f>
        <v>K-6</v>
      </c>
      <c r="F11" s="317">
        <f>IF(AND($A$2=4,VLOOKUP($A11,'District Level ADM'!$A$5:$W$52,5,FALSE)="Prior Year"),AH11,IF(AND($A$2=4,VLOOKUP($A11,'District Level ADM'!$A$5:$W$52,5,FALSE)="3-Year Avg."),T11,IF($A$2=2,AH11,IF($A$2=3,T11,IF(($AG11&gt;$AU11),T11,AH11)))))</f>
        <v>0.98499999999999999</v>
      </c>
      <c r="G11" s="317">
        <f>IF(AND($A$2=4,VLOOKUP($A11,'District Level ADM'!$A$5:$W$52,5,FALSE)="Prior Year"),AI11,IF(AND($A$2=4,VLOOKUP($A11,'District Level ADM'!$A$5:$W$52,5,FALSE)="3-Year Avg."),U11,IF($A$2=2,AI11,IF($A$2=3,U11,IF(($AG11&gt;$AU11),U11,AI11)))))</f>
        <v>0.98499999999999999</v>
      </c>
      <c r="H11" s="317">
        <f>IF(AND($A$2=4,VLOOKUP($A11,'District Level ADM'!$A$5:$W$52,5,FALSE)="Prior Year"),AJ11,IF(AND($A$2=4,VLOOKUP($A11,'District Level ADM'!$A$5:$W$52,5,FALSE)="3-Year Avg."),V11,IF($A$2=2,AJ11,IF($A$2=3,V11,IF(($AG11&gt;$AU11),V11,AJ11)))))</f>
        <v>0.98499999999999999</v>
      </c>
      <c r="I11" s="317">
        <f>IF(AND($A$2=4,VLOOKUP($A11,'District Level ADM'!$A$5:$W$52,5,FALSE)="Prior Year"),AK11,IF(AND($A$2=4,VLOOKUP($A11,'District Level ADM'!$A$5:$W$52,5,FALSE)="3-Year Avg."),W11,IF($A$2=2,AK11,IF($A$2=3,W11,IF(($AG11&gt;$AU11),W11,AK11)))))</f>
        <v>0.98499999999999999</v>
      </c>
      <c r="J11" s="317">
        <f>IF(AND($A$2=4,VLOOKUP($A11,'District Level ADM'!$A$5:$W$52,5,FALSE)="Prior Year"),AL11,IF(AND($A$2=4,VLOOKUP($A11,'District Level ADM'!$A$5:$W$52,5,FALSE)="3-Year Avg."),X11,IF($A$2=2,AL11,IF($A$2=3,X11,IF(($AG11&gt;$AU11),X11,AL11)))))</f>
        <v>0</v>
      </c>
      <c r="K11" s="317">
        <f>IF(AND($A$2=4,VLOOKUP($A11,'District Level ADM'!$A$5:$W$52,5,FALSE)="Prior Year"),AM11,IF(AND($A$2=4,VLOOKUP($A11,'District Level ADM'!$A$5:$W$52,5,FALSE)="3-Year Avg."),Y11,IF($A$2=2,AM11,IF($A$2=3,Y11,IF(($AG11&gt;$AU11),Y11,AM11)))))</f>
        <v>0.98499999999999999</v>
      </c>
      <c r="L11" s="317">
        <f>IF(AND($A$2=4,VLOOKUP($A11,'District Level ADM'!$A$5:$W$52,5,FALSE)="Prior Year"),AN11,IF(AND($A$2=4,VLOOKUP($A11,'District Level ADM'!$A$5:$W$52,5,FALSE)="3-Year Avg."),Z11,IF($A$2=2,AN11,IF($A$2=3,Z11,IF(($AG11&gt;$AU11),Z11,AN11)))))</f>
        <v>0</v>
      </c>
      <c r="M11" s="317">
        <f>IF(AND($A$2=4,VLOOKUP($A11,'District Level ADM'!$A$5:$W$52,5,FALSE)="Prior Year"),AO11,IF(AND($A$2=4,VLOOKUP($A11,'District Level ADM'!$A$5:$W$52,5,FALSE)="3-Year Avg."),AA11,IF($A$2=2,AO11,IF($A$2=3,AA11,IF(($AG11&gt;$AU11),AA11,AO11)))))</f>
        <v>0</v>
      </c>
      <c r="N11" s="317">
        <f>IF(AND($A$2=4,VLOOKUP($A11,'District Level ADM'!$A$5:$W$52,5,FALSE)="Prior Year"),AP11,IF(AND($A$2=4,VLOOKUP($A11,'District Level ADM'!$A$5:$W$52,5,FALSE)="3-Year Avg."),AB11,IF($A$2=2,AP11,IF($A$2=3,AB11,IF(($AG11&gt;$AU11),AB11,AP11)))))</f>
        <v>0</v>
      </c>
      <c r="O11" s="317">
        <f>IF(AND($A$2=4,VLOOKUP($A11,'District Level ADM'!$A$5:$W$52,5,FALSE)="Prior Year"),AQ11,IF(AND($A$2=4,VLOOKUP($A11,'District Level ADM'!$A$5:$W$52,5,FALSE)="3-Year Avg."),AC11,IF($A$2=2,AQ11,IF($A$2=3,AC11,IF(($AG11&gt;$AU11),AC11,AQ11)))))</f>
        <v>0</v>
      </c>
      <c r="P11" s="317">
        <f>IF(AND($A$2=4,VLOOKUP($A11,'District Level ADM'!$A$5:$W$52,5,FALSE)="Prior Year"),AR11,IF(AND($A$2=4,VLOOKUP($A11,'District Level ADM'!$A$5:$W$52,5,FALSE)="3-Year Avg."),AD11,IF($A$2=2,AR11,IF($A$2=3,AD11,IF(($AG11&gt;$AU11),AD11,AR11)))))</f>
        <v>0</v>
      </c>
      <c r="Q11" s="317">
        <f>IF(AND($A$2=4,VLOOKUP($A11,'District Level ADM'!$A$5:$W$52,5,FALSE)="Prior Year"),AS11,IF(AND($A$2=4,VLOOKUP($A11,'District Level ADM'!$A$5:$W$52,5,FALSE)="3-Year Avg."),AE11,IF($A$2=2,AS11,IF($A$2=3,AE11,IF(($AG11&gt;$AU11),AE11,AS11)))))</f>
        <v>0</v>
      </c>
      <c r="R11" s="317">
        <f>IF(AND($A$2=4,VLOOKUP($A11,'District Level ADM'!$A$5:$W$52,5,FALSE)="Prior Year"),AT11,IF(AND($A$2=4,VLOOKUP($A11,'District Level ADM'!$A$5:$W$52,5,FALSE)="3-Year Avg."),AF11,IF($A$2=2,AT11,IF($A$2=3,AF11,IF(($AG11&gt;$AU11),AF11,AT11)))))</f>
        <v>0</v>
      </c>
      <c r="S11" s="317">
        <f t="shared" si="1"/>
        <v>4.9249999999999998</v>
      </c>
      <c r="T11" s="317">
        <f t="shared" si="2"/>
        <v>0.74733333333333329</v>
      </c>
      <c r="U11" s="317">
        <f t="shared" si="0"/>
        <v>1.5456666666666667</v>
      </c>
      <c r="V11" s="317">
        <f t="shared" si="0"/>
        <v>0.995</v>
      </c>
      <c r="W11" s="317">
        <f t="shared" si="0"/>
        <v>1.3283333333333334</v>
      </c>
      <c r="X11" s="317">
        <f t="shared" si="0"/>
        <v>1.3620000000000001</v>
      </c>
      <c r="Y11" s="317">
        <f t="shared" si="0"/>
        <v>0.995</v>
      </c>
      <c r="Z11" s="317">
        <f t="shared" si="0"/>
        <v>0</v>
      </c>
      <c r="AA11" s="317">
        <f t="shared" si="0"/>
        <v>0</v>
      </c>
      <c r="AB11" s="317">
        <f t="shared" si="0"/>
        <v>0</v>
      </c>
      <c r="AC11" s="317">
        <f t="shared" si="0"/>
        <v>0</v>
      </c>
      <c r="AD11" s="317">
        <f t="shared" si="0"/>
        <v>0</v>
      </c>
      <c r="AE11" s="317">
        <f t="shared" si="0"/>
        <v>0</v>
      </c>
      <c r="AF11" s="317">
        <f t="shared" si="0"/>
        <v>0</v>
      </c>
      <c r="AG11" s="317">
        <f t="shared" si="3"/>
        <v>6.9733333333333336</v>
      </c>
      <c r="AH11" s="318">
        <v>0.98499999999999999</v>
      </c>
      <c r="AI11" s="318">
        <v>0.98499999999999999</v>
      </c>
      <c r="AJ11" s="318">
        <v>0.98499999999999999</v>
      </c>
      <c r="AK11" s="318">
        <v>0.98499999999999999</v>
      </c>
      <c r="AL11" s="318">
        <v>0</v>
      </c>
      <c r="AM11" s="318">
        <v>0.98499999999999999</v>
      </c>
      <c r="AN11" s="318">
        <v>0</v>
      </c>
      <c r="AO11" s="318">
        <v>0</v>
      </c>
      <c r="AP11" s="318">
        <v>0</v>
      </c>
      <c r="AQ11" s="318">
        <v>0</v>
      </c>
      <c r="AR11" s="318">
        <v>0</v>
      </c>
      <c r="AS11" s="318">
        <v>0</v>
      </c>
      <c r="AT11" s="318">
        <v>0</v>
      </c>
      <c r="AU11" s="317">
        <f t="shared" si="4"/>
        <v>4.9249999999999998</v>
      </c>
      <c r="AV11" s="319">
        <v>0.70299999999999996</v>
      </c>
      <c r="AW11" s="319">
        <v>1.7030000000000001</v>
      </c>
      <c r="AX11" s="319">
        <v>1</v>
      </c>
      <c r="AY11" s="319">
        <v>1</v>
      </c>
      <c r="AZ11" s="319">
        <v>1.0860000000000001</v>
      </c>
      <c r="BA11" s="319">
        <v>2</v>
      </c>
      <c r="BB11" s="319">
        <v>0</v>
      </c>
      <c r="BC11" s="319">
        <v>0</v>
      </c>
      <c r="BD11" s="319">
        <v>0</v>
      </c>
      <c r="BE11" s="319">
        <v>0</v>
      </c>
      <c r="BF11" s="319">
        <v>0</v>
      </c>
      <c r="BG11" s="319">
        <v>0</v>
      </c>
      <c r="BH11" s="319">
        <v>0</v>
      </c>
      <c r="BI11" s="317">
        <f t="shared" si="5"/>
        <v>7.4920000000000009</v>
      </c>
      <c r="BJ11" s="316">
        <v>0.55400000000000005</v>
      </c>
      <c r="BK11" s="316">
        <v>1.9490000000000001</v>
      </c>
      <c r="BL11" s="316">
        <v>1</v>
      </c>
      <c r="BM11" s="316">
        <v>2</v>
      </c>
      <c r="BN11" s="316">
        <v>3</v>
      </c>
      <c r="BO11" s="316">
        <v>0</v>
      </c>
      <c r="BP11" s="316">
        <v>0</v>
      </c>
      <c r="BQ11" s="316">
        <v>0</v>
      </c>
      <c r="BR11" s="316">
        <v>0</v>
      </c>
      <c r="BS11" s="316">
        <v>0</v>
      </c>
      <c r="BT11" s="316">
        <v>0</v>
      </c>
      <c r="BU11" s="316">
        <v>0</v>
      </c>
      <c r="BV11" s="316">
        <v>0</v>
      </c>
      <c r="BW11" s="317">
        <f t="shared" si="6"/>
        <v>8.5030000000000001</v>
      </c>
    </row>
    <row r="12" spans="1:75" x14ac:dyDescent="0.2">
      <c r="A12" s="20" t="str">
        <f>'School Level Inst. Resources'!A12</f>
        <v>0101000</v>
      </c>
      <c r="B12" s="20" t="str">
        <f>'School Level Inst. Resources'!B12</f>
        <v>Albany #1</v>
      </c>
      <c r="C12" s="20" t="str">
        <f>'School Level Inst. Resources'!C12</f>
        <v>0101020</v>
      </c>
      <c r="D12" s="20" t="str">
        <f>'School Level Inst. Resources'!D12</f>
        <v>Velma Linford Elementary</v>
      </c>
      <c r="E12" s="138" t="str">
        <f>'School Level Inst. Resources'!E12</f>
        <v>P-5</v>
      </c>
      <c r="F12" s="317">
        <f>IF(AND($A$2=4,VLOOKUP($A12,'District Level ADM'!$A$5:$W$52,5,FALSE)="Prior Year"),AH12,IF(AND($A$2=4,VLOOKUP($A12,'District Level ADM'!$A$5:$W$52,5,FALSE)="3-Year Avg."),T12,IF($A$2=2,AH12,IF($A$2=3,T12,IF(($AG12&gt;$AU12),T12,AH12)))))</f>
        <v>52.204999999999998</v>
      </c>
      <c r="G12" s="317">
        <f>IF(AND($A$2=4,VLOOKUP($A12,'District Level ADM'!$A$5:$W$52,5,FALSE)="Prior Year"),AI12,IF(AND($A$2=4,VLOOKUP($A12,'District Level ADM'!$A$5:$W$52,5,FALSE)="3-Year Avg."),U12,IF($A$2=2,AI12,IF($A$2=3,U12,IF(($AG12&gt;$AU12),U12,AI12)))))</f>
        <v>48.265000000000001</v>
      </c>
      <c r="H12" s="317">
        <f>IF(AND($A$2=4,VLOOKUP($A12,'District Level ADM'!$A$5:$W$52,5,FALSE)="Prior Year"),AJ12,IF(AND($A$2=4,VLOOKUP($A12,'District Level ADM'!$A$5:$W$52,5,FALSE)="3-Year Avg."),V12,IF($A$2=2,AJ12,IF($A$2=3,V12,IF(($AG12&gt;$AU12),V12,AJ12)))))</f>
        <v>47.28</v>
      </c>
      <c r="I12" s="317">
        <f>IF(AND($A$2=4,VLOOKUP($A12,'District Level ADM'!$A$5:$W$52,5,FALSE)="Prior Year"),AK12,IF(AND($A$2=4,VLOOKUP($A12,'District Level ADM'!$A$5:$W$52,5,FALSE)="3-Year Avg."),W12,IF($A$2=2,AK12,IF($A$2=3,W12,IF(($AG12&gt;$AU12),W12,AK12)))))</f>
        <v>57.13</v>
      </c>
      <c r="J12" s="317">
        <f>IF(AND($A$2=4,VLOOKUP($A12,'District Level ADM'!$A$5:$W$52,5,FALSE)="Prior Year"),AL12,IF(AND($A$2=4,VLOOKUP($A12,'District Level ADM'!$A$5:$W$52,5,FALSE)="3-Year Avg."),X12,IF($A$2=2,AL12,IF($A$2=3,X12,IF(($AG12&gt;$AU12),X12,AL12)))))</f>
        <v>60.085000000000001</v>
      </c>
      <c r="K12" s="317">
        <f>IF(AND($A$2=4,VLOOKUP($A12,'District Level ADM'!$A$5:$W$52,5,FALSE)="Prior Year"),AM12,IF(AND($A$2=4,VLOOKUP($A12,'District Level ADM'!$A$5:$W$52,5,FALSE)="3-Year Avg."),Y12,IF($A$2=2,AM12,IF($A$2=3,Y12,IF(($AG12&gt;$AU12),Y12,AM12)))))</f>
        <v>48.265000000000001</v>
      </c>
      <c r="L12" s="317">
        <f>IF(AND($A$2=4,VLOOKUP($A12,'District Level ADM'!$A$5:$W$52,5,FALSE)="Prior Year"),AN12,IF(AND($A$2=4,VLOOKUP($A12,'District Level ADM'!$A$5:$W$52,5,FALSE)="3-Year Avg."),Z12,IF($A$2=2,AN12,IF($A$2=3,Z12,IF(($AG12&gt;$AU12),Z12,AN12)))))</f>
        <v>0</v>
      </c>
      <c r="M12" s="317">
        <f>IF(AND($A$2=4,VLOOKUP($A12,'District Level ADM'!$A$5:$W$52,5,FALSE)="Prior Year"),AO12,IF(AND($A$2=4,VLOOKUP($A12,'District Level ADM'!$A$5:$W$52,5,FALSE)="3-Year Avg."),AA12,IF($A$2=2,AO12,IF($A$2=3,AA12,IF(($AG12&gt;$AU12),AA12,AO12)))))</f>
        <v>0</v>
      </c>
      <c r="N12" s="317">
        <f>IF(AND($A$2=4,VLOOKUP($A12,'District Level ADM'!$A$5:$W$52,5,FALSE)="Prior Year"),AP12,IF(AND($A$2=4,VLOOKUP($A12,'District Level ADM'!$A$5:$W$52,5,FALSE)="3-Year Avg."),AB12,IF($A$2=2,AP12,IF($A$2=3,AB12,IF(($AG12&gt;$AU12),AB12,AP12)))))</f>
        <v>0</v>
      </c>
      <c r="O12" s="317">
        <f>IF(AND($A$2=4,VLOOKUP($A12,'District Level ADM'!$A$5:$W$52,5,FALSE)="Prior Year"),AQ12,IF(AND($A$2=4,VLOOKUP($A12,'District Level ADM'!$A$5:$W$52,5,FALSE)="3-Year Avg."),AC12,IF($A$2=2,AQ12,IF($A$2=3,AC12,IF(($AG12&gt;$AU12),AC12,AQ12)))))</f>
        <v>0</v>
      </c>
      <c r="P12" s="317">
        <f>IF(AND($A$2=4,VLOOKUP($A12,'District Level ADM'!$A$5:$W$52,5,FALSE)="Prior Year"),AR12,IF(AND($A$2=4,VLOOKUP($A12,'District Level ADM'!$A$5:$W$52,5,FALSE)="3-Year Avg."),AD12,IF($A$2=2,AR12,IF($A$2=3,AD12,IF(($AG12&gt;$AU12),AD12,AR12)))))</f>
        <v>0</v>
      </c>
      <c r="Q12" s="317">
        <f>IF(AND($A$2=4,VLOOKUP($A12,'District Level ADM'!$A$5:$W$52,5,FALSE)="Prior Year"),AS12,IF(AND($A$2=4,VLOOKUP($A12,'District Level ADM'!$A$5:$W$52,5,FALSE)="3-Year Avg."),AE12,IF($A$2=2,AS12,IF($A$2=3,AE12,IF(($AG12&gt;$AU12),AE12,AS12)))))</f>
        <v>0</v>
      </c>
      <c r="R12" s="317">
        <f>IF(AND($A$2=4,VLOOKUP($A12,'District Level ADM'!$A$5:$W$52,5,FALSE)="Prior Year"),AT12,IF(AND($A$2=4,VLOOKUP($A12,'District Level ADM'!$A$5:$W$52,5,FALSE)="3-Year Avg."),AF12,IF($A$2=2,AT12,IF($A$2=3,AF12,IF(($AG12&gt;$AU12),AF12,AT12)))))</f>
        <v>0</v>
      </c>
      <c r="S12" s="317">
        <f t="shared" si="1"/>
        <v>313.22999999999996</v>
      </c>
      <c r="T12" s="317">
        <f t="shared" si="2"/>
        <v>52.988333333333337</v>
      </c>
      <c r="U12" s="317">
        <f t="shared" si="0"/>
        <v>54.027333333333331</v>
      </c>
      <c r="V12" s="317">
        <f t="shared" si="0"/>
        <v>56.539000000000009</v>
      </c>
      <c r="W12" s="317">
        <f t="shared" si="0"/>
        <v>57.765333333333338</v>
      </c>
      <c r="X12" s="317">
        <f t="shared" si="0"/>
        <v>60.468333333333327</v>
      </c>
      <c r="Y12" s="317">
        <f t="shared" si="0"/>
        <v>54.440666666666665</v>
      </c>
      <c r="Z12" s="317">
        <f t="shared" si="0"/>
        <v>0</v>
      </c>
      <c r="AA12" s="317">
        <f t="shared" si="0"/>
        <v>0</v>
      </c>
      <c r="AB12" s="317">
        <f t="shared" si="0"/>
        <v>0</v>
      </c>
      <c r="AC12" s="317">
        <f t="shared" si="0"/>
        <v>0</v>
      </c>
      <c r="AD12" s="317">
        <f t="shared" si="0"/>
        <v>0</v>
      </c>
      <c r="AE12" s="317">
        <f t="shared" si="0"/>
        <v>0</v>
      </c>
      <c r="AF12" s="317">
        <f t="shared" si="0"/>
        <v>0</v>
      </c>
      <c r="AG12" s="317">
        <f t="shared" si="3"/>
        <v>336.22900000000004</v>
      </c>
      <c r="AH12" s="318">
        <v>52.204999999999998</v>
      </c>
      <c r="AI12" s="318">
        <v>48.265000000000001</v>
      </c>
      <c r="AJ12" s="318">
        <v>47.28</v>
      </c>
      <c r="AK12" s="318">
        <v>57.13</v>
      </c>
      <c r="AL12" s="318">
        <v>60.085000000000001</v>
      </c>
      <c r="AM12" s="318">
        <v>48.265000000000001</v>
      </c>
      <c r="AN12" s="318">
        <v>0</v>
      </c>
      <c r="AO12" s="318">
        <v>0</v>
      </c>
      <c r="AP12" s="318">
        <v>0</v>
      </c>
      <c r="AQ12" s="318">
        <v>0</v>
      </c>
      <c r="AR12" s="318">
        <v>0</v>
      </c>
      <c r="AS12" s="318">
        <v>0</v>
      </c>
      <c r="AT12" s="318">
        <v>0</v>
      </c>
      <c r="AU12" s="317">
        <f t="shared" si="4"/>
        <v>313.22999999999996</v>
      </c>
      <c r="AV12" s="319">
        <v>53.377000000000002</v>
      </c>
      <c r="AW12" s="319">
        <v>52.850999999999999</v>
      </c>
      <c r="AX12" s="319">
        <v>60.28</v>
      </c>
      <c r="AY12" s="319">
        <v>60.2</v>
      </c>
      <c r="AZ12" s="319">
        <v>52.942999999999998</v>
      </c>
      <c r="BA12" s="319">
        <v>65.936999999999998</v>
      </c>
      <c r="BB12" s="319">
        <v>0</v>
      </c>
      <c r="BC12" s="319">
        <v>0</v>
      </c>
      <c r="BD12" s="319">
        <v>0</v>
      </c>
      <c r="BE12" s="319">
        <v>0</v>
      </c>
      <c r="BF12" s="319">
        <v>0</v>
      </c>
      <c r="BG12" s="319">
        <v>0</v>
      </c>
      <c r="BH12" s="319">
        <v>0</v>
      </c>
      <c r="BI12" s="317">
        <f t="shared" si="5"/>
        <v>345.58800000000002</v>
      </c>
      <c r="BJ12" s="316">
        <v>53.383000000000003</v>
      </c>
      <c r="BK12" s="316">
        <v>60.966000000000001</v>
      </c>
      <c r="BL12" s="316">
        <v>62.057000000000002</v>
      </c>
      <c r="BM12" s="316">
        <v>55.966000000000001</v>
      </c>
      <c r="BN12" s="316">
        <v>68.376999999999995</v>
      </c>
      <c r="BO12" s="316">
        <v>49.12</v>
      </c>
      <c r="BP12" s="316">
        <v>0</v>
      </c>
      <c r="BQ12" s="316">
        <v>0</v>
      </c>
      <c r="BR12" s="316">
        <v>0</v>
      </c>
      <c r="BS12" s="316">
        <v>0</v>
      </c>
      <c r="BT12" s="316">
        <v>0</v>
      </c>
      <c r="BU12" s="316">
        <v>0</v>
      </c>
      <c r="BV12" s="316">
        <v>0</v>
      </c>
      <c r="BW12" s="317">
        <f t="shared" si="6"/>
        <v>349.86900000000003</v>
      </c>
    </row>
    <row r="13" spans="1:75" x14ac:dyDescent="0.2">
      <c r="A13" s="20" t="str">
        <f>'School Level Inst. Resources'!A13</f>
        <v>0101000</v>
      </c>
      <c r="B13" s="20" t="str">
        <f>'School Level Inst. Resources'!B13</f>
        <v>Albany #1</v>
      </c>
      <c r="C13" s="20" t="str">
        <f>'School Level Inst. Resources'!C13</f>
        <v>0101027</v>
      </c>
      <c r="D13" s="20" t="str">
        <f>'School Level Inst. Resources'!D13</f>
        <v>Spring Creek Elementary</v>
      </c>
      <c r="E13" s="138" t="str">
        <f>'School Level Inst. Resources'!E13</f>
        <v>K-5</v>
      </c>
      <c r="F13" s="317">
        <f>IF(AND($A$2=4,VLOOKUP($A13,'District Level ADM'!$A$5:$W$52,5,FALSE)="Prior Year"),AH13,IF(AND($A$2=4,VLOOKUP($A13,'District Level ADM'!$A$5:$W$52,5,FALSE)="3-Year Avg."),T13,IF($A$2=2,AH13,IF($A$2=3,T13,IF(($AG13&gt;$AU13),T13,AH13)))))</f>
        <v>63.04</v>
      </c>
      <c r="G13" s="317">
        <f>IF(AND($A$2=4,VLOOKUP($A13,'District Level ADM'!$A$5:$W$52,5,FALSE)="Prior Year"),AI13,IF(AND($A$2=4,VLOOKUP($A13,'District Level ADM'!$A$5:$W$52,5,FALSE)="3-Year Avg."),U13,IF($A$2=2,AI13,IF($A$2=3,U13,IF(($AG13&gt;$AU13),U13,AI13)))))</f>
        <v>61.07</v>
      </c>
      <c r="H13" s="317">
        <f>IF(AND($A$2=4,VLOOKUP($A13,'District Level ADM'!$A$5:$W$52,5,FALSE)="Prior Year"),AJ13,IF(AND($A$2=4,VLOOKUP($A13,'District Level ADM'!$A$5:$W$52,5,FALSE)="3-Year Avg."),V13,IF($A$2=2,AJ13,IF($A$2=3,V13,IF(($AG13&gt;$AU13),V13,AJ13)))))</f>
        <v>37.43</v>
      </c>
      <c r="I13" s="317">
        <f>IF(AND($A$2=4,VLOOKUP($A13,'District Level ADM'!$A$5:$W$52,5,FALSE)="Prior Year"),AK13,IF(AND($A$2=4,VLOOKUP($A13,'District Level ADM'!$A$5:$W$52,5,FALSE)="3-Year Avg."),W13,IF($A$2=2,AK13,IF($A$2=3,W13,IF(($AG13&gt;$AU13),W13,AK13)))))</f>
        <v>57.13</v>
      </c>
      <c r="J13" s="317">
        <f>IF(AND($A$2=4,VLOOKUP($A13,'District Level ADM'!$A$5:$W$52,5,FALSE)="Prior Year"),AL13,IF(AND($A$2=4,VLOOKUP($A13,'District Level ADM'!$A$5:$W$52,5,FALSE)="3-Year Avg."),X13,IF($A$2=2,AL13,IF($A$2=3,X13,IF(($AG13&gt;$AU13),X13,AL13)))))</f>
        <v>56.145000000000003</v>
      </c>
      <c r="K13" s="317">
        <f>IF(AND($A$2=4,VLOOKUP($A13,'District Level ADM'!$A$5:$W$52,5,FALSE)="Prior Year"),AM13,IF(AND($A$2=4,VLOOKUP($A13,'District Level ADM'!$A$5:$W$52,5,FALSE)="3-Year Avg."),Y13,IF($A$2=2,AM13,IF($A$2=3,Y13,IF(($AG13&gt;$AU13),Y13,AM13)))))</f>
        <v>46.295000000000002</v>
      </c>
      <c r="L13" s="317">
        <f>IF(AND($A$2=4,VLOOKUP($A13,'District Level ADM'!$A$5:$W$52,5,FALSE)="Prior Year"),AN13,IF(AND($A$2=4,VLOOKUP($A13,'District Level ADM'!$A$5:$W$52,5,FALSE)="3-Year Avg."),Z13,IF($A$2=2,AN13,IF($A$2=3,Z13,IF(($AG13&gt;$AU13),Z13,AN13)))))</f>
        <v>0</v>
      </c>
      <c r="M13" s="317">
        <f>IF(AND($A$2=4,VLOOKUP($A13,'District Level ADM'!$A$5:$W$52,5,FALSE)="Prior Year"),AO13,IF(AND($A$2=4,VLOOKUP($A13,'District Level ADM'!$A$5:$W$52,5,FALSE)="3-Year Avg."),AA13,IF($A$2=2,AO13,IF($A$2=3,AA13,IF(($AG13&gt;$AU13),AA13,AO13)))))</f>
        <v>0</v>
      </c>
      <c r="N13" s="317">
        <f>IF(AND($A$2=4,VLOOKUP($A13,'District Level ADM'!$A$5:$W$52,5,FALSE)="Prior Year"),AP13,IF(AND($A$2=4,VLOOKUP($A13,'District Level ADM'!$A$5:$W$52,5,FALSE)="3-Year Avg."),AB13,IF($A$2=2,AP13,IF($A$2=3,AB13,IF(($AG13&gt;$AU13),AB13,AP13)))))</f>
        <v>0</v>
      </c>
      <c r="O13" s="317">
        <f>IF(AND($A$2=4,VLOOKUP($A13,'District Level ADM'!$A$5:$W$52,5,FALSE)="Prior Year"),AQ13,IF(AND($A$2=4,VLOOKUP($A13,'District Level ADM'!$A$5:$W$52,5,FALSE)="3-Year Avg."),AC13,IF($A$2=2,AQ13,IF($A$2=3,AC13,IF(($AG13&gt;$AU13),AC13,AQ13)))))</f>
        <v>0</v>
      </c>
      <c r="P13" s="317">
        <f>IF(AND($A$2=4,VLOOKUP($A13,'District Level ADM'!$A$5:$W$52,5,FALSE)="Prior Year"),AR13,IF(AND($A$2=4,VLOOKUP($A13,'District Level ADM'!$A$5:$W$52,5,FALSE)="3-Year Avg."),AD13,IF($A$2=2,AR13,IF($A$2=3,AD13,IF(($AG13&gt;$AU13),AD13,AR13)))))</f>
        <v>0</v>
      </c>
      <c r="Q13" s="317">
        <f>IF(AND($A$2=4,VLOOKUP($A13,'District Level ADM'!$A$5:$W$52,5,FALSE)="Prior Year"),AS13,IF(AND($A$2=4,VLOOKUP($A13,'District Level ADM'!$A$5:$W$52,5,FALSE)="3-Year Avg."),AE13,IF($A$2=2,AS13,IF($A$2=3,AE13,IF(($AG13&gt;$AU13),AE13,AS13)))))</f>
        <v>0</v>
      </c>
      <c r="R13" s="317">
        <f>IF(AND($A$2=4,VLOOKUP($A13,'District Level ADM'!$A$5:$W$52,5,FALSE)="Prior Year"),AT13,IF(AND($A$2=4,VLOOKUP($A13,'District Level ADM'!$A$5:$W$52,5,FALSE)="3-Year Avg."),AF13,IF($A$2=2,AT13,IF($A$2=3,AF13,IF(($AG13&gt;$AU13),AF13,AT13)))))</f>
        <v>0</v>
      </c>
      <c r="S13" s="317">
        <f t="shared" si="1"/>
        <v>321.11</v>
      </c>
      <c r="T13" s="317">
        <f t="shared" si="2"/>
        <v>55.230666666666671</v>
      </c>
      <c r="U13" s="317">
        <f t="shared" si="0"/>
        <v>54.379333333333328</v>
      </c>
      <c r="V13" s="317">
        <f t="shared" si="0"/>
        <v>46.687999999999995</v>
      </c>
      <c r="W13" s="317">
        <f t="shared" si="0"/>
        <v>55.157666666666671</v>
      </c>
      <c r="X13" s="317">
        <f t="shared" si="0"/>
        <v>57.166666666666664</v>
      </c>
      <c r="Y13" s="317">
        <f t="shared" si="0"/>
        <v>55.094666666666662</v>
      </c>
      <c r="Z13" s="317">
        <f t="shared" si="0"/>
        <v>0</v>
      </c>
      <c r="AA13" s="317">
        <f t="shared" si="0"/>
        <v>0</v>
      </c>
      <c r="AB13" s="317">
        <f t="shared" si="0"/>
        <v>0</v>
      </c>
      <c r="AC13" s="317">
        <f t="shared" si="0"/>
        <v>0</v>
      </c>
      <c r="AD13" s="317">
        <f t="shared" si="0"/>
        <v>0</v>
      </c>
      <c r="AE13" s="317">
        <f t="shared" si="0"/>
        <v>0</v>
      </c>
      <c r="AF13" s="317">
        <f t="shared" si="0"/>
        <v>0</v>
      </c>
      <c r="AG13" s="317">
        <f t="shared" si="3"/>
        <v>323.71700000000004</v>
      </c>
      <c r="AH13" s="318">
        <v>63.04</v>
      </c>
      <c r="AI13" s="318">
        <v>61.07</v>
      </c>
      <c r="AJ13" s="318">
        <v>37.43</v>
      </c>
      <c r="AK13" s="318">
        <v>57.13</v>
      </c>
      <c r="AL13" s="318">
        <v>56.145000000000003</v>
      </c>
      <c r="AM13" s="318">
        <v>46.295000000000002</v>
      </c>
      <c r="AN13" s="318">
        <v>0</v>
      </c>
      <c r="AO13" s="318">
        <v>0</v>
      </c>
      <c r="AP13" s="318">
        <v>0</v>
      </c>
      <c r="AQ13" s="318">
        <v>0</v>
      </c>
      <c r="AR13" s="318">
        <v>0</v>
      </c>
      <c r="AS13" s="318">
        <v>0</v>
      </c>
      <c r="AT13" s="318">
        <v>0</v>
      </c>
      <c r="AU13" s="317">
        <f t="shared" si="4"/>
        <v>321.11</v>
      </c>
      <c r="AV13" s="319">
        <v>61.942999999999998</v>
      </c>
      <c r="AW13" s="319">
        <v>45.296999999999997</v>
      </c>
      <c r="AX13" s="319">
        <v>53.250999999999998</v>
      </c>
      <c r="AY13" s="319">
        <v>57.337000000000003</v>
      </c>
      <c r="AZ13" s="319">
        <v>50.006</v>
      </c>
      <c r="BA13" s="319">
        <v>63.183</v>
      </c>
      <c r="BB13" s="319">
        <v>0</v>
      </c>
      <c r="BC13" s="319">
        <v>0</v>
      </c>
      <c r="BD13" s="319">
        <v>0</v>
      </c>
      <c r="BE13" s="319">
        <v>0</v>
      </c>
      <c r="BF13" s="319">
        <v>0</v>
      </c>
      <c r="BG13" s="319">
        <v>0</v>
      </c>
      <c r="BH13" s="319">
        <v>0</v>
      </c>
      <c r="BI13" s="317">
        <f t="shared" si="5"/>
        <v>331.01699999999994</v>
      </c>
      <c r="BJ13" s="316">
        <v>40.709000000000003</v>
      </c>
      <c r="BK13" s="316">
        <v>56.771000000000001</v>
      </c>
      <c r="BL13" s="316">
        <v>49.383000000000003</v>
      </c>
      <c r="BM13" s="316">
        <v>51.006</v>
      </c>
      <c r="BN13" s="316">
        <v>65.349000000000004</v>
      </c>
      <c r="BO13" s="316">
        <v>55.805999999999997</v>
      </c>
      <c r="BP13" s="316">
        <v>0</v>
      </c>
      <c r="BQ13" s="316">
        <v>0</v>
      </c>
      <c r="BR13" s="316">
        <v>0</v>
      </c>
      <c r="BS13" s="316">
        <v>0</v>
      </c>
      <c r="BT13" s="316">
        <v>0</v>
      </c>
      <c r="BU13" s="316">
        <v>0</v>
      </c>
      <c r="BV13" s="316">
        <v>0</v>
      </c>
      <c r="BW13" s="317">
        <f t="shared" si="6"/>
        <v>319.024</v>
      </c>
    </row>
    <row r="14" spans="1:75" x14ac:dyDescent="0.2">
      <c r="A14" s="20" t="str">
        <f>'School Level Inst. Resources'!A14</f>
        <v>0101000</v>
      </c>
      <c r="B14" s="20" t="str">
        <f>'School Level Inst. Resources'!B14</f>
        <v>Albany #1</v>
      </c>
      <c r="C14" s="20" t="str">
        <f>'School Level Inst. Resources'!C14</f>
        <v>0101028</v>
      </c>
      <c r="D14" s="20" t="str">
        <f>'School Level Inst. Resources'!D14</f>
        <v>Indian Paintbrush  Elementary</v>
      </c>
      <c r="E14" s="138" t="str">
        <f>'School Level Inst. Resources'!E14</f>
        <v>K-5</v>
      </c>
      <c r="F14" s="317">
        <f>IF(AND($A$2=4,VLOOKUP($A14,'District Level ADM'!$A$5:$W$52,5,FALSE)="Prior Year"),AH14,IF(AND($A$2=4,VLOOKUP($A14,'District Level ADM'!$A$5:$W$52,5,FALSE)="3-Year Avg."),T14,IF($A$2=2,AH14,IF($A$2=3,T14,IF(($AG14&gt;$AU14),T14,AH14)))))</f>
        <v>66.98</v>
      </c>
      <c r="G14" s="317">
        <f>IF(AND($A$2=4,VLOOKUP($A14,'District Level ADM'!$A$5:$W$52,5,FALSE)="Prior Year"),AI14,IF(AND($A$2=4,VLOOKUP($A14,'District Level ADM'!$A$5:$W$52,5,FALSE)="3-Year Avg."),U14,IF($A$2=2,AI14,IF($A$2=3,U14,IF(($AG14&gt;$AU14),U14,AI14)))))</f>
        <v>60.085000000000001</v>
      </c>
      <c r="H14" s="317">
        <f>IF(AND($A$2=4,VLOOKUP($A14,'District Level ADM'!$A$5:$W$52,5,FALSE)="Prior Year"),AJ14,IF(AND($A$2=4,VLOOKUP($A14,'District Level ADM'!$A$5:$W$52,5,FALSE)="3-Year Avg."),V14,IF($A$2=2,AJ14,IF($A$2=3,V14,IF(($AG14&gt;$AU14),V14,AJ14)))))</f>
        <v>45.31</v>
      </c>
      <c r="I14" s="317">
        <f>IF(AND($A$2=4,VLOOKUP($A14,'District Level ADM'!$A$5:$W$52,5,FALSE)="Prior Year"),AK14,IF(AND($A$2=4,VLOOKUP($A14,'District Level ADM'!$A$5:$W$52,5,FALSE)="3-Year Avg."),W14,IF($A$2=2,AK14,IF($A$2=3,W14,IF(($AG14&gt;$AU14),W14,AK14)))))</f>
        <v>62.055</v>
      </c>
      <c r="J14" s="317">
        <f>IF(AND($A$2=4,VLOOKUP($A14,'District Level ADM'!$A$5:$W$52,5,FALSE)="Prior Year"),AL14,IF(AND($A$2=4,VLOOKUP($A14,'District Level ADM'!$A$5:$W$52,5,FALSE)="3-Year Avg."),X14,IF($A$2=2,AL14,IF($A$2=3,X14,IF(($AG14&gt;$AU14),X14,AL14)))))</f>
        <v>52.204999999999998</v>
      </c>
      <c r="K14" s="317">
        <f>IF(AND($A$2=4,VLOOKUP($A14,'District Level ADM'!$A$5:$W$52,5,FALSE)="Prior Year"),AM14,IF(AND($A$2=4,VLOOKUP($A14,'District Level ADM'!$A$5:$W$52,5,FALSE)="3-Year Avg."),Y14,IF($A$2=2,AM14,IF($A$2=3,Y14,IF(($AG14&gt;$AU14),Y14,AM14)))))</f>
        <v>44.325000000000003</v>
      </c>
      <c r="L14" s="317">
        <f>IF(AND($A$2=4,VLOOKUP($A14,'District Level ADM'!$A$5:$W$52,5,FALSE)="Prior Year"),AN14,IF(AND($A$2=4,VLOOKUP($A14,'District Level ADM'!$A$5:$W$52,5,FALSE)="3-Year Avg."),Z14,IF($A$2=2,AN14,IF($A$2=3,Z14,IF(($AG14&gt;$AU14),Z14,AN14)))))</f>
        <v>0</v>
      </c>
      <c r="M14" s="317">
        <f>IF(AND($A$2=4,VLOOKUP($A14,'District Level ADM'!$A$5:$W$52,5,FALSE)="Prior Year"),AO14,IF(AND($A$2=4,VLOOKUP($A14,'District Level ADM'!$A$5:$W$52,5,FALSE)="3-Year Avg."),AA14,IF($A$2=2,AO14,IF($A$2=3,AA14,IF(($AG14&gt;$AU14),AA14,AO14)))))</f>
        <v>0</v>
      </c>
      <c r="N14" s="317">
        <f>IF(AND($A$2=4,VLOOKUP($A14,'District Level ADM'!$A$5:$W$52,5,FALSE)="Prior Year"),AP14,IF(AND($A$2=4,VLOOKUP($A14,'District Level ADM'!$A$5:$W$52,5,FALSE)="3-Year Avg."),AB14,IF($A$2=2,AP14,IF($A$2=3,AB14,IF(($AG14&gt;$AU14),AB14,AP14)))))</f>
        <v>0</v>
      </c>
      <c r="O14" s="317">
        <f>IF(AND($A$2=4,VLOOKUP($A14,'District Level ADM'!$A$5:$W$52,5,FALSE)="Prior Year"),AQ14,IF(AND($A$2=4,VLOOKUP($A14,'District Level ADM'!$A$5:$W$52,5,FALSE)="3-Year Avg."),AC14,IF($A$2=2,AQ14,IF($A$2=3,AC14,IF(($AG14&gt;$AU14),AC14,AQ14)))))</f>
        <v>0</v>
      </c>
      <c r="P14" s="317">
        <f>IF(AND($A$2=4,VLOOKUP($A14,'District Level ADM'!$A$5:$W$52,5,FALSE)="Prior Year"),AR14,IF(AND($A$2=4,VLOOKUP($A14,'District Level ADM'!$A$5:$W$52,5,FALSE)="3-Year Avg."),AD14,IF($A$2=2,AR14,IF($A$2=3,AD14,IF(($AG14&gt;$AU14),AD14,AR14)))))</f>
        <v>0</v>
      </c>
      <c r="Q14" s="317">
        <f>IF(AND($A$2=4,VLOOKUP($A14,'District Level ADM'!$A$5:$W$52,5,FALSE)="Prior Year"),AS14,IF(AND($A$2=4,VLOOKUP($A14,'District Level ADM'!$A$5:$W$52,5,FALSE)="3-Year Avg."),AE14,IF($A$2=2,AS14,IF($A$2=3,AE14,IF(($AG14&gt;$AU14),AE14,AS14)))))</f>
        <v>0</v>
      </c>
      <c r="R14" s="317">
        <f>IF(AND($A$2=4,VLOOKUP($A14,'District Level ADM'!$A$5:$W$52,5,FALSE)="Prior Year"),AT14,IF(AND($A$2=4,VLOOKUP($A14,'District Level ADM'!$A$5:$W$52,5,FALSE)="3-Year Avg."),AF14,IF($A$2=2,AT14,IF($A$2=3,AF14,IF(($AG14&gt;$AU14),AF14,AT14)))))</f>
        <v>0</v>
      </c>
      <c r="S14" s="317">
        <f t="shared" si="1"/>
        <v>330.96</v>
      </c>
      <c r="T14" s="317">
        <f t="shared" si="2"/>
        <v>59.75533333333334</v>
      </c>
      <c r="U14" s="317">
        <f t="shared" si="0"/>
        <v>61.363666666666667</v>
      </c>
      <c r="V14" s="317">
        <f t="shared" si="0"/>
        <v>55.173999999999999</v>
      </c>
      <c r="W14" s="317">
        <f t="shared" si="0"/>
        <v>51.744</v>
      </c>
      <c r="X14" s="317">
        <f t="shared" si="0"/>
        <v>48.826666666666661</v>
      </c>
      <c r="Y14" s="317">
        <f t="shared" si="0"/>
        <v>49.062666666666665</v>
      </c>
      <c r="Z14" s="317">
        <f t="shared" si="0"/>
        <v>0</v>
      </c>
      <c r="AA14" s="317">
        <f t="shared" si="0"/>
        <v>0</v>
      </c>
      <c r="AB14" s="317">
        <f t="shared" si="0"/>
        <v>0</v>
      </c>
      <c r="AC14" s="317">
        <f t="shared" si="0"/>
        <v>0</v>
      </c>
      <c r="AD14" s="317">
        <f t="shared" si="0"/>
        <v>0</v>
      </c>
      <c r="AE14" s="317">
        <f t="shared" si="0"/>
        <v>0</v>
      </c>
      <c r="AF14" s="317">
        <f t="shared" si="0"/>
        <v>0</v>
      </c>
      <c r="AG14" s="317">
        <f t="shared" si="3"/>
        <v>325.92633333333333</v>
      </c>
      <c r="AH14" s="318">
        <v>66.98</v>
      </c>
      <c r="AI14" s="318">
        <v>60.085000000000001</v>
      </c>
      <c r="AJ14" s="318">
        <v>45.31</v>
      </c>
      <c r="AK14" s="318">
        <v>62.055</v>
      </c>
      <c r="AL14" s="318">
        <v>52.204999999999998</v>
      </c>
      <c r="AM14" s="318">
        <v>44.325000000000003</v>
      </c>
      <c r="AN14" s="318">
        <v>0</v>
      </c>
      <c r="AO14" s="318">
        <v>0</v>
      </c>
      <c r="AP14" s="318">
        <v>0</v>
      </c>
      <c r="AQ14" s="318">
        <v>0</v>
      </c>
      <c r="AR14" s="318">
        <v>0</v>
      </c>
      <c r="AS14" s="318">
        <v>0</v>
      </c>
      <c r="AT14" s="318">
        <v>0</v>
      </c>
      <c r="AU14" s="317">
        <f t="shared" si="4"/>
        <v>330.96</v>
      </c>
      <c r="AV14" s="319">
        <v>63.743000000000002</v>
      </c>
      <c r="AW14" s="319">
        <v>50.68</v>
      </c>
      <c r="AX14" s="319">
        <v>64.709000000000003</v>
      </c>
      <c r="AY14" s="319">
        <v>54.296999999999997</v>
      </c>
      <c r="AZ14" s="319">
        <v>40.725999999999999</v>
      </c>
      <c r="BA14" s="319">
        <v>57.16</v>
      </c>
      <c r="BB14" s="319">
        <v>0</v>
      </c>
      <c r="BC14" s="319">
        <v>0</v>
      </c>
      <c r="BD14" s="319">
        <v>0</v>
      </c>
      <c r="BE14" s="319">
        <v>0</v>
      </c>
      <c r="BF14" s="319">
        <v>0</v>
      </c>
      <c r="BG14" s="319">
        <v>0</v>
      </c>
      <c r="BH14" s="319">
        <v>0</v>
      </c>
      <c r="BI14" s="317">
        <f t="shared" si="5"/>
        <v>331.31499999999994</v>
      </c>
      <c r="BJ14" s="316">
        <v>48.542999999999999</v>
      </c>
      <c r="BK14" s="316">
        <v>73.325999999999993</v>
      </c>
      <c r="BL14" s="316">
        <v>55.503</v>
      </c>
      <c r="BM14" s="316">
        <v>38.880000000000003</v>
      </c>
      <c r="BN14" s="316">
        <v>53.548999999999999</v>
      </c>
      <c r="BO14" s="316">
        <v>45.703000000000003</v>
      </c>
      <c r="BP14" s="316">
        <v>0</v>
      </c>
      <c r="BQ14" s="316">
        <v>0</v>
      </c>
      <c r="BR14" s="316">
        <v>0</v>
      </c>
      <c r="BS14" s="316">
        <v>0</v>
      </c>
      <c r="BT14" s="316">
        <v>0</v>
      </c>
      <c r="BU14" s="316">
        <v>0</v>
      </c>
      <c r="BV14" s="316">
        <v>0</v>
      </c>
      <c r="BW14" s="317">
        <f t="shared" si="6"/>
        <v>315.50400000000002</v>
      </c>
    </row>
    <row r="15" spans="1:75" x14ac:dyDescent="0.2">
      <c r="A15" s="20" t="str">
        <f>'School Level Inst. Resources'!A15</f>
        <v>0101000</v>
      </c>
      <c r="B15" s="20" t="str">
        <f>'School Level Inst. Resources'!B15</f>
        <v>Albany #1</v>
      </c>
      <c r="C15" s="20" t="str">
        <f>'School Level Inst. Resources'!C15</f>
        <v>0101030</v>
      </c>
      <c r="D15" s="20" t="str">
        <f>'School Level Inst. Resources'!D15</f>
        <v>UW Laboratory School</v>
      </c>
      <c r="E15" s="138" t="str">
        <f>'School Level Inst. Resources'!E15</f>
        <v>K-8</v>
      </c>
      <c r="F15" s="317">
        <f>IF(AND($A$2=4,VLOOKUP($A15,'District Level ADM'!$A$5:$W$52,5,FALSE)="Prior Year"),AH15,IF(AND($A$2=4,VLOOKUP($A15,'District Level ADM'!$A$5:$W$52,5,FALSE)="3-Year Avg."),T15,IF($A$2=2,AH15,IF($A$2=3,T15,IF(($AG15&gt;$AU15),T15,AH15)))))</f>
        <v>30.535</v>
      </c>
      <c r="G15" s="317">
        <f>IF(AND($A$2=4,VLOOKUP($A15,'District Level ADM'!$A$5:$W$52,5,FALSE)="Prior Year"),AI15,IF(AND($A$2=4,VLOOKUP($A15,'District Level ADM'!$A$5:$W$52,5,FALSE)="3-Year Avg."),U15,IF($A$2=2,AI15,IF($A$2=3,U15,IF(($AG15&gt;$AU15),U15,AI15)))))</f>
        <v>28.565000000000001</v>
      </c>
      <c r="H15" s="317">
        <f>IF(AND($A$2=4,VLOOKUP($A15,'District Level ADM'!$A$5:$W$52,5,FALSE)="Prior Year"),AJ15,IF(AND($A$2=4,VLOOKUP($A15,'District Level ADM'!$A$5:$W$52,5,FALSE)="3-Year Avg."),V15,IF($A$2=2,AJ15,IF($A$2=3,V15,IF(($AG15&gt;$AU15),V15,AJ15)))))</f>
        <v>29.55</v>
      </c>
      <c r="I15" s="317">
        <f>IF(AND($A$2=4,VLOOKUP($A15,'District Level ADM'!$A$5:$W$52,5,FALSE)="Prior Year"),AK15,IF(AND($A$2=4,VLOOKUP($A15,'District Level ADM'!$A$5:$W$52,5,FALSE)="3-Year Avg."),W15,IF($A$2=2,AK15,IF($A$2=3,W15,IF(($AG15&gt;$AU15),W15,AK15)))))</f>
        <v>28.565000000000001</v>
      </c>
      <c r="J15" s="317">
        <f>IF(AND($A$2=4,VLOOKUP($A15,'District Level ADM'!$A$5:$W$52,5,FALSE)="Prior Year"),AL15,IF(AND($A$2=4,VLOOKUP($A15,'District Level ADM'!$A$5:$W$52,5,FALSE)="3-Year Avg."),X15,IF($A$2=2,AL15,IF($A$2=3,X15,IF(($AG15&gt;$AU15),X15,AL15)))))</f>
        <v>30.535</v>
      </c>
      <c r="K15" s="317">
        <f>IF(AND($A$2=4,VLOOKUP($A15,'District Level ADM'!$A$5:$W$52,5,FALSE)="Prior Year"),AM15,IF(AND($A$2=4,VLOOKUP($A15,'District Level ADM'!$A$5:$W$52,5,FALSE)="3-Year Avg."),Y15,IF($A$2=2,AM15,IF($A$2=3,Y15,IF(($AG15&gt;$AU15),Y15,AM15)))))</f>
        <v>28.565000000000001</v>
      </c>
      <c r="L15" s="317">
        <f>IF(AND($A$2=4,VLOOKUP($A15,'District Level ADM'!$A$5:$W$52,5,FALSE)="Prior Year"),AN15,IF(AND($A$2=4,VLOOKUP($A15,'District Level ADM'!$A$5:$W$52,5,FALSE)="3-Year Avg."),Z15,IF($A$2=2,AN15,IF($A$2=3,Z15,IF(($AG15&gt;$AU15),Z15,AN15)))))</f>
        <v>31.52</v>
      </c>
      <c r="M15" s="317">
        <f>IF(AND($A$2=4,VLOOKUP($A15,'District Level ADM'!$A$5:$W$52,5,FALSE)="Prior Year"),AO15,IF(AND($A$2=4,VLOOKUP($A15,'District Level ADM'!$A$5:$W$52,5,FALSE)="3-Year Avg."),AA15,IF($A$2=2,AO15,IF($A$2=3,AA15,IF(($AG15&gt;$AU15),AA15,AO15)))))</f>
        <v>27.58</v>
      </c>
      <c r="N15" s="317">
        <f>IF(AND($A$2=4,VLOOKUP($A15,'District Level ADM'!$A$5:$W$52,5,FALSE)="Prior Year"),AP15,IF(AND($A$2=4,VLOOKUP($A15,'District Level ADM'!$A$5:$W$52,5,FALSE)="3-Year Avg."),AB15,IF($A$2=2,AP15,IF($A$2=3,AB15,IF(($AG15&gt;$AU15),AB15,AP15)))))</f>
        <v>27.58</v>
      </c>
      <c r="O15" s="317">
        <f>IF(AND($A$2=4,VLOOKUP($A15,'District Level ADM'!$A$5:$W$52,5,FALSE)="Prior Year"),AQ15,IF(AND($A$2=4,VLOOKUP($A15,'District Level ADM'!$A$5:$W$52,5,FALSE)="3-Year Avg."),AC15,IF($A$2=2,AQ15,IF($A$2=3,AC15,IF(($AG15&gt;$AU15),AC15,AQ15)))))</f>
        <v>0</v>
      </c>
      <c r="P15" s="317">
        <f>IF(AND($A$2=4,VLOOKUP($A15,'District Level ADM'!$A$5:$W$52,5,FALSE)="Prior Year"),AR15,IF(AND($A$2=4,VLOOKUP($A15,'District Level ADM'!$A$5:$W$52,5,FALSE)="3-Year Avg."),AD15,IF($A$2=2,AR15,IF($A$2=3,AD15,IF(($AG15&gt;$AU15),AD15,AR15)))))</f>
        <v>0</v>
      </c>
      <c r="Q15" s="317">
        <f>IF(AND($A$2=4,VLOOKUP($A15,'District Level ADM'!$A$5:$W$52,5,FALSE)="Prior Year"),AS15,IF(AND($A$2=4,VLOOKUP($A15,'District Level ADM'!$A$5:$W$52,5,FALSE)="3-Year Avg."),AE15,IF($A$2=2,AS15,IF($A$2=3,AE15,IF(($AG15&gt;$AU15),AE15,AS15)))))</f>
        <v>0</v>
      </c>
      <c r="R15" s="317">
        <f>IF(AND($A$2=4,VLOOKUP($A15,'District Level ADM'!$A$5:$W$52,5,FALSE)="Prior Year"),AT15,IF(AND($A$2=4,VLOOKUP($A15,'District Level ADM'!$A$5:$W$52,5,FALSE)="3-Year Avg."),AF15,IF($A$2=2,AT15,IF($A$2=3,AF15,IF(($AG15&gt;$AU15),AF15,AT15)))))</f>
        <v>0</v>
      </c>
      <c r="S15" s="317">
        <f t="shared" si="1"/>
        <v>262.995</v>
      </c>
      <c r="T15" s="317">
        <f t="shared" si="2"/>
        <v>27.995666666666665</v>
      </c>
      <c r="U15" s="317">
        <f t="shared" si="0"/>
        <v>25.510333333333335</v>
      </c>
      <c r="V15" s="317">
        <f t="shared" si="0"/>
        <v>26.055666666666667</v>
      </c>
      <c r="W15" s="317">
        <f t="shared" si="0"/>
        <v>26.188333333333333</v>
      </c>
      <c r="X15" s="317">
        <f t="shared" si="0"/>
        <v>27.665666666666667</v>
      </c>
      <c r="Y15" s="317">
        <f t="shared" si="0"/>
        <v>29.053000000000001</v>
      </c>
      <c r="Z15" s="317">
        <f t="shared" si="0"/>
        <v>30.820666666666668</v>
      </c>
      <c r="AA15" s="317">
        <f t="shared" si="0"/>
        <v>28.372333333333334</v>
      </c>
      <c r="AB15" s="317">
        <f t="shared" si="0"/>
        <v>27.062000000000001</v>
      </c>
      <c r="AC15" s="317">
        <f t="shared" si="0"/>
        <v>0</v>
      </c>
      <c r="AD15" s="317">
        <f t="shared" si="0"/>
        <v>0</v>
      </c>
      <c r="AE15" s="317">
        <f t="shared" si="0"/>
        <v>0</v>
      </c>
      <c r="AF15" s="317">
        <f t="shared" si="0"/>
        <v>0</v>
      </c>
      <c r="AG15" s="317">
        <f t="shared" si="3"/>
        <v>248.72366666666667</v>
      </c>
      <c r="AH15" s="318">
        <v>30.535</v>
      </c>
      <c r="AI15" s="318">
        <v>28.565000000000001</v>
      </c>
      <c r="AJ15" s="318">
        <v>29.55</v>
      </c>
      <c r="AK15" s="318">
        <v>28.565000000000001</v>
      </c>
      <c r="AL15" s="318">
        <v>30.535</v>
      </c>
      <c r="AM15" s="318">
        <v>28.565000000000001</v>
      </c>
      <c r="AN15" s="318">
        <v>31.52</v>
      </c>
      <c r="AO15" s="318">
        <v>27.58</v>
      </c>
      <c r="AP15" s="318">
        <v>27.58</v>
      </c>
      <c r="AQ15" s="318">
        <v>0</v>
      </c>
      <c r="AR15" s="318">
        <v>0</v>
      </c>
      <c r="AS15" s="318">
        <v>0</v>
      </c>
      <c r="AT15" s="318">
        <v>0</v>
      </c>
      <c r="AU15" s="317">
        <f t="shared" si="4"/>
        <v>262.995</v>
      </c>
      <c r="AV15" s="319">
        <v>30.143000000000001</v>
      </c>
      <c r="AW15" s="319">
        <v>29.966000000000001</v>
      </c>
      <c r="AX15" s="319">
        <v>29.183</v>
      </c>
      <c r="AY15" s="319">
        <v>30</v>
      </c>
      <c r="AZ15" s="319">
        <v>27.811</v>
      </c>
      <c r="BA15" s="319">
        <v>32.479999999999997</v>
      </c>
      <c r="BB15" s="319">
        <v>28.451000000000001</v>
      </c>
      <c r="BC15" s="319">
        <v>32.554000000000002</v>
      </c>
      <c r="BD15" s="319">
        <v>23.097000000000001</v>
      </c>
      <c r="BE15" s="319">
        <v>0</v>
      </c>
      <c r="BF15" s="319">
        <v>0</v>
      </c>
      <c r="BG15" s="319">
        <v>0</v>
      </c>
      <c r="BH15" s="319">
        <v>0</v>
      </c>
      <c r="BI15" s="317">
        <f t="shared" si="5"/>
        <v>263.685</v>
      </c>
      <c r="BJ15" s="316">
        <v>23.309000000000001</v>
      </c>
      <c r="BK15" s="316">
        <v>18</v>
      </c>
      <c r="BL15" s="316">
        <v>19.434000000000001</v>
      </c>
      <c r="BM15" s="316">
        <v>20</v>
      </c>
      <c r="BN15" s="316">
        <v>24.651</v>
      </c>
      <c r="BO15" s="316">
        <v>26.114000000000001</v>
      </c>
      <c r="BP15" s="316">
        <v>32.491</v>
      </c>
      <c r="BQ15" s="316">
        <v>24.983000000000001</v>
      </c>
      <c r="BR15" s="316">
        <v>30.509</v>
      </c>
      <c r="BS15" s="316">
        <v>0</v>
      </c>
      <c r="BT15" s="316">
        <v>0</v>
      </c>
      <c r="BU15" s="316">
        <v>0</v>
      </c>
      <c r="BV15" s="316">
        <v>0</v>
      </c>
      <c r="BW15" s="317">
        <f t="shared" si="6"/>
        <v>219.49099999999999</v>
      </c>
    </row>
    <row r="16" spans="1:75" x14ac:dyDescent="0.2">
      <c r="A16" s="20" t="str">
        <f>'School Level Inst. Resources'!A16</f>
        <v>0101000</v>
      </c>
      <c r="B16" s="20" t="str">
        <f>'School Level Inst. Resources'!B16</f>
        <v>Albany #1</v>
      </c>
      <c r="C16" s="20" t="str">
        <f>'School Level Inst. Resources'!C16</f>
        <v>0101031</v>
      </c>
      <c r="D16" s="20" t="str">
        <f>'School Level Inst. Resources'!D16</f>
        <v>Laramie Montessori</v>
      </c>
      <c r="E16" s="138" t="str">
        <f>'School Level Inst. Resources'!E16</f>
        <v>K-6</v>
      </c>
      <c r="F16" s="317">
        <f>IF(AND($A$2=4,VLOOKUP($A16,'District Level ADM'!$A$5:$W$52,5,FALSE)="Prior Year"),AH16,IF(AND($A$2=4,VLOOKUP($A16,'District Level ADM'!$A$5:$W$52,5,FALSE)="3-Year Avg."),T16,IF($A$2=2,AH16,IF($A$2=3,T16,IF(($AG16&gt;$AU16),T16,AH16)))))</f>
        <v>14.775</v>
      </c>
      <c r="G16" s="317">
        <f>IF(AND($A$2=4,VLOOKUP($A16,'District Level ADM'!$A$5:$W$52,5,FALSE)="Prior Year"),AI16,IF(AND($A$2=4,VLOOKUP($A16,'District Level ADM'!$A$5:$W$52,5,FALSE)="3-Year Avg."),U16,IF($A$2=2,AI16,IF($A$2=3,U16,IF(($AG16&gt;$AU16),U16,AI16)))))</f>
        <v>11.82</v>
      </c>
      <c r="H16" s="317">
        <f>IF(AND($A$2=4,VLOOKUP($A16,'District Level ADM'!$A$5:$W$52,5,FALSE)="Prior Year"),AJ16,IF(AND($A$2=4,VLOOKUP($A16,'District Level ADM'!$A$5:$W$52,5,FALSE)="3-Year Avg."),V16,IF($A$2=2,AJ16,IF($A$2=3,V16,IF(($AG16&gt;$AU16),V16,AJ16)))))</f>
        <v>13.79</v>
      </c>
      <c r="I16" s="317">
        <f>IF(AND($A$2=4,VLOOKUP($A16,'District Level ADM'!$A$5:$W$52,5,FALSE)="Prior Year"),AK16,IF(AND($A$2=4,VLOOKUP($A16,'District Level ADM'!$A$5:$W$52,5,FALSE)="3-Year Avg."),W16,IF($A$2=2,AK16,IF($A$2=3,W16,IF(($AG16&gt;$AU16),W16,AK16)))))</f>
        <v>9.85</v>
      </c>
      <c r="J16" s="317">
        <f>IF(AND($A$2=4,VLOOKUP($A16,'District Level ADM'!$A$5:$W$52,5,FALSE)="Prior Year"),AL16,IF(AND($A$2=4,VLOOKUP($A16,'District Level ADM'!$A$5:$W$52,5,FALSE)="3-Year Avg."),X16,IF($A$2=2,AL16,IF($A$2=3,X16,IF(($AG16&gt;$AU16),X16,AL16)))))</f>
        <v>10.835000000000001</v>
      </c>
      <c r="K16" s="317">
        <f>IF(AND($A$2=4,VLOOKUP($A16,'District Level ADM'!$A$5:$W$52,5,FALSE)="Prior Year"),AM16,IF(AND($A$2=4,VLOOKUP($A16,'District Level ADM'!$A$5:$W$52,5,FALSE)="3-Year Avg."),Y16,IF($A$2=2,AM16,IF($A$2=3,Y16,IF(($AG16&gt;$AU16),Y16,AM16)))))</f>
        <v>10.835000000000001</v>
      </c>
      <c r="L16" s="317">
        <f>IF(AND($A$2=4,VLOOKUP($A16,'District Level ADM'!$A$5:$W$52,5,FALSE)="Prior Year"),AN16,IF(AND($A$2=4,VLOOKUP($A16,'District Level ADM'!$A$5:$W$52,5,FALSE)="3-Year Avg."),Z16,IF($A$2=2,AN16,IF($A$2=3,Z16,IF(($AG16&gt;$AU16),Z16,AN16)))))</f>
        <v>6.8949999999999996</v>
      </c>
      <c r="M16" s="317">
        <f>IF(AND($A$2=4,VLOOKUP($A16,'District Level ADM'!$A$5:$W$52,5,FALSE)="Prior Year"),AO16,IF(AND($A$2=4,VLOOKUP($A16,'District Level ADM'!$A$5:$W$52,5,FALSE)="3-Year Avg."),AA16,IF($A$2=2,AO16,IF($A$2=3,AA16,IF(($AG16&gt;$AU16),AA16,AO16)))))</f>
        <v>0</v>
      </c>
      <c r="N16" s="317">
        <f>IF(AND($A$2=4,VLOOKUP($A16,'District Level ADM'!$A$5:$W$52,5,FALSE)="Prior Year"),AP16,IF(AND($A$2=4,VLOOKUP($A16,'District Level ADM'!$A$5:$W$52,5,FALSE)="3-Year Avg."),AB16,IF($A$2=2,AP16,IF($A$2=3,AB16,IF(($AG16&gt;$AU16),AB16,AP16)))))</f>
        <v>0</v>
      </c>
      <c r="O16" s="317">
        <f>IF(AND($A$2=4,VLOOKUP($A16,'District Level ADM'!$A$5:$W$52,5,FALSE)="Prior Year"),AQ16,IF(AND($A$2=4,VLOOKUP($A16,'District Level ADM'!$A$5:$W$52,5,FALSE)="3-Year Avg."),AC16,IF($A$2=2,AQ16,IF($A$2=3,AC16,IF(($AG16&gt;$AU16),AC16,AQ16)))))</f>
        <v>0</v>
      </c>
      <c r="P16" s="317">
        <f>IF(AND($A$2=4,VLOOKUP($A16,'District Level ADM'!$A$5:$W$52,5,FALSE)="Prior Year"),AR16,IF(AND($A$2=4,VLOOKUP($A16,'District Level ADM'!$A$5:$W$52,5,FALSE)="3-Year Avg."),AD16,IF($A$2=2,AR16,IF($A$2=3,AD16,IF(($AG16&gt;$AU16),AD16,AR16)))))</f>
        <v>0</v>
      </c>
      <c r="Q16" s="317">
        <f>IF(AND($A$2=4,VLOOKUP($A16,'District Level ADM'!$A$5:$W$52,5,FALSE)="Prior Year"),AS16,IF(AND($A$2=4,VLOOKUP($A16,'District Level ADM'!$A$5:$W$52,5,FALSE)="3-Year Avg."),AE16,IF($A$2=2,AS16,IF($A$2=3,AE16,IF(($AG16&gt;$AU16),AE16,AS16)))))</f>
        <v>0</v>
      </c>
      <c r="R16" s="317">
        <f>IF(AND($A$2=4,VLOOKUP($A16,'District Level ADM'!$A$5:$W$52,5,FALSE)="Prior Year"),AT16,IF(AND($A$2=4,VLOOKUP($A16,'District Level ADM'!$A$5:$W$52,5,FALSE)="3-Year Avg."),AF16,IF($A$2=2,AT16,IF($A$2=3,AF16,IF(($AG16&gt;$AU16),AF16,AT16)))))</f>
        <v>0</v>
      </c>
      <c r="S16" s="317">
        <f t="shared" si="1"/>
        <v>78.8</v>
      </c>
      <c r="T16" s="317">
        <f t="shared" si="2"/>
        <v>14.401000000000002</v>
      </c>
      <c r="U16" s="317">
        <f t="shared" si="0"/>
        <v>12.964999999999998</v>
      </c>
      <c r="V16" s="317">
        <f t="shared" si="0"/>
        <v>13.415666666666667</v>
      </c>
      <c r="W16" s="317">
        <f t="shared" si="0"/>
        <v>12.719666666666667</v>
      </c>
      <c r="X16" s="317">
        <f t="shared" si="0"/>
        <v>10.716333333333333</v>
      </c>
      <c r="Y16" s="317">
        <f t="shared" si="0"/>
        <v>7.7546666666666662</v>
      </c>
      <c r="Z16" s="317">
        <f t="shared" si="0"/>
        <v>3.2983333333333333</v>
      </c>
      <c r="AA16" s="317">
        <f t="shared" si="0"/>
        <v>0</v>
      </c>
      <c r="AB16" s="317">
        <f t="shared" si="0"/>
        <v>0</v>
      </c>
      <c r="AC16" s="317">
        <f t="shared" si="0"/>
        <v>0</v>
      </c>
      <c r="AD16" s="317">
        <f t="shared" si="0"/>
        <v>0</v>
      </c>
      <c r="AE16" s="317">
        <f t="shared" si="0"/>
        <v>0</v>
      </c>
      <c r="AF16" s="317">
        <f t="shared" si="0"/>
        <v>0</v>
      </c>
      <c r="AG16" s="317">
        <f t="shared" si="3"/>
        <v>75.270666666666671</v>
      </c>
      <c r="AH16" s="318">
        <v>14.775</v>
      </c>
      <c r="AI16" s="318">
        <v>11.82</v>
      </c>
      <c r="AJ16" s="318">
        <v>13.79</v>
      </c>
      <c r="AK16" s="318">
        <v>9.85</v>
      </c>
      <c r="AL16" s="318">
        <v>10.835000000000001</v>
      </c>
      <c r="AM16" s="318">
        <v>10.835000000000001</v>
      </c>
      <c r="AN16" s="318">
        <v>6.8949999999999996</v>
      </c>
      <c r="AO16" s="318">
        <v>0</v>
      </c>
      <c r="AP16" s="318">
        <v>0</v>
      </c>
      <c r="AQ16" s="318">
        <v>0</v>
      </c>
      <c r="AR16" s="318">
        <v>0</v>
      </c>
      <c r="AS16" s="318">
        <v>0</v>
      </c>
      <c r="AT16" s="318">
        <v>0</v>
      </c>
      <c r="AU16" s="317">
        <f t="shared" si="4"/>
        <v>78.8</v>
      </c>
      <c r="AV16" s="319">
        <v>9.2739999999999991</v>
      </c>
      <c r="AW16" s="319">
        <v>16.846</v>
      </c>
      <c r="AX16" s="319">
        <v>10.423</v>
      </c>
      <c r="AY16" s="319">
        <v>13.468999999999999</v>
      </c>
      <c r="AZ16" s="319">
        <v>14.057</v>
      </c>
      <c r="BA16" s="319">
        <v>6.5890000000000004</v>
      </c>
      <c r="BB16" s="319">
        <v>1</v>
      </c>
      <c r="BC16" s="319">
        <v>0</v>
      </c>
      <c r="BD16" s="319">
        <v>0</v>
      </c>
      <c r="BE16" s="319">
        <v>0</v>
      </c>
      <c r="BF16" s="319">
        <v>0</v>
      </c>
      <c r="BG16" s="319">
        <v>0</v>
      </c>
      <c r="BH16" s="319">
        <v>0</v>
      </c>
      <c r="BI16" s="317">
        <f t="shared" si="5"/>
        <v>71.658000000000001</v>
      </c>
      <c r="BJ16" s="316">
        <v>19.154</v>
      </c>
      <c r="BK16" s="316">
        <v>10.228999999999999</v>
      </c>
      <c r="BL16" s="316">
        <v>16.033999999999999</v>
      </c>
      <c r="BM16" s="316">
        <v>14.84</v>
      </c>
      <c r="BN16" s="316">
        <v>7.2569999999999997</v>
      </c>
      <c r="BO16" s="316">
        <v>5.84</v>
      </c>
      <c r="BP16" s="316">
        <v>2</v>
      </c>
      <c r="BQ16" s="316">
        <v>0</v>
      </c>
      <c r="BR16" s="316">
        <v>0</v>
      </c>
      <c r="BS16" s="316">
        <v>0</v>
      </c>
      <c r="BT16" s="316">
        <v>0</v>
      </c>
      <c r="BU16" s="316">
        <v>0</v>
      </c>
      <c r="BV16" s="316">
        <v>0</v>
      </c>
      <c r="BW16" s="317">
        <f t="shared" si="6"/>
        <v>75.354000000000013</v>
      </c>
    </row>
    <row r="17" spans="1:75" x14ac:dyDescent="0.2">
      <c r="A17" s="20" t="str">
        <f>'School Level Inst. Resources'!A17</f>
        <v>0101000</v>
      </c>
      <c r="B17" s="20" t="str">
        <f>'School Level Inst. Resources'!B17</f>
        <v>Albany #1</v>
      </c>
      <c r="C17" s="20" t="str">
        <f>'School Level Inst. Resources'!C17</f>
        <v>0101032</v>
      </c>
      <c r="D17" s="20" t="str">
        <f>'School Level Inst. Resources'!D17</f>
        <v>Notch Peak Elementary</v>
      </c>
      <c r="E17" s="138" t="str">
        <f>'School Level Inst. Resources'!E17</f>
        <v>K-8</v>
      </c>
      <c r="F17" s="317">
        <f>IF(AND($A$2=4,VLOOKUP($A17,'District Level ADM'!$A$5:$W$52,5,FALSE)="Prior Year"),AH17,IF(AND($A$2=4,VLOOKUP($A17,'District Level ADM'!$A$5:$W$52,5,FALSE)="3-Year Avg."),T17,IF($A$2=2,AH17,IF($A$2=3,T17,IF(($AG17&gt;$AU17),T17,AH17)))))</f>
        <v>0</v>
      </c>
      <c r="G17" s="317">
        <f>IF(AND($A$2=4,VLOOKUP($A17,'District Level ADM'!$A$5:$W$52,5,FALSE)="Prior Year"),AI17,IF(AND($A$2=4,VLOOKUP($A17,'District Level ADM'!$A$5:$W$52,5,FALSE)="3-Year Avg."),U17,IF($A$2=2,AI17,IF($A$2=3,U17,IF(($AG17&gt;$AU17),U17,AI17)))))</f>
        <v>0</v>
      </c>
      <c r="H17" s="317">
        <f>IF(AND($A$2=4,VLOOKUP($A17,'District Level ADM'!$A$5:$W$52,5,FALSE)="Prior Year"),AJ17,IF(AND($A$2=4,VLOOKUP($A17,'District Level ADM'!$A$5:$W$52,5,FALSE)="3-Year Avg."),V17,IF($A$2=2,AJ17,IF($A$2=3,V17,IF(($AG17&gt;$AU17),V17,AJ17)))))</f>
        <v>0</v>
      </c>
      <c r="I17" s="317">
        <f>IF(AND($A$2=4,VLOOKUP($A17,'District Level ADM'!$A$5:$W$52,5,FALSE)="Prior Year"),AK17,IF(AND($A$2=4,VLOOKUP($A17,'District Level ADM'!$A$5:$W$52,5,FALSE)="3-Year Avg."),W17,IF($A$2=2,AK17,IF($A$2=3,W17,IF(($AG17&gt;$AU17),W17,AK17)))))</f>
        <v>0</v>
      </c>
      <c r="J17" s="317">
        <f>IF(AND($A$2=4,VLOOKUP($A17,'District Level ADM'!$A$5:$W$52,5,FALSE)="Prior Year"),AL17,IF(AND($A$2=4,VLOOKUP($A17,'District Level ADM'!$A$5:$W$52,5,FALSE)="3-Year Avg."),X17,IF($A$2=2,AL17,IF($A$2=3,X17,IF(($AG17&gt;$AU17),X17,AL17)))))</f>
        <v>0.98499999999999999</v>
      </c>
      <c r="K17" s="317">
        <f>IF(AND($A$2=4,VLOOKUP($A17,'District Level ADM'!$A$5:$W$52,5,FALSE)="Prior Year"),AM17,IF(AND($A$2=4,VLOOKUP($A17,'District Level ADM'!$A$5:$W$52,5,FALSE)="3-Year Avg."),Y17,IF($A$2=2,AM17,IF($A$2=3,Y17,IF(($AG17&gt;$AU17),Y17,AM17)))))</f>
        <v>0</v>
      </c>
      <c r="L17" s="317">
        <f>IF(AND($A$2=4,VLOOKUP($A17,'District Level ADM'!$A$5:$W$52,5,FALSE)="Prior Year"),AN17,IF(AND($A$2=4,VLOOKUP($A17,'District Level ADM'!$A$5:$W$52,5,FALSE)="3-Year Avg."),Z17,IF($A$2=2,AN17,IF($A$2=3,Z17,IF(($AG17&gt;$AU17),Z17,AN17)))))</f>
        <v>0</v>
      </c>
      <c r="M17" s="317">
        <f>IF(AND($A$2=4,VLOOKUP($A17,'District Level ADM'!$A$5:$W$52,5,FALSE)="Prior Year"),AO17,IF(AND($A$2=4,VLOOKUP($A17,'District Level ADM'!$A$5:$W$52,5,FALSE)="3-Year Avg."),AA17,IF($A$2=2,AO17,IF($A$2=3,AA17,IF(($AG17&gt;$AU17),AA17,AO17)))))</f>
        <v>0</v>
      </c>
      <c r="N17" s="317">
        <f>IF(AND($A$2=4,VLOOKUP($A17,'District Level ADM'!$A$5:$W$52,5,FALSE)="Prior Year"),AP17,IF(AND($A$2=4,VLOOKUP($A17,'District Level ADM'!$A$5:$W$52,5,FALSE)="3-Year Avg."),AB17,IF($A$2=2,AP17,IF($A$2=3,AB17,IF(($AG17&gt;$AU17),AB17,AP17)))))</f>
        <v>0</v>
      </c>
      <c r="O17" s="317">
        <f>IF(AND($A$2=4,VLOOKUP($A17,'District Level ADM'!$A$5:$W$52,5,FALSE)="Prior Year"),AQ17,IF(AND($A$2=4,VLOOKUP($A17,'District Level ADM'!$A$5:$W$52,5,FALSE)="3-Year Avg."),AC17,IF($A$2=2,AQ17,IF($A$2=3,AC17,IF(($AG17&gt;$AU17),AC17,AQ17)))))</f>
        <v>0</v>
      </c>
      <c r="P17" s="317">
        <f>IF(AND($A$2=4,VLOOKUP($A17,'District Level ADM'!$A$5:$W$52,5,FALSE)="Prior Year"),AR17,IF(AND($A$2=4,VLOOKUP($A17,'District Level ADM'!$A$5:$W$52,5,FALSE)="3-Year Avg."),AD17,IF($A$2=2,AR17,IF($A$2=3,AD17,IF(($AG17&gt;$AU17),AD17,AR17)))))</f>
        <v>0</v>
      </c>
      <c r="Q17" s="317">
        <f>IF(AND($A$2=4,VLOOKUP($A17,'District Level ADM'!$A$5:$W$52,5,FALSE)="Prior Year"),AS17,IF(AND($A$2=4,VLOOKUP($A17,'District Level ADM'!$A$5:$W$52,5,FALSE)="3-Year Avg."),AE17,IF($A$2=2,AS17,IF($A$2=3,AE17,IF(($AG17&gt;$AU17),AE17,AS17)))))</f>
        <v>0</v>
      </c>
      <c r="R17" s="317">
        <f>IF(AND($A$2=4,VLOOKUP($A17,'District Level ADM'!$A$5:$W$52,5,FALSE)="Prior Year"),AT17,IF(AND($A$2=4,VLOOKUP($A17,'District Level ADM'!$A$5:$W$52,5,FALSE)="3-Year Avg."),AF17,IF($A$2=2,AT17,IF($A$2=3,AF17,IF(($AG17&gt;$AU17),AF17,AT17)))))</f>
        <v>0</v>
      </c>
      <c r="S17" s="317">
        <f t="shared" si="1"/>
        <v>0.98499999999999999</v>
      </c>
      <c r="T17" s="317">
        <f t="shared" si="2"/>
        <v>0</v>
      </c>
      <c r="U17" s="317">
        <f t="shared" si="0"/>
        <v>0</v>
      </c>
      <c r="V17" s="317">
        <f t="shared" si="0"/>
        <v>0.33333333333333331</v>
      </c>
      <c r="W17" s="317">
        <f t="shared" si="0"/>
        <v>0.33333333333333331</v>
      </c>
      <c r="X17" s="317">
        <f t="shared" si="0"/>
        <v>0.32833333333333331</v>
      </c>
      <c r="Y17" s="317">
        <f t="shared" si="0"/>
        <v>0</v>
      </c>
      <c r="Z17" s="317">
        <f t="shared" si="0"/>
        <v>0</v>
      </c>
      <c r="AA17" s="317">
        <f t="shared" si="0"/>
        <v>0</v>
      </c>
      <c r="AB17" s="317">
        <f t="shared" si="0"/>
        <v>0</v>
      </c>
      <c r="AC17" s="317">
        <f t="shared" si="0"/>
        <v>0</v>
      </c>
      <c r="AD17" s="317">
        <f t="shared" si="0"/>
        <v>0</v>
      </c>
      <c r="AE17" s="317">
        <f t="shared" si="0"/>
        <v>0</v>
      </c>
      <c r="AF17" s="317">
        <f t="shared" si="0"/>
        <v>0</v>
      </c>
      <c r="AG17" s="317">
        <f t="shared" si="3"/>
        <v>0.99499999999999988</v>
      </c>
      <c r="AH17" s="318">
        <v>0</v>
      </c>
      <c r="AI17" s="318">
        <v>0</v>
      </c>
      <c r="AJ17" s="318">
        <v>0</v>
      </c>
      <c r="AK17" s="318">
        <v>0</v>
      </c>
      <c r="AL17" s="318">
        <v>0.98499999999999999</v>
      </c>
      <c r="AM17" s="318">
        <v>0</v>
      </c>
      <c r="AN17" s="318">
        <v>0</v>
      </c>
      <c r="AO17" s="318">
        <v>0</v>
      </c>
      <c r="AP17" s="318">
        <v>0</v>
      </c>
      <c r="AQ17" s="318">
        <v>0</v>
      </c>
      <c r="AR17" s="318">
        <v>0</v>
      </c>
      <c r="AS17" s="318">
        <v>0</v>
      </c>
      <c r="AT17" s="318">
        <v>0</v>
      </c>
      <c r="AU17" s="317">
        <f t="shared" si="4"/>
        <v>0.98499999999999999</v>
      </c>
      <c r="AV17" s="319">
        <v>0</v>
      </c>
      <c r="AW17" s="319">
        <v>0</v>
      </c>
      <c r="AX17" s="319">
        <v>0</v>
      </c>
      <c r="AY17" s="319">
        <v>1</v>
      </c>
      <c r="AZ17" s="319">
        <v>0</v>
      </c>
      <c r="BA17" s="319">
        <v>0</v>
      </c>
      <c r="BB17" s="319">
        <v>0</v>
      </c>
      <c r="BC17" s="319">
        <v>0</v>
      </c>
      <c r="BD17" s="319">
        <v>0</v>
      </c>
      <c r="BE17" s="319">
        <v>0</v>
      </c>
      <c r="BF17" s="319">
        <v>0</v>
      </c>
      <c r="BG17" s="319">
        <v>0</v>
      </c>
      <c r="BH17" s="319">
        <v>0</v>
      </c>
      <c r="BI17" s="317">
        <f t="shared" si="5"/>
        <v>1</v>
      </c>
      <c r="BJ17" s="316">
        <v>0</v>
      </c>
      <c r="BK17" s="316">
        <v>0</v>
      </c>
      <c r="BL17" s="316">
        <v>1</v>
      </c>
      <c r="BM17" s="316">
        <v>0</v>
      </c>
      <c r="BN17" s="316">
        <v>0</v>
      </c>
      <c r="BO17" s="316">
        <v>0</v>
      </c>
      <c r="BP17" s="316">
        <v>0</v>
      </c>
      <c r="BQ17" s="316">
        <v>0</v>
      </c>
      <c r="BR17" s="316">
        <v>0</v>
      </c>
      <c r="BS17" s="316">
        <v>0</v>
      </c>
      <c r="BT17" s="316">
        <v>0</v>
      </c>
      <c r="BU17" s="316">
        <v>0</v>
      </c>
      <c r="BV17" s="316">
        <v>0</v>
      </c>
      <c r="BW17" s="317">
        <f t="shared" si="6"/>
        <v>1</v>
      </c>
    </row>
    <row r="18" spans="1:75" x14ac:dyDescent="0.2">
      <c r="A18" s="20" t="str">
        <f>'School Level Inst. Resources'!A18</f>
        <v>0101000</v>
      </c>
      <c r="B18" s="20" t="str">
        <f>'School Level Inst. Resources'!B18</f>
        <v>Albany #1</v>
      </c>
      <c r="C18" s="20" t="str">
        <f>'School Level Inst. Resources'!C18</f>
        <v>0101050</v>
      </c>
      <c r="D18" s="20" t="str">
        <f>'School Level Inst. Resources'!D18</f>
        <v>Laramie Middle School</v>
      </c>
      <c r="E18" s="138" t="str">
        <f>'School Level Inst. Resources'!E18</f>
        <v>6-8</v>
      </c>
      <c r="F18" s="317">
        <f>IF(AND($A$2=4,VLOOKUP($A18,'District Level ADM'!$A$5:$W$52,5,FALSE)="Prior Year"),AH18,IF(AND($A$2=4,VLOOKUP($A18,'District Level ADM'!$A$5:$W$52,5,FALSE)="3-Year Avg."),T18,IF($A$2=2,AH18,IF($A$2=3,T18,IF(($AG18&gt;$AU18),T18,AH18)))))</f>
        <v>0</v>
      </c>
      <c r="G18" s="317">
        <f>IF(AND($A$2=4,VLOOKUP($A18,'District Level ADM'!$A$5:$W$52,5,FALSE)="Prior Year"),AI18,IF(AND($A$2=4,VLOOKUP($A18,'District Level ADM'!$A$5:$W$52,5,FALSE)="3-Year Avg."),U18,IF($A$2=2,AI18,IF($A$2=3,U18,IF(($AG18&gt;$AU18),U18,AI18)))))</f>
        <v>0</v>
      </c>
      <c r="H18" s="317">
        <f>IF(AND($A$2=4,VLOOKUP($A18,'District Level ADM'!$A$5:$W$52,5,FALSE)="Prior Year"),AJ18,IF(AND($A$2=4,VLOOKUP($A18,'District Level ADM'!$A$5:$W$52,5,FALSE)="3-Year Avg."),V18,IF($A$2=2,AJ18,IF($A$2=3,V18,IF(($AG18&gt;$AU18),V18,AJ18)))))</f>
        <v>0</v>
      </c>
      <c r="I18" s="317">
        <f>IF(AND($A$2=4,VLOOKUP($A18,'District Level ADM'!$A$5:$W$52,5,FALSE)="Prior Year"),AK18,IF(AND($A$2=4,VLOOKUP($A18,'District Level ADM'!$A$5:$W$52,5,FALSE)="3-Year Avg."),W18,IF($A$2=2,AK18,IF($A$2=3,W18,IF(($AG18&gt;$AU18),W18,AK18)))))</f>
        <v>0</v>
      </c>
      <c r="J18" s="317">
        <f>IF(AND($A$2=4,VLOOKUP($A18,'District Level ADM'!$A$5:$W$52,5,FALSE)="Prior Year"),AL18,IF(AND($A$2=4,VLOOKUP($A18,'District Level ADM'!$A$5:$W$52,5,FALSE)="3-Year Avg."),X18,IF($A$2=2,AL18,IF($A$2=3,X18,IF(($AG18&gt;$AU18),X18,AL18)))))</f>
        <v>0</v>
      </c>
      <c r="K18" s="317">
        <f>IF(AND($A$2=4,VLOOKUP($A18,'District Level ADM'!$A$5:$W$52,5,FALSE)="Prior Year"),AM18,IF(AND($A$2=4,VLOOKUP($A18,'District Level ADM'!$A$5:$W$52,5,FALSE)="3-Year Avg."),Y18,IF($A$2=2,AM18,IF($A$2=3,Y18,IF(($AG18&gt;$AU18),Y18,AM18)))))</f>
        <v>0</v>
      </c>
      <c r="L18" s="317">
        <f>IF(AND($A$2=4,VLOOKUP($A18,'District Level ADM'!$A$5:$W$52,5,FALSE)="Prior Year"),AN18,IF(AND($A$2=4,VLOOKUP($A18,'District Level ADM'!$A$5:$W$52,5,FALSE)="3-Year Avg."),Z18,IF($A$2=2,AN18,IF($A$2=3,Z18,IF(($AG18&gt;$AU18),Z18,AN18)))))</f>
        <v>258.07</v>
      </c>
      <c r="M18" s="317">
        <f>IF(AND($A$2=4,VLOOKUP($A18,'District Level ADM'!$A$5:$W$52,5,FALSE)="Prior Year"),AO18,IF(AND($A$2=4,VLOOKUP($A18,'District Level ADM'!$A$5:$W$52,5,FALSE)="3-Year Avg."),AA18,IF($A$2=2,AO18,IF($A$2=3,AA18,IF(($AG18&gt;$AU18),AA18,AO18)))))</f>
        <v>246.25</v>
      </c>
      <c r="N18" s="317">
        <f>IF(AND($A$2=4,VLOOKUP($A18,'District Level ADM'!$A$5:$W$52,5,FALSE)="Prior Year"),AP18,IF(AND($A$2=4,VLOOKUP($A18,'District Level ADM'!$A$5:$W$52,5,FALSE)="3-Year Avg."),AB18,IF($A$2=2,AP18,IF($A$2=3,AB18,IF(($AG18&gt;$AU18),AB18,AP18)))))</f>
        <v>253.14500000000001</v>
      </c>
      <c r="O18" s="317">
        <f>IF(AND($A$2=4,VLOOKUP($A18,'District Level ADM'!$A$5:$W$52,5,FALSE)="Prior Year"),AQ18,IF(AND($A$2=4,VLOOKUP($A18,'District Level ADM'!$A$5:$W$52,5,FALSE)="3-Year Avg."),AC18,IF($A$2=2,AQ18,IF($A$2=3,AC18,IF(($AG18&gt;$AU18),AC18,AQ18)))))</f>
        <v>0</v>
      </c>
      <c r="P18" s="317">
        <f>IF(AND($A$2=4,VLOOKUP($A18,'District Level ADM'!$A$5:$W$52,5,FALSE)="Prior Year"),AR18,IF(AND($A$2=4,VLOOKUP($A18,'District Level ADM'!$A$5:$W$52,5,FALSE)="3-Year Avg."),AD18,IF($A$2=2,AR18,IF($A$2=3,AD18,IF(($AG18&gt;$AU18),AD18,AR18)))))</f>
        <v>0</v>
      </c>
      <c r="Q18" s="317">
        <f>IF(AND($A$2=4,VLOOKUP($A18,'District Level ADM'!$A$5:$W$52,5,FALSE)="Prior Year"),AS18,IF(AND($A$2=4,VLOOKUP($A18,'District Level ADM'!$A$5:$W$52,5,FALSE)="3-Year Avg."),AE18,IF($A$2=2,AS18,IF($A$2=3,AE18,IF(($AG18&gt;$AU18),AE18,AS18)))))</f>
        <v>0</v>
      </c>
      <c r="R18" s="317">
        <f>IF(AND($A$2=4,VLOOKUP($A18,'District Level ADM'!$A$5:$W$52,5,FALSE)="Prior Year"),AT18,IF(AND($A$2=4,VLOOKUP($A18,'District Level ADM'!$A$5:$W$52,5,FALSE)="3-Year Avg."),AF18,IF($A$2=2,AT18,IF($A$2=3,AF18,IF(($AG18&gt;$AU18),AF18,AT18)))))</f>
        <v>0</v>
      </c>
      <c r="S18" s="317">
        <f t="shared" si="1"/>
        <v>757.46500000000003</v>
      </c>
      <c r="T18" s="317">
        <f t="shared" si="2"/>
        <v>0</v>
      </c>
      <c r="U18" s="317">
        <f t="shared" si="0"/>
        <v>0</v>
      </c>
      <c r="V18" s="317">
        <f t="shared" si="0"/>
        <v>0</v>
      </c>
      <c r="W18" s="317">
        <f t="shared" si="0"/>
        <v>0</v>
      </c>
      <c r="X18" s="317">
        <f t="shared" si="0"/>
        <v>0</v>
      </c>
      <c r="Y18" s="317">
        <f t="shared" si="0"/>
        <v>0</v>
      </c>
      <c r="Z18" s="317">
        <f t="shared" si="0"/>
        <v>254.346</v>
      </c>
      <c r="AA18" s="317">
        <f t="shared" si="0"/>
        <v>246.15666666666667</v>
      </c>
      <c r="AB18" s="317">
        <f t="shared" si="0"/>
        <v>240.24166666666667</v>
      </c>
      <c r="AC18" s="317">
        <f t="shared" si="0"/>
        <v>0</v>
      </c>
      <c r="AD18" s="317">
        <f t="shared" si="0"/>
        <v>0</v>
      </c>
      <c r="AE18" s="317">
        <f t="shared" si="0"/>
        <v>0</v>
      </c>
      <c r="AF18" s="317">
        <f t="shared" si="0"/>
        <v>0</v>
      </c>
      <c r="AG18" s="317">
        <f t="shared" si="3"/>
        <v>740.74433333333332</v>
      </c>
      <c r="AH18" s="318">
        <v>0</v>
      </c>
      <c r="AI18" s="318">
        <v>0</v>
      </c>
      <c r="AJ18" s="318">
        <v>0</v>
      </c>
      <c r="AK18" s="318">
        <v>0</v>
      </c>
      <c r="AL18" s="318">
        <v>0</v>
      </c>
      <c r="AM18" s="318">
        <v>0</v>
      </c>
      <c r="AN18" s="318">
        <v>258.07</v>
      </c>
      <c r="AO18" s="318">
        <v>246.25</v>
      </c>
      <c r="AP18" s="318">
        <v>253.14500000000001</v>
      </c>
      <c r="AQ18" s="318">
        <v>0</v>
      </c>
      <c r="AR18" s="318">
        <v>0</v>
      </c>
      <c r="AS18" s="318">
        <v>0</v>
      </c>
      <c r="AT18" s="318">
        <v>0</v>
      </c>
      <c r="AU18" s="317">
        <f t="shared" si="4"/>
        <v>757.46500000000003</v>
      </c>
      <c r="AV18" s="319">
        <v>0</v>
      </c>
      <c r="AW18" s="319">
        <v>0</v>
      </c>
      <c r="AX18" s="319">
        <v>0</v>
      </c>
      <c r="AY18" s="319">
        <v>0</v>
      </c>
      <c r="AZ18" s="319">
        <v>0</v>
      </c>
      <c r="BA18" s="319">
        <v>0</v>
      </c>
      <c r="BB18" s="319">
        <v>254.9</v>
      </c>
      <c r="BC18" s="319">
        <v>256.834</v>
      </c>
      <c r="BD18" s="319">
        <v>229.61699999999999</v>
      </c>
      <c r="BE18" s="319">
        <v>0</v>
      </c>
      <c r="BF18" s="319">
        <v>0</v>
      </c>
      <c r="BG18" s="319">
        <v>0</v>
      </c>
      <c r="BH18" s="319">
        <v>0</v>
      </c>
      <c r="BI18" s="317">
        <f t="shared" si="5"/>
        <v>741.351</v>
      </c>
      <c r="BJ18" s="316">
        <v>0</v>
      </c>
      <c r="BK18" s="316">
        <v>0</v>
      </c>
      <c r="BL18" s="316">
        <v>0</v>
      </c>
      <c r="BM18" s="316">
        <v>0</v>
      </c>
      <c r="BN18" s="316">
        <v>0</v>
      </c>
      <c r="BO18" s="316">
        <v>0</v>
      </c>
      <c r="BP18" s="316">
        <v>250.06799999999998</v>
      </c>
      <c r="BQ18" s="316">
        <v>235.386</v>
      </c>
      <c r="BR18" s="316">
        <v>237.96299999999999</v>
      </c>
      <c r="BS18" s="316">
        <v>0</v>
      </c>
      <c r="BT18" s="316">
        <v>0</v>
      </c>
      <c r="BU18" s="316">
        <v>0</v>
      </c>
      <c r="BV18" s="316">
        <v>0</v>
      </c>
      <c r="BW18" s="317">
        <f t="shared" si="6"/>
        <v>723.41699999999992</v>
      </c>
    </row>
    <row r="19" spans="1:75" x14ac:dyDescent="0.2">
      <c r="A19" s="20" t="str">
        <f>'School Level Inst. Resources'!A19</f>
        <v>0101000</v>
      </c>
      <c r="B19" s="20" t="str">
        <f>'School Level Inst. Resources'!B19</f>
        <v>Albany #1</v>
      </c>
      <c r="C19" s="20" t="str">
        <f>'School Level Inst. Resources'!C19</f>
        <v>0101051</v>
      </c>
      <c r="D19" s="20" t="str">
        <f>'School Level Inst. Resources'!D19</f>
        <v>Rock River Junior High School</v>
      </c>
      <c r="E19" s="138" t="str">
        <f>'School Level Inst. Resources'!E19</f>
        <v>7-8</v>
      </c>
      <c r="F19" s="317">
        <f>IF(AND($A$2=4,VLOOKUP($A19,'District Level ADM'!$A$5:$W$52,5,FALSE)="Prior Year"),AH19,IF(AND($A$2=4,VLOOKUP($A19,'District Level ADM'!$A$5:$W$52,5,FALSE)="3-Year Avg."),T19,IF($A$2=2,AH19,IF($A$2=3,T19,IF(($AG19&gt;$AU19),T19,AH19)))))</f>
        <v>0</v>
      </c>
      <c r="G19" s="317">
        <f>IF(AND($A$2=4,VLOOKUP($A19,'District Level ADM'!$A$5:$W$52,5,FALSE)="Prior Year"),AI19,IF(AND($A$2=4,VLOOKUP($A19,'District Level ADM'!$A$5:$W$52,5,FALSE)="3-Year Avg."),U19,IF($A$2=2,AI19,IF($A$2=3,U19,IF(($AG19&gt;$AU19),U19,AI19)))))</f>
        <v>0</v>
      </c>
      <c r="H19" s="317">
        <f>IF(AND($A$2=4,VLOOKUP($A19,'District Level ADM'!$A$5:$W$52,5,FALSE)="Prior Year"),AJ19,IF(AND($A$2=4,VLOOKUP($A19,'District Level ADM'!$A$5:$W$52,5,FALSE)="3-Year Avg."),V19,IF($A$2=2,AJ19,IF($A$2=3,V19,IF(($AG19&gt;$AU19),V19,AJ19)))))</f>
        <v>0</v>
      </c>
      <c r="I19" s="317">
        <f>IF(AND($A$2=4,VLOOKUP($A19,'District Level ADM'!$A$5:$W$52,5,FALSE)="Prior Year"),AK19,IF(AND($A$2=4,VLOOKUP($A19,'District Level ADM'!$A$5:$W$52,5,FALSE)="3-Year Avg."),W19,IF($A$2=2,AK19,IF($A$2=3,W19,IF(($AG19&gt;$AU19),W19,AK19)))))</f>
        <v>0</v>
      </c>
      <c r="J19" s="317">
        <f>IF(AND($A$2=4,VLOOKUP($A19,'District Level ADM'!$A$5:$W$52,5,FALSE)="Prior Year"),AL19,IF(AND($A$2=4,VLOOKUP($A19,'District Level ADM'!$A$5:$W$52,5,FALSE)="3-Year Avg."),X19,IF($A$2=2,AL19,IF($A$2=3,X19,IF(($AG19&gt;$AU19),X19,AL19)))))</f>
        <v>0</v>
      </c>
      <c r="K19" s="317">
        <f>IF(AND($A$2=4,VLOOKUP($A19,'District Level ADM'!$A$5:$W$52,5,FALSE)="Prior Year"),AM19,IF(AND($A$2=4,VLOOKUP($A19,'District Level ADM'!$A$5:$W$52,5,FALSE)="3-Year Avg."),Y19,IF($A$2=2,AM19,IF($A$2=3,Y19,IF(($AG19&gt;$AU19),Y19,AM19)))))</f>
        <v>0</v>
      </c>
      <c r="L19" s="317">
        <f>IF(AND($A$2=4,VLOOKUP($A19,'District Level ADM'!$A$5:$W$52,5,FALSE)="Prior Year"),AN19,IF(AND($A$2=4,VLOOKUP($A19,'District Level ADM'!$A$5:$W$52,5,FALSE)="3-Year Avg."),Z19,IF($A$2=2,AN19,IF($A$2=3,Z19,IF(($AG19&gt;$AU19),Z19,AN19)))))</f>
        <v>0</v>
      </c>
      <c r="M19" s="317">
        <f>IF(AND($A$2=4,VLOOKUP($A19,'District Level ADM'!$A$5:$W$52,5,FALSE)="Prior Year"),AO19,IF(AND($A$2=4,VLOOKUP($A19,'District Level ADM'!$A$5:$W$52,5,FALSE)="3-Year Avg."),AA19,IF($A$2=2,AO19,IF($A$2=3,AA19,IF(($AG19&gt;$AU19),AA19,AO19)))))</f>
        <v>9.85</v>
      </c>
      <c r="N19" s="317">
        <f>IF(AND($A$2=4,VLOOKUP($A19,'District Level ADM'!$A$5:$W$52,5,FALSE)="Prior Year"),AP19,IF(AND($A$2=4,VLOOKUP($A19,'District Level ADM'!$A$5:$W$52,5,FALSE)="3-Year Avg."),AB19,IF($A$2=2,AP19,IF($A$2=3,AB19,IF(($AG19&gt;$AU19),AB19,AP19)))))</f>
        <v>3.94</v>
      </c>
      <c r="O19" s="317">
        <f>IF(AND($A$2=4,VLOOKUP($A19,'District Level ADM'!$A$5:$W$52,5,FALSE)="Prior Year"),AQ19,IF(AND($A$2=4,VLOOKUP($A19,'District Level ADM'!$A$5:$W$52,5,FALSE)="3-Year Avg."),AC19,IF($A$2=2,AQ19,IF($A$2=3,AC19,IF(($AG19&gt;$AU19),AC19,AQ19)))))</f>
        <v>0</v>
      </c>
      <c r="P19" s="317">
        <f>IF(AND($A$2=4,VLOOKUP($A19,'District Level ADM'!$A$5:$W$52,5,FALSE)="Prior Year"),AR19,IF(AND($A$2=4,VLOOKUP($A19,'District Level ADM'!$A$5:$W$52,5,FALSE)="3-Year Avg."),AD19,IF($A$2=2,AR19,IF($A$2=3,AD19,IF(($AG19&gt;$AU19),AD19,AR19)))))</f>
        <v>0</v>
      </c>
      <c r="Q19" s="317">
        <f>IF(AND($A$2=4,VLOOKUP($A19,'District Level ADM'!$A$5:$W$52,5,FALSE)="Prior Year"),AS19,IF(AND($A$2=4,VLOOKUP($A19,'District Level ADM'!$A$5:$W$52,5,FALSE)="3-Year Avg."),AE19,IF($A$2=2,AS19,IF($A$2=3,AE19,IF(($AG19&gt;$AU19),AE19,AS19)))))</f>
        <v>0</v>
      </c>
      <c r="R19" s="317">
        <f>IF(AND($A$2=4,VLOOKUP($A19,'District Level ADM'!$A$5:$W$52,5,FALSE)="Prior Year"),AT19,IF(AND($A$2=4,VLOOKUP($A19,'District Level ADM'!$A$5:$W$52,5,FALSE)="3-Year Avg."),AF19,IF($A$2=2,AT19,IF($A$2=3,AF19,IF(($AG19&gt;$AU19),AF19,AT19)))))</f>
        <v>0</v>
      </c>
      <c r="S19" s="317">
        <f t="shared" si="1"/>
        <v>13.79</v>
      </c>
      <c r="T19" s="317">
        <f t="shared" si="2"/>
        <v>0</v>
      </c>
      <c r="U19" s="317">
        <f t="shared" si="0"/>
        <v>0</v>
      </c>
      <c r="V19" s="317">
        <f t="shared" si="0"/>
        <v>0</v>
      </c>
      <c r="W19" s="317">
        <f t="shared" si="0"/>
        <v>0</v>
      </c>
      <c r="X19" s="317">
        <f t="shared" si="0"/>
        <v>0</v>
      </c>
      <c r="Y19" s="317">
        <f t="shared" si="0"/>
        <v>0</v>
      </c>
      <c r="Z19" s="317">
        <f t="shared" si="0"/>
        <v>0</v>
      </c>
      <c r="AA19" s="317">
        <f t="shared" si="0"/>
        <v>6.7603333333333326</v>
      </c>
      <c r="AB19" s="317">
        <f t="shared" si="0"/>
        <v>7.4026666666666658</v>
      </c>
      <c r="AC19" s="317">
        <f t="shared" si="0"/>
        <v>0</v>
      </c>
      <c r="AD19" s="317">
        <f t="shared" si="0"/>
        <v>0</v>
      </c>
      <c r="AE19" s="317">
        <f t="shared" si="0"/>
        <v>0</v>
      </c>
      <c r="AF19" s="317">
        <f t="shared" si="0"/>
        <v>0</v>
      </c>
      <c r="AG19" s="317">
        <f t="shared" si="3"/>
        <v>14.162999999999998</v>
      </c>
      <c r="AH19" s="318">
        <v>0</v>
      </c>
      <c r="AI19" s="318">
        <v>0</v>
      </c>
      <c r="AJ19" s="318">
        <v>0</v>
      </c>
      <c r="AK19" s="318">
        <v>0</v>
      </c>
      <c r="AL19" s="318">
        <v>0</v>
      </c>
      <c r="AM19" s="318">
        <v>0</v>
      </c>
      <c r="AN19" s="318">
        <v>0</v>
      </c>
      <c r="AO19" s="318">
        <v>9.85</v>
      </c>
      <c r="AP19" s="318">
        <v>3.94</v>
      </c>
      <c r="AQ19" s="318">
        <v>0</v>
      </c>
      <c r="AR19" s="318">
        <v>0</v>
      </c>
      <c r="AS19" s="318">
        <v>0</v>
      </c>
      <c r="AT19" s="318">
        <v>0</v>
      </c>
      <c r="AU19" s="317">
        <f t="shared" si="4"/>
        <v>13.79</v>
      </c>
      <c r="AV19" s="319">
        <v>0</v>
      </c>
      <c r="AW19" s="319">
        <v>0</v>
      </c>
      <c r="AX19" s="319">
        <v>0</v>
      </c>
      <c r="AY19" s="319">
        <v>0</v>
      </c>
      <c r="AZ19" s="319">
        <v>0</v>
      </c>
      <c r="BA19" s="319">
        <v>0</v>
      </c>
      <c r="BB19" s="319">
        <v>0</v>
      </c>
      <c r="BC19" s="319">
        <v>2</v>
      </c>
      <c r="BD19" s="319">
        <v>9.1370000000000005</v>
      </c>
      <c r="BE19" s="319">
        <v>0</v>
      </c>
      <c r="BF19" s="319">
        <v>0</v>
      </c>
      <c r="BG19" s="319">
        <v>0</v>
      </c>
      <c r="BH19" s="319">
        <v>0</v>
      </c>
      <c r="BI19" s="317">
        <f t="shared" si="5"/>
        <v>11.137</v>
      </c>
      <c r="BJ19" s="316">
        <v>0</v>
      </c>
      <c r="BK19" s="316">
        <v>0</v>
      </c>
      <c r="BL19" s="316">
        <v>0</v>
      </c>
      <c r="BM19" s="316">
        <v>0</v>
      </c>
      <c r="BN19" s="316">
        <v>0</v>
      </c>
      <c r="BO19" s="316">
        <v>0</v>
      </c>
      <c r="BP19" s="316">
        <v>0</v>
      </c>
      <c r="BQ19" s="316">
        <v>8.4309999999999992</v>
      </c>
      <c r="BR19" s="316">
        <v>9.1310000000000002</v>
      </c>
      <c r="BS19" s="316">
        <v>0</v>
      </c>
      <c r="BT19" s="316">
        <v>0</v>
      </c>
      <c r="BU19" s="316">
        <v>0</v>
      </c>
      <c r="BV19" s="316">
        <v>0</v>
      </c>
      <c r="BW19" s="317">
        <f t="shared" si="6"/>
        <v>17.561999999999998</v>
      </c>
    </row>
    <row r="20" spans="1:75" x14ac:dyDescent="0.2">
      <c r="A20" s="20" t="str">
        <f>'School Level Inst. Resources'!A20</f>
        <v>0101000</v>
      </c>
      <c r="B20" s="20" t="str">
        <f>'School Level Inst. Resources'!B20</f>
        <v>Albany #1</v>
      </c>
      <c r="C20" s="20" t="str">
        <f>'School Level Inst. Resources'!C20</f>
        <v>0101055</v>
      </c>
      <c r="D20" s="20" t="str">
        <f>'School Level Inst. Resources'!D20</f>
        <v>Laramie High School</v>
      </c>
      <c r="E20" s="138" t="str">
        <f>'School Level Inst. Resources'!E20</f>
        <v>9-12</v>
      </c>
      <c r="F20" s="317">
        <f>IF(AND($A$2=4,VLOOKUP($A20,'District Level ADM'!$A$5:$W$52,5,FALSE)="Prior Year"),AH20,IF(AND($A$2=4,VLOOKUP($A20,'District Level ADM'!$A$5:$W$52,5,FALSE)="3-Year Avg."),T20,IF($A$2=2,AH20,IF($A$2=3,T20,IF(($AG20&gt;$AU20),T20,AH20)))))</f>
        <v>0</v>
      </c>
      <c r="G20" s="317">
        <f>IF(AND($A$2=4,VLOOKUP($A20,'District Level ADM'!$A$5:$W$52,5,FALSE)="Prior Year"),AI20,IF(AND($A$2=4,VLOOKUP($A20,'District Level ADM'!$A$5:$W$52,5,FALSE)="3-Year Avg."),U20,IF($A$2=2,AI20,IF($A$2=3,U20,IF(($AG20&gt;$AU20),U20,AI20)))))</f>
        <v>0</v>
      </c>
      <c r="H20" s="317">
        <f>IF(AND($A$2=4,VLOOKUP($A20,'District Level ADM'!$A$5:$W$52,5,FALSE)="Prior Year"),AJ20,IF(AND($A$2=4,VLOOKUP($A20,'District Level ADM'!$A$5:$W$52,5,FALSE)="3-Year Avg."),V20,IF($A$2=2,AJ20,IF($A$2=3,V20,IF(($AG20&gt;$AU20),V20,AJ20)))))</f>
        <v>0</v>
      </c>
      <c r="I20" s="317">
        <f>IF(AND($A$2=4,VLOOKUP($A20,'District Level ADM'!$A$5:$W$52,5,FALSE)="Prior Year"),AK20,IF(AND($A$2=4,VLOOKUP($A20,'District Level ADM'!$A$5:$W$52,5,FALSE)="3-Year Avg."),W20,IF($A$2=2,AK20,IF($A$2=3,W20,IF(($AG20&gt;$AU20),W20,AK20)))))</f>
        <v>0</v>
      </c>
      <c r="J20" s="317">
        <f>IF(AND($A$2=4,VLOOKUP($A20,'District Level ADM'!$A$5:$W$52,5,FALSE)="Prior Year"),AL20,IF(AND($A$2=4,VLOOKUP($A20,'District Level ADM'!$A$5:$W$52,5,FALSE)="3-Year Avg."),X20,IF($A$2=2,AL20,IF($A$2=3,X20,IF(($AG20&gt;$AU20),X20,AL20)))))</f>
        <v>0</v>
      </c>
      <c r="K20" s="317">
        <f>IF(AND($A$2=4,VLOOKUP($A20,'District Level ADM'!$A$5:$W$52,5,FALSE)="Prior Year"),AM20,IF(AND($A$2=4,VLOOKUP($A20,'District Level ADM'!$A$5:$W$52,5,FALSE)="3-Year Avg."),Y20,IF($A$2=2,AM20,IF($A$2=3,Y20,IF(($AG20&gt;$AU20),Y20,AM20)))))</f>
        <v>0</v>
      </c>
      <c r="L20" s="317">
        <f>IF(AND($A$2=4,VLOOKUP($A20,'District Level ADM'!$A$5:$W$52,5,FALSE)="Prior Year"),AN20,IF(AND($A$2=4,VLOOKUP($A20,'District Level ADM'!$A$5:$W$52,5,FALSE)="3-Year Avg."),Z20,IF($A$2=2,AN20,IF($A$2=3,Z20,IF(($AG20&gt;$AU20),Z20,AN20)))))</f>
        <v>0</v>
      </c>
      <c r="M20" s="317">
        <f>IF(AND($A$2=4,VLOOKUP($A20,'District Level ADM'!$A$5:$W$52,5,FALSE)="Prior Year"),AO20,IF(AND($A$2=4,VLOOKUP($A20,'District Level ADM'!$A$5:$W$52,5,FALSE)="3-Year Avg."),AA20,IF($A$2=2,AO20,IF($A$2=3,AA20,IF(($AG20&gt;$AU20),AA20,AO20)))))</f>
        <v>0</v>
      </c>
      <c r="N20" s="317">
        <f>IF(AND($A$2=4,VLOOKUP($A20,'District Level ADM'!$A$5:$W$52,5,FALSE)="Prior Year"),AP20,IF(AND($A$2=4,VLOOKUP($A20,'District Level ADM'!$A$5:$W$52,5,FALSE)="3-Year Avg."),AB20,IF($A$2=2,AP20,IF($A$2=3,AB20,IF(($AG20&gt;$AU20),AB20,AP20)))))</f>
        <v>0</v>
      </c>
      <c r="O20" s="317">
        <f>IF(AND($A$2=4,VLOOKUP($A20,'District Level ADM'!$A$5:$W$52,5,FALSE)="Prior Year"),AQ20,IF(AND($A$2=4,VLOOKUP($A20,'District Level ADM'!$A$5:$W$52,5,FALSE)="3-Year Avg."),AC20,IF($A$2=2,AQ20,IF($A$2=3,AC20,IF(($AG20&gt;$AU20),AC20,AQ20)))))</f>
        <v>257.08499999999998</v>
      </c>
      <c r="P20" s="317">
        <f>IF(AND($A$2=4,VLOOKUP($A20,'District Level ADM'!$A$5:$W$52,5,FALSE)="Prior Year"),AR20,IF(AND($A$2=4,VLOOKUP($A20,'District Level ADM'!$A$5:$W$52,5,FALSE)="3-Year Avg."),AD20,IF($A$2=2,AR20,IF($A$2=3,AD20,IF(($AG20&gt;$AU20),AD20,AR20)))))</f>
        <v>276.78500000000003</v>
      </c>
      <c r="Q20" s="317">
        <f>IF(AND($A$2=4,VLOOKUP($A20,'District Level ADM'!$A$5:$W$52,5,FALSE)="Prior Year"),AS20,IF(AND($A$2=4,VLOOKUP($A20,'District Level ADM'!$A$5:$W$52,5,FALSE)="3-Year Avg."),AE20,IF($A$2=2,AS20,IF($A$2=3,AE20,IF(($AG20&gt;$AU20),AE20,AS20)))))</f>
        <v>276.78500000000003</v>
      </c>
      <c r="R20" s="317">
        <f>IF(AND($A$2=4,VLOOKUP($A20,'District Level ADM'!$A$5:$W$52,5,FALSE)="Prior Year"),AT20,IF(AND($A$2=4,VLOOKUP($A20,'District Level ADM'!$A$5:$W$52,5,FALSE)="3-Year Avg."),AF20,IF($A$2=2,AT20,IF($A$2=3,AF20,IF(($AG20&gt;$AU20),AF20,AT20)))))</f>
        <v>253.14500000000001</v>
      </c>
      <c r="S20" s="317">
        <f t="shared" si="1"/>
        <v>1063.8</v>
      </c>
      <c r="T20" s="317">
        <f t="shared" si="2"/>
        <v>0</v>
      </c>
      <c r="U20" s="317">
        <f t="shared" si="0"/>
        <v>0</v>
      </c>
      <c r="V20" s="317">
        <f t="shared" si="0"/>
        <v>0</v>
      </c>
      <c r="W20" s="317">
        <f t="shared" si="0"/>
        <v>0</v>
      </c>
      <c r="X20" s="317">
        <f t="shared" si="0"/>
        <v>0</v>
      </c>
      <c r="Y20" s="317">
        <f t="shared" si="0"/>
        <v>0</v>
      </c>
      <c r="Z20" s="317">
        <f t="shared" si="0"/>
        <v>0</v>
      </c>
      <c r="AA20" s="317">
        <f t="shared" si="0"/>
        <v>0</v>
      </c>
      <c r="AB20" s="317">
        <f t="shared" si="0"/>
        <v>0</v>
      </c>
      <c r="AC20" s="317">
        <f t="shared" si="0"/>
        <v>272.74533333333335</v>
      </c>
      <c r="AD20" s="317">
        <f t="shared" si="0"/>
        <v>270.072</v>
      </c>
      <c r="AE20" s="317">
        <f t="shared" si="0"/>
        <v>233.804</v>
      </c>
      <c r="AF20" s="317">
        <f t="shared" si="0"/>
        <v>229.23833333333334</v>
      </c>
      <c r="AG20" s="317">
        <f t="shared" si="3"/>
        <v>1005.8596666666667</v>
      </c>
      <c r="AH20" s="318">
        <v>0</v>
      </c>
      <c r="AI20" s="318">
        <v>0</v>
      </c>
      <c r="AJ20" s="318">
        <v>0</v>
      </c>
      <c r="AK20" s="318">
        <v>0</v>
      </c>
      <c r="AL20" s="318">
        <v>0</v>
      </c>
      <c r="AM20" s="318">
        <v>0</v>
      </c>
      <c r="AN20" s="318">
        <v>0</v>
      </c>
      <c r="AO20" s="318">
        <v>0</v>
      </c>
      <c r="AP20" s="318">
        <v>0</v>
      </c>
      <c r="AQ20" s="318">
        <v>257.08499999999998</v>
      </c>
      <c r="AR20" s="318">
        <v>276.78500000000003</v>
      </c>
      <c r="AS20" s="318">
        <v>276.78500000000003</v>
      </c>
      <c r="AT20" s="318">
        <v>253.14500000000001</v>
      </c>
      <c r="AU20" s="317">
        <f t="shared" si="4"/>
        <v>1063.8</v>
      </c>
      <c r="AV20" s="319">
        <v>0</v>
      </c>
      <c r="AW20" s="319">
        <v>0</v>
      </c>
      <c r="AX20" s="319">
        <v>0</v>
      </c>
      <c r="AY20" s="319">
        <v>0</v>
      </c>
      <c r="AZ20" s="319">
        <v>0</v>
      </c>
      <c r="BA20" s="319">
        <v>0</v>
      </c>
      <c r="BB20" s="319">
        <v>0</v>
      </c>
      <c r="BC20" s="319">
        <v>0</v>
      </c>
      <c r="BD20" s="319">
        <v>0</v>
      </c>
      <c r="BE20" s="319">
        <v>276.06900000000002</v>
      </c>
      <c r="BF20" s="319">
        <v>282.94099999999997</v>
      </c>
      <c r="BG20" s="319">
        <v>237.42599999999999</v>
      </c>
      <c r="BH20" s="319">
        <v>193.809</v>
      </c>
      <c r="BI20" s="317">
        <f t="shared" si="5"/>
        <v>990.24499999999989</v>
      </c>
      <c r="BJ20" s="316">
        <v>0</v>
      </c>
      <c r="BK20" s="316">
        <v>0</v>
      </c>
      <c r="BL20" s="316">
        <v>0</v>
      </c>
      <c r="BM20" s="316">
        <v>0</v>
      </c>
      <c r="BN20" s="316">
        <v>0</v>
      </c>
      <c r="BO20" s="316">
        <v>0</v>
      </c>
      <c r="BP20" s="316">
        <v>0</v>
      </c>
      <c r="BQ20" s="316">
        <v>0</v>
      </c>
      <c r="BR20" s="316">
        <v>0</v>
      </c>
      <c r="BS20" s="316">
        <v>285.08199999999999</v>
      </c>
      <c r="BT20" s="316">
        <v>250.49</v>
      </c>
      <c r="BU20" s="316">
        <v>187.20099999999999</v>
      </c>
      <c r="BV20" s="316">
        <v>240.761</v>
      </c>
      <c r="BW20" s="317">
        <f t="shared" si="6"/>
        <v>963.53399999999999</v>
      </c>
    </row>
    <row r="21" spans="1:75" x14ac:dyDescent="0.2">
      <c r="A21" s="20" t="str">
        <f>'School Level Inst. Resources'!A21</f>
        <v>0101000</v>
      </c>
      <c r="B21" s="20" t="str">
        <f>'School Level Inst. Resources'!B21</f>
        <v>Albany #1</v>
      </c>
      <c r="C21" s="20" t="str">
        <f>'School Level Inst. Resources'!C21</f>
        <v>0101056</v>
      </c>
      <c r="D21" s="20" t="str">
        <f>'School Level Inst. Resources'!D21</f>
        <v>Rock River High School</v>
      </c>
      <c r="E21" s="138" t="str">
        <f>'School Level Inst. Resources'!E21</f>
        <v>9-12</v>
      </c>
      <c r="F21" s="317">
        <f>IF(AND($A$2=4,VLOOKUP($A21,'District Level ADM'!$A$5:$W$52,5,FALSE)="Prior Year"),AH21,IF(AND($A$2=4,VLOOKUP($A21,'District Level ADM'!$A$5:$W$52,5,FALSE)="3-Year Avg."),T21,IF($A$2=2,AH21,IF($A$2=3,T21,IF(($AG21&gt;$AU21),T21,AH21)))))</f>
        <v>0</v>
      </c>
      <c r="G21" s="317">
        <f>IF(AND($A$2=4,VLOOKUP($A21,'District Level ADM'!$A$5:$W$52,5,FALSE)="Prior Year"),AI21,IF(AND($A$2=4,VLOOKUP($A21,'District Level ADM'!$A$5:$W$52,5,FALSE)="3-Year Avg."),U21,IF($A$2=2,AI21,IF($A$2=3,U21,IF(($AG21&gt;$AU21),U21,AI21)))))</f>
        <v>0</v>
      </c>
      <c r="H21" s="317">
        <f>IF(AND($A$2=4,VLOOKUP($A21,'District Level ADM'!$A$5:$W$52,5,FALSE)="Prior Year"),AJ21,IF(AND($A$2=4,VLOOKUP($A21,'District Level ADM'!$A$5:$W$52,5,FALSE)="3-Year Avg."),V21,IF($A$2=2,AJ21,IF($A$2=3,V21,IF(($AG21&gt;$AU21),V21,AJ21)))))</f>
        <v>0</v>
      </c>
      <c r="I21" s="317">
        <f>IF(AND($A$2=4,VLOOKUP($A21,'District Level ADM'!$A$5:$W$52,5,FALSE)="Prior Year"),AK21,IF(AND($A$2=4,VLOOKUP($A21,'District Level ADM'!$A$5:$W$52,5,FALSE)="3-Year Avg."),W21,IF($A$2=2,AK21,IF($A$2=3,W21,IF(($AG21&gt;$AU21),W21,AK21)))))</f>
        <v>0</v>
      </c>
      <c r="J21" s="317">
        <f>IF(AND($A$2=4,VLOOKUP($A21,'District Level ADM'!$A$5:$W$52,5,FALSE)="Prior Year"),AL21,IF(AND($A$2=4,VLOOKUP($A21,'District Level ADM'!$A$5:$W$52,5,FALSE)="3-Year Avg."),X21,IF($A$2=2,AL21,IF($A$2=3,X21,IF(($AG21&gt;$AU21),X21,AL21)))))</f>
        <v>0</v>
      </c>
      <c r="K21" s="317">
        <f>IF(AND($A$2=4,VLOOKUP($A21,'District Level ADM'!$A$5:$W$52,5,FALSE)="Prior Year"),AM21,IF(AND($A$2=4,VLOOKUP($A21,'District Level ADM'!$A$5:$W$52,5,FALSE)="3-Year Avg."),Y21,IF($A$2=2,AM21,IF($A$2=3,Y21,IF(($AG21&gt;$AU21),Y21,AM21)))))</f>
        <v>0</v>
      </c>
      <c r="L21" s="317">
        <f>IF(AND($A$2=4,VLOOKUP($A21,'District Level ADM'!$A$5:$W$52,5,FALSE)="Prior Year"),AN21,IF(AND($A$2=4,VLOOKUP($A21,'District Level ADM'!$A$5:$W$52,5,FALSE)="3-Year Avg."),Z21,IF($A$2=2,AN21,IF($A$2=3,Z21,IF(($AG21&gt;$AU21),Z21,AN21)))))</f>
        <v>0</v>
      </c>
      <c r="M21" s="317">
        <f>IF(AND($A$2=4,VLOOKUP($A21,'District Level ADM'!$A$5:$W$52,5,FALSE)="Prior Year"),AO21,IF(AND($A$2=4,VLOOKUP($A21,'District Level ADM'!$A$5:$W$52,5,FALSE)="3-Year Avg."),AA21,IF($A$2=2,AO21,IF($A$2=3,AA21,IF(($AG21&gt;$AU21),AA21,AO21)))))</f>
        <v>0</v>
      </c>
      <c r="N21" s="317">
        <f>IF(AND($A$2=4,VLOOKUP($A21,'District Level ADM'!$A$5:$W$52,5,FALSE)="Prior Year"),AP21,IF(AND($A$2=4,VLOOKUP($A21,'District Level ADM'!$A$5:$W$52,5,FALSE)="3-Year Avg."),AB21,IF($A$2=2,AP21,IF($A$2=3,AB21,IF(($AG21&gt;$AU21),AB21,AP21)))))</f>
        <v>0</v>
      </c>
      <c r="O21" s="317">
        <f>IF(AND($A$2=4,VLOOKUP($A21,'District Level ADM'!$A$5:$W$52,5,FALSE)="Prior Year"),AQ21,IF(AND($A$2=4,VLOOKUP($A21,'District Level ADM'!$A$5:$W$52,5,FALSE)="3-Year Avg."),AC21,IF($A$2=2,AQ21,IF($A$2=3,AC21,IF(($AG21&gt;$AU21),AC21,AQ21)))))</f>
        <v>8.8650000000000002</v>
      </c>
      <c r="P21" s="317">
        <f>IF(AND($A$2=4,VLOOKUP($A21,'District Level ADM'!$A$5:$W$52,5,FALSE)="Prior Year"),AR21,IF(AND($A$2=4,VLOOKUP($A21,'District Level ADM'!$A$5:$W$52,5,FALSE)="3-Year Avg."),AD21,IF($A$2=2,AR21,IF($A$2=3,AD21,IF(($AG21&gt;$AU21),AD21,AR21)))))</f>
        <v>8.8650000000000002</v>
      </c>
      <c r="Q21" s="317">
        <f>IF(AND($A$2=4,VLOOKUP($A21,'District Level ADM'!$A$5:$W$52,5,FALSE)="Prior Year"),AS21,IF(AND($A$2=4,VLOOKUP($A21,'District Level ADM'!$A$5:$W$52,5,FALSE)="3-Year Avg."),AE21,IF($A$2=2,AS21,IF($A$2=3,AE21,IF(($AG21&gt;$AU21),AE21,AS21)))))</f>
        <v>7.88</v>
      </c>
      <c r="R21" s="317">
        <f>IF(AND($A$2=4,VLOOKUP($A21,'District Level ADM'!$A$5:$W$52,5,FALSE)="Prior Year"),AT21,IF(AND($A$2=4,VLOOKUP($A21,'District Level ADM'!$A$5:$W$52,5,FALSE)="3-Year Avg."),AF21,IF($A$2=2,AT21,IF($A$2=3,AF21,IF(($AG21&gt;$AU21),AF21,AT21)))))</f>
        <v>12.805</v>
      </c>
      <c r="S21" s="317">
        <f t="shared" si="1"/>
        <v>38.414999999999999</v>
      </c>
      <c r="T21" s="317">
        <f t="shared" si="2"/>
        <v>0</v>
      </c>
      <c r="U21" s="317">
        <f t="shared" si="2"/>
        <v>0</v>
      </c>
      <c r="V21" s="317">
        <f t="shared" si="2"/>
        <v>0</v>
      </c>
      <c r="W21" s="317">
        <f t="shared" si="2"/>
        <v>0</v>
      </c>
      <c r="X21" s="317">
        <f t="shared" si="2"/>
        <v>0</v>
      </c>
      <c r="Y21" s="317">
        <f t="shared" si="2"/>
        <v>0</v>
      </c>
      <c r="Z21" s="317">
        <f t="shared" si="2"/>
        <v>0</v>
      </c>
      <c r="AA21" s="317">
        <f t="shared" si="2"/>
        <v>0</v>
      </c>
      <c r="AB21" s="317">
        <f t="shared" si="2"/>
        <v>0</v>
      </c>
      <c r="AC21" s="317">
        <f t="shared" si="2"/>
        <v>9.4009999999999998</v>
      </c>
      <c r="AD21" s="317">
        <f t="shared" si="2"/>
        <v>8.7646666666666651</v>
      </c>
      <c r="AE21" s="317">
        <f t="shared" si="2"/>
        <v>8.7409999999999997</v>
      </c>
      <c r="AF21" s="317">
        <f t="shared" si="2"/>
        <v>10.524333333333333</v>
      </c>
      <c r="AG21" s="317">
        <f t="shared" si="3"/>
        <v>37.430999999999997</v>
      </c>
      <c r="AH21" s="318">
        <v>0</v>
      </c>
      <c r="AI21" s="318">
        <v>0</v>
      </c>
      <c r="AJ21" s="318">
        <v>0</v>
      </c>
      <c r="AK21" s="318">
        <v>0</v>
      </c>
      <c r="AL21" s="318">
        <v>0</v>
      </c>
      <c r="AM21" s="318">
        <v>0</v>
      </c>
      <c r="AN21" s="318">
        <v>0</v>
      </c>
      <c r="AO21" s="318">
        <v>0</v>
      </c>
      <c r="AP21" s="318">
        <v>0</v>
      </c>
      <c r="AQ21" s="318">
        <v>8.8650000000000002</v>
      </c>
      <c r="AR21" s="318">
        <v>8.8650000000000002</v>
      </c>
      <c r="AS21" s="318">
        <v>7.88</v>
      </c>
      <c r="AT21" s="318">
        <v>12.805</v>
      </c>
      <c r="AU21" s="317">
        <f t="shared" si="4"/>
        <v>38.414999999999999</v>
      </c>
      <c r="AV21" s="319">
        <v>0</v>
      </c>
      <c r="AW21" s="319">
        <v>0</v>
      </c>
      <c r="AX21" s="319">
        <v>0</v>
      </c>
      <c r="AY21" s="319">
        <v>0</v>
      </c>
      <c r="AZ21" s="319">
        <v>0</v>
      </c>
      <c r="BA21" s="319">
        <v>0</v>
      </c>
      <c r="BB21" s="319">
        <v>0</v>
      </c>
      <c r="BC21" s="319">
        <v>0</v>
      </c>
      <c r="BD21" s="319">
        <v>0</v>
      </c>
      <c r="BE21" s="319">
        <v>10.349</v>
      </c>
      <c r="BF21" s="319">
        <v>7.7089999999999996</v>
      </c>
      <c r="BG21" s="319">
        <v>10.097</v>
      </c>
      <c r="BH21" s="319">
        <v>9.3569999999999993</v>
      </c>
      <c r="BI21" s="317">
        <f t="shared" si="5"/>
        <v>37.512</v>
      </c>
      <c r="BJ21" s="316">
        <v>0</v>
      </c>
      <c r="BK21" s="316">
        <v>0</v>
      </c>
      <c r="BL21" s="316">
        <v>0</v>
      </c>
      <c r="BM21" s="316">
        <v>0</v>
      </c>
      <c r="BN21" s="316">
        <v>0</v>
      </c>
      <c r="BO21" s="316">
        <v>0</v>
      </c>
      <c r="BP21" s="316">
        <v>0</v>
      </c>
      <c r="BQ21" s="316">
        <v>0</v>
      </c>
      <c r="BR21" s="316">
        <v>0</v>
      </c>
      <c r="BS21" s="316">
        <v>8.9890000000000008</v>
      </c>
      <c r="BT21" s="316">
        <v>9.7200000000000006</v>
      </c>
      <c r="BU21" s="316">
        <v>8.2460000000000004</v>
      </c>
      <c r="BV21" s="316">
        <v>9.4109999999999996</v>
      </c>
      <c r="BW21" s="317">
        <f t="shared" si="6"/>
        <v>36.366000000000007</v>
      </c>
    </row>
    <row r="22" spans="1:75" x14ac:dyDescent="0.2">
      <c r="A22" s="20" t="str">
        <f>'School Level Inst. Resources'!A22</f>
        <v>0101000</v>
      </c>
      <c r="B22" s="20" t="str">
        <f>'School Level Inst. Resources'!B22</f>
        <v>Albany #1</v>
      </c>
      <c r="C22" s="20" t="str">
        <f>'School Level Inst. Resources'!C22</f>
        <v>0101057</v>
      </c>
      <c r="D22" s="20" t="str">
        <f>'School Level Inst. Resources'!D22</f>
        <v>Whiting High School</v>
      </c>
      <c r="E22" s="138" t="str">
        <f>'School Level Inst. Resources'!E22</f>
        <v>9-12</v>
      </c>
      <c r="F22" s="317">
        <f>IF(AND($A$2=4,VLOOKUP($A22,'District Level ADM'!$A$5:$W$52,5,FALSE)="Prior Year"),AH22,IF(AND($A$2=4,VLOOKUP($A22,'District Level ADM'!$A$5:$W$52,5,FALSE)="3-Year Avg."),T22,IF($A$2=2,AH22,IF($A$2=3,T22,IF(($AG22&gt;$AU22),T22,AH22)))))</f>
        <v>0</v>
      </c>
      <c r="G22" s="317">
        <f>IF(AND($A$2=4,VLOOKUP($A22,'District Level ADM'!$A$5:$W$52,5,FALSE)="Prior Year"),AI22,IF(AND($A$2=4,VLOOKUP($A22,'District Level ADM'!$A$5:$W$52,5,FALSE)="3-Year Avg."),U22,IF($A$2=2,AI22,IF($A$2=3,U22,IF(($AG22&gt;$AU22),U22,AI22)))))</f>
        <v>0</v>
      </c>
      <c r="H22" s="317">
        <f>IF(AND($A$2=4,VLOOKUP($A22,'District Level ADM'!$A$5:$W$52,5,FALSE)="Prior Year"),AJ22,IF(AND($A$2=4,VLOOKUP($A22,'District Level ADM'!$A$5:$W$52,5,FALSE)="3-Year Avg."),V22,IF($A$2=2,AJ22,IF($A$2=3,V22,IF(($AG22&gt;$AU22),V22,AJ22)))))</f>
        <v>0</v>
      </c>
      <c r="I22" s="317">
        <f>IF(AND($A$2=4,VLOOKUP($A22,'District Level ADM'!$A$5:$W$52,5,FALSE)="Prior Year"),AK22,IF(AND($A$2=4,VLOOKUP($A22,'District Level ADM'!$A$5:$W$52,5,FALSE)="3-Year Avg."),W22,IF($A$2=2,AK22,IF($A$2=3,W22,IF(($AG22&gt;$AU22),W22,AK22)))))</f>
        <v>0</v>
      </c>
      <c r="J22" s="317">
        <f>IF(AND($A$2=4,VLOOKUP($A22,'District Level ADM'!$A$5:$W$52,5,FALSE)="Prior Year"),AL22,IF(AND($A$2=4,VLOOKUP($A22,'District Level ADM'!$A$5:$W$52,5,FALSE)="3-Year Avg."),X22,IF($A$2=2,AL22,IF($A$2=3,X22,IF(($AG22&gt;$AU22),X22,AL22)))))</f>
        <v>0</v>
      </c>
      <c r="K22" s="317">
        <f>IF(AND($A$2=4,VLOOKUP($A22,'District Level ADM'!$A$5:$W$52,5,FALSE)="Prior Year"),AM22,IF(AND($A$2=4,VLOOKUP($A22,'District Level ADM'!$A$5:$W$52,5,FALSE)="3-Year Avg."),Y22,IF($A$2=2,AM22,IF($A$2=3,Y22,IF(($AG22&gt;$AU22),Y22,AM22)))))</f>
        <v>0</v>
      </c>
      <c r="L22" s="317">
        <f>IF(AND($A$2=4,VLOOKUP($A22,'District Level ADM'!$A$5:$W$52,5,FALSE)="Prior Year"),AN22,IF(AND($A$2=4,VLOOKUP($A22,'District Level ADM'!$A$5:$W$52,5,FALSE)="3-Year Avg."),Z22,IF($A$2=2,AN22,IF($A$2=3,Z22,IF(($AG22&gt;$AU22),Z22,AN22)))))</f>
        <v>0</v>
      </c>
      <c r="M22" s="317">
        <f>IF(AND($A$2=4,VLOOKUP($A22,'District Level ADM'!$A$5:$W$52,5,FALSE)="Prior Year"),AO22,IF(AND($A$2=4,VLOOKUP($A22,'District Level ADM'!$A$5:$W$52,5,FALSE)="3-Year Avg."),AA22,IF($A$2=2,AO22,IF($A$2=3,AA22,IF(($AG22&gt;$AU22),AA22,AO22)))))</f>
        <v>0</v>
      </c>
      <c r="N22" s="317">
        <f>IF(AND($A$2=4,VLOOKUP($A22,'District Level ADM'!$A$5:$W$52,5,FALSE)="Prior Year"),AP22,IF(AND($A$2=4,VLOOKUP($A22,'District Level ADM'!$A$5:$W$52,5,FALSE)="3-Year Avg."),AB22,IF($A$2=2,AP22,IF($A$2=3,AB22,IF(($AG22&gt;$AU22),AB22,AP22)))))</f>
        <v>0</v>
      </c>
      <c r="O22" s="317">
        <f>IF(AND($A$2=4,VLOOKUP($A22,'District Level ADM'!$A$5:$W$52,5,FALSE)="Prior Year"),AQ22,IF(AND($A$2=4,VLOOKUP($A22,'District Level ADM'!$A$5:$W$52,5,FALSE)="3-Year Avg."),AC22,IF($A$2=2,AQ22,IF($A$2=3,AC22,IF(($AG22&gt;$AU22),AC22,AQ22)))))</f>
        <v>3.94</v>
      </c>
      <c r="P22" s="317">
        <f>IF(AND($A$2=4,VLOOKUP($A22,'District Level ADM'!$A$5:$W$52,5,FALSE)="Prior Year"),AR22,IF(AND($A$2=4,VLOOKUP($A22,'District Level ADM'!$A$5:$W$52,5,FALSE)="3-Year Avg."),AD22,IF($A$2=2,AR22,IF($A$2=3,AD22,IF(($AG22&gt;$AU22),AD22,AR22)))))</f>
        <v>5.91</v>
      </c>
      <c r="Q22" s="317">
        <f>IF(AND($A$2=4,VLOOKUP($A22,'District Level ADM'!$A$5:$W$52,5,FALSE)="Prior Year"),AS22,IF(AND($A$2=4,VLOOKUP($A22,'District Level ADM'!$A$5:$W$52,5,FALSE)="3-Year Avg."),AE22,IF($A$2=2,AS22,IF($A$2=3,AE22,IF(($AG22&gt;$AU22),AE22,AS22)))))</f>
        <v>15.76</v>
      </c>
      <c r="R22" s="317">
        <f>IF(AND($A$2=4,VLOOKUP($A22,'District Level ADM'!$A$5:$W$52,5,FALSE)="Prior Year"),AT22,IF(AND($A$2=4,VLOOKUP($A22,'District Level ADM'!$A$5:$W$52,5,FALSE)="3-Year Avg."),AF22,IF($A$2=2,AT22,IF($A$2=3,AF22,IF(($AG22&gt;$AU22),AF22,AT22)))))</f>
        <v>10.835000000000001</v>
      </c>
      <c r="S22" s="317">
        <f t="shared" si="1"/>
        <v>36.445</v>
      </c>
      <c r="T22" s="317">
        <f t="shared" si="2"/>
        <v>0</v>
      </c>
      <c r="U22" s="317">
        <f t="shared" si="2"/>
        <v>0</v>
      </c>
      <c r="V22" s="317">
        <f t="shared" si="2"/>
        <v>0</v>
      </c>
      <c r="W22" s="317">
        <f t="shared" si="2"/>
        <v>0</v>
      </c>
      <c r="X22" s="317">
        <f t="shared" si="2"/>
        <v>0</v>
      </c>
      <c r="Y22" s="317">
        <f t="shared" si="2"/>
        <v>0</v>
      </c>
      <c r="Z22" s="317">
        <f t="shared" si="2"/>
        <v>0</v>
      </c>
      <c r="AA22" s="317">
        <f t="shared" si="2"/>
        <v>0</v>
      </c>
      <c r="AB22" s="317">
        <f t="shared" si="2"/>
        <v>0</v>
      </c>
      <c r="AC22" s="317">
        <f t="shared" si="2"/>
        <v>5.5616666666666665</v>
      </c>
      <c r="AD22" s="317">
        <f t="shared" si="2"/>
        <v>10.067</v>
      </c>
      <c r="AE22" s="317">
        <f t="shared" si="2"/>
        <v>16.417333333333332</v>
      </c>
      <c r="AF22" s="317">
        <f t="shared" si="2"/>
        <v>15.611666666666666</v>
      </c>
      <c r="AG22" s="317">
        <f t="shared" si="3"/>
        <v>47.657666666666664</v>
      </c>
      <c r="AH22" s="318">
        <v>0</v>
      </c>
      <c r="AI22" s="318">
        <v>0</v>
      </c>
      <c r="AJ22" s="318">
        <v>0</v>
      </c>
      <c r="AK22" s="318">
        <v>0</v>
      </c>
      <c r="AL22" s="318">
        <v>0</v>
      </c>
      <c r="AM22" s="318">
        <v>0</v>
      </c>
      <c r="AN22" s="318">
        <v>0</v>
      </c>
      <c r="AO22" s="318">
        <v>0</v>
      </c>
      <c r="AP22" s="318">
        <v>0</v>
      </c>
      <c r="AQ22" s="318">
        <v>3.94</v>
      </c>
      <c r="AR22" s="318">
        <v>5.91</v>
      </c>
      <c r="AS22" s="318">
        <v>15.76</v>
      </c>
      <c r="AT22" s="318">
        <v>10.835000000000001</v>
      </c>
      <c r="AU22" s="317">
        <f t="shared" si="4"/>
        <v>36.445</v>
      </c>
      <c r="AV22" s="319">
        <v>0</v>
      </c>
      <c r="AW22" s="319">
        <v>0</v>
      </c>
      <c r="AX22" s="319">
        <v>0</v>
      </c>
      <c r="AY22" s="319">
        <v>0</v>
      </c>
      <c r="AZ22" s="319">
        <v>0</v>
      </c>
      <c r="BA22" s="319">
        <v>0</v>
      </c>
      <c r="BB22" s="319">
        <v>0</v>
      </c>
      <c r="BC22" s="319">
        <v>0</v>
      </c>
      <c r="BD22" s="319">
        <v>0</v>
      </c>
      <c r="BE22" s="319">
        <v>1.754</v>
      </c>
      <c r="BF22" s="319">
        <v>11.48</v>
      </c>
      <c r="BG22" s="319">
        <v>14.509</v>
      </c>
      <c r="BH22" s="319">
        <v>22.501000000000001</v>
      </c>
      <c r="BI22" s="317">
        <f t="shared" si="5"/>
        <v>50.244</v>
      </c>
      <c r="BJ22" s="316">
        <v>0</v>
      </c>
      <c r="BK22" s="316">
        <v>0</v>
      </c>
      <c r="BL22" s="316">
        <v>0</v>
      </c>
      <c r="BM22" s="316">
        <v>0</v>
      </c>
      <c r="BN22" s="316">
        <v>0</v>
      </c>
      <c r="BO22" s="316">
        <v>0</v>
      </c>
      <c r="BP22" s="316">
        <v>0</v>
      </c>
      <c r="BQ22" s="316">
        <v>0</v>
      </c>
      <c r="BR22" s="316">
        <v>0</v>
      </c>
      <c r="BS22" s="316">
        <v>10.991</v>
      </c>
      <c r="BT22" s="316">
        <v>12.811</v>
      </c>
      <c r="BU22" s="316">
        <v>18.983000000000001</v>
      </c>
      <c r="BV22" s="316">
        <v>13.499000000000001</v>
      </c>
      <c r="BW22" s="317">
        <f t="shared" si="6"/>
        <v>56.283999999999999</v>
      </c>
    </row>
    <row r="23" spans="1:75" x14ac:dyDescent="0.2">
      <c r="A23" s="20" t="str">
        <f>'School Level Inst. Resources'!A23</f>
        <v>0201000</v>
      </c>
      <c r="B23" s="20" t="str">
        <f>'School Level Inst. Resources'!B23</f>
        <v>Big Horn #1</v>
      </c>
      <c r="C23" s="20" t="str">
        <f>'School Level Inst. Resources'!C23</f>
        <v>0201001</v>
      </c>
      <c r="D23" s="20" t="str">
        <f>'School Level Inst. Resources'!D23</f>
        <v>Burlington Elementary</v>
      </c>
      <c r="E23" s="138" t="str">
        <f>'School Level Inst. Resources'!E23</f>
        <v>P-5</v>
      </c>
      <c r="F23" s="317">
        <f>IF(AND($A$2=4,VLOOKUP($A23,'District Level ADM'!$A$5:$W$52,5,FALSE)="Prior Year"),AH23,IF(AND($A$2=4,VLOOKUP($A23,'District Level ADM'!$A$5:$W$52,5,FALSE)="3-Year Avg."),T23,IF($A$2=2,AH23,IF($A$2=3,T23,IF(($AG23&gt;$AU23),T23,AH23)))))</f>
        <v>21.67</v>
      </c>
      <c r="G23" s="317">
        <f>IF(AND($A$2=4,VLOOKUP($A23,'District Level ADM'!$A$5:$W$52,5,FALSE)="Prior Year"),AI23,IF(AND($A$2=4,VLOOKUP($A23,'District Level ADM'!$A$5:$W$52,5,FALSE)="3-Year Avg."),U23,IF($A$2=2,AI23,IF($A$2=3,U23,IF(($AG23&gt;$AU23),U23,AI23)))))</f>
        <v>13.79</v>
      </c>
      <c r="H23" s="317">
        <f>IF(AND($A$2=4,VLOOKUP($A23,'District Level ADM'!$A$5:$W$52,5,FALSE)="Prior Year"),AJ23,IF(AND($A$2=4,VLOOKUP($A23,'District Level ADM'!$A$5:$W$52,5,FALSE)="3-Year Avg."),V23,IF($A$2=2,AJ23,IF($A$2=3,V23,IF(($AG23&gt;$AU23),V23,AJ23)))))</f>
        <v>14.775</v>
      </c>
      <c r="I23" s="317">
        <f>IF(AND($A$2=4,VLOOKUP($A23,'District Level ADM'!$A$5:$W$52,5,FALSE)="Prior Year"),AK23,IF(AND($A$2=4,VLOOKUP($A23,'District Level ADM'!$A$5:$W$52,5,FALSE)="3-Year Avg."),W23,IF($A$2=2,AK23,IF($A$2=3,W23,IF(($AG23&gt;$AU23),W23,AK23)))))</f>
        <v>19.7</v>
      </c>
      <c r="J23" s="317">
        <f>IF(AND($A$2=4,VLOOKUP($A23,'District Level ADM'!$A$5:$W$52,5,FALSE)="Prior Year"),AL23,IF(AND($A$2=4,VLOOKUP($A23,'District Level ADM'!$A$5:$W$52,5,FALSE)="3-Year Avg."),X23,IF($A$2=2,AL23,IF($A$2=3,X23,IF(($AG23&gt;$AU23),X23,AL23)))))</f>
        <v>16.745000000000001</v>
      </c>
      <c r="K23" s="317">
        <f>IF(AND($A$2=4,VLOOKUP($A23,'District Level ADM'!$A$5:$W$52,5,FALSE)="Prior Year"),AM23,IF(AND($A$2=4,VLOOKUP($A23,'District Level ADM'!$A$5:$W$52,5,FALSE)="3-Year Avg."),Y23,IF($A$2=2,AM23,IF($A$2=3,Y23,IF(($AG23&gt;$AU23),Y23,AM23)))))</f>
        <v>22.655000000000001</v>
      </c>
      <c r="L23" s="317">
        <f>IF(AND($A$2=4,VLOOKUP($A23,'District Level ADM'!$A$5:$W$52,5,FALSE)="Prior Year"),AN23,IF(AND($A$2=4,VLOOKUP($A23,'District Level ADM'!$A$5:$W$52,5,FALSE)="3-Year Avg."),Z23,IF($A$2=2,AN23,IF($A$2=3,Z23,IF(($AG23&gt;$AU23),Z23,AN23)))))</f>
        <v>0</v>
      </c>
      <c r="M23" s="317">
        <f>IF(AND($A$2=4,VLOOKUP($A23,'District Level ADM'!$A$5:$W$52,5,FALSE)="Prior Year"),AO23,IF(AND($A$2=4,VLOOKUP($A23,'District Level ADM'!$A$5:$W$52,5,FALSE)="3-Year Avg."),AA23,IF($A$2=2,AO23,IF($A$2=3,AA23,IF(($AG23&gt;$AU23),AA23,AO23)))))</f>
        <v>0</v>
      </c>
      <c r="N23" s="317">
        <f>IF(AND($A$2=4,VLOOKUP($A23,'District Level ADM'!$A$5:$W$52,5,FALSE)="Prior Year"),AP23,IF(AND($A$2=4,VLOOKUP($A23,'District Level ADM'!$A$5:$W$52,5,FALSE)="3-Year Avg."),AB23,IF($A$2=2,AP23,IF($A$2=3,AB23,IF(($AG23&gt;$AU23),AB23,AP23)))))</f>
        <v>0</v>
      </c>
      <c r="O23" s="317">
        <f>IF(AND($A$2=4,VLOOKUP($A23,'District Level ADM'!$A$5:$W$52,5,FALSE)="Prior Year"),AQ23,IF(AND($A$2=4,VLOOKUP($A23,'District Level ADM'!$A$5:$W$52,5,FALSE)="3-Year Avg."),AC23,IF($A$2=2,AQ23,IF($A$2=3,AC23,IF(($AG23&gt;$AU23),AC23,AQ23)))))</f>
        <v>0</v>
      </c>
      <c r="P23" s="317">
        <f>IF(AND($A$2=4,VLOOKUP($A23,'District Level ADM'!$A$5:$W$52,5,FALSE)="Prior Year"),AR23,IF(AND($A$2=4,VLOOKUP($A23,'District Level ADM'!$A$5:$W$52,5,FALSE)="3-Year Avg."),AD23,IF($A$2=2,AR23,IF($A$2=3,AD23,IF(($AG23&gt;$AU23),AD23,AR23)))))</f>
        <v>0</v>
      </c>
      <c r="Q23" s="317">
        <f>IF(AND($A$2=4,VLOOKUP($A23,'District Level ADM'!$A$5:$W$52,5,FALSE)="Prior Year"),AS23,IF(AND($A$2=4,VLOOKUP($A23,'District Level ADM'!$A$5:$W$52,5,FALSE)="3-Year Avg."),AE23,IF($A$2=2,AS23,IF($A$2=3,AE23,IF(($AG23&gt;$AU23),AE23,AS23)))))</f>
        <v>0</v>
      </c>
      <c r="R23" s="317">
        <f>IF(AND($A$2=4,VLOOKUP($A23,'District Level ADM'!$A$5:$W$52,5,FALSE)="Prior Year"),AT23,IF(AND($A$2=4,VLOOKUP($A23,'District Level ADM'!$A$5:$W$52,5,FALSE)="3-Year Avg."),AF23,IF($A$2=2,AT23,IF($A$2=3,AF23,IF(($AG23&gt;$AU23),AF23,AT23)))))</f>
        <v>0</v>
      </c>
      <c r="S23" s="317">
        <f t="shared" si="1"/>
        <v>109.33500000000001</v>
      </c>
      <c r="T23" s="317">
        <f t="shared" si="2"/>
        <v>15.97</v>
      </c>
      <c r="U23" s="317">
        <f t="shared" si="2"/>
        <v>14.387</v>
      </c>
      <c r="V23" s="317">
        <f t="shared" si="2"/>
        <v>16.534666666666666</v>
      </c>
      <c r="W23" s="317">
        <f t="shared" si="2"/>
        <v>19.191333333333333</v>
      </c>
      <c r="X23" s="317">
        <f t="shared" si="2"/>
        <v>18.764666666666667</v>
      </c>
      <c r="Y23" s="317">
        <f t="shared" si="2"/>
        <v>20.376333333333335</v>
      </c>
      <c r="Z23" s="317">
        <f t="shared" si="2"/>
        <v>0</v>
      </c>
      <c r="AA23" s="317">
        <f t="shared" si="2"/>
        <v>0</v>
      </c>
      <c r="AB23" s="317">
        <f t="shared" si="2"/>
        <v>0</v>
      </c>
      <c r="AC23" s="317">
        <f t="shared" si="2"/>
        <v>0</v>
      </c>
      <c r="AD23" s="317">
        <f t="shared" si="2"/>
        <v>0</v>
      </c>
      <c r="AE23" s="317">
        <f t="shared" si="2"/>
        <v>0</v>
      </c>
      <c r="AF23" s="317">
        <f t="shared" si="2"/>
        <v>0</v>
      </c>
      <c r="AG23" s="317">
        <f t="shared" si="3"/>
        <v>105.224</v>
      </c>
      <c r="AH23" s="318">
        <v>21.67</v>
      </c>
      <c r="AI23" s="318">
        <v>13.79</v>
      </c>
      <c r="AJ23" s="318">
        <v>14.775</v>
      </c>
      <c r="AK23" s="318">
        <v>19.7</v>
      </c>
      <c r="AL23" s="318">
        <v>16.745000000000001</v>
      </c>
      <c r="AM23" s="318">
        <v>22.655000000000001</v>
      </c>
      <c r="AN23" s="318">
        <v>0</v>
      </c>
      <c r="AO23" s="318">
        <v>0</v>
      </c>
      <c r="AP23" s="318">
        <v>0</v>
      </c>
      <c r="AQ23" s="318">
        <v>0</v>
      </c>
      <c r="AR23" s="318">
        <v>0</v>
      </c>
      <c r="AS23" s="318">
        <v>0</v>
      </c>
      <c r="AT23" s="318">
        <v>0</v>
      </c>
      <c r="AU23" s="317">
        <f t="shared" si="4"/>
        <v>109.33500000000001</v>
      </c>
      <c r="AV23" s="319">
        <v>13.24</v>
      </c>
      <c r="AW23" s="319">
        <v>13.593999999999999</v>
      </c>
      <c r="AX23" s="319">
        <v>19</v>
      </c>
      <c r="AY23" s="319">
        <v>16.873999999999999</v>
      </c>
      <c r="AZ23" s="319">
        <v>23</v>
      </c>
      <c r="BA23" s="319">
        <v>18</v>
      </c>
      <c r="BB23" s="319">
        <v>0</v>
      </c>
      <c r="BC23" s="319">
        <v>0</v>
      </c>
      <c r="BD23" s="319">
        <v>0</v>
      </c>
      <c r="BE23" s="319">
        <v>0</v>
      </c>
      <c r="BF23" s="319">
        <v>0</v>
      </c>
      <c r="BG23" s="319">
        <v>0</v>
      </c>
      <c r="BH23" s="319">
        <v>0</v>
      </c>
      <c r="BI23" s="317">
        <f t="shared" si="5"/>
        <v>103.708</v>
      </c>
      <c r="BJ23" s="316">
        <v>13</v>
      </c>
      <c r="BK23" s="316">
        <v>15.776999999999999</v>
      </c>
      <c r="BL23" s="316">
        <v>15.829000000000001</v>
      </c>
      <c r="BM23" s="316">
        <v>21</v>
      </c>
      <c r="BN23" s="316">
        <v>16.548999999999999</v>
      </c>
      <c r="BO23" s="316">
        <v>20.474</v>
      </c>
      <c r="BP23" s="316">
        <v>0</v>
      </c>
      <c r="BQ23" s="316">
        <v>0</v>
      </c>
      <c r="BR23" s="316">
        <v>0</v>
      </c>
      <c r="BS23" s="316">
        <v>0</v>
      </c>
      <c r="BT23" s="316">
        <v>0</v>
      </c>
      <c r="BU23" s="316">
        <v>0</v>
      </c>
      <c r="BV23" s="316">
        <v>0</v>
      </c>
      <c r="BW23" s="317">
        <f t="shared" si="6"/>
        <v>102.629</v>
      </c>
    </row>
    <row r="24" spans="1:75" x14ac:dyDescent="0.2">
      <c r="A24" s="20" t="str">
        <f>'School Level Inst. Resources'!A24</f>
        <v>0201000</v>
      </c>
      <c r="B24" s="20" t="str">
        <f>'School Level Inst. Resources'!B24</f>
        <v>Big Horn #1</v>
      </c>
      <c r="C24" s="20" t="str">
        <f>'School Level Inst. Resources'!C24</f>
        <v>0201004</v>
      </c>
      <c r="D24" s="20" t="str">
        <f>'School Level Inst. Resources'!D24</f>
        <v>Rocky Mountain Elementary</v>
      </c>
      <c r="E24" s="138" t="str">
        <f>'School Level Inst. Resources'!E24</f>
        <v>P-5</v>
      </c>
      <c r="F24" s="317">
        <f>IF(AND($A$2=4,VLOOKUP($A24,'District Level ADM'!$A$5:$W$52,5,FALSE)="Prior Year"),AH24,IF(AND($A$2=4,VLOOKUP($A24,'District Level ADM'!$A$5:$W$52,5,FALSE)="3-Year Avg."),T24,IF($A$2=2,AH24,IF($A$2=3,T24,IF(($AG24&gt;$AU24),T24,AH24)))))</f>
        <v>45.31</v>
      </c>
      <c r="G24" s="317">
        <f>IF(AND($A$2=4,VLOOKUP($A24,'District Level ADM'!$A$5:$W$52,5,FALSE)="Prior Year"),AI24,IF(AND($A$2=4,VLOOKUP($A24,'District Level ADM'!$A$5:$W$52,5,FALSE)="3-Year Avg."),U24,IF($A$2=2,AI24,IF($A$2=3,U24,IF(($AG24&gt;$AU24),U24,AI24)))))</f>
        <v>40.384999999999998</v>
      </c>
      <c r="H24" s="317">
        <f>IF(AND($A$2=4,VLOOKUP($A24,'District Level ADM'!$A$5:$W$52,5,FALSE)="Prior Year"),AJ24,IF(AND($A$2=4,VLOOKUP($A24,'District Level ADM'!$A$5:$W$52,5,FALSE)="3-Year Avg."),V24,IF($A$2=2,AJ24,IF($A$2=3,V24,IF(($AG24&gt;$AU24),V24,AJ24)))))</f>
        <v>47.28</v>
      </c>
      <c r="I24" s="317">
        <f>IF(AND($A$2=4,VLOOKUP($A24,'District Level ADM'!$A$5:$W$52,5,FALSE)="Prior Year"),AK24,IF(AND($A$2=4,VLOOKUP($A24,'District Level ADM'!$A$5:$W$52,5,FALSE)="3-Year Avg."),W24,IF($A$2=2,AK24,IF($A$2=3,W24,IF(($AG24&gt;$AU24),W24,AK24)))))</f>
        <v>47.28</v>
      </c>
      <c r="J24" s="317">
        <f>IF(AND($A$2=4,VLOOKUP($A24,'District Level ADM'!$A$5:$W$52,5,FALSE)="Prior Year"),AL24,IF(AND($A$2=4,VLOOKUP($A24,'District Level ADM'!$A$5:$W$52,5,FALSE)="3-Year Avg."),X24,IF($A$2=2,AL24,IF($A$2=3,X24,IF(($AG24&gt;$AU24),X24,AL24)))))</f>
        <v>65.010000000000005</v>
      </c>
      <c r="K24" s="317">
        <f>IF(AND($A$2=4,VLOOKUP($A24,'District Level ADM'!$A$5:$W$52,5,FALSE)="Prior Year"),AM24,IF(AND($A$2=4,VLOOKUP($A24,'District Level ADM'!$A$5:$W$52,5,FALSE)="3-Year Avg."),Y24,IF($A$2=2,AM24,IF($A$2=3,Y24,IF(($AG24&gt;$AU24),Y24,AM24)))))</f>
        <v>45.31</v>
      </c>
      <c r="L24" s="317">
        <f>IF(AND($A$2=4,VLOOKUP($A24,'District Level ADM'!$A$5:$W$52,5,FALSE)="Prior Year"),AN24,IF(AND($A$2=4,VLOOKUP($A24,'District Level ADM'!$A$5:$W$52,5,FALSE)="3-Year Avg."),Z24,IF($A$2=2,AN24,IF($A$2=3,Z24,IF(($AG24&gt;$AU24),Z24,AN24)))))</f>
        <v>0</v>
      </c>
      <c r="M24" s="317">
        <f>IF(AND($A$2=4,VLOOKUP($A24,'District Level ADM'!$A$5:$W$52,5,FALSE)="Prior Year"),AO24,IF(AND($A$2=4,VLOOKUP($A24,'District Level ADM'!$A$5:$W$52,5,FALSE)="3-Year Avg."),AA24,IF($A$2=2,AO24,IF($A$2=3,AA24,IF(($AG24&gt;$AU24),AA24,AO24)))))</f>
        <v>0</v>
      </c>
      <c r="N24" s="317">
        <f>IF(AND($A$2=4,VLOOKUP($A24,'District Level ADM'!$A$5:$W$52,5,FALSE)="Prior Year"),AP24,IF(AND($A$2=4,VLOOKUP($A24,'District Level ADM'!$A$5:$W$52,5,FALSE)="3-Year Avg."),AB24,IF($A$2=2,AP24,IF($A$2=3,AB24,IF(($AG24&gt;$AU24),AB24,AP24)))))</f>
        <v>0</v>
      </c>
      <c r="O24" s="317">
        <f>IF(AND($A$2=4,VLOOKUP($A24,'District Level ADM'!$A$5:$W$52,5,FALSE)="Prior Year"),AQ24,IF(AND($A$2=4,VLOOKUP($A24,'District Level ADM'!$A$5:$W$52,5,FALSE)="3-Year Avg."),AC24,IF($A$2=2,AQ24,IF($A$2=3,AC24,IF(($AG24&gt;$AU24),AC24,AQ24)))))</f>
        <v>0</v>
      </c>
      <c r="P24" s="317">
        <f>IF(AND($A$2=4,VLOOKUP($A24,'District Level ADM'!$A$5:$W$52,5,FALSE)="Prior Year"),AR24,IF(AND($A$2=4,VLOOKUP($A24,'District Level ADM'!$A$5:$W$52,5,FALSE)="3-Year Avg."),AD24,IF($A$2=2,AR24,IF($A$2=3,AD24,IF(($AG24&gt;$AU24),AD24,AR24)))))</f>
        <v>0</v>
      </c>
      <c r="Q24" s="317">
        <f>IF(AND($A$2=4,VLOOKUP($A24,'District Level ADM'!$A$5:$W$52,5,FALSE)="Prior Year"),AS24,IF(AND($A$2=4,VLOOKUP($A24,'District Level ADM'!$A$5:$W$52,5,FALSE)="3-Year Avg."),AE24,IF($A$2=2,AS24,IF($A$2=3,AE24,IF(($AG24&gt;$AU24),AE24,AS24)))))</f>
        <v>0</v>
      </c>
      <c r="R24" s="317">
        <f>IF(AND($A$2=4,VLOOKUP($A24,'District Level ADM'!$A$5:$W$52,5,FALSE)="Prior Year"),AT24,IF(AND($A$2=4,VLOOKUP($A24,'District Level ADM'!$A$5:$W$52,5,FALSE)="3-Year Avg."),AF24,IF($A$2=2,AT24,IF($A$2=3,AF24,IF(($AG24&gt;$AU24),AF24,AT24)))))</f>
        <v>0</v>
      </c>
      <c r="S24" s="317">
        <f t="shared" si="1"/>
        <v>290.57499999999999</v>
      </c>
      <c r="T24" s="317">
        <f t="shared" si="2"/>
        <v>42.256666666666668</v>
      </c>
      <c r="U24" s="317">
        <f t="shared" si="2"/>
        <v>43.599333333333334</v>
      </c>
      <c r="V24" s="317">
        <f t="shared" si="2"/>
        <v>51.413000000000004</v>
      </c>
      <c r="W24" s="317">
        <f t="shared" si="2"/>
        <v>50.51</v>
      </c>
      <c r="X24" s="317">
        <f t="shared" si="2"/>
        <v>53.316666666666663</v>
      </c>
      <c r="Y24" s="317">
        <f t="shared" si="2"/>
        <v>48.036333333333324</v>
      </c>
      <c r="Z24" s="317">
        <f t="shared" si="2"/>
        <v>0</v>
      </c>
      <c r="AA24" s="317">
        <f t="shared" si="2"/>
        <v>0</v>
      </c>
      <c r="AB24" s="317">
        <f t="shared" si="2"/>
        <v>0</v>
      </c>
      <c r="AC24" s="317">
        <f t="shared" si="2"/>
        <v>0</v>
      </c>
      <c r="AD24" s="317">
        <f t="shared" si="2"/>
        <v>0</v>
      </c>
      <c r="AE24" s="317">
        <f t="shared" si="2"/>
        <v>0</v>
      </c>
      <c r="AF24" s="317">
        <f t="shared" si="2"/>
        <v>0</v>
      </c>
      <c r="AG24" s="317">
        <f t="shared" si="3"/>
        <v>289.13200000000001</v>
      </c>
      <c r="AH24" s="318">
        <v>45.31</v>
      </c>
      <c r="AI24" s="318">
        <v>40.384999999999998</v>
      </c>
      <c r="AJ24" s="318">
        <v>47.28</v>
      </c>
      <c r="AK24" s="318">
        <v>47.28</v>
      </c>
      <c r="AL24" s="318">
        <v>65.010000000000005</v>
      </c>
      <c r="AM24" s="318">
        <v>45.31</v>
      </c>
      <c r="AN24" s="318">
        <v>0</v>
      </c>
      <c r="AO24" s="318">
        <v>0</v>
      </c>
      <c r="AP24" s="318">
        <v>0</v>
      </c>
      <c r="AQ24" s="318">
        <v>0</v>
      </c>
      <c r="AR24" s="318">
        <v>0</v>
      </c>
      <c r="AS24" s="318">
        <v>0</v>
      </c>
      <c r="AT24" s="318">
        <v>0</v>
      </c>
      <c r="AU24" s="317">
        <f t="shared" si="4"/>
        <v>290.57499999999999</v>
      </c>
      <c r="AV24" s="319">
        <v>38.780999999999999</v>
      </c>
      <c r="AW24" s="319">
        <v>38.828000000000003</v>
      </c>
      <c r="AX24" s="319">
        <v>46.709000000000003</v>
      </c>
      <c r="AY24" s="319">
        <v>60.594999999999999</v>
      </c>
      <c r="AZ24" s="319">
        <v>45.817</v>
      </c>
      <c r="BA24" s="319">
        <v>46.295999999999999</v>
      </c>
      <c r="BB24" s="319">
        <v>0</v>
      </c>
      <c r="BC24" s="319">
        <v>0</v>
      </c>
      <c r="BD24" s="319">
        <v>0</v>
      </c>
      <c r="BE24" s="319">
        <v>0</v>
      </c>
      <c r="BF24" s="319">
        <v>0</v>
      </c>
      <c r="BG24" s="319">
        <v>0</v>
      </c>
      <c r="BH24" s="319">
        <v>0</v>
      </c>
      <c r="BI24" s="317">
        <f t="shared" si="5"/>
        <v>277.02600000000001</v>
      </c>
      <c r="BJ24" s="316">
        <v>42.679000000000002</v>
      </c>
      <c r="BK24" s="316">
        <v>51.585000000000001</v>
      </c>
      <c r="BL24" s="316">
        <v>60.25</v>
      </c>
      <c r="BM24" s="316">
        <v>43.655000000000001</v>
      </c>
      <c r="BN24" s="316">
        <v>49.122999999999998</v>
      </c>
      <c r="BO24" s="316">
        <v>52.503</v>
      </c>
      <c r="BP24" s="316">
        <v>0</v>
      </c>
      <c r="BQ24" s="316">
        <v>0</v>
      </c>
      <c r="BR24" s="316">
        <v>0</v>
      </c>
      <c r="BS24" s="316">
        <v>0</v>
      </c>
      <c r="BT24" s="316">
        <v>0</v>
      </c>
      <c r="BU24" s="316">
        <v>0</v>
      </c>
      <c r="BV24" s="316">
        <v>0</v>
      </c>
      <c r="BW24" s="317">
        <f t="shared" si="6"/>
        <v>299.79500000000002</v>
      </c>
    </row>
    <row r="25" spans="1:75" x14ac:dyDescent="0.2">
      <c r="A25" s="20" t="str">
        <f>'School Level Inst. Resources'!A25</f>
        <v>0201000</v>
      </c>
      <c r="B25" s="20" t="str">
        <f>'School Level Inst. Resources'!B25</f>
        <v>Big Horn #1</v>
      </c>
      <c r="C25" s="20" t="str">
        <f>'School Level Inst. Resources'!C25</f>
        <v>0201050</v>
      </c>
      <c r="D25" s="20" t="str">
        <f>'School Level Inst. Resources'!D25</f>
        <v>Burlington Middle School</v>
      </c>
      <c r="E25" s="138" t="str">
        <f>'School Level Inst. Resources'!E25</f>
        <v>6-8</v>
      </c>
      <c r="F25" s="317">
        <f>IF(AND($A$2=4,VLOOKUP($A25,'District Level ADM'!$A$5:$W$52,5,FALSE)="Prior Year"),AH25,IF(AND($A$2=4,VLOOKUP($A25,'District Level ADM'!$A$5:$W$52,5,FALSE)="3-Year Avg."),T25,IF($A$2=2,AH25,IF($A$2=3,T25,IF(($AG25&gt;$AU25),T25,AH25)))))</f>
        <v>0</v>
      </c>
      <c r="G25" s="317">
        <f>IF(AND($A$2=4,VLOOKUP($A25,'District Level ADM'!$A$5:$W$52,5,FALSE)="Prior Year"),AI25,IF(AND($A$2=4,VLOOKUP($A25,'District Level ADM'!$A$5:$W$52,5,FALSE)="3-Year Avg."),U25,IF($A$2=2,AI25,IF($A$2=3,U25,IF(($AG25&gt;$AU25),U25,AI25)))))</f>
        <v>0</v>
      </c>
      <c r="H25" s="317">
        <f>IF(AND($A$2=4,VLOOKUP($A25,'District Level ADM'!$A$5:$W$52,5,FALSE)="Prior Year"),AJ25,IF(AND($A$2=4,VLOOKUP($A25,'District Level ADM'!$A$5:$W$52,5,FALSE)="3-Year Avg."),V25,IF($A$2=2,AJ25,IF($A$2=3,V25,IF(($AG25&gt;$AU25),V25,AJ25)))))</f>
        <v>0</v>
      </c>
      <c r="I25" s="317">
        <f>IF(AND($A$2=4,VLOOKUP($A25,'District Level ADM'!$A$5:$W$52,5,FALSE)="Prior Year"),AK25,IF(AND($A$2=4,VLOOKUP($A25,'District Level ADM'!$A$5:$W$52,5,FALSE)="3-Year Avg."),W25,IF($A$2=2,AK25,IF($A$2=3,W25,IF(($AG25&gt;$AU25),W25,AK25)))))</f>
        <v>0</v>
      </c>
      <c r="J25" s="317">
        <f>IF(AND($A$2=4,VLOOKUP($A25,'District Level ADM'!$A$5:$W$52,5,FALSE)="Prior Year"),AL25,IF(AND($A$2=4,VLOOKUP($A25,'District Level ADM'!$A$5:$W$52,5,FALSE)="3-Year Avg."),X25,IF($A$2=2,AL25,IF($A$2=3,X25,IF(($AG25&gt;$AU25),X25,AL25)))))</f>
        <v>0</v>
      </c>
      <c r="K25" s="317">
        <f>IF(AND($A$2=4,VLOOKUP($A25,'District Level ADM'!$A$5:$W$52,5,FALSE)="Prior Year"),AM25,IF(AND($A$2=4,VLOOKUP($A25,'District Level ADM'!$A$5:$W$52,5,FALSE)="3-Year Avg."),Y25,IF($A$2=2,AM25,IF($A$2=3,Y25,IF(($AG25&gt;$AU25),Y25,AM25)))))</f>
        <v>0</v>
      </c>
      <c r="L25" s="317">
        <f>IF(AND($A$2=4,VLOOKUP($A25,'District Level ADM'!$A$5:$W$52,5,FALSE)="Prior Year"),AN25,IF(AND($A$2=4,VLOOKUP($A25,'District Level ADM'!$A$5:$W$52,5,FALSE)="3-Year Avg."),Z25,IF($A$2=2,AN25,IF($A$2=3,Z25,IF(($AG25&gt;$AU25),Z25,AN25)))))</f>
        <v>19.7</v>
      </c>
      <c r="M25" s="317">
        <f>IF(AND($A$2=4,VLOOKUP($A25,'District Level ADM'!$A$5:$W$52,5,FALSE)="Prior Year"),AO25,IF(AND($A$2=4,VLOOKUP($A25,'District Level ADM'!$A$5:$W$52,5,FALSE)="3-Year Avg."),AA25,IF($A$2=2,AO25,IF($A$2=3,AA25,IF(($AG25&gt;$AU25),AA25,AO25)))))</f>
        <v>20.684999999999999</v>
      </c>
      <c r="N25" s="317">
        <f>IF(AND($A$2=4,VLOOKUP($A25,'District Level ADM'!$A$5:$W$52,5,FALSE)="Prior Year"),AP25,IF(AND($A$2=4,VLOOKUP($A25,'District Level ADM'!$A$5:$W$52,5,FALSE)="3-Year Avg."),AB25,IF($A$2=2,AP25,IF($A$2=3,AB25,IF(($AG25&gt;$AU25),AB25,AP25)))))</f>
        <v>14.775</v>
      </c>
      <c r="O25" s="317">
        <f>IF(AND($A$2=4,VLOOKUP($A25,'District Level ADM'!$A$5:$W$52,5,FALSE)="Prior Year"),AQ25,IF(AND($A$2=4,VLOOKUP($A25,'District Level ADM'!$A$5:$W$52,5,FALSE)="3-Year Avg."),AC25,IF($A$2=2,AQ25,IF($A$2=3,AC25,IF(($AG25&gt;$AU25),AC25,AQ25)))))</f>
        <v>0</v>
      </c>
      <c r="P25" s="317">
        <f>IF(AND($A$2=4,VLOOKUP($A25,'District Level ADM'!$A$5:$W$52,5,FALSE)="Prior Year"),AR25,IF(AND($A$2=4,VLOOKUP($A25,'District Level ADM'!$A$5:$W$52,5,FALSE)="3-Year Avg."),AD25,IF($A$2=2,AR25,IF($A$2=3,AD25,IF(($AG25&gt;$AU25),AD25,AR25)))))</f>
        <v>0</v>
      </c>
      <c r="Q25" s="317">
        <f>IF(AND($A$2=4,VLOOKUP($A25,'District Level ADM'!$A$5:$W$52,5,FALSE)="Prior Year"),AS25,IF(AND($A$2=4,VLOOKUP($A25,'District Level ADM'!$A$5:$W$52,5,FALSE)="3-Year Avg."),AE25,IF($A$2=2,AS25,IF($A$2=3,AE25,IF(($AG25&gt;$AU25),AE25,AS25)))))</f>
        <v>0</v>
      </c>
      <c r="R25" s="317">
        <f>IF(AND($A$2=4,VLOOKUP($A25,'District Level ADM'!$A$5:$W$52,5,FALSE)="Prior Year"),AT25,IF(AND($A$2=4,VLOOKUP($A25,'District Level ADM'!$A$5:$W$52,5,FALSE)="3-Year Avg."),AF25,IF($A$2=2,AT25,IF($A$2=3,AF25,IF(($AG25&gt;$AU25),AF25,AT25)))))</f>
        <v>0</v>
      </c>
      <c r="S25" s="317">
        <f t="shared" si="1"/>
        <v>55.16</v>
      </c>
      <c r="T25" s="317">
        <f t="shared" si="2"/>
        <v>0</v>
      </c>
      <c r="U25" s="317">
        <f t="shared" si="2"/>
        <v>0</v>
      </c>
      <c r="V25" s="317">
        <f t="shared" si="2"/>
        <v>0</v>
      </c>
      <c r="W25" s="317">
        <f t="shared" si="2"/>
        <v>0</v>
      </c>
      <c r="X25" s="317">
        <f t="shared" si="2"/>
        <v>0</v>
      </c>
      <c r="Y25" s="317">
        <f t="shared" si="2"/>
        <v>0</v>
      </c>
      <c r="Z25" s="317">
        <f t="shared" si="2"/>
        <v>18.656333333333333</v>
      </c>
      <c r="AA25" s="317">
        <f t="shared" si="2"/>
        <v>19.203666666666667</v>
      </c>
      <c r="AB25" s="317">
        <f t="shared" si="2"/>
        <v>16.483000000000001</v>
      </c>
      <c r="AC25" s="317">
        <f t="shared" si="2"/>
        <v>0</v>
      </c>
      <c r="AD25" s="317">
        <f t="shared" si="2"/>
        <v>0</v>
      </c>
      <c r="AE25" s="317">
        <f t="shared" si="2"/>
        <v>0</v>
      </c>
      <c r="AF25" s="317">
        <f t="shared" si="2"/>
        <v>0</v>
      </c>
      <c r="AG25" s="317">
        <f t="shared" si="3"/>
        <v>54.343000000000004</v>
      </c>
      <c r="AH25" s="318">
        <v>0</v>
      </c>
      <c r="AI25" s="318">
        <v>0</v>
      </c>
      <c r="AJ25" s="318">
        <v>0</v>
      </c>
      <c r="AK25" s="318">
        <v>0</v>
      </c>
      <c r="AL25" s="318">
        <v>0</v>
      </c>
      <c r="AM25" s="318">
        <v>0</v>
      </c>
      <c r="AN25" s="318">
        <v>19.7</v>
      </c>
      <c r="AO25" s="318">
        <v>20.684999999999999</v>
      </c>
      <c r="AP25" s="318">
        <v>14.775</v>
      </c>
      <c r="AQ25" s="318">
        <v>0</v>
      </c>
      <c r="AR25" s="318">
        <v>0</v>
      </c>
      <c r="AS25" s="318">
        <v>0</v>
      </c>
      <c r="AT25" s="318">
        <v>0</v>
      </c>
      <c r="AU25" s="317">
        <f t="shared" si="4"/>
        <v>55.16</v>
      </c>
      <c r="AV25" s="319">
        <v>0</v>
      </c>
      <c r="AW25" s="319">
        <v>0</v>
      </c>
      <c r="AX25" s="319">
        <v>0</v>
      </c>
      <c r="AY25" s="319">
        <v>0</v>
      </c>
      <c r="AZ25" s="319">
        <v>0</v>
      </c>
      <c r="BA25" s="319">
        <v>0</v>
      </c>
      <c r="BB25" s="319">
        <v>21</v>
      </c>
      <c r="BC25" s="319">
        <v>16.925999999999998</v>
      </c>
      <c r="BD25" s="319">
        <v>19.234000000000002</v>
      </c>
      <c r="BE25" s="319">
        <v>0</v>
      </c>
      <c r="BF25" s="319">
        <v>0</v>
      </c>
      <c r="BG25" s="319">
        <v>0</v>
      </c>
      <c r="BH25" s="319">
        <v>0</v>
      </c>
      <c r="BI25" s="317">
        <f t="shared" si="5"/>
        <v>57.160000000000004</v>
      </c>
      <c r="BJ25" s="316">
        <v>0</v>
      </c>
      <c r="BK25" s="316">
        <v>0</v>
      </c>
      <c r="BL25" s="316">
        <v>0</v>
      </c>
      <c r="BM25" s="316">
        <v>0</v>
      </c>
      <c r="BN25" s="316">
        <v>0</v>
      </c>
      <c r="BO25" s="316">
        <v>0</v>
      </c>
      <c r="BP25" s="316">
        <v>15.269</v>
      </c>
      <c r="BQ25" s="316">
        <v>20</v>
      </c>
      <c r="BR25" s="316">
        <v>15.44</v>
      </c>
      <c r="BS25" s="316">
        <v>0</v>
      </c>
      <c r="BT25" s="316">
        <v>0</v>
      </c>
      <c r="BU25" s="316">
        <v>0</v>
      </c>
      <c r="BV25" s="316">
        <v>0</v>
      </c>
      <c r="BW25" s="317">
        <f t="shared" si="6"/>
        <v>50.708999999999996</v>
      </c>
    </row>
    <row r="26" spans="1:75" x14ac:dyDescent="0.2">
      <c r="A26" s="20" t="str">
        <f>'School Level Inst. Resources'!A26</f>
        <v>0201000</v>
      </c>
      <c r="B26" s="20" t="str">
        <f>'School Level Inst. Resources'!B26</f>
        <v>Big Horn #1</v>
      </c>
      <c r="C26" s="20" t="str">
        <f>'School Level Inst. Resources'!C26</f>
        <v>0201051</v>
      </c>
      <c r="D26" s="20" t="str">
        <f>'School Level Inst. Resources'!D26</f>
        <v>Rocky Mountain Middle School</v>
      </c>
      <c r="E26" s="138" t="str">
        <f>'School Level Inst. Resources'!E26</f>
        <v>6-8</v>
      </c>
      <c r="F26" s="317">
        <f>IF(AND($A$2=4,VLOOKUP($A26,'District Level ADM'!$A$5:$W$52,5,FALSE)="Prior Year"),AH26,IF(AND($A$2=4,VLOOKUP($A26,'District Level ADM'!$A$5:$W$52,5,FALSE)="3-Year Avg."),T26,IF($A$2=2,AH26,IF($A$2=3,T26,IF(($AG26&gt;$AU26),T26,AH26)))))</f>
        <v>0</v>
      </c>
      <c r="G26" s="317">
        <f>IF(AND($A$2=4,VLOOKUP($A26,'District Level ADM'!$A$5:$W$52,5,FALSE)="Prior Year"),AI26,IF(AND($A$2=4,VLOOKUP($A26,'District Level ADM'!$A$5:$W$52,5,FALSE)="3-Year Avg."),U26,IF($A$2=2,AI26,IF($A$2=3,U26,IF(($AG26&gt;$AU26),U26,AI26)))))</f>
        <v>0</v>
      </c>
      <c r="H26" s="317">
        <f>IF(AND($A$2=4,VLOOKUP($A26,'District Level ADM'!$A$5:$W$52,5,FALSE)="Prior Year"),AJ26,IF(AND($A$2=4,VLOOKUP($A26,'District Level ADM'!$A$5:$W$52,5,FALSE)="3-Year Avg."),V26,IF($A$2=2,AJ26,IF($A$2=3,V26,IF(($AG26&gt;$AU26),V26,AJ26)))))</f>
        <v>0</v>
      </c>
      <c r="I26" s="317">
        <f>IF(AND($A$2=4,VLOOKUP($A26,'District Level ADM'!$A$5:$W$52,5,FALSE)="Prior Year"),AK26,IF(AND($A$2=4,VLOOKUP($A26,'District Level ADM'!$A$5:$W$52,5,FALSE)="3-Year Avg."),W26,IF($A$2=2,AK26,IF($A$2=3,W26,IF(($AG26&gt;$AU26),W26,AK26)))))</f>
        <v>0</v>
      </c>
      <c r="J26" s="317">
        <f>IF(AND($A$2=4,VLOOKUP($A26,'District Level ADM'!$A$5:$W$52,5,FALSE)="Prior Year"),AL26,IF(AND($A$2=4,VLOOKUP($A26,'District Level ADM'!$A$5:$W$52,5,FALSE)="3-Year Avg."),X26,IF($A$2=2,AL26,IF($A$2=3,X26,IF(($AG26&gt;$AU26),X26,AL26)))))</f>
        <v>0</v>
      </c>
      <c r="K26" s="317">
        <f>IF(AND($A$2=4,VLOOKUP($A26,'District Level ADM'!$A$5:$W$52,5,FALSE)="Prior Year"),AM26,IF(AND($A$2=4,VLOOKUP($A26,'District Level ADM'!$A$5:$W$52,5,FALSE)="3-Year Avg."),Y26,IF($A$2=2,AM26,IF($A$2=3,Y26,IF(($AG26&gt;$AU26),Y26,AM26)))))</f>
        <v>0</v>
      </c>
      <c r="L26" s="317">
        <f>IF(AND($A$2=4,VLOOKUP($A26,'District Level ADM'!$A$5:$W$52,5,FALSE)="Prior Year"),AN26,IF(AND($A$2=4,VLOOKUP($A26,'District Level ADM'!$A$5:$W$52,5,FALSE)="3-Year Avg."),Z26,IF($A$2=2,AN26,IF($A$2=3,Z26,IF(($AG26&gt;$AU26),Z26,AN26)))))</f>
        <v>48.265000000000001</v>
      </c>
      <c r="M26" s="317">
        <f>IF(AND($A$2=4,VLOOKUP($A26,'District Level ADM'!$A$5:$W$52,5,FALSE)="Prior Year"),AO26,IF(AND($A$2=4,VLOOKUP($A26,'District Level ADM'!$A$5:$W$52,5,FALSE)="3-Year Avg."),AA26,IF($A$2=2,AO26,IF($A$2=3,AA26,IF(($AG26&gt;$AU26),AA26,AO26)))))</f>
        <v>69.935000000000002</v>
      </c>
      <c r="N26" s="317">
        <f>IF(AND($A$2=4,VLOOKUP($A26,'District Level ADM'!$A$5:$W$52,5,FALSE)="Prior Year"),AP26,IF(AND($A$2=4,VLOOKUP($A26,'District Level ADM'!$A$5:$W$52,5,FALSE)="3-Year Avg."),AB26,IF($A$2=2,AP26,IF($A$2=3,AB26,IF(($AG26&gt;$AU26),AB26,AP26)))))</f>
        <v>71.905000000000001</v>
      </c>
      <c r="O26" s="317">
        <f>IF(AND($A$2=4,VLOOKUP($A26,'District Level ADM'!$A$5:$W$52,5,FALSE)="Prior Year"),AQ26,IF(AND($A$2=4,VLOOKUP($A26,'District Level ADM'!$A$5:$W$52,5,FALSE)="3-Year Avg."),AC26,IF($A$2=2,AQ26,IF($A$2=3,AC26,IF(($AG26&gt;$AU26),AC26,AQ26)))))</f>
        <v>0</v>
      </c>
      <c r="P26" s="317">
        <f>IF(AND($A$2=4,VLOOKUP($A26,'District Level ADM'!$A$5:$W$52,5,FALSE)="Prior Year"),AR26,IF(AND($A$2=4,VLOOKUP($A26,'District Level ADM'!$A$5:$W$52,5,FALSE)="3-Year Avg."),AD26,IF($A$2=2,AR26,IF($A$2=3,AD26,IF(($AG26&gt;$AU26),AD26,AR26)))))</f>
        <v>0</v>
      </c>
      <c r="Q26" s="317">
        <f>IF(AND($A$2=4,VLOOKUP($A26,'District Level ADM'!$A$5:$W$52,5,FALSE)="Prior Year"),AS26,IF(AND($A$2=4,VLOOKUP($A26,'District Level ADM'!$A$5:$W$52,5,FALSE)="3-Year Avg."),AE26,IF($A$2=2,AS26,IF($A$2=3,AE26,IF(($AG26&gt;$AU26),AE26,AS26)))))</f>
        <v>0</v>
      </c>
      <c r="R26" s="317">
        <f>IF(AND($A$2=4,VLOOKUP($A26,'District Level ADM'!$A$5:$W$52,5,FALSE)="Prior Year"),AT26,IF(AND($A$2=4,VLOOKUP($A26,'District Level ADM'!$A$5:$W$52,5,FALSE)="3-Year Avg."),AF26,IF($A$2=2,AT26,IF($A$2=3,AF26,IF(($AG26&gt;$AU26),AF26,AT26)))))</f>
        <v>0</v>
      </c>
      <c r="S26" s="317">
        <f t="shared" si="1"/>
        <v>190.10500000000002</v>
      </c>
      <c r="T26" s="317">
        <f t="shared" si="2"/>
        <v>0</v>
      </c>
      <c r="U26" s="317">
        <f t="shared" si="2"/>
        <v>0</v>
      </c>
      <c r="V26" s="317">
        <f t="shared" si="2"/>
        <v>0</v>
      </c>
      <c r="W26" s="317">
        <f t="shared" si="2"/>
        <v>0</v>
      </c>
      <c r="X26" s="317">
        <f t="shared" si="2"/>
        <v>0</v>
      </c>
      <c r="Y26" s="317">
        <f t="shared" si="2"/>
        <v>0</v>
      </c>
      <c r="Z26" s="317">
        <f t="shared" si="2"/>
        <v>50.57833333333334</v>
      </c>
      <c r="AA26" s="317">
        <f t="shared" si="2"/>
        <v>63.052</v>
      </c>
      <c r="AB26" s="317">
        <f t="shared" si="2"/>
        <v>69.49166666666666</v>
      </c>
      <c r="AC26" s="317">
        <f t="shared" si="2"/>
        <v>0</v>
      </c>
      <c r="AD26" s="317">
        <f t="shared" si="2"/>
        <v>0</v>
      </c>
      <c r="AE26" s="317">
        <f t="shared" si="2"/>
        <v>0</v>
      </c>
      <c r="AF26" s="317">
        <f t="shared" si="2"/>
        <v>0</v>
      </c>
      <c r="AG26" s="317">
        <f t="shared" si="3"/>
        <v>183.12200000000001</v>
      </c>
      <c r="AH26" s="318">
        <v>0</v>
      </c>
      <c r="AI26" s="318">
        <v>0</v>
      </c>
      <c r="AJ26" s="318">
        <v>0</v>
      </c>
      <c r="AK26" s="318">
        <v>0</v>
      </c>
      <c r="AL26" s="318">
        <v>0</v>
      </c>
      <c r="AM26" s="318">
        <v>0</v>
      </c>
      <c r="AN26" s="318">
        <v>48.265000000000001</v>
      </c>
      <c r="AO26" s="318">
        <v>69.935000000000002</v>
      </c>
      <c r="AP26" s="318">
        <v>71.905000000000001</v>
      </c>
      <c r="AQ26" s="318">
        <v>0</v>
      </c>
      <c r="AR26" s="318">
        <v>0</v>
      </c>
      <c r="AS26" s="318">
        <v>0</v>
      </c>
      <c r="AT26" s="318">
        <v>0</v>
      </c>
      <c r="AU26" s="317">
        <f t="shared" si="4"/>
        <v>190.10500000000002</v>
      </c>
      <c r="AV26" s="319">
        <v>0</v>
      </c>
      <c r="AW26" s="319">
        <v>0</v>
      </c>
      <c r="AX26" s="319">
        <v>0</v>
      </c>
      <c r="AY26" s="319">
        <v>0</v>
      </c>
      <c r="AZ26" s="319">
        <v>0</v>
      </c>
      <c r="BA26" s="319">
        <v>0</v>
      </c>
      <c r="BB26" s="319">
        <v>55.332999999999998</v>
      </c>
      <c r="BC26" s="319">
        <v>57.682000000000002</v>
      </c>
      <c r="BD26" s="319">
        <v>72.838999999999999</v>
      </c>
      <c r="BE26" s="319">
        <v>0</v>
      </c>
      <c r="BF26" s="319">
        <v>0</v>
      </c>
      <c r="BG26" s="319">
        <v>0</v>
      </c>
      <c r="BH26" s="319">
        <v>0</v>
      </c>
      <c r="BI26" s="317">
        <f t="shared" si="5"/>
        <v>185.85399999999998</v>
      </c>
      <c r="BJ26" s="316">
        <v>0</v>
      </c>
      <c r="BK26" s="316">
        <v>0</v>
      </c>
      <c r="BL26" s="316">
        <v>0</v>
      </c>
      <c r="BM26" s="316">
        <v>0</v>
      </c>
      <c r="BN26" s="316">
        <v>0</v>
      </c>
      <c r="BO26" s="316">
        <v>0</v>
      </c>
      <c r="BP26" s="316">
        <v>48.137</v>
      </c>
      <c r="BQ26" s="316">
        <v>61.539000000000001</v>
      </c>
      <c r="BR26" s="316">
        <v>63.731000000000002</v>
      </c>
      <c r="BS26" s="316">
        <v>0</v>
      </c>
      <c r="BT26" s="316">
        <v>0</v>
      </c>
      <c r="BU26" s="316">
        <v>0</v>
      </c>
      <c r="BV26" s="316">
        <v>0</v>
      </c>
      <c r="BW26" s="317">
        <f t="shared" si="6"/>
        <v>173.40700000000001</v>
      </c>
    </row>
    <row r="27" spans="1:75" x14ac:dyDescent="0.2">
      <c r="A27" s="20" t="str">
        <f>'School Level Inst. Resources'!A27</f>
        <v>0201000</v>
      </c>
      <c r="B27" s="20" t="str">
        <f>'School Level Inst. Resources'!B27</f>
        <v>Big Horn #1</v>
      </c>
      <c r="C27" s="20" t="str">
        <f>'School Level Inst. Resources'!C27</f>
        <v>0201055</v>
      </c>
      <c r="D27" s="20" t="str">
        <f>'School Level Inst. Resources'!D27</f>
        <v>Burlington High School</v>
      </c>
      <c r="E27" s="138" t="str">
        <f>'School Level Inst. Resources'!E27</f>
        <v>9-12</v>
      </c>
      <c r="F27" s="317">
        <f>IF(AND($A$2=4,VLOOKUP($A27,'District Level ADM'!$A$5:$W$52,5,FALSE)="Prior Year"),AH27,IF(AND($A$2=4,VLOOKUP($A27,'District Level ADM'!$A$5:$W$52,5,FALSE)="3-Year Avg."),T27,IF($A$2=2,AH27,IF($A$2=3,T27,IF(($AG27&gt;$AU27),T27,AH27)))))</f>
        <v>0</v>
      </c>
      <c r="G27" s="317">
        <f>IF(AND($A$2=4,VLOOKUP($A27,'District Level ADM'!$A$5:$W$52,5,FALSE)="Prior Year"),AI27,IF(AND($A$2=4,VLOOKUP($A27,'District Level ADM'!$A$5:$W$52,5,FALSE)="3-Year Avg."),U27,IF($A$2=2,AI27,IF($A$2=3,U27,IF(($AG27&gt;$AU27),U27,AI27)))))</f>
        <v>0</v>
      </c>
      <c r="H27" s="317">
        <f>IF(AND($A$2=4,VLOOKUP($A27,'District Level ADM'!$A$5:$W$52,5,FALSE)="Prior Year"),AJ27,IF(AND($A$2=4,VLOOKUP($A27,'District Level ADM'!$A$5:$W$52,5,FALSE)="3-Year Avg."),V27,IF($A$2=2,AJ27,IF($A$2=3,V27,IF(($AG27&gt;$AU27),V27,AJ27)))))</f>
        <v>0</v>
      </c>
      <c r="I27" s="317">
        <f>IF(AND($A$2=4,VLOOKUP($A27,'District Level ADM'!$A$5:$W$52,5,FALSE)="Prior Year"),AK27,IF(AND($A$2=4,VLOOKUP($A27,'District Level ADM'!$A$5:$W$52,5,FALSE)="3-Year Avg."),W27,IF($A$2=2,AK27,IF($A$2=3,W27,IF(($AG27&gt;$AU27),W27,AK27)))))</f>
        <v>0</v>
      </c>
      <c r="J27" s="317">
        <f>IF(AND($A$2=4,VLOOKUP($A27,'District Level ADM'!$A$5:$W$52,5,FALSE)="Prior Year"),AL27,IF(AND($A$2=4,VLOOKUP($A27,'District Level ADM'!$A$5:$W$52,5,FALSE)="3-Year Avg."),X27,IF($A$2=2,AL27,IF($A$2=3,X27,IF(($AG27&gt;$AU27),X27,AL27)))))</f>
        <v>0</v>
      </c>
      <c r="K27" s="317">
        <f>IF(AND($A$2=4,VLOOKUP($A27,'District Level ADM'!$A$5:$W$52,5,FALSE)="Prior Year"),AM27,IF(AND($A$2=4,VLOOKUP($A27,'District Level ADM'!$A$5:$W$52,5,FALSE)="3-Year Avg."),Y27,IF($A$2=2,AM27,IF($A$2=3,Y27,IF(($AG27&gt;$AU27),Y27,AM27)))))</f>
        <v>0</v>
      </c>
      <c r="L27" s="317">
        <f>IF(AND($A$2=4,VLOOKUP($A27,'District Level ADM'!$A$5:$W$52,5,FALSE)="Prior Year"),AN27,IF(AND($A$2=4,VLOOKUP($A27,'District Level ADM'!$A$5:$W$52,5,FALSE)="3-Year Avg."),Z27,IF($A$2=2,AN27,IF($A$2=3,Z27,IF(($AG27&gt;$AU27),Z27,AN27)))))</f>
        <v>0</v>
      </c>
      <c r="M27" s="317">
        <f>IF(AND($A$2=4,VLOOKUP($A27,'District Level ADM'!$A$5:$W$52,5,FALSE)="Prior Year"),AO27,IF(AND($A$2=4,VLOOKUP($A27,'District Level ADM'!$A$5:$W$52,5,FALSE)="3-Year Avg."),AA27,IF($A$2=2,AO27,IF($A$2=3,AA27,IF(($AG27&gt;$AU27),AA27,AO27)))))</f>
        <v>0</v>
      </c>
      <c r="N27" s="317">
        <f>IF(AND($A$2=4,VLOOKUP($A27,'District Level ADM'!$A$5:$W$52,5,FALSE)="Prior Year"),AP27,IF(AND($A$2=4,VLOOKUP($A27,'District Level ADM'!$A$5:$W$52,5,FALSE)="3-Year Avg."),AB27,IF($A$2=2,AP27,IF($A$2=3,AB27,IF(($AG27&gt;$AU27),AB27,AP27)))))</f>
        <v>0</v>
      </c>
      <c r="O27" s="317">
        <f>IF(AND($A$2=4,VLOOKUP($A27,'District Level ADM'!$A$5:$W$52,5,FALSE)="Prior Year"),AQ27,IF(AND($A$2=4,VLOOKUP($A27,'District Level ADM'!$A$5:$W$52,5,FALSE)="3-Year Avg."),AC27,IF($A$2=2,AQ27,IF($A$2=3,AC27,IF(($AG27&gt;$AU27),AC27,AQ27)))))</f>
        <v>16.745000000000001</v>
      </c>
      <c r="P27" s="317">
        <f>IF(AND($A$2=4,VLOOKUP($A27,'District Level ADM'!$A$5:$W$52,5,FALSE)="Prior Year"),AR27,IF(AND($A$2=4,VLOOKUP($A27,'District Level ADM'!$A$5:$W$52,5,FALSE)="3-Year Avg."),AD27,IF($A$2=2,AR27,IF($A$2=3,AD27,IF(($AG27&gt;$AU27),AD27,AR27)))))</f>
        <v>13.79</v>
      </c>
      <c r="Q27" s="317">
        <f>IF(AND($A$2=4,VLOOKUP($A27,'District Level ADM'!$A$5:$W$52,5,FALSE)="Prior Year"),AS27,IF(AND($A$2=4,VLOOKUP($A27,'District Level ADM'!$A$5:$W$52,5,FALSE)="3-Year Avg."),AE27,IF($A$2=2,AS27,IF($A$2=3,AE27,IF(($AG27&gt;$AU27),AE27,AS27)))))</f>
        <v>16.745000000000001</v>
      </c>
      <c r="R27" s="317">
        <f>IF(AND($A$2=4,VLOOKUP($A27,'District Level ADM'!$A$5:$W$52,5,FALSE)="Prior Year"),AT27,IF(AND($A$2=4,VLOOKUP($A27,'District Level ADM'!$A$5:$W$52,5,FALSE)="3-Year Avg."),AF27,IF($A$2=2,AT27,IF($A$2=3,AF27,IF(($AG27&gt;$AU27),AF27,AT27)))))</f>
        <v>18.715</v>
      </c>
      <c r="S27" s="317">
        <f t="shared" si="1"/>
        <v>65.995000000000005</v>
      </c>
      <c r="T27" s="317">
        <f t="shared" si="2"/>
        <v>0</v>
      </c>
      <c r="U27" s="317">
        <f t="shared" si="2"/>
        <v>0</v>
      </c>
      <c r="V27" s="317">
        <f t="shared" si="2"/>
        <v>0</v>
      </c>
      <c r="W27" s="317">
        <f t="shared" si="2"/>
        <v>0</v>
      </c>
      <c r="X27" s="317">
        <f t="shared" si="2"/>
        <v>0</v>
      </c>
      <c r="Y27" s="317">
        <f t="shared" si="2"/>
        <v>0</v>
      </c>
      <c r="Z27" s="317">
        <f t="shared" si="2"/>
        <v>0</v>
      </c>
      <c r="AA27" s="317">
        <f t="shared" si="2"/>
        <v>0</v>
      </c>
      <c r="AB27" s="317">
        <f t="shared" si="2"/>
        <v>0</v>
      </c>
      <c r="AC27" s="317">
        <f t="shared" si="2"/>
        <v>16.080666666666669</v>
      </c>
      <c r="AD27" s="317">
        <f t="shared" si="2"/>
        <v>17.77</v>
      </c>
      <c r="AE27" s="317">
        <f t="shared" si="2"/>
        <v>17.587333333333333</v>
      </c>
      <c r="AF27" s="317">
        <f t="shared" si="2"/>
        <v>18.457999999999998</v>
      </c>
      <c r="AG27" s="317">
        <f t="shared" si="3"/>
        <v>69.896000000000001</v>
      </c>
      <c r="AH27" s="318">
        <v>0</v>
      </c>
      <c r="AI27" s="318">
        <v>0</v>
      </c>
      <c r="AJ27" s="318">
        <v>0</v>
      </c>
      <c r="AK27" s="318">
        <v>0</v>
      </c>
      <c r="AL27" s="318">
        <v>0</v>
      </c>
      <c r="AM27" s="318">
        <v>0</v>
      </c>
      <c r="AN27" s="318">
        <v>0</v>
      </c>
      <c r="AO27" s="318">
        <v>0</v>
      </c>
      <c r="AP27" s="318">
        <v>0</v>
      </c>
      <c r="AQ27" s="318">
        <v>16.745000000000001</v>
      </c>
      <c r="AR27" s="318">
        <v>13.79</v>
      </c>
      <c r="AS27" s="318">
        <v>16.745000000000001</v>
      </c>
      <c r="AT27" s="318">
        <v>18.715</v>
      </c>
      <c r="AU27" s="317">
        <f t="shared" si="4"/>
        <v>65.995000000000005</v>
      </c>
      <c r="AV27" s="319">
        <v>0</v>
      </c>
      <c r="AW27" s="319">
        <v>0</v>
      </c>
      <c r="AX27" s="319">
        <v>0</v>
      </c>
      <c r="AY27" s="319">
        <v>0</v>
      </c>
      <c r="AZ27" s="319">
        <v>0</v>
      </c>
      <c r="BA27" s="319">
        <v>0</v>
      </c>
      <c r="BB27" s="319">
        <v>0</v>
      </c>
      <c r="BC27" s="319">
        <v>0</v>
      </c>
      <c r="BD27" s="319">
        <v>0</v>
      </c>
      <c r="BE27" s="319">
        <v>13.497</v>
      </c>
      <c r="BF27" s="319">
        <v>18.091000000000001</v>
      </c>
      <c r="BG27" s="319">
        <v>19.736999999999998</v>
      </c>
      <c r="BH27" s="319">
        <v>16.658999999999999</v>
      </c>
      <c r="BI27" s="317">
        <f t="shared" si="5"/>
        <v>67.984000000000009</v>
      </c>
      <c r="BJ27" s="316">
        <v>0</v>
      </c>
      <c r="BK27" s="316">
        <v>0</v>
      </c>
      <c r="BL27" s="316">
        <v>0</v>
      </c>
      <c r="BM27" s="316">
        <v>0</v>
      </c>
      <c r="BN27" s="316">
        <v>0</v>
      </c>
      <c r="BO27" s="316">
        <v>0</v>
      </c>
      <c r="BP27" s="316">
        <v>0</v>
      </c>
      <c r="BQ27" s="316">
        <v>0</v>
      </c>
      <c r="BR27" s="316">
        <v>0</v>
      </c>
      <c r="BS27" s="316">
        <v>18</v>
      </c>
      <c r="BT27" s="316">
        <v>21.428999999999998</v>
      </c>
      <c r="BU27" s="316">
        <v>16.28</v>
      </c>
      <c r="BV27" s="316">
        <v>20</v>
      </c>
      <c r="BW27" s="317">
        <f t="shared" si="6"/>
        <v>75.709000000000003</v>
      </c>
    </row>
    <row r="28" spans="1:75" x14ac:dyDescent="0.2">
      <c r="A28" s="20" t="str">
        <f>'School Level Inst. Resources'!A28</f>
        <v>0201000</v>
      </c>
      <c r="B28" s="20" t="str">
        <f>'School Level Inst. Resources'!B28</f>
        <v>Big Horn #1</v>
      </c>
      <c r="C28" s="20" t="str">
        <f>'School Level Inst. Resources'!C28</f>
        <v>0201056</v>
      </c>
      <c r="D28" s="20" t="str">
        <f>'School Level Inst. Resources'!D28</f>
        <v>Rocky Mountain High School</v>
      </c>
      <c r="E28" s="138" t="str">
        <f>'School Level Inst. Resources'!E28</f>
        <v>9-12</v>
      </c>
      <c r="F28" s="317">
        <f>IF(AND($A$2=4,VLOOKUP($A28,'District Level ADM'!$A$5:$W$52,5,FALSE)="Prior Year"),AH28,IF(AND($A$2=4,VLOOKUP($A28,'District Level ADM'!$A$5:$W$52,5,FALSE)="3-Year Avg."),T28,IF($A$2=2,AH28,IF($A$2=3,T28,IF(($AG28&gt;$AU28),T28,AH28)))))</f>
        <v>0</v>
      </c>
      <c r="G28" s="317">
        <f>IF(AND($A$2=4,VLOOKUP($A28,'District Level ADM'!$A$5:$W$52,5,FALSE)="Prior Year"),AI28,IF(AND($A$2=4,VLOOKUP($A28,'District Level ADM'!$A$5:$W$52,5,FALSE)="3-Year Avg."),U28,IF($A$2=2,AI28,IF($A$2=3,U28,IF(($AG28&gt;$AU28),U28,AI28)))))</f>
        <v>0</v>
      </c>
      <c r="H28" s="317">
        <f>IF(AND($A$2=4,VLOOKUP($A28,'District Level ADM'!$A$5:$W$52,5,FALSE)="Prior Year"),AJ28,IF(AND($A$2=4,VLOOKUP($A28,'District Level ADM'!$A$5:$W$52,5,FALSE)="3-Year Avg."),V28,IF($A$2=2,AJ28,IF($A$2=3,V28,IF(($AG28&gt;$AU28),V28,AJ28)))))</f>
        <v>0</v>
      </c>
      <c r="I28" s="317">
        <f>IF(AND($A$2=4,VLOOKUP($A28,'District Level ADM'!$A$5:$W$52,5,FALSE)="Prior Year"),AK28,IF(AND($A$2=4,VLOOKUP($A28,'District Level ADM'!$A$5:$W$52,5,FALSE)="3-Year Avg."),W28,IF($A$2=2,AK28,IF($A$2=3,W28,IF(($AG28&gt;$AU28),W28,AK28)))))</f>
        <v>0</v>
      </c>
      <c r="J28" s="317">
        <f>IF(AND($A$2=4,VLOOKUP($A28,'District Level ADM'!$A$5:$W$52,5,FALSE)="Prior Year"),AL28,IF(AND($A$2=4,VLOOKUP($A28,'District Level ADM'!$A$5:$W$52,5,FALSE)="3-Year Avg."),X28,IF($A$2=2,AL28,IF($A$2=3,X28,IF(($AG28&gt;$AU28),X28,AL28)))))</f>
        <v>0</v>
      </c>
      <c r="K28" s="317">
        <f>IF(AND($A$2=4,VLOOKUP($A28,'District Level ADM'!$A$5:$W$52,5,FALSE)="Prior Year"),AM28,IF(AND($A$2=4,VLOOKUP($A28,'District Level ADM'!$A$5:$W$52,5,FALSE)="3-Year Avg."),Y28,IF($A$2=2,AM28,IF($A$2=3,Y28,IF(($AG28&gt;$AU28),Y28,AM28)))))</f>
        <v>0</v>
      </c>
      <c r="L28" s="317">
        <f>IF(AND($A$2=4,VLOOKUP($A28,'District Level ADM'!$A$5:$W$52,5,FALSE)="Prior Year"),AN28,IF(AND($A$2=4,VLOOKUP($A28,'District Level ADM'!$A$5:$W$52,5,FALSE)="3-Year Avg."),Z28,IF($A$2=2,AN28,IF($A$2=3,Z28,IF(($AG28&gt;$AU28),Z28,AN28)))))</f>
        <v>0</v>
      </c>
      <c r="M28" s="317">
        <f>IF(AND($A$2=4,VLOOKUP($A28,'District Level ADM'!$A$5:$W$52,5,FALSE)="Prior Year"),AO28,IF(AND($A$2=4,VLOOKUP($A28,'District Level ADM'!$A$5:$W$52,5,FALSE)="3-Year Avg."),AA28,IF($A$2=2,AO28,IF($A$2=3,AA28,IF(($AG28&gt;$AU28),AA28,AO28)))))</f>
        <v>0</v>
      </c>
      <c r="N28" s="317">
        <f>IF(AND($A$2=4,VLOOKUP($A28,'District Level ADM'!$A$5:$W$52,5,FALSE)="Prior Year"),AP28,IF(AND($A$2=4,VLOOKUP($A28,'District Level ADM'!$A$5:$W$52,5,FALSE)="3-Year Avg."),AB28,IF($A$2=2,AP28,IF($A$2=3,AB28,IF(($AG28&gt;$AU28),AB28,AP28)))))</f>
        <v>0</v>
      </c>
      <c r="O28" s="317">
        <f>IF(AND($A$2=4,VLOOKUP($A28,'District Level ADM'!$A$5:$W$52,5,FALSE)="Prior Year"),AQ28,IF(AND($A$2=4,VLOOKUP($A28,'District Level ADM'!$A$5:$W$52,5,FALSE)="3-Year Avg."),AC28,IF($A$2=2,AQ28,IF($A$2=3,AC28,IF(($AG28&gt;$AU28),AC28,AQ28)))))</f>
        <v>88.65</v>
      </c>
      <c r="P28" s="317">
        <f>IF(AND($A$2=4,VLOOKUP($A28,'District Level ADM'!$A$5:$W$52,5,FALSE)="Prior Year"),AR28,IF(AND($A$2=4,VLOOKUP($A28,'District Level ADM'!$A$5:$W$52,5,FALSE)="3-Year Avg."),AD28,IF($A$2=2,AR28,IF($A$2=3,AD28,IF(($AG28&gt;$AU28),AD28,AR28)))))</f>
        <v>74.86</v>
      </c>
      <c r="Q28" s="317">
        <f>IF(AND($A$2=4,VLOOKUP($A28,'District Level ADM'!$A$5:$W$52,5,FALSE)="Prior Year"),AS28,IF(AND($A$2=4,VLOOKUP($A28,'District Level ADM'!$A$5:$W$52,5,FALSE)="3-Year Avg."),AE28,IF($A$2=2,AS28,IF($A$2=3,AE28,IF(($AG28&gt;$AU28),AE28,AS28)))))</f>
        <v>75.844999999999999</v>
      </c>
      <c r="R28" s="317">
        <f>IF(AND($A$2=4,VLOOKUP($A28,'District Level ADM'!$A$5:$W$52,5,FALSE)="Prior Year"),AT28,IF(AND($A$2=4,VLOOKUP($A28,'District Level ADM'!$A$5:$W$52,5,FALSE)="3-Year Avg."),AF28,IF($A$2=2,AT28,IF($A$2=3,AF28,IF(($AG28&gt;$AU28),AF28,AT28)))))</f>
        <v>77.814999999999998</v>
      </c>
      <c r="S28" s="317">
        <f t="shared" si="1"/>
        <v>317.16999999999996</v>
      </c>
      <c r="T28" s="317">
        <f t="shared" si="2"/>
        <v>0</v>
      </c>
      <c r="U28" s="317">
        <f t="shared" si="2"/>
        <v>0</v>
      </c>
      <c r="V28" s="317">
        <f t="shared" si="2"/>
        <v>0</v>
      </c>
      <c r="W28" s="317">
        <f t="shared" si="2"/>
        <v>0</v>
      </c>
      <c r="X28" s="317">
        <f t="shared" si="2"/>
        <v>0</v>
      </c>
      <c r="Y28" s="317">
        <f t="shared" si="2"/>
        <v>0</v>
      </c>
      <c r="Z28" s="317">
        <f t="shared" si="2"/>
        <v>0</v>
      </c>
      <c r="AA28" s="317">
        <f t="shared" si="2"/>
        <v>0</v>
      </c>
      <c r="AB28" s="317">
        <f t="shared" si="2"/>
        <v>0</v>
      </c>
      <c r="AC28" s="317">
        <f t="shared" si="2"/>
        <v>80.373000000000005</v>
      </c>
      <c r="AD28" s="317">
        <f t="shared" si="2"/>
        <v>72.638666666666666</v>
      </c>
      <c r="AE28" s="317">
        <f t="shared" si="2"/>
        <v>77.105000000000004</v>
      </c>
      <c r="AF28" s="317">
        <f t="shared" si="2"/>
        <v>65.927999999999997</v>
      </c>
      <c r="AG28" s="317">
        <f t="shared" si="3"/>
        <v>296.04466666666667</v>
      </c>
      <c r="AH28" s="318">
        <v>0</v>
      </c>
      <c r="AI28" s="318">
        <v>0</v>
      </c>
      <c r="AJ28" s="318">
        <v>0</v>
      </c>
      <c r="AK28" s="318">
        <v>0</v>
      </c>
      <c r="AL28" s="318">
        <v>0</v>
      </c>
      <c r="AM28" s="318">
        <v>0</v>
      </c>
      <c r="AN28" s="318">
        <v>0</v>
      </c>
      <c r="AO28" s="318">
        <v>0</v>
      </c>
      <c r="AP28" s="318">
        <v>0</v>
      </c>
      <c r="AQ28" s="318">
        <v>88.65</v>
      </c>
      <c r="AR28" s="318">
        <v>74.86</v>
      </c>
      <c r="AS28" s="318">
        <v>75.844999999999999</v>
      </c>
      <c r="AT28" s="318">
        <v>77.814999999999998</v>
      </c>
      <c r="AU28" s="317">
        <f t="shared" si="4"/>
        <v>317.16999999999996</v>
      </c>
      <c r="AV28" s="319">
        <v>0</v>
      </c>
      <c r="AW28" s="319">
        <v>0</v>
      </c>
      <c r="AX28" s="319">
        <v>0</v>
      </c>
      <c r="AY28" s="319">
        <v>0</v>
      </c>
      <c r="AZ28" s="319">
        <v>0</v>
      </c>
      <c r="BA28" s="319">
        <v>0</v>
      </c>
      <c r="BB28" s="319">
        <v>0</v>
      </c>
      <c r="BC28" s="319">
        <v>0</v>
      </c>
      <c r="BD28" s="319">
        <v>0</v>
      </c>
      <c r="BE28" s="319">
        <v>71.668000000000006</v>
      </c>
      <c r="BF28" s="319">
        <v>64.302999999999997</v>
      </c>
      <c r="BG28" s="319">
        <v>80.546999999999997</v>
      </c>
      <c r="BH28" s="319">
        <v>63.871000000000002</v>
      </c>
      <c r="BI28" s="317">
        <f t="shared" si="5"/>
        <v>280.38900000000001</v>
      </c>
      <c r="BJ28" s="316">
        <v>0</v>
      </c>
      <c r="BK28" s="316">
        <v>0</v>
      </c>
      <c r="BL28" s="316">
        <v>0</v>
      </c>
      <c r="BM28" s="316">
        <v>0</v>
      </c>
      <c r="BN28" s="316">
        <v>0</v>
      </c>
      <c r="BO28" s="316">
        <v>0</v>
      </c>
      <c r="BP28" s="316">
        <v>0</v>
      </c>
      <c r="BQ28" s="316">
        <v>0</v>
      </c>
      <c r="BR28" s="316">
        <v>0</v>
      </c>
      <c r="BS28" s="316">
        <v>80.801000000000002</v>
      </c>
      <c r="BT28" s="316">
        <v>78.753</v>
      </c>
      <c r="BU28" s="316">
        <v>74.923000000000002</v>
      </c>
      <c r="BV28" s="316">
        <v>56.097999999999999</v>
      </c>
      <c r="BW28" s="317">
        <f t="shared" si="6"/>
        <v>290.57499999999999</v>
      </c>
    </row>
    <row r="29" spans="1:75" x14ac:dyDescent="0.2">
      <c r="A29" s="20" t="str">
        <f>'School Level Inst. Resources'!A29</f>
        <v>0202000</v>
      </c>
      <c r="B29" s="20" t="str">
        <f>'School Level Inst. Resources'!B29</f>
        <v>Big Horn #2</v>
      </c>
      <c r="C29" s="20" t="str">
        <f>'School Level Inst. Resources'!C29</f>
        <v>0202001</v>
      </c>
      <c r="D29" s="20" t="str">
        <f>'School Level Inst. Resources'!D29</f>
        <v>Lovell Elementary</v>
      </c>
      <c r="E29" s="138" t="str">
        <f>'School Level Inst. Resources'!E29</f>
        <v>K-5</v>
      </c>
      <c r="F29" s="317">
        <f>IF(AND($A$2=4,VLOOKUP($A29,'District Level ADM'!$A$5:$W$52,5,FALSE)="Prior Year"),AH29,IF(AND($A$2=4,VLOOKUP($A29,'District Level ADM'!$A$5:$W$52,5,FALSE)="3-Year Avg."),T29,IF($A$2=2,AH29,IF($A$2=3,T29,IF(($AG29&gt;$AU29),T29,AH29)))))</f>
        <v>54.174999999999997</v>
      </c>
      <c r="G29" s="317">
        <f>IF(AND($A$2=4,VLOOKUP($A29,'District Level ADM'!$A$5:$W$52,5,FALSE)="Prior Year"),AI29,IF(AND($A$2=4,VLOOKUP($A29,'District Level ADM'!$A$5:$W$52,5,FALSE)="3-Year Avg."),U29,IF($A$2=2,AI29,IF($A$2=3,U29,IF(($AG29&gt;$AU29),U29,AI29)))))</f>
        <v>63.04</v>
      </c>
      <c r="H29" s="317">
        <f>IF(AND($A$2=4,VLOOKUP($A29,'District Level ADM'!$A$5:$W$52,5,FALSE)="Prior Year"),AJ29,IF(AND($A$2=4,VLOOKUP($A29,'District Level ADM'!$A$5:$W$52,5,FALSE)="3-Year Avg."),V29,IF($A$2=2,AJ29,IF($A$2=3,V29,IF(($AG29&gt;$AU29),V29,AJ29)))))</f>
        <v>55.16</v>
      </c>
      <c r="I29" s="317">
        <f>IF(AND($A$2=4,VLOOKUP($A29,'District Level ADM'!$A$5:$W$52,5,FALSE)="Prior Year"),AK29,IF(AND($A$2=4,VLOOKUP($A29,'District Level ADM'!$A$5:$W$52,5,FALSE)="3-Year Avg."),W29,IF($A$2=2,AK29,IF($A$2=3,W29,IF(($AG29&gt;$AU29),W29,AK29)))))</f>
        <v>52.204999999999998</v>
      </c>
      <c r="J29" s="317">
        <f>IF(AND($A$2=4,VLOOKUP($A29,'District Level ADM'!$A$5:$W$52,5,FALSE)="Prior Year"),AL29,IF(AND($A$2=4,VLOOKUP($A29,'District Level ADM'!$A$5:$W$52,5,FALSE)="3-Year Avg."),X29,IF($A$2=2,AL29,IF($A$2=3,X29,IF(($AG29&gt;$AU29),X29,AL29)))))</f>
        <v>47.28</v>
      </c>
      <c r="K29" s="317">
        <f>IF(AND($A$2=4,VLOOKUP($A29,'District Level ADM'!$A$5:$W$52,5,FALSE)="Prior Year"),AM29,IF(AND($A$2=4,VLOOKUP($A29,'District Level ADM'!$A$5:$W$52,5,FALSE)="3-Year Avg."),Y29,IF($A$2=2,AM29,IF($A$2=3,Y29,IF(($AG29&gt;$AU29),Y29,AM29)))))</f>
        <v>60.085000000000001</v>
      </c>
      <c r="L29" s="317">
        <f>IF(AND($A$2=4,VLOOKUP($A29,'District Level ADM'!$A$5:$W$52,5,FALSE)="Prior Year"),AN29,IF(AND($A$2=4,VLOOKUP($A29,'District Level ADM'!$A$5:$W$52,5,FALSE)="3-Year Avg."),Z29,IF($A$2=2,AN29,IF($A$2=3,Z29,IF(($AG29&gt;$AU29),Z29,AN29)))))</f>
        <v>0</v>
      </c>
      <c r="M29" s="317">
        <f>IF(AND($A$2=4,VLOOKUP($A29,'District Level ADM'!$A$5:$W$52,5,FALSE)="Prior Year"),AO29,IF(AND($A$2=4,VLOOKUP($A29,'District Level ADM'!$A$5:$W$52,5,FALSE)="3-Year Avg."),AA29,IF($A$2=2,AO29,IF($A$2=3,AA29,IF(($AG29&gt;$AU29),AA29,AO29)))))</f>
        <v>0</v>
      </c>
      <c r="N29" s="317">
        <f>IF(AND($A$2=4,VLOOKUP($A29,'District Level ADM'!$A$5:$W$52,5,FALSE)="Prior Year"),AP29,IF(AND($A$2=4,VLOOKUP($A29,'District Level ADM'!$A$5:$W$52,5,FALSE)="3-Year Avg."),AB29,IF($A$2=2,AP29,IF($A$2=3,AB29,IF(($AG29&gt;$AU29),AB29,AP29)))))</f>
        <v>0</v>
      </c>
      <c r="O29" s="317">
        <f>IF(AND($A$2=4,VLOOKUP($A29,'District Level ADM'!$A$5:$W$52,5,FALSE)="Prior Year"),AQ29,IF(AND($A$2=4,VLOOKUP($A29,'District Level ADM'!$A$5:$W$52,5,FALSE)="3-Year Avg."),AC29,IF($A$2=2,AQ29,IF($A$2=3,AC29,IF(($AG29&gt;$AU29),AC29,AQ29)))))</f>
        <v>0</v>
      </c>
      <c r="P29" s="317">
        <f>IF(AND($A$2=4,VLOOKUP($A29,'District Level ADM'!$A$5:$W$52,5,FALSE)="Prior Year"),AR29,IF(AND($A$2=4,VLOOKUP($A29,'District Level ADM'!$A$5:$W$52,5,FALSE)="3-Year Avg."),AD29,IF($A$2=2,AR29,IF($A$2=3,AD29,IF(($AG29&gt;$AU29),AD29,AR29)))))</f>
        <v>0</v>
      </c>
      <c r="Q29" s="317">
        <f>IF(AND($A$2=4,VLOOKUP($A29,'District Level ADM'!$A$5:$W$52,5,FALSE)="Prior Year"),AS29,IF(AND($A$2=4,VLOOKUP($A29,'District Level ADM'!$A$5:$W$52,5,FALSE)="3-Year Avg."),AE29,IF($A$2=2,AS29,IF($A$2=3,AE29,IF(($AG29&gt;$AU29),AE29,AS29)))))</f>
        <v>0</v>
      </c>
      <c r="R29" s="317">
        <f>IF(AND($A$2=4,VLOOKUP($A29,'District Level ADM'!$A$5:$W$52,5,FALSE)="Prior Year"),AT29,IF(AND($A$2=4,VLOOKUP($A29,'District Level ADM'!$A$5:$W$52,5,FALSE)="3-Year Avg."),AF29,IF($A$2=2,AT29,IF($A$2=3,AF29,IF(($AG29&gt;$AU29),AF29,AT29)))))</f>
        <v>0</v>
      </c>
      <c r="S29" s="317">
        <f t="shared" si="1"/>
        <v>331.94499999999999</v>
      </c>
      <c r="T29" s="317">
        <f t="shared" si="2"/>
        <v>60.392666666666663</v>
      </c>
      <c r="U29" s="317">
        <f t="shared" si="2"/>
        <v>56.859999999999992</v>
      </c>
      <c r="V29" s="317">
        <f t="shared" si="2"/>
        <v>53.127666666666663</v>
      </c>
      <c r="W29" s="317">
        <f t="shared" si="2"/>
        <v>53.713999999999999</v>
      </c>
      <c r="X29" s="317">
        <f t="shared" si="2"/>
        <v>51.859333333333332</v>
      </c>
      <c r="Y29" s="317">
        <f t="shared" si="2"/>
        <v>58.576666666666675</v>
      </c>
      <c r="Z29" s="317">
        <f t="shared" si="2"/>
        <v>0</v>
      </c>
      <c r="AA29" s="317">
        <f t="shared" si="2"/>
        <v>0</v>
      </c>
      <c r="AB29" s="317">
        <f t="shared" si="2"/>
        <v>0</v>
      </c>
      <c r="AC29" s="317">
        <f t="shared" si="2"/>
        <v>0</v>
      </c>
      <c r="AD29" s="317">
        <f t="shared" si="2"/>
        <v>0</v>
      </c>
      <c r="AE29" s="317">
        <f t="shared" si="2"/>
        <v>0</v>
      </c>
      <c r="AF29" s="317">
        <f t="shared" si="2"/>
        <v>0</v>
      </c>
      <c r="AG29" s="317">
        <f t="shared" si="3"/>
        <v>334.53033333333332</v>
      </c>
      <c r="AH29" s="318">
        <v>54.174999999999997</v>
      </c>
      <c r="AI29" s="318">
        <v>63.04</v>
      </c>
      <c r="AJ29" s="318">
        <v>55.16</v>
      </c>
      <c r="AK29" s="318">
        <v>52.204999999999998</v>
      </c>
      <c r="AL29" s="318">
        <v>47.28</v>
      </c>
      <c r="AM29" s="318">
        <v>60.085000000000001</v>
      </c>
      <c r="AN29" s="318">
        <v>0</v>
      </c>
      <c r="AO29" s="318">
        <v>0</v>
      </c>
      <c r="AP29" s="318">
        <v>0</v>
      </c>
      <c r="AQ29" s="318">
        <v>0</v>
      </c>
      <c r="AR29" s="318">
        <v>0</v>
      </c>
      <c r="AS29" s="318">
        <v>0</v>
      </c>
      <c r="AT29" s="318">
        <v>0</v>
      </c>
      <c r="AU29" s="317">
        <f t="shared" si="4"/>
        <v>331.94499999999999</v>
      </c>
      <c r="AV29" s="319">
        <v>64.846000000000004</v>
      </c>
      <c r="AW29" s="319">
        <v>59.591000000000001</v>
      </c>
      <c r="AX29" s="319">
        <v>50.743000000000002</v>
      </c>
      <c r="AY29" s="319">
        <v>51.503</v>
      </c>
      <c r="AZ29" s="319">
        <v>59.948999999999998</v>
      </c>
      <c r="BA29" s="319">
        <v>53.314</v>
      </c>
      <c r="BB29" s="319">
        <v>0</v>
      </c>
      <c r="BC29" s="319">
        <v>0</v>
      </c>
      <c r="BD29" s="319">
        <v>0</v>
      </c>
      <c r="BE29" s="319">
        <v>0</v>
      </c>
      <c r="BF29" s="319">
        <v>0</v>
      </c>
      <c r="BG29" s="319">
        <v>0</v>
      </c>
      <c r="BH29" s="319">
        <v>0</v>
      </c>
      <c r="BI29" s="317">
        <f t="shared" si="5"/>
        <v>339.94600000000003</v>
      </c>
      <c r="BJ29" s="316">
        <v>62.156999999999996</v>
      </c>
      <c r="BK29" s="316">
        <v>47.948999999999998</v>
      </c>
      <c r="BL29" s="316">
        <v>53.48</v>
      </c>
      <c r="BM29" s="316">
        <v>57.433999999999997</v>
      </c>
      <c r="BN29" s="316">
        <v>48.348999999999997</v>
      </c>
      <c r="BO29" s="316">
        <v>62.331000000000003</v>
      </c>
      <c r="BP29" s="316">
        <v>0</v>
      </c>
      <c r="BQ29" s="316">
        <v>0</v>
      </c>
      <c r="BR29" s="316">
        <v>0</v>
      </c>
      <c r="BS29" s="316">
        <v>0</v>
      </c>
      <c r="BT29" s="316">
        <v>0</v>
      </c>
      <c r="BU29" s="316">
        <v>0</v>
      </c>
      <c r="BV29" s="316">
        <v>0</v>
      </c>
      <c r="BW29" s="317">
        <f t="shared" si="6"/>
        <v>331.7</v>
      </c>
    </row>
    <row r="30" spans="1:75" x14ac:dyDescent="0.2">
      <c r="A30" s="20" t="str">
        <f>'School Level Inst. Resources'!A30</f>
        <v>0202000</v>
      </c>
      <c r="B30" s="20" t="str">
        <f>'School Level Inst. Resources'!B30</f>
        <v>Big Horn #2</v>
      </c>
      <c r="C30" s="20" t="str">
        <f>'School Level Inst. Resources'!C30</f>
        <v>0202050</v>
      </c>
      <c r="D30" s="20" t="str">
        <f>'School Level Inst. Resources'!D30</f>
        <v>Lovell Middle School</v>
      </c>
      <c r="E30" s="138" t="str">
        <f>'School Level Inst. Resources'!E30</f>
        <v>6-8</v>
      </c>
      <c r="F30" s="317">
        <f>IF(AND($A$2=4,VLOOKUP($A30,'District Level ADM'!$A$5:$W$52,5,FALSE)="Prior Year"),AH30,IF(AND($A$2=4,VLOOKUP($A30,'District Level ADM'!$A$5:$W$52,5,FALSE)="3-Year Avg."),T30,IF($A$2=2,AH30,IF($A$2=3,T30,IF(($AG30&gt;$AU30),T30,AH30)))))</f>
        <v>0</v>
      </c>
      <c r="G30" s="317">
        <f>IF(AND($A$2=4,VLOOKUP($A30,'District Level ADM'!$A$5:$W$52,5,FALSE)="Prior Year"),AI30,IF(AND($A$2=4,VLOOKUP($A30,'District Level ADM'!$A$5:$W$52,5,FALSE)="3-Year Avg."),U30,IF($A$2=2,AI30,IF($A$2=3,U30,IF(($AG30&gt;$AU30),U30,AI30)))))</f>
        <v>0</v>
      </c>
      <c r="H30" s="317">
        <f>IF(AND($A$2=4,VLOOKUP($A30,'District Level ADM'!$A$5:$W$52,5,FALSE)="Prior Year"),AJ30,IF(AND($A$2=4,VLOOKUP($A30,'District Level ADM'!$A$5:$W$52,5,FALSE)="3-Year Avg."),V30,IF($A$2=2,AJ30,IF($A$2=3,V30,IF(($AG30&gt;$AU30),V30,AJ30)))))</f>
        <v>0</v>
      </c>
      <c r="I30" s="317">
        <f>IF(AND($A$2=4,VLOOKUP($A30,'District Level ADM'!$A$5:$W$52,5,FALSE)="Prior Year"),AK30,IF(AND($A$2=4,VLOOKUP($A30,'District Level ADM'!$A$5:$W$52,5,FALSE)="3-Year Avg."),W30,IF($A$2=2,AK30,IF($A$2=3,W30,IF(($AG30&gt;$AU30),W30,AK30)))))</f>
        <v>0</v>
      </c>
      <c r="J30" s="317">
        <f>IF(AND($A$2=4,VLOOKUP($A30,'District Level ADM'!$A$5:$W$52,5,FALSE)="Prior Year"),AL30,IF(AND($A$2=4,VLOOKUP($A30,'District Level ADM'!$A$5:$W$52,5,FALSE)="3-Year Avg."),X30,IF($A$2=2,AL30,IF($A$2=3,X30,IF(($AG30&gt;$AU30),X30,AL30)))))</f>
        <v>0</v>
      </c>
      <c r="K30" s="317">
        <f>IF(AND($A$2=4,VLOOKUP($A30,'District Level ADM'!$A$5:$W$52,5,FALSE)="Prior Year"),AM30,IF(AND($A$2=4,VLOOKUP($A30,'District Level ADM'!$A$5:$W$52,5,FALSE)="3-Year Avg."),Y30,IF($A$2=2,AM30,IF($A$2=3,Y30,IF(($AG30&gt;$AU30),Y30,AM30)))))</f>
        <v>0</v>
      </c>
      <c r="L30" s="317">
        <f>IF(AND($A$2=4,VLOOKUP($A30,'District Level ADM'!$A$5:$W$52,5,FALSE)="Prior Year"),AN30,IF(AND($A$2=4,VLOOKUP($A30,'District Level ADM'!$A$5:$W$52,5,FALSE)="3-Year Avg."),Z30,IF($A$2=2,AN30,IF($A$2=3,Z30,IF(($AG30&gt;$AU30),Z30,AN30)))))</f>
        <v>52.204999999999998</v>
      </c>
      <c r="M30" s="317">
        <f>IF(AND($A$2=4,VLOOKUP($A30,'District Level ADM'!$A$5:$W$52,5,FALSE)="Prior Year"),AO30,IF(AND($A$2=4,VLOOKUP($A30,'District Level ADM'!$A$5:$W$52,5,FALSE)="3-Year Avg."),AA30,IF($A$2=2,AO30,IF($A$2=3,AA30,IF(($AG30&gt;$AU30),AA30,AO30)))))</f>
        <v>65.995000000000005</v>
      </c>
      <c r="N30" s="317">
        <f>IF(AND($A$2=4,VLOOKUP($A30,'District Level ADM'!$A$5:$W$52,5,FALSE)="Prior Year"),AP30,IF(AND($A$2=4,VLOOKUP($A30,'District Level ADM'!$A$5:$W$52,5,FALSE)="3-Year Avg."),AB30,IF($A$2=2,AP30,IF($A$2=3,AB30,IF(($AG30&gt;$AU30),AB30,AP30)))))</f>
        <v>46.295000000000002</v>
      </c>
      <c r="O30" s="317">
        <f>IF(AND($A$2=4,VLOOKUP($A30,'District Level ADM'!$A$5:$W$52,5,FALSE)="Prior Year"),AQ30,IF(AND($A$2=4,VLOOKUP($A30,'District Level ADM'!$A$5:$W$52,5,FALSE)="3-Year Avg."),AC30,IF($A$2=2,AQ30,IF($A$2=3,AC30,IF(($AG30&gt;$AU30),AC30,AQ30)))))</f>
        <v>0</v>
      </c>
      <c r="P30" s="317">
        <f>IF(AND($A$2=4,VLOOKUP($A30,'District Level ADM'!$A$5:$W$52,5,FALSE)="Prior Year"),AR30,IF(AND($A$2=4,VLOOKUP($A30,'District Level ADM'!$A$5:$W$52,5,FALSE)="3-Year Avg."),AD30,IF($A$2=2,AR30,IF($A$2=3,AD30,IF(($AG30&gt;$AU30),AD30,AR30)))))</f>
        <v>0</v>
      </c>
      <c r="Q30" s="317">
        <f>IF(AND($A$2=4,VLOOKUP($A30,'District Level ADM'!$A$5:$W$52,5,FALSE)="Prior Year"),AS30,IF(AND($A$2=4,VLOOKUP($A30,'District Level ADM'!$A$5:$W$52,5,FALSE)="3-Year Avg."),AE30,IF($A$2=2,AS30,IF($A$2=3,AE30,IF(($AG30&gt;$AU30),AE30,AS30)))))</f>
        <v>0</v>
      </c>
      <c r="R30" s="317">
        <f>IF(AND($A$2=4,VLOOKUP($A30,'District Level ADM'!$A$5:$W$52,5,FALSE)="Prior Year"),AT30,IF(AND($A$2=4,VLOOKUP($A30,'District Level ADM'!$A$5:$W$52,5,FALSE)="3-Year Avg."),AF30,IF($A$2=2,AT30,IF($A$2=3,AF30,IF(($AG30&gt;$AU30),AF30,AT30)))))</f>
        <v>0</v>
      </c>
      <c r="S30" s="317">
        <f t="shared" si="1"/>
        <v>164.495</v>
      </c>
      <c r="T30" s="317">
        <f t="shared" si="2"/>
        <v>0</v>
      </c>
      <c r="U30" s="317">
        <f t="shared" si="2"/>
        <v>0</v>
      </c>
      <c r="V30" s="317">
        <f t="shared" si="2"/>
        <v>0</v>
      </c>
      <c r="W30" s="317">
        <f t="shared" si="2"/>
        <v>0</v>
      </c>
      <c r="X30" s="317">
        <f t="shared" si="2"/>
        <v>0</v>
      </c>
      <c r="Y30" s="317">
        <f t="shared" si="2"/>
        <v>0</v>
      </c>
      <c r="Z30" s="317">
        <f t="shared" si="2"/>
        <v>55.346666666666671</v>
      </c>
      <c r="AA30" s="317">
        <f t="shared" si="2"/>
        <v>56.084333333333326</v>
      </c>
      <c r="AB30" s="317">
        <f t="shared" si="2"/>
        <v>49.376333333333342</v>
      </c>
      <c r="AC30" s="317">
        <f t="shared" si="2"/>
        <v>0</v>
      </c>
      <c r="AD30" s="317">
        <f t="shared" si="2"/>
        <v>0</v>
      </c>
      <c r="AE30" s="317">
        <f t="shared" si="2"/>
        <v>0</v>
      </c>
      <c r="AF30" s="317">
        <f t="shared" si="2"/>
        <v>0</v>
      </c>
      <c r="AG30" s="317">
        <f t="shared" si="3"/>
        <v>160.80733333333333</v>
      </c>
      <c r="AH30" s="318">
        <v>0</v>
      </c>
      <c r="AI30" s="318">
        <v>0</v>
      </c>
      <c r="AJ30" s="318">
        <v>0</v>
      </c>
      <c r="AK30" s="318">
        <v>0</v>
      </c>
      <c r="AL30" s="318">
        <v>0</v>
      </c>
      <c r="AM30" s="318">
        <v>0</v>
      </c>
      <c r="AN30" s="318">
        <v>52.204999999999998</v>
      </c>
      <c r="AO30" s="318">
        <v>65.995000000000005</v>
      </c>
      <c r="AP30" s="318">
        <v>46.295000000000002</v>
      </c>
      <c r="AQ30" s="318">
        <v>0</v>
      </c>
      <c r="AR30" s="318">
        <v>0</v>
      </c>
      <c r="AS30" s="318">
        <v>0</v>
      </c>
      <c r="AT30" s="318">
        <v>0</v>
      </c>
      <c r="AU30" s="317">
        <f t="shared" si="4"/>
        <v>164.495</v>
      </c>
      <c r="AV30" s="319">
        <v>0</v>
      </c>
      <c r="AW30" s="319">
        <v>0</v>
      </c>
      <c r="AX30" s="319">
        <v>0</v>
      </c>
      <c r="AY30" s="319">
        <v>0</v>
      </c>
      <c r="AZ30" s="319">
        <v>0</v>
      </c>
      <c r="BA30" s="319">
        <v>0</v>
      </c>
      <c r="BB30" s="319">
        <v>63.719000000000001</v>
      </c>
      <c r="BC30" s="319">
        <v>47.469000000000001</v>
      </c>
      <c r="BD30" s="319">
        <v>58.497</v>
      </c>
      <c r="BE30" s="319">
        <v>0</v>
      </c>
      <c r="BF30" s="319">
        <v>0</v>
      </c>
      <c r="BG30" s="319">
        <v>0</v>
      </c>
      <c r="BH30" s="319">
        <v>0</v>
      </c>
      <c r="BI30" s="317">
        <f t="shared" si="5"/>
        <v>169.685</v>
      </c>
      <c r="BJ30" s="316">
        <v>0</v>
      </c>
      <c r="BK30" s="316">
        <v>0</v>
      </c>
      <c r="BL30" s="316">
        <v>0</v>
      </c>
      <c r="BM30" s="316">
        <v>0</v>
      </c>
      <c r="BN30" s="316">
        <v>0</v>
      </c>
      <c r="BO30" s="316">
        <v>0</v>
      </c>
      <c r="BP30" s="316">
        <v>50.116</v>
      </c>
      <c r="BQ30" s="316">
        <v>54.789000000000001</v>
      </c>
      <c r="BR30" s="316">
        <v>43.337000000000003</v>
      </c>
      <c r="BS30" s="316">
        <v>0</v>
      </c>
      <c r="BT30" s="316">
        <v>0</v>
      </c>
      <c r="BU30" s="316">
        <v>0</v>
      </c>
      <c r="BV30" s="316">
        <v>0</v>
      </c>
      <c r="BW30" s="317">
        <f t="shared" si="6"/>
        <v>148.24200000000002</v>
      </c>
    </row>
    <row r="31" spans="1:75" x14ac:dyDescent="0.2">
      <c r="A31" s="20" t="str">
        <f>'School Level Inst. Resources'!A31</f>
        <v>0202000</v>
      </c>
      <c r="B31" s="20" t="str">
        <f>'School Level Inst. Resources'!B31</f>
        <v>Big Horn #2</v>
      </c>
      <c r="C31" s="20" t="str">
        <f>'School Level Inst. Resources'!C31</f>
        <v>0202055</v>
      </c>
      <c r="D31" s="20" t="str">
        <f>'School Level Inst. Resources'!D31</f>
        <v>Lovell High School</v>
      </c>
      <c r="E31" s="138" t="str">
        <f>'School Level Inst. Resources'!E31</f>
        <v>9-12</v>
      </c>
      <c r="F31" s="317">
        <f>IF(AND($A$2=4,VLOOKUP($A31,'District Level ADM'!$A$5:$W$52,5,FALSE)="Prior Year"),AH31,IF(AND($A$2=4,VLOOKUP($A31,'District Level ADM'!$A$5:$W$52,5,FALSE)="3-Year Avg."),T31,IF($A$2=2,AH31,IF($A$2=3,T31,IF(($AG31&gt;$AU31),T31,AH31)))))</f>
        <v>0</v>
      </c>
      <c r="G31" s="317">
        <f>IF(AND($A$2=4,VLOOKUP($A31,'District Level ADM'!$A$5:$W$52,5,FALSE)="Prior Year"),AI31,IF(AND($A$2=4,VLOOKUP($A31,'District Level ADM'!$A$5:$W$52,5,FALSE)="3-Year Avg."),U31,IF($A$2=2,AI31,IF($A$2=3,U31,IF(($AG31&gt;$AU31),U31,AI31)))))</f>
        <v>0</v>
      </c>
      <c r="H31" s="317">
        <f>IF(AND($A$2=4,VLOOKUP($A31,'District Level ADM'!$A$5:$W$52,5,FALSE)="Prior Year"),AJ31,IF(AND($A$2=4,VLOOKUP($A31,'District Level ADM'!$A$5:$W$52,5,FALSE)="3-Year Avg."),V31,IF($A$2=2,AJ31,IF($A$2=3,V31,IF(($AG31&gt;$AU31),V31,AJ31)))))</f>
        <v>0</v>
      </c>
      <c r="I31" s="317">
        <f>IF(AND($A$2=4,VLOOKUP($A31,'District Level ADM'!$A$5:$W$52,5,FALSE)="Prior Year"),AK31,IF(AND($A$2=4,VLOOKUP($A31,'District Level ADM'!$A$5:$W$52,5,FALSE)="3-Year Avg."),W31,IF($A$2=2,AK31,IF($A$2=3,W31,IF(($AG31&gt;$AU31),W31,AK31)))))</f>
        <v>0</v>
      </c>
      <c r="J31" s="317">
        <f>IF(AND($A$2=4,VLOOKUP($A31,'District Level ADM'!$A$5:$W$52,5,FALSE)="Prior Year"),AL31,IF(AND($A$2=4,VLOOKUP($A31,'District Level ADM'!$A$5:$W$52,5,FALSE)="3-Year Avg."),X31,IF($A$2=2,AL31,IF($A$2=3,X31,IF(($AG31&gt;$AU31),X31,AL31)))))</f>
        <v>0</v>
      </c>
      <c r="K31" s="317">
        <f>IF(AND($A$2=4,VLOOKUP($A31,'District Level ADM'!$A$5:$W$52,5,FALSE)="Prior Year"),AM31,IF(AND($A$2=4,VLOOKUP($A31,'District Level ADM'!$A$5:$W$52,5,FALSE)="3-Year Avg."),Y31,IF($A$2=2,AM31,IF($A$2=3,Y31,IF(($AG31&gt;$AU31),Y31,AM31)))))</f>
        <v>0</v>
      </c>
      <c r="L31" s="317">
        <f>IF(AND($A$2=4,VLOOKUP($A31,'District Level ADM'!$A$5:$W$52,5,FALSE)="Prior Year"),AN31,IF(AND($A$2=4,VLOOKUP($A31,'District Level ADM'!$A$5:$W$52,5,FALSE)="3-Year Avg."),Z31,IF($A$2=2,AN31,IF($A$2=3,Z31,IF(($AG31&gt;$AU31),Z31,AN31)))))</f>
        <v>0</v>
      </c>
      <c r="M31" s="317">
        <f>IF(AND($A$2=4,VLOOKUP($A31,'District Level ADM'!$A$5:$W$52,5,FALSE)="Prior Year"),AO31,IF(AND($A$2=4,VLOOKUP($A31,'District Level ADM'!$A$5:$W$52,5,FALSE)="3-Year Avg."),AA31,IF($A$2=2,AO31,IF($A$2=3,AA31,IF(($AG31&gt;$AU31),AA31,AO31)))))</f>
        <v>0</v>
      </c>
      <c r="N31" s="317">
        <f>IF(AND($A$2=4,VLOOKUP($A31,'District Level ADM'!$A$5:$W$52,5,FALSE)="Prior Year"),AP31,IF(AND($A$2=4,VLOOKUP($A31,'District Level ADM'!$A$5:$W$52,5,FALSE)="3-Year Avg."),AB31,IF($A$2=2,AP31,IF($A$2=3,AB31,IF(($AG31&gt;$AU31),AB31,AP31)))))</f>
        <v>0</v>
      </c>
      <c r="O31" s="317">
        <f>IF(AND($A$2=4,VLOOKUP($A31,'District Level ADM'!$A$5:$W$52,5,FALSE)="Prior Year"),AQ31,IF(AND($A$2=4,VLOOKUP($A31,'District Level ADM'!$A$5:$W$52,5,FALSE)="3-Year Avg."),AC31,IF($A$2=2,AQ31,IF($A$2=3,AC31,IF(($AG31&gt;$AU31),AC31,AQ31)))))</f>
        <v>58.115000000000002</v>
      </c>
      <c r="P31" s="317">
        <f>IF(AND($A$2=4,VLOOKUP($A31,'District Level ADM'!$A$5:$W$52,5,FALSE)="Prior Year"),AR31,IF(AND($A$2=4,VLOOKUP($A31,'District Level ADM'!$A$5:$W$52,5,FALSE)="3-Year Avg."),AD31,IF($A$2=2,AR31,IF($A$2=3,AD31,IF(($AG31&gt;$AU31),AD31,AR31)))))</f>
        <v>46.295000000000002</v>
      </c>
      <c r="Q31" s="317">
        <f>IF(AND($A$2=4,VLOOKUP($A31,'District Level ADM'!$A$5:$W$52,5,FALSE)="Prior Year"),AS31,IF(AND($A$2=4,VLOOKUP($A31,'District Level ADM'!$A$5:$W$52,5,FALSE)="3-Year Avg."),AE31,IF($A$2=2,AS31,IF($A$2=3,AE31,IF(($AG31&gt;$AU31),AE31,AS31)))))</f>
        <v>49.25</v>
      </c>
      <c r="R31" s="317">
        <f>IF(AND($A$2=4,VLOOKUP($A31,'District Level ADM'!$A$5:$W$52,5,FALSE)="Prior Year"),AT31,IF(AND($A$2=4,VLOOKUP($A31,'District Level ADM'!$A$5:$W$52,5,FALSE)="3-Year Avg."),AF31,IF($A$2=2,AT31,IF($A$2=3,AF31,IF(($AG31&gt;$AU31),AF31,AT31)))))</f>
        <v>57.13</v>
      </c>
      <c r="S31" s="317">
        <f t="shared" si="1"/>
        <v>210.79</v>
      </c>
      <c r="T31" s="317">
        <f t="shared" si="2"/>
        <v>0</v>
      </c>
      <c r="U31" s="317">
        <f t="shared" si="2"/>
        <v>0</v>
      </c>
      <c r="V31" s="317">
        <f t="shared" si="2"/>
        <v>0</v>
      </c>
      <c r="W31" s="317">
        <f t="shared" si="2"/>
        <v>0</v>
      </c>
      <c r="X31" s="317">
        <f t="shared" si="2"/>
        <v>0</v>
      </c>
      <c r="Y31" s="317">
        <f t="shared" si="2"/>
        <v>0</v>
      </c>
      <c r="Z31" s="317">
        <f t="shared" si="2"/>
        <v>0</v>
      </c>
      <c r="AA31" s="317">
        <f t="shared" si="2"/>
        <v>0</v>
      </c>
      <c r="AB31" s="317">
        <f t="shared" si="2"/>
        <v>0</v>
      </c>
      <c r="AC31" s="317">
        <f t="shared" si="2"/>
        <v>52.499000000000002</v>
      </c>
      <c r="AD31" s="317">
        <f t="shared" si="2"/>
        <v>51.942</v>
      </c>
      <c r="AE31" s="317">
        <f t="shared" si="2"/>
        <v>52.35</v>
      </c>
      <c r="AF31" s="317">
        <f t="shared" si="2"/>
        <v>52.330666666666673</v>
      </c>
      <c r="AG31" s="317">
        <f t="shared" si="3"/>
        <v>209.12166666666667</v>
      </c>
      <c r="AH31" s="318">
        <v>0</v>
      </c>
      <c r="AI31" s="318">
        <v>0</v>
      </c>
      <c r="AJ31" s="318">
        <v>0</v>
      </c>
      <c r="AK31" s="318">
        <v>0</v>
      </c>
      <c r="AL31" s="318">
        <v>0</v>
      </c>
      <c r="AM31" s="318">
        <v>0</v>
      </c>
      <c r="AN31" s="318">
        <v>0</v>
      </c>
      <c r="AO31" s="318">
        <v>0</v>
      </c>
      <c r="AP31" s="318">
        <v>0</v>
      </c>
      <c r="AQ31" s="318">
        <v>58.115000000000002</v>
      </c>
      <c r="AR31" s="318">
        <v>46.295000000000002</v>
      </c>
      <c r="AS31" s="318">
        <v>49.25</v>
      </c>
      <c r="AT31" s="318">
        <v>57.13</v>
      </c>
      <c r="AU31" s="317">
        <f t="shared" si="4"/>
        <v>210.79</v>
      </c>
      <c r="AV31" s="319">
        <v>0</v>
      </c>
      <c r="AW31" s="319">
        <v>0</v>
      </c>
      <c r="AX31" s="319">
        <v>0</v>
      </c>
      <c r="AY31" s="319">
        <v>0</v>
      </c>
      <c r="AZ31" s="319">
        <v>0</v>
      </c>
      <c r="BA31" s="319">
        <v>0</v>
      </c>
      <c r="BB31" s="319">
        <v>0</v>
      </c>
      <c r="BC31" s="319">
        <v>0</v>
      </c>
      <c r="BD31" s="319">
        <v>0</v>
      </c>
      <c r="BE31" s="319">
        <v>46.008000000000003</v>
      </c>
      <c r="BF31" s="319">
        <v>56.634</v>
      </c>
      <c r="BG31" s="319">
        <v>57.988999999999997</v>
      </c>
      <c r="BH31" s="319">
        <v>43.896000000000001</v>
      </c>
      <c r="BI31" s="317">
        <f t="shared" si="5"/>
        <v>204.52699999999999</v>
      </c>
      <c r="BJ31" s="316">
        <v>0</v>
      </c>
      <c r="BK31" s="316">
        <v>0</v>
      </c>
      <c r="BL31" s="316">
        <v>0</v>
      </c>
      <c r="BM31" s="316">
        <v>0</v>
      </c>
      <c r="BN31" s="316">
        <v>0</v>
      </c>
      <c r="BO31" s="316">
        <v>0</v>
      </c>
      <c r="BP31" s="316">
        <v>0</v>
      </c>
      <c r="BQ31" s="316">
        <v>0</v>
      </c>
      <c r="BR31" s="316">
        <v>0</v>
      </c>
      <c r="BS31" s="316">
        <v>53.374000000000002</v>
      </c>
      <c r="BT31" s="316">
        <v>52.896999999999998</v>
      </c>
      <c r="BU31" s="316">
        <v>49.811</v>
      </c>
      <c r="BV31" s="316">
        <v>55.966000000000001</v>
      </c>
      <c r="BW31" s="317">
        <f t="shared" si="6"/>
        <v>212.048</v>
      </c>
    </row>
    <row r="32" spans="1:75" x14ac:dyDescent="0.2">
      <c r="A32" s="20" t="str">
        <f>'School Level Inst. Resources'!A32</f>
        <v>0203000</v>
      </c>
      <c r="B32" s="20" t="str">
        <f>'School Level Inst. Resources'!B32</f>
        <v>Big Horn #3</v>
      </c>
      <c r="C32" s="20" t="str">
        <f>'School Level Inst. Resources'!C32</f>
        <v>0203002</v>
      </c>
      <c r="D32" s="20" t="str">
        <f>'School Level Inst. Resources'!D32</f>
        <v>Greybull Elementary</v>
      </c>
      <c r="E32" s="138" t="str">
        <f>'School Level Inst. Resources'!E32</f>
        <v>K-5</v>
      </c>
      <c r="F32" s="317">
        <f>IF(AND($A$2=4,VLOOKUP($A32,'District Level ADM'!$A$5:$W$52,5,FALSE)="Prior Year"),AH32,IF(AND($A$2=4,VLOOKUP($A32,'District Level ADM'!$A$5:$W$52,5,FALSE)="3-Year Avg."),T32,IF($A$2=2,AH32,IF($A$2=3,T32,IF(($AG32&gt;$AU32),T32,AH32)))))</f>
        <v>44.038333333333334</v>
      </c>
      <c r="G32" s="317">
        <f>IF(AND($A$2=4,VLOOKUP($A32,'District Level ADM'!$A$5:$W$52,5,FALSE)="Prior Year"),AI32,IF(AND($A$2=4,VLOOKUP($A32,'District Level ADM'!$A$5:$W$52,5,FALSE)="3-Year Avg."),U32,IF($A$2=2,AI32,IF($A$2=3,U32,IF(($AG32&gt;$AU32),U32,AI32)))))</f>
        <v>31.119</v>
      </c>
      <c r="H32" s="317">
        <f>IF(AND($A$2=4,VLOOKUP($A32,'District Level ADM'!$A$5:$W$52,5,FALSE)="Prior Year"),AJ32,IF(AND($A$2=4,VLOOKUP($A32,'District Level ADM'!$A$5:$W$52,5,FALSE)="3-Year Avg."),V32,IF($A$2=2,AJ32,IF($A$2=3,V32,IF(($AG32&gt;$AU32),V32,AJ32)))))</f>
        <v>30.364666666666665</v>
      </c>
      <c r="I32" s="317">
        <f>IF(AND($A$2=4,VLOOKUP($A32,'District Level ADM'!$A$5:$W$52,5,FALSE)="Prior Year"),AK32,IF(AND($A$2=4,VLOOKUP($A32,'District Level ADM'!$A$5:$W$52,5,FALSE)="3-Year Avg."),W32,IF($A$2=2,AK32,IF($A$2=3,W32,IF(($AG32&gt;$AU32),W32,AK32)))))</f>
        <v>31.661333333333335</v>
      </c>
      <c r="J32" s="317">
        <f>IF(AND($A$2=4,VLOOKUP($A32,'District Level ADM'!$A$5:$W$52,5,FALSE)="Prior Year"),AL32,IF(AND($A$2=4,VLOOKUP($A32,'District Level ADM'!$A$5:$W$52,5,FALSE)="3-Year Avg."),X32,IF($A$2=2,AL32,IF($A$2=3,X32,IF(($AG32&gt;$AU32),X32,AL32)))))</f>
        <v>34.695999999999998</v>
      </c>
      <c r="K32" s="317">
        <f>IF(AND($A$2=4,VLOOKUP($A32,'District Level ADM'!$A$5:$W$52,5,FALSE)="Prior Year"),AM32,IF(AND($A$2=4,VLOOKUP($A32,'District Level ADM'!$A$5:$W$52,5,FALSE)="3-Year Avg."),Y32,IF($A$2=2,AM32,IF($A$2=3,Y32,IF(($AG32&gt;$AU32),Y32,AM32)))))</f>
        <v>38.034666666666674</v>
      </c>
      <c r="L32" s="317">
        <f>IF(AND($A$2=4,VLOOKUP($A32,'District Level ADM'!$A$5:$W$52,5,FALSE)="Prior Year"),AN32,IF(AND($A$2=4,VLOOKUP($A32,'District Level ADM'!$A$5:$W$52,5,FALSE)="3-Year Avg."),Z32,IF($A$2=2,AN32,IF($A$2=3,Z32,IF(($AG32&gt;$AU32),Z32,AN32)))))</f>
        <v>0</v>
      </c>
      <c r="M32" s="317">
        <f>IF(AND($A$2=4,VLOOKUP($A32,'District Level ADM'!$A$5:$W$52,5,FALSE)="Prior Year"),AO32,IF(AND($A$2=4,VLOOKUP($A32,'District Level ADM'!$A$5:$W$52,5,FALSE)="3-Year Avg."),AA32,IF($A$2=2,AO32,IF($A$2=3,AA32,IF(($AG32&gt;$AU32),AA32,AO32)))))</f>
        <v>0</v>
      </c>
      <c r="N32" s="317">
        <f>IF(AND($A$2=4,VLOOKUP($A32,'District Level ADM'!$A$5:$W$52,5,FALSE)="Prior Year"),AP32,IF(AND($A$2=4,VLOOKUP($A32,'District Level ADM'!$A$5:$W$52,5,FALSE)="3-Year Avg."),AB32,IF($A$2=2,AP32,IF($A$2=3,AB32,IF(($AG32&gt;$AU32),AB32,AP32)))))</f>
        <v>0</v>
      </c>
      <c r="O32" s="317">
        <f>IF(AND($A$2=4,VLOOKUP($A32,'District Level ADM'!$A$5:$W$52,5,FALSE)="Prior Year"),AQ32,IF(AND($A$2=4,VLOOKUP($A32,'District Level ADM'!$A$5:$W$52,5,FALSE)="3-Year Avg."),AC32,IF($A$2=2,AQ32,IF($A$2=3,AC32,IF(($AG32&gt;$AU32),AC32,AQ32)))))</f>
        <v>0</v>
      </c>
      <c r="P32" s="317">
        <f>IF(AND($A$2=4,VLOOKUP($A32,'District Level ADM'!$A$5:$W$52,5,FALSE)="Prior Year"),AR32,IF(AND($A$2=4,VLOOKUP($A32,'District Level ADM'!$A$5:$W$52,5,FALSE)="3-Year Avg."),AD32,IF($A$2=2,AR32,IF($A$2=3,AD32,IF(($AG32&gt;$AU32),AD32,AR32)))))</f>
        <v>0</v>
      </c>
      <c r="Q32" s="317">
        <f>IF(AND($A$2=4,VLOOKUP($A32,'District Level ADM'!$A$5:$W$52,5,FALSE)="Prior Year"),AS32,IF(AND($A$2=4,VLOOKUP($A32,'District Level ADM'!$A$5:$W$52,5,FALSE)="3-Year Avg."),AE32,IF($A$2=2,AS32,IF($A$2=3,AE32,IF(($AG32&gt;$AU32),AE32,AS32)))))</f>
        <v>0</v>
      </c>
      <c r="R32" s="317">
        <f>IF(AND($A$2=4,VLOOKUP($A32,'District Level ADM'!$A$5:$W$52,5,FALSE)="Prior Year"),AT32,IF(AND($A$2=4,VLOOKUP($A32,'District Level ADM'!$A$5:$W$52,5,FALSE)="3-Year Avg."),AF32,IF($A$2=2,AT32,IF($A$2=3,AF32,IF(($AG32&gt;$AU32),AF32,AT32)))))</f>
        <v>0</v>
      </c>
      <c r="S32" s="317">
        <f t="shared" si="1"/>
        <v>209.91400000000002</v>
      </c>
      <c r="T32" s="317">
        <f t="shared" si="2"/>
        <v>44.038333333333334</v>
      </c>
      <c r="U32" s="317">
        <f t="shared" si="2"/>
        <v>31.119</v>
      </c>
      <c r="V32" s="317">
        <f t="shared" si="2"/>
        <v>30.364666666666665</v>
      </c>
      <c r="W32" s="317">
        <f t="shared" si="2"/>
        <v>31.661333333333335</v>
      </c>
      <c r="X32" s="317">
        <f t="shared" si="2"/>
        <v>34.695999999999998</v>
      </c>
      <c r="Y32" s="317">
        <f t="shared" si="2"/>
        <v>38.034666666666674</v>
      </c>
      <c r="Z32" s="317">
        <f t="shared" si="2"/>
        <v>0</v>
      </c>
      <c r="AA32" s="317">
        <f t="shared" si="2"/>
        <v>0</v>
      </c>
      <c r="AB32" s="317">
        <f t="shared" si="2"/>
        <v>0</v>
      </c>
      <c r="AC32" s="317">
        <f t="shared" si="2"/>
        <v>0</v>
      </c>
      <c r="AD32" s="317">
        <f t="shared" si="2"/>
        <v>0</v>
      </c>
      <c r="AE32" s="317">
        <f t="shared" si="2"/>
        <v>0</v>
      </c>
      <c r="AF32" s="317">
        <f t="shared" si="2"/>
        <v>0</v>
      </c>
      <c r="AG32" s="317">
        <f t="shared" si="3"/>
        <v>209.91400000000002</v>
      </c>
      <c r="AH32" s="318">
        <v>47.28</v>
      </c>
      <c r="AI32" s="318">
        <v>35.46</v>
      </c>
      <c r="AJ32" s="318">
        <v>27.58</v>
      </c>
      <c r="AK32" s="318">
        <v>29.55</v>
      </c>
      <c r="AL32" s="318">
        <v>32.505000000000003</v>
      </c>
      <c r="AM32" s="318">
        <v>29.55</v>
      </c>
      <c r="AN32" s="318">
        <v>0</v>
      </c>
      <c r="AO32" s="318">
        <v>0</v>
      </c>
      <c r="AP32" s="318">
        <v>0</v>
      </c>
      <c r="AQ32" s="318">
        <v>0</v>
      </c>
      <c r="AR32" s="318">
        <v>0</v>
      </c>
      <c r="AS32" s="318">
        <v>0</v>
      </c>
      <c r="AT32" s="318">
        <v>0</v>
      </c>
      <c r="AU32" s="317">
        <f t="shared" si="4"/>
        <v>201.92500000000001</v>
      </c>
      <c r="AV32" s="319">
        <v>44.366</v>
      </c>
      <c r="AW32" s="319">
        <v>27.817</v>
      </c>
      <c r="AX32" s="319">
        <v>31.64</v>
      </c>
      <c r="AY32" s="319">
        <v>32.262999999999998</v>
      </c>
      <c r="AZ32" s="319">
        <v>31.149000000000001</v>
      </c>
      <c r="BA32" s="319">
        <v>40.536999999999999</v>
      </c>
      <c r="BB32" s="319">
        <v>0</v>
      </c>
      <c r="BC32" s="319">
        <v>0</v>
      </c>
      <c r="BD32" s="319">
        <v>0</v>
      </c>
      <c r="BE32" s="319">
        <v>0</v>
      </c>
      <c r="BF32" s="319">
        <v>0</v>
      </c>
      <c r="BG32" s="319">
        <v>0</v>
      </c>
      <c r="BH32" s="319">
        <v>0</v>
      </c>
      <c r="BI32" s="317">
        <f t="shared" si="5"/>
        <v>207.77199999999999</v>
      </c>
      <c r="BJ32" s="316">
        <v>40.469000000000001</v>
      </c>
      <c r="BK32" s="316">
        <v>30.08</v>
      </c>
      <c r="BL32" s="316">
        <v>31.873999999999999</v>
      </c>
      <c r="BM32" s="316">
        <v>33.170999999999999</v>
      </c>
      <c r="BN32" s="316">
        <v>40.433999999999997</v>
      </c>
      <c r="BO32" s="316">
        <v>44.017000000000003</v>
      </c>
      <c r="BP32" s="316">
        <v>0</v>
      </c>
      <c r="BQ32" s="316">
        <v>0</v>
      </c>
      <c r="BR32" s="316">
        <v>0</v>
      </c>
      <c r="BS32" s="316">
        <v>0</v>
      </c>
      <c r="BT32" s="316">
        <v>0</v>
      </c>
      <c r="BU32" s="316">
        <v>0</v>
      </c>
      <c r="BV32" s="316">
        <v>0</v>
      </c>
      <c r="BW32" s="317">
        <f t="shared" si="6"/>
        <v>220.04499999999999</v>
      </c>
    </row>
    <row r="33" spans="1:75" x14ac:dyDescent="0.2">
      <c r="A33" s="20" t="str">
        <f>'School Level Inst. Resources'!A33</f>
        <v>0203000</v>
      </c>
      <c r="B33" s="20" t="str">
        <f>'School Level Inst. Resources'!B33</f>
        <v>Big Horn #3</v>
      </c>
      <c r="C33" s="20" t="str">
        <f>'School Level Inst. Resources'!C33</f>
        <v>0203050</v>
      </c>
      <c r="D33" s="20" t="str">
        <f>'School Level Inst. Resources'!D33</f>
        <v>Greybull Middle School</v>
      </c>
      <c r="E33" s="138" t="str">
        <f>'School Level Inst. Resources'!E33</f>
        <v>6-8</v>
      </c>
      <c r="F33" s="317">
        <f>IF(AND($A$2=4,VLOOKUP($A33,'District Level ADM'!$A$5:$W$52,5,FALSE)="Prior Year"),AH33,IF(AND($A$2=4,VLOOKUP($A33,'District Level ADM'!$A$5:$W$52,5,FALSE)="3-Year Avg."),T33,IF($A$2=2,AH33,IF($A$2=3,T33,IF(($AG33&gt;$AU33),T33,AH33)))))</f>
        <v>0</v>
      </c>
      <c r="G33" s="317">
        <f>IF(AND($A$2=4,VLOOKUP($A33,'District Level ADM'!$A$5:$W$52,5,FALSE)="Prior Year"),AI33,IF(AND($A$2=4,VLOOKUP($A33,'District Level ADM'!$A$5:$W$52,5,FALSE)="3-Year Avg."),U33,IF($A$2=2,AI33,IF($A$2=3,U33,IF(($AG33&gt;$AU33),U33,AI33)))))</f>
        <v>0</v>
      </c>
      <c r="H33" s="317">
        <f>IF(AND($A$2=4,VLOOKUP($A33,'District Level ADM'!$A$5:$W$52,5,FALSE)="Prior Year"),AJ33,IF(AND($A$2=4,VLOOKUP($A33,'District Level ADM'!$A$5:$W$52,5,FALSE)="3-Year Avg."),V33,IF($A$2=2,AJ33,IF($A$2=3,V33,IF(($AG33&gt;$AU33),V33,AJ33)))))</f>
        <v>0</v>
      </c>
      <c r="I33" s="317">
        <f>IF(AND($A$2=4,VLOOKUP($A33,'District Level ADM'!$A$5:$W$52,5,FALSE)="Prior Year"),AK33,IF(AND($A$2=4,VLOOKUP($A33,'District Level ADM'!$A$5:$W$52,5,FALSE)="3-Year Avg."),W33,IF($A$2=2,AK33,IF($A$2=3,W33,IF(($AG33&gt;$AU33),W33,AK33)))))</f>
        <v>0</v>
      </c>
      <c r="J33" s="317">
        <f>IF(AND($A$2=4,VLOOKUP($A33,'District Level ADM'!$A$5:$W$52,5,FALSE)="Prior Year"),AL33,IF(AND($A$2=4,VLOOKUP($A33,'District Level ADM'!$A$5:$W$52,5,FALSE)="3-Year Avg."),X33,IF($A$2=2,AL33,IF($A$2=3,X33,IF(($AG33&gt;$AU33),X33,AL33)))))</f>
        <v>0</v>
      </c>
      <c r="K33" s="317">
        <f>IF(AND($A$2=4,VLOOKUP($A33,'District Level ADM'!$A$5:$W$52,5,FALSE)="Prior Year"),AM33,IF(AND($A$2=4,VLOOKUP($A33,'District Level ADM'!$A$5:$W$52,5,FALSE)="3-Year Avg."),Y33,IF($A$2=2,AM33,IF($A$2=3,Y33,IF(($AG33&gt;$AU33),Y33,AM33)))))</f>
        <v>0</v>
      </c>
      <c r="L33" s="317">
        <f>IF(AND($A$2=4,VLOOKUP($A33,'District Level ADM'!$A$5:$W$52,5,FALSE)="Prior Year"),AN33,IF(AND($A$2=4,VLOOKUP($A33,'District Level ADM'!$A$5:$W$52,5,FALSE)="3-Year Avg."),Z33,IF($A$2=2,AN33,IF($A$2=3,Z33,IF(($AG33&gt;$AU33),Z33,AN33)))))</f>
        <v>39.035333333333334</v>
      </c>
      <c r="M33" s="317">
        <f>IF(AND($A$2=4,VLOOKUP($A33,'District Level ADM'!$A$5:$W$52,5,FALSE)="Prior Year"),AO33,IF(AND($A$2=4,VLOOKUP($A33,'District Level ADM'!$A$5:$W$52,5,FALSE)="3-Year Avg."),AA33,IF($A$2=2,AO33,IF($A$2=3,AA33,IF(($AG33&gt;$AU33),AA33,AO33)))))</f>
        <v>36.393666666666668</v>
      </c>
      <c r="N33" s="317">
        <f>IF(AND($A$2=4,VLOOKUP($A33,'District Level ADM'!$A$5:$W$52,5,FALSE)="Prior Year"),AP33,IF(AND($A$2=4,VLOOKUP($A33,'District Level ADM'!$A$5:$W$52,5,FALSE)="3-Year Avg."),AB33,IF($A$2=2,AP33,IF($A$2=3,AB33,IF(($AG33&gt;$AU33),AB33,AP33)))))</f>
        <v>35.038333333333334</v>
      </c>
      <c r="O33" s="317">
        <f>IF(AND($A$2=4,VLOOKUP($A33,'District Level ADM'!$A$5:$W$52,5,FALSE)="Prior Year"),AQ33,IF(AND($A$2=4,VLOOKUP($A33,'District Level ADM'!$A$5:$W$52,5,FALSE)="3-Year Avg."),AC33,IF($A$2=2,AQ33,IF($A$2=3,AC33,IF(($AG33&gt;$AU33),AC33,AQ33)))))</f>
        <v>0</v>
      </c>
      <c r="P33" s="317">
        <f>IF(AND($A$2=4,VLOOKUP($A33,'District Level ADM'!$A$5:$W$52,5,FALSE)="Prior Year"),AR33,IF(AND($A$2=4,VLOOKUP($A33,'District Level ADM'!$A$5:$W$52,5,FALSE)="3-Year Avg."),AD33,IF($A$2=2,AR33,IF($A$2=3,AD33,IF(($AG33&gt;$AU33),AD33,AR33)))))</f>
        <v>0</v>
      </c>
      <c r="Q33" s="317">
        <f>IF(AND($A$2=4,VLOOKUP($A33,'District Level ADM'!$A$5:$W$52,5,FALSE)="Prior Year"),AS33,IF(AND($A$2=4,VLOOKUP($A33,'District Level ADM'!$A$5:$W$52,5,FALSE)="3-Year Avg."),AE33,IF($A$2=2,AS33,IF($A$2=3,AE33,IF(($AG33&gt;$AU33),AE33,AS33)))))</f>
        <v>0</v>
      </c>
      <c r="R33" s="317">
        <f>IF(AND($A$2=4,VLOOKUP($A33,'District Level ADM'!$A$5:$W$52,5,FALSE)="Prior Year"),AT33,IF(AND($A$2=4,VLOOKUP($A33,'District Level ADM'!$A$5:$W$52,5,FALSE)="3-Year Avg."),AF33,IF($A$2=2,AT33,IF($A$2=3,AF33,IF(($AG33&gt;$AU33),AF33,AT33)))))</f>
        <v>0</v>
      </c>
      <c r="S33" s="317">
        <f t="shared" si="1"/>
        <v>110.46733333333333</v>
      </c>
      <c r="T33" s="317">
        <f t="shared" si="2"/>
        <v>0</v>
      </c>
      <c r="U33" s="317">
        <f t="shared" si="2"/>
        <v>0</v>
      </c>
      <c r="V33" s="317">
        <f t="shared" si="2"/>
        <v>0</v>
      </c>
      <c r="W33" s="317">
        <f t="shared" si="2"/>
        <v>0</v>
      </c>
      <c r="X33" s="317">
        <f t="shared" si="2"/>
        <v>0</v>
      </c>
      <c r="Y33" s="317">
        <f t="shared" si="2"/>
        <v>0</v>
      </c>
      <c r="Z33" s="317">
        <f t="shared" si="2"/>
        <v>39.035333333333334</v>
      </c>
      <c r="AA33" s="317">
        <f t="shared" si="2"/>
        <v>36.393666666666668</v>
      </c>
      <c r="AB33" s="317">
        <f t="shared" si="2"/>
        <v>35.038333333333334</v>
      </c>
      <c r="AC33" s="317">
        <f t="shared" si="2"/>
        <v>0</v>
      </c>
      <c r="AD33" s="317">
        <f t="shared" si="2"/>
        <v>0</v>
      </c>
      <c r="AE33" s="317">
        <f t="shared" si="2"/>
        <v>0</v>
      </c>
      <c r="AF33" s="317">
        <f t="shared" si="2"/>
        <v>0</v>
      </c>
      <c r="AG33" s="317">
        <f t="shared" si="3"/>
        <v>110.46733333333333</v>
      </c>
      <c r="AH33" s="318">
        <v>0</v>
      </c>
      <c r="AI33" s="318">
        <v>0</v>
      </c>
      <c r="AJ33" s="318">
        <v>0</v>
      </c>
      <c r="AK33" s="318">
        <v>0</v>
      </c>
      <c r="AL33" s="318">
        <v>0</v>
      </c>
      <c r="AM33" s="318">
        <v>0</v>
      </c>
      <c r="AN33" s="318">
        <v>38.414999999999999</v>
      </c>
      <c r="AO33" s="318">
        <v>38.414999999999999</v>
      </c>
      <c r="AP33" s="318">
        <v>37.43</v>
      </c>
      <c r="AQ33" s="318">
        <v>0</v>
      </c>
      <c r="AR33" s="318">
        <v>0</v>
      </c>
      <c r="AS33" s="318">
        <v>0</v>
      </c>
      <c r="AT33" s="318">
        <v>0</v>
      </c>
      <c r="AU33" s="317">
        <f t="shared" si="4"/>
        <v>114.25999999999999</v>
      </c>
      <c r="AV33" s="319">
        <v>0</v>
      </c>
      <c r="AW33" s="319">
        <v>0</v>
      </c>
      <c r="AX33" s="319">
        <v>0</v>
      </c>
      <c r="AY33" s="319">
        <v>0</v>
      </c>
      <c r="AZ33" s="319">
        <v>0</v>
      </c>
      <c r="BA33" s="319">
        <v>0</v>
      </c>
      <c r="BB33" s="319">
        <v>41.353999999999999</v>
      </c>
      <c r="BC33" s="319">
        <v>39.606000000000002</v>
      </c>
      <c r="BD33" s="319">
        <v>29.154</v>
      </c>
      <c r="BE33" s="319">
        <v>0</v>
      </c>
      <c r="BF33" s="319">
        <v>0</v>
      </c>
      <c r="BG33" s="319">
        <v>0</v>
      </c>
      <c r="BH33" s="319">
        <v>0</v>
      </c>
      <c r="BI33" s="317">
        <f t="shared" si="5"/>
        <v>110.114</v>
      </c>
      <c r="BJ33" s="316">
        <v>0</v>
      </c>
      <c r="BK33" s="316">
        <v>0</v>
      </c>
      <c r="BL33" s="316">
        <v>0</v>
      </c>
      <c r="BM33" s="316">
        <v>0</v>
      </c>
      <c r="BN33" s="316">
        <v>0</v>
      </c>
      <c r="BO33" s="316">
        <v>0</v>
      </c>
      <c r="BP33" s="316">
        <v>37.337000000000003</v>
      </c>
      <c r="BQ33" s="316">
        <v>31.16</v>
      </c>
      <c r="BR33" s="316">
        <v>38.530999999999999</v>
      </c>
      <c r="BS33" s="316">
        <v>0</v>
      </c>
      <c r="BT33" s="316">
        <v>0</v>
      </c>
      <c r="BU33" s="316">
        <v>0</v>
      </c>
      <c r="BV33" s="316">
        <v>0</v>
      </c>
      <c r="BW33" s="317">
        <f t="shared" si="6"/>
        <v>107.02799999999999</v>
      </c>
    </row>
    <row r="34" spans="1:75" x14ac:dyDescent="0.2">
      <c r="A34" s="20" t="str">
        <f>'School Level Inst. Resources'!A34</f>
        <v>0203000</v>
      </c>
      <c r="B34" s="20" t="str">
        <f>'School Level Inst. Resources'!B34</f>
        <v>Big Horn #3</v>
      </c>
      <c r="C34" s="20" t="str">
        <f>'School Level Inst. Resources'!C34</f>
        <v>0203055</v>
      </c>
      <c r="D34" s="20" t="str">
        <f>'School Level Inst. Resources'!D34</f>
        <v>Greybull High School</v>
      </c>
      <c r="E34" s="138" t="str">
        <f>'School Level Inst. Resources'!E34</f>
        <v>9-12</v>
      </c>
      <c r="F34" s="317">
        <f>IF(AND($A$2=4,VLOOKUP($A34,'District Level ADM'!$A$5:$W$52,5,FALSE)="Prior Year"),AH34,IF(AND($A$2=4,VLOOKUP($A34,'District Level ADM'!$A$5:$W$52,5,FALSE)="3-Year Avg."),T34,IF($A$2=2,AH34,IF($A$2=3,T34,IF(($AG34&gt;$AU34),T34,AH34)))))</f>
        <v>0</v>
      </c>
      <c r="G34" s="317">
        <f>IF(AND($A$2=4,VLOOKUP($A34,'District Level ADM'!$A$5:$W$52,5,FALSE)="Prior Year"),AI34,IF(AND($A$2=4,VLOOKUP($A34,'District Level ADM'!$A$5:$W$52,5,FALSE)="3-Year Avg."),U34,IF($A$2=2,AI34,IF($A$2=3,U34,IF(($AG34&gt;$AU34),U34,AI34)))))</f>
        <v>0</v>
      </c>
      <c r="H34" s="317">
        <f>IF(AND($A$2=4,VLOOKUP($A34,'District Level ADM'!$A$5:$W$52,5,FALSE)="Prior Year"),AJ34,IF(AND($A$2=4,VLOOKUP($A34,'District Level ADM'!$A$5:$W$52,5,FALSE)="3-Year Avg."),V34,IF($A$2=2,AJ34,IF($A$2=3,V34,IF(($AG34&gt;$AU34),V34,AJ34)))))</f>
        <v>0</v>
      </c>
      <c r="I34" s="317">
        <f>IF(AND($A$2=4,VLOOKUP($A34,'District Level ADM'!$A$5:$W$52,5,FALSE)="Prior Year"),AK34,IF(AND($A$2=4,VLOOKUP($A34,'District Level ADM'!$A$5:$W$52,5,FALSE)="3-Year Avg."),W34,IF($A$2=2,AK34,IF($A$2=3,W34,IF(($AG34&gt;$AU34),W34,AK34)))))</f>
        <v>0</v>
      </c>
      <c r="J34" s="317">
        <f>IF(AND($A$2=4,VLOOKUP($A34,'District Level ADM'!$A$5:$W$52,5,FALSE)="Prior Year"),AL34,IF(AND($A$2=4,VLOOKUP($A34,'District Level ADM'!$A$5:$W$52,5,FALSE)="3-Year Avg."),X34,IF($A$2=2,AL34,IF($A$2=3,X34,IF(($AG34&gt;$AU34),X34,AL34)))))</f>
        <v>0</v>
      </c>
      <c r="K34" s="317">
        <f>IF(AND($A$2=4,VLOOKUP($A34,'District Level ADM'!$A$5:$W$52,5,FALSE)="Prior Year"),AM34,IF(AND($A$2=4,VLOOKUP($A34,'District Level ADM'!$A$5:$W$52,5,FALSE)="3-Year Avg."),Y34,IF($A$2=2,AM34,IF($A$2=3,Y34,IF(($AG34&gt;$AU34),Y34,AM34)))))</f>
        <v>0</v>
      </c>
      <c r="L34" s="317">
        <f>IF(AND($A$2=4,VLOOKUP($A34,'District Level ADM'!$A$5:$W$52,5,FALSE)="Prior Year"),AN34,IF(AND($A$2=4,VLOOKUP($A34,'District Level ADM'!$A$5:$W$52,5,FALSE)="3-Year Avg."),Z34,IF($A$2=2,AN34,IF($A$2=3,Z34,IF(($AG34&gt;$AU34),Z34,AN34)))))</f>
        <v>0</v>
      </c>
      <c r="M34" s="317">
        <f>IF(AND($A$2=4,VLOOKUP($A34,'District Level ADM'!$A$5:$W$52,5,FALSE)="Prior Year"),AO34,IF(AND($A$2=4,VLOOKUP($A34,'District Level ADM'!$A$5:$W$52,5,FALSE)="3-Year Avg."),AA34,IF($A$2=2,AO34,IF($A$2=3,AA34,IF(($AG34&gt;$AU34),AA34,AO34)))))</f>
        <v>0</v>
      </c>
      <c r="N34" s="317">
        <f>IF(AND($A$2=4,VLOOKUP($A34,'District Level ADM'!$A$5:$W$52,5,FALSE)="Prior Year"),AP34,IF(AND($A$2=4,VLOOKUP($A34,'District Level ADM'!$A$5:$W$52,5,FALSE)="3-Year Avg."),AB34,IF($A$2=2,AP34,IF($A$2=3,AB34,IF(($AG34&gt;$AU34),AB34,AP34)))))</f>
        <v>0</v>
      </c>
      <c r="O34" s="317">
        <f>IF(AND($A$2=4,VLOOKUP($A34,'District Level ADM'!$A$5:$W$52,5,FALSE)="Prior Year"),AQ34,IF(AND($A$2=4,VLOOKUP($A34,'District Level ADM'!$A$5:$W$52,5,FALSE)="3-Year Avg."),AC34,IF($A$2=2,AQ34,IF($A$2=3,AC34,IF(($AG34&gt;$AU34),AC34,AQ34)))))</f>
        <v>39.977333333333327</v>
      </c>
      <c r="P34" s="317">
        <f>IF(AND($A$2=4,VLOOKUP($A34,'District Level ADM'!$A$5:$W$52,5,FALSE)="Prior Year"),AR34,IF(AND($A$2=4,VLOOKUP($A34,'District Level ADM'!$A$5:$W$52,5,FALSE)="3-Year Avg."),AD34,IF($A$2=2,AR34,IF($A$2=3,AD34,IF(($AG34&gt;$AU34),AD34,AR34)))))</f>
        <v>43.988333333333337</v>
      </c>
      <c r="Q34" s="317">
        <f>IF(AND($A$2=4,VLOOKUP($A34,'District Level ADM'!$A$5:$W$52,5,FALSE)="Prior Year"),AS34,IF(AND($A$2=4,VLOOKUP($A34,'District Level ADM'!$A$5:$W$52,5,FALSE)="3-Year Avg."),AE34,IF($A$2=2,AS34,IF($A$2=3,AE34,IF(($AG34&gt;$AU34),AE34,AS34)))))</f>
        <v>45.225000000000001</v>
      </c>
      <c r="R34" s="317">
        <f>IF(AND($A$2=4,VLOOKUP($A34,'District Level ADM'!$A$5:$W$52,5,FALSE)="Prior Year"),AT34,IF(AND($A$2=4,VLOOKUP($A34,'District Level ADM'!$A$5:$W$52,5,FALSE)="3-Year Avg."),AF34,IF($A$2=2,AT34,IF($A$2=3,AF34,IF(($AG34&gt;$AU34),AF34,AT34)))))</f>
        <v>46.010999999999996</v>
      </c>
      <c r="S34" s="317">
        <f t="shared" si="1"/>
        <v>175.20166666666665</v>
      </c>
      <c r="T34" s="317">
        <f t="shared" si="2"/>
        <v>0</v>
      </c>
      <c r="U34" s="317">
        <f t="shared" si="2"/>
        <v>0</v>
      </c>
      <c r="V34" s="317">
        <f t="shared" si="2"/>
        <v>0</v>
      </c>
      <c r="W34" s="317">
        <f t="shared" si="2"/>
        <v>0</v>
      </c>
      <c r="X34" s="317">
        <f t="shared" si="2"/>
        <v>0</v>
      </c>
      <c r="Y34" s="317">
        <f t="shared" si="2"/>
        <v>0</v>
      </c>
      <c r="Z34" s="317">
        <f t="shared" si="2"/>
        <v>0</v>
      </c>
      <c r="AA34" s="317">
        <f t="shared" si="2"/>
        <v>0</v>
      </c>
      <c r="AB34" s="317">
        <f t="shared" si="2"/>
        <v>0</v>
      </c>
      <c r="AC34" s="317">
        <f t="shared" si="2"/>
        <v>39.977333333333327</v>
      </c>
      <c r="AD34" s="317">
        <f t="shared" si="2"/>
        <v>43.988333333333337</v>
      </c>
      <c r="AE34" s="317">
        <f t="shared" si="2"/>
        <v>45.225000000000001</v>
      </c>
      <c r="AF34" s="317">
        <f t="shared" si="2"/>
        <v>46.010999999999996</v>
      </c>
      <c r="AG34" s="317">
        <f t="shared" si="3"/>
        <v>175.20166666666665</v>
      </c>
      <c r="AH34" s="318">
        <v>0</v>
      </c>
      <c r="AI34" s="318">
        <v>0</v>
      </c>
      <c r="AJ34" s="318">
        <v>0</v>
      </c>
      <c r="AK34" s="318">
        <v>0</v>
      </c>
      <c r="AL34" s="318">
        <v>0</v>
      </c>
      <c r="AM34" s="318">
        <v>0</v>
      </c>
      <c r="AN34" s="318">
        <v>0</v>
      </c>
      <c r="AO34" s="318">
        <v>0</v>
      </c>
      <c r="AP34" s="318">
        <v>0</v>
      </c>
      <c r="AQ34" s="318">
        <v>29.55</v>
      </c>
      <c r="AR34" s="318">
        <v>36.445</v>
      </c>
      <c r="AS34" s="318">
        <v>45.31</v>
      </c>
      <c r="AT34" s="318">
        <v>41.37</v>
      </c>
      <c r="AU34" s="317">
        <f t="shared" si="4"/>
        <v>152.67500000000001</v>
      </c>
      <c r="AV34" s="319">
        <v>0</v>
      </c>
      <c r="AW34" s="319">
        <v>0</v>
      </c>
      <c r="AX34" s="319">
        <v>0</v>
      </c>
      <c r="AY34" s="319">
        <v>0</v>
      </c>
      <c r="AZ34" s="319">
        <v>0</v>
      </c>
      <c r="BA34" s="319">
        <v>0</v>
      </c>
      <c r="BB34" s="319">
        <v>0</v>
      </c>
      <c r="BC34" s="319">
        <v>0</v>
      </c>
      <c r="BD34" s="319">
        <v>0</v>
      </c>
      <c r="BE34" s="319">
        <v>39.491</v>
      </c>
      <c r="BF34" s="319">
        <v>50.314</v>
      </c>
      <c r="BG34" s="319">
        <v>43.634</v>
      </c>
      <c r="BH34" s="319">
        <v>48.662999999999997</v>
      </c>
      <c r="BI34" s="317">
        <f t="shared" si="5"/>
        <v>182.10200000000003</v>
      </c>
      <c r="BJ34" s="316">
        <v>0</v>
      </c>
      <c r="BK34" s="316">
        <v>0</v>
      </c>
      <c r="BL34" s="316">
        <v>0</v>
      </c>
      <c r="BM34" s="316">
        <v>0</v>
      </c>
      <c r="BN34" s="316">
        <v>0</v>
      </c>
      <c r="BO34" s="316">
        <v>0</v>
      </c>
      <c r="BP34" s="316">
        <v>0</v>
      </c>
      <c r="BQ34" s="316">
        <v>0</v>
      </c>
      <c r="BR34" s="316">
        <v>0</v>
      </c>
      <c r="BS34" s="316">
        <v>50.890999999999998</v>
      </c>
      <c r="BT34" s="316">
        <v>45.206000000000003</v>
      </c>
      <c r="BU34" s="316">
        <v>46.731000000000002</v>
      </c>
      <c r="BV34" s="316">
        <v>48</v>
      </c>
      <c r="BW34" s="317">
        <f t="shared" si="6"/>
        <v>190.828</v>
      </c>
    </row>
    <row r="35" spans="1:75" x14ac:dyDescent="0.2">
      <c r="A35" s="20" t="str">
        <f>'School Level Inst. Resources'!A35</f>
        <v>0204000</v>
      </c>
      <c r="B35" s="20" t="str">
        <f>'School Level Inst. Resources'!B35</f>
        <v>Big Horn #4</v>
      </c>
      <c r="C35" s="20" t="str">
        <f>'School Level Inst. Resources'!C35</f>
        <v>0204001</v>
      </c>
      <c r="D35" s="20" t="str">
        <f>'School Level Inst. Resources'!D35</f>
        <v>Laura Irwin Elementary</v>
      </c>
      <c r="E35" s="138" t="str">
        <f>'School Level Inst. Resources'!E35</f>
        <v>K-5</v>
      </c>
      <c r="F35" s="317">
        <f>IF(AND($A$2=4,VLOOKUP($A35,'District Level ADM'!$A$5:$W$52,5,FALSE)="Prior Year"),AH35,IF(AND($A$2=4,VLOOKUP($A35,'District Level ADM'!$A$5:$W$52,5,FALSE)="3-Year Avg."),T35,IF($A$2=2,AH35,IF($A$2=3,T35,IF(($AG35&gt;$AU35),T35,AH35)))))</f>
        <v>15.552333333333332</v>
      </c>
      <c r="G35" s="317">
        <f>IF(AND($A$2=4,VLOOKUP($A35,'District Level ADM'!$A$5:$W$52,5,FALSE)="Prior Year"),AI35,IF(AND($A$2=4,VLOOKUP($A35,'District Level ADM'!$A$5:$W$52,5,FALSE)="3-Year Avg."),U35,IF($A$2=2,AI35,IF($A$2=3,U35,IF(($AG35&gt;$AU35),U35,AI35)))))</f>
        <v>18.701000000000001</v>
      </c>
      <c r="H35" s="317">
        <f>IF(AND($A$2=4,VLOOKUP($A35,'District Level ADM'!$A$5:$W$52,5,FALSE)="Prior Year"),AJ35,IF(AND($A$2=4,VLOOKUP($A35,'District Level ADM'!$A$5:$W$52,5,FALSE)="3-Year Avg."),V35,IF($A$2=2,AJ35,IF($A$2=3,V35,IF(($AG35&gt;$AU35),V35,AJ35)))))</f>
        <v>18.701999999999998</v>
      </c>
      <c r="I35" s="317">
        <f>IF(AND($A$2=4,VLOOKUP($A35,'District Level ADM'!$A$5:$W$52,5,FALSE)="Prior Year"),AK35,IF(AND($A$2=4,VLOOKUP($A35,'District Level ADM'!$A$5:$W$52,5,FALSE)="3-Year Avg."),W35,IF($A$2=2,AK35,IF($A$2=3,W35,IF(($AG35&gt;$AU35),W35,AK35)))))</f>
        <v>23.486666666666668</v>
      </c>
      <c r="J35" s="317">
        <f>IF(AND($A$2=4,VLOOKUP($A35,'District Level ADM'!$A$5:$W$52,5,FALSE)="Prior Year"),AL35,IF(AND($A$2=4,VLOOKUP($A35,'District Level ADM'!$A$5:$W$52,5,FALSE)="3-Year Avg."),X35,IF($A$2=2,AL35,IF($A$2=3,X35,IF(($AG35&gt;$AU35),X35,AL35)))))</f>
        <v>23.231000000000005</v>
      </c>
      <c r="K35" s="317">
        <f>IF(AND($A$2=4,VLOOKUP($A35,'District Level ADM'!$A$5:$W$52,5,FALSE)="Prior Year"),AM35,IF(AND($A$2=4,VLOOKUP($A35,'District Level ADM'!$A$5:$W$52,5,FALSE)="3-Year Avg."),Y35,IF($A$2=2,AM35,IF($A$2=3,Y35,IF(($AG35&gt;$AU35),Y35,AM35)))))</f>
        <v>23.908666666666665</v>
      </c>
      <c r="L35" s="317">
        <f>IF(AND($A$2=4,VLOOKUP($A35,'District Level ADM'!$A$5:$W$52,5,FALSE)="Prior Year"),AN35,IF(AND($A$2=4,VLOOKUP($A35,'District Level ADM'!$A$5:$W$52,5,FALSE)="3-Year Avg."),Z35,IF($A$2=2,AN35,IF($A$2=3,Z35,IF(($AG35&gt;$AU35),Z35,AN35)))))</f>
        <v>0</v>
      </c>
      <c r="M35" s="317">
        <f>IF(AND($A$2=4,VLOOKUP($A35,'District Level ADM'!$A$5:$W$52,5,FALSE)="Prior Year"),AO35,IF(AND($A$2=4,VLOOKUP($A35,'District Level ADM'!$A$5:$W$52,5,FALSE)="3-Year Avg."),AA35,IF($A$2=2,AO35,IF($A$2=3,AA35,IF(($AG35&gt;$AU35),AA35,AO35)))))</f>
        <v>0</v>
      </c>
      <c r="N35" s="317">
        <f>IF(AND($A$2=4,VLOOKUP($A35,'District Level ADM'!$A$5:$W$52,5,FALSE)="Prior Year"),AP35,IF(AND($A$2=4,VLOOKUP($A35,'District Level ADM'!$A$5:$W$52,5,FALSE)="3-Year Avg."),AB35,IF($A$2=2,AP35,IF($A$2=3,AB35,IF(($AG35&gt;$AU35),AB35,AP35)))))</f>
        <v>0</v>
      </c>
      <c r="O35" s="317">
        <f>IF(AND($A$2=4,VLOOKUP($A35,'District Level ADM'!$A$5:$W$52,5,FALSE)="Prior Year"),AQ35,IF(AND($A$2=4,VLOOKUP($A35,'District Level ADM'!$A$5:$W$52,5,FALSE)="3-Year Avg."),AC35,IF($A$2=2,AQ35,IF($A$2=3,AC35,IF(($AG35&gt;$AU35),AC35,AQ35)))))</f>
        <v>0</v>
      </c>
      <c r="P35" s="317">
        <f>IF(AND($A$2=4,VLOOKUP($A35,'District Level ADM'!$A$5:$W$52,5,FALSE)="Prior Year"),AR35,IF(AND($A$2=4,VLOOKUP($A35,'District Level ADM'!$A$5:$W$52,5,FALSE)="3-Year Avg."),AD35,IF($A$2=2,AR35,IF($A$2=3,AD35,IF(($AG35&gt;$AU35),AD35,AR35)))))</f>
        <v>0</v>
      </c>
      <c r="Q35" s="317">
        <f>IF(AND($A$2=4,VLOOKUP($A35,'District Level ADM'!$A$5:$W$52,5,FALSE)="Prior Year"),AS35,IF(AND($A$2=4,VLOOKUP($A35,'District Level ADM'!$A$5:$W$52,5,FALSE)="3-Year Avg."),AE35,IF($A$2=2,AS35,IF($A$2=3,AE35,IF(($AG35&gt;$AU35),AE35,AS35)))))</f>
        <v>0</v>
      </c>
      <c r="R35" s="317">
        <f>IF(AND($A$2=4,VLOOKUP($A35,'District Level ADM'!$A$5:$W$52,5,FALSE)="Prior Year"),AT35,IF(AND($A$2=4,VLOOKUP($A35,'District Level ADM'!$A$5:$W$52,5,FALSE)="3-Year Avg."),AF35,IF($A$2=2,AT35,IF($A$2=3,AF35,IF(($AG35&gt;$AU35),AF35,AT35)))))</f>
        <v>0</v>
      </c>
      <c r="S35" s="317">
        <f t="shared" si="1"/>
        <v>123.58166666666666</v>
      </c>
      <c r="T35" s="317">
        <f t="shared" si="2"/>
        <v>15.552333333333332</v>
      </c>
      <c r="U35" s="317">
        <f t="shared" si="2"/>
        <v>18.701000000000001</v>
      </c>
      <c r="V35" s="317">
        <f t="shared" si="2"/>
        <v>18.701999999999998</v>
      </c>
      <c r="W35" s="317">
        <f t="shared" si="2"/>
        <v>23.486666666666668</v>
      </c>
      <c r="X35" s="317">
        <f t="shared" si="2"/>
        <v>23.231000000000005</v>
      </c>
      <c r="Y35" s="317">
        <f t="shared" si="2"/>
        <v>23.908666666666665</v>
      </c>
      <c r="Z35" s="317">
        <f t="shared" si="2"/>
        <v>0</v>
      </c>
      <c r="AA35" s="317">
        <f t="shared" si="2"/>
        <v>0</v>
      </c>
      <c r="AB35" s="317">
        <f t="shared" si="2"/>
        <v>0</v>
      </c>
      <c r="AC35" s="317">
        <f t="shared" si="2"/>
        <v>0</v>
      </c>
      <c r="AD35" s="317">
        <f t="shared" si="2"/>
        <v>0</v>
      </c>
      <c r="AE35" s="317">
        <f t="shared" si="2"/>
        <v>0</v>
      </c>
      <c r="AF35" s="317">
        <f t="shared" si="2"/>
        <v>0</v>
      </c>
      <c r="AG35" s="317">
        <f t="shared" si="3"/>
        <v>123.58166666666666</v>
      </c>
      <c r="AH35" s="318">
        <v>15.76</v>
      </c>
      <c r="AI35" s="318">
        <v>18.715</v>
      </c>
      <c r="AJ35" s="318">
        <v>11.82</v>
      </c>
      <c r="AK35" s="318">
        <v>19.7</v>
      </c>
      <c r="AL35" s="318">
        <v>21.67</v>
      </c>
      <c r="AM35" s="318">
        <v>23.64</v>
      </c>
      <c r="AN35" s="318">
        <v>0</v>
      </c>
      <c r="AO35" s="318">
        <v>0</v>
      </c>
      <c r="AP35" s="318">
        <v>0</v>
      </c>
      <c r="AQ35" s="318">
        <v>0</v>
      </c>
      <c r="AR35" s="318">
        <v>0</v>
      </c>
      <c r="AS35" s="318">
        <v>0</v>
      </c>
      <c r="AT35" s="318">
        <v>0</v>
      </c>
      <c r="AU35" s="317">
        <f t="shared" si="4"/>
        <v>111.30500000000001</v>
      </c>
      <c r="AV35" s="319">
        <v>19.817</v>
      </c>
      <c r="AW35" s="319">
        <v>12.851000000000001</v>
      </c>
      <c r="AX35" s="319">
        <v>20.222999999999999</v>
      </c>
      <c r="AY35" s="319">
        <v>21.76</v>
      </c>
      <c r="AZ35" s="319">
        <v>26.709</v>
      </c>
      <c r="BA35" s="319">
        <v>22.177</v>
      </c>
      <c r="BB35" s="319">
        <v>0</v>
      </c>
      <c r="BC35" s="319">
        <v>0</v>
      </c>
      <c r="BD35" s="319">
        <v>0</v>
      </c>
      <c r="BE35" s="319">
        <v>0</v>
      </c>
      <c r="BF35" s="319">
        <v>0</v>
      </c>
      <c r="BG35" s="319">
        <v>0</v>
      </c>
      <c r="BH35" s="319">
        <v>0</v>
      </c>
      <c r="BI35" s="317">
        <f t="shared" si="5"/>
        <v>123.53700000000001</v>
      </c>
      <c r="BJ35" s="316">
        <v>11.08</v>
      </c>
      <c r="BK35" s="316">
        <v>24.536999999999999</v>
      </c>
      <c r="BL35" s="316">
        <v>24.062999999999999</v>
      </c>
      <c r="BM35" s="316">
        <v>29</v>
      </c>
      <c r="BN35" s="316">
        <v>21.314</v>
      </c>
      <c r="BO35" s="316">
        <v>25.908999999999999</v>
      </c>
      <c r="BP35" s="316">
        <v>0</v>
      </c>
      <c r="BQ35" s="316">
        <v>0</v>
      </c>
      <c r="BR35" s="316">
        <v>0</v>
      </c>
      <c r="BS35" s="316">
        <v>0</v>
      </c>
      <c r="BT35" s="316">
        <v>0</v>
      </c>
      <c r="BU35" s="316">
        <v>0</v>
      </c>
      <c r="BV35" s="316">
        <v>0</v>
      </c>
      <c r="BW35" s="317">
        <f t="shared" si="6"/>
        <v>135.90299999999999</v>
      </c>
    </row>
    <row r="36" spans="1:75" x14ac:dyDescent="0.2">
      <c r="A36" s="20" t="str">
        <f>'School Level Inst. Resources'!A36</f>
        <v>0204000</v>
      </c>
      <c r="B36" s="20" t="str">
        <f>'School Level Inst. Resources'!B36</f>
        <v>Big Horn #4</v>
      </c>
      <c r="C36" s="20" t="str">
        <f>'School Level Inst. Resources'!C36</f>
        <v>0204055</v>
      </c>
      <c r="D36" s="20" t="str">
        <f>'School Level Inst. Resources'!D36</f>
        <v>Riverside Middle/High School</v>
      </c>
      <c r="E36" s="138" t="str">
        <f>'School Level Inst. Resources'!E36</f>
        <v>6-12</v>
      </c>
      <c r="F36" s="317">
        <f>IF(AND($A$2=4,VLOOKUP($A36,'District Level ADM'!$A$5:$W$52,5,FALSE)="Prior Year"),AH36,IF(AND($A$2=4,VLOOKUP($A36,'District Level ADM'!$A$5:$W$52,5,FALSE)="3-Year Avg."),T36,IF($A$2=2,AH36,IF($A$2=3,T36,IF(($AG36&gt;$AU36),T36,AH36)))))</f>
        <v>0</v>
      </c>
      <c r="G36" s="317">
        <f>IF(AND($A$2=4,VLOOKUP($A36,'District Level ADM'!$A$5:$W$52,5,FALSE)="Prior Year"),AI36,IF(AND($A$2=4,VLOOKUP($A36,'District Level ADM'!$A$5:$W$52,5,FALSE)="3-Year Avg."),U36,IF($A$2=2,AI36,IF($A$2=3,U36,IF(($AG36&gt;$AU36),U36,AI36)))))</f>
        <v>0</v>
      </c>
      <c r="H36" s="317">
        <f>IF(AND($A$2=4,VLOOKUP($A36,'District Level ADM'!$A$5:$W$52,5,FALSE)="Prior Year"),AJ36,IF(AND($A$2=4,VLOOKUP($A36,'District Level ADM'!$A$5:$W$52,5,FALSE)="3-Year Avg."),V36,IF($A$2=2,AJ36,IF($A$2=3,V36,IF(($AG36&gt;$AU36),V36,AJ36)))))</f>
        <v>0</v>
      </c>
      <c r="I36" s="317">
        <f>IF(AND($A$2=4,VLOOKUP($A36,'District Level ADM'!$A$5:$W$52,5,FALSE)="Prior Year"),AK36,IF(AND($A$2=4,VLOOKUP($A36,'District Level ADM'!$A$5:$W$52,5,FALSE)="3-Year Avg."),W36,IF($A$2=2,AK36,IF($A$2=3,W36,IF(($AG36&gt;$AU36),W36,AK36)))))</f>
        <v>0</v>
      </c>
      <c r="J36" s="317">
        <f>IF(AND($A$2=4,VLOOKUP($A36,'District Level ADM'!$A$5:$W$52,5,FALSE)="Prior Year"),AL36,IF(AND($A$2=4,VLOOKUP($A36,'District Level ADM'!$A$5:$W$52,5,FALSE)="3-Year Avg."),X36,IF($A$2=2,AL36,IF($A$2=3,X36,IF(($AG36&gt;$AU36),X36,AL36)))))</f>
        <v>0</v>
      </c>
      <c r="K36" s="317">
        <f>IF(AND($A$2=4,VLOOKUP($A36,'District Level ADM'!$A$5:$W$52,5,FALSE)="Prior Year"),AM36,IF(AND($A$2=4,VLOOKUP($A36,'District Level ADM'!$A$5:$W$52,5,FALSE)="3-Year Avg."),Y36,IF($A$2=2,AM36,IF($A$2=3,Y36,IF(($AG36&gt;$AU36),Y36,AM36)))))</f>
        <v>0</v>
      </c>
      <c r="L36" s="317">
        <f>IF(AND($A$2=4,VLOOKUP($A36,'District Level ADM'!$A$5:$W$52,5,FALSE)="Prior Year"),AN36,IF(AND($A$2=4,VLOOKUP($A36,'District Level ADM'!$A$5:$W$52,5,FALSE)="3-Year Avg."),Z36,IF($A$2=2,AN36,IF($A$2=3,Z36,IF(($AG36&gt;$AU36),Z36,AN36)))))</f>
        <v>22.267333333333337</v>
      </c>
      <c r="M36" s="317">
        <f>IF(AND($A$2=4,VLOOKUP($A36,'District Level ADM'!$A$5:$W$52,5,FALSE)="Prior Year"),AO36,IF(AND($A$2=4,VLOOKUP($A36,'District Level ADM'!$A$5:$W$52,5,FALSE)="3-Year Avg."),AA36,IF($A$2=2,AO36,IF($A$2=3,AA36,IF(($AG36&gt;$AU36),AA36,AO36)))))</f>
        <v>23.118666666666666</v>
      </c>
      <c r="N36" s="317">
        <f>IF(AND($A$2=4,VLOOKUP($A36,'District Level ADM'!$A$5:$W$52,5,FALSE)="Prior Year"),AP36,IF(AND($A$2=4,VLOOKUP($A36,'District Level ADM'!$A$5:$W$52,5,FALSE)="3-Year Avg."),AB36,IF($A$2=2,AP36,IF($A$2=3,AB36,IF(($AG36&gt;$AU36),AB36,AP36)))))</f>
        <v>24.140666666666664</v>
      </c>
      <c r="O36" s="317">
        <f>IF(AND($A$2=4,VLOOKUP($A36,'District Level ADM'!$A$5:$W$52,5,FALSE)="Prior Year"),AQ36,IF(AND($A$2=4,VLOOKUP($A36,'District Level ADM'!$A$5:$W$52,5,FALSE)="3-Year Avg."),AC36,IF($A$2=2,AQ36,IF($A$2=3,AC36,IF(($AG36&gt;$AU36),AC36,AQ36)))))</f>
        <v>22.380666666666666</v>
      </c>
      <c r="P36" s="317">
        <f>IF(AND($A$2=4,VLOOKUP($A36,'District Level ADM'!$A$5:$W$52,5,FALSE)="Prior Year"),AR36,IF(AND($A$2=4,VLOOKUP($A36,'District Level ADM'!$A$5:$W$52,5,FALSE)="3-Year Avg."),AD36,IF($A$2=2,AR36,IF($A$2=3,AD36,IF(($AG36&gt;$AU36),AD36,AR36)))))</f>
        <v>22.048000000000002</v>
      </c>
      <c r="Q36" s="317">
        <f>IF(AND($A$2=4,VLOOKUP($A36,'District Level ADM'!$A$5:$W$52,5,FALSE)="Prior Year"),AS36,IF(AND($A$2=4,VLOOKUP($A36,'District Level ADM'!$A$5:$W$52,5,FALSE)="3-Year Avg."),AE36,IF($A$2=2,AS36,IF($A$2=3,AE36,IF(($AG36&gt;$AU36),AE36,AS36)))))</f>
        <v>19.408666666666665</v>
      </c>
      <c r="R36" s="317">
        <f>IF(AND($A$2=4,VLOOKUP($A36,'District Level ADM'!$A$5:$W$52,5,FALSE)="Prior Year"),AT36,IF(AND($A$2=4,VLOOKUP($A36,'District Level ADM'!$A$5:$W$52,5,FALSE)="3-Year Avg."),AF36,IF($A$2=2,AT36,IF($A$2=3,AF36,IF(($AG36&gt;$AU36),AF36,AT36)))))</f>
        <v>22.293666666666667</v>
      </c>
      <c r="S36" s="317">
        <f t="shared" si="1"/>
        <v>155.65766666666667</v>
      </c>
      <c r="T36" s="317">
        <f t="shared" si="2"/>
        <v>0</v>
      </c>
      <c r="U36" s="317">
        <f t="shared" si="2"/>
        <v>0</v>
      </c>
      <c r="V36" s="317">
        <f t="shared" si="2"/>
        <v>0</v>
      </c>
      <c r="W36" s="317">
        <f t="shared" si="2"/>
        <v>0</v>
      </c>
      <c r="X36" s="317">
        <f t="shared" si="2"/>
        <v>0</v>
      </c>
      <c r="Y36" s="317">
        <f t="shared" si="2"/>
        <v>0</v>
      </c>
      <c r="Z36" s="317">
        <f t="shared" si="2"/>
        <v>22.267333333333337</v>
      </c>
      <c r="AA36" s="317">
        <f t="shared" si="2"/>
        <v>23.118666666666666</v>
      </c>
      <c r="AB36" s="317">
        <f t="shared" si="2"/>
        <v>24.140666666666664</v>
      </c>
      <c r="AC36" s="317">
        <f t="shared" si="2"/>
        <v>22.380666666666666</v>
      </c>
      <c r="AD36" s="317">
        <f t="shared" si="2"/>
        <v>22.048000000000002</v>
      </c>
      <c r="AE36" s="317">
        <f t="shared" si="2"/>
        <v>19.408666666666665</v>
      </c>
      <c r="AF36" s="317">
        <f t="shared" si="2"/>
        <v>22.293666666666667</v>
      </c>
      <c r="AG36" s="317">
        <f t="shared" si="3"/>
        <v>155.65766666666667</v>
      </c>
      <c r="AH36" s="318">
        <v>0</v>
      </c>
      <c r="AI36" s="318">
        <v>0</v>
      </c>
      <c r="AJ36" s="318">
        <v>0</v>
      </c>
      <c r="AK36" s="318">
        <v>0</v>
      </c>
      <c r="AL36" s="318">
        <v>0</v>
      </c>
      <c r="AM36" s="318">
        <v>0</v>
      </c>
      <c r="AN36" s="318">
        <v>21.67</v>
      </c>
      <c r="AO36" s="318">
        <v>24.625</v>
      </c>
      <c r="AP36" s="318">
        <v>20.684999999999999</v>
      </c>
      <c r="AQ36" s="318">
        <v>23.64</v>
      </c>
      <c r="AR36" s="318">
        <v>21.67</v>
      </c>
      <c r="AS36" s="318">
        <v>19.7</v>
      </c>
      <c r="AT36" s="318">
        <v>18.715</v>
      </c>
      <c r="AU36" s="317">
        <f t="shared" si="4"/>
        <v>150.70500000000001</v>
      </c>
      <c r="AV36" s="319">
        <v>0</v>
      </c>
      <c r="AW36" s="319">
        <v>0</v>
      </c>
      <c r="AX36" s="319">
        <v>0</v>
      </c>
      <c r="AY36" s="319">
        <v>0</v>
      </c>
      <c r="AZ36" s="319">
        <v>0</v>
      </c>
      <c r="BA36" s="319">
        <v>0</v>
      </c>
      <c r="BB36" s="319">
        <v>24.326000000000001</v>
      </c>
      <c r="BC36" s="319">
        <v>19</v>
      </c>
      <c r="BD36" s="319">
        <v>27.216999999999999</v>
      </c>
      <c r="BE36" s="319">
        <v>23.651</v>
      </c>
      <c r="BF36" s="319">
        <v>21.503</v>
      </c>
      <c r="BG36" s="319">
        <v>19.559999999999999</v>
      </c>
      <c r="BH36" s="319">
        <v>19.725999999999999</v>
      </c>
      <c r="BI36" s="317">
        <f t="shared" si="5"/>
        <v>154.983</v>
      </c>
      <c r="BJ36" s="316">
        <v>0</v>
      </c>
      <c r="BK36" s="316">
        <v>0</v>
      </c>
      <c r="BL36" s="316">
        <v>0</v>
      </c>
      <c r="BM36" s="316">
        <v>0</v>
      </c>
      <c r="BN36" s="316">
        <v>0</v>
      </c>
      <c r="BO36" s="316">
        <v>0</v>
      </c>
      <c r="BP36" s="316">
        <v>20.806000000000001</v>
      </c>
      <c r="BQ36" s="316">
        <v>25.731000000000002</v>
      </c>
      <c r="BR36" s="316">
        <v>24.52</v>
      </c>
      <c r="BS36" s="316">
        <v>19.850999999999999</v>
      </c>
      <c r="BT36" s="316">
        <v>22.971</v>
      </c>
      <c r="BU36" s="316">
        <v>18.966000000000001</v>
      </c>
      <c r="BV36" s="316">
        <v>28.44</v>
      </c>
      <c r="BW36" s="317">
        <f t="shared" si="6"/>
        <v>161.285</v>
      </c>
    </row>
    <row r="37" spans="1:75" x14ac:dyDescent="0.2">
      <c r="A37" s="20" t="str">
        <f>'School Level Inst. Resources'!A37</f>
        <v>0301000</v>
      </c>
      <c r="B37" s="20" t="str">
        <f>'School Level Inst. Resources'!B37</f>
        <v>Campbell #1</v>
      </c>
      <c r="C37" s="20" t="str">
        <f>'School Level Inst. Resources'!C37</f>
        <v>0301002</v>
      </c>
      <c r="D37" s="20" t="str">
        <f>'School Level Inst. Resources'!D37</f>
        <v>4-J Elementary School</v>
      </c>
      <c r="E37" s="138" t="str">
        <f>'School Level Inst. Resources'!E37</f>
        <v>K-6</v>
      </c>
      <c r="F37" s="317">
        <f>IF(AND($A$2=4,VLOOKUP($A37,'District Level ADM'!$A$5:$W$52,5,FALSE)="Prior Year"),AH37,IF(AND($A$2=4,VLOOKUP($A37,'District Level ADM'!$A$5:$W$52,5,FALSE)="3-Year Avg."),T37,IF($A$2=2,AH37,IF($A$2=3,T37,IF(($AG37&gt;$AU37),T37,AH37)))))</f>
        <v>5.3393333333333333</v>
      </c>
      <c r="G37" s="317">
        <f>IF(AND($A$2=4,VLOOKUP($A37,'District Level ADM'!$A$5:$W$52,5,FALSE)="Prior Year"),AI37,IF(AND($A$2=4,VLOOKUP($A37,'District Level ADM'!$A$5:$W$52,5,FALSE)="3-Year Avg."),U37,IF($A$2=2,AI37,IF($A$2=3,U37,IF(($AG37&gt;$AU37),U37,AI37)))))</f>
        <v>6.6066666666666665</v>
      </c>
      <c r="H37" s="317">
        <f>IF(AND($A$2=4,VLOOKUP($A37,'District Level ADM'!$A$5:$W$52,5,FALSE)="Prior Year"),AJ37,IF(AND($A$2=4,VLOOKUP($A37,'District Level ADM'!$A$5:$W$52,5,FALSE)="3-Year Avg."),V37,IF($A$2=2,AJ37,IF($A$2=3,V37,IF(($AG37&gt;$AU37),V37,AJ37)))))</f>
        <v>4.9630000000000001</v>
      </c>
      <c r="I37" s="317">
        <f>IF(AND($A$2=4,VLOOKUP($A37,'District Level ADM'!$A$5:$W$52,5,FALSE)="Prior Year"),AK37,IF(AND($A$2=4,VLOOKUP($A37,'District Level ADM'!$A$5:$W$52,5,FALSE)="3-Year Avg."),W37,IF($A$2=2,AK37,IF($A$2=3,W37,IF(($AG37&gt;$AU37),W37,AK37)))))</f>
        <v>5.6416666666666666</v>
      </c>
      <c r="J37" s="317">
        <f>IF(AND($A$2=4,VLOOKUP($A37,'District Level ADM'!$A$5:$W$52,5,FALSE)="Prior Year"),AL37,IF(AND($A$2=4,VLOOKUP($A37,'District Level ADM'!$A$5:$W$52,5,FALSE)="3-Year Avg."),X37,IF($A$2=2,AL37,IF($A$2=3,X37,IF(($AG37&gt;$AU37),X37,AL37)))))</f>
        <v>6.2940000000000005</v>
      </c>
      <c r="K37" s="317">
        <f>IF(AND($A$2=4,VLOOKUP($A37,'District Level ADM'!$A$5:$W$52,5,FALSE)="Prior Year"),AM37,IF(AND($A$2=4,VLOOKUP($A37,'District Level ADM'!$A$5:$W$52,5,FALSE)="3-Year Avg."),Y37,IF($A$2=2,AM37,IF($A$2=3,Y37,IF(($AG37&gt;$AU37),Y37,AM37)))))</f>
        <v>5.6316666666666668</v>
      </c>
      <c r="L37" s="317">
        <f>IF(AND($A$2=4,VLOOKUP($A37,'District Level ADM'!$A$5:$W$52,5,FALSE)="Prior Year"),AN37,IF(AND($A$2=4,VLOOKUP($A37,'District Level ADM'!$A$5:$W$52,5,FALSE)="3-Year Avg."),Z37,IF($A$2=2,AN37,IF($A$2=3,Z37,IF(($AG37&gt;$AU37),Z37,AN37)))))</f>
        <v>4.9870000000000001</v>
      </c>
      <c r="M37" s="317">
        <f>IF(AND($A$2=4,VLOOKUP($A37,'District Level ADM'!$A$5:$W$52,5,FALSE)="Prior Year"),AO37,IF(AND($A$2=4,VLOOKUP($A37,'District Level ADM'!$A$5:$W$52,5,FALSE)="3-Year Avg."),AA37,IF($A$2=2,AO37,IF($A$2=3,AA37,IF(($AG37&gt;$AU37),AA37,AO37)))))</f>
        <v>0</v>
      </c>
      <c r="N37" s="317">
        <f>IF(AND($A$2=4,VLOOKUP($A37,'District Level ADM'!$A$5:$W$52,5,FALSE)="Prior Year"),AP37,IF(AND($A$2=4,VLOOKUP($A37,'District Level ADM'!$A$5:$W$52,5,FALSE)="3-Year Avg."),AB37,IF($A$2=2,AP37,IF($A$2=3,AB37,IF(($AG37&gt;$AU37),AB37,AP37)))))</f>
        <v>0</v>
      </c>
      <c r="O37" s="317">
        <f>IF(AND($A$2=4,VLOOKUP($A37,'District Level ADM'!$A$5:$W$52,5,FALSE)="Prior Year"),AQ37,IF(AND($A$2=4,VLOOKUP($A37,'District Level ADM'!$A$5:$W$52,5,FALSE)="3-Year Avg."),AC37,IF($A$2=2,AQ37,IF($A$2=3,AC37,IF(($AG37&gt;$AU37),AC37,AQ37)))))</f>
        <v>0</v>
      </c>
      <c r="P37" s="317">
        <f>IF(AND($A$2=4,VLOOKUP($A37,'District Level ADM'!$A$5:$W$52,5,FALSE)="Prior Year"),AR37,IF(AND($A$2=4,VLOOKUP($A37,'District Level ADM'!$A$5:$W$52,5,FALSE)="3-Year Avg."),AD37,IF($A$2=2,AR37,IF($A$2=3,AD37,IF(($AG37&gt;$AU37),AD37,AR37)))))</f>
        <v>0</v>
      </c>
      <c r="Q37" s="317">
        <f>IF(AND($A$2=4,VLOOKUP($A37,'District Level ADM'!$A$5:$W$52,5,FALSE)="Prior Year"),AS37,IF(AND($A$2=4,VLOOKUP($A37,'District Level ADM'!$A$5:$W$52,5,FALSE)="3-Year Avg."),AE37,IF($A$2=2,AS37,IF($A$2=3,AE37,IF(($AG37&gt;$AU37),AE37,AS37)))))</f>
        <v>0</v>
      </c>
      <c r="R37" s="317">
        <f>IF(AND($A$2=4,VLOOKUP($A37,'District Level ADM'!$A$5:$W$52,5,FALSE)="Prior Year"),AT37,IF(AND($A$2=4,VLOOKUP($A37,'District Level ADM'!$A$5:$W$52,5,FALSE)="3-Year Avg."),AF37,IF($A$2=2,AT37,IF($A$2=3,AF37,IF(($AG37&gt;$AU37),AF37,AT37)))))</f>
        <v>0</v>
      </c>
      <c r="S37" s="317">
        <f t="shared" si="1"/>
        <v>39.463333333333331</v>
      </c>
      <c r="T37" s="317">
        <f t="shared" si="2"/>
        <v>5.3393333333333333</v>
      </c>
      <c r="U37" s="317">
        <f t="shared" si="2"/>
        <v>6.6066666666666665</v>
      </c>
      <c r="V37" s="317">
        <f t="shared" si="2"/>
        <v>4.9630000000000001</v>
      </c>
      <c r="W37" s="317">
        <f t="shared" si="2"/>
        <v>5.6416666666666666</v>
      </c>
      <c r="X37" s="317">
        <f t="shared" si="2"/>
        <v>6.2940000000000005</v>
      </c>
      <c r="Y37" s="317">
        <f t="shared" si="2"/>
        <v>5.6316666666666668</v>
      </c>
      <c r="Z37" s="317">
        <f t="shared" si="2"/>
        <v>4.9870000000000001</v>
      </c>
      <c r="AA37" s="317">
        <f t="shared" si="2"/>
        <v>0</v>
      </c>
      <c r="AB37" s="317">
        <f t="shared" si="2"/>
        <v>0</v>
      </c>
      <c r="AC37" s="317">
        <f t="shared" si="2"/>
        <v>0</v>
      </c>
      <c r="AD37" s="317">
        <f t="shared" si="2"/>
        <v>0</v>
      </c>
      <c r="AE37" s="317">
        <f t="shared" si="2"/>
        <v>0</v>
      </c>
      <c r="AF37" s="317">
        <f t="shared" si="2"/>
        <v>0</v>
      </c>
      <c r="AG37" s="317">
        <f t="shared" si="3"/>
        <v>39.463333333333331</v>
      </c>
      <c r="AH37" s="318">
        <v>2.9550000000000001</v>
      </c>
      <c r="AI37" s="318">
        <v>8.8650000000000002</v>
      </c>
      <c r="AJ37" s="318">
        <v>5.91</v>
      </c>
      <c r="AK37" s="318">
        <v>4.9249999999999998</v>
      </c>
      <c r="AL37" s="318">
        <v>5.91</v>
      </c>
      <c r="AM37" s="318">
        <v>6.8949999999999996</v>
      </c>
      <c r="AN37" s="318">
        <v>5.91</v>
      </c>
      <c r="AO37" s="318">
        <v>0</v>
      </c>
      <c r="AP37" s="318">
        <v>0</v>
      </c>
      <c r="AQ37" s="318">
        <v>0</v>
      </c>
      <c r="AR37" s="318">
        <v>0</v>
      </c>
      <c r="AS37" s="318">
        <v>0</v>
      </c>
      <c r="AT37" s="318">
        <v>0</v>
      </c>
      <c r="AU37" s="317">
        <f t="shared" si="4"/>
        <v>41.370000000000005</v>
      </c>
      <c r="AV37" s="319">
        <v>8.9939999999999998</v>
      </c>
      <c r="AW37" s="319">
        <v>5.7489999999999997</v>
      </c>
      <c r="AX37" s="319">
        <v>4.9790000000000001</v>
      </c>
      <c r="AY37" s="319">
        <v>5</v>
      </c>
      <c r="AZ37" s="319">
        <v>7.766</v>
      </c>
      <c r="BA37" s="319">
        <v>6</v>
      </c>
      <c r="BB37" s="319">
        <v>3.9940000000000002</v>
      </c>
      <c r="BC37" s="319">
        <v>0</v>
      </c>
      <c r="BD37" s="319">
        <v>0</v>
      </c>
      <c r="BE37" s="319">
        <v>0</v>
      </c>
      <c r="BF37" s="319">
        <v>0</v>
      </c>
      <c r="BG37" s="319">
        <v>0</v>
      </c>
      <c r="BH37" s="319">
        <v>0</v>
      </c>
      <c r="BI37" s="317">
        <f t="shared" si="5"/>
        <v>42.481999999999999</v>
      </c>
      <c r="BJ37" s="316">
        <v>4.069</v>
      </c>
      <c r="BK37" s="316">
        <v>5.2060000000000004</v>
      </c>
      <c r="BL37" s="316">
        <v>4</v>
      </c>
      <c r="BM37" s="316">
        <v>7</v>
      </c>
      <c r="BN37" s="316">
        <v>5.2060000000000004</v>
      </c>
      <c r="BO37" s="316">
        <v>4</v>
      </c>
      <c r="BP37" s="316">
        <v>5.0570000000000004</v>
      </c>
      <c r="BQ37" s="316">
        <v>0</v>
      </c>
      <c r="BR37" s="316">
        <v>0</v>
      </c>
      <c r="BS37" s="316">
        <v>0</v>
      </c>
      <c r="BT37" s="316">
        <v>0</v>
      </c>
      <c r="BU37" s="316">
        <v>0</v>
      </c>
      <c r="BV37" s="316">
        <v>0</v>
      </c>
      <c r="BW37" s="317">
        <f t="shared" si="6"/>
        <v>34.537999999999997</v>
      </c>
    </row>
    <row r="38" spans="1:75" x14ac:dyDescent="0.2">
      <c r="A38" s="20" t="str">
        <f>'School Level Inst. Resources'!A38</f>
        <v>0301000</v>
      </c>
      <c r="B38" s="20" t="str">
        <f>'School Level Inst. Resources'!B38</f>
        <v>Campbell #1</v>
      </c>
      <c r="C38" s="20" t="str">
        <f>'School Level Inst. Resources'!C38</f>
        <v>0301006</v>
      </c>
      <c r="D38" s="20" t="str">
        <f>'School Level Inst. Resources'!D38</f>
        <v>Cottonwood Elementary</v>
      </c>
      <c r="E38" s="138" t="str">
        <f>'School Level Inst. Resources'!E38</f>
        <v>P-6</v>
      </c>
      <c r="F38" s="317">
        <f>IF(AND($A$2=4,VLOOKUP($A38,'District Level ADM'!$A$5:$W$52,5,FALSE)="Prior Year"),AH38,IF(AND($A$2=4,VLOOKUP($A38,'District Level ADM'!$A$5:$W$52,5,FALSE)="3-Year Avg."),T38,IF($A$2=2,AH38,IF($A$2=3,T38,IF(($AG38&gt;$AU38),T38,AH38)))))</f>
        <v>28.453333333333333</v>
      </c>
      <c r="G38" s="317">
        <f>IF(AND($A$2=4,VLOOKUP($A38,'District Level ADM'!$A$5:$W$52,5,FALSE)="Prior Year"),AI38,IF(AND($A$2=4,VLOOKUP($A38,'District Level ADM'!$A$5:$W$52,5,FALSE)="3-Year Avg."),U38,IF($A$2=2,AI38,IF($A$2=3,U38,IF(($AG38&gt;$AU38),U38,AI38)))))</f>
        <v>28.12</v>
      </c>
      <c r="H38" s="317">
        <f>IF(AND($A$2=4,VLOOKUP($A38,'District Level ADM'!$A$5:$W$52,5,FALSE)="Prior Year"),AJ38,IF(AND($A$2=4,VLOOKUP($A38,'District Level ADM'!$A$5:$W$52,5,FALSE)="3-Year Avg."),V38,IF($A$2=2,AJ38,IF($A$2=3,V38,IF(($AG38&gt;$AU38),V38,AJ38)))))</f>
        <v>28.409000000000002</v>
      </c>
      <c r="I38" s="317">
        <f>IF(AND($A$2=4,VLOOKUP($A38,'District Level ADM'!$A$5:$W$52,5,FALSE)="Prior Year"),AK38,IF(AND($A$2=4,VLOOKUP($A38,'District Level ADM'!$A$5:$W$52,5,FALSE)="3-Year Avg."),W38,IF($A$2=2,AK38,IF($A$2=3,W38,IF(($AG38&gt;$AU38),W38,AK38)))))</f>
        <v>37.028666666666666</v>
      </c>
      <c r="J38" s="317">
        <f>IF(AND($A$2=4,VLOOKUP($A38,'District Level ADM'!$A$5:$W$52,5,FALSE)="Prior Year"),AL38,IF(AND($A$2=4,VLOOKUP($A38,'District Level ADM'!$A$5:$W$52,5,FALSE)="3-Year Avg."),X38,IF($A$2=2,AL38,IF($A$2=3,X38,IF(($AG38&gt;$AU38),X38,AL38)))))</f>
        <v>38.595333333333336</v>
      </c>
      <c r="K38" s="317">
        <f>IF(AND($A$2=4,VLOOKUP($A38,'District Level ADM'!$A$5:$W$52,5,FALSE)="Prior Year"),AM38,IF(AND($A$2=4,VLOOKUP($A38,'District Level ADM'!$A$5:$W$52,5,FALSE)="3-Year Avg."),Y38,IF($A$2=2,AM38,IF($A$2=3,Y38,IF(($AG38&gt;$AU38),Y38,AM38)))))</f>
        <v>38.271333333333331</v>
      </c>
      <c r="L38" s="317">
        <f>IF(AND($A$2=4,VLOOKUP($A38,'District Level ADM'!$A$5:$W$52,5,FALSE)="Prior Year"),AN38,IF(AND($A$2=4,VLOOKUP($A38,'District Level ADM'!$A$5:$W$52,5,FALSE)="3-Year Avg."),Z38,IF($A$2=2,AN38,IF($A$2=3,Z38,IF(($AG38&gt;$AU38),Z38,AN38)))))</f>
        <v>33.398666666666664</v>
      </c>
      <c r="M38" s="317">
        <f>IF(AND($A$2=4,VLOOKUP($A38,'District Level ADM'!$A$5:$W$52,5,FALSE)="Prior Year"),AO38,IF(AND($A$2=4,VLOOKUP($A38,'District Level ADM'!$A$5:$W$52,5,FALSE)="3-Year Avg."),AA38,IF($A$2=2,AO38,IF($A$2=3,AA38,IF(($AG38&gt;$AU38),AA38,AO38)))))</f>
        <v>0</v>
      </c>
      <c r="N38" s="317">
        <f>IF(AND($A$2=4,VLOOKUP($A38,'District Level ADM'!$A$5:$W$52,5,FALSE)="Prior Year"),AP38,IF(AND($A$2=4,VLOOKUP($A38,'District Level ADM'!$A$5:$W$52,5,FALSE)="3-Year Avg."),AB38,IF($A$2=2,AP38,IF($A$2=3,AB38,IF(($AG38&gt;$AU38),AB38,AP38)))))</f>
        <v>0</v>
      </c>
      <c r="O38" s="317">
        <f>IF(AND($A$2=4,VLOOKUP($A38,'District Level ADM'!$A$5:$W$52,5,FALSE)="Prior Year"),AQ38,IF(AND($A$2=4,VLOOKUP($A38,'District Level ADM'!$A$5:$W$52,5,FALSE)="3-Year Avg."),AC38,IF($A$2=2,AQ38,IF($A$2=3,AC38,IF(($AG38&gt;$AU38),AC38,AQ38)))))</f>
        <v>0</v>
      </c>
      <c r="P38" s="317">
        <f>IF(AND($A$2=4,VLOOKUP($A38,'District Level ADM'!$A$5:$W$52,5,FALSE)="Prior Year"),AR38,IF(AND($A$2=4,VLOOKUP($A38,'District Level ADM'!$A$5:$W$52,5,FALSE)="3-Year Avg."),AD38,IF($A$2=2,AR38,IF($A$2=3,AD38,IF(($AG38&gt;$AU38),AD38,AR38)))))</f>
        <v>0</v>
      </c>
      <c r="Q38" s="317">
        <f>IF(AND($A$2=4,VLOOKUP($A38,'District Level ADM'!$A$5:$W$52,5,FALSE)="Prior Year"),AS38,IF(AND($A$2=4,VLOOKUP($A38,'District Level ADM'!$A$5:$W$52,5,FALSE)="3-Year Avg."),AE38,IF($A$2=2,AS38,IF($A$2=3,AE38,IF(($AG38&gt;$AU38),AE38,AS38)))))</f>
        <v>0</v>
      </c>
      <c r="R38" s="317">
        <f>IF(AND($A$2=4,VLOOKUP($A38,'District Level ADM'!$A$5:$W$52,5,FALSE)="Prior Year"),AT38,IF(AND($A$2=4,VLOOKUP($A38,'District Level ADM'!$A$5:$W$52,5,FALSE)="3-Year Avg."),AF38,IF($A$2=2,AT38,IF($A$2=3,AF38,IF(($AG38&gt;$AU38),AF38,AT38)))))</f>
        <v>0</v>
      </c>
      <c r="S38" s="317">
        <f t="shared" si="1"/>
        <v>232.27633333333333</v>
      </c>
      <c r="T38" s="317">
        <f t="shared" si="2"/>
        <v>28.453333333333333</v>
      </c>
      <c r="U38" s="317">
        <f t="shared" si="2"/>
        <v>28.12</v>
      </c>
      <c r="V38" s="317">
        <f t="shared" si="2"/>
        <v>28.409000000000002</v>
      </c>
      <c r="W38" s="317">
        <f t="shared" si="2"/>
        <v>37.028666666666666</v>
      </c>
      <c r="X38" s="317">
        <f t="shared" si="2"/>
        <v>38.595333333333336</v>
      </c>
      <c r="Y38" s="317">
        <f t="shared" si="2"/>
        <v>38.271333333333331</v>
      </c>
      <c r="Z38" s="317">
        <f t="shared" si="2"/>
        <v>33.398666666666664</v>
      </c>
      <c r="AA38" s="317">
        <f t="shared" si="2"/>
        <v>0</v>
      </c>
      <c r="AB38" s="317">
        <f t="shared" si="2"/>
        <v>0</v>
      </c>
      <c r="AC38" s="317">
        <f t="shared" si="2"/>
        <v>0</v>
      </c>
      <c r="AD38" s="317">
        <f t="shared" si="2"/>
        <v>0</v>
      </c>
      <c r="AE38" s="317">
        <f t="shared" si="2"/>
        <v>0</v>
      </c>
      <c r="AF38" s="317">
        <f t="shared" si="2"/>
        <v>0</v>
      </c>
      <c r="AG38" s="317">
        <f t="shared" si="3"/>
        <v>232.27633333333333</v>
      </c>
      <c r="AH38" s="318">
        <v>31.52</v>
      </c>
      <c r="AI38" s="318">
        <v>23.64</v>
      </c>
      <c r="AJ38" s="318">
        <v>25.61</v>
      </c>
      <c r="AK38" s="318">
        <v>34.475000000000001</v>
      </c>
      <c r="AL38" s="318">
        <v>30.535</v>
      </c>
      <c r="AM38" s="318">
        <v>47.28</v>
      </c>
      <c r="AN38" s="318">
        <v>32.505000000000003</v>
      </c>
      <c r="AO38" s="318">
        <v>0</v>
      </c>
      <c r="AP38" s="318">
        <v>0</v>
      </c>
      <c r="AQ38" s="318">
        <v>0</v>
      </c>
      <c r="AR38" s="318">
        <v>0</v>
      </c>
      <c r="AS38" s="318">
        <v>0</v>
      </c>
      <c r="AT38" s="318">
        <v>0</v>
      </c>
      <c r="AU38" s="317">
        <f t="shared" si="4"/>
        <v>225.565</v>
      </c>
      <c r="AV38" s="319">
        <v>22.170999999999999</v>
      </c>
      <c r="AW38" s="319">
        <v>26.286000000000001</v>
      </c>
      <c r="AX38" s="319">
        <v>29.091000000000001</v>
      </c>
      <c r="AY38" s="319">
        <v>29.754000000000001</v>
      </c>
      <c r="AZ38" s="319">
        <v>47.834000000000003</v>
      </c>
      <c r="BA38" s="319">
        <v>34.22</v>
      </c>
      <c r="BB38" s="319">
        <v>30.617000000000001</v>
      </c>
      <c r="BC38" s="319">
        <v>0</v>
      </c>
      <c r="BD38" s="319">
        <v>0</v>
      </c>
      <c r="BE38" s="319">
        <v>0</v>
      </c>
      <c r="BF38" s="319">
        <v>0</v>
      </c>
      <c r="BG38" s="319">
        <v>0</v>
      </c>
      <c r="BH38" s="319">
        <v>0</v>
      </c>
      <c r="BI38" s="317">
        <f t="shared" si="5"/>
        <v>219.97300000000001</v>
      </c>
      <c r="BJ38" s="316">
        <v>31.668999999999997</v>
      </c>
      <c r="BK38" s="316">
        <v>34.433999999999997</v>
      </c>
      <c r="BL38" s="316">
        <v>30.526</v>
      </c>
      <c r="BM38" s="316">
        <v>46.856999999999999</v>
      </c>
      <c r="BN38" s="316">
        <v>37.417000000000002</v>
      </c>
      <c r="BO38" s="316">
        <v>33.314</v>
      </c>
      <c r="BP38" s="316">
        <v>37.073999999999998</v>
      </c>
      <c r="BQ38" s="316">
        <v>0</v>
      </c>
      <c r="BR38" s="316">
        <v>0</v>
      </c>
      <c r="BS38" s="316">
        <v>0</v>
      </c>
      <c r="BT38" s="316">
        <v>0</v>
      </c>
      <c r="BU38" s="316">
        <v>0</v>
      </c>
      <c r="BV38" s="316">
        <v>0</v>
      </c>
      <c r="BW38" s="317">
        <f t="shared" si="6"/>
        <v>251.291</v>
      </c>
    </row>
    <row r="39" spans="1:75" x14ac:dyDescent="0.2">
      <c r="A39" s="20" t="str">
        <f>'School Level Inst. Resources'!A39</f>
        <v>0301000</v>
      </c>
      <c r="B39" s="20" t="str">
        <f>'School Level Inst. Resources'!B39</f>
        <v>Campbell #1</v>
      </c>
      <c r="C39" s="20" t="str">
        <f>'School Level Inst. Resources'!C39</f>
        <v>0301009</v>
      </c>
      <c r="D39" s="20" t="str">
        <f>'School Level Inst. Resources'!D39</f>
        <v>Hillcrest Elementary</v>
      </c>
      <c r="E39" s="138" t="str">
        <f>'School Level Inst. Resources'!E39</f>
        <v>K-6</v>
      </c>
      <c r="F39" s="317">
        <f>IF(AND($A$2=4,VLOOKUP($A39,'District Level ADM'!$A$5:$W$52,5,FALSE)="Prior Year"),AH39,IF(AND($A$2=4,VLOOKUP($A39,'District Level ADM'!$A$5:$W$52,5,FALSE)="3-Year Avg."),T39,IF($A$2=2,AH39,IF($A$2=3,T39,IF(($AG39&gt;$AU39),T39,AH39)))))</f>
        <v>71.931333333333342</v>
      </c>
      <c r="G39" s="317">
        <f>IF(AND($A$2=4,VLOOKUP($A39,'District Level ADM'!$A$5:$W$52,5,FALSE)="Prior Year"),AI39,IF(AND($A$2=4,VLOOKUP($A39,'District Level ADM'!$A$5:$W$52,5,FALSE)="3-Year Avg."),U39,IF($A$2=2,AI39,IF($A$2=3,U39,IF(($AG39&gt;$AU39),U39,AI39)))))</f>
        <v>56.220333333333336</v>
      </c>
      <c r="H39" s="317">
        <f>IF(AND($A$2=4,VLOOKUP($A39,'District Level ADM'!$A$5:$W$52,5,FALSE)="Prior Year"),AJ39,IF(AND($A$2=4,VLOOKUP($A39,'District Level ADM'!$A$5:$W$52,5,FALSE)="3-Year Avg."),V39,IF($A$2=2,AJ39,IF($A$2=3,V39,IF(($AG39&gt;$AU39),V39,AJ39)))))</f>
        <v>58.248666666666672</v>
      </c>
      <c r="I39" s="317">
        <f>IF(AND($A$2=4,VLOOKUP($A39,'District Level ADM'!$A$5:$W$52,5,FALSE)="Prior Year"),AK39,IF(AND($A$2=4,VLOOKUP($A39,'District Level ADM'!$A$5:$W$52,5,FALSE)="3-Year Avg."),W39,IF($A$2=2,AK39,IF($A$2=3,W39,IF(($AG39&gt;$AU39),W39,AK39)))))</f>
        <v>61.339333333333336</v>
      </c>
      <c r="J39" s="317">
        <f>IF(AND($A$2=4,VLOOKUP($A39,'District Level ADM'!$A$5:$W$52,5,FALSE)="Prior Year"),AL39,IF(AND($A$2=4,VLOOKUP($A39,'District Level ADM'!$A$5:$W$52,5,FALSE)="3-Year Avg."),X39,IF($A$2=2,AL39,IF($A$2=3,X39,IF(($AG39&gt;$AU39),X39,AL39)))))</f>
        <v>61.165333333333336</v>
      </c>
      <c r="K39" s="317">
        <f>IF(AND($A$2=4,VLOOKUP($A39,'District Level ADM'!$A$5:$W$52,5,FALSE)="Prior Year"),AM39,IF(AND($A$2=4,VLOOKUP($A39,'District Level ADM'!$A$5:$W$52,5,FALSE)="3-Year Avg."),Y39,IF($A$2=2,AM39,IF($A$2=3,Y39,IF(($AG39&gt;$AU39),Y39,AM39)))))</f>
        <v>59.005666666666663</v>
      </c>
      <c r="L39" s="317">
        <f>IF(AND($A$2=4,VLOOKUP($A39,'District Level ADM'!$A$5:$W$52,5,FALSE)="Prior Year"),AN39,IF(AND($A$2=4,VLOOKUP($A39,'District Level ADM'!$A$5:$W$52,5,FALSE)="3-Year Avg."),Z39,IF($A$2=2,AN39,IF($A$2=3,Z39,IF(($AG39&gt;$AU39),Z39,AN39)))))</f>
        <v>58.829333333333331</v>
      </c>
      <c r="M39" s="317">
        <f>IF(AND($A$2=4,VLOOKUP($A39,'District Level ADM'!$A$5:$W$52,5,FALSE)="Prior Year"),AO39,IF(AND($A$2=4,VLOOKUP($A39,'District Level ADM'!$A$5:$W$52,5,FALSE)="3-Year Avg."),AA39,IF($A$2=2,AO39,IF($A$2=3,AA39,IF(($AG39&gt;$AU39),AA39,AO39)))))</f>
        <v>0</v>
      </c>
      <c r="N39" s="317">
        <f>IF(AND($A$2=4,VLOOKUP($A39,'District Level ADM'!$A$5:$W$52,5,FALSE)="Prior Year"),AP39,IF(AND($A$2=4,VLOOKUP($A39,'District Level ADM'!$A$5:$W$52,5,FALSE)="3-Year Avg."),AB39,IF($A$2=2,AP39,IF($A$2=3,AB39,IF(($AG39&gt;$AU39),AB39,AP39)))))</f>
        <v>0</v>
      </c>
      <c r="O39" s="317">
        <f>IF(AND($A$2=4,VLOOKUP($A39,'District Level ADM'!$A$5:$W$52,5,FALSE)="Prior Year"),AQ39,IF(AND($A$2=4,VLOOKUP($A39,'District Level ADM'!$A$5:$W$52,5,FALSE)="3-Year Avg."),AC39,IF($A$2=2,AQ39,IF($A$2=3,AC39,IF(($AG39&gt;$AU39),AC39,AQ39)))))</f>
        <v>0</v>
      </c>
      <c r="P39" s="317">
        <f>IF(AND($A$2=4,VLOOKUP($A39,'District Level ADM'!$A$5:$W$52,5,FALSE)="Prior Year"),AR39,IF(AND($A$2=4,VLOOKUP($A39,'District Level ADM'!$A$5:$W$52,5,FALSE)="3-Year Avg."),AD39,IF($A$2=2,AR39,IF($A$2=3,AD39,IF(($AG39&gt;$AU39),AD39,AR39)))))</f>
        <v>0</v>
      </c>
      <c r="Q39" s="317">
        <f>IF(AND($A$2=4,VLOOKUP($A39,'District Level ADM'!$A$5:$W$52,5,FALSE)="Prior Year"),AS39,IF(AND($A$2=4,VLOOKUP($A39,'District Level ADM'!$A$5:$W$52,5,FALSE)="3-Year Avg."),AE39,IF($A$2=2,AS39,IF($A$2=3,AE39,IF(($AG39&gt;$AU39),AE39,AS39)))))</f>
        <v>0</v>
      </c>
      <c r="R39" s="317">
        <f>IF(AND($A$2=4,VLOOKUP($A39,'District Level ADM'!$A$5:$W$52,5,FALSE)="Prior Year"),AT39,IF(AND($A$2=4,VLOOKUP($A39,'District Level ADM'!$A$5:$W$52,5,FALSE)="3-Year Avg."),AF39,IF($A$2=2,AT39,IF($A$2=3,AF39,IF(($AG39&gt;$AU39),AF39,AT39)))))</f>
        <v>0</v>
      </c>
      <c r="S39" s="317">
        <f t="shared" si="1"/>
        <v>426.74000000000007</v>
      </c>
      <c r="T39" s="317">
        <f t="shared" si="2"/>
        <v>71.931333333333342</v>
      </c>
      <c r="U39" s="317">
        <f t="shared" si="2"/>
        <v>56.220333333333336</v>
      </c>
      <c r="V39" s="317">
        <f t="shared" si="2"/>
        <v>58.248666666666672</v>
      </c>
      <c r="W39" s="317">
        <f t="shared" si="2"/>
        <v>61.339333333333336</v>
      </c>
      <c r="X39" s="317">
        <f t="shared" si="2"/>
        <v>61.165333333333336</v>
      </c>
      <c r="Y39" s="317">
        <f t="shared" si="2"/>
        <v>59.005666666666663</v>
      </c>
      <c r="Z39" s="317">
        <f t="shared" ref="Z39:AF75" si="7">AVERAGE(AN39,BB39,BP39)</f>
        <v>58.829333333333331</v>
      </c>
      <c r="AA39" s="317">
        <f t="shared" si="7"/>
        <v>0</v>
      </c>
      <c r="AB39" s="317">
        <f t="shared" si="7"/>
        <v>0</v>
      </c>
      <c r="AC39" s="317">
        <f t="shared" si="7"/>
        <v>0</v>
      </c>
      <c r="AD39" s="317">
        <f t="shared" si="7"/>
        <v>0</v>
      </c>
      <c r="AE39" s="317">
        <f t="shared" si="7"/>
        <v>0</v>
      </c>
      <c r="AF39" s="317">
        <f t="shared" si="7"/>
        <v>0</v>
      </c>
      <c r="AG39" s="317">
        <f t="shared" si="3"/>
        <v>426.74000000000007</v>
      </c>
      <c r="AH39" s="318">
        <v>70.92</v>
      </c>
      <c r="AI39" s="318">
        <v>54.174999999999997</v>
      </c>
      <c r="AJ39" s="318">
        <v>51.22</v>
      </c>
      <c r="AK39" s="318">
        <v>58.115000000000002</v>
      </c>
      <c r="AL39" s="318">
        <v>65.010000000000005</v>
      </c>
      <c r="AM39" s="318">
        <v>63.04</v>
      </c>
      <c r="AN39" s="318">
        <v>56.145000000000003</v>
      </c>
      <c r="AO39" s="318">
        <v>0</v>
      </c>
      <c r="AP39" s="318">
        <v>0</v>
      </c>
      <c r="AQ39" s="318">
        <v>0</v>
      </c>
      <c r="AR39" s="318">
        <v>0</v>
      </c>
      <c r="AS39" s="318">
        <v>0</v>
      </c>
      <c r="AT39" s="318">
        <v>0</v>
      </c>
      <c r="AU39" s="317">
        <f t="shared" si="4"/>
        <v>418.625</v>
      </c>
      <c r="AV39" s="319">
        <v>71.680000000000007</v>
      </c>
      <c r="AW39" s="319">
        <v>51.125999999999998</v>
      </c>
      <c r="AX39" s="319">
        <v>56.911999999999999</v>
      </c>
      <c r="AY39" s="319">
        <v>65.8</v>
      </c>
      <c r="AZ39" s="319">
        <v>55.189</v>
      </c>
      <c r="BA39" s="319">
        <v>56.84</v>
      </c>
      <c r="BB39" s="319">
        <v>57.113999999999997</v>
      </c>
      <c r="BC39" s="319">
        <v>0</v>
      </c>
      <c r="BD39" s="319">
        <v>0</v>
      </c>
      <c r="BE39" s="319">
        <v>0</v>
      </c>
      <c r="BF39" s="319">
        <v>0</v>
      </c>
      <c r="BG39" s="319">
        <v>0</v>
      </c>
      <c r="BH39" s="319">
        <v>0</v>
      </c>
      <c r="BI39" s="317">
        <f t="shared" si="5"/>
        <v>414.661</v>
      </c>
      <c r="BJ39" s="316">
        <v>73.194000000000003</v>
      </c>
      <c r="BK39" s="316">
        <v>63.36</v>
      </c>
      <c r="BL39" s="316">
        <v>66.614000000000004</v>
      </c>
      <c r="BM39" s="316">
        <v>60.103000000000002</v>
      </c>
      <c r="BN39" s="316">
        <v>63.296999999999997</v>
      </c>
      <c r="BO39" s="316">
        <v>57.137</v>
      </c>
      <c r="BP39" s="316">
        <v>63.228999999999999</v>
      </c>
      <c r="BQ39" s="316">
        <v>0</v>
      </c>
      <c r="BR39" s="316">
        <v>0</v>
      </c>
      <c r="BS39" s="316">
        <v>0</v>
      </c>
      <c r="BT39" s="316">
        <v>0</v>
      </c>
      <c r="BU39" s="316">
        <v>0</v>
      </c>
      <c r="BV39" s="316">
        <v>0</v>
      </c>
      <c r="BW39" s="317">
        <f t="shared" si="6"/>
        <v>446.93399999999997</v>
      </c>
    </row>
    <row r="40" spans="1:75" x14ac:dyDescent="0.2">
      <c r="A40" s="20" t="str">
        <f>'School Level Inst. Resources'!A40</f>
        <v>0301000</v>
      </c>
      <c r="B40" s="20" t="str">
        <f>'School Level Inst. Resources'!B40</f>
        <v>Campbell #1</v>
      </c>
      <c r="C40" s="20" t="str">
        <f>'School Level Inst. Resources'!C40</f>
        <v>0301010</v>
      </c>
      <c r="D40" s="20" t="str">
        <f>'School Level Inst. Resources'!D40</f>
        <v>Little Powder Elementary</v>
      </c>
      <c r="E40" s="138" t="str">
        <f>'School Level Inst. Resources'!E40</f>
        <v>K-8</v>
      </c>
      <c r="F40" s="317">
        <f>IF(AND($A$2=4,VLOOKUP($A40,'District Level ADM'!$A$5:$W$52,5,FALSE)="Prior Year"),AH40,IF(AND($A$2=4,VLOOKUP($A40,'District Level ADM'!$A$5:$W$52,5,FALSE)="3-Year Avg."),T40,IF($A$2=2,AH40,IF($A$2=3,T40,IF(($AG40&gt;$AU40),T40,AH40)))))</f>
        <v>3.2336666666666667</v>
      </c>
      <c r="G40" s="317">
        <f>IF(AND($A$2=4,VLOOKUP($A40,'District Level ADM'!$A$5:$W$52,5,FALSE)="Prior Year"),AI40,IF(AND($A$2=4,VLOOKUP($A40,'District Level ADM'!$A$5:$W$52,5,FALSE)="3-Year Avg."),U40,IF($A$2=2,AI40,IF($A$2=3,U40,IF(($AG40&gt;$AU40),U40,AI40)))))</f>
        <v>4.3183333333333334</v>
      </c>
      <c r="H40" s="317">
        <f>IF(AND($A$2=4,VLOOKUP($A40,'District Level ADM'!$A$5:$W$52,5,FALSE)="Prior Year"),AJ40,IF(AND($A$2=4,VLOOKUP($A40,'District Level ADM'!$A$5:$W$52,5,FALSE)="3-Year Avg."),V40,IF($A$2=2,AJ40,IF($A$2=3,V40,IF(($AG40&gt;$AU40),V40,AJ40)))))</f>
        <v>4.6516666666666664</v>
      </c>
      <c r="I40" s="317">
        <f>IF(AND($A$2=4,VLOOKUP($A40,'District Level ADM'!$A$5:$W$52,5,FALSE)="Prior Year"),AK40,IF(AND($A$2=4,VLOOKUP($A40,'District Level ADM'!$A$5:$W$52,5,FALSE)="3-Year Avg."),W40,IF($A$2=2,AK40,IF($A$2=3,W40,IF(($AG40&gt;$AU40),W40,AK40)))))</f>
        <v>4.4813333333333327</v>
      </c>
      <c r="J40" s="317">
        <f>IF(AND($A$2=4,VLOOKUP($A40,'District Level ADM'!$A$5:$W$52,5,FALSE)="Prior Year"),AL40,IF(AND($A$2=4,VLOOKUP($A40,'District Level ADM'!$A$5:$W$52,5,FALSE)="3-Year Avg."),X40,IF($A$2=2,AL40,IF($A$2=3,X40,IF(($AG40&gt;$AU40),X40,AL40)))))</f>
        <v>3.3183333333333334</v>
      </c>
      <c r="K40" s="317">
        <f>IF(AND($A$2=4,VLOOKUP($A40,'District Level ADM'!$A$5:$W$52,5,FALSE)="Prior Year"),AM40,IF(AND($A$2=4,VLOOKUP($A40,'District Level ADM'!$A$5:$W$52,5,FALSE)="3-Year Avg."),Y40,IF($A$2=2,AM40,IF($A$2=3,Y40,IF(($AG40&gt;$AU40),Y40,AM40)))))</f>
        <v>2.9849999999999999</v>
      </c>
      <c r="L40" s="317">
        <f>IF(AND($A$2=4,VLOOKUP($A40,'District Level ADM'!$A$5:$W$52,5,FALSE)="Prior Year"),AN40,IF(AND($A$2=4,VLOOKUP($A40,'District Level ADM'!$A$5:$W$52,5,FALSE)="3-Year Avg."),Z40,IF($A$2=2,AN40,IF($A$2=3,Z40,IF(($AG40&gt;$AU40),Z40,AN40)))))</f>
        <v>2.6516666666666668</v>
      </c>
      <c r="M40" s="317">
        <f>IF(AND($A$2=4,VLOOKUP($A40,'District Level ADM'!$A$5:$W$52,5,FALSE)="Prior Year"),AO40,IF(AND($A$2=4,VLOOKUP($A40,'District Level ADM'!$A$5:$W$52,5,FALSE)="3-Year Avg."),AA40,IF($A$2=2,AO40,IF($A$2=3,AA40,IF(($AG40&gt;$AU40),AA40,AO40)))))</f>
        <v>0</v>
      </c>
      <c r="N40" s="317">
        <f>IF(AND($A$2=4,VLOOKUP($A40,'District Level ADM'!$A$5:$W$52,5,FALSE)="Prior Year"),AP40,IF(AND($A$2=4,VLOOKUP($A40,'District Level ADM'!$A$5:$W$52,5,FALSE)="3-Year Avg."),AB40,IF($A$2=2,AP40,IF($A$2=3,AB40,IF(($AG40&gt;$AU40),AB40,AP40)))))</f>
        <v>0</v>
      </c>
      <c r="O40" s="317">
        <f>IF(AND($A$2=4,VLOOKUP($A40,'District Level ADM'!$A$5:$W$52,5,FALSE)="Prior Year"),AQ40,IF(AND($A$2=4,VLOOKUP($A40,'District Level ADM'!$A$5:$W$52,5,FALSE)="3-Year Avg."),AC40,IF($A$2=2,AQ40,IF($A$2=3,AC40,IF(($AG40&gt;$AU40),AC40,AQ40)))))</f>
        <v>0</v>
      </c>
      <c r="P40" s="317">
        <f>IF(AND($A$2=4,VLOOKUP($A40,'District Level ADM'!$A$5:$W$52,5,FALSE)="Prior Year"),AR40,IF(AND($A$2=4,VLOOKUP($A40,'District Level ADM'!$A$5:$W$52,5,FALSE)="3-Year Avg."),AD40,IF($A$2=2,AR40,IF($A$2=3,AD40,IF(($AG40&gt;$AU40),AD40,AR40)))))</f>
        <v>0</v>
      </c>
      <c r="Q40" s="317">
        <f>IF(AND($A$2=4,VLOOKUP($A40,'District Level ADM'!$A$5:$W$52,5,FALSE)="Prior Year"),AS40,IF(AND($A$2=4,VLOOKUP($A40,'District Level ADM'!$A$5:$W$52,5,FALSE)="3-Year Avg."),AE40,IF($A$2=2,AS40,IF($A$2=3,AE40,IF(($AG40&gt;$AU40),AE40,AS40)))))</f>
        <v>0</v>
      </c>
      <c r="R40" s="317">
        <f>IF(AND($A$2=4,VLOOKUP($A40,'District Level ADM'!$A$5:$W$52,5,FALSE)="Prior Year"),AT40,IF(AND($A$2=4,VLOOKUP($A40,'District Level ADM'!$A$5:$W$52,5,FALSE)="3-Year Avg."),AF40,IF($A$2=2,AT40,IF($A$2=3,AF40,IF(($AG40&gt;$AU40),AF40,AT40)))))</f>
        <v>0</v>
      </c>
      <c r="S40" s="317">
        <f t="shared" si="1"/>
        <v>25.639999999999997</v>
      </c>
      <c r="T40" s="317">
        <f t="shared" ref="T40:AB80" si="8">AVERAGE(AH40,AV40,BJ40)</f>
        <v>3.2336666666666667</v>
      </c>
      <c r="U40" s="317">
        <f t="shared" si="8"/>
        <v>4.3183333333333334</v>
      </c>
      <c r="V40" s="317">
        <f t="shared" si="8"/>
        <v>4.6516666666666664</v>
      </c>
      <c r="W40" s="317">
        <f t="shared" si="8"/>
        <v>4.4813333333333327</v>
      </c>
      <c r="X40" s="317">
        <f t="shared" si="8"/>
        <v>3.3183333333333334</v>
      </c>
      <c r="Y40" s="317">
        <f t="shared" si="8"/>
        <v>2.9849999999999999</v>
      </c>
      <c r="Z40" s="317">
        <f t="shared" si="7"/>
        <v>2.6516666666666668</v>
      </c>
      <c r="AA40" s="317">
        <f t="shared" si="7"/>
        <v>0</v>
      </c>
      <c r="AB40" s="317">
        <f t="shared" si="7"/>
        <v>0</v>
      </c>
      <c r="AC40" s="317">
        <f t="shared" si="7"/>
        <v>0</v>
      </c>
      <c r="AD40" s="317">
        <f t="shared" si="7"/>
        <v>0</v>
      </c>
      <c r="AE40" s="317">
        <f t="shared" si="7"/>
        <v>0</v>
      </c>
      <c r="AF40" s="317">
        <f t="shared" si="7"/>
        <v>0</v>
      </c>
      <c r="AG40" s="317">
        <f t="shared" si="3"/>
        <v>25.639999999999997</v>
      </c>
      <c r="AH40" s="318">
        <v>1.97</v>
      </c>
      <c r="AI40" s="318">
        <v>2.9550000000000001</v>
      </c>
      <c r="AJ40" s="318">
        <v>2.9550000000000001</v>
      </c>
      <c r="AK40" s="318">
        <v>6.8949999999999996</v>
      </c>
      <c r="AL40" s="318">
        <v>2.9550000000000001</v>
      </c>
      <c r="AM40" s="318">
        <v>2.9550000000000001</v>
      </c>
      <c r="AN40" s="318">
        <v>2.9550000000000001</v>
      </c>
      <c r="AO40" s="318">
        <v>0</v>
      </c>
      <c r="AP40" s="318">
        <v>0</v>
      </c>
      <c r="AQ40" s="318">
        <v>0</v>
      </c>
      <c r="AR40" s="318">
        <v>0</v>
      </c>
      <c r="AS40" s="318">
        <v>0</v>
      </c>
      <c r="AT40" s="318">
        <v>0</v>
      </c>
      <c r="AU40" s="317">
        <f t="shared" si="4"/>
        <v>23.639999999999993</v>
      </c>
      <c r="AV40" s="319">
        <v>3.5310000000000001</v>
      </c>
      <c r="AW40" s="319">
        <v>3</v>
      </c>
      <c r="AX40" s="319">
        <v>7</v>
      </c>
      <c r="AY40" s="319">
        <v>3.5489999999999999</v>
      </c>
      <c r="AZ40" s="319">
        <v>3</v>
      </c>
      <c r="BA40" s="319">
        <v>4</v>
      </c>
      <c r="BB40" s="319">
        <v>2</v>
      </c>
      <c r="BC40" s="319">
        <v>0</v>
      </c>
      <c r="BD40" s="319">
        <v>0</v>
      </c>
      <c r="BE40" s="319">
        <v>0</v>
      </c>
      <c r="BF40" s="319">
        <v>0</v>
      </c>
      <c r="BG40" s="319">
        <v>0</v>
      </c>
      <c r="BH40" s="319">
        <v>0</v>
      </c>
      <c r="BI40" s="317">
        <f t="shared" si="5"/>
        <v>26.080000000000002</v>
      </c>
      <c r="BJ40" s="316">
        <v>4.2</v>
      </c>
      <c r="BK40" s="316">
        <v>7</v>
      </c>
      <c r="BL40" s="316">
        <v>4</v>
      </c>
      <c r="BM40" s="316">
        <v>3</v>
      </c>
      <c r="BN40" s="316">
        <v>4</v>
      </c>
      <c r="BO40" s="316">
        <v>2</v>
      </c>
      <c r="BP40" s="316">
        <v>3</v>
      </c>
      <c r="BQ40" s="316">
        <v>0</v>
      </c>
      <c r="BR40" s="316">
        <v>0</v>
      </c>
      <c r="BS40" s="316">
        <v>0</v>
      </c>
      <c r="BT40" s="316">
        <v>0</v>
      </c>
      <c r="BU40" s="316">
        <v>0</v>
      </c>
      <c r="BV40" s="316">
        <v>0</v>
      </c>
      <c r="BW40" s="317">
        <f t="shared" si="6"/>
        <v>27.2</v>
      </c>
    </row>
    <row r="41" spans="1:75" x14ac:dyDescent="0.2">
      <c r="A41" s="20" t="str">
        <f>'School Level Inst. Resources'!A41</f>
        <v>0301000</v>
      </c>
      <c r="B41" s="20" t="str">
        <f>'School Level Inst. Resources'!B41</f>
        <v>Campbell #1</v>
      </c>
      <c r="C41" s="20" t="str">
        <f>'School Level Inst. Resources'!C41</f>
        <v>0301011</v>
      </c>
      <c r="D41" s="20" t="str">
        <f>'School Level Inst. Resources'!D41</f>
        <v>Meadowlark Elementary</v>
      </c>
      <c r="E41" s="138" t="str">
        <f>'School Level Inst. Resources'!E41</f>
        <v>K-6</v>
      </c>
      <c r="F41" s="317">
        <f>IF(AND($A$2=4,VLOOKUP($A41,'District Level ADM'!$A$5:$W$52,5,FALSE)="Prior Year"),AH41,IF(AND($A$2=4,VLOOKUP($A41,'District Level ADM'!$A$5:$W$52,5,FALSE)="3-Year Avg."),T41,IF($A$2=2,AH41,IF($A$2=3,T41,IF(($AG41&gt;$AU41),T41,AH41)))))</f>
        <v>43.275666666666666</v>
      </c>
      <c r="G41" s="317">
        <f>IF(AND($A$2=4,VLOOKUP($A41,'District Level ADM'!$A$5:$W$52,5,FALSE)="Prior Year"),AI41,IF(AND($A$2=4,VLOOKUP($A41,'District Level ADM'!$A$5:$W$52,5,FALSE)="3-Year Avg."),U41,IF($A$2=2,AI41,IF($A$2=3,U41,IF(($AG41&gt;$AU41),U41,AI41)))))</f>
        <v>37.928333333333335</v>
      </c>
      <c r="H41" s="317">
        <f>IF(AND($A$2=4,VLOOKUP($A41,'District Level ADM'!$A$5:$W$52,5,FALSE)="Prior Year"),AJ41,IF(AND($A$2=4,VLOOKUP($A41,'District Level ADM'!$A$5:$W$52,5,FALSE)="3-Year Avg."),V41,IF($A$2=2,AJ41,IF($A$2=3,V41,IF(($AG41&gt;$AU41),V41,AJ41)))))</f>
        <v>41.823666666666668</v>
      </c>
      <c r="I41" s="317">
        <f>IF(AND($A$2=4,VLOOKUP($A41,'District Level ADM'!$A$5:$W$52,5,FALSE)="Prior Year"),AK41,IF(AND($A$2=4,VLOOKUP($A41,'District Level ADM'!$A$5:$W$52,5,FALSE)="3-Year Avg."),W41,IF($A$2=2,AK41,IF($A$2=3,W41,IF(($AG41&gt;$AU41),W41,AK41)))))</f>
        <v>39.422333333333334</v>
      </c>
      <c r="J41" s="317">
        <f>IF(AND($A$2=4,VLOOKUP($A41,'District Level ADM'!$A$5:$W$52,5,FALSE)="Prior Year"),AL41,IF(AND($A$2=4,VLOOKUP($A41,'District Level ADM'!$A$5:$W$52,5,FALSE)="3-Year Avg."),X41,IF($A$2=2,AL41,IF($A$2=3,X41,IF(($AG41&gt;$AU41),X41,AL41)))))</f>
        <v>34.492333333333335</v>
      </c>
      <c r="K41" s="317">
        <f>IF(AND($A$2=4,VLOOKUP($A41,'District Level ADM'!$A$5:$W$52,5,FALSE)="Prior Year"),AM41,IF(AND($A$2=4,VLOOKUP($A41,'District Level ADM'!$A$5:$W$52,5,FALSE)="3-Year Avg."),Y41,IF($A$2=2,AM41,IF($A$2=3,Y41,IF(($AG41&gt;$AU41),Y41,AM41)))))</f>
        <v>32.596666666666671</v>
      </c>
      <c r="L41" s="317">
        <f>IF(AND($A$2=4,VLOOKUP($A41,'District Level ADM'!$A$5:$W$52,5,FALSE)="Prior Year"),AN41,IF(AND($A$2=4,VLOOKUP($A41,'District Level ADM'!$A$5:$W$52,5,FALSE)="3-Year Avg."),Z41,IF($A$2=2,AN41,IF($A$2=3,Z41,IF(($AG41&gt;$AU41),Z41,AN41)))))</f>
        <v>30.447333333333336</v>
      </c>
      <c r="M41" s="317">
        <f>IF(AND($A$2=4,VLOOKUP($A41,'District Level ADM'!$A$5:$W$52,5,FALSE)="Prior Year"),AO41,IF(AND($A$2=4,VLOOKUP($A41,'District Level ADM'!$A$5:$W$52,5,FALSE)="3-Year Avg."),AA41,IF($A$2=2,AO41,IF($A$2=3,AA41,IF(($AG41&gt;$AU41),AA41,AO41)))))</f>
        <v>0</v>
      </c>
      <c r="N41" s="317">
        <f>IF(AND($A$2=4,VLOOKUP($A41,'District Level ADM'!$A$5:$W$52,5,FALSE)="Prior Year"),AP41,IF(AND($A$2=4,VLOOKUP($A41,'District Level ADM'!$A$5:$W$52,5,FALSE)="3-Year Avg."),AB41,IF($A$2=2,AP41,IF($A$2=3,AB41,IF(($AG41&gt;$AU41),AB41,AP41)))))</f>
        <v>0</v>
      </c>
      <c r="O41" s="317">
        <f>IF(AND($A$2=4,VLOOKUP($A41,'District Level ADM'!$A$5:$W$52,5,FALSE)="Prior Year"),AQ41,IF(AND($A$2=4,VLOOKUP($A41,'District Level ADM'!$A$5:$W$52,5,FALSE)="3-Year Avg."),AC41,IF($A$2=2,AQ41,IF($A$2=3,AC41,IF(($AG41&gt;$AU41),AC41,AQ41)))))</f>
        <v>0</v>
      </c>
      <c r="P41" s="317">
        <f>IF(AND($A$2=4,VLOOKUP($A41,'District Level ADM'!$A$5:$W$52,5,FALSE)="Prior Year"),AR41,IF(AND($A$2=4,VLOOKUP($A41,'District Level ADM'!$A$5:$W$52,5,FALSE)="3-Year Avg."),AD41,IF($A$2=2,AR41,IF($A$2=3,AD41,IF(($AG41&gt;$AU41),AD41,AR41)))))</f>
        <v>0</v>
      </c>
      <c r="Q41" s="317">
        <f>IF(AND($A$2=4,VLOOKUP($A41,'District Level ADM'!$A$5:$W$52,5,FALSE)="Prior Year"),AS41,IF(AND($A$2=4,VLOOKUP($A41,'District Level ADM'!$A$5:$W$52,5,FALSE)="3-Year Avg."),AE41,IF($A$2=2,AS41,IF($A$2=3,AE41,IF(($AG41&gt;$AU41),AE41,AS41)))))</f>
        <v>0</v>
      </c>
      <c r="R41" s="317">
        <f>IF(AND($A$2=4,VLOOKUP($A41,'District Level ADM'!$A$5:$W$52,5,FALSE)="Prior Year"),AT41,IF(AND($A$2=4,VLOOKUP($A41,'District Level ADM'!$A$5:$W$52,5,FALSE)="3-Year Avg."),AF41,IF($A$2=2,AT41,IF($A$2=3,AF41,IF(($AG41&gt;$AU41),AF41,AT41)))))</f>
        <v>0</v>
      </c>
      <c r="S41" s="317">
        <f t="shared" si="1"/>
        <v>259.98633333333333</v>
      </c>
      <c r="T41" s="317">
        <f t="shared" si="8"/>
        <v>43.275666666666666</v>
      </c>
      <c r="U41" s="317">
        <f t="shared" si="8"/>
        <v>37.928333333333335</v>
      </c>
      <c r="V41" s="317">
        <f t="shared" si="8"/>
        <v>41.823666666666668</v>
      </c>
      <c r="W41" s="317">
        <f t="shared" si="8"/>
        <v>39.422333333333334</v>
      </c>
      <c r="X41" s="317">
        <f t="shared" si="8"/>
        <v>34.492333333333335</v>
      </c>
      <c r="Y41" s="317">
        <f t="shared" si="8"/>
        <v>32.596666666666671</v>
      </c>
      <c r="Z41" s="317">
        <f t="shared" si="7"/>
        <v>30.447333333333336</v>
      </c>
      <c r="AA41" s="317">
        <f t="shared" si="7"/>
        <v>0</v>
      </c>
      <c r="AB41" s="317">
        <f t="shared" si="7"/>
        <v>0</v>
      </c>
      <c r="AC41" s="317">
        <f t="shared" si="7"/>
        <v>0</v>
      </c>
      <c r="AD41" s="317">
        <f t="shared" si="7"/>
        <v>0</v>
      </c>
      <c r="AE41" s="317">
        <f t="shared" si="7"/>
        <v>0</v>
      </c>
      <c r="AF41" s="317">
        <f t="shared" si="7"/>
        <v>0</v>
      </c>
      <c r="AG41" s="317">
        <f t="shared" si="3"/>
        <v>259.98633333333333</v>
      </c>
      <c r="AH41" s="318">
        <v>38.414999999999999</v>
      </c>
      <c r="AI41" s="318">
        <v>35.46</v>
      </c>
      <c r="AJ41" s="318">
        <v>40.384999999999998</v>
      </c>
      <c r="AK41" s="318">
        <v>33.49</v>
      </c>
      <c r="AL41" s="318">
        <v>40.384999999999998</v>
      </c>
      <c r="AM41" s="318">
        <v>29.55</v>
      </c>
      <c r="AN41" s="318">
        <v>28.565000000000001</v>
      </c>
      <c r="AO41" s="318">
        <v>0</v>
      </c>
      <c r="AP41" s="318">
        <v>0</v>
      </c>
      <c r="AQ41" s="318">
        <v>0</v>
      </c>
      <c r="AR41" s="318">
        <v>0</v>
      </c>
      <c r="AS41" s="318">
        <v>0</v>
      </c>
      <c r="AT41" s="318">
        <v>0</v>
      </c>
      <c r="AU41" s="317">
        <f t="shared" si="4"/>
        <v>246.25</v>
      </c>
      <c r="AV41" s="319">
        <v>37.805999999999997</v>
      </c>
      <c r="AW41" s="319">
        <v>42.250999999999998</v>
      </c>
      <c r="AX41" s="319">
        <v>36.326000000000001</v>
      </c>
      <c r="AY41" s="319">
        <v>43.353999999999999</v>
      </c>
      <c r="AZ41" s="319">
        <v>32.503</v>
      </c>
      <c r="BA41" s="319">
        <v>27.908999999999999</v>
      </c>
      <c r="BB41" s="319">
        <v>37.314</v>
      </c>
      <c r="BC41" s="319">
        <v>0</v>
      </c>
      <c r="BD41" s="319">
        <v>0</v>
      </c>
      <c r="BE41" s="319">
        <v>0</v>
      </c>
      <c r="BF41" s="319">
        <v>0</v>
      </c>
      <c r="BG41" s="319">
        <v>0</v>
      </c>
      <c r="BH41" s="319">
        <v>0</v>
      </c>
      <c r="BI41" s="317">
        <f t="shared" si="5"/>
        <v>257.46299999999997</v>
      </c>
      <c r="BJ41" s="316">
        <v>53.606000000000002</v>
      </c>
      <c r="BK41" s="316">
        <v>36.073999999999998</v>
      </c>
      <c r="BL41" s="316">
        <v>48.760000000000005</v>
      </c>
      <c r="BM41" s="316">
        <v>41.422999999999995</v>
      </c>
      <c r="BN41" s="316">
        <v>30.588999999999999</v>
      </c>
      <c r="BO41" s="316">
        <v>40.331000000000003</v>
      </c>
      <c r="BP41" s="316">
        <v>25.463000000000001</v>
      </c>
      <c r="BQ41" s="316">
        <v>0</v>
      </c>
      <c r="BR41" s="316">
        <v>0</v>
      </c>
      <c r="BS41" s="316">
        <v>0</v>
      </c>
      <c r="BT41" s="316">
        <v>0</v>
      </c>
      <c r="BU41" s="316">
        <v>0</v>
      </c>
      <c r="BV41" s="316">
        <v>0</v>
      </c>
      <c r="BW41" s="317">
        <f t="shared" si="6"/>
        <v>276.24600000000004</v>
      </c>
    </row>
    <row r="42" spans="1:75" x14ac:dyDescent="0.2">
      <c r="A42" s="20" t="str">
        <f>'School Level Inst. Resources'!A42</f>
        <v>0301000</v>
      </c>
      <c r="B42" s="20" t="str">
        <f>'School Level Inst. Resources'!B42</f>
        <v>Campbell #1</v>
      </c>
      <c r="C42" s="20" t="str">
        <f>'School Level Inst. Resources'!C42</f>
        <v>0301012</v>
      </c>
      <c r="D42" s="20" t="str">
        <f>'School Level Inst. Resources'!D42</f>
        <v>Lakeview Elementary</v>
      </c>
      <c r="E42" s="138" t="str">
        <f>'School Level Inst. Resources'!E42</f>
        <v>K-6</v>
      </c>
      <c r="F42" s="317">
        <f>IF(AND($A$2=4,VLOOKUP($A42,'District Level ADM'!$A$5:$W$52,5,FALSE)="Prior Year"),AH42,IF(AND($A$2=4,VLOOKUP($A42,'District Level ADM'!$A$5:$W$52,5,FALSE)="3-Year Avg."),T42,IF($A$2=2,AH42,IF($A$2=3,T42,IF(($AG42&gt;$AU42),T42,AH42)))))</f>
        <v>72.958333333333329</v>
      </c>
      <c r="G42" s="317">
        <f>IF(AND($A$2=4,VLOOKUP($A42,'District Level ADM'!$A$5:$W$52,5,FALSE)="Prior Year"),AI42,IF(AND($A$2=4,VLOOKUP($A42,'District Level ADM'!$A$5:$W$52,5,FALSE)="3-Year Avg."),U42,IF($A$2=2,AI42,IF($A$2=3,U42,IF(($AG42&gt;$AU42),U42,AI42)))))</f>
        <v>67.683666666666667</v>
      </c>
      <c r="H42" s="317">
        <f>IF(AND($A$2=4,VLOOKUP($A42,'District Level ADM'!$A$5:$W$52,5,FALSE)="Prior Year"),AJ42,IF(AND($A$2=4,VLOOKUP($A42,'District Level ADM'!$A$5:$W$52,5,FALSE)="3-Year Avg."),V42,IF($A$2=2,AJ42,IF($A$2=3,V42,IF(($AG42&gt;$AU42),V42,AJ42)))))</f>
        <v>68.057000000000002</v>
      </c>
      <c r="I42" s="317">
        <f>IF(AND($A$2=4,VLOOKUP($A42,'District Level ADM'!$A$5:$W$52,5,FALSE)="Prior Year"),AK42,IF(AND($A$2=4,VLOOKUP($A42,'District Level ADM'!$A$5:$W$52,5,FALSE)="3-Year Avg."),W42,IF($A$2=2,AK42,IF($A$2=3,W42,IF(($AG42&gt;$AU42),W42,AK42)))))</f>
        <v>68.150666666666666</v>
      </c>
      <c r="J42" s="317">
        <f>IF(AND($A$2=4,VLOOKUP($A42,'District Level ADM'!$A$5:$W$52,5,FALSE)="Prior Year"),AL42,IF(AND($A$2=4,VLOOKUP($A42,'District Level ADM'!$A$5:$W$52,5,FALSE)="3-Year Avg."),X42,IF($A$2=2,AL42,IF($A$2=3,X42,IF(($AG42&gt;$AU42),X42,AL42)))))</f>
        <v>64.509666666666661</v>
      </c>
      <c r="K42" s="317">
        <f>IF(AND($A$2=4,VLOOKUP($A42,'District Level ADM'!$A$5:$W$52,5,FALSE)="Prior Year"),AM42,IF(AND($A$2=4,VLOOKUP($A42,'District Level ADM'!$A$5:$W$52,5,FALSE)="3-Year Avg."),Y42,IF($A$2=2,AM42,IF($A$2=3,Y42,IF(($AG42&gt;$AU42),Y42,AM42)))))</f>
        <v>64.00566666666667</v>
      </c>
      <c r="L42" s="317">
        <f>IF(AND($A$2=4,VLOOKUP($A42,'District Level ADM'!$A$5:$W$52,5,FALSE)="Prior Year"),AN42,IF(AND($A$2=4,VLOOKUP($A42,'District Level ADM'!$A$5:$W$52,5,FALSE)="3-Year Avg."),Z42,IF($A$2=2,AN42,IF($A$2=3,Z42,IF(($AG42&gt;$AU42),Z42,AN42)))))</f>
        <v>60.72</v>
      </c>
      <c r="M42" s="317">
        <f>IF(AND($A$2=4,VLOOKUP($A42,'District Level ADM'!$A$5:$W$52,5,FALSE)="Prior Year"),AO42,IF(AND($A$2=4,VLOOKUP($A42,'District Level ADM'!$A$5:$W$52,5,FALSE)="3-Year Avg."),AA42,IF($A$2=2,AO42,IF($A$2=3,AA42,IF(($AG42&gt;$AU42),AA42,AO42)))))</f>
        <v>0</v>
      </c>
      <c r="N42" s="317">
        <f>IF(AND($A$2=4,VLOOKUP($A42,'District Level ADM'!$A$5:$W$52,5,FALSE)="Prior Year"),AP42,IF(AND($A$2=4,VLOOKUP($A42,'District Level ADM'!$A$5:$W$52,5,FALSE)="3-Year Avg."),AB42,IF($A$2=2,AP42,IF($A$2=3,AB42,IF(($AG42&gt;$AU42),AB42,AP42)))))</f>
        <v>0</v>
      </c>
      <c r="O42" s="317">
        <f>IF(AND($A$2=4,VLOOKUP($A42,'District Level ADM'!$A$5:$W$52,5,FALSE)="Prior Year"),AQ42,IF(AND($A$2=4,VLOOKUP($A42,'District Level ADM'!$A$5:$W$52,5,FALSE)="3-Year Avg."),AC42,IF($A$2=2,AQ42,IF($A$2=3,AC42,IF(($AG42&gt;$AU42),AC42,AQ42)))))</f>
        <v>0</v>
      </c>
      <c r="P42" s="317">
        <f>IF(AND($A$2=4,VLOOKUP($A42,'District Level ADM'!$A$5:$W$52,5,FALSE)="Prior Year"),AR42,IF(AND($A$2=4,VLOOKUP($A42,'District Level ADM'!$A$5:$W$52,5,FALSE)="3-Year Avg."),AD42,IF($A$2=2,AR42,IF($A$2=3,AD42,IF(($AG42&gt;$AU42),AD42,AR42)))))</f>
        <v>0</v>
      </c>
      <c r="Q42" s="317">
        <f>IF(AND($A$2=4,VLOOKUP($A42,'District Level ADM'!$A$5:$W$52,5,FALSE)="Prior Year"),AS42,IF(AND($A$2=4,VLOOKUP($A42,'District Level ADM'!$A$5:$W$52,5,FALSE)="3-Year Avg."),AE42,IF($A$2=2,AS42,IF($A$2=3,AE42,IF(($AG42&gt;$AU42),AE42,AS42)))))</f>
        <v>0</v>
      </c>
      <c r="R42" s="317">
        <f>IF(AND($A$2=4,VLOOKUP($A42,'District Level ADM'!$A$5:$W$52,5,FALSE)="Prior Year"),AT42,IF(AND($A$2=4,VLOOKUP($A42,'District Level ADM'!$A$5:$W$52,5,FALSE)="3-Year Avg."),AF42,IF($A$2=2,AT42,IF($A$2=3,AF42,IF(($AG42&gt;$AU42),AF42,AT42)))))</f>
        <v>0</v>
      </c>
      <c r="S42" s="317">
        <f t="shared" si="1"/>
        <v>466.08500000000004</v>
      </c>
      <c r="T42" s="317">
        <f t="shared" si="8"/>
        <v>72.958333333333329</v>
      </c>
      <c r="U42" s="317">
        <f t="shared" si="8"/>
        <v>67.683666666666667</v>
      </c>
      <c r="V42" s="317">
        <f t="shared" si="8"/>
        <v>68.057000000000002</v>
      </c>
      <c r="W42" s="317">
        <f t="shared" si="8"/>
        <v>68.150666666666666</v>
      </c>
      <c r="X42" s="317">
        <f t="shared" si="8"/>
        <v>64.509666666666661</v>
      </c>
      <c r="Y42" s="317">
        <f t="shared" si="8"/>
        <v>64.00566666666667</v>
      </c>
      <c r="Z42" s="317">
        <f t="shared" si="7"/>
        <v>60.72</v>
      </c>
      <c r="AA42" s="317">
        <f t="shared" si="7"/>
        <v>0</v>
      </c>
      <c r="AB42" s="317">
        <f t="shared" si="7"/>
        <v>0</v>
      </c>
      <c r="AC42" s="317">
        <f t="shared" si="7"/>
        <v>0</v>
      </c>
      <c r="AD42" s="317">
        <f t="shared" si="7"/>
        <v>0</v>
      </c>
      <c r="AE42" s="317">
        <f t="shared" si="7"/>
        <v>0</v>
      </c>
      <c r="AF42" s="317">
        <f t="shared" si="7"/>
        <v>0</v>
      </c>
      <c r="AG42" s="317">
        <f t="shared" si="3"/>
        <v>466.08500000000004</v>
      </c>
      <c r="AH42" s="318">
        <v>58.115000000000002</v>
      </c>
      <c r="AI42" s="318">
        <v>54.174999999999997</v>
      </c>
      <c r="AJ42" s="318">
        <v>62.055</v>
      </c>
      <c r="AK42" s="318">
        <v>78.8</v>
      </c>
      <c r="AL42" s="318">
        <v>66.98</v>
      </c>
      <c r="AM42" s="318">
        <v>58.115000000000002</v>
      </c>
      <c r="AN42" s="318">
        <v>49.25</v>
      </c>
      <c r="AO42" s="318">
        <v>0</v>
      </c>
      <c r="AP42" s="318">
        <v>0</v>
      </c>
      <c r="AQ42" s="318">
        <v>0</v>
      </c>
      <c r="AR42" s="318">
        <v>0</v>
      </c>
      <c r="AS42" s="318">
        <v>0</v>
      </c>
      <c r="AT42" s="318">
        <v>0</v>
      </c>
      <c r="AU42" s="317">
        <f t="shared" si="4"/>
        <v>427.49</v>
      </c>
      <c r="AV42" s="319">
        <v>73.028999999999996</v>
      </c>
      <c r="AW42" s="319">
        <v>67.27</v>
      </c>
      <c r="AX42" s="319">
        <v>77.373000000000005</v>
      </c>
      <c r="AY42" s="319">
        <v>67.725999999999999</v>
      </c>
      <c r="AZ42" s="319">
        <v>66.006</v>
      </c>
      <c r="BA42" s="319">
        <v>56.098999999999997</v>
      </c>
      <c r="BB42" s="319">
        <v>71.36</v>
      </c>
      <c r="BC42" s="319">
        <v>0</v>
      </c>
      <c r="BD42" s="319">
        <v>0</v>
      </c>
      <c r="BE42" s="319">
        <v>0</v>
      </c>
      <c r="BF42" s="319">
        <v>0</v>
      </c>
      <c r="BG42" s="319">
        <v>0</v>
      </c>
      <c r="BH42" s="319">
        <v>0</v>
      </c>
      <c r="BI42" s="317">
        <f t="shared" si="5"/>
        <v>478.863</v>
      </c>
      <c r="BJ42" s="316">
        <v>87.730999999999995</v>
      </c>
      <c r="BK42" s="316">
        <v>81.605999999999995</v>
      </c>
      <c r="BL42" s="316">
        <v>64.742999999999995</v>
      </c>
      <c r="BM42" s="316">
        <v>57.926000000000002</v>
      </c>
      <c r="BN42" s="316">
        <v>60.542999999999999</v>
      </c>
      <c r="BO42" s="316">
        <v>77.802999999999997</v>
      </c>
      <c r="BP42" s="316">
        <v>61.55</v>
      </c>
      <c r="BQ42" s="316">
        <v>0</v>
      </c>
      <c r="BR42" s="316">
        <v>0</v>
      </c>
      <c r="BS42" s="316">
        <v>0</v>
      </c>
      <c r="BT42" s="316">
        <v>0</v>
      </c>
      <c r="BU42" s="316">
        <v>0</v>
      </c>
      <c r="BV42" s="316">
        <v>0</v>
      </c>
      <c r="BW42" s="317">
        <f t="shared" si="6"/>
        <v>491.90199999999999</v>
      </c>
    </row>
    <row r="43" spans="1:75" x14ac:dyDescent="0.2">
      <c r="A43" s="20" t="str">
        <f>'School Level Inst. Resources'!A43</f>
        <v>0301000</v>
      </c>
      <c r="B43" s="20" t="str">
        <f>'School Level Inst. Resources'!B43</f>
        <v>Campbell #1</v>
      </c>
      <c r="C43" s="20" t="str">
        <f>'School Level Inst. Resources'!C43</f>
        <v>0301013</v>
      </c>
      <c r="D43" s="20" t="str">
        <f>'School Level Inst. Resources'!D43</f>
        <v>Rawhide Elementary</v>
      </c>
      <c r="E43" s="138" t="str">
        <f>'School Level Inst. Resources'!E43</f>
        <v>K-6</v>
      </c>
      <c r="F43" s="317">
        <f>IF(AND($A$2=4,VLOOKUP($A43,'District Level ADM'!$A$5:$W$52,5,FALSE)="Prior Year"),AH43,IF(AND($A$2=4,VLOOKUP($A43,'District Level ADM'!$A$5:$W$52,5,FALSE)="3-Year Avg."),T43,IF($A$2=2,AH43,IF($A$2=3,T43,IF(($AG43&gt;$AU43),T43,AH43)))))</f>
        <v>48.484333333333332</v>
      </c>
      <c r="G43" s="317">
        <f>IF(AND($A$2=4,VLOOKUP($A43,'District Level ADM'!$A$5:$W$52,5,FALSE)="Prior Year"),AI43,IF(AND($A$2=4,VLOOKUP($A43,'District Level ADM'!$A$5:$W$52,5,FALSE)="3-Year Avg."),U43,IF($A$2=2,AI43,IF($A$2=3,U43,IF(($AG43&gt;$AU43),U43,AI43)))))</f>
        <v>29.444333333333333</v>
      </c>
      <c r="H43" s="317">
        <f>IF(AND($A$2=4,VLOOKUP($A43,'District Level ADM'!$A$5:$W$52,5,FALSE)="Prior Year"),AJ43,IF(AND($A$2=4,VLOOKUP($A43,'District Level ADM'!$A$5:$W$52,5,FALSE)="3-Year Avg."),V43,IF($A$2=2,AJ43,IF($A$2=3,V43,IF(($AG43&gt;$AU43),V43,AJ43)))))</f>
        <v>35.375</v>
      </c>
      <c r="I43" s="317">
        <f>IF(AND($A$2=4,VLOOKUP($A43,'District Level ADM'!$A$5:$W$52,5,FALSE)="Prior Year"),AK43,IF(AND($A$2=4,VLOOKUP($A43,'District Level ADM'!$A$5:$W$52,5,FALSE)="3-Year Avg."),W43,IF($A$2=2,AK43,IF($A$2=3,W43,IF(($AG43&gt;$AU43),W43,AK43)))))</f>
        <v>35.330999999999996</v>
      </c>
      <c r="J43" s="317">
        <f>IF(AND($A$2=4,VLOOKUP($A43,'District Level ADM'!$A$5:$W$52,5,FALSE)="Prior Year"),AL43,IF(AND($A$2=4,VLOOKUP($A43,'District Level ADM'!$A$5:$W$52,5,FALSE)="3-Year Avg."),X43,IF($A$2=2,AL43,IF($A$2=3,X43,IF(($AG43&gt;$AU43),X43,AL43)))))</f>
        <v>31.633333333333329</v>
      </c>
      <c r="K43" s="317">
        <f>IF(AND($A$2=4,VLOOKUP($A43,'District Level ADM'!$A$5:$W$52,5,FALSE)="Prior Year"),AM43,IF(AND($A$2=4,VLOOKUP($A43,'District Level ADM'!$A$5:$W$52,5,FALSE)="3-Year Avg."),Y43,IF($A$2=2,AM43,IF($A$2=3,Y43,IF(($AG43&gt;$AU43),Y43,AM43)))))</f>
        <v>27.658666666666665</v>
      </c>
      <c r="L43" s="317">
        <f>IF(AND($A$2=4,VLOOKUP($A43,'District Level ADM'!$A$5:$W$52,5,FALSE)="Prior Year"),AN43,IF(AND($A$2=4,VLOOKUP($A43,'District Level ADM'!$A$5:$W$52,5,FALSE)="3-Year Avg."),Z43,IF($A$2=2,AN43,IF($A$2=3,Z43,IF(($AG43&gt;$AU43),Z43,AN43)))))</f>
        <v>27.441333333333333</v>
      </c>
      <c r="M43" s="317">
        <f>IF(AND($A$2=4,VLOOKUP($A43,'District Level ADM'!$A$5:$W$52,5,FALSE)="Prior Year"),AO43,IF(AND($A$2=4,VLOOKUP($A43,'District Level ADM'!$A$5:$W$52,5,FALSE)="3-Year Avg."),AA43,IF($A$2=2,AO43,IF($A$2=3,AA43,IF(($AG43&gt;$AU43),AA43,AO43)))))</f>
        <v>0</v>
      </c>
      <c r="N43" s="317">
        <f>IF(AND($A$2=4,VLOOKUP($A43,'District Level ADM'!$A$5:$W$52,5,FALSE)="Prior Year"),AP43,IF(AND($A$2=4,VLOOKUP($A43,'District Level ADM'!$A$5:$W$52,5,FALSE)="3-Year Avg."),AB43,IF($A$2=2,AP43,IF($A$2=3,AB43,IF(($AG43&gt;$AU43),AB43,AP43)))))</f>
        <v>0</v>
      </c>
      <c r="O43" s="317">
        <f>IF(AND($A$2=4,VLOOKUP($A43,'District Level ADM'!$A$5:$W$52,5,FALSE)="Prior Year"),AQ43,IF(AND($A$2=4,VLOOKUP($A43,'District Level ADM'!$A$5:$W$52,5,FALSE)="3-Year Avg."),AC43,IF($A$2=2,AQ43,IF($A$2=3,AC43,IF(($AG43&gt;$AU43),AC43,AQ43)))))</f>
        <v>0</v>
      </c>
      <c r="P43" s="317">
        <f>IF(AND($A$2=4,VLOOKUP($A43,'District Level ADM'!$A$5:$W$52,5,FALSE)="Prior Year"),AR43,IF(AND($A$2=4,VLOOKUP($A43,'District Level ADM'!$A$5:$W$52,5,FALSE)="3-Year Avg."),AD43,IF($A$2=2,AR43,IF($A$2=3,AD43,IF(($AG43&gt;$AU43),AD43,AR43)))))</f>
        <v>0</v>
      </c>
      <c r="Q43" s="317">
        <f>IF(AND($A$2=4,VLOOKUP($A43,'District Level ADM'!$A$5:$W$52,5,FALSE)="Prior Year"),AS43,IF(AND($A$2=4,VLOOKUP($A43,'District Level ADM'!$A$5:$W$52,5,FALSE)="3-Year Avg."),AE43,IF($A$2=2,AS43,IF($A$2=3,AE43,IF(($AG43&gt;$AU43),AE43,AS43)))))</f>
        <v>0</v>
      </c>
      <c r="R43" s="317">
        <f>IF(AND($A$2=4,VLOOKUP($A43,'District Level ADM'!$A$5:$W$52,5,FALSE)="Prior Year"),AT43,IF(AND($A$2=4,VLOOKUP($A43,'District Level ADM'!$A$5:$W$52,5,FALSE)="3-Year Avg."),AF43,IF($A$2=2,AT43,IF($A$2=3,AF43,IF(($AG43&gt;$AU43),AF43,AT43)))))</f>
        <v>0</v>
      </c>
      <c r="S43" s="317">
        <f t="shared" si="1"/>
        <v>235.36799999999999</v>
      </c>
      <c r="T43" s="317">
        <f t="shared" si="8"/>
        <v>48.484333333333332</v>
      </c>
      <c r="U43" s="317">
        <f t="shared" si="8"/>
        <v>29.444333333333333</v>
      </c>
      <c r="V43" s="317">
        <f t="shared" si="8"/>
        <v>35.375</v>
      </c>
      <c r="W43" s="317">
        <f t="shared" si="8"/>
        <v>35.330999999999996</v>
      </c>
      <c r="X43" s="317">
        <f t="shared" si="8"/>
        <v>31.633333333333329</v>
      </c>
      <c r="Y43" s="317">
        <f t="shared" si="8"/>
        <v>27.658666666666665</v>
      </c>
      <c r="Z43" s="317">
        <f t="shared" si="7"/>
        <v>27.441333333333333</v>
      </c>
      <c r="AA43" s="317">
        <f t="shared" si="7"/>
        <v>0</v>
      </c>
      <c r="AB43" s="317">
        <f t="shared" si="7"/>
        <v>0</v>
      </c>
      <c r="AC43" s="317">
        <f t="shared" si="7"/>
        <v>0</v>
      </c>
      <c r="AD43" s="317">
        <f t="shared" si="7"/>
        <v>0</v>
      </c>
      <c r="AE43" s="317">
        <f t="shared" si="7"/>
        <v>0</v>
      </c>
      <c r="AF43" s="317">
        <f t="shared" si="7"/>
        <v>0</v>
      </c>
      <c r="AG43" s="317">
        <f t="shared" si="3"/>
        <v>235.36799999999999</v>
      </c>
      <c r="AH43" s="318">
        <v>53.19</v>
      </c>
      <c r="AI43" s="318">
        <v>24.625</v>
      </c>
      <c r="AJ43" s="318">
        <v>36.445</v>
      </c>
      <c r="AK43" s="318">
        <v>33.49</v>
      </c>
      <c r="AL43" s="318">
        <v>40.384999999999998</v>
      </c>
      <c r="AM43" s="318">
        <v>28.565000000000001</v>
      </c>
      <c r="AN43" s="318">
        <v>25.61</v>
      </c>
      <c r="AO43" s="318">
        <v>0</v>
      </c>
      <c r="AP43" s="318">
        <v>0</v>
      </c>
      <c r="AQ43" s="318">
        <v>0</v>
      </c>
      <c r="AR43" s="318">
        <v>0</v>
      </c>
      <c r="AS43" s="318">
        <v>0</v>
      </c>
      <c r="AT43" s="318">
        <v>0</v>
      </c>
      <c r="AU43" s="317">
        <f t="shared" si="4"/>
        <v>242.31</v>
      </c>
      <c r="AV43" s="319">
        <v>35.509</v>
      </c>
      <c r="AW43" s="319">
        <v>34.194000000000003</v>
      </c>
      <c r="AX43" s="319">
        <v>25.388999999999999</v>
      </c>
      <c r="AY43" s="319">
        <v>38.473999999999997</v>
      </c>
      <c r="AZ43" s="319">
        <v>29.149000000000001</v>
      </c>
      <c r="BA43" s="319">
        <v>26.76</v>
      </c>
      <c r="BB43" s="319">
        <v>26.016999999999999</v>
      </c>
      <c r="BC43" s="319">
        <v>0</v>
      </c>
      <c r="BD43" s="319">
        <v>0</v>
      </c>
      <c r="BE43" s="319">
        <v>0</v>
      </c>
      <c r="BF43" s="319">
        <v>0</v>
      </c>
      <c r="BG43" s="319">
        <v>0</v>
      </c>
      <c r="BH43" s="319">
        <v>0</v>
      </c>
      <c r="BI43" s="317">
        <f t="shared" si="5"/>
        <v>215.49199999999999</v>
      </c>
      <c r="BJ43" s="316">
        <v>56.753999999999998</v>
      </c>
      <c r="BK43" s="316">
        <v>29.513999999999999</v>
      </c>
      <c r="BL43" s="316">
        <v>44.290999999999997</v>
      </c>
      <c r="BM43" s="316">
        <v>34.029000000000003</v>
      </c>
      <c r="BN43" s="316">
        <v>25.366</v>
      </c>
      <c r="BO43" s="316">
        <v>27.651</v>
      </c>
      <c r="BP43" s="316">
        <v>30.696999999999999</v>
      </c>
      <c r="BQ43" s="316">
        <v>0</v>
      </c>
      <c r="BR43" s="316">
        <v>0</v>
      </c>
      <c r="BS43" s="316">
        <v>0</v>
      </c>
      <c r="BT43" s="316">
        <v>0</v>
      </c>
      <c r="BU43" s="316">
        <v>0</v>
      </c>
      <c r="BV43" s="316">
        <v>0</v>
      </c>
      <c r="BW43" s="317">
        <f t="shared" si="6"/>
        <v>248.30200000000002</v>
      </c>
    </row>
    <row r="44" spans="1:75" x14ac:dyDescent="0.2">
      <c r="A44" s="20" t="str">
        <f>'School Level Inst. Resources'!A44</f>
        <v>0301000</v>
      </c>
      <c r="B44" s="20" t="str">
        <f>'School Level Inst. Resources'!B44</f>
        <v>Campbell #1</v>
      </c>
      <c r="C44" s="20" t="str">
        <f>'School Level Inst. Resources'!C44</f>
        <v>0301014</v>
      </c>
      <c r="D44" s="20" t="str">
        <f>'School Level Inst. Resources'!D44</f>
        <v>Recluse School</v>
      </c>
      <c r="E44" s="138" t="str">
        <f>'School Level Inst. Resources'!E44</f>
        <v>K-8</v>
      </c>
      <c r="F44" s="317">
        <f>IF(AND($A$2=4,VLOOKUP($A44,'District Level ADM'!$A$5:$W$52,5,FALSE)="Prior Year"),AH44,IF(AND($A$2=4,VLOOKUP($A44,'District Level ADM'!$A$5:$W$52,5,FALSE)="3-Year Avg."),T44,IF($A$2=2,AH44,IF($A$2=3,T44,IF(($AG44&gt;$AU44),T44,AH44)))))</f>
        <v>2.044</v>
      </c>
      <c r="G44" s="317">
        <f>IF(AND($A$2=4,VLOOKUP($A44,'District Level ADM'!$A$5:$W$52,5,FALSE)="Prior Year"),AI44,IF(AND($A$2=4,VLOOKUP($A44,'District Level ADM'!$A$5:$W$52,5,FALSE)="3-Year Avg."),U44,IF($A$2=2,AI44,IF($A$2=3,U44,IF(($AG44&gt;$AU44),U44,AI44)))))</f>
        <v>1.6666666666666667</v>
      </c>
      <c r="H44" s="317">
        <f>IF(AND($A$2=4,VLOOKUP($A44,'District Level ADM'!$A$5:$W$52,5,FALSE)="Prior Year"),AJ44,IF(AND($A$2=4,VLOOKUP($A44,'District Level ADM'!$A$5:$W$52,5,FALSE)="3-Year Avg."),V44,IF($A$2=2,AJ44,IF($A$2=3,V44,IF(($AG44&gt;$AU44),V44,AJ44)))))</f>
        <v>2.7106666666666666</v>
      </c>
      <c r="I44" s="317">
        <f>IF(AND($A$2=4,VLOOKUP($A44,'District Level ADM'!$A$5:$W$52,5,FALSE)="Prior Year"),AK44,IF(AND($A$2=4,VLOOKUP($A44,'District Level ADM'!$A$5:$W$52,5,FALSE)="3-Year Avg."),W44,IF($A$2=2,AK44,IF($A$2=3,W44,IF(($AG44&gt;$AU44),W44,AK44)))))</f>
        <v>3.6043333333333334</v>
      </c>
      <c r="J44" s="317">
        <f>IF(AND($A$2=4,VLOOKUP($A44,'District Level ADM'!$A$5:$W$52,5,FALSE)="Prior Year"),AL44,IF(AND($A$2=4,VLOOKUP($A44,'District Level ADM'!$A$5:$W$52,5,FALSE)="3-Year Avg."),X44,IF($A$2=2,AL44,IF($A$2=3,X44,IF(($AG44&gt;$AU44),X44,AL44)))))</f>
        <v>4.085</v>
      </c>
      <c r="K44" s="317">
        <f>IF(AND($A$2=4,VLOOKUP($A44,'District Level ADM'!$A$5:$W$52,5,FALSE)="Prior Year"),AM44,IF(AND($A$2=4,VLOOKUP($A44,'District Level ADM'!$A$5:$W$52,5,FALSE)="3-Year Avg."),Y44,IF($A$2=2,AM44,IF($A$2=3,Y44,IF(($AG44&gt;$AU44),Y44,AM44)))))</f>
        <v>3.575333333333333</v>
      </c>
      <c r="L44" s="317">
        <f>IF(AND($A$2=4,VLOOKUP($A44,'District Level ADM'!$A$5:$W$52,5,FALSE)="Prior Year"),AN44,IF(AND($A$2=4,VLOOKUP($A44,'District Level ADM'!$A$5:$W$52,5,FALSE)="3-Year Avg."),Z44,IF($A$2=2,AN44,IF($A$2=3,Z44,IF(($AG44&gt;$AU44),Z44,AN44)))))</f>
        <v>2.9849999999999999</v>
      </c>
      <c r="M44" s="317">
        <f>IF(AND($A$2=4,VLOOKUP($A44,'District Level ADM'!$A$5:$W$52,5,FALSE)="Prior Year"),AO44,IF(AND($A$2=4,VLOOKUP($A44,'District Level ADM'!$A$5:$W$52,5,FALSE)="3-Year Avg."),AA44,IF($A$2=2,AO44,IF($A$2=3,AA44,IF(($AG44&gt;$AU44),AA44,AO44)))))</f>
        <v>1.6616666666666664</v>
      </c>
      <c r="N44" s="317">
        <f>IF(AND($A$2=4,VLOOKUP($A44,'District Level ADM'!$A$5:$W$52,5,FALSE)="Prior Year"),AP44,IF(AND($A$2=4,VLOOKUP($A44,'District Level ADM'!$A$5:$W$52,5,FALSE)="3-Year Avg."),AB44,IF($A$2=2,AP44,IF($A$2=3,AB44,IF(($AG44&gt;$AU44),AB44,AP44)))))</f>
        <v>1.3036666666666668</v>
      </c>
      <c r="O44" s="317">
        <f>IF(AND($A$2=4,VLOOKUP($A44,'District Level ADM'!$A$5:$W$52,5,FALSE)="Prior Year"),AQ44,IF(AND($A$2=4,VLOOKUP($A44,'District Level ADM'!$A$5:$W$52,5,FALSE)="3-Year Avg."),AC44,IF($A$2=2,AQ44,IF($A$2=3,AC44,IF(($AG44&gt;$AU44),AC44,AQ44)))))</f>
        <v>0</v>
      </c>
      <c r="P44" s="317">
        <f>IF(AND($A$2=4,VLOOKUP($A44,'District Level ADM'!$A$5:$W$52,5,FALSE)="Prior Year"),AR44,IF(AND($A$2=4,VLOOKUP($A44,'District Level ADM'!$A$5:$W$52,5,FALSE)="3-Year Avg."),AD44,IF($A$2=2,AR44,IF($A$2=3,AD44,IF(($AG44&gt;$AU44),AD44,AR44)))))</f>
        <v>0</v>
      </c>
      <c r="Q44" s="317">
        <f>IF(AND($A$2=4,VLOOKUP($A44,'District Level ADM'!$A$5:$W$52,5,FALSE)="Prior Year"),AS44,IF(AND($A$2=4,VLOOKUP($A44,'District Level ADM'!$A$5:$W$52,5,FALSE)="3-Year Avg."),AE44,IF($A$2=2,AS44,IF($A$2=3,AE44,IF(($AG44&gt;$AU44),AE44,AS44)))))</f>
        <v>0</v>
      </c>
      <c r="R44" s="317">
        <f>IF(AND($A$2=4,VLOOKUP($A44,'District Level ADM'!$A$5:$W$52,5,FALSE)="Prior Year"),AT44,IF(AND($A$2=4,VLOOKUP($A44,'District Level ADM'!$A$5:$W$52,5,FALSE)="3-Year Avg."),AF44,IF($A$2=2,AT44,IF($A$2=3,AF44,IF(($AG44&gt;$AU44),AF44,AT44)))))</f>
        <v>0</v>
      </c>
      <c r="S44" s="317">
        <f t="shared" si="1"/>
        <v>23.636333333333333</v>
      </c>
      <c r="T44" s="317">
        <f t="shared" si="8"/>
        <v>2.044</v>
      </c>
      <c r="U44" s="317">
        <f t="shared" si="8"/>
        <v>1.6666666666666667</v>
      </c>
      <c r="V44" s="317">
        <f t="shared" si="8"/>
        <v>2.7106666666666666</v>
      </c>
      <c r="W44" s="317">
        <f t="shared" si="8"/>
        <v>3.6043333333333334</v>
      </c>
      <c r="X44" s="317">
        <f t="shared" si="8"/>
        <v>4.085</v>
      </c>
      <c r="Y44" s="317">
        <f t="shared" si="8"/>
        <v>3.575333333333333</v>
      </c>
      <c r="Z44" s="317">
        <f t="shared" si="7"/>
        <v>2.9849999999999999</v>
      </c>
      <c r="AA44" s="317">
        <f t="shared" si="7"/>
        <v>1.6616666666666664</v>
      </c>
      <c r="AB44" s="317">
        <f t="shared" si="7"/>
        <v>1.3036666666666668</v>
      </c>
      <c r="AC44" s="317">
        <f t="shared" si="7"/>
        <v>0</v>
      </c>
      <c r="AD44" s="317">
        <f t="shared" si="7"/>
        <v>0</v>
      </c>
      <c r="AE44" s="317">
        <f t="shared" si="7"/>
        <v>0</v>
      </c>
      <c r="AF44" s="317">
        <f t="shared" si="7"/>
        <v>0</v>
      </c>
      <c r="AG44" s="317">
        <f t="shared" si="3"/>
        <v>23.636333333333333</v>
      </c>
      <c r="AH44" s="318">
        <v>2.9550000000000001</v>
      </c>
      <c r="AI44" s="318">
        <v>0</v>
      </c>
      <c r="AJ44" s="318">
        <v>2.9550000000000001</v>
      </c>
      <c r="AK44" s="318">
        <v>0.98499999999999999</v>
      </c>
      <c r="AL44" s="318">
        <v>3.94</v>
      </c>
      <c r="AM44" s="318">
        <v>2.9550000000000001</v>
      </c>
      <c r="AN44" s="318">
        <v>2.9550000000000001</v>
      </c>
      <c r="AO44" s="318">
        <v>0.98499999999999999</v>
      </c>
      <c r="AP44" s="318">
        <v>0.98499999999999999</v>
      </c>
      <c r="AQ44" s="318">
        <v>0</v>
      </c>
      <c r="AR44" s="318">
        <v>0</v>
      </c>
      <c r="AS44" s="318">
        <v>0</v>
      </c>
      <c r="AT44" s="318">
        <v>0</v>
      </c>
      <c r="AU44" s="317">
        <f t="shared" si="4"/>
        <v>18.715</v>
      </c>
      <c r="AV44" s="319">
        <v>0.17699999999999999</v>
      </c>
      <c r="AW44" s="319">
        <v>4</v>
      </c>
      <c r="AX44" s="319">
        <v>1.177</v>
      </c>
      <c r="AY44" s="319">
        <v>4.0570000000000004</v>
      </c>
      <c r="AZ44" s="319">
        <v>4.4459999999999997</v>
      </c>
      <c r="BA44" s="319">
        <v>4</v>
      </c>
      <c r="BB44" s="319">
        <v>3</v>
      </c>
      <c r="BC44" s="319">
        <v>1</v>
      </c>
      <c r="BD44" s="319">
        <v>0.92600000000000005</v>
      </c>
      <c r="BE44" s="319">
        <v>0</v>
      </c>
      <c r="BF44" s="319">
        <v>0</v>
      </c>
      <c r="BG44" s="319">
        <v>0</v>
      </c>
      <c r="BH44" s="319">
        <v>0</v>
      </c>
      <c r="BI44" s="317">
        <f t="shared" si="5"/>
        <v>22.782999999999998</v>
      </c>
      <c r="BJ44" s="316">
        <v>3</v>
      </c>
      <c r="BK44" s="316">
        <v>1</v>
      </c>
      <c r="BL44" s="316">
        <v>4</v>
      </c>
      <c r="BM44" s="316">
        <v>5.7709999999999999</v>
      </c>
      <c r="BN44" s="316">
        <v>3.8690000000000002</v>
      </c>
      <c r="BO44" s="316">
        <v>3.7709999999999999</v>
      </c>
      <c r="BP44" s="316">
        <v>3</v>
      </c>
      <c r="BQ44" s="316">
        <v>3</v>
      </c>
      <c r="BR44" s="316">
        <v>2</v>
      </c>
      <c r="BS44" s="316">
        <v>0</v>
      </c>
      <c r="BT44" s="316">
        <v>0</v>
      </c>
      <c r="BU44" s="316">
        <v>0</v>
      </c>
      <c r="BV44" s="316">
        <v>0</v>
      </c>
      <c r="BW44" s="317">
        <f t="shared" si="6"/>
        <v>29.411000000000001</v>
      </c>
    </row>
    <row r="45" spans="1:75" x14ac:dyDescent="0.2">
      <c r="A45" s="20" t="str">
        <f>'School Level Inst. Resources'!A45</f>
        <v>0301000</v>
      </c>
      <c r="B45" s="20" t="str">
        <f>'School Level Inst. Resources'!B45</f>
        <v>Campbell #1</v>
      </c>
      <c r="C45" s="20" t="str">
        <f>'School Level Inst. Resources'!C45</f>
        <v>0301015</v>
      </c>
      <c r="D45" s="20" t="str">
        <f>'School Level Inst. Resources'!D45</f>
        <v>Rozet Elementary</v>
      </c>
      <c r="E45" s="138" t="str">
        <f>'School Level Inst. Resources'!E45</f>
        <v>K-6</v>
      </c>
      <c r="F45" s="317">
        <f>IF(AND($A$2=4,VLOOKUP($A45,'District Level ADM'!$A$5:$W$52,5,FALSE)="Prior Year"),AH45,IF(AND($A$2=4,VLOOKUP($A45,'District Level ADM'!$A$5:$W$52,5,FALSE)="3-Year Avg."),T45,IF($A$2=2,AH45,IF($A$2=3,T45,IF(($AG45&gt;$AU45),T45,AH45)))))</f>
        <v>41.573666666666668</v>
      </c>
      <c r="G45" s="317">
        <f>IF(AND($A$2=4,VLOOKUP($A45,'District Level ADM'!$A$5:$W$52,5,FALSE)="Prior Year"),AI45,IF(AND($A$2=4,VLOOKUP($A45,'District Level ADM'!$A$5:$W$52,5,FALSE)="3-Year Avg."),U45,IF($A$2=2,AI45,IF($A$2=3,U45,IF(($AG45&gt;$AU45),U45,AI45)))))</f>
        <v>45.749000000000002</v>
      </c>
      <c r="H45" s="317">
        <f>IF(AND($A$2=4,VLOOKUP($A45,'District Level ADM'!$A$5:$W$52,5,FALSE)="Prior Year"),AJ45,IF(AND($A$2=4,VLOOKUP($A45,'District Level ADM'!$A$5:$W$52,5,FALSE)="3-Year Avg."),V45,IF($A$2=2,AJ45,IF($A$2=3,V45,IF(($AG45&gt;$AU45),V45,AJ45)))))</f>
        <v>49.76466666666667</v>
      </c>
      <c r="I45" s="317">
        <f>IF(AND($A$2=4,VLOOKUP($A45,'District Level ADM'!$A$5:$W$52,5,FALSE)="Prior Year"),AK45,IF(AND($A$2=4,VLOOKUP($A45,'District Level ADM'!$A$5:$W$52,5,FALSE)="3-Year Avg."),W45,IF($A$2=2,AK45,IF($A$2=3,W45,IF(($AG45&gt;$AU45),W45,AK45)))))</f>
        <v>54.466666666666661</v>
      </c>
      <c r="J45" s="317">
        <f>IF(AND($A$2=4,VLOOKUP($A45,'District Level ADM'!$A$5:$W$52,5,FALSE)="Prior Year"),AL45,IF(AND($A$2=4,VLOOKUP($A45,'District Level ADM'!$A$5:$W$52,5,FALSE)="3-Year Avg."),X45,IF($A$2=2,AL45,IF($A$2=3,X45,IF(($AG45&gt;$AU45),X45,AL45)))))</f>
        <v>47.024000000000001</v>
      </c>
      <c r="K45" s="317">
        <f>IF(AND($A$2=4,VLOOKUP($A45,'District Level ADM'!$A$5:$W$52,5,FALSE)="Prior Year"),AM45,IF(AND($A$2=4,VLOOKUP($A45,'District Level ADM'!$A$5:$W$52,5,FALSE)="3-Year Avg."),Y45,IF($A$2=2,AM45,IF($A$2=3,Y45,IF(($AG45&gt;$AU45),Y45,AM45)))))</f>
        <v>49.038999999999994</v>
      </c>
      <c r="L45" s="317">
        <f>IF(AND($A$2=4,VLOOKUP($A45,'District Level ADM'!$A$5:$W$52,5,FALSE)="Prior Year"),AN45,IF(AND($A$2=4,VLOOKUP($A45,'District Level ADM'!$A$5:$W$52,5,FALSE)="3-Year Avg."),Z45,IF($A$2=2,AN45,IF($A$2=3,Z45,IF(($AG45&gt;$AU45),Z45,AN45)))))</f>
        <v>40.512333333333338</v>
      </c>
      <c r="M45" s="317">
        <f>IF(AND($A$2=4,VLOOKUP($A45,'District Level ADM'!$A$5:$W$52,5,FALSE)="Prior Year"),AO45,IF(AND($A$2=4,VLOOKUP($A45,'District Level ADM'!$A$5:$W$52,5,FALSE)="3-Year Avg."),AA45,IF($A$2=2,AO45,IF($A$2=3,AA45,IF(($AG45&gt;$AU45),AA45,AO45)))))</f>
        <v>0</v>
      </c>
      <c r="N45" s="317">
        <f>IF(AND($A$2=4,VLOOKUP($A45,'District Level ADM'!$A$5:$W$52,5,FALSE)="Prior Year"),AP45,IF(AND($A$2=4,VLOOKUP($A45,'District Level ADM'!$A$5:$W$52,5,FALSE)="3-Year Avg."),AB45,IF($A$2=2,AP45,IF($A$2=3,AB45,IF(($AG45&gt;$AU45),AB45,AP45)))))</f>
        <v>0</v>
      </c>
      <c r="O45" s="317">
        <f>IF(AND($A$2=4,VLOOKUP($A45,'District Level ADM'!$A$5:$W$52,5,FALSE)="Prior Year"),AQ45,IF(AND($A$2=4,VLOOKUP($A45,'District Level ADM'!$A$5:$W$52,5,FALSE)="3-Year Avg."),AC45,IF($A$2=2,AQ45,IF($A$2=3,AC45,IF(($AG45&gt;$AU45),AC45,AQ45)))))</f>
        <v>0</v>
      </c>
      <c r="P45" s="317">
        <f>IF(AND($A$2=4,VLOOKUP($A45,'District Level ADM'!$A$5:$W$52,5,FALSE)="Prior Year"),AR45,IF(AND($A$2=4,VLOOKUP($A45,'District Level ADM'!$A$5:$W$52,5,FALSE)="3-Year Avg."),AD45,IF($A$2=2,AR45,IF($A$2=3,AD45,IF(($AG45&gt;$AU45),AD45,AR45)))))</f>
        <v>0</v>
      </c>
      <c r="Q45" s="317">
        <f>IF(AND($A$2=4,VLOOKUP($A45,'District Level ADM'!$A$5:$W$52,5,FALSE)="Prior Year"),AS45,IF(AND($A$2=4,VLOOKUP($A45,'District Level ADM'!$A$5:$W$52,5,FALSE)="3-Year Avg."),AE45,IF($A$2=2,AS45,IF($A$2=3,AE45,IF(($AG45&gt;$AU45),AE45,AS45)))))</f>
        <v>0</v>
      </c>
      <c r="R45" s="317">
        <f>IF(AND($A$2=4,VLOOKUP($A45,'District Level ADM'!$A$5:$W$52,5,FALSE)="Prior Year"),AT45,IF(AND($A$2=4,VLOOKUP($A45,'District Level ADM'!$A$5:$W$52,5,FALSE)="3-Year Avg."),AF45,IF($A$2=2,AT45,IF($A$2=3,AF45,IF(($AG45&gt;$AU45),AF45,AT45)))))</f>
        <v>0</v>
      </c>
      <c r="S45" s="317">
        <f t="shared" si="1"/>
        <v>328.12933333333336</v>
      </c>
      <c r="T45" s="317">
        <f t="shared" si="8"/>
        <v>41.573666666666668</v>
      </c>
      <c r="U45" s="317">
        <f t="shared" si="8"/>
        <v>45.749000000000002</v>
      </c>
      <c r="V45" s="317">
        <f t="shared" si="8"/>
        <v>49.76466666666667</v>
      </c>
      <c r="W45" s="317">
        <f t="shared" si="8"/>
        <v>54.466666666666661</v>
      </c>
      <c r="X45" s="317">
        <f t="shared" si="8"/>
        <v>47.024000000000001</v>
      </c>
      <c r="Y45" s="317">
        <f t="shared" si="8"/>
        <v>49.038999999999994</v>
      </c>
      <c r="Z45" s="317">
        <f t="shared" si="7"/>
        <v>40.512333333333338</v>
      </c>
      <c r="AA45" s="317">
        <f t="shared" si="7"/>
        <v>0</v>
      </c>
      <c r="AB45" s="317">
        <f t="shared" si="7"/>
        <v>0</v>
      </c>
      <c r="AC45" s="317">
        <f t="shared" si="7"/>
        <v>0</v>
      </c>
      <c r="AD45" s="317">
        <f t="shared" si="7"/>
        <v>0</v>
      </c>
      <c r="AE45" s="317">
        <f t="shared" si="7"/>
        <v>0</v>
      </c>
      <c r="AF45" s="317">
        <f t="shared" si="7"/>
        <v>0</v>
      </c>
      <c r="AG45" s="317">
        <f t="shared" si="3"/>
        <v>328.12933333333336</v>
      </c>
      <c r="AH45" s="318">
        <v>45.31</v>
      </c>
      <c r="AI45" s="318">
        <v>34.475000000000001</v>
      </c>
      <c r="AJ45" s="318">
        <v>43.34</v>
      </c>
      <c r="AK45" s="318">
        <v>55.16</v>
      </c>
      <c r="AL45" s="318">
        <v>43.34</v>
      </c>
      <c r="AM45" s="318">
        <v>51.22</v>
      </c>
      <c r="AN45" s="318">
        <v>31.52</v>
      </c>
      <c r="AO45" s="318">
        <v>0</v>
      </c>
      <c r="AP45" s="318">
        <v>0</v>
      </c>
      <c r="AQ45" s="318">
        <v>0</v>
      </c>
      <c r="AR45" s="318">
        <v>0</v>
      </c>
      <c r="AS45" s="318">
        <v>0</v>
      </c>
      <c r="AT45" s="318">
        <v>0</v>
      </c>
      <c r="AU45" s="317">
        <f t="shared" si="4"/>
        <v>304.36500000000001</v>
      </c>
      <c r="AV45" s="319">
        <v>32.811</v>
      </c>
      <c r="AW45" s="319">
        <v>46.405999999999999</v>
      </c>
      <c r="AX45" s="319">
        <v>51.64</v>
      </c>
      <c r="AY45" s="319">
        <v>53.628999999999998</v>
      </c>
      <c r="AZ45" s="319">
        <v>52.286000000000001</v>
      </c>
      <c r="BA45" s="319">
        <v>40.073999999999998</v>
      </c>
      <c r="BB45" s="319">
        <v>50.017000000000003</v>
      </c>
      <c r="BC45" s="319">
        <v>0</v>
      </c>
      <c r="BD45" s="319">
        <v>0</v>
      </c>
      <c r="BE45" s="319">
        <v>0</v>
      </c>
      <c r="BF45" s="319">
        <v>0</v>
      </c>
      <c r="BG45" s="319">
        <v>0</v>
      </c>
      <c r="BH45" s="319">
        <v>0</v>
      </c>
      <c r="BI45" s="317">
        <f t="shared" si="5"/>
        <v>326.863</v>
      </c>
      <c r="BJ45" s="316">
        <v>46.6</v>
      </c>
      <c r="BK45" s="316">
        <v>56.366</v>
      </c>
      <c r="BL45" s="316">
        <v>54.314</v>
      </c>
      <c r="BM45" s="316">
        <v>54.610999999999997</v>
      </c>
      <c r="BN45" s="316">
        <v>45.445999999999998</v>
      </c>
      <c r="BO45" s="316">
        <v>55.823</v>
      </c>
      <c r="BP45" s="316">
        <v>40</v>
      </c>
      <c r="BQ45" s="316">
        <v>0</v>
      </c>
      <c r="BR45" s="316">
        <v>0</v>
      </c>
      <c r="BS45" s="316">
        <v>0</v>
      </c>
      <c r="BT45" s="316">
        <v>0</v>
      </c>
      <c r="BU45" s="316">
        <v>0</v>
      </c>
      <c r="BV45" s="316">
        <v>0</v>
      </c>
      <c r="BW45" s="317">
        <f t="shared" si="6"/>
        <v>353.15999999999997</v>
      </c>
    </row>
    <row r="46" spans="1:75" x14ac:dyDescent="0.2">
      <c r="A46" s="20" t="str">
        <f>'School Level Inst. Resources'!A46</f>
        <v>0301000</v>
      </c>
      <c r="B46" s="20" t="str">
        <f>'School Level Inst. Resources'!B46</f>
        <v>Campbell #1</v>
      </c>
      <c r="C46" s="20" t="str">
        <f>'School Level Inst. Resources'!C46</f>
        <v>0301017</v>
      </c>
      <c r="D46" s="20" t="str">
        <f>'School Level Inst. Resources'!D46</f>
        <v>Prairie Wind Elementary</v>
      </c>
      <c r="E46" s="138" t="str">
        <f>'School Level Inst. Resources'!E46</f>
        <v>K-6</v>
      </c>
      <c r="F46" s="317">
        <f>IF(AND($A$2=4,VLOOKUP($A46,'District Level ADM'!$A$5:$W$52,5,FALSE)="Prior Year"),AH46,IF(AND($A$2=4,VLOOKUP($A46,'District Level ADM'!$A$5:$W$52,5,FALSE)="3-Year Avg."),T46,IF($A$2=2,AH46,IF($A$2=3,T46,IF(($AG46&gt;$AU46),T46,AH46)))))</f>
        <v>46.572333333333326</v>
      </c>
      <c r="G46" s="317">
        <f>IF(AND($A$2=4,VLOOKUP($A46,'District Level ADM'!$A$5:$W$52,5,FALSE)="Prior Year"),AI46,IF(AND($A$2=4,VLOOKUP($A46,'District Level ADM'!$A$5:$W$52,5,FALSE)="3-Year Avg."),U46,IF($A$2=2,AI46,IF($A$2=3,U46,IF(($AG46&gt;$AU46),U46,AI46)))))</f>
        <v>49.556999999999995</v>
      </c>
      <c r="H46" s="317">
        <f>IF(AND($A$2=4,VLOOKUP($A46,'District Level ADM'!$A$5:$W$52,5,FALSE)="Prior Year"),AJ46,IF(AND($A$2=4,VLOOKUP($A46,'District Level ADM'!$A$5:$W$52,5,FALSE)="3-Year Avg."),V46,IF($A$2=2,AJ46,IF($A$2=3,V46,IF(($AG46&gt;$AU46),V46,AJ46)))))</f>
        <v>58.942666666666668</v>
      </c>
      <c r="I46" s="317">
        <f>IF(AND($A$2=4,VLOOKUP($A46,'District Level ADM'!$A$5:$W$52,5,FALSE)="Prior Year"),AK46,IF(AND($A$2=4,VLOOKUP($A46,'District Level ADM'!$A$5:$W$52,5,FALSE)="3-Year Avg."),W46,IF($A$2=2,AK46,IF($A$2=3,W46,IF(($AG46&gt;$AU46),W46,AK46)))))</f>
        <v>58.104999999999997</v>
      </c>
      <c r="J46" s="317">
        <f>IF(AND($A$2=4,VLOOKUP($A46,'District Level ADM'!$A$5:$W$52,5,FALSE)="Prior Year"),AL46,IF(AND($A$2=4,VLOOKUP($A46,'District Level ADM'!$A$5:$W$52,5,FALSE)="3-Year Avg."),X46,IF($A$2=2,AL46,IF($A$2=3,X46,IF(($AG46&gt;$AU46),X46,AL46)))))</f>
        <v>61.827666666666666</v>
      </c>
      <c r="K46" s="317">
        <f>IF(AND($A$2=4,VLOOKUP($A46,'District Level ADM'!$A$5:$W$52,5,FALSE)="Prior Year"),AM46,IF(AND($A$2=4,VLOOKUP($A46,'District Level ADM'!$A$5:$W$52,5,FALSE)="3-Year Avg."),Y46,IF($A$2=2,AM46,IF($A$2=3,Y46,IF(($AG46&gt;$AU46),Y46,AM46)))))</f>
        <v>65.671666666666667</v>
      </c>
      <c r="L46" s="317">
        <f>IF(AND($A$2=4,VLOOKUP($A46,'District Level ADM'!$A$5:$W$52,5,FALSE)="Prior Year"),AN46,IF(AND($A$2=4,VLOOKUP($A46,'District Level ADM'!$A$5:$W$52,5,FALSE)="3-Year Avg."),Z46,IF($A$2=2,AN46,IF($A$2=3,Z46,IF(($AG46&gt;$AU46),Z46,AN46)))))</f>
        <v>63.865333333333332</v>
      </c>
      <c r="M46" s="317">
        <f>IF(AND($A$2=4,VLOOKUP($A46,'District Level ADM'!$A$5:$W$52,5,FALSE)="Prior Year"),AO46,IF(AND($A$2=4,VLOOKUP($A46,'District Level ADM'!$A$5:$W$52,5,FALSE)="3-Year Avg."),AA46,IF($A$2=2,AO46,IF($A$2=3,AA46,IF(($AG46&gt;$AU46),AA46,AO46)))))</f>
        <v>0</v>
      </c>
      <c r="N46" s="317">
        <f>IF(AND($A$2=4,VLOOKUP($A46,'District Level ADM'!$A$5:$W$52,5,FALSE)="Prior Year"),AP46,IF(AND($A$2=4,VLOOKUP($A46,'District Level ADM'!$A$5:$W$52,5,FALSE)="3-Year Avg."),AB46,IF($A$2=2,AP46,IF($A$2=3,AB46,IF(($AG46&gt;$AU46),AB46,AP46)))))</f>
        <v>0</v>
      </c>
      <c r="O46" s="317">
        <f>IF(AND($A$2=4,VLOOKUP($A46,'District Level ADM'!$A$5:$W$52,5,FALSE)="Prior Year"),AQ46,IF(AND($A$2=4,VLOOKUP($A46,'District Level ADM'!$A$5:$W$52,5,FALSE)="3-Year Avg."),AC46,IF($A$2=2,AQ46,IF($A$2=3,AC46,IF(($AG46&gt;$AU46),AC46,AQ46)))))</f>
        <v>0</v>
      </c>
      <c r="P46" s="317">
        <f>IF(AND($A$2=4,VLOOKUP($A46,'District Level ADM'!$A$5:$W$52,5,FALSE)="Prior Year"),AR46,IF(AND($A$2=4,VLOOKUP($A46,'District Level ADM'!$A$5:$W$52,5,FALSE)="3-Year Avg."),AD46,IF($A$2=2,AR46,IF($A$2=3,AD46,IF(($AG46&gt;$AU46),AD46,AR46)))))</f>
        <v>0</v>
      </c>
      <c r="Q46" s="317">
        <f>IF(AND($A$2=4,VLOOKUP($A46,'District Level ADM'!$A$5:$W$52,5,FALSE)="Prior Year"),AS46,IF(AND($A$2=4,VLOOKUP($A46,'District Level ADM'!$A$5:$W$52,5,FALSE)="3-Year Avg."),AE46,IF($A$2=2,AS46,IF($A$2=3,AE46,IF(($AG46&gt;$AU46),AE46,AS46)))))</f>
        <v>0</v>
      </c>
      <c r="R46" s="317">
        <f>IF(AND($A$2=4,VLOOKUP($A46,'District Level ADM'!$A$5:$W$52,5,FALSE)="Prior Year"),AT46,IF(AND($A$2=4,VLOOKUP($A46,'District Level ADM'!$A$5:$W$52,5,FALSE)="3-Year Avg."),AF46,IF($A$2=2,AT46,IF($A$2=3,AF46,IF(($AG46&gt;$AU46),AF46,AT46)))))</f>
        <v>0</v>
      </c>
      <c r="S46" s="317">
        <f t="shared" si="1"/>
        <v>404.54166666666669</v>
      </c>
      <c r="T46" s="317">
        <f t="shared" si="8"/>
        <v>46.572333333333326</v>
      </c>
      <c r="U46" s="317">
        <f t="shared" si="8"/>
        <v>49.556999999999995</v>
      </c>
      <c r="V46" s="317">
        <f t="shared" si="8"/>
        <v>58.942666666666668</v>
      </c>
      <c r="W46" s="317">
        <f t="shared" si="8"/>
        <v>58.104999999999997</v>
      </c>
      <c r="X46" s="317">
        <f t="shared" si="8"/>
        <v>61.827666666666666</v>
      </c>
      <c r="Y46" s="317">
        <f t="shared" si="8"/>
        <v>65.671666666666667</v>
      </c>
      <c r="Z46" s="317">
        <f t="shared" si="7"/>
        <v>63.865333333333332</v>
      </c>
      <c r="AA46" s="317">
        <f t="shared" si="7"/>
        <v>0</v>
      </c>
      <c r="AB46" s="317">
        <f t="shared" si="7"/>
        <v>0</v>
      </c>
      <c r="AC46" s="317">
        <f t="shared" si="7"/>
        <v>0</v>
      </c>
      <c r="AD46" s="317">
        <f t="shared" si="7"/>
        <v>0</v>
      </c>
      <c r="AE46" s="317">
        <f t="shared" si="7"/>
        <v>0</v>
      </c>
      <c r="AF46" s="317">
        <f t="shared" si="7"/>
        <v>0</v>
      </c>
      <c r="AG46" s="317">
        <f t="shared" si="3"/>
        <v>404.54166666666669</v>
      </c>
      <c r="AH46" s="318">
        <v>48.265000000000001</v>
      </c>
      <c r="AI46" s="318">
        <v>40.384999999999998</v>
      </c>
      <c r="AJ46" s="318">
        <v>47.28</v>
      </c>
      <c r="AK46" s="318">
        <v>52.204999999999998</v>
      </c>
      <c r="AL46" s="318">
        <v>64.025000000000006</v>
      </c>
      <c r="AM46" s="318">
        <v>65.010000000000005</v>
      </c>
      <c r="AN46" s="318">
        <v>59.1</v>
      </c>
      <c r="AO46" s="318">
        <v>0</v>
      </c>
      <c r="AP46" s="318">
        <v>0</v>
      </c>
      <c r="AQ46" s="318">
        <v>0</v>
      </c>
      <c r="AR46" s="318">
        <v>0</v>
      </c>
      <c r="AS46" s="318">
        <v>0</v>
      </c>
      <c r="AT46" s="318">
        <v>0</v>
      </c>
      <c r="AU46" s="317">
        <f t="shared" si="4"/>
        <v>376.27000000000004</v>
      </c>
      <c r="AV46" s="319">
        <v>42.96</v>
      </c>
      <c r="AW46" s="319">
        <v>48.576999999999998</v>
      </c>
      <c r="AX46" s="319">
        <v>59.063000000000002</v>
      </c>
      <c r="AY46" s="319">
        <v>63.262999999999998</v>
      </c>
      <c r="AZ46" s="319">
        <v>57.241</v>
      </c>
      <c r="BA46" s="319">
        <v>54.783000000000001</v>
      </c>
      <c r="BB46" s="319">
        <v>65.930999999999997</v>
      </c>
      <c r="BC46" s="319">
        <v>0</v>
      </c>
      <c r="BD46" s="319">
        <v>0</v>
      </c>
      <c r="BE46" s="319">
        <v>0</v>
      </c>
      <c r="BF46" s="319">
        <v>0</v>
      </c>
      <c r="BG46" s="319">
        <v>0</v>
      </c>
      <c r="BH46" s="319">
        <v>0</v>
      </c>
      <c r="BI46" s="317">
        <f t="shared" si="5"/>
        <v>391.81800000000004</v>
      </c>
      <c r="BJ46" s="316">
        <v>48.492000000000004</v>
      </c>
      <c r="BK46" s="316">
        <v>59.709000000000003</v>
      </c>
      <c r="BL46" s="316">
        <v>70.484999999999999</v>
      </c>
      <c r="BM46" s="316">
        <v>58.847000000000001</v>
      </c>
      <c r="BN46" s="316">
        <v>64.216999999999999</v>
      </c>
      <c r="BO46" s="316">
        <v>77.221999999999994</v>
      </c>
      <c r="BP46" s="316">
        <v>66.564999999999998</v>
      </c>
      <c r="BQ46" s="316">
        <v>0</v>
      </c>
      <c r="BR46" s="316">
        <v>0</v>
      </c>
      <c r="BS46" s="316">
        <v>0</v>
      </c>
      <c r="BT46" s="316">
        <v>0</v>
      </c>
      <c r="BU46" s="316">
        <v>0</v>
      </c>
      <c r="BV46" s="316">
        <v>0</v>
      </c>
      <c r="BW46" s="317">
        <f t="shared" si="6"/>
        <v>445.53699999999998</v>
      </c>
    </row>
    <row r="47" spans="1:75" x14ac:dyDescent="0.2">
      <c r="A47" s="20" t="str">
        <f>'School Level Inst. Resources'!A47</f>
        <v>0301000</v>
      </c>
      <c r="B47" s="20" t="str">
        <f>'School Level Inst. Resources'!B47</f>
        <v>Campbell #1</v>
      </c>
      <c r="C47" s="20" t="str">
        <f>'School Level Inst. Resources'!C47</f>
        <v>0301019</v>
      </c>
      <c r="D47" s="20" t="str">
        <f>'School Level Inst. Resources'!D47</f>
        <v>Wagonwheel Elementary</v>
      </c>
      <c r="E47" s="138" t="str">
        <f>'School Level Inst. Resources'!E47</f>
        <v>K-6</v>
      </c>
      <c r="F47" s="317">
        <f>IF(AND($A$2=4,VLOOKUP($A47,'District Level ADM'!$A$5:$W$52,5,FALSE)="Prior Year"),AH47,IF(AND($A$2=4,VLOOKUP($A47,'District Level ADM'!$A$5:$W$52,5,FALSE)="3-Year Avg."),T47,IF($A$2=2,AH47,IF($A$2=3,T47,IF(($AG47&gt;$AU47),T47,AH47)))))</f>
        <v>47.234666666666669</v>
      </c>
      <c r="G47" s="317">
        <f>IF(AND($A$2=4,VLOOKUP($A47,'District Level ADM'!$A$5:$W$52,5,FALSE)="Prior Year"),AI47,IF(AND($A$2=4,VLOOKUP($A47,'District Level ADM'!$A$5:$W$52,5,FALSE)="3-Year Avg."),U47,IF($A$2=2,AI47,IF($A$2=3,U47,IF(($AG47&gt;$AU47),U47,AI47)))))</f>
        <v>47.296333333333337</v>
      </c>
      <c r="H47" s="317">
        <f>IF(AND($A$2=4,VLOOKUP($A47,'District Level ADM'!$A$5:$W$52,5,FALSE)="Prior Year"),AJ47,IF(AND($A$2=4,VLOOKUP($A47,'District Level ADM'!$A$5:$W$52,5,FALSE)="3-Year Avg."),V47,IF($A$2=2,AJ47,IF($A$2=3,V47,IF(($AG47&gt;$AU47),V47,AJ47)))))</f>
        <v>48.323333333333331</v>
      </c>
      <c r="I47" s="317">
        <f>IF(AND($A$2=4,VLOOKUP($A47,'District Level ADM'!$A$5:$W$52,5,FALSE)="Prior Year"),AK47,IF(AND($A$2=4,VLOOKUP($A47,'District Level ADM'!$A$5:$W$52,5,FALSE)="3-Year Avg."),W47,IF($A$2=2,AK47,IF($A$2=3,W47,IF(($AG47&gt;$AU47),W47,AK47)))))</f>
        <v>51.43866666666667</v>
      </c>
      <c r="J47" s="317">
        <f>IF(AND($A$2=4,VLOOKUP($A47,'District Level ADM'!$A$5:$W$52,5,FALSE)="Prior Year"),AL47,IF(AND($A$2=4,VLOOKUP($A47,'District Level ADM'!$A$5:$W$52,5,FALSE)="3-Year Avg."),X47,IF($A$2=2,AL47,IF($A$2=3,X47,IF(($AG47&gt;$AU47),X47,AL47)))))</f>
        <v>47.609666666666669</v>
      </c>
      <c r="K47" s="317">
        <f>IF(AND($A$2=4,VLOOKUP($A47,'District Level ADM'!$A$5:$W$52,5,FALSE)="Prior Year"),AM47,IF(AND($A$2=4,VLOOKUP($A47,'District Level ADM'!$A$5:$W$52,5,FALSE)="3-Year Avg."),Y47,IF($A$2=2,AM47,IF($A$2=3,Y47,IF(($AG47&gt;$AU47),Y47,AM47)))))</f>
        <v>48.221333333333327</v>
      </c>
      <c r="L47" s="317">
        <f>IF(AND($A$2=4,VLOOKUP($A47,'District Level ADM'!$A$5:$W$52,5,FALSE)="Prior Year"),AN47,IF(AND($A$2=4,VLOOKUP($A47,'District Level ADM'!$A$5:$W$52,5,FALSE)="3-Year Avg."),Z47,IF($A$2=2,AN47,IF($A$2=3,Z47,IF(($AG47&gt;$AU47),Z47,AN47)))))</f>
        <v>48.985666666666667</v>
      </c>
      <c r="M47" s="317">
        <f>IF(AND($A$2=4,VLOOKUP($A47,'District Level ADM'!$A$5:$W$52,5,FALSE)="Prior Year"),AO47,IF(AND($A$2=4,VLOOKUP($A47,'District Level ADM'!$A$5:$W$52,5,FALSE)="3-Year Avg."),AA47,IF($A$2=2,AO47,IF($A$2=3,AA47,IF(($AG47&gt;$AU47),AA47,AO47)))))</f>
        <v>0</v>
      </c>
      <c r="N47" s="317">
        <f>IF(AND($A$2=4,VLOOKUP($A47,'District Level ADM'!$A$5:$W$52,5,FALSE)="Prior Year"),AP47,IF(AND($A$2=4,VLOOKUP($A47,'District Level ADM'!$A$5:$W$52,5,FALSE)="3-Year Avg."),AB47,IF($A$2=2,AP47,IF($A$2=3,AB47,IF(($AG47&gt;$AU47),AB47,AP47)))))</f>
        <v>0</v>
      </c>
      <c r="O47" s="317">
        <f>IF(AND($A$2=4,VLOOKUP($A47,'District Level ADM'!$A$5:$W$52,5,FALSE)="Prior Year"),AQ47,IF(AND($A$2=4,VLOOKUP($A47,'District Level ADM'!$A$5:$W$52,5,FALSE)="3-Year Avg."),AC47,IF($A$2=2,AQ47,IF($A$2=3,AC47,IF(($AG47&gt;$AU47),AC47,AQ47)))))</f>
        <v>0</v>
      </c>
      <c r="P47" s="317">
        <f>IF(AND($A$2=4,VLOOKUP($A47,'District Level ADM'!$A$5:$W$52,5,FALSE)="Prior Year"),AR47,IF(AND($A$2=4,VLOOKUP($A47,'District Level ADM'!$A$5:$W$52,5,FALSE)="3-Year Avg."),AD47,IF($A$2=2,AR47,IF($A$2=3,AD47,IF(($AG47&gt;$AU47),AD47,AR47)))))</f>
        <v>0</v>
      </c>
      <c r="Q47" s="317">
        <f>IF(AND($A$2=4,VLOOKUP($A47,'District Level ADM'!$A$5:$W$52,5,FALSE)="Prior Year"),AS47,IF(AND($A$2=4,VLOOKUP($A47,'District Level ADM'!$A$5:$W$52,5,FALSE)="3-Year Avg."),AE47,IF($A$2=2,AS47,IF($A$2=3,AE47,IF(($AG47&gt;$AU47),AE47,AS47)))))</f>
        <v>0</v>
      </c>
      <c r="R47" s="317">
        <f>IF(AND($A$2=4,VLOOKUP($A47,'District Level ADM'!$A$5:$W$52,5,FALSE)="Prior Year"),AT47,IF(AND($A$2=4,VLOOKUP($A47,'District Level ADM'!$A$5:$W$52,5,FALSE)="3-Year Avg."),AF47,IF($A$2=2,AT47,IF($A$2=3,AF47,IF(($AG47&gt;$AU47),AF47,AT47)))))</f>
        <v>0</v>
      </c>
      <c r="S47" s="317">
        <f t="shared" si="1"/>
        <v>339.10966666666667</v>
      </c>
      <c r="T47" s="317">
        <f t="shared" si="8"/>
        <v>47.234666666666669</v>
      </c>
      <c r="U47" s="317">
        <f t="shared" si="8"/>
        <v>47.296333333333337</v>
      </c>
      <c r="V47" s="317">
        <f t="shared" si="8"/>
        <v>48.323333333333331</v>
      </c>
      <c r="W47" s="317">
        <f t="shared" si="8"/>
        <v>51.43866666666667</v>
      </c>
      <c r="X47" s="317">
        <f t="shared" si="8"/>
        <v>47.609666666666669</v>
      </c>
      <c r="Y47" s="317">
        <f t="shared" si="8"/>
        <v>48.221333333333327</v>
      </c>
      <c r="Z47" s="317">
        <f t="shared" si="7"/>
        <v>48.985666666666667</v>
      </c>
      <c r="AA47" s="317">
        <f t="shared" si="7"/>
        <v>0</v>
      </c>
      <c r="AB47" s="317">
        <f t="shared" si="7"/>
        <v>0</v>
      </c>
      <c r="AC47" s="317">
        <f t="shared" si="7"/>
        <v>0</v>
      </c>
      <c r="AD47" s="317">
        <f t="shared" si="7"/>
        <v>0</v>
      </c>
      <c r="AE47" s="317">
        <f t="shared" si="7"/>
        <v>0</v>
      </c>
      <c r="AF47" s="317">
        <f t="shared" si="7"/>
        <v>0</v>
      </c>
      <c r="AG47" s="317">
        <f t="shared" si="3"/>
        <v>339.10966666666667</v>
      </c>
      <c r="AH47" s="318">
        <v>45.31</v>
      </c>
      <c r="AI47" s="318">
        <v>40.384999999999998</v>
      </c>
      <c r="AJ47" s="318">
        <v>38.414999999999999</v>
      </c>
      <c r="AK47" s="318">
        <v>48.265000000000001</v>
      </c>
      <c r="AL47" s="318">
        <v>50.234999999999999</v>
      </c>
      <c r="AM47" s="318">
        <v>45.31</v>
      </c>
      <c r="AN47" s="318">
        <v>40.384999999999998</v>
      </c>
      <c r="AO47" s="318">
        <v>0</v>
      </c>
      <c r="AP47" s="318">
        <v>0</v>
      </c>
      <c r="AQ47" s="318">
        <v>0</v>
      </c>
      <c r="AR47" s="318">
        <v>0</v>
      </c>
      <c r="AS47" s="318">
        <v>0</v>
      </c>
      <c r="AT47" s="318">
        <v>0</v>
      </c>
      <c r="AU47" s="317">
        <f t="shared" si="4"/>
        <v>308.30500000000001</v>
      </c>
      <c r="AV47" s="319">
        <v>40.570999999999998</v>
      </c>
      <c r="AW47" s="319">
        <v>44.668999999999997</v>
      </c>
      <c r="AX47" s="319">
        <v>48.389000000000003</v>
      </c>
      <c r="AY47" s="319">
        <v>53.68</v>
      </c>
      <c r="AZ47" s="319">
        <v>47.811</v>
      </c>
      <c r="BA47" s="319">
        <v>37.914000000000001</v>
      </c>
      <c r="BB47" s="319">
        <v>56.343000000000004</v>
      </c>
      <c r="BC47" s="319">
        <v>0</v>
      </c>
      <c r="BD47" s="319">
        <v>0</v>
      </c>
      <c r="BE47" s="319">
        <v>0</v>
      </c>
      <c r="BF47" s="319">
        <v>0</v>
      </c>
      <c r="BG47" s="319">
        <v>0</v>
      </c>
      <c r="BH47" s="319">
        <v>0</v>
      </c>
      <c r="BI47" s="317">
        <f t="shared" si="5"/>
        <v>329.37700000000001</v>
      </c>
      <c r="BJ47" s="316">
        <v>55.823</v>
      </c>
      <c r="BK47" s="316">
        <v>56.835000000000001</v>
      </c>
      <c r="BL47" s="316">
        <v>58.166000000000004</v>
      </c>
      <c r="BM47" s="316">
        <v>52.371000000000002</v>
      </c>
      <c r="BN47" s="316">
        <v>44.783000000000001</v>
      </c>
      <c r="BO47" s="316">
        <v>61.44</v>
      </c>
      <c r="BP47" s="316">
        <v>50.228999999999999</v>
      </c>
      <c r="BQ47" s="316">
        <v>0</v>
      </c>
      <c r="BR47" s="316">
        <v>0</v>
      </c>
      <c r="BS47" s="316">
        <v>0</v>
      </c>
      <c r="BT47" s="316">
        <v>0</v>
      </c>
      <c r="BU47" s="316">
        <v>0</v>
      </c>
      <c r="BV47" s="316">
        <v>0</v>
      </c>
      <c r="BW47" s="317">
        <f t="shared" si="6"/>
        <v>379.64699999999999</v>
      </c>
    </row>
    <row r="48" spans="1:75" x14ac:dyDescent="0.2">
      <c r="A48" s="20" t="str">
        <f>'School Level Inst. Resources'!A48</f>
        <v>0301000</v>
      </c>
      <c r="B48" s="20" t="str">
        <f>'School Level Inst. Resources'!B48</f>
        <v>Campbell #1</v>
      </c>
      <c r="C48" s="20" t="str">
        <f>'School Level Inst. Resources'!C48</f>
        <v>0301021</v>
      </c>
      <c r="D48" s="20" t="str">
        <f>'School Level Inst. Resources'!D48</f>
        <v>Paintbrush Elementary</v>
      </c>
      <c r="E48" s="138" t="str">
        <f>'School Level Inst. Resources'!E48</f>
        <v>K-6</v>
      </c>
      <c r="F48" s="317">
        <f>IF(AND($A$2=4,VLOOKUP($A48,'District Level ADM'!$A$5:$W$52,5,FALSE)="Prior Year"),AH48,IF(AND($A$2=4,VLOOKUP($A48,'District Level ADM'!$A$5:$W$52,5,FALSE)="3-Year Avg."),T48,IF($A$2=2,AH48,IF($A$2=3,T48,IF(($AG48&gt;$AU48),T48,AH48)))))</f>
        <v>48.418000000000006</v>
      </c>
      <c r="G48" s="317">
        <f>IF(AND($A$2=4,VLOOKUP($A48,'District Level ADM'!$A$5:$W$52,5,FALSE)="Prior Year"),AI48,IF(AND($A$2=4,VLOOKUP($A48,'District Level ADM'!$A$5:$W$52,5,FALSE)="3-Year Avg."),U48,IF($A$2=2,AI48,IF($A$2=3,U48,IF(($AG48&gt;$AU48),U48,AI48)))))</f>
        <v>49.923000000000002</v>
      </c>
      <c r="H48" s="317">
        <f>IF(AND($A$2=4,VLOOKUP($A48,'District Level ADM'!$A$5:$W$52,5,FALSE)="Prior Year"),AJ48,IF(AND($A$2=4,VLOOKUP($A48,'District Level ADM'!$A$5:$W$52,5,FALSE)="3-Year Avg."),V48,IF($A$2=2,AJ48,IF($A$2=3,V48,IF(($AG48&gt;$AU48),V48,AJ48)))))</f>
        <v>55.853000000000002</v>
      </c>
      <c r="I48" s="317">
        <f>IF(AND($A$2=4,VLOOKUP($A48,'District Level ADM'!$A$5:$W$52,5,FALSE)="Prior Year"),AK48,IF(AND($A$2=4,VLOOKUP($A48,'District Level ADM'!$A$5:$W$52,5,FALSE)="3-Year Avg."),W48,IF($A$2=2,AK48,IF($A$2=3,W48,IF(($AG48&gt;$AU48),W48,AK48)))))</f>
        <v>57.587333333333333</v>
      </c>
      <c r="J48" s="317">
        <f>IF(AND($A$2=4,VLOOKUP($A48,'District Level ADM'!$A$5:$W$52,5,FALSE)="Prior Year"),AL48,IF(AND($A$2=4,VLOOKUP($A48,'District Level ADM'!$A$5:$W$52,5,FALSE)="3-Year Avg."),X48,IF($A$2=2,AL48,IF($A$2=3,X48,IF(($AG48&gt;$AU48),X48,AL48)))))</f>
        <v>53.901666666666664</v>
      </c>
      <c r="K48" s="317">
        <f>IF(AND($A$2=4,VLOOKUP($A48,'District Level ADM'!$A$5:$W$52,5,FALSE)="Prior Year"),AM48,IF(AND($A$2=4,VLOOKUP($A48,'District Level ADM'!$A$5:$W$52,5,FALSE)="3-Year Avg."),Y48,IF($A$2=2,AM48,IF($A$2=3,Y48,IF(($AG48&gt;$AU48),Y48,AM48)))))</f>
        <v>57.044000000000004</v>
      </c>
      <c r="L48" s="317">
        <f>IF(AND($A$2=4,VLOOKUP($A48,'District Level ADM'!$A$5:$W$52,5,FALSE)="Prior Year"),AN48,IF(AND($A$2=4,VLOOKUP($A48,'District Level ADM'!$A$5:$W$52,5,FALSE)="3-Year Avg."),Z48,IF($A$2=2,AN48,IF($A$2=3,Z48,IF(($AG48&gt;$AU48),Z48,AN48)))))</f>
        <v>60.425666666666672</v>
      </c>
      <c r="M48" s="317">
        <f>IF(AND($A$2=4,VLOOKUP($A48,'District Level ADM'!$A$5:$W$52,5,FALSE)="Prior Year"),AO48,IF(AND($A$2=4,VLOOKUP($A48,'District Level ADM'!$A$5:$W$52,5,FALSE)="3-Year Avg."),AA48,IF($A$2=2,AO48,IF($A$2=3,AA48,IF(($AG48&gt;$AU48),AA48,AO48)))))</f>
        <v>0</v>
      </c>
      <c r="N48" s="317">
        <f>IF(AND($A$2=4,VLOOKUP($A48,'District Level ADM'!$A$5:$W$52,5,FALSE)="Prior Year"),AP48,IF(AND($A$2=4,VLOOKUP($A48,'District Level ADM'!$A$5:$W$52,5,FALSE)="3-Year Avg."),AB48,IF($A$2=2,AP48,IF($A$2=3,AB48,IF(($AG48&gt;$AU48),AB48,AP48)))))</f>
        <v>0</v>
      </c>
      <c r="O48" s="317">
        <f>IF(AND($A$2=4,VLOOKUP($A48,'District Level ADM'!$A$5:$W$52,5,FALSE)="Prior Year"),AQ48,IF(AND($A$2=4,VLOOKUP($A48,'District Level ADM'!$A$5:$W$52,5,FALSE)="3-Year Avg."),AC48,IF($A$2=2,AQ48,IF($A$2=3,AC48,IF(($AG48&gt;$AU48),AC48,AQ48)))))</f>
        <v>0</v>
      </c>
      <c r="P48" s="317">
        <f>IF(AND($A$2=4,VLOOKUP($A48,'District Level ADM'!$A$5:$W$52,5,FALSE)="Prior Year"),AR48,IF(AND($A$2=4,VLOOKUP($A48,'District Level ADM'!$A$5:$W$52,5,FALSE)="3-Year Avg."),AD48,IF($A$2=2,AR48,IF($A$2=3,AD48,IF(($AG48&gt;$AU48),AD48,AR48)))))</f>
        <v>0</v>
      </c>
      <c r="Q48" s="317">
        <f>IF(AND($A$2=4,VLOOKUP($A48,'District Level ADM'!$A$5:$W$52,5,FALSE)="Prior Year"),AS48,IF(AND($A$2=4,VLOOKUP($A48,'District Level ADM'!$A$5:$W$52,5,FALSE)="3-Year Avg."),AE48,IF($A$2=2,AS48,IF($A$2=3,AE48,IF(($AG48&gt;$AU48),AE48,AS48)))))</f>
        <v>0</v>
      </c>
      <c r="R48" s="317">
        <f>IF(AND($A$2=4,VLOOKUP($A48,'District Level ADM'!$A$5:$W$52,5,FALSE)="Prior Year"),AT48,IF(AND($A$2=4,VLOOKUP($A48,'District Level ADM'!$A$5:$W$52,5,FALSE)="3-Year Avg."),AF48,IF($A$2=2,AT48,IF($A$2=3,AF48,IF(($AG48&gt;$AU48),AF48,AT48)))))</f>
        <v>0</v>
      </c>
      <c r="S48" s="317">
        <f t="shared" si="1"/>
        <v>383.15266666666662</v>
      </c>
      <c r="T48" s="317">
        <f t="shared" si="8"/>
        <v>48.418000000000006</v>
      </c>
      <c r="U48" s="317">
        <f t="shared" si="8"/>
        <v>49.923000000000002</v>
      </c>
      <c r="V48" s="317">
        <f t="shared" si="8"/>
        <v>55.853000000000002</v>
      </c>
      <c r="W48" s="317">
        <f t="shared" si="8"/>
        <v>57.587333333333333</v>
      </c>
      <c r="X48" s="317">
        <f t="shared" si="8"/>
        <v>53.901666666666664</v>
      </c>
      <c r="Y48" s="317">
        <f t="shared" si="8"/>
        <v>57.044000000000004</v>
      </c>
      <c r="Z48" s="317">
        <f t="shared" si="7"/>
        <v>60.425666666666672</v>
      </c>
      <c r="AA48" s="317">
        <f t="shared" si="7"/>
        <v>0</v>
      </c>
      <c r="AB48" s="317">
        <f t="shared" si="7"/>
        <v>0</v>
      </c>
      <c r="AC48" s="317">
        <f t="shared" si="7"/>
        <v>0</v>
      </c>
      <c r="AD48" s="317">
        <f t="shared" si="7"/>
        <v>0</v>
      </c>
      <c r="AE48" s="317">
        <f t="shared" si="7"/>
        <v>0</v>
      </c>
      <c r="AF48" s="317">
        <f t="shared" si="7"/>
        <v>0</v>
      </c>
      <c r="AG48" s="317">
        <f t="shared" si="3"/>
        <v>383.15266666666662</v>
      </c>
      <c r="AH48" s="318">
        <v>35.46</v>
      </c>
      <c r="AI48" s="318">
        <v>35.46</v>
      </c>
      <c r="AJ48" s="318">
        <v>57.13</v>
      </c>
      <c r="AK48" s="318">
        <v>53.19</v>
      </c>
      <c r="AL48" s="318">
        <v>55.16</v>
      </c>
      <c r="AM48" s="318">
        <v>58.115000000000002</v>
      </c>
      <c r="AN48" s="318">
        <v>51.22</v>
      </c>
      <c r="AO48" s="318">
        <v>0</v>
      </c>
      <c r="AP48" s="318">
        <v>0</v>
      </c>
      <c r="AQ48" s="318">
        <v>0</v>
      </c>
      <c r="AR48" s="318">
        <v>0</v>
      </c>
      <c r="AS48" s="318">
        <v>0</v>
      </c>
      <c r="AT48" s="318">
        <v>0</v>
      </c>
      <c r="AU48" s="317">
        <f t="shared" si="4"/>
        <v>345.73500000000001</v>
      </c>
      <c r="AV48" s="319">
        <v>37.834000000000003</v>
      </c>
      <c r="AW48" s="319">
        <v>55.103000000000002</v>
      </c>
      <c r="AX48" s="319">
        <v>55.073999999999998</v>
      </c>
      <c r="AY48" s="319">
        <v>56.103000000000002</v>
      </c>
      <c r="AZ48" s="319">
        <v>55.654000000000003</v>
      </c>
      <c r="BA48" s="319">
        <v>49.662999999999997</v>
      </c>
      <c r="BB48" s="319">
        <v>69.674000000000007</v>
      </c>
      <c r="BC48" s="319">
        <v>0</v>
      </c>
      <c r="BD48" s="319">
        <v>0</v>
      </c>
      <c r="BE48" s="319">
        <v>0</v>
      </c>
      <c r="BF48" s="319">
        <v>0</v>
      </c>
      <c r="BG48" s="319">
        <v>0</v>
      </c>
      <c r="BH48" s="319">
        <v>0</v>
      </c>
      <c r="BI48" s="317">
        <f t="shared" si="5"/>
        <v>379.10500000000002</v>
      </c>
      <c r="BJ48" s="316">
        <v>71.960000000000008</v>
      </c>
      <c r="BK48" s="316">
        <v>59.206000000000003</v>
      </c>
      <c r="BL48" s="316">
        <v>55.354999999999997</v>
      </c>
      <c r="BM48" s="316">
        <v>63.468999999999994</v>
      </c>
      <c r="BN48" s="316">
        <v>50.890999999999998</v>
      </c>
      <c r="BO48" s="316">
        <v>63.353999999999999</v>
      </c>
      <c r="BP48" s="316">
        <v>60.383000000000003</v>
      </c>
      <c r="BQ48" s="316">
        <v>0</v>
      </c>
      <c r="BR48" s="316">
        <v>0</v>
      </c>
      <c r="BS48" s="316">
        <v>0</v>
      </c>
      <c r="BT48" s="316">
        <v>0</v>
      </c>
      <c r="BU48" s="316">
        <v>0</v>
      </c>
      <c r="BV48" s="316">
        <v>0</v>
      </c>
      <c r="BW48" s="317">
        <f t="shared" si="6"/>
        <v>424.61799999999994</v>
      </c>
    </row>
    <row r="49" spans="1:75" x14ac:dyDescent="0.2">
      <c r="A49" s="20" t="str">
        <f>'School Level Inst. Resources'!A49</f>
        <v>0301000</v>
      </c>
      <c r="B49" s="20" t="str">
        <f>'School Level Inst. Resources'!B49</f>
        <v>Campbell #1</v>
      </c>
      <c r="C49" s="20" t="str">
        <f>'School Level Inst. Resources'!C49</f>
        <v>0301022</v>
      </c>
      <c r="D49" s="20" t="str">
        <f>'School Level Inst. Resources'!D49</f>
        <v>Conestoga Elementary</v>
      </c>
      <c r="E49" s="138" t="str">
        <f>'School Level Inst. Resources'!E49</f>
        <v>K-6</v>
      </c>
      <c r="F49" s="317">
        <f>IF(AND($A$2=4,VLOOKUP($A49,'District Level ADM'!$A$5:$W$52,5,FALSE)="Prior Year"),AH49,IF(AND($A$2=4,VLOOKUP($A49,'District Level ADM'!$A$5:$W$52,5,FALSE)="3-Year Avg."),T49,IF($A$2=2,AH49,IF($A$2=3,T49,IF(($AG49&gt;$AU49),T49,AH49)))))</f>
        <v>50.249333333333333</v>
      </c>
      <c r="G49" s="317">
        <f>IF(AND($A$2=4,VLOOKUP($A49,'District Level ADM'!$A$5:$W$52,5,FALSE)="Prior Year"),AI49,IF(AND($A$2=4,VLOOKUP($A49,'District Level ADM'!$A$5:$W$52,5,FALSE)="3-Year Avg."),U49,IF($A$2=2,AI49,IF($A$2=3,U49,IF(($AG49&gt;$AU49),U49,AI49)))))</f>
        <v>53.43033333333333</v>
      </c>
      <c r="H49" s="317">
        <f>IF(AND($A$2=4,VLOOKUP($A49,'District Level ADM'!$A$5:$W$52,5,FALSE)="Prior Year"),AJ49,IF(AND($A$2=4,VLOOKUP($A49,'District Level ADM'!$A$5:$W$52,5,FALSE)="3-Year Avg."),V49,IF($A$2=2,AJ49,IF($A$2=3,V49,IF(($AG49&gt;$AU49),V49,AJ49)))))</f>
        <v>61.135666666666658</v>
      </c>
      <c r="I49" s="317">
        <f>IF(AND($A$2=4,VLOOKUP($A49,'District Level ADM'!$A$5:$W$52,5,FALSE)="Prior Year"),AK49,IF(AND($A$2=4,VLOOKUP($A49,'District Level ADM'!$A$5:$W$52,5,FALSE)="3-Year Avg."),W49,IF($A$2=2,AK49,IF($A$2=3,W49,IF(($AG49&gt;$AU49),W49,AK49)))))</f>
        <v>57.913666666666664</v>
      </c>
      <c r="J49" s="317">
        <f>IF(AND($A$2=4,VLOOKUP($A49,'District Level ADM'!$A$5:$W$52,5,FALSE)="Prior Year"),AL49,IF(AND($A$2=4,VLOOKUP($A49,'District Level ADM'!$A$5:$W$52,5,FALSE)="3-Year Avg."),X49,IF($A$2=2,AL49,IF($A$2=3,X49,IF(($AG49&gt;$AU49),X49,AL49)))))</f>
        <v>61.006333333333338</v>
      </c>
      <c r="K49" s="317">
        <f>IF(AND($A$2=4,VLOOKUP($A49,'District Level ADM'!$A$5:$W$52,5,FALSE)="Prior Year"),AM49,IF(AND($A$2=4,VLOOKUP($A49,'District Level ADM'!$A$5:$W$52,5,FALSE)="3-Year Avg."),Y49,IF($A$2=2,AM49,IF($A$2=3,Y49,IF(($AG49&gt;$AU49),Y49,AM49)))))</f>
        <v>60.263666666666666</v>
      </c>
      <c r="L49" s="317">
        <f>IF(AND($A$2=4,VLOOKUP($A49,'District Level ADM'!$A$5:$W$52,5,FALSE)="Prior Year"),AN49,IF(AND($A$2=4,VLOOKUP($A49,'District Level ADM'!$A$5:$W$52,5,FALSE)="3-Year Avg."),Z49,IF($A$2=2,AN49,IF($A$2=3,Z49,IF(($AG49&gt;$AU49),Z49,AN49)))))</f>
        <v>56.81633333333334</v>
      </c>
      <c r="M49" s="317">
        <f>IF(AND($A$2=4,VLOOKUP($A49,'District Level ADM'!$A$5:$W$52,5,FALSE)="Prior Year"),AO49,IF(AND($A$2=4,VLOOKUP($A49,'District Level ADM'!$A$5:$W$52,5,FALSE)="3-Year Avg."),AA49,IF($A$2=2,AO49,IF($A$2=3,AA49,IF(($AG49&gt;$AU49),AA49,AO49)))))</f>
        <v>0</v>
      </c>
      <c r="N49" s="317">
        <f>IF(AND($A$2=4,VLOOKUP($A49,'District Level ADM'!$A$5:$W$52,5,FALSE)="Prior Year"),AP49,IF(AND($A$2=4,VLOOKUP($A49,'District Level ADM'!$A$5:$W$52,5,FALSE)="3-Year Avg."),AB49,IF($A$2=2,AP49,IF($A$2=3,AB49,IF(($AG49&gt;$AU49),AB49,AP49)))))</f>
        <v>0</v>
      </c>
      <c r="O49" s="317">
        <f>IF(AND($A$2=4,VLOOKUP($A49,'District Level ADM'!$A$5:$W$52,5,FALSE)="Prior Year"),AQ49,IF(AND($A$2=4,VLOOKUP($A49,'District Level ADM'!$A$5:$W$52,5,FALSE)="3-Year Avg."),AC49,IF($A$2=2,AQ49,IF($A$2=3,AC49,IF(($AG49&gt;$AU49),AC49,AQ49)))))</f>
        <v>0</v>
      </c>
      <c r="P49" s="317">
        <f>IF(AND($A$2=4,VLOOKUP($A49,'District Level ADM'!$A$5:$W$52,5,FALSE)="Prior Year"),AR49,IF(AND($A$2=4,VLOOKUP($A49,'District Level ADM'!$A$5:$W$52,5,FALSE)="3-Year Avg."),AD49,IF($A$2=2,AR49,IF($A$2=3,AD49,IF(($AG49&gt;$AU49),AD49,AR49)))))</f>
        <v>0</v>
      </c>
      <c r="Q49" s="317">
        <f>IF(AND($A$2=4,VLOOKUP($A49,'District Level ADM'!$A$5:$W$52,5,FALSE)="Prior Year"),AS49,IF(AND($A$2=4,VLOOKUP($A49,'District Level ADM'!$A$5:$W$52,5,FALSE)="3-Year Avg."),AE49,IF($A$2=2,AS49,IF($A$2=3,AE49,IF(($AG49&gt;$AU49),AE49,AS49)))))</f>
        <v>0</v>
      </c>
      <c r="R49" s="317">
        <f>IF(AND($A$2=4,VLOOKUP($A49,'District Level ADM'!$A$5:$W$52,5,FALSE)="Prior Year"),AT49,IF(AND($A$2=4,VLOOKUP($A49,'District Level ADM'!$A$5:$W$52,5,FALSE)="3-Year Avg."),AF49,IF($A$2=2,AT49,IF($A$2=3,AF49,IF(($AG49&gt;$AU49),AF49,AT49)))))</f>
        <v>0</v>
      </c>
      <c r="S49" s="317">
        <f t="shared" si="1"/>
        <v>400.81533333333329</v>
      </c>
      <c r="T49" s="317">
        <f t="shared" si="8"/>
        <v>50.249333333333333</v>
      </c>
      <c r="U49" s="317">
        <f t="shared" si="8"/>
        <v>53.43033333333333</v>
      </c>
      <c r="V49" s="317">
        <f t="shared" si="8"/>
        <v>61.135666666666658</v>
      </c>
      <c r="W49" s="317">
        <f t="shared" si="8"/>
        <v>57.913666666666664</v>
      </c>
      <c r="X49" s="317">
        <f t="shared" si="8"/>
        <v>61.006333333333338</v>
      </c>
      <c r="Y49" s="317">
        <f t="shared" si="8"/>
        <v>60.263666666666666</v>
      </c>
      <c r="Z49" s="317">
        <f t="shared" si="7"/>
        <v>56.81633333333334</v>
      </c>
      <c r="AA49" s="317">
        <f t="shared" si="7"/>
        <v>0</v>
      </c>
      <c r="AB49" s="317">
        <f t="shared" si="7"/>
        <v>0</v>
      </c>
      <c r="AC49" s="317">
        <f t="shared" si="7"/>
        <v>0</v>
      </c>
      <c r="AD49" s="317">
        <f t="shared" si="7"/>
        <v>0</v>
      </c>
      <c r="AE49" s="317">
        <f t="shared" si="7"/>
        <v>0</v>
      </c>
      <c r="AF49" s="317">
        <f t="shared" si="7"/>
        <v>0</v>
      </c>
      <c r="AG49" s="317">
        <f t="shared" si="3"/>
        <v>400.81533333333329</v>
      </c>
      <c r="AH49" s="318">
        <v>43.34</v>
      </c>
      <c r="AI49" s="318">
        <v>45.31</v>
      </c>
      <c r="AJ49" s="318">
        <v>61.07</v>
      </c>
      <c r="AK49" s="318">
        <v>46.295000000000002</v>
      </c>
      <c r="AL49" s="318">
        <v>64.025000000000006</v>
      </c>
      <c r="AM49" s="318">
        <v>59.1</v>
      </c>
      <c r="AN49" s="318">
        <v>66.98</v>
      </c>
      <c r="AO49" s="318">
        <v>0</v>
      </c>
      <c r="AP49" s="318">
        <v>0</v>
      </c>
      <c r="AQ49" s="318">
        <v>0</v>
      </c>
      <c r="AR49" s="318">
        <v>0</v>
      </c>
      <c r="AS49" s="318">
        <v>0</v>
      </c>
      <c r="AT49" s="318">
        <v>0</v>
      </c>
      <c r="AU49" s="317">
        <f t="shared" si="4"/>
        <v>386.12</v>
      </c>
      <c r="AV49" s="319">
        <v>50.631</v>
      </c>
      <c r="AW49" s="319">
        <v>57.511000000000003</v>
      </c>
      <c r="AX49" s="319">
        <v>52.12</v>
      </c>
      <c r="AY49" s="319">
        <v>68.239999999999995</v>
      </c>
      <c r="AZ49" s="319">
        <v>60.411000000000001</v>
      </c>
      <c r="BA49" s="319">
        <v>65.697000000000003</v>
      </c>
      <c r="BB49" s="319">
        <v>53.023000000000003</v>
      </c>
      <c r="BC49" s="319">
        <v>0</v>
      </c>
      <c r="BD49" s="319">
        <v>0</v>
      </c>
      <c r="BE49" s="319">
        <v>0</v>
      </c>
      <c r="BF49" s="319">
        <v>0</v>
      </c>
      <c r="BG49" s="319">
        <v>0</v>
      </c>
      <c r="BH49" s="319">
        <v>0</v>
      </c>
      <c r="BI49" s="317">
        <f t="shared" si="5"/>
        <v>407.63300000000004</v>
      </c>
      <c r="BJ49" s="316">
        <v>56.777000000000001</v>
      </c>
      <c r="BK49" s="316">
        <v>57.47</v>
      </c>
      <c r="BL49" s="316">
        <v>70.216999999999999</v>
      </c>
      <c r="BM49" s="316">
        <v>59.206000000000003</v>
      </c>
      <c r="BN49" s="316">
        <v>58.582999999999998</v>
      </c>
      <c r="BO49" s="316">
        <v>55.994</v>
      </c>
      <c r="BP49" s="316">
        <v>50.445999999999998</v>
      </c>
      <c r="BQ49" s="316">
        <v>0</v>
      </c>
      <c r="BR49" s="316">
        <v>0</v>
      </c>
      <c r="BS49" s="316">
        <v>0</v>
      </c>
      <c r="BT49" s="316">
        <v>0</v>
      </c>
      <c r="BU49" s="316">
        <v>0</v>
      </c>
      <c r="BV49" s="316">
        <v>0</v>
      </c>
      <c r="BW49" s="317">
        <f t="shared" si="6"/>
        <v>408.6930000000001</v>
      </c>
    </row>
    <row r="50" spans="1:75" x14ac:dyDescent="0.2">
      <c r="A50" s="20" t="str">
        <f>'School Level Inst. Resources'!A50</f>
        <v>0301000</v>
      </c>
      <c r="B50" s="20" t="str">
        <f>'School Level Inst. Resources'!B50</f>
        <v>Campbell #1</v>
      </c>
      <c r="C50" s="20" t="str">
        <f>'School Level Inst. Resources'!C50</f>
        <v>0301023</v>
      </c>
      <c r="D50" s="20" t="str">
        <f>'School Level Inst. Resources'!D50</f>
        <v>Sunflower Elementary</v>
      </c>
      <c r="E50" s="138" t="str">
        <f>'School Level Inst. Resources'!E50</f>
        <v>K-6</v>
      </c>
      <c r="F50" s="317">
        <f>IF(AND($A$2=4,VLOOKUP($A50,'District Level ADM'!$A$5:$W$52,5,FALSE)="Prior Year"),AH50,IF(AND($A$2=4,VLOOKUP($A50,'District Level ADM'!$A$5:$W$52,5,FALSE)="3-Year Avg."),T50,IF($A$2=2,AH50,IF($A$2=3,T50,IF(($AG50&gt;$AU50),T50,AH50)))))</f>
        <v>74.637</v>
      </c>
      <c r="G50" s="317">
        <f>IF(AND($A$2=4,VLOOKUP($A50,'District Level ADM'!$A$5:$W$52,5,FALSE)="Prior Year"),AI50,IF(AND($A$2=4,VLOOKUP($A50,'District Level ADM'!$A$5:$W$52,5,FALSE)="3-Year Avg."),U50,IF($A$2=2,AI50,IF($A$2=3,U50,IF(($AG50&gt;$AU50),U50,AI50)))))</f>
        <v>60.926666666666669</v>
      </c>
      <c r="H50" s="317">
        <f>IF(AND($A$2=4,VLOOKUP($A50,'District Level ADM'!$A$5:$W$52,5,FALSE)="Prior Year"),AJ50,IF(AND($A$2=4,VLOOKUP($A50,'District Level ADM'!$A$5:$W$52,5,FALSE)="3-Year Avg."),V50,IF($A$2=2,AJ50,IF($A$2=3,V50,IF(($AG50&gt;$AU50),V50,AJ50)))))</f>
        <v>59.565333333333335</v>
      </c>
      <c r="I50" s="317">
        <f>IF(AND($A$2=4,VLOOKUP($A50,'District Level ADM'!$A$5:$W$52,5,FALSE)="Prior Year"),AK50,IF(AND($A$2=4,VLOOKUP($A50,'District Level ADM'!$A$5:$W$52,5,FALSE)="3-Year Avg."),W50,IF($A$2=2,AK50,IF($A$2=3,W50,IF(($AG50&gt;$AU50),W50,AK50)))))</f>
        <v>55.341333333333331</v>
      </c>
      <c r="J50" s="317">
        <f>IF(AND($A$2=4,VLOOKUP($A50,'District Level ADM'!$A$5:$W$52,5,FALSE)="Prior Year"),AL50,IF(AND($A$2=4,VLOOKUP($A50,'District Level ADM'!$A$5:$W$52,5,FALSE)="3-Year Avg."),X50,IF($A$2=2,AL50,IF($A$2=3,X50,IF(($AG50&gt;$AU50),X50,AL50)))))</f>
        <v>47.742333333333335</v>
      </c>
      <c r="K50" s="317">
        <f>IF(AND($A$2=4,VLOOKUP($A50,'District Level ADM'!$A$5:$W$52,5,FALSE)="Prior Year"),AM50,IF(AND($A$2=4,VLOOKUP($A50,'District Level ADM'!$A$5:$W$52,5,FALSE)="3-Year Avg."),Y50,IF($A$2=2,AM50,IF($A$2=3,Y50,IF(($AG50&gt;$AU50),Y50,AM50)))))</f>
        <v>45.783666666666669</v>
      </c>
      <c r="L50" s="317">
        <f>IF(AND($A$2=4,VLOOKUP($A50,'District Level ADM'!$A$5:$W$52,5,FALSE)="Prior Year"),AN50,IF(AND($A$2=4,VLOOKUP($A50,'District Level ADM'!$A$5:$W$52,5,FALSE)="3-Year Avg."),Z50,IF($A$2=2,AN50,IF($A$2=3,Z50,IF(($AG50&gt;$AU50),Z50,AN50)))))</f>
        <v>44.556333333333328</v>
      </c>
      <c r="M50" s="317">
        <f>IF(AND($A$2=4,VLOOKUP($A50,'District Level ADM'!$A$5:$W$52,5,FALSE)="Prior Year"),AO50,IF(AND($A$2=4,VLOOKUP($A50,'District Level ADM'!$A$5:$W$52,5,FALSE)="3-Year Avg."),AA50,IF($A$2=2,AO50,IF($A$2=3,AA50,IF(($AG50&gt;$AU50),AA50,AO50)))))</f>
        <v>0</v>
      </c>
      <c r="N50" s="317">
        <f>IF(AND($A$2=4,VLOOKUP($A50,'District Level ADM'!$A$5:$W$52,5,FALSE)="Prior Year"),AP50,IF(AND($A$2=4,VLOOKUP($A50,'District Level ADM'!$A$5:$W$52,5,FALSE)="3-Year Avg."),AB50,IF($A$2=2,AP50,IF($A$2=3,AB50,IF(($AG50&gt;$AU50),AB50,AP50)))))</f>
        <v>0</v>
      </c>
      <c r="O50" s="317">
        <f>IF(AND($A$2=4,VLOOKUP($A50,'District Level ADM'!$A$5:$W$52,5,FALSE)="Prior Year"),AQ50,IF(AND($A$2=4,VLOOKUP($A50,'District Level ADM'!$A$5:$W$52,5,FALSE)="3-Year Avg."),AC50,IF($A$2=2,AQ50,IF($A$2=3,AC50,IF(($AG50&gt;$AU50),AC50,AQ50)))))</f>
        <v>0</v>
      </c>
      <c r="P50" s="317">
        <f>IF(AND($A$2=4,VLOOKUP($A50,'District Level ADM'!$A$5:$W$52,5,FALSE)="Prior Year"),AR50,IF(AND($A$2=4,VLOOKUP($A50,'District Level ADM'!$A$5:$W$52,5,FALSE)="3-Year Avg."),AD50,IF($A$2=2,AR50,IF($A$2=3,AD50,IF(($AG50&gt;$AU50),AD50,AR50)))))</f>
        <v>0</v>
      </c>
      <c r="Q50" s="317">
        <f>IF(AND($A$2=4,VLOOKUP($A50,'District Level ADM'!$A$5:$W$52,5,FALSE)="Prior Year"),AS50,IF(AND($A$2=4,VLOOKUP($A50,'District Level ADM'!$A$5:$W$52,5,FALSE)="3-Year Avg."),AE50,IF($A$2=2,AS50,IF($A$2=3,AE50,IF(($AG50&gt;$AU50),AE50,AS50)))))</f>
        <v>0</v>
      </c>
      <c r="R50" s="317">
        <f>IF(AND($A$2=4,VLOOKUP($A50,'District Level ADM'!$A$5:$W$52,5,FALSE)="Prior Year"),AT50,IF(AND($A$2=4,VLOOKUP($A50,'District Level ADM'!$A$5:$W$52,5,FALSE)="3-Year Avg."),AF50,IF($A$2=2,AT50,IF($A$2=3,AF50,IF(($AG50&gt;$AU50),AF50,AT50)))))</f>
        <v>0</v>
      </c>
      <c r="S50" s="317">
        <f t="shared" si="1"/>
        <v>388.55266666666665</v>
      </c>
      <c r="T50" s="317">
        <f t="shared" si="8"/>
        <v>74.637</v>
      </c>
      <c r="U50" s="317">
        <f t="shared" si="8"/>
        <v>60.926666666666669</v>
      </c>
      <c r="V50" s="317">
        <f t="shared" si="8"/>
        <v>59.565333333333335</v>
      </c>
      <c r="W50" s="317">
        <f t="shared" si="8"/>
        <v>55.341333333333331</v>
      </c>
      <c r="X50" s="317">
        <f t="shared" si="8"/>
        <v>47.742333333333335</v>
      </c>
      <c r="Y50" s="317">
        <f t="shared" si="8"/>
        <v>45.783666666666669</v>
      </c>
      <c r="Z50" s="317">
        <f t="shared" si="7"/>
        <v>44.556333333333328</v>
      </c>
      <c r="AA50" s="317">
        <f t="shared" si="7"/>
        <v>0</v>
      </c>
      <c r="AB50" s="317">
        <f t="shared" si="7"/>
        <v>0</v>
      </c>
      <c r="AC50" s="317">
        <f t="shared" si="7"/>
        <v>0</v>
      </c>
      <c r="AD50" s="317">
        <f t="shared" si="7"/>
        <v>0</v>
      </c>
      <c r="AE50" s="317">
        <f t="shared" si="7"/>
        <v>0</v>
      </c>
      <c r="AF50" s="317">
        <f t="shared" si="7"/>
        <v>0</v>
      </c>
      <c r="AG50" s="317">
        <f t="shared" si="3"/>
        <v>388.55266666666665</v>
      </c>
      <c r="AH50" s="318">
        <v>71.905000000000001</v>
      </c>
      <c r="AI50" s="318">
        <v>51.22</v>
      </c>
      <c r="AJ50" s="318">
        <v>57.13</v>
      </c>
      <c r="AK50" s="318">
        <v>58.115000000000002</v>
      </c>
      <c r="AL50" s="318">
        <v>41.37</v>
      </c>
      <c r="AM50" s="318">
        <v>46.295000000000002</v>
      </c>
      <c r="AN50" s="318">
        <v>39.4</v>
      </c>
      <c r="AO50" s="318">
        <v>0</v>
      </c>
      <c r="AP50" s="318">
        <v>0</v>
      </c>
      <c r="AQ50" s="318">
        <v>0</v>
      </c>
      <c r="AR50" s="318">
        <v>0</v>
      </c>
      <c r="AS50" s="318">
        <v>0</v>
      </c>
      <c r="AT50" s="318">
        <v>0</v>
      </c>
      <c r="AU50" s="317">
        <f t="shared" si="4"/>
        <v>365.435</v>
      </c>
      <c r="AV50" s="319">
        <v>69.445999999999998</v>
      </c>
      <c r="AW50" s="319">
        <v>63.109000000000002</v>
      </c>
      <c r="AX50" s="319">
        <v>59.783000000000001</v>
      </c>
      <c r="AY50" s="319">
        <v>49.536999999999999</v>
      </c>
      <c r="AZ50" s="319">
        <v>50.32</v>
      </c>
      <c r="BA50" s="319">
        <v>44.4</v>
      </c>
      <c r="BB50" s="319">
        <v>51.698</v>
      </c>
      <c r="BC50" s="319">
        <v>0</v>
      </c>
      <c r="BD50" s="319">
        <v>0</v>
      </c>
      <c r="BE50" s="319">
        <v>0</v>
      </c>
      <c r="BF50" s="319">
        <v>0</v>
      </c>
      <c r="BG50" s="319">
        <v>0</v>
      </c>
      <c r="BH50" s="319">
        <v>0</v>
      </c>
      <c r="BI50" s="317">
        <f t="shared" si="5"/>
        <v>388.29300000000001</v>
      </c>
      <c r="BJ50" s="316">
        <v>82.559999999999988</v>
      </c>
      <c r="BK50" s="316">
        <v>68.450999999999993</v>
      </c>
      <c r="BL50" s="316">
        <v>61.782999999999994</v>
      </c>
      <c r="BM50" s="316">
        <v>58.372</v>
      </c>
      <c r="BN50" s="316">
        <v>51.536999999999999</v>
      </c>
      <c r="BO50" s="316">
        <v>46.655999999999999</v>
      </c>
      <c r="BP50" s="316">
        <v>42.570999999999998</v>
      </c>
      <c r="BQ50" s="316">
        <v>0</v>
      </c>
      <c r="BR50" s="316">
        <v>0</v>
      </c>
      <c r="BS50" s="316">
        <v>0</v>
      </c>
      <c r="BT50" s="316">
        <v>0</v>
      </c>
      <c r="BU50" s="316">
        <v>0</v>
      </c>
      <c r="BV50" s="316">
        <v>0</v>
      </c>
      <c r="BW50" s="317">
        <f t="shared" si="6"/>
        <v>411.92999999999995</v>
      </c>
    </row>
    <row r="51" spans="1:75" x14ac:dyDescent="0.2">
      <c r="A51" s="20" t="str">
        <f>'School Level Inst. Resources'!A51</f>
        <v>0301000</v>
      </c>
      <c r="B51" s="20" t="str">
        <f>'School Level Inst. Resources'!B51</f>
        <v>Campbell #1</v>
      </c>
      <c r="C51" s="20" t="str">
        <f>'School Level Inst. Resources'!C51</f>
        <v>0301024</v>
      </c>
      <c r="D51" s="20" t="str">
        <f>'School Level Inst. Resources'!D51</f>
        <v>Pronghorn Elementary</v>
      </c>
      <c r="E51" s="138" t="str">
        <f>'School Level Inst. Resources'!E51</f>
        <v>K-6</v>
      </c>
      <c r="F51" s="317">
        <f>IF(AND($A$2=4,VLOOKUP($A51,'District Level ADM'!$A$5:$W$52,5,FALSE)="Prior Year"),AH51,IF(AND($A$2=4,VLOOKUP($A51,'District Level ADM'!$A$5:$W$52,5,FALSE)="3-Year Avg."),T51,IF($A$2=2,AH51,IF($A$2=3,T51,IF(($AG51&gt;$AU51),T51,AH51)))))</f>
        <v>66.480333333333348</v>
      </c>
      <c r="G51" s="317">
        <f>IF(AND($A$2=4,VLOOKUP($A51,'District Level ADM'!$A$5:$W$52,5,FALSE)="Prior Year"),AI51,IF(AND($A$2=4,VLOOKUP($A51,'District Level ADM'!$A$5:$W$52,5,FALSE)="3-Year Avg."),U51,IF($A$2=2,AI51,IF($A$2=3,U51,IF(($AG51&gt;$AU51),U51,AI51)))))</f>
        <v>54.37166666666667</v>
      </c>
      <c r="H51" s="317">
        <f>IF(AND($A$2=4,VLOOKUP($A51,'District Level ADM'!$A$5:$W$52,5,FALSE)="Prior Year"),AJ51,IF(AND($A$2=4,VLOOKUP($A51,'District Level ADM'!$A$5:$W$52,5,FALSE)="3-Year Avg."),V51,IF($A$2=2,AJ51,IF($A$2=3,V51,IF(($AG51&gt;$AU51),V51,AJ51)))))</f>
        <v>63.086333333333336</v>
      </c>
      <c r="I51" s="317">
        <f>IF(AND($A$2=4,VLOOKUP($A51,'District Level ADM'!$A$5:$W$52,5,FALSE)="Prior Year"),AK51,IF(AND($A$2=4,VLOOKUP($A51,'District Level ADM'!$A$5:$W$52,5,FALSE)="3-Year Avg."),W51,IF($A$2=2,AK51,IF($A$2=3,W51,IF(($AG51&gt;$AU51),W51,AK51)))))</f>
        <v>64.284666666666666</v>
      </c>
      <c r="J51" s="317">
        <f>IF(AND($A$2=4,VLOOKUP($A51,'District Level ADM'!$A$5:$W$52,5,FALSE)="Prior Year"),AL51,IF(AND($A$2=4,VLOOKUP($A51,'District Level ADM'!$A$5:$W$52,5,FALSE)="3-Year Avg."),X51,IF($A$2=2,AL51,IF($A$2=3,X51,IF(($AG51&gt;$AU51),X51,AL51)))))</f>
        <v>64.662666666666667</v>
      </c>
      <c r="K51" s="317">
        <f>IF(AND($A$2=4,VLOOKUP($A51,'District Level ADM'!$A$5:$W$52,5,FALSE)="Prior Year"),AM51,IF(AND($A$2=4,VLOOKUP($A51,'District Level ADM'!$A$5:$W$52,5,FALSE)="3-Year Avg."),Y51,IF($A$2=2,AM51,IF($A$2=3,Y51,IF(($AG51&gt;$AU51),Y51,AM51)))))</f>
        <v>65.762</v>
      </c>
      <c r="L51" s="317">
        <f>IF(AND($A$2=4,VLOOKUP($A51,'District Level ADM'!$A$5:$W$52,5,FALSE)="Prior Year"),AN51,IF(AND($A$2=4,VLOOKUP($A51,'District Level ADM'!$A$5:$W$52,5,FALSE)="3-Year Avg."),Z51,IF($A$2=2,AN51,IF($A$2=3,Z51,IF(($AG51&gt;$AU51),Z51,AN51)))))</f>
        <v>57.332999999999998</v>
      </c>
      <c r="M51" s="317">
        <f>IF(AND($A$2=4,VLOOKUP($A51,'District Level ADM'!$A$5:$W$52,5,FALSE)="Prior Year"),AO51,IF(AND($A$2=4,VLOOKUP($A51,'District Level ADM'!$A$5:$W$52,5,FALSE)="3-Year Avg."),AA51,IF($A$2=2,AO51,IF($A$2=3,AA51,IF(($AG51&gt;$AU51),AA51,AO51)))))</f>
        <v>0</v>
      </c>
      <c r="N51" s="317">
        <f>IF(AND($A$2=4,VLOOKUP($A51,'District Level ADM'!$A$5:$W$52,5,FALSE)="Prior Year"),AP51,IF(AND($A$2=4,VLOOKUP($A51,'District Level ADM'!$A$5:$W$52,5,FALSE)="3-Year Avg."),AB51,IF($A$2=2,AP51,IF($A$2=3,AB51,IF(($AG51&gt;$AU51),AB51,AP51)))))</f>
        <v>0</v>
      </c>
      <c r="O51" s="317">
        <f>IF(AND($A$2=4,VLOOKUP($A51,'District Level ADM'!$A$5:$W$52,5,FALSE)="Prior Year"),AQ51,IF(AND($A$2=4,VLOOKUP($A51,'District Level ADM'!$A$5:$W$52,5,FALSE)="3-Year Avg."),AC51,IF($A$2=2,AQ51,IF($A$2=3,AC51,IF(($AG51&gt;$AU51),AC51,AQ51)))))</f>
        <v>0</v>
      </c>
      <c r="P51" s="317">
        <f>IF(AND($A$2=4,VLOOKUP($A51,'District Level ADM'!$A$5:$W$52,5,FALSE)="Prior Year"),AR51,IF(AND($A$2=4,VLOOKUP($A51,'District Level ADM'!$A$5:$W$52,5,FALSE)="3-Year Avg."),AD51,IF($A$2=2,AR51,IF($A$2=3,AD51,IF(($AG51&gt;$AU51),AD51,AR51)))))</f>
        <v>0</v>
      </c>
      <c r="Q51" s="317">
        <f>IF(AND($A$2=4,VLOOKUP($A51,'District Level ADM'!$A$5:$W$52,5,FALSE)="Prior Year"),AS51,IF(AND($A$2=4,VLOOKUP($A51,'District Level ADM'!$A$5:$W$52,5,FALSE)="3-Year Avg."),AE51,IF($A$2=2,AS51,IF($A$2=3,AE51,IF(($AG51&gt;$AU51),AE51,AS51)))))</f>
        <v>0</v>
      </c>
      <c r="R51" s="317">
        <f>IF(AND($A$2=4,VLOOKUP($A51,'District Level ADM'!$A$5:$W$52,5,FALSE)="Prior Year"),AT51,IF(AND($A$2=4,VLOOKUP($A51,'District Level ADM'!$A$5:$W$52,5,FALSE)="3-Year Avg."),AF51,IF($A$2=2,AT51,IF($A$2=3,AF51,IF(($AG51&gt;$AU51),AF51,AT51)))))</f>
        <v>0</v>
      </c>
      <c r="S51" s="317">
        <f t="shared" si="1"/>
        <v>435.98066666666671</v>
      </c>
      <c r="T51" s="317">
        <f t="shared" si="8"/>
        <v>66.480333333333348</v>
      </c>
      <c r="U51" s="317">
        <f t="shared" si="8"/>
        <v>54.37166666666667</v>
      </c>
      <c r="V51" s="317">
        <f t="shared" si="8"/>
        <v>63.086333333333336</v>
      </c>
      <c r="W51" s="317">
        <f t="shared" si="8"/>
        <v>64.284666666666666</v>
      </c>
      <c r="X51" s="317">
        <f t="shared" si="8"/>
        <v>64.662666666666667</v>
      </c>
      <c r="Y51" s="317">
        <f t="shared" si="8"/>
        <v>65.762</v>
      </c>
      <c r="Z51" s="317">
        <f t="shared" si="7"/>
        <v>57.332999999999998</v>
      </c>
      <c r="AA51" s="317">
        <f t="shared" si="7"/>
        <v>0</v>
      </c>
      <c r="AB51" s="317">
        <f t="shared" si="7"/>
        <v>0</v>
      </c>
      <c r="AC51" s="317">
        <f t="shared" si="7"/>
        <v>0</v>
      </c>
      <c r="AD51" s="317">
        <f t="shared" si="7"/>
        <v>0</v>
      </c>
      <c r="AE51" s="317">
        <f t="shared" si="7"/>
        <v>0</v>
      </c>
      <c r="AF51" s="317">
        <f t="shared" si="7"/>
        <v>0</v>
      </c>
      <c r="AG51" s="317">
        <f t="shared" si="3"/>
        <v>435.98066666666671</v>
      </c>
      <c r="AH51" s="318">
        <v>68.95</v>
      </c>
      <c r="AI51" s="318">
        <v>50.234999999999999</v>
      </c>
      <c r="AJ51" s="318">
        <v>57.13</v>
      </c>
      <c r="AK51" s="318">
        <v>65.995000000000005</v>
      </c>
      <c r="AL51" s="318">
        <v>61.07</v>
      </c>
      <c r="AM51" s="318">
        <v>73.875</v>
      </c>
      <c r="AN51" s="318">
        <v>58.115000000000002</v>
      </c>
      <c r="AO51" s="318">
        <v>0</v>
      </c>
      <c r="AP51" s="318">
        <v>0</v>
      </c>
      <c r="AQ51" s="318">
        <v>0</v>
      </c>
      <c r="AR51" s="318">
        <v>0</v>
      </c>
      <c r="AS51" s="318">
        <v>0</v>
      </c>
      <c r="AT51" s="318">
        <v>0</v>
      </c>
      <c r="AU51" s="317">
        <f t="shared" si="4"/>
        <v>435.37</v>
      </c>
      <c r="AV51" s="319">
        <v>64.16</v>
      </c>
      <c r="AW51" s="319">
        <v>50.029000000000003</v>
      </c>
      <c r="AX51" s="319">
        <v>65.930999999999997</v>
      </c>
      <c r="AY51" s="319">
        <v>60.475999999999999</v>
      </c>
      <c r="AZ51" s="319">
        <v>70.39</v>
      </c>
      <c r="BA51" s="319">
        <v>61.393999999999998</v>
      </c>
      <c r="BB51" s="319">
        <v>52.438000000000002</v>
      </c>
      <c r="BC51" s="319">
        <v>0</v>
      </c>
      <c r="BD51" s="319">
        <v>0</v>
      </c>
      <c r="BE51" s="319">
        <v>0</v>
      </c>
      <c r="BF51" s="319">
        <v>0</v>
      </c>
      <c r="BG51" s="319">
        <v>0</v>
      </c>
      <c r="BH51" s="319">
        <v>0</v>
      </c>
      <c r="BI51" s="317">
        <f t="shared" si="5"/>
        <v>424.81799999999998</v>
      </c>
      <c r="BJ51" s="316">
        <v>66.331000000000003</v>
      </c>
      <c r="BK51" s="316">
        <v>62.850999999999999</v>
      </c>
      <c r="BL51" s="316">
        <v>66.197999999999993</v>
      </c>
      <c r="BM51" s="316">
        <v>66.382999999999996</v>
      </c>
      <c r="BN51" s="316">
        <v>62.527999999999999</v>
      </c>
      <c r="BO51" s="316">
        <v>62.017000000000003</v>
      </c>
      <c r="BP51" s="316">
        <v>61.445999999999998</v>
      </c>
      <c r="BQ51" s="316">
        <v>0</v>
      </c>
      <c r="BR51" s="316">
        <v>0</v>
      </c>
      <c r="BS51" s="316">
        <v>0</v>
      </c>
      <c r="BT51" s="316">
        <v>0</v>
      </c>
      <c r="BU51" s="316">
        <v>0</v>
      </c>
      <c r="BV51" s="316">
        <v>0</v>
      </c>
      <c r="BW51" s="317">
        <f t="shared" si="6"/>
        <v>447.75400000000002</v>
      </c>
    </row>
    <row r="52" spans="1:75" x14ac:dyDescent="0.2">
      <c r="A52" s="20" t="str">
        <f>'School Level Inst. Resources'!A52</f>
        <v>0301000</v>
      </c>
      <c r="B52" s="20" t="str">
        <f>'School Level Inst. Resources'!B52</f>
        <v>Campbell #1</v>
      </c>
      <c r="C52" s="20" t="str">
        <f>'School Level Inst. Resources'!C52</f>
        <v>0301025</v>
      </c>
      <c r="D52" s="20" t="str">
        <f>'School Level Inst. Resources'!D52</f>
        <v>Buffalo Ridge Elementary</v>
      </c>
      <c r="E52" s="138" t="str">
        <f>'School Level Inst. Resources'!E52</f>
        <v>K-6</v>
      </c>
      <c r="F52" s="317">
        <f>IF(AND($A$2=4,VLOOKUP($A52,'District Level ADM'!$A$5:$W$52,5,FALSE)="Prior Year"),AH52,IF(AND($A$2=4,VLOOKUP($A52,'District Level ADM'!$A$5:$W$52,5,FALSE)="3-Year Avg."),T52,IF($A$2=2,AH52,IF($A$2=3,T52,IF(($AG52&gt;$AU52),T52,AH52)))))</f>
        <v>57.040999999999997</v>
      </c>
      <c r="G52" s="317">
        <f>IF(AND($A$2=4,VLOOKUP($A52,'District Level ADM'!$A$5:$W$52,5,FALSE)="Prior Year"),AI52,IF(AND($A$2=4,VLOOKUP($A52,'District Level ADM'!$A$5:$W$52,5,FALSE)="3-Year Avg."),U52,IF($A$2=2,AI52,IF($A$2=3,U52,IF(($AG52&gt;$AU52),U52,AI52)))))</f>
        <v>61.507000000000005</v>
      </c>
      <c r="H52" s="317">
        <f>IF(AND($A$2=4,VLOOKUP($A52,'District Level ADM'!$A$5:$W$52,5,FALSE)="Prior Year"),AJ52,IF(AND($A$2=4,VLOOKUP($A52,'District Level ADM'!$A$5:$W$52,5,FALSE)="3-Year Avg."),V52,IF($A$2=2,AJ52,IF($A$2=3,V52,IF(($AG52&gt;$AU52),V52,AJ52)))))</f>
        <v>65.124333333333325</v>
      </c>
      <c r="I52" s="317">
        <f>IF(AND($A$2=4,VLOOKUP($A52,'District Level ADM'!$A$5:$W$52,5,FALSE)="Prior Year"),AK52,IF(AND($A$2=4,VLOOKUP($A52,'District Level ADM'!$A$5:$W$52,5,FALSE)="3-Year Avg."),W52,IF($A$2=2,AK52,IF($A$2=3,W52,IF(($AG52&gt;$AU52),W52,AK52)))))</f>
        <v>70.563333333333333</v>
      </c>
      <c r="J52" s="317">
        <f>IF(AND($A$2=4,VLOOKUP($A52,'District Level ADM'!$A$5:$W$52,5,FALSE)="Prior Year"),AL52,IF(AND($A$2=4,VLOOKUP($A52,'District Level ADM'!$A$5:$W$52,5,FALSE)="3-Year Avg."),X52,IF($A$2=2,AL52,IF($A$2=3,X52,IF(($AG52&gt;$AU52),X52,AL52)))))</f>
        <v>63.995333333333328</v>
      </c>
      <c r="K52" s="317">
        <f>IF(AND($A$2=4,VLOOKUP($A52,'District Level ADM'!$A$5:$W$52,5,FALSE)="Prior Year"),AM52,IF(AND($A$2=4,VLOOKUP($A52,'District Level ADM'!$A$5:$W$52,5,FALSE)="3-Year Avg."),Y52,IF($A$2=2,AM52,IF($A$2=3,Y52,IF(($AG52&gt;$AU52),Y52,AM52)))))</f>
        <v>62.556666666666672</v>
      </c>
      <c r="L52" s="317">
        <f>IF(AND($A$2=4,VLOOKUP($A52,'District Level ADM'!$A$5:$W$52,5,FALSE)="Prior Year"),AN52,IF(AND($A$2=4,VLOOKUP($A52,'District Level ADM'!$A$5:$W$52,5,FALSE)="3-Year Avg."),Z52,IF($A$2=2,AN52,IF($A$2=3,Z52,IF(($AG52&gt;$AU52),Z52,AN52)))))</f>
        <v>60.164333333333332</v>
      </c>
      <c r="M52" s="317">
        <f>IF(AND($A$2=4,VLOOKUP($A52,'District Level ADM'!$A$5:$W$52,5,FALSE)="Prior Year"),AO52,IF(AND($A$2=4,VLOOKUP($A52,'District Level ADM'!$A$5:$W$52,5,FALSE)="3-Year Avg."),AA52,IF($A$2=2,AO52,IF($A$2=3,AA52,IF(($AG52&gt;$AU52),AA52,AO52)))))</f>
        <v>0</v>
      </c>
      <c r="N52" s="317">
        <f>IF(AND($A$2=4,VLOOKUP($A52,'District Level ADM'!$A$5:$W$52,5,FALSE)="Prior Year"),AP52,IF(AND($A$2=4,VLOOKUP($A52,'District Level ADM'!$A$5:$W$52,5,FALSE)="3-Year Avg."),AB52,IF($A$2=2,AP52,IF($A$2=3,AB52,IF(($AG52&gt;$AU52),AB52,AP52)))))</f>
        <v>0</v>
      </c>
      <c r="O52" s="317">
        <f>IF(AND($A$2=4,VLOOKUP($A52,'District Level ADM'!$A$5:$W$52,5,FALSE)="Prior Year"),AQ52,IF(AND($A$2=4,VLOOKUP($A52,'District Level ADM'!$A$5:$W$52,5,FALSE)="3-Year Avg."),AC52,IF($A$2=2,AQ52,IF($A$2=3,AC52,IF(($AG52&gt;$AU52),AC52,AQ52)))))</f>
        <v>0</v>
      </c>
      <c r="P52" s="317">
        <f>IF(AND($A$2=4,VLOOKUP($A52,'District Level ADM'!$A$5:$W$52,5,FALSE)="Prior Year"),AR52,IF(AND($A$2=4,VLOOKUP($A52,'District Level ADM'!$A$5:$W$52,5,FALSE)="3-Year Avg."),AD52,IF($A$2=2,AR52,IF($A$2=3,AD52,IF(($AG52&gt;$AU52),AD52,AR52)))))</f>
        <v>0</v>
      </c>
      <c r="Q52" s="317">
        <f>IF(AND($A$2=4,VLOOKUP($A52,'District Level ADM'!$A$5:$W$52,5,FALSE)="Prior Year"),AS52,IF(AND($A$2=4,VLOOKUP($A52,'District Level ADM'!$A$5:$W$52,5,FALSE)="3-Year Avg."),AE52,IF($A$2=2,AS52,IF($A$2=3,AE52,IF(($AG52&gt;$AU52),AE52,AS52)))))</f>
        <v>0</v>
      </c>
      <c r="R52" s="317">
        <f>IF(AND($A$2=4,VLOOKUP($A52,'District Level ADM'!$A$5:$W$52,5,FALSE)="Prior Year"),AT52,IF(AND($A$2=4,VLOOKUP($A52,'District Level ADM'!$A$5:$W$52,5,FALSE)="3-Year Avg."),AF52,IF($A$2=2,AT52,IF($A$2=3,AF52,IF(($AG52&gt;$AU52),AF52,AT52)))))</f>
        <v>0</v>
      </c>
      <c r="S52" s="317">
        <f t="shared" si="1"/>
        <v>440.952</v>
      </c>
      <c r="T52" s="317">
        <f t="shared" si="8"/>
        <v>57.040999999999997</v>
      </c>
      <c r="U52" s="317">
        <f t="shared" si="8"/>
        <v>61.507000000000005</v>
      </c>
      <c r="V52" s="317">
        <f t="shared" si="8"/>
        <v>65.124333333333325</v>
      </c>
      <c r="W52" s="317">
        <f t="shared" si="8"/>
        <v>70.563333333333333</v>
      </c>
      <c r="X52" s="317">
        <f t="shared" si="8"/>
        <v>63.995333333333328</v>
      </c>
      <c r="Y52" s="317">
        <f t="shared" si="8"/>
        <v>62.556666666666672</v>
      </c>
      <c r="Z52" s="317">
        <f t="shared" si="7"/>
        <v>60.164333333333332</v>
      </c>
      <c r="AA52" s="317">
        <f t="shared" si="7"/>
        <v>0</v>
      </c>
      <c r="AB52" s="317">
        <f t="shared" si="7"/>
        <v>0</v>
      </c>
      <c r="AC52" s="317">
        <f t="shared" si="7"/>
        <v>0</v>
      </c>
      <c r="AD52" s="317">
        <f t="shared" si="7"/>
        <v>0</v>
      </c>
      <c r="AE52" s="317">
        <f t="shared" si="7"/>
        <v>0</v>
      </c>
      <c r="AF52" s="317">
        <f t="shared" si="7"/>
        <v>0</v>
      </c>
      <c r="AG52" s="317">
        <f t="shared" si="3"/>
        <v>440.952</v>
      </c>
      <c r="AH52" s="318">
        <v>56.145000000000003</v>
      </c>
      <c r="AI52" s="318">
        <v>61.07</v>
      </c>
      <c r="AJ52" s="318">
        <v>53.19</v>
      </c>
      <c r="AK52" s="318">
        <v>69.935000000000002</v>
      </c>
      <c r="AL52" s="318">
        <v>62.055</v>
      </c>
      <c r="AM52" s="318">
        <v>66.98</v>
      </c>
      <c r="AN52" s="318">
        <v>61.07</v>
      </c>
      <c r="AO52" s="318">
        <v>0</v>
      </c>
      <c r="AP52" s="318">
        <v>0</v>
      </c>
      <c r="AQ52" s="318">
        <v>0</v>
      </c>
      <c r="AR52" s="318">
        <v>0</v>
      </c>
      <c r="AS52" s="318">
        <v>0</v>
      </c>
      <c r="AT52" s="318">
        <v>0</v>
      </c>
      <c r="AU52" s="317">
        <f t="shared" si="4"/>
        <v>430.44499999999999</v>
      </c>
      <c r="AV52" s="319">
        <v>59.948999999999998</v>
      </c>
      <c r="AW52" s="319">
        <v>57.017000000000003</v>
      </c>
      <c r="AX52" s="319">
        <v>65.805999999999997</v>
      </c>
      <c r="AY52" s="319">
        <v>65.686000000000007</v>
      </c>
      <c r="AZ52" s="319">
        <v>69</v>
      </c>
      <c r="BA52" s="319">
        <v>57.122999999999998</v>
      </c>
      <c r="BB52" s="319">
        <v>55.216999999999999</v>
      </c>
      <c r="BC52" s="319">
        <v>0</v>
      </c>
      <c r="BD52" s="319">
        <v>0</v>
      </c>
      <c r="BE52" s="319">
        <v>0</v>
      </c>
      <c r="BF52" s="319">
        <v>0</v>
      </c>
      <c r="BG52" s="319">
        <v>0</v>
      </c>
      <c r="BH52" s="319">
        <v>0</v>
      </c>
      <c r="BI52" s="317">
        <f t="shared" si="5"/>
        <v>429.79799999999994</v>
      </c>
      <c r="BJ52" s="316">
        <v>55.029000000000003</v>
      </c>
      <c r="BK52" s="316">
        <v>66.433999999999997</v>
      </c>
      <c r="BL52" s="316">
        <v>76.376999999999995</v>
      </c>
      <c r="BM52" s="316">
        <v>76.069000000000003</v>
      </c>
      <c r="BN52" s="316">
        <v>60.930999999999997</v>
      </c>
      <c r="BO52" s="316">
        <v>63.567</v>
      </c>
      <c r="BP52" s="316">
        <v>64.206000000000003</v>
      </c>
      <c r="BQ52" s="316">
        <v>0</v>
      </c>
      <c r="BR52" s="316">
        <v>0</v>
      </c>
      <c r="BS52" s="316">
        <v>0</v>
      </c>
      <c r="BT52" s="316">
        <v>0</v>
      </c>
      <c r="BU52" s="316">
        <v>0</v>
      </c>
      <c r="BV52" s="316">
        <v>0</v>
      </c>
      <c r="BW52" s="317">
        <f t="shared" si="6"/>
        <v>462.613</v>
      </c>
    </row>
    <row r="53" spans="1:75" x14ac:dyDescent="0.2">
      <c r="A53" s="20" t="str">
        <f>'School Level Inst. Resources'!A53</f>
        <v>0301000</v>
      </c>
      <c r="B53" s="20" t="str">
        <f>'School Level Inst. Resources'!B53</f>
        <v>Campbell #1</v>
      </c>
      <c r="C53" s="20" t="str">
        <f>'School Level Inst. Resources'!C53</f>
        <v>0301026</v>
      </c>
      <c r="D53" s="20" t="str">
        <f>'School Level Inst. Resources'!D53</f>
        <v>Stocktrail Elementary</v>
      </c>
      <c r="E53" s="138" t="str">
        <f>'School Level Inst. Resources'!E53</f>
        <v>P-6</v>
      </c>
      <c r="F53" s="317">
        <f>IF(AND($A$2=4,VLOOKUP($A53,'District Level ADM'!$A$5:$W$52,5,FALSE)="Prior Year"),AH53,IF(AND($A$2=4,VLOOKUP($A53,'District Level ADM'!$A$5:$W$52,5,FALSE)="3-Year Avg."),T53,IF($A$2=2,AH53,IF($A$2=3,T53,IF(($AG53&gt;$AU53),T53,AH53)))))</f>
        <v>52.875333333333337</v>
      </c>
      <c r="G53" s="317">
        <f>IF(AND($A$2=4,VLOOKUP($A53,'District Level ADM'!$A$5:$W$52,5,FALSE)="Prior Year"),AI53,IF(AND($A$2=4,VLOOKUP($A53,'District Level ADM'!$A$5:$W$52,5,FALSE)="3-Year Avg."),U53,IF($A$2=2,AI53,IF($A$2=3,U53,IF(($AG53&gt;$AU53),U53,AI53)))))</f>
        <v>43.718333333333334</v>
      </c>
      <c r="H53" s="317">
        <f>IF(AND($A$2=4,VLOOKUP($A53,'District Level ADM'!$A$5:$W$52,5,FALSE)="Prior Year"),AJ53,IF(AND($A$2=4,VLOOKUP($A53,'District Level ADM'!$A$5:$W$52,5,FALSE)="3-Year Avg."),V53,IF($A$2=2,AJ53,IF($A$2=3,V53,IF(($AG53&gt;$AU53),V53,AJ53)))))</f>
        <v>27.510999999999999</v>
      </c>
      <c r="I53" s="317">
        <f>IF(AND($A$2=4,VLOOKUP($A53,'District Level ADM'!$A$5:$W$52,5,FALSE)="Prior Year"),AK53,IF(AND($A$2=4,VLOOKUP($A53,'District Level ADM'!$A$5:$W$52,5,FALSE)="3-Year Avg."),W53,IF($A$2=2,AK53,IF($A$2=3,W53,IF(($AG53&gt;$AU53),W53,AK53)))))</f>
        <v>12.950000000000001</v>
      </c>
      <c r="J53" s="317">
        <f>IF(AND($A$2=4,VLOOKUP($A53,'District Level ADM'!$A$5:$W$52,5,FALSE)="Prior Year"),AL53,IF(AND($A$2=4,VLOOKUP($A53,'District Level ADM'!$A$5:$W$52,5,FALSE)="3-Year Avg."),X53,IF($A$2=2,AL53,IF($A$2=3,X53,IF(($AG53&gt;$AU53),X53,AL53)))))</f>
        <v>13.968666666666669</v>
      </c>
      <c r="K53" s="317">
        <f>IF(AND($A$2=4,VLOOKUP($A53,'District Level ADM'!$A$5:$W$52,5,FALSE)="Prior Year"),AM53,IF(AND($A$2=4,VLOOKUP($A53,'District Level ADM'!$A$5:$W$52,5,FALSE)="3-Year Avg."),Y53,IF($A$2=2,AM53,IF($A$2=3,Y53,IF(($AG53&gt;$AU53),Y53,AM53)))))</f>
        <v>10.855333333333334</v>
      </c>
      <c r="L53" s="317">
        <f>IF(AND($A$2=4,VLOOKUP($A53,'District Level ADM'!$A$5:$W$52,5,FALSE)="Prior Year"),AN53,IF(AND($A$2=4,VLOOKUP($A53,'District Level ADM'!$A$5:$W$52,5,FALSE)="3-Year Avg."),Z53,IF($A$2=2,AN53,IF($A$2=3,Z53,IF(($AG53&gt;$AU53),Z53,AN53)))))</f>
        <v>9.4189999999999987</v>
      </c>
      <c r="M53" s="317">
        <f>IF(AND($A$2=4,VLOOKUP($A53,'District Level ADM'!$A$5:$W$52,5,FALSE)="Prior Year"),AO53,IF(AND($A$2=4,VLOOKUP($A53,'District Level ADM'!$A$5:$W$52,5,FALSE)="3-Year Avg."),AA53,IF($A$2=2,AO53,IF($A$2=3,AA53,IF(($AG53&gt;$AU53),AA53,AO53)))))</f>
        <v>0</v>
      </c>
      <c r="N53" s="317">
        <f>IF(AND($A$2=4,VLOOKUP($A53,'District Level ADM'!$A$5:$W$52,5,FALSE)="Prior Year"),AP53,IF(AND($A$2=4,VLOOKUP($A53,'District Level ADM'!$A$5:$W$52,5,FALSE)="3-Year Avg."),AB53,IF($A$2=2,AP53,IF($A$2=3,AB53,IF(($AG53&gt;$AU53),AB53,AP53)))))</f>
        <v>0</v>
      </c>
      <c r="O53" s="317">
        <f>IF(AND($A$2=4,VLOOKUP($A53,'District Level ADM'!$A$5:$W$52,5,FALSE)="Prior Year"),AQ53,IF(AND($A$2=4,VLOOKUP($A53,'District Level ADM'!$A$5:$W$52,5,FALSE)="3-Year Avg."),AC53,IF($A$2=2,AQ53,IF($A$2=3,AC53,IF(($AG53&gt;$AU53),AC53,AQ53)))))</f>
        <v>0</v>
      </c>
      <c r="P53" s="317">
        <f>IF(AND($A$2=4,VLOOKUP($A53,'District Level ADM'!$A$5:$W$52,5,FALSE)="Prior Year"),AR53,IF(AND($A$2=4,VLOOKUP($A53,'District Level ADM'!$A$5:$W$52,5,FALSE)="3-Year Avg."),AD53,IF($A$2=2,AR53,IF($A$2=3,AD53,IF(($AG53&gt;$AU53),AD53,AR53)))))</f>
        <v>0</v>
      </c>
      <c r="Q53" s="317">
        <f>IF(AND($A$2=4,VLOOKUP($A53,'District Level ADM'!$A$5:$W$52,5,FALSE)="Prior Year"),AS53,IF(AND($A$2=4,VLOOKUP($A53,'District Level ADM'!$A$5:$W$52,5,FALSE)="3-Year Avg."),AE53,IF($A$2=2,AS53,IF($A$2=3,AE53,IF(($AG53&gt;$AU53),AE53,AS53)))))</f>
        <v>0</v>
      </c>
      <c r="R53" s="317">
        <f>IF(AND($A$2=4,VLOOKUP($A53,'District Level ADM'!$A$5:$W$52,5,FALSE)="Prior Year"),AT53,IF(AND($A$2=4,VLOOKUP($A53,'District Level ADM'!$A$5:$W$52,5,FALSE)="3-Year Avg."),AF53,IF($A$2=2,AT53,IF($A$2=3,AF53,IF(($AG53&gt;$AU53),AF53,AT53)))))</f>
        <v>0</v>
      </c>
      <c r="S53" s="317">
        <f t="shared" si="1"/>
        <v>171.29766666666669</v>
      </c>
      <c r="T53" s="317">
        <f t="shared" si="8"/>
        <v>52.875333333333337</v>
      </c>
      <c r="U53" s="317">
        <f t="shared" si="8"/>
        <v>43.718333333333334</v>
      </c>
      <c r="V53" s="317">
        <f t="shared" si="8"/>
        <v>27.510999999999999</v>
      </c>
      <c r="W53" s="317">
        <f t="shared" si="8"/>
        <v>12.950000000000001</v>
      </c>
      <c r="X53" s="317">
        <f t="shared" si="8"/>
        <v>13.968666666666669</v>
      </c>
      <c r="Y53" s="317">
        <f t="shared" si="8"/>
        <v>10.855333333333334</v>
      </c>
      <c r="Z53" s="317">
        <f t="shared" si="7"/>
        <v>9.4189999999999987</v>
      </c>
      <c r="AA53" s="317">
        <f t="shared" si="7"/>
        <v>0</v>
      </c>
      <c r="AB53" s="317">
        <f t="shared" si="7"/>
        <v>0</v>
      </c>
      <c r="AC53" s="317">
        <f t="shared" si="7"/>
        <v>0</v>
      </c>
      <c r="AD53" s="317">
        <f t="shared" si="7"/>
        <v>0</v>
      </c>
      <c r="AE53" s="317">
        <f t="shared" si="7"/>
        <v>0</v>
      </c>
      <c r="AF53" s="317">
        <f t="shared" si="7"/>
        <v>0</v>
      </c>
      <c r="AG53" s="317">
        <f t="shared" si="3"/>
        <v>171.29766666666669</v>
      </c>
      <c r="AH53" s="318">
        <v>77.814999999999998</v>
      </c>
      <c r="AI53" s="318">
        <v>65.995000000000005</v>
      </c>
      <c r="AJ53" s="318">
        <v>61.07</v>
      </c>
      <c r="AK53" s="318">
        <v>17.73</v>
      </c>
      <c r="AL53" s="318">
        <v>22.655000000000001</v>
      </c>
      <c r="AM53" s="318">
        <v>18.715</v>
      </c>
      <c r="AN53" s="318">
        <v>15.76</v>
      </c>
      <c r="AO53" s="318">
        <v>0</v>
      </c>
      <c r="AP53" s="318">
        <v>0</v>
      </c>
      <c r="AQ53" s="318">
        <v>0</v>
      </c>
      <c r="AR53" s="318">
        <v>0</v>
      </c>
      <c r="AS53" s="318">
        <v>0</v>
      </c>
      <c r="AT53" s="318">
        <v>0</v>
      </c>
      <c r="AU53" s="317">
        <f t="shared" si="4"/>
        <v>279.73999999999995</v>
      </c>
      <c r="AV53" s="319">
        <v>80.811000000000007</v>
      </c>
      <c r="AW53" s="319">
        <v>65.16</v>
      </c>
      <c r="AX53" s="319">
        <v>21.463000000000001</v>
      </c>
      <c r="AY53" s="319">
        <v>21.12</v>
      </c>
      <c r="AZ53" s="319">
        <v>19.251000000000001</v>
      </c>
      <c r="BA53" s="319">
        <v>13.851000000000001</v>
      </c>
      <c r="BB53" s="319">
        <v>12.497</v>
      </c>
      <c r="BC53" s="319">
        <v>0</v>
      </c>
      <c r="BD53" s="319">
        <v>0</v>
      </c>
      <c r="BE53" s="319">
        <v>0</v>
      </c>
      <c r="BF53" s="319">
        <v>0</v>
      </c>
      <c r="BG53" s="319">
        <v>0</v>
      </c>
      <c r="BH53" s="319">
        <v>0</v>
      </c>
      <c r="BI53" s="317">
        <f t="shared" ref="BI53" si="9">SUM(AV53:BH53)</f>
        <v>234.15300000000002</v>
      </c>
      <c r="BJ53" s="316">
        <v>0</v>
      </c>
      <c r="BK53" s="316">
        <v>0</v>
      </c>
      <c r="BL53" s="316">
        <v>0</v>
      </c>
      <c r="BM53" s="316">
        <v>0</v>
      </c>
      <c r="BN53" s="316">
        <v>0</v>
      </c>
      <c r="BO53" s="316">
        <v>0</v>
      </c>
      <c r="BP53" s="316">
        <v>0</v>
      </c>
      <c r="BQ53" s="316">
        <v>0</v>
      </c>
      <c r="BR53" s="316">
        <v>0</v>
      </c>
      <c r="BS53" s="316">
        <v>0</v>
      </c>
      <c r="BT53" s="316">
        <v>0</v>
      </c>
      <c r="BU53" s="316">
        <v>0</v>
      </c>
      <c r="BV53" s="316">
        <v>0</v>
      </c>
      <c r="BW53" s="317">
        <f t="shared" ref="BW53:BW59" si="10">SUM(BJ53:BV53)</f>
        <v>0</v>
      </c>
    </row>
    <row r="54" spans="1:75" x14ac:dyDescent="0.2">
      <c r="A54" s="20" t="str">
        <f>'School Level Inst. Resources'!A54</f>
        <v>0301000</v>
      </c>
      <c r="B54" s="20" t="str">
        <f>'School Level Inst. Resources'!B54</f>
        <v>Campbell #1</v>
      </c>
      <c r="C54" s="20" t="str">
        <f>'School Level Inst. Resources'!C54</f>
        <v>0301050</v>
      </c>
      <c r="D54" s="20" t="str">
        <f>'School Level Inst. Resources'!D54</f>
        <v>Twin Spruce Junior High School</v>
      </c>
      <c r="E54" s="138" t="str">
        <f>'School Level Inst. Resources'!E54</f>
        <v>7-8</v>
      </c>
      <c r="F54" s="317">
        <f>IF(AND($A$2=4,VLOOKUP($A54,'District Level ADM'!$A$5:$W$52,5,FALSE)="Prior Year"),AH54,IF(AND($A$2=4,VLOOKUP($A54,'District Level ADM'!$A$5:$W$52,5,FALSE)="3-Year Avg."),T54,IF($A$2=2,AH54,IF($A$2=3,T54,IF(($AG54&gt;$AU54),T54,AH54)))))</f>
        <v>0</v>
      </c>
      <c r="G54" s="317">
        <f>IF(AND($A$2=4,VLOOKUP($A54,'District Level ADM'!$A$5:$W$52,5,FALSE)="Prior Year"),AI54,IF(AND($A$2=4,VLOOKUP($A54,'District Level ADM'!$A$5:$W$52,5,FALSE)="3-Year Avg."),U54,IF($A$2=2,AI54,IF($A$2=3,U54,IF(($AG54&gt;$AU54),U54,AI54)))))</f>
        <v>0</v>
      </c>
      <c r="H54" s="317">
        <f>IF(AND($A$2=4,VLOOKUP($A54,'District Level ADM'!$A$5:$W$52,5,FALSE)="Prior Year"),AJ54,IF(AND($A$2=4,VLOOKUP($A54,'District Level ADM'!$A$5:$W$52,5,FALSE)="3-Year Avg."),V54,IF($A$2=2,AJ54,IF($A$2=3,V54,IF(($AG54&gt;$AU54),V54,AJ54)))))</f>
        <v>0</v>
      </c>
      <c r="I54" s="317">
        <f>IF(AND($A$2=4,VLOOKUP($A54,'District Level ADM'!$A$5:$W$52,5,FALSE)="Prior Year"),AK54,IF(AND($A$2=4,VLOOKUP($A54,'District Level ADM'!$A$5:$W$52,5,FALSE)="3-Year Avg."),W54,IF($A$2=2,AK54,IF($A$2=3,W54,IF(($AG54&gt;$AU54),W54,AK54)))))</f>
        <v>0</v>
      </c>
      <c r="J54" s="317">
        <f>IF(AND($A$2=4,VLOOKUP($A54,'District Level ADM'!$A$5:$W$52,5,FALSE)="Prior Year"),AL54,IF(AND($A$2=4,VLOOKUP($A54,'District Level ADM'!$A$5:$W$52,5,FALSE)="3-Year Avg."),X54,IF($A$2=2,AL54,IF($A$2=3,X54,IF(($AG54&gt;$AU54),X54,AL54)))))</f>
        <v>0</v>
      </c>
      <c r="K54" s="317">
        <f>IF(AND($A$2=4,VLOOKUP($A54,'District Level ADM'!$A$5:$W$52,5,FALSE)="Prior Year"),AM54,IF(AND($A$2=4,VLOOKUP($A54,'District Level ADM'!$A$5:$W$52,5,FALSE)="3-Year Avg."),Y54,IF($A$2=2,AM54,IF($A$2=3,Y54,IF(($AG54&gt;$AU54),Y54,AM54)))))</f>
        <v>0</v>
      </c>
      <c r="L54" s="317">
        <f>IF(AND($A$2=4,VLOOKUP($A54,'District Level ADM'!$A$5:$W$52,5,FALSE)="Prior Year"),AN54,IF(AND($A$2=4,VLOOKUP($A54,'District Level ADM'!$A$5:$W$52,5,FALSE)="3-Year Avg."),Z54,IF($A$2=2,AN54,IF($A$2=3,Z54,IF(($AG54&gt;$AU54),Z54,AN54)))))</f>
        <v>0</v>
      </c>
      <c r="M54" s="317">
        <f>IF(AND($A$2=4,VLOOKUP($A54,'District Level ADM'!$A$5:$W$52,5,FALSE)="Prior Year"),AO54,IF(AND($A$2=4,VLOOKUP($A54,'District Level ADM'!$A$5:$W$52,5,FALSE)="3-Year Avg."),AA54,IF($A$2=2,AO54,IF($A$2=3,AA54,IF(($AG54&gt;$AU54),AA54,AO54)))))</f>
        <v>297.1033333333333</v>
      </c>
      <c r="N54" s="317">
        <f>IF(AND($A$2=4,VLOOKUP($A54,'District Level ADM'!$A$5:$W$52,5,FALSE)="Prior Year"),AP54,IF(AND($A$2=4,VLOOKUP($A54,'District Level ADM'!$A$5:$W$52,5,FALSE)="3-Year Avg."),AB54,IF($A$2=2,AP54,IF($A$2=3,AB54,IF(($AG54&gt;$AU54),AB54,AP54)))))</f>
        <v>285.98633333333333</v>
      </c>
      <c r="O54" s="317">
        <f>IF(AND($A$2=4,VLOOKUP($A54,'District Level ADM'!$A$5:$W$52,5,FALSE)="Prior Year"),AQ54,IF(AND($A$2=4,VLOOKUP($A54,'District Level ADM'!$A$5:$W$52,5,FALSE)="3-Year Avg."),AC54,IF($A$2=2,AQ54,IF($A$2=3,AC54,IF(($AG54&gt;$AU54),AC54,AQ54)))))</f>
        <v>0</v>
      </c>
      <c r="P54" s="317">
        <f>IF(AND($A$2=4,VLOOKUP($A54,'District Level ADM'!$A$5:$W$52,5,FALSE)="Prior Year"),AR54,IF(AND($A$2=4,VLOOKUP($A54,'District Level ADM'!$A$5:$W$52,5,FALSE)="3-Year Avg."),AD54,IF($A$2=2,AR54,IF($A$2=3,AD54,IF(($AG54&gt;$AU54),AD54,AR54)))))</f>
        <v>0</v>
      </c>
      <c r="Q54" s="317">
        <f>IF(AND($A$2=4,VLOOKUP($A54,'District Level ADM'!$A$5:$W$52,5,FALSE)="Prior Year"),AS54,IF(AND($A$2=4,VLOOKUP($A54,'District Level ADM'!$A$5:$W$52,5,FALSE)="3-Year Avg."),AE54,IF($A$2=2,AS54,IF($A$2=3,AE54,IF(($AG54&gt;$AU54),AE54,AS54)))))</f>
        <v>0</v>
      </c>
      <c r="R54" s="317">
        <f>IF(AND($A$2=4,VLOOKUP($A54,'District Level ADM'!$A$5:$W$52,5,FALSE)="Prior Year"),AT54,IF(AND($A$2=4,VLOOKUP($A54,'District Level ADM'!$A$5:$W$52,5,FALSE)="3-Year Avg."),AF54,IF($A$2=2,AT54,IF($A$2=3,AF54,IF(($AG54&gt;$AU54),AF54,AT54)))))</f>
        <v>0</v>
      </c>
      <c r="S54" s="317">
        <f t="shared" si="1"/>
        <v>583.08966666666663</v>
      </c>
      <c r="T54" s="317">
        <f t="shared" si="8"/>
        <v>0</v>
      </c>
      <c r="U54" s="317">
        <f t="shared" si="8"/>
        <v>0</v>
      </c>
      <c r="V54" s="317">
        <f t="shared" si="8"/>
        <v>0</v>
      </c>
      <c r="W54" s="317">
        <f t="shared" si="8"/>
        <v>0</v>
      </c>
      <c r="X54" s="317">
        <f t="shared" si="8"/>
        <v>0</v>
      </c>
      <c r="Y54" s="317">
        <f t="shared" si="8"/>
        <v>0</v>
      </c>
      <c r="Z54" s="317">
        <f t="shared" si="7"/>
        <v>0</v>
      </c>
      <c r="AA54" s="317">
        <f t="shared" si="7"/>
        <v>297.1033333333333</v>
      </c>
      <c r="AB54" s="317">
        <f t="shared" si="7"/>
        <v>285.98633333333333</v>
      </c>
      <c r="AC54" s="317">
        <f t="shared" si="7"/>
        <v>0</v>
      </c>
      <c r="AD54" s="317">
        <f t="shared" si="7"/>
        <v>0</v>
      </c>
      <c r="AE54" s="317">
        <f t="shared" si="7"/>
        <v>0</v>
      </c>
      <c r="AF54" s="317">
        <f t="shared" si="7"/>
        <v>0</v>
      </c>
      <c r="AG54" s="317">
        <f t="shared" si="3"/>
        <v>583.08966666666663</v>
      </c>
      <c r="AH54" s="318">
        <v>0</v>
      </c>
      <c r="AI54" s="318">
        <v>0</v>
      </c>
      <c r="AJ54" s="318">
        <v>0</v>
      </c>
      <c r="AK54" s="318">
        <v>0</v>
      </c>
      <c r="AL54" s="318">
        <v>0</v>
      </c>
      <c r="AM54" s="318">
        <v>0</v>
      </c>
      <c r="AN54" s="318">
        <v>0</v>
      </c>
      <c r="AO54" s="318">
        <v>320.125</v>
      </c>
      <c r="AP54" s="318">
        <v>296.48500000000001</v>
      </c>
      <c r="AQ54" s="318">
        <v>0</v>
      </c>
      <c r="AR54" s="318">
        <v>0</v>
      </c>
      <c r="AS54" s="318">
        <v>0</v>
      </c>
      <c r="AT54" s="318">
        <v>0</v>
      </c>
      <c r="AU54" s="317">
        <f t="shared" ref="AU54:AU59" si="11">SUM(AH54:AT54)</f>
        <v>616.61</v>
      </c>
      <c r="AV54" s="319">
        <v>0</v>
      </c>
      <c r="AW54" s="319">
        <v>0</v>
      </c>
      <c r="AX54" s="319">
        <v>0</v>
      </c>
      <c r="AY54" s="319">
        <v>0</v>
      </c>
      <c r="AZ54" s="319">
        <v>0</v>
      </c>
      <c r="BA54" s="319">
        <v>0</v>
      </c>
      <c r="BB54" s="319">
        <v>0</v>
      </c>
      <c r="BC54" s="319">
        <v>300.654</v>
      </c>
      <c r="BD54" s="319">
        <v>264.77100000000002</v>
      </c>
      <c r="BE54" s="319">
        <v>0</v>
      </c>
      <c r="BF54" s="319">
        <v>0</v>
      </c>
      <c r="BG54" s="319">
        <v>0</v>
      </c>
      <c r="BH54" s="319">
        <v>0</v>
      </c>
      <c r="BI54" s="317">
        <f t="shared" ref="BI54:BI59" si="12">SUM(AV54:BH54)</f>
        <v>565.42499999999995</v>
      </c>
      <c r="BJ54" s="316">
        <v>0</v>
      </c>
      <c r="BK54" s="316">
        <v>0</v>
      </c>
      <c r="BL54" s="316">
        <v>0</v>
      </c>
      <c r="BM54" s="316">
        <v>0</v>
      </c>
      <c r="BN54" s="316">
        <v>0</v>
      </c>
      <c r="BO54" s="316">
        <v>0</v>
      </c>
      <c r="BP54" s="316">
        <v>0</v>
      </c>
      <c r="BQ54" s="316">
        <v>270.53100000000001</v>
      </c>
      <c r="BR54" s="316">
        <v>296.70299999999997</v>
      </c>
      <c r="BS54" s="316">
        <v>0</v>
      </c>
      <c r="BT54" s="316">
        <v>0</v>
      </c>
      <c r="BU54" s="316">
        <v>0</v>
      </c>
      <c r="BV54" s="316">
        <v>0</v>
      </c>
      <c r="BW54" s="317">
        <f t="shared" si="10"/>
        <v>567.23399999999992</v>
      </c>
    </row>
    <row r="55" spans="1:75" x14ac:dyDescent="0.2">
      <c r="A55" s="20" t="str">
        <f>'School Level Inst. Resources'!A55</f>
        <v>0301000</v>
      </c>
      <c r="B55" s="20" t="str">
        <f>'School Level Inst. Resources'!B55</f>
        <v>Campbell #1</v>
      </c>
      <c r="C55" s="20" t="str">
        <f>'School Level Inst. Resources'!C55</f>
        <v>0301051</v>
      </c>
      <c r="D55" s="20" t="str">
        <f>'School Level Inst. Resources'!D55</f>
        <v>Sage Valley Junior High School</v>
      </c>
      <c r="E55" s="138" t="str">
        <f>'School Level Inst. Resources'!E55</f>
        <v>7-8</v>
      </c>
      <c r="F55" s="317">
        <f>IF(AND($A$2=4,VLOOKUP($A55,'District Level ADM'!$A$5:$W$52,5,FALSE)="Prior Year"),AH55,IF(AND($A$2=4,VLOOKUP($A55,'District Level ADM'!$A$5:$W$52,5,FALSE)="3-Year Avg."),T55,IF($A$2=2,AH55,IF($A$2=3,T55,IF(($AG55&gt;$AU55),T55,AH55)))))</f>
        <v>0</v>
      </c>
      <c r="G55" s="317">
        <f>IF(AND($A$2=4,VLOOKUP($A55,'District Level ADM'!$A$5:$W$52,5,FALSE)="Prior Year"),AI55,IF(AND($A$2=4,VLOOKUP($A55,'District Level ADM'!$A$5:$W$52,5,FALSE)="3-Year Avg."),U55,IF($A$2=2,AI55,IF($A$2=3,U55,IF(($AG55&gt;$AU55),U55,AI55)))))</f>
        <v>0</v>
      </c>
      <c r="H55" s="317">
        <f>IF(AND($A$2=4,VLOOKUP($A55,'District Level ADM'!$A$5:$W$52,5,FALSE)="Prior Year"),AJ55,IF(AND($A$2=4,VLOOKUP($A55,'District Level ADM'!$A$5:$W$52,5,FALSE)="3-Year Avg."),V55,IF($A$2=2,AJ55,IF($A$2=3,V55,IF(($AG55&gt;$AU55),V55,AJ55)))))</f>
        <v>0</v>
      </c>
      <c r="I55" s="317">
        <f>IF(AND($A$2=4,VLOOKUP($A55,'District Level ADM'!$A$5:$W$52,5,FALSE)="Prior Year"),AK55,IF(AND($A$2=4,VLOOKUP($A55,'District Level ADM'!$A$5:$W$52,5,FALSE)="3-Year Avg."),W55,IF($A$2=2,AK55,IF($A$2=3,W55,IF(($AG55&gt;$AU55),W55,AK55)))))</f>
        <v>0</v>
      </c>
      <c r="J55" s="317">
        <f>IF(AND($A$2=4,VLOOKUP($A55,'District Level ADM'!$A$5:$W$52,5,FALSE)="Prior Year"),AL55,IF(AND($A$2=4,VLOOKUP($A55,'District Level ADM'!$A$5:$W$52,5,FALSE)="3-Year Avg."),X55,IF($A$2=2,AL55,IF($A$2=3,X55,IF(($AG55&gt;$AU55),X55,AL55)))))</f>
        <v>0</v>
      </c>
      <c r="K55" s="317">
        <f>IF(AND($A$2=4,VLOOKUP($A55,'District Level ADM'!$A$5:$W$52,5,FALSE)="Prior Year"),AM55,IF(AND($A$2=4,VLOOKUP($A55,'District Level ADM'!$A$5:$W$52,5,FALSE)="3-Year Avg."),Y55,IF($A$2=2,AM55,IF($A$2=3,Y55,IF(($AG55&gt;$AU55),Y55,AM55)))))</f>
        <v>0</v>
      </c>
      <c r="L55" s="317">
        <f>IF(AND($A$2=4,VLOOKUP($A55,'District Level ADM'!$A$5:$W$52,5,FALSE)="Prior Year"),AN55,IF(AND($A$2=4,VLOOKUP($A55,'District Level ADM'!$A$5:$W$52,5,FALSE)="3-Year Avg."),Z55,IF($A$2=2,AN55,IF($A$2=3,Z55,IF(($AG55&gt;$AU55),Z55,AN55)))))</f>
        <v>0</v>
      </c>
      <c r="M55" s="317">
        <f>IF(AND($A$2=4,VLOOKUP($A55,'District Level ADM'!$A$5:$W$52,5,FALSE)="Prior Year"),AO55,IF(AND($A$2=4,VLOOKUP($A55,'District Level ADM'!$A$5:$W$52,5,FALSE)="3-Year Avg."),AA55,IF($A$2=2,AO55,IF($A$2=3,AA55,IF(($AG55&gt;$AU55),AA55,AO55)))))</f>
        <v>323.64699999999999</v>
      </c>
      <c r="N55" s="317">
        <f>IF(AND($A$2=4,VLOOKUP($A55,'District Level ADM'!$A$5:$W$52,5,FALSE)="Prior Year"),AP55,IF(AND($A$2=4,VLOOKUP($A55,'District Level ADM'!$A$5:$W$52,5,FALSE)="3-Year Avg."),AB55,IF($A$2=2,AP55,IF($A$2=3,AB55,IF(($AG55&gt;$AU55),AB55,AP55)))))</f>
        <v>310.85466666666667</v>
      </c>
      <c r="O55" s="317">
        <f>IF(AND($A$2=4,VLOOKUP($A55,'District Level ADM'!$A$5:$W$52,5,FALSE)="Prior Year"),AQ55,IF(AND($A$2=4,VLOOKUP($A55,'District Level ADM'!$A$5:$W$52,5,FALSE)="3-Year Avg."),AC55,IF($A$2=2,AQ55,IF($A$2=3,AC55,IF(($AG55&gt;$AU55),AC55,AQ55)))))</f>
        <v>0</v>
      </c>
      <c r="P55" s="317">
        <f>IF(AND($A$2=4,VLOOKUP($A55,'District Level ADM'!$A$5:$W$52,5,FALSE)="Prior Year"),AR55,IF(AND($A$2=4,VLOOKUP($A55,'District Level ADM'!$A$5:$W$52,5,FALSE)="3-Year Avg."),AD55,IF($A$2=2,AR55,IF($A$2=3,AD55,IF(($AG55&gt;$AU55),AD55,AR55)))))</f>
        <v>0</v>
      </c>
      <c r="Q55" s="317">
        <f>IF(AND($A$2=4,VLOOKUP($A55,'District Level ADM'!$A$5:$W$52,5,FALSE)="Prior Year"),AS55,IF(AND($A$2=4,VLOOKUP($A55,'District Level ADM'!$A$5:$W$52,5,FALSE)="3-Year Avg."),AE55,IF($A$2=2,AS55,IF($A$2=3,AE55,IF(($AG55&gt;$AU55),AE55,AS55)))))</f>
        <v>0</v>
      </c>
      <c r="R55" s="317">
        <f>IF(AND($A$2=4,VLOOKUP($A55,'District Level ADM'!$A$5:$W$52,5,FALSE)="Prior Year"),AT55,IF(AND($A$2=4,VLOOKUP($A55,'District Level ADM'!$A$5:$W$52,5,FALSE)="3-Year Avg."),AF55,IF($A$2=2,AT55,IF($A$2=3,AF55,IF(($AG55&gt;$AU55),AF55,AT55)))))</f>
        <v>0</v>
      </c>
      <c r="S55" s="317">
        <f t="shared" si="1"/>
        <v>634.50166666666667</v>
      </c>
      <c r="T55" s="317">
        <f t="shared" si="8"/>
        <v>0</v>
      </c>
      <c r="U55" s="317">
        <f t="shared" si="8"/>
        <v>0</v>
      </c>
      <c r="V55" s="317">
        <f t="shared" si="8"/>
        <v>0</v>
      </c>
      <c r="W55" s="317">
        <f t="shared" si="8"/>
        <v>0</v>
      </c>
      <c r="X55" s="317">
        <f t="shared" si="8"/>
        <v>0</v>
      </c>
      <c r="Y55" s="317">
        <f t="shared" si="8"/>
        <v>0</v>
      </c>
      <c r="Z55" s="317">
        <f t="shared" si="7"/>
        <v>0</v>
      </c>
      <c r="AA55" s="317">
        <f t="shared" si="7"/>
        <v>323.64699999999999</v>
      </c>
      <c r="AB55" s="317">
        <f t="shared" si="7"/>
        <v>310.85466666666667</v>
      </c>
      <c r="AC55" s="317">
        <f t="shared" si="7"/>
        <v>0</v>
      </c>
      <c r="AD55" s="317">
        <f t="shared" si="7"/>
        <v>0</v>
      </c>
      <c r="AE55" s="317">
        <f t="shared" si="7"/>
        <v>0</v>
      </c>
      <c r="AF55" s="317">
        <f t="shared" si="7"/>
        <v>0</v>
      </c>
      <c r="AG55" s="317">
        <f t="shared" si="3"/>
        <v>634.50166666666667</v>
      </c>
      <c r="AH55" s="318">
        <v>0</v>
      </c>
      <c r="AI55" s="318">
        <v>0</v>
      </c>
      <c r="AJ55" s="318">
        <v>0</v>
      </c>
      <c r="AK55" s="318">
        <v>0</v>
      </c>
      <c r="AL55" s="318">
        <v>0</v>
      </c>
      <c r="AM55" s="318">
        <v>0</v>
      </c>
      <c r="AN55" s="318">
        <v>0</v>
      </c>
      <c r="AO55" s="318">
        <v>332.93</v>
      </c>
      <c r="AP55" s="318">
        <v>281.70999999999998</v>
      </c>
      <c r="AQ55" s="318">
        <v>0</v>
      </c>
      <c r="AR55" s="318">
        <v>0</v>
      </c>
      <c r="AS55" s="318">
        <v>0</v>
      </c>
      <c r="AT55" s="318">
        <v>0</v>
      </c>
      <c r="AU55" s="317">
        <f t="shared" si="11"/>
        <v>614.64</v>
      </c>
      <c r="AV55" s="319">
        <v>0</v>
      </c>
      <c r="AW55" s="319">
        <v>0</v>
      </c>
      <c r="AX55" s="319">
        <v>0</v>
      </c>
      <c r="AY55" s="319">
        <v>0</v>
      </c>
      <c r="AZ55" s="319">
        <v>0</v>
      </c>
      <c r="BA55" s="319">
        <v>0</v>
      </c>
      <c r="BB55" s="319">
        <v>0</v>
      </c>
      <c r="BC55" s="319">
        <v>293.33100000000002</v>
      </c>
      <c r="BD55" s="319">
        <v>320.83100000000002</v>
      </c>
      <c r="BE55" s="319">
        <v>0</v>
      </c>
      <c r="BF55" s="319">
        <v>0</v>
      </c>
      <c r="BG55" s="319">
        <v>0</v>
      </c>
      <c r="BH55" s="319">
        <v>0</v>
      </c>
      <c r="BI55" s="317">
        <f t="shared" si="12"/>
        <v>614.16200000000003</v>
      </c>
      <c r="BJ55" s="316">
        <v>0</v>
      </c>
      <c r="BK55" s="316">
        <v>0</v>
      </c>
      <c r="BL55" s="316">
        <v>0</v>
      </c>
      <c r="BM55" s="316">
        <v>0</v>
      </c>
      <c r="BN55" s="316">
        <v>0</v>
      </c>
      <c r="BO55" s="316">
        <v>0</v>
      </c>
      <c r="BP55" s="316">
        <v>0</v>
      </c>
      <c r="BQ55" s="316">
        <v>344.68</v>
      </c>
      <c r="BR55" s="316">
        <v>330.02300000000002</v>
      </c>
      <c r="BS55" s="316">
        <v>0</v>
      </c>
      <c r="BT55" s="316">
        <v>0</v>
      </c>
      <c r="BU55" s="316">
        <v>0</v>
      </c>
      <c r="BV55" s="316">
        <v>0</v>
      </c>
      <c r="BW55" s="317">
        <f t="shared" si="10"/>
        <v>674.70299999999997</v>
      </c>
    </row>
    <row r="56" spans="1:75" x14ac:dyDescent="0.2">
      <c r="A56" s="20" t="str">
        <f>'School Level Inst. Resources'!A56</f>
        <v>0301000</v>
      </c>
      <c r="B56" s="20" t="str">
        <f>'School Level Inst. Resources'!B56</f>
        <v>Campbell #1</v>
      </c>
      <c r="C56" s="20" t="str">
        <f>'School Level Inst. Resources'!C56</f>
        <v>0301055</v>
      </c>
      <c r="D56" s="20" t="str">
        <f>'School Level Inst. Resources'!D56</f>
        <v>Campbell County High School</v>
      </c>
      <c r="E56" s="138" t="str">
        <f>'School Level Inst. Resources'!E56</f>
        <v>9-12</v>
      </c>
      <c r="F56" s="317">
        <f>IF(AND($A$2=4,VLOOKUP($A56,'District Level ADM'!$A$5:$W$52,5,FALSE)="Prior Year"),AH56,IF(AND($A$2=4,VLOOKUP($A56,'District Level ADM'!$A$5:$W$52,5,FALSE)="3-Year Avg."),T56,IF($A$2=2,AH56,IF($A$2=3,T56,IF(($AG56&gt;$AU56),T56,AH56)))))</f>
        <v>0</v>
      </c>
      <c r="G56" s="317">
        <f>IF(AND($A$2=4,VLOOKUP($A56,'District Level ADM'!$A$5:$W$52,5,FALSE)="Prior Year"),AI56,IF(AND($A$2=4,VLOOKUP($A56,'District Level ADM'!$A$5:$W$52,5,FALSE)="3-Year Avg."),U56,IF($A$2=2,AI56,IF($A$2=3,U56,IF(($AG56&gt;$AU56),U56,AI56)))))</f>
        <v>0</v>
      </c>
      <c r="H56" s="317">
        <f>IF(AND($A$2=4,VLOOKUP($A56,'District Level ADM'!$A$5:$W$52,5,FALSE)="Prior Year"),AJ56,IF(AND($A$2=4,VLOOKUP($A56,'District Level ADM'!$A$5:$W$52,5,FALSE)="3-Year Avg."),V56,IF($A$2=2,AJ56,IF($A$2=3,V56,IF(($AG56&gt;$AU56),V56,AJ56)))))</f>
        <v>0</v>
      </c>
      <c r="I56" s="317">
        <f>IF(AND($A$2=4,VLOOKUP($A56,'District Level ADM'!$A$5:$W$52,5,FALSE)="Prior Year"),AK56,IF(AND($A$2=4,VLOOKUP($A56,'District Level ADM'!$A$5:$W$52,5,FALSE)="3-Year Avg."),W56,IF($A$2=2,AK56,IF($A$2=3,W56,IF(($AG56&gt;$AU56),W56,AK56)))))</f>
        <v>0</v>
      </c>
      <c r="J56" s="317">
        <f>IF(AND($A$2=4,VLOOKUP($A56,'District Level ADM'!$A$5:$W$52,5,FALSE)="Prior Year"),AL56,IF(AND($A$2=4,VLOOKUP($A56,'District Level ADM'!$A$5:$W$52,5,FALSE)="3-Year Avg."),X56,IF($A$2=2,AL56,IF($A$2=3,X56,IF(($AG56&gt;$AU56),X56,AL56)))))</f>
        <v>0</v>
      </c>
      <c r="K56" s="317">
        <f>IF(AND($A$2=4,VLOOKUP($A56,'District Level ADM'!$A$5:$W$52,5,FALSE)="Prior Year"),AM56,IF(AND($A$2=4,VLOOKUP($A56,'District Level ADM'!$A$5:$W$52,5,FALSE)="3-Year Avg."),Y56,IF($A$2=2,AM56,IF($A$2=3,Y56,IF(($AG56&gt;$AU56),Y56,AM56)))))</f>
        <v>0</v>
      </c>
      <c r="L56" s="317">
        <f>IF(AND($A$2=4,VLOOKUP($A56,'District Level ADM'!$A$5:$W$52,5,FALSE)="Prior Year"),AN56,IF(AND($A$2=4,VLOOKUP($A56,'District Level ADM'!$A$5:$W$52,5,FALSE)="3-Year Avg."),Z56,IF($A$2=2,AN56,IF($A$2=3,Z56,IF(($AG56&gt;$AU56),Z56,AN56)))))</f>
        <v>0</v>
      </c>
      <c r="M56" s="317">
        <f>IF(AND($A$2=4,VLOOKUP($A56,'District Level ADM'!$A$5:$W$52,5,FALSE)="Prior Year"),AO56,IF(AND($A$2=4,VLOOKUP($A56,'District Level ADM'!$A$5:$W$52,5,FALSE)="3-Year Avg."),AA56,IF($A$2=2,AO56,IF($A$2=3,AA56,IF(($AG56&gt;$AU56),AA56,AO56)))))</f>
        <v>0</v>
      </c>
      <c r="N56" s="317">
        <f>IF(AND($A$2=4,VLOOKUP($A56,'District Level ADM'!$A$5:$W$52,5,FALSE)="Prior Year"),AP56,IF(AND($A$2=4,VLOOKUP($A56,'District Level ADM'!$A$5:$W$52,5,FALSE)="3-Year Avg."),AB56,IF($A$2=2,AP56,IF($A$2=3,AB56,IF(($AG56&gt;$AU56),AB56,AP56)))))</f>
        <v>0</v>
      </c>
      <c r="O56" s="317">
        <f>IF(AND($A$2=4,VLOOKUP($A56,'District Level ADM'!$A$5:$W$52,5,FALSE)="Prior Year"),AQ56,IF(AND($A$2=4,VLOOKUP($A56,'District Level ADM'!$A$5:$W$52,5,FALSE)="3-Year Avg."),AC56,IF($A$2=2,AQ56,IF($A$2=3,AC56,IF(($AG56&gt;$AU56),AC56,AQ56)))))</f>
        <v>291.74499999999995</v>
      </c>
      <c r="P56" s="317">
        <f>IF(AND($A$2=4,VLOOKUP($A56,'District Level ADM'!$A$5:$W$52,5,FALSE)="Prior Year"),AR56,IF(AND($A$2=4,VLOOKUP($A56,'District Level ADM'!$A$5:$W$52,5,FALSE)="3-Year Avg."),AD56,IF($A$2=2,AR56,IF($A$2=3,AD56,IF(($AG56&gt;$AU56),AD56,AR56)))))</f>
        <v>288.8723333333333</v>
      </c>
      <c r="Q56" s="317">
        <f>IF(AND($A$2=4,VLOOKUP($A56,'District Level ADM'!$A$5:$W$52,5,FALSE)="Prior Year"),AS56,IF(AND($A$2=4,VLOOKUP($A56,'District Level ADM'!$A$5:$W$52,5,FALSE)="3-Year Avg."),AE56,IF($A$2=2,AS56,IF($A$2=3,AE56,IF(($AG56&gt;$AU56),AE56,AS56)))))</f>
        <v>254.60333333333332</v>
      </c>
      <c r="R56" s="317">
        <f>IF(AND($A$2=4,VLOOKUP($A56,'District Level ADM'!$A$5:$W$52,5,FALSE)="Prior Year"),AT56,IF(AND($A$2=4,VLOOKUP($A56,'District Level ADM'!$A$5:$W$52,5,FALSE)="3-Year Avg."),AF56,IF($A$2=2,AT56,IF($A$2=3,AF56,IF(($AG56&gt;$AU56),AF56,AT56)))))</f>
        <v>234.23283333333333</v>
      </c>
      <c r="S56" s="317">
        <f t="shared" si="1"/>
        <v>1069.4534999999998</v>
      </c>
      <c r="T56" s="317">
        <f t="shared" si="8"/>
        <v>0</v>
      </c>
      <c r="U56" s="317">
        <f t="shared" si="8"/>
        <v>0</v>
      </c>
      <c r="V56" s="317">
        <f t="shared" si="8"/>
        <v>0</v>
      </c>
      <c r="W56" s="317">
        <f t="shared" si="8"/>
        <v>0</v>
      </c>
      <c r="X56" s="317">
        <f t="shared" si="8"/>
        <v>0</v>
      </c>
      <c r="Y56" s="317">
        <f t="shared" si="8"/>
        <v>0</v>
      </c>
      <c r="Z56" s="317">
        <f t="shared" si="7"/>
        <v>0</v>
      </c>
      <c r="AA56" s="317">
        <f t="shared" si="7"/>
        <v>0</v>
      </c>
      <c r="AB56" s="317">
        <f t="shared" si="7"/>
        <v>0</v>
      </c>
      <c r="AC56" s="317">
        <f t="shared" si="7"/>
        <v>291.74499999999995</v>
      </c>
      <c r="AD56" s="317">
        <f t="shared" si="7"/>
        <v>288.8723333333333</v>
      </c>
      <c r="AE56" s="317">
        <f t="shared" si="7"/>
        <v>254.60333333333332</v>
      </c>
      <c r="AF56" s="317">
        <f t="shared" si="7"/>
        <v>234.23283333333333</v>
      </c>
      <c r="AG56" s="317">
        <f t="shared" si="3"/>
        <v>1069.4534999999998</v>
      </c>
      <c r="AH56" s="318">
        <v>0</v>
      </c>
      <c r="AI56" s="318">
        <v>0</v>
      </c>
      <c r="AJ56" s="318">
        <v>0</v>
      </c>
      <c r="AK56" s="318">
        <v>0</v>
      </c>
      <c r="AL56" s="318">
        <v>0</v>
      </c>
      <c r="AM56" s="318">
        <v>0</v>
      </c>
      <c r="AN56" s="318">
        <v>0</v>
      </c>
      <c r="AO56" s="318">
        <v>0</v>
      </c>
      <c r="AP56" s="318">
        <v>0</v>
      </c>
      <c r="AQ56" s="318">
        <v>264.96499999999997</v>
      </c>
      <c r="AR56" s="318">
        <v>293.52999999999997</v>
      </c>
      <c r="AS56" s="318">
        <v>260.04000000000002</v>
      </c>
      <c r="AT56" s="318">
        <v>267.92</v>
      </c>
      <c r="AU56" s="317">
        <f t="shared" si="11"/>
        <v>1086.4549999999999</v>
      </c>
      <c r="AV56" s="319">
        <v>0</v>
      </c>
      <c r="AW56" s="319">
        <v>0</v>
      </c>
      <c r="AX56" s="319">
        <v>0</v>
      </c>
      <c r="AY56" s="319">
        <v>0</v>
      </c>
      <c r="AZ56" s="319">
        <v>0</v>
      </c>
      <c r="BA56" s="319">
        <v>0</v>
      </c>
      <c r="BB56" s="319">
        <v>0</v>
      </c>
      <c r="BC56" s="319">
        <v>0</v>
      </c>
      <c r="BD56" s="319">
        <v>0</v>
      </c>
      <c r="BE56" s="319">
        <v>299.98849999999999</v>
      </c>
      <c r="BF56" s="319">
        <v>278.12849999999997</v>
      </c>
      <c r="BG56" s="319">
        <v>250.77449999999999</v>
      </c>
      <c r="BH56" s="319">
        <v>211.5</v>
      </c>
      <c r="BI56" s="317">
        <f t="shared" si="12"/>
        <v>1040.3915</v>
      </c>
      <c r="BJ56" s="316">
        <v>0</v>
      </c>
      <c r="BK56" s="316">
        <v>0</v>
      </c>
      <c r="BL56" s="316">
        <v>0</v>
      </c>
      <c r="BM56" s="316">
        <v>0</v>
      </c>
      <c r="BN56" s="316">
        <v>0</v>
      </c>
      <c r="BO56" s="316">
        <v>0</v>
      </c>
      <c r="BP56" s="316">
        <v>0</v>
      </c>
      <c r="BQ56" s="316">
        <v>0</v>
      </c>
      <c r="BR56" s="316">
        <v>0</v>
      </c>
      <c r="BS56" s="316">
        <v>310.28149999999999</v>
      </c>
      <c r="BT56" s="316">
        <v>294.95850000000002</v>
      </c>
      <c r="BU56" s="316">
        <v>252.99549999999999</v>
      </c>
      <c r="BV56" s="316">
        <v>223.27850000000001</v>
      </c>
      <c r="BW56" s="317">
        <f t="shared" si="10"/>
        <v>1081.5140000000001</v>
      </c>
    </row>
    <row r="57" spans="1:75" x14ac:dyDescent="0.2">
      <c r="A57" s="20" t="str">
        <f>'School Level Inst. Resources'!A57</f>
        <v>0301000</v>
      </c>
      <c r="B57" s="20" t="str">
        <f>'School Level Inst. Resources'!B57</f>
        <v>Campbell #1</v>
      </c>
      <c r="C57" s="20" t="str">
        <f>'School Level Inst. Resources'!C57</f>
        <v>0301056</v>
      </c>
      <c r="D57" s="20" t="str">
        <f>'School Level Inst. Resources'!D57</f>
        <v>Wright Jr. &amp; Sr. High School</v>
      </c>
      <c r="E57" s="138" t="str">
        <f>'School Level Inst. Resources'!E57</f>
        <v>7-12</v>
      </c>
      <c r="F57" s="317">
        <f>IF(AND($A$2=4,VLOOKUP($A57,'District Level ADM'!$A$5:$W$52,5,FALSE)="Prior Year"),AH57,IF(AND($A$2=4,VLOOKUP($A57,'District Level ADM'!$A$5:$W$52,5,FALSE)="3-Year Avg."),T57,IF($A$2=2,AH57,IF($A$2=3,T57,IF(($AG57&gt;$AU57),T57,AH57)))))</f>
        <v>0</v>
      </c>
      <c r="G57" s="317">
        <f>IF(AND($A$2=4,VLOOKUP($A57,'District Level ADM'!$A$5:$W$52,5,FALSE)="Prior Year"),AI57,IF(AND($A$2=4,VLOOKUP($A57,'District Level ADM'!$A$5:$W$52,5,FALSE)="3-Year Avg."),U57,IF($A$2=2,AI57,IF($A$2=3,U57,IF(($AG57&gt;$AU57),U57,AI57)))))</f>
        <v>0</v>
      </c>
      <c r="H57" s="317">
        <f>IF(AND($A$2=4,VLOOKUP($A57,'District Level ADM'!$A$5:$W$52,5,FALSE)="Prior Year"),AJ57,IF(AND($A$2=4,VLOOKUP($A57,'District Level ADM'!$A$5:$W$52,5,FALSE)="3-Year Avg."),V57,IF($A$2=2,AJ57,IF($A$2=3,V57,IF(($AG57&gt;$AU57),V57,AJ57)))))</f>
        <v>0</v>
      </c>
      <c r="I57" s="317">
        <f>IF(AND($A$2=4,VLOOKUP($A57,'District Level ADM'!$A$5:$W$52,5,FALSE)="Prior Year"),AK57,IF(AND($A$2=4,VLOOKUP($A57,'District Level ADM'!$A$5:$W$52,5,FALSE)="3-Year Avg."),W57,IF($A$2=2,AK57,IF($A$2=3,W57,IF(($AG57&gt;$AU57),W57,AK57)))))</f>
        <v>0</v>
      </c>
      <c r="J57" s="317">
        <f>IF(AND($A$2=4,VLOOKUP($A57,'District Level ADM'!$A$5:$W$52,5,FALSE)="Prior Year"),AL57,IF(AND($A$2=4,VLOOKUP($A57,'District Level ADM'!$A$5:$W$52,5,FALSE)="3-Year Avg."),X57,IF($A$2=2,AL57,IF($A$2=3,X57,IF(($AG57&gt;$AU57),X57,AL57)))))</f>
        <v>0</v>
      </c>
      <c r="K57" s="317">
        <f>IF(AND($A$2=4,VLOOKUP($A57,'District Level ADM'!$A$5:$W$52,5,FALSE)="Prior Year"),AM57,IF(AND($A$2=4,VLOOKUP($A57,'District Level ADM'!$A$5:$W$52,5,FALSE)="3-Year Avg."),Y57,IF($A$2=2,AM57,IF($A$2=3,Y57,IF(($AG57&gt;$AU57),Y57,AM57)))))</f>
        <v>0</v>
      </c>
      <c r="L57" s="317">
        <f>IF(AND($A$2=4,VLOOKUP($A57,'District Level ADM'!$A$5:$W$52,5,FALSE)="Prior Year"),AN57,IF(AND($A$2=4,VLOOKUP($A57,'District Level ADM'!$A$5:$W$52,5,FALSE)="3-Year Avg."),Z57,IF($A$2=2,AN57,IF($A$2=3,Z57,IF(($AG57&gt;$AU57),Z57,AN57)))))</f>
        <v>0</v>
      </c>
      <c r="M57" s="317">
        <f>IF(AND($A$2=4,VLOOKUP($A57,'District Level ADM'!$A$5:$W$52,5,FALSE)="Prior Year"),AO57,IF(AND($A$2=4,VLOOKUP($A57,'District Level ADM'!$A$5:$W$52,5,FALSE)="3-Year Avg."),AA57,IF($A$2=2,AO57,IF($A$2=3,AA57,IF(($AG57&gt;$AU57),AA57,AO57)))))</f>
        <v>32.045666666666669</v>
      </c>
      <c r="N57" s="317">
        <f>IF(AND($A$2=4,VLOOKUP($A57,'District Level ADM'!$A$5:$W$52,5,FALSE)="Prior Year"),AP57,IF(AND($A$2=4,VLOOKUP($A57,'District Level ADM'!$A$5:$W$52,5,FALSE)="3-Year Avg."),AB57,IF($A$2=2,AP57,IF($A$2=3,AB57,IF(($AG57&gt;$AU57),AB57,AP57)))))</f>
        <v>32.491666666666667</v>
      </c>
      <c r="O57" s="317">
        <f>IF(AND($A$2=4,VLOOKUP($A57,'District Level ADM'!$A$5:$W$52,5,FALSE)="Prior Year"),AQ57,IF(AND($A$2=4,VLOOKUP($A57,'District Level ADM'!$A$5:$W$52,5,FALSE)="3-Year Avg."),AC57,IF($A$2=2,AQ57,IF($A$2=3,AC57,IF(($AG57&gt;$AU57),AC57,AQ57)))))</f>
        <v>35.977666666666664</v>
      </c>
      <c r="P57" s="317">
        <f>IF(AND($A$2=4,VLOOKUP($A57,'District Level ADM'!$A$5:$W$52,5,FALSE)="Prior Year"),AR57,IF(AND($A$2=4,VLOOKUP($A57,'District Level ADM'!$A$5:$W$52,5,FALSE)="3-Year Avg."),AD57,IF($A$2=2,AR57,IF($A$2=3,AD57,IF(($AG57&gt;$AU57),AD57,AR57)))))</f>
        <v>32.962666666666664</v>
      </c>
      <c r="Q57" s="317">
        <f>IF(AND($A$2=4,VLOOKUP($A57,'District Level ADM'!$A$5:$W$52,5,FALSE)="Prior Year"),AS57,IF(AND($A$2=4,VLOOKUP($A57,'District Level ADM'!$A$5:$W$52,5,FALSE)="3-Year Avg."),AE57,IF($A$2=2,AS57,IF($A$2=3,AE57,IF(($AG57&gt;$AU57),AE57,AS57)))))</f>
        <v>30.61</v>
      </c>
      <c r="R57" s="317">
        <f>IF(AND($A$2=4,VLOOKUP($A57,'District Level ADM'!$A$5:$W$52,5,FALSE)="Prior Year"),AT57,IF(AND($A$2=4,VLOOKUP($A57,'District Level ADM'!$A$5:$W$52,5,FALSE)="3-Year Avg."),AF57,IF($A$2=2,AT57,IF($A$2=3,AF57,IF(($AG57&gt;$AU57),AF57,AT57)))))</f>
        <v>25.698333333333334</v>
      </c>
      <c r="S57" s="317">
        <f t="shared" si="1"/>
        <v>189.786</v>
      </c>
      <c r="T57" s="317">
        <f t="shared" si="8"/>
        <v>0</v>
      </c>
      <c r="U57" s="317">
        <f t="shared" si="8"/>
        <v>0</v>
      </c>
      <c r="V57" s="317">
        <f t="shared" si="8"/>
        <v>0</v>
      </c>
      <c r="W57" s="317">
        <f t="shared" si="8"/>
        <v>0</v>
      </c>
      <c r="X57" s="317">
        <f t="shared" si="8"/>
        <v>0</v>
      </c>
      <c r="Y57" s="317">
        <f t="shared" si="8"/>
        <v>0</v>
      </c>
      <c r="Z57" s="317">
        <f t="shared" si="7"/>
        <v>0</v>
      </c>
      <c r="AA57" s="317">
        <f t="shared" si="7"/>
        <v>32.045666666666669</v>
      </c>
      <c r="AB57" s="317">
        <f t="shared" si="7"/>
        <v>32.491666666666667</v>
      </c>
      <c r="AC57" s="317">
        <f t="shared" si="7"/>
        <v>35.977666666666664</v>
      </c>
      <c r="AD57" s="317">
        <f t="shared" si="7"/>
        <v>32.962666666666664</v>
      </c>
      <c r="AE57" s="317">
        <f t="shared" si="7"/>
        <v>30.61</v>
      </c>
      <c r="AF57" s="317">
        <f t="shared" si="7"/>
        <v>25.698333333333334</v>
      </c>
      <c r="AG57" s="317">
        <f t="shared" si="3"/>
        <v>189.786</v>
      </c>
      <c r="AH57" s="318">
        <v>0</v>
      </c>
      <c r="AI57" s="318">
        <v>0</v>
      </c>
      <c r="AJ57" s="318">
        <v>0</v>
      </c>
      <c r="AK57" s="318">
        <v>0</v>
      </c>
      <c r="AL57" s="318">
        <v>0</v>
      </c>
      <c r="AM57" s="318">
        <v>0</v>
      </c>
      <c r="AN57" s="318">
        <v>0</v>
      </c>
      <c r="AO57" s="318">
        <v>35.46</v>
      </c>
      <c r="AP57" s="318">
        <v>26.594999999999999</v>
      </c>
      <c r="AQ57" s="318">
        <v>32.505000000000003</v>
      </c>
      <c r="AR57" s="318">
        <v>35.46</v>
      </c>
      <c r="AS57" s="318">
        <v>32.505000000000003</v>
      </c>
      <c r="AT57" s="318">
        <v>22.655000000000001</v>
      </c>
      <c r="AU57" s="317">
        <f t="shared" si="11"/>
        <v>185.18</v>
      </c>
      <c r="AV57" s="319">
        <v>0</v>
      </c>
      <c r="AW57" s="319">
        <v>0</v>
      </c>
      <c r="AX57" s="319">
        <v>0</v>
      </c>
      <c r="AY57" s="319">
        <v>0</v>
      </c>
      <c r="AZ57" s="319">
        <v>0</v>
      </c>
      <c r="BA57" s="319">
        <v>0</v>
      </c>
      <c r="BB57" s="319">
        <v>0</v>
      </c>
      <c r="BC57" s="319">
        <v>27.591000000000001</v>
      </c>
      <c r="BD57" s="319">
        <v>30.68</v>
      </c>
      <c r="BE57" s="319">
        <v>36.570999999999998</v>
      </c>
      <c r="BF57" s="319">
        <v>34.634</v>
      </c>
      <c r="BG57" s="319">
        <v>28.033999999999999</v>
      </c>
      <c r="BH57" s="319">
        <v>24.393999999999998</v>
      </c>
      <c r="BI57" s="317">
        <f t="shared" si="12"/>
        <v>181.904</v>
      </c>
      <c r="BJ57" s="316">
        <v>0</v>
      </c>
      <c r="BK57" s="316">
        <v>0</v>
      </c>
      <c r="BL57" s="316">
        <v>0</v>
      </c>
      <c r="BM57" s="316">
        <v>0</v>
      </c>
      <c r="BN57" s="316">
        <v>0</v>
      </c>
      <c r="BO57" s="316">
        <v>0</v>
      </c>
      <c r="BP57" s="316">
        <v>0</v>
      </c>
      <c r="BQ57" s="316">
        <v>33.085999999999999</v>
      </c>
      <c r="BR57" s="316">
        <v>40.200000000000003</v>
      </c>
      <c r="BS57" s="316">
        <v>38.856999999999999</v>
      </c>
      <c r="BT57" s="316">
        <v>28.794</v>
      </c>
      <c r="BU57" s="316">
        <v>31.291</v>
      </c>
      <c r="BV57" s="316">
        <v>30.045999999999999</v>
      </c>
      <c r="BW57" s="317">
        <f t="shared" si="10"/>
        <v>202.274</v>
      </c>
    </row>
    <row r="58" spans="1:75" x14ac:dyDescent="0.2">
      <c r="A58" s="20" t="str">
        <f>'School Level Inst. Resources'!A58</f>
        <v>0301000</v>
      </c>
      <c r="B58" s="20" t="str">
        <f>'School Level Inst. Resources'!B58</f>
        <v>Campbell #1</v>
      </c>
      <c r="C58" s="20" t="str">
        <f>'School Level Inst. Resources'!C58</f>
        <v>0301057</v>
      </c>
      <c r="D58" s="20" t="str">
        <f>'School Level Inst. Resources'!D58</f>
        <v>Westwood High School</v>
      </c>
      <c r="E58" s="138" t="str">
        <f>'School Level Inst. Resources'!E58</f>
        <v>9-12</v>
      </c>
      <c r="F58" s="317">
        <f>IF(AND($A$2=4,VLOOKUP($A58,'District Level ADM'!$A$5:$W$52,5,FALSE)="Prior Year"),AH58,IF(AND($A$2=4,VLOOKUP($A58,'District Level ADM'!$A$5:$W$52,5,FALSE)="3-Year Avg."),T58,IF($A$2=2,AH58,IF($A$2=3,T58,IF(($AG58&gt;$AU58),T58,AH58)))))</f>
        <v>0</v>
      </c>
      <c r="G58" s="317">
        <f>IF(AND($A$2=4,VLOOKUP($A58,'District Level ADM'!$A$5:$W$52,5,FALSE)="Prior Year"),AI58,IF(AND($A$2=4,VLOOKUP($A58,'District Level ADM'!$A$5:$W$52,5,FALSE)="3-Year Avg."),U58,IF($A$2=2,AI58,IF($A$2=3,U58,IF(($AG58&gt;$AU58),U58,AI58)))))</f>
        <v>0</v>
      </c>
      <c r="H58" s="317">
        <f>IF(AND($A$2=4,VLOOKUP($A58,'District Level ADM'!$A$5:$W$52,5,FALSE)="Prior Year"),AJ58,IF(AND($A$2=4,VLOOKUP($A58,'District Level ADM'!$A$5:$W$52,5,FALSE)="3-Year Avg."),V58,IF($A$2=2,AJ58,IF($A$2=3,V58,IF(($AG58&gt;$AU58),V58,AJ58)))))</f>
        <v>0</v>
      </c>
      <c r="I58" s="317">
        <f>IF(AND($A$2=4,VLOOKUP($A58,'District Level ADM'!$A$5:$W$52,5,FALSE)="Prior Year"),AK58,IF(AND($A$2=4,VLOOKUP($A58,'District Level ADM'!$A$5:$W$52,5,FALSE)="3-Year Avg."),W58,IF($A$2=2,AK58,IF($A$2=3,W58,IF(($AG58&gt;$AU58),W58,AK58)))))</f>
        <v>0</v>
      </c>
      <c r="J58" s="317">
        <f>IF(AND($A$2=4,VLOOKUP($A58,'District Level ADM'!$A$5:$W$52,5,FALSE)="Prior Year"),AL58,IF(AND($A$2=4,VLOOKUP($A58,'District Level ADM'!$A$5:$W$52,5,FALSE)="3-Year Avg."),X58,IF($A$2=2,AL58,IF($A$2=3,X58,IF(($AG58&gt;$AU58),X58,AL58)))))</f>
        <v>0</v>
      </c>
      <c r="K58" s="317">
        <f>IF(AND($A$2=4,VLOOKUP($A58,'District Level ADM'!$A$5:$W$52,5,FALSE)="Prior Year"),AM58,IF(AND($A$2=4,VLOOKUP($A58,'District Level ADM'!$A$5:$W$52,5,FALSE)="3-Year Avg."),Y58,IF($A$2=2,AM58,IF($A$2=3,Y58,IF(($AG58&gt;$AU58),Y58,AM58)))))</f>
        <v>0</v>
      </c>
      <c r="L58" s="317">
        <f>IF(AND($A$2=4,VLOOKUP($A58,'District Level ADM'!$A$5:$W$52,5,FALSE)="Prior Year"),AN58,IF(AND($A$2=4,VLOOKUP($A58,'District Level ADM'!$A$5:$W$52,5,FALSE)="3-Year Avg."),Z58,IF($A$2=2,AN58,IF($A$2=3,Z58,IF(($AG58&gt;$AU58),Z58,AN58)))))</f>
        <v>0</v>
      </c>
      <c r="M58" s="317">
        <f>IF(AND($A$2=4,VLOOKUP($A58,'District Level ADM'!$A$5:$W$52,5,FALSE)="Prior Year"),AO58,IF(AND($A$2=4,VLOOKUP($A58,'District Level ADM'!$A$5:$W$52,5,FALSE)="3-Year Avg."),AA58,IF($A$2=2,AO58,IF($A$2=3,AA58,IF(($AG58&gt;$AU58),AA58,AO58)))))</f>
        <v>0</v>
      </c>
      <c r="N58" s="317">
        <f>IF(AND($A$2=4,VLOOKUP($A58,'District Level ADM'!$A$5:$W$52,5,FALSE)="Prior Year"),AP58,IF(AND($A$2=4,VLOOKUP($A58,'District Level ADM'!$A$5:$W$52,5,FALSE)="3-Year Avg."),AB58,IF($A$2=2,AP58,IF($A$2=3,AB58,IF(($AG58&gt;$AU58),AB58,AP58)))))</f>
        <v>0</v>
      </c>
      <c r="O58" s="317">
        <f>IF(AND($A$2=4,VLOOKUP($A58,'District Level ADM'!$A$5:$W$52,5,FALSE)="Prior Year"),AQ58,IF(AND($A$2=4,VLOOKUP($A58,'District Level ADM'!$A$5:$W$52,5,FALSE)="3-Year Avg."),AC58,IF($A$2=2,AQ58,IF($A$2=3,AC58,IF(($AG58&gt;$AU58),AC58,AQ58)))))</f>
        <v>8.5303333333333331</v>
      </c>
      <c r="P58" s="317">
        <f>IF(AND($A$2=4,VLOOKUP($A58,'District Level ADM'!$A$5:$W$52,5,FALSE)="Prior Year"),AR58,IF(AND($A$2=4,VLOOKUP($A58,'District Level ADM'!$A$5:$W$52,5,FALSE)="3-Year Avg."),AD58,IF($A$2=2,AR58,IF($A$2=3,AD58,IF(($AG58&gt;$AU58),AD58,AR58)))))</f>
        <v>23.157666666666668</v>
      </c>
      <c r="Q58" s="317">
        <f>IF(AND($A$2=4,VLOOKUP($A58,'District Level ADM'!$A$5:$W$52,5,FALSE)="Prior Year"),AS58,IF(AND($A$2=4,VLOOKUP($A58,'District Level ADM'!$A$5:$W$52,5,FALSE)="3-Year Avg."),AE58,IF($A$2=2,AS58,IF($A$2=3,AE58,IF(($AG58&gt;$AU58),AE58,AS58)))))</f>
        <v>37.162666666666667</v>
      </c>
      <c r="R58" s="317">
        <f>IF(AND($A$2=4,VLOOKUP($A58,'District Level ADM'!$A$5:$W$52,5,FALSE)="Prior Year"),AT58,IF(AND($A$2=4,VLOOKUP($A58,'District Level ADM'!$A$5:$W$52,5,FALSE)="3-Year Avg."),AF58,IF($A$2=2,AT58,IF($A$2=3,AF58,IF(($AG58&gt;$AU58),AF58,AT58)))))</f>
        <v>68.661000000000001</v>
      </c>
      <c r="S58" s="317">
        <f t="shared" si="1"/>
        <v>137.51166666666666</v>
      </c>
      <c r="T58" s="317">
        <f t="shared" si="8"/>
        <v>0</v>
      </c>
      <c r="U58" s="317">
        <f t="shared" si="8"/>
        <v>0</v>
      </c>
      <c r="V58" s="317">
        <f t="shared" si="8"/>
        <v>0</v>
      </c>
      <c r="W58" s="317">
        <f t="shared" si="8"/>
        <v>0</v>
      </c>
      <c r="X58" s="317">
        <f t="shared" si="8"/>
        <v>0</v>
      </c>
      <c r="Y58" s="317">
        <f t="shared" si="8"/>
        <v>0</v>
      </c>
      <c r="Z58" s="317">
        <f t="shared" si="7"/>
        <v>0</v>
      </c>
      <c r="AA58" s="317">
        <f t="shared" si="7"/>
        <v>0</v>
      </c>
      <c r="AB58" s="317">
        <f t="shared" si="7"/>
        <v>0</v>
      </c>
      <c r="AC58" s="317">
        <f t="shared" si="7"/>
        <v>8.5303333333333331</v>
      </c>
      <c r="AD58" s="317">
        <f t="shared" si="7"/>
        <v>23.157666666666668</v>
      </c>
      <c r="AE58" s="317">
        <f t="shared" si="7"/>
        <v>37.162666666666667</v>
      </c>
      <c r="AF58" s="317">
        <f t="shared" si="7"/>
        <v>68.661000000000001</v>
      </c>
      <c r="AG58" s="317">
        <f t="shared" si="3"/>
        <v>137.51166666666666</v>
      </c>
      <c r="AH58" s="318">
        <v>0</v>
      </c>
      <c r="AI58" s="318">
        <v>0</v>
      </c>
      <c r="AJ58" s="318">
        <v>0</v>
      </c>
      <c r="AK58" s="318">
        <v>0</v>
      </c>
      <c r="AL58" s="318">
        <v>0</v>
      </c>
      <c r="AM58" s="318">
        <v>0</v>
      </c>
      <c r="AN58" s="318">
        <v>0</v>
      </c>
      <c r="AO58" s="318">
        <v>0</v>
      </c>
      <c r="AP58" s="318">
        <v>0</v>
      </c>
      <c r="AQ58" s="318">
        <v>8.8650000000000002</v>
      </c>
      <c r="AR58" s="318">
        <v>21.67</v>
      </c>
      <c r="AS58" s="318">
        <v>44.325000000000003</v>
      </c>
      <c r="AT58" s="318">
        <v>64.025000000000006</v>
      </c>
      <c r="AU58" s="317">
        <f t="shared" si="11"/>
        <v>138.88500000000002</v>
      </c>
      <c r="AV58" s="319">
        <v>0</v>
      </c>
      <c r="AW58" s="319">
        <v>0</v>
      </c>
      <c r="AX58" s="319">
        <v>0</v>
      </c>
      <c r="AY58" s="319">
        <v>0</v>
      </c>
      <c r="AZ58" s="319">
        <v>0</v>
      </c>
      <c r="BA58" s="319">
        <v>0</v>
      </c>
      <c r="BB58" s="319">
        <v>0</v>
      </c>
      <c r="BC58" s="319">
        <v>0</v>
      </c>
      <c r="BD58" s="319">
        <v>0</v>
      </c>
      <c r="BE58" s="319">
        <v>7.7359999999999998</v>
      </c>
      <c r="BF58" s="319">
        <v>23.274000000000001</v>
      </c>
      <c r="BG58" s="319">
        <v>33.75</v>
      </c>
      <c r="BH58" s="319">
        <v>70.688999999999993</v>
      </c>
      <c r="BI58" s="317">
        <f t="shared" si="12"/>
        <v>135.44900000000001</v>
      </c>
      <c r="BJ58" s="316">
        <v>0</v>
      </c>
      <c r="BK58" s="316">
        <v>0</v>
      </c>
      <c r="BL58" s="316">
        <v>0</v>
      </c>
      <c r="BM58" s="316">
        <v>0</v>
      </c>
      <c r="BN58" s="316">
        <v>0</v>
      </c>
      <c r="BO58" s="316">
        <v>0</v>
      </c>
      <c r="BP58" s="316">
        <v>0</v>
      </c>
      <c r="BQ58" s="316">
        <v>0</v>
      </c>
      <c r="BR58" s="316">
        <v>0</v>
      </c>
      <c r="BS58" s="316">
        <v>8.99</v>
      </c>
      <c r="BT58" s="316">
        <v>24.529</v>
      </c>
      <c r="BU58" s="316">
        <v>33.412999999999997</v>
      </c>
      <c r="BV58" s="316">
        <v>71.269000000000005</v>
      </c>
      <c r="BW58" s="317">
        <f t="shared" si="10"/>
        <v>138.20099999999999</v>
      </c>
    </row>
    <row r="59" spans="1:75" x14ac:dyDescent="0.2">
      <c r="A59" s="20" t="str">
        <f>'School Level Inst. Resources'!A59</f>
        <v>0301000</v>
      </c>
      <c r="B59" s="20" t="str">
        <f>'School Level Inst. Resources'!B59</f>
        <v>Campbell #1</v>
      </c>
      <c r="C59" s="20" t="str">
        <f>'School Level Inst. Resources'!C59</f>
        <v>0301059</v>
      </c>
      <c r="D59" s="20" t="str">
        <f>'School Level Inst. Resources'!D59</f>
        <v>Thunder Basin High School</v>
      </c>
      <c r="E59" s="138" t="str">
        <f>'School Level Inst. Resources'!E59</f>
        <v>9-12</v>
      </c>
      <c r="F59" s="317">
        <f>IF(AND($A$2=4,VLOOKUP($A59,'District Level ADM'!$A$5:$W$52,5,FALSE)="Prior Year"),AH59,IF(AND($A$2=4,VLOOKUP($A59,'District Level ADM'!$A$5:$W$52,5,FALSE)="3-Year Avg."),T59,IF($A$2=2,AH59,IF($A$2=3,T59,IF(($AG59&gt;$AU59),T59,AH59)))))</f>
        <v>0</v>
      </c>
      <c r="G59" s="317">
        <f>IF(AND($A$2=4,VLOOKUP($A59,'District Level ADM'!$A$5:$W$52,5,FALSE)="Prior Year"),AI59,IF(AND($A$2=4,VLOOKUP($A59,'District Level ADM'!$A$5:$W$52,5,FALSE)="3-Year Avg."),U59,IF($A$2=2,AI59,IF($A$2=3,U59,IF(($AG59&gt;$AU59),U59,AI59)))))</f>
        <v>0</v>
      </c>
      <c r="H59" s="317">
        <f>IF(AND($A$2=4,VLOOKUP($A59,'District Level ADM'!$A$5:$W$52,5,FALSE)="Prior Year"),AJ59,IF(AND($A$2=4,VLOOKUP($A59,'District Level ADM'!$A$5:$W$52,5,FALSE)="3-Year Avg."),V59,IF($A$2=2,AJ59,IF($A$2=3,V59,IF(($AG59&gt;$AU59),V59,AJ59)))))</f>
        <v>0</v>
      </c>
      <c r="I59" s="317">
        <f>IF(AND($A$2=4,VLOOKUP($A59,'District Level ADM'!$A$5:$W$52,5,FALSE)="Prior Year"),AK59,IF(AND($A$2=4,VLOOKUP($A59,'District Level ADM'!$A$5:$W$52,5,FALSE)="3-Year Avg."),W59,IF($A$2=2,AK59,IF($A$2=3,W59,IF(($AG59&gt;$AU59),W59,AK59)))))</f>
        <v>0</v>
      </c>
      <c r="J59" s="317">
        <f>IF(AND($A$2=4,VLOOKUP($A59,'District Level ADM'!$A$5:$W$52,5,FALSE)="Prior Year"),AL59,IF(AND($A$2=4,VLOOKUP($A59,'District Level ADM'!$A$5:$W$52,5,FALSE)="3-Year Avg."),X59,IF($A$2=2,AL59,IF($A$2=3,X59,IF(($AG59&gt;$AU59),X59,AL59)))))</f>
        <v>0</v>
      </c>
      <c r="K59" s="317">
        <f>IF(AND($A$2=4,VLOOKUP($A59,'District Level ADM'!$A$5:$W$52,5,FALSE)="Prior Year"),AM59,IF(AND($A$2=4,VLOOKUP($A59,'District Level ADM'!$A$5:$W$52,5,FALSE)="3-Year Avg."),Y59,IF($A$2=2,AM59,IF($A$2=3,Y59,IF(($AG59&gt;$AU59),Y59,AM59)))))</f>
        <v>0</v>
      </c>
      <c r="L59" s="317">
        <f>IF(AND($A$2=4,VLOOKUP($A59,'District Level ADM'!$A$5:$W$52,5,FALSE)="Prior Year"),AN59,IF(AND($A$2=4,VLOOKUP($A59,'District Level ADM'!$A$5:$W$52,5,FALSE)="3-Year Avg."),Z59,IF($A$2=2,AN59,IF($A$2=3,Z59,IF(($AG59&gt;$AU59),Z59,AN59)))))</f>
        <v>0</v>
      </c>
      <c r="M59" s="317">
        <f>IF(AND($A$2=4,VLOOKUP($A59,'District Level ADM'!$A$5:$W$52,5,FALSE)="Prior Year"),AO59,IF(AND($A$2=4,VLOOKUP($A59,'District Level ADM'!$A$5:$W$52,5,FALSE)="3-Year Avg."),AA59,IF($A$2=2,AO59,IF($A$2=3,AA59,IF(($AG59&gt;$AU59),AA59,AO59)))))</f>
        <v>0</v>
      </c>
      <c r="N59" s="317">
        <f>IF(AND($A$2=4,VLOOKUP($A59,'District Level ADM'!$A$5:$W$52,5,FALSE)="Prior Year"),AP59,IF(AND($A$2=4,VLOOKUP($A59,'District Level ADM'!$A$5:$W$52,5,FALSE)="3-Year Avg."),AB59,IF($A$2=2,AP59,IF($A$2=3,AB59,IF(($AG59&gt;$AU59),AB59,AP59)))))</f>
        <v>0</v>
      </c>
      <c r="O59" s="317">
        <f>IF(AND($A$2=4,VLOOKUP($A59,'District Level ADM'!$A$5:$W$52,5,FALSE)="Prior Year"),AQ59,IF(AND($A$2=4,VLOOKUP($A59,'District Level ADM'!$A$5:$W$52,5,FALSE)="3-Year Avg."),AC59,IF($A$2=2,AQ59,IF($A$2=3,AC59,IF(($AG59&gt;$AU59),AC59,AQ59)))))</f>
        <v>312.43</v>
      </c>
      <c r="P59" s="317">
        <f>IF(AND($A$2=4,VLOOKUP($A59,'District Level ADM'!$A$5:$W$52,5,FALSE)="Prior Year"),AR59,IF(AND($A$2=4,VLOOKUP($A59,'District Level ADM'!$A$5:$W$52,5,FALSE)="3-Year Avg."),AD59,IF($A$2=2,AR59,IF($A$2=3,AD59,IF(($AG59&gt;$AU59),AD59,AR59)))))</f>
        <v>289.20066666666662</v>
      </c>
      <c r="Q59" s="317">
        <f>IF(AND($A$2=4,VLOOKUP($A59,'District Level ADM'!$A$5:$W$52,5,FALSE)="Prior Year"),AS59,IF(AND($A$2=4,VLOOKUP($A59,'District Level ADM'!$A$5:$W$52,5,FALSE)="3-Year Avg."),AE59,IF($A$2=2,AS59,IF($A$2=3,AE59,IF(($AG59&gt;$AU59),AE59,AS59)))))</f>
        <v>251.97666666666666</v>
      </c>
      <c r="R59" s="317">
        <f>IF(AND($A$2=4,VLOOKUP($A59,'District Level ADM'!$A$5:$W$52,5,FALSE)="Prior Year"),AT59,IF(AND($A$2=4,VLOOKUP($A59,'District Level ADM'!$A$5:$W$52,5,FALSE)="3-Year Avg."),AF59,IF($A$2=2,AT59,IF($A$2=3,AF59,IF(($AG59&gt;$AU59),AF59,AT59)))))</f>
        <v>206.98116666666667</v>
      </c>
      <c r="S59" s="317">
        <f t="shared" si="1"/>
        <v>1060.5885000000001</v>
      </c>
      <c r="T59" s="317">
        <f t="shared" si="8"/>
        <v>0</v>
      </c>
      <c r="U59" s="317">
        <f t="shared" si="8"/>
        <v>0</v>
      </c>
      <c r="V59" s="317">
        <f t="shared" si="8"/>
        <v>0</v>
      </c>
      <c r="W59" s="317">
        <f t="shared" si="8"/>
        <v>0</v>
      </c>
      <c r="X59" s="317">
        <f t="shared" si="8"/>
        <v>0</v>
      </c>
      <c r="Y59" s="317">
        <f t="shared" si="8"/>
        <v>0</v>
      </c>
      <c r="Z59" s="317">
        <f t="shared" si="7"/>
        <v>0</v>
      </c>
      <c r="AA59" s="317">
        <f t="shared" si="7"/>
        <v>0</v>
      </c>
      <c r="AB59" s="317">
        <f t="shared" si="7"/>
        <v>0</v>
      </c>
      <c r="AC59" s="317">
        <f t="shared" si="7"/>
        <v>312.43</v>
      </c>
      <c r="AD59" s="317">
        <f t="shared" si="7"/>
        <v>289.20066666666662</v>
      </c>
      <c r="AE59" s="317">
        <f t="shared" si="7"/>
        <v>251.97666666666666</v>
      </c>
      <c r="AF59" s="317">
        <f t="shared" si="7"/>
        <v>206.98116666666667</v>
      </c>
      <c r="AG59" s="317">
        <f t="shared" si="3"/>
        <v>1060.5885000000001</v>
      </c>
      <c r="AH59" s="318">
        <v>0</v>
      </c>
      <c r="AI59" s="318">
        <v>0</v>
      </c>
      <c r="AJ59" s="318">
        <v>0</v>
      </c>
      <c r="AK59" s="318">
        <v>0</v>
      </c>
      <c r="AL59" s="318">
        <v>0</v>
      </c>
      <c r="AM59" s="318">
        <v>0</v>
      </c>
      <c r="AN59" s="318">
        <v>0</v>
      </c>
      <c r="AO59" s="318">
        <v>0</v>
      </c>
      <c r="AP59" s="318">
        <v>0</v>
      </c>
      <c r="AQ59" s="318">
        <v>327.02</v>
      </c>
      <c r="AR59" s="318">
        <v>294.51499999999999</v>
      </c>
      <c r="AS59" s="318">
        <v>252.16</v>
      </c>
      <c r="AT59" s="318">
        <v>186.16499999999999</v>
      </c>
      <c r="AU59" s="317">
        <f t="shared" si="11"/>
        <v>1059.8599999999999</v>
      </c>
      <c r="AV59" s="319">
        <v>0</v>
      </c>
      <c r="AW59" s="319">
        <v>0</v>
      </c>
      <c r="AX59" s="319">
        <v>0</v>
      </c>
      <c r="AY59" s="319">
        <v>0</v>
      </c>
      <c r="AZ59" s="319">
        <v>0</v>
      </c>
      <c r="BA59" s="319">
        <v>0</v>
      </c>
      <c r="BB59" s="319">
        <v>0</v>
      </c>
      <c r="BC59" s="319">
        <v>0</v>
      </c>
      <c r="BD59" s="319">
        <v>0</v>
      </c>
      <c r="BE59" s="319">
        <v>299.98849999999999</v>
      </c>
      <c r="BF59" s="319">
        <v>278.12849999999997</v>
      </c>
      <c r="BG59" s="319">
        <v>250.77449999999999</v>
      </c>
      <c r="BH59" s="319">
        <v>211.5</v>
      </c>
      <c r="BI59" s="317">
        <f t="shared" si="12"/>
        <v>1040.3915</v>
      </c>
      <c r="BJ59" s="316">
        <v>0</v>
      </c>
      <c r="BK59" s="316">
        <v>0</v>
      </c>
      <c r="BL59" s="316">
        <v>0</v>
      </c>
      <c r="BM59" s="316">
        <v>0</v>
      </c>
      <c r="BN59" s="316">
        <v>0</v>
      </c>
      <c r="BO59" s="316">
        <v>0</v>
      </c>
      <c r="BP59" s="316">
        <v>0</v>
      </c>
      <c r="BQ59" s="316">
        <v>0</v>
      </c>
      <c r="BR59" s="316">
        <v>0</v>
      </c>
      <c r="BS59" s="316">
        <v>310.28149999999999</v>
      </c>
      <c r="BT59" s="316">
        <v>294.95850000000002</v>
      </c>
      <c r="BU59" s="316">
        <v>252.99549999999999</v>
      </c>
      <c r="BV59" s="316">
        <v>223.27850000000001</v>
      </c>
      <c r="BW59" s="317">
        <f t="shared" si="10"/>
        <v>1081.5140000000001</v>
      </c>
    </row>
    <row r="60" spans="1:75" x14ac:dyDescent="0.2">
      <c r="A60" s="20" t="str">
        <f>'School Level Inst. Resources'!A60</f>
        <v>0401000</v>
      </c>
      <c r="B60" s="20" t="str">
        <f>'School Level Inst. Resources'!B60</f>
        <v>Carbon #1</v>
      </c>
      <c r="C60" s="20" t="str">
        <f>'School Level Inst. Resources'!C60</f>
        <v>0401008</v>
      </c>
      <c r="D60" s="20" t="str">
        <f>'School Level Inst. Resources'!D60</f>
        <v>Rawlins Elementary</v>
      </c>
      <c r="E60" s="138" t="str">
        <f>'School Level Inst. Resources'!E60</f>
        <v>K-5</v>
      </c>
      <c r="F60" s="317">
        <f>IF(AND($A$2=4,VLOOKUP($A60,'District Level ADM'!$A$5:$W$52,5,FALSE)="Prior Year"),AH60,IF(AND($A$2=4,VLOOKUP($A60,'District Level ADM'!$A$5:$W$52,5,FALSE)="3-Year Avg."),T60,IF($A$2=2,AH60,IF($A$2=3,T60,IF(($AG60&gt;$AU60),T60,AH60)))))</f>
        <v>143.59399999999999</v>
      </c>
      <c r="G60" s="317">
        <f>IF(AND($A$2=4,VLOOKUP($A60,'District Level ADM'!$A$5:$W$52,5,FALSE)="Prior Year"),AI60,IF(AND($A$2=4,VLOOKUP($A60,'District Level ADM'!$A$5:$W$52,5,FALSE)="3-Year Avg."),U60,IF($A$2=2,AI60,IF($A$2=3,U60,IF(($AG60&gt;$AU60),U60,AI60)))))</f>
        <v>132.34533333333334</v>
      </c>
      <c r="H60" s="317">
        <f>IF(AND($A$2=4,VLOOKUP($A60,'District Level ADM'!$A$5:$W$52,5,FALSE)="Prior Year"),AJ60,IF(AND($A$2=4,VLOOKUP($A60,'District Level ADM'!$A$5:$W$52,5,FALSE)="3-Year Avg."),V60,IF($A$2=2,AJ60,IF($A$2=3,V60,IF(($AG60&gt;$AU60),V60,AJ60)))))</f>
        <v>131.23633333333333</v>
      </c>
      <c r="I60" s="317">
        <f>IF(AND($A$2=4,VLOOKUP($A60,'District Level ADM'!$A$5:$W$52,5,FALSE)="Prior Year"),AK60,IF(AND($A$2=4,VLOOKUP($A60,'District Level ADM'!$A$5:$W$52,5,FALSE)="3-Year Avg."),W60,IF($A$2=2,AK60,IF($A$2=3,W60,IF(($AG60&gt;$AU60),W60,AK60)))))</f>
        <v>133.72566666666665</v>
      </c>
      <c r="J60" s="317">
        <f>IF(AND($A$2=4,VLOOKUP($A60,'District Level ADM'!$A$5:$W$52,5,FALSE)="Prior Year"),AL60,IF(AND($A$2=4,VLOOKUP($A60,'District Level ADM'!$A$5:$W$52,5,FALSE)="3-Year Avg."),X60,IF($A$2=2,AL60,IF($A$2=3,X60,IF(($AG60&gt;$AU60),X60,AL60)))))</f>
        <v>133.09166666666667</v>
      </c>
      <c r="K60" s="317">
        <f>IF(AND($A$2=4,VLOOKUP($A60,'District Level ADM'!$A$5:$W$52,5,FALSE)="Prior Year"),AM60,IF(AND($A$2=4,VLOOKUP($A60,'District Level ADM'!$A$5:$W$52,5,FALSE)="3-Year Avg."),Y60,IF($A$2=2,AM60,IF($A$2=3,Y60,IF(($AG60&gt;$AU60),Y60,AM60)))))</f>
        <v>129.20166666666668</v>
      </c>
      <c r="L60" s="317">
        <f>IF(AND($A$2=4,VLOOKUP($A60,'District Level ADM'!$A$5:$W$52,5,FALSE)="Prior Year"),AN60,IF(AND($A$2=4,VLOOKUP($A60,'District Level ADM'!$A$5:$W$52,5,FALSE)="3-Year Avg."),Z60,IF($A$2=2,AN60,IF($A$2=3,Z60,IF(($AG60&gt;$AU60),Z60,AN60)))))</f>
        <v>0</v>
      </c>
      <c r="M60" s="317">
        <f>IF(AND($A$2=4,VLOOKUP($A60,'District Level ADM'!$A$5:$W$52,5,FALSE)="Prior Year"),AO60,IF(AND($A$2=4,VLOOKUP($A60,'District Level ADM'!$A$5:$W$52,5,FALSE)="3-Year Avg."),AA60,IF($A$2=2,AO60,IF($A$2=3,AA60,IF(($AG60&gt;$AU60),AA60,AO60)))))</f>
        <v>0</v>
      </c>
      <c r="N60" s="317">
        <f>IF(AND($A$2=4,VLOOKUP($A60,'District Level ADM'!$A$5:$W$52,5,FALSE)="Prior Year"),AP60,IF(AND($A$2=4,VLOOKUP($A60,'District Level ADM'!$A$5:$W$52,5,FALSE)="3-Year Avg."),AB60,IF($A$2=2,AP60,IF($A$2=3,AB60,IF(($AG60&gt;$AU60),AB60,AP60)))))</f>
        <v>0</v>
      </c>
      <c r="O60" s="317">
        <f>IF(AND($A$2=4,VLOOKUP($A60,'District Level ADM'!$A$5:$W$52,5,FALSE)="Prior Year"),AQ60,IF(AND($A$2=4,VLOOKUP($A60,'District Level ADM'!$A$5:$W$52,5,FALSE)="3-Year Avg."),AC60,IF($A$2=2,AQ60,IF($A$2=3,AC60,IF(($AG60&gt;$AU60),AC60,AQ60)))))</f>
        <v>0</v>
      </c>
      <c r="P60" s="317">
        <f>IF(AND($A$2=4,VLOOKUP($A60,'District Level ADM'!$A$5:$W$52,5,FALSE)="Prior Year"),AR60,IF(AND($A$2=4,VLOOKUP($A60,'District Level ADM'!$A$5:$W$52,5,FALSE)="3-Year Avg."),AD60,IF($A$2=2,AR60,IF($A$2=3,AD60,IF(($AG60&gt;$AU60),AD60,AR60)))))</f>
        <v>0</v>
      </c>
      <c r="Q60" s="317">
        <f>IF(AND($A$2=4,VLOOKUP($A60,'District Level ADM'!$A$5:$W$52,5,FALSE)="Prior Year"),AS60,IF(AND($A$2=4,VLOOKUP($A60,'District Level ADM'!$A$5:$W$52,5,FALSE)="3-Year Avg."),AE60,IF($A$2=2,AS60,IF($A$2=3,AE60,IF(($AG60&gt;$AU60),AE60,AS60)))))</f>
        <v>0</v>
      </c>
      <c r="R60" s="317">
        <f>IF(AND($A$2=4,VLOOKUP($A60,'District Level ADM'!$A$5:$W$52,5,FALSE)="Prior Year"),AT60,IF(AND($A$2=4,VLOOKUP($A60,'District Level ADM'!$A$5:$W$52,5,FALSE)="3-Year Avg."),AF60,IF($A$2=2,AT60,IF($A$2=3,AF60,IF(($AG60&gt;$AU60),AF60,AT60)))))</f>
        <v>0</v>
      </c>
      <c r="S60" s="317">
        <f t="shared" si="1"/>
        <v>803.19466666666676</v>
      </c>
      <c r="T60" s="317">
        <f t="shared" si="8"/>
        <v>143.59399999999999</v>
      </c>
      <c r="U60" s="317">
        <f t="shared" si="8"/>
        <v>132.34533333333334</v>
      </c>
      <c r="V60" s="317">
        <f t="shared" si="8"/>
        <v>131.23633333333333</v>
      </c>
      <c r="W60" s="317">
        <f t="shared" si="8"/>
        <v>133.72566666666665</v>
      </c>
      <c r="X60" s="317">
        <f t="shared" si="8"/>
        <v>133.09166666666667</v>
      </c>
      <c r="Y60" s="317">
        <f t="shared" si="8"/>
        <v>129.20166666666668</v>
      </c>
      <c r="Z60" s="317">
        <f t="shared" si="7"/>
        <v>0</v>
      </c>
      <c r="AA60" s="317">
        <f t="shared" si="7"/>
        <v>0</v>
      </c>
      <c r="AB60" s="317">
        <f t="shared" si="7"/>
        <v>0</v>
      </c>
      <c r="AC60" s="317">
        <f t="shared" si="7"/>
        <v>0</v>
      </c>
      <c r="AD60" s="317">
        <f t="shared" si="7"/>
        <v>0</v>
      </c>
      <c r="AE60" s="317">
        <f t="shared" si="7"/>
        <v>0</v>
      </c>
      <c r="AF60" s="317">
        <f t="shared" si="7"/>
        <v>0</v>
      </c>
      <c r="AG60" s="317">
        <f t="shared" si="3"/>
        <v>803.19466666666676</v>
      </c>
      <c r="AH60" s="318">
        <v>131.005</v>
      </c>
      <c r="AI60" s="318">
        <v>119.185</v>
      </c>
      <c r="AJ60" s="318">
        <v>116.23</v>
      </c>
      <c r="AK60" s="318">
        <v>129.035</v>
      </c>
      <c r="AL60" s="318">
        <v>118.2</v>
      </c>
      <c r="AM60" s="318">
        <v>126.08</v>
      </c>
      <c r="AN60" s="318">
        <v>0</v>
      </c>
      <c r="AO60" s="318">
        <v>0</v>
      </c>
      <c r="AP60" s="318">
        <v>0</v>
      </c>
      <c r="AQ60" s="318">
        <v>0</v>
      </c>
      <c r="AR60" s="318">
        <v>0</v>
      </c>
      <c r="AS60" s="318">
        <v>0</v>
      </c>
      <c r="AT60" s="318">
        <v>0</v>
      </c>
      <c r="AU60" s="317">
        <f t="shared" si="4"/>
        <v>739.73500000000013</v>
      </c>
      <c r="AV60" s="319">
        <v>143.79400000000001</v>
      </c>
      <c r="AW60" s="319">
        <v>131.714</v>
      </c>
      <c r="AX60" s="319">
        <v>138.89099999999999</v>
      </c>
      <c r="AY60" s="319">
        <v>127.95399999999999</v>
      </c>
      <c r="AZ60" s="319">
        <v>136.589</v>
      </c>
      <c r="BA60" s="319">
        <v>133.45099999999999</v>
      </c>
      <c r="BB60" s="319">
        <v>0</v>
      </c>
      <c r="BC60" s="319">
        <v>0</v>
      </c>
      <c r="BD60" s="319">
        <v>0</v>
      </c>
      <c r="BE60" s="319">
        <v>0</v>
      </c>
      <c r="BF60" s="319">
        <v>0</v>
      </c>
      <c r="BG60" s="319">
        <v>0</v>
      </c>
      <c r="BH60" s="319">
        <v>0</v>
      </c>
      <c r="BI60" s="317">
        <f t="shared" si="5"/>
        <v>812.39300000000003</v>
      </c>
      <c r="BJ60" s="316">
        <v>155.983</v>
      </c>
      <c r="BK60" s="316">
        <v>146.137</v>
      </c>
      <c r="BL60" s="316">
        <v>138.58800000000002</v>
      </c>
      <c r="BM60" s="316">
        <v>144.18799999999999</v>
      </c>
      <c r="BN60" s="316">
        <v>144.48599999999999</v>
      </c>
      <c r="BO60" s="316">
        <v>128.07400000000001</v>
      </c>
      <c r="BP60" s="316">
        <v>0</v>
      </c>
      <c r="BQ60" s="316">
        <v>0</v>
      </c>
      <c r="BR60" s="316">
        <v>0</v>
      </c>
      <c r="BS60" s="316">
        <v>0</v>
      </c>
      <c r="BT60" s="316">
        <v>0</v>
      </c>
      <c r="BU60" s="316">
        <v>0</v>
      </c>
      <c r="BV60" s="316">
        <v>0</v>
      </c>
      <c r="BW60" s="317">
        <f t="shared" si="6"/>
        <v>857.4559999999999</v>
      </c>
    </row>
    <row r="61" spans="1:75" x14ac:dyDescent="0.2">
      <c r="A61" s="20" t="str">
        <f>'School Level Inst. Resources'!A61</f>
        <v>0401000</v>
      </c>
      <c r="B61" s="20" t="str">
        <f>'School Level Inst. Resources'!B61</f>
        <v>Carbon #1</v>
      </c>
      <c r="C61" s="20" t="str">
        <f>'School Level Inst. Resources'!C61</f>
        <v>0401049</v>
      </c>
      <c r="D61" s="20" t="str">
        <f>'School Level Inst. Resources'!D61</f>
        <v>Little Snake River Valley School</v>
      </c>
      <c r="E61" s="138" t="str">
        <f>'School Level Inst. Resources'!E61</f>
        <v>K-12</v>
      </c>
      <c r="F61" s="317">
        <f>IF(AND($A$2=4,VLOOKUP($A61,'District Level ADM'!$A$5:$W$52,5,FALSE)="Prior Year"),AH61,IF(AND($A$2=4,VLOOKUP($A61,'District Level ADM'!$A$5:$W$52,5,FALSE)="3-Year Avg."),T61,IF($A$2=2,AH61,IF($A$2=3,T61,IF(($AG61&gt;$AU61),T61,AH61)))))</f>
        <v>17.626333333333331</v>
      </c>
      <c r="G61" s="317">
        <f>IF(AND($A$2=4,VLOOKUP($A61,'District Level ADM'!$A$5:$W$52,5,FALSE)="Prior Year"),AI61,IF(AND($A$2=4,VLOOKUP($A61,'District Level ADM'!$A$5:$W$52,5,FALSE)="3-Year Avg."),U61,IF($A$2=2,AI61,IF($A$2=3,U61,IF(($AG61&gt;$AU61),U61,AI61)))))</f>
        <v>15.350000000000001</v>
      </c>
      <c r="H61" s="317">
        <f>IF(AND($A$2=4,VLOOKUP($A61,'District Level ADM'!$A$5:$W$52,5,FALSE)="Prior Year"),AJ61,IF(AND($A$2=4,VLOOKUP($A61,'District Level ADM'!$A$5:$W$52,5,FALSE)="3-Year Avg."),V61,IF($A$2=2,AJ61,IF($A$2=3,V61,IF(($AG61&gt;$AU61),V61,AJ61)))))</f>
        <v>16.616</v>
      </c>
      <c r="I61" s="317">
        <f>IF(AND($A$2=4,VLOOKUP($A61,'District Level ADM'!$A$5:$W$52,5,FALSE)="Prior Year"),AK61,IF(AND($A$2=4,VLOOKUP($A61,'District Level ADM'!$A$5:$W$52,5,FALSE)="3-Year Avg."),W61,IF($A$2=2,AK61,IF($A$2=3,W61,IF(($AG61&gt;$AU61),W61,AK61)))))</f>
        <v>18.62</v>
      </c>
      <c r="J61" s="317">
        <f>IF(AND($A$2=4,VLOOKUP($A61,'District Level ADM'!$A$5:$W$52,5,FALSE)="Prior Year"),AL61,IF(AND($A$2=4,VLOOKUP($A61,'District Level ADM'!$A$5:$W$52,5,FALSE)="3-Year Avg."),X61,IF($A$2=2,AL61,IF($A$2=3,X61,IF(($AG61&gt;$AU61),X61,AL61)))))</f>
        <v>18.741666666666664</v>
      </c>
      <c r="K61" s="317">
        <f>IF(AND($A$2=4,VLOOKUP($A61,'District Level ADM'!$A$5:$W$52,5,FALSE)="Prior Year"),AM61,IF(AND($A$2=4,VLOOKUP($A61,'District Level ADM'!$A$5:$W$52,5,FALSE)="3-Year Avg."),Y61,IF($A$2=2,AM61,IF($A$2=3,Y61,IF(($AG61&gt;$AU61),Y61,AM61)))))</f>
        <v>14.718333333333334</v>
      </c>
      <c r="L61" s="317">
        <f>IF(AND($A$2=4,VLOOKUP($A61,'District Level ADM'!$A$5:$W$52,5,FALSE)="Prior Year"),AN61,IF(AND($A$2=4,VLOOKUP($A61,'District Level ADM'!$A$5:$W$52,5,FALSE)="3-Year Avg."),Z61,IF($A$2=2,AN61,IF($A$2=3,Z61,IF(($AG61&gt;$AU61),Z61,AN61)))))</f>
        <v>12.705</v>
      </c>
      <c r="M61" s="317">
        <f>IF(AND($A$2=4,VLOOKUP($A61,'District Level ADM'!$A$5:$W$52,5,FALSE)="Prior Year"),AO61,IF(AND($A$2=4,VLOOKUP($A61,'District Level ADM'!$A$5:$W$52,5,FALSE)="3-Year Avg."),AA61,IF($A$2=2,AO61,IF($A$2=3,AA61,IF(($AG61&gt;$AU61),AA61,AO61)))))</f>
        <v>10.585000000000001</v>
      </c>
      <c r="N61" s="317">
        <f>IF(AND($A$2=4,VLOOKUP($A61,'District Level ADM'!$A$5:$W$52,5,FALSE)="Prior Year"),AP61,IF(AND($A$2=4,VLOOKUP($A61,'District Level ADM'!$A$5:$W$52,5,FALSE)="3-Year Avg."),AB61,IF($A$2=2,AP61,IF($A$2=3,AB61,IF(($AG61&gt;$AU61),AB61,AP61)))))</f>
        <v>12.799333333333331</v>
      </c>
      <c r="O61" s="317">
        <f>IF(AND($A$2=4,VLOOKUP($A61,'District Level ADM'!$A$5:$W$52,5,FALSE)="Prior Year"),AQ61,IF(AND($A$2=4,VLOOKUP($A61,'District Level ADM'!$A$5:$W$52,5,FALSE)="3-Year Avg."),AC61,IF($A$2=2,AQ61,IF($A$2=3,AC61,IF(($AG61&gt;$AU61),AC61,AQ61)))))</f>
        <v>10.705</v>
      </c>
      <c r="P61" s="317">
        <f>IF(AND($A$2=4,VLOOKUP($A61,'District Level ADM'!$A$5:$W$52,5,FALSE)="Prior Year"),AR61,IF(AND($A$2=4,VLOOKUP($A61,'District Level ADM'!$A$5:$W$52,5,FALSE)="3-Year Avg."),AD61,IF($A$2=2,AR61,IF($A$2=3,AD61,IF(($AG61&gt;$AU61),AD61,AR61)))))</f>
        <v>12.591666666666667</v>
      </c>
      <c r="Q61" s="317">
        <f>IF(AND($A$2=4,VLOOKUP($A61,'District Level ADM'!$A$5:$W$52,5,FALSE)="Prior Year"),AS61,IF(AND($A$2=4,VLOOKUP($A61,'District Level ADM'!$A$5:$W$52,5,FALSE)="3-Year Avg."),AE61,IF($A$2=2,AS61,IF($A$2=3,AE61,IF(($AG61&gt;$AU61),AE61,AS61)))))</f>
        <v>10.303333333333333</v>
      </c>
      <c r="R61" s="317">
        <f>IF(AND($A$2=4,VLOOKUP($A61,'District Level ADM'!$A$5:$W$52,5,FALSE)="Prior Year"),AT61,IF(AND($A$2=4,VLOOKUP($A61,'District Level ADM'!$A$5:$W$52,5,FALSE)="3-Year Avg."),AF61,IF($A$2=2,AT61,IF($A$2=3,AF61,IF(($AG61&gt;$AU61),AF61,AT61)))))</f>
        <v>11.994999999999999</v>
      </c>
      <c r="S61" s="317">
        <f t="shared" si="1"/>
        <v>183.35666666666668</v>
      </c>
      <c r="T61" s="317">
        <f t="shared" si="8"/>
        <v>17.626333333333331</v>
      </c>
      <c r="U61" s="317">
        <f t="shared" si="8"/>
        <v>15.350000000000001</v>
      </c>
      <c r="V61" s="317">
        <f t="shared" si="8"/>
        <v>16.616</v>
      </c>
      <c r="W61" s="317">
        <f t="shared" si="8"/>
        <v>18.62</v>
      </c>
      <c r="X61" s="317">
        <f t="shared" si="8"/>
        <v>18.741666666666664</v>
      </c>
      <c r="Y61" s="317">
        <f t="shared" si="8"/>
        <v>14.718333333333334</v>
      </c>
      <c r="Z61" s="317">
        <f t="shared" si="7"/>
        <v>12.705</v>
      </c>
      <c r="AA61" s="317">
        <f t="shared" si="7"/>
        <v>10.585000000000001</v>
      </c>
      <c r="AB61" s="317">
        <f t="shared" si="7"/>
        <v>12.799333333333331</v>
      </c>
      <c r="AC61" s="317">
        <f t="shared" si="7"/>
        <v>10.705</v>
      </c>
      <c r="AD61" s="317">
        <f t="shared" si="7"/>
        <v>12.591666666666667</v>
      </c>
      <c r="AE61" s="317">
        <f t="shared" si="7"/>
        <v>10.303333333333333</v>
      </c>
      <c r="AF61" s="317">
        <f t="shared" si="7"/>
        <v>11.994999999999999</v>
      </c>
      <c r="AG61" s="317">
        <f t="shared" si="3"/>
        <v>183.35666666666668</v>
      </c>
      <c r="AH61" s="318">
        <v>16.745000000000001</v>
      </c>
      <c r="AI61" s="318">
        <v>21.67</v>
      </c>
      <c r="AJ61" s="318">
        <v>10.835000000000001</v>
      </c>
      <c r="AK61" s="318">
        <v>15.76</v>
      </c>
      <c r="AL61" s="318">
        <v>24.625</v>
      </c>
      <c r="AM61" s="318">
        <v>18.715</v>
      </c>
      <c r="AN61" s="318">
        <v>14.775</v>
      </c>
      <c r="AO61" s="318">
        <v>10.835000000000001</v>
      </c>
      <c r="AP61" s="318">
        <v>12.805</v>
      </c>
      <c r="AQ61" s="318">
        <v>10.835000000000001</v>
      </c>
      <c r="AR61" s="318">
        <v>14.775</v>
      </c>
      <c r="AS61" s="318">
        <v>5.91</v>
      </c>
      <c r="AT61" s="318">
        <v>16.745000000000001</v>
      </c>
      <c r="AU61" s="317">
        <f t="shared" si="4"/>
        <v>195.03000000000003</v>
      </c>
      <c r="AV61" s="319">
        <v>26.486999999999998</v>
      </c>
      <c r="AW61" s="319">
        <v>10.093</v>
      </c>
      <c r="AX61" s="319">
        <v>16.013000000000002</v>
      </c>
      <c r="AY61" s="319">
        <v>23.167000000000002</v>
      </c>
      <c r="AZ61" s="319">
        <v>18.16</v>
      </c>
      <c r="BA61" s="319">
        <v>13</v>
      </c>
      <c r="BB61" s="319">
        <v>12.3</v>
      </c>
      <c r="BC61" s="319">
        <v>10.92</v>
      </c>
      <c r="BD61" s="319">
        <v>10.66</v>
      </c>
      <c r="BE61" s="319">
        <v>15.147</v>
      </c>
      <c r="BF61" s="319">
        <v>6</v>
      </c>
      <c r="BG61" s="319">
        <v>17</v>
      </c>
      <c r="BH61" s="319">
        <v>8</v>
      </c>
      <c r="BI61" s="317">
        <f t="shared" si="5"/>
        <v>186.94699999999997</v>
      </c>
      <c r="BJ61" s="316">
        <v>9.6470000000000002</v>
      </c>
      <c r="BK61" s="316">
        <v>14.287000000000001</v>
      </c>
      <c r="BL61" s="316">
        <v>23</v>
      </c>
      <c r="BM61" s="316">
        <v>16.933</v>
      </c>
      <c r="BN61" s="316">
        <v>13.44</v>
      </c>
      <c r="BO61" s="316">
        <v>12.44</v>
      </c>
      <c r="BP61" s="316">
        <v>11.04</v>
      </c>
      <c r="BQ61" s="316">
        <v>10</v>
      </c>
      <c r="BR61" s="316">
        <v>14.933</v>
      </c>
      <c r="BS61" s="316">
        <v>6.133</v>
      </c>
      <c r="BT61" s="316">
        <v>17</v>
      </c>
      <c r="BU61" s="316">
        <v>8</v>
      </c>
      <c r="BV61" s="316">
        <v>11.24</v>
      </c>
      <c r="BW61" s="317">
        <f t="shared" si="6"/>
        <v>168.09300000000002</v>
      </c>
    </row>
    <row r="62" spans="1:75" x14ac:dyDescent="0.2">
      <c r="A62" s="20" t="str">
        <f>'School Level Inst. Resources'!A62</f>
        <v>0401000</v>
      </c>
      <c r="B62" s="20" t="str">
        <f>'School Level Inst. Resources'!B62</f>
        <v>Carbon #1</v>
      </c>
      <c r="C62" s="20" t="str">
        <f>'School Level Inst. Resources'!C62</f>
        <v>0401050</v>
      </c>
      <c r="D62" s="20" t="str">
        <f>'School Level Inst. Resources'!D62</f>
        <v>Rawlins Middle School</v>
      </c>
      <c r="E62" s="138" t="str">
        <f>'School Level Inst. Resources'!E62</f>
        <v>6-8</v>
      </c>
      <c r="F62" s="317">
        <f>IF(AND($A$2=4,VLOOKUP($A62,'District Level ADM'!$A$5:$W$52,5,FALSE)="Prior Year"),AH62,IF(AND($A$2=4,VLOOKUP($A62,'District Level ADM'!$A$5:$W$52,5,FALSE)="3-Year Avg."),T62,IF($A$2=2,AH62,IF($A$2=3,T62,IF(($AG62&gt;$AU62),T62,AH62)))))</f>
        <v>0</v>
      </c>
      <c r="G62" s="317">
        <f>IF(AND($A$2=4,VLOOKUP($A62,'District Level ADM'!$A$5:$W$52,5,FALSE)="Prior Year"),AI62,IF(AND($A$2=4,VLOOKUP($A62,'District Level ADM'!$A$5:$W$52,5,FALSE)="3-Year Avg."),U62,IF($A$2=2,AI62,IF($A$2=3,U62,IF(($AG62&gt;$AU62),U62,AI62)))))</f>
        <v>0</v>
      </c>
      <c r="H62" s="317">
        <f>IF(AND($A$2=4,VLOOKUP($A62,'District Level ADM'!$A$5:$W$52,5,FALSE)="Prior Year"),AJ62,IF(AND($A$2=4,VLOOKUP($A62,'District Level ADM'!$A$5:$W$52,5,FALSE)="3-Year Avg."),V62,IF($A$2=2,AJ62,IF($A$2=3,V62,IF(($AG62&gt;$AU62),V62,AJ62)))))</f>
        <v>0</v>
      </c>
      <c r="I62" s="317">
        <f>IF(AND($A$2=4,VLOOKUP($A62,'District Level ADM'!$A$5:$W$52,5,FALSE)="Prior Year"),AK62,IF(AND($A$2=4,VLOOKUP($A62,'District Level ADM'!$A$5:$W$52,5,FALSE)="3-Year Avg."),W62,IF($A$2=2,AK62,IF($A$2=3,W62,IF(($AG62&gt;$AU62),W62,AK62)))))</f>
        <v>0</v>
      </c>
      <c r="J62" s="317">
        <f>IF(AND($A$2=4,VLOOKUP($A62,'District Level ADM'!$A$5:$W$52,5,FALSE)="Prior Year"),AL62,IF(AND($A$2=4,VLOOKUP($A62,'District Level ADM'!$A$5:$W$52,5,FALSE)="3-Year Avg."),X62,IF($A$2=2,AL62,IF($A$2=3,X62,IF(($AG62&gt;$AU62),X62,AL62)))))</f>
        <v>0</v>
      </c>
      <c r="K62" s="317">
        <f>IF(AND($A$2=4,VLOOKUP($A62,'District Level ADM'!$A$5:$W$52,5,FALSE)="Prior Year"),AM62,IF(AND($A$2=4,VLOOKUP($A62,'District Level ADM'!$A$5:$W$52,5,FALSE)="3-Year Avg."),Y62,IF($A$2=2,AM62,IF($A$2=3,Y62,IF(($AG62&gt;$AU62),Y62,AM62)))))</f>
        <v>0</v>
      </c>
      <c r="L62" s="317">
        <f>IF(AND($A$2=4,VLOOKUP($A62,'District Level ADM'!$A$5:$W$52,5,FALSE)="Prior Year"),AN62,IF(AND($A$2=4,VLOOKUP($A62,'District Level ADM'!$A$5:$W$52,5,FALSE)="3-Year Avg."),Z62,IF($A$2=2,AN62,IF($A$2=3,Z62,IF(($AG62&gt;$AU62),Z62,AN62)))))</f>
        <v>120.63433333333334</v>
      </c>
      <c r="M62" s="317">
        <f>IF(AND($A$2=4,VLOOKUP($A62,'District Level ADM'!$A$5:$W$52,5,FALSE)="Prior Year"),AO62,IF(AND($A$2=4,VLOOKUP($A62,'District Level ADM'!$A$5:$W$52,5,FALSE)="3-Year Avg."),AA62,IF($A$2=2,AO62,IF($A$2=3,AA62,IF(($AG62&gt;$AU62),AA62,AO62)))))</f>
        <v>115.48899999999999</v>
      </c>
      <c r="N62" s="317">
        <f>IF(AND($A$2=4,VLOOKUP($A62,'District Level ADM'!$A$5:$W$52,5,FALSE)="Prior Year"),AP62,IF(AND($A$2=4,VLOOKUP($A62,'District Level ADM'!$A$5:$W$52,5,FALSE)="3-Year Avg."),AB62,IF($A$2=2,AP62,IF($A$2=3,AB62,IF(($AG62&gt;$AU62),AB62,AP62)))))</f>
        <v>113.07133333333333</v>
      </c>
      <c r="O62" s="317">
        <f>IF(AND($A$2=4,VLOOKUP($A62,'District Level ADM'!$A$5:$W$52,5,FALSE)="Prior Year"),AQ62,IF(AND($A$2=4,VLOOKUP($A62,'District Level ADM'!$A$5:$W$52,5,FALSE)="3-Year Avg."),AC62,IF($A$2=2,AQ62,IF($A$2=3,AC62,IF(($AG62&gt;$AU62),AC62,AQ62)))))</f>
        <v>0</v>
      </c>
      <c r="P62" s="317">
        <f>IF(AND($A$2=4,VLOOKUP($A62,'District Level ADM'!$A$5:$W$52,5,FALSE)="Prior Year"),AR62,IF(AND($A$2=4,VLOOKUP($A62,'District Level ADM'!$A$5:$W$52,5,FALSE)="3-Year Avg."),AD62,IF($A$2=2,AR62,IF($A$2=3,AD62,IF(($AG62&gt;$AU62),AD62,AR62)))))</f>
        <v>0</v>
      </c>
      <c r="Q62" s="317">
        <f>IF(AND($A$2=4,VLOOKUP($A62,'District Level ADM'!$A$5:$W$52,5,FALSE)="Prior Year"),AS62,IF(AND($A$2=4,VLOOKUP($A62,'District Level ADM'!$A$5:$W$52,5,FALSE)="3-Year Avg."),AE62,IF($A$2=2,AS62,IF($A$2=3,AE62,IF(($AG62&gt;$AU62),AE62,AS62)))))</f>
        <v>0</v>
      </c>
      <c r="R62" s="317">
        <f>IF(AND($A$2=4,VLOOKUP($A62,'District Level ADM'!$A$5:$W$52,5,FALSE)="Prior Year"),AT62,IF(AND($A$2=4,VLOOKUP($A62,'District Level ADM'!$A$5:$W$52,5,FALSE)="3-Year Avg."),AF62,IF($A$2=2,AT62,IF($A$2=3,AF62,IF(($AG62&gt;$AU62),AF62,AT62)))))</f>
        <v>0</v>
      </c>
      <c r="S62" s="317">
        <f t="shared" si="1"/>
        <v>349.19466666666665</v>
      </c>
      <c r="T62" s="317">
        <f t="shared" si="8"/>
        <v>0</v>
      </c>
      <c r="U62" s="317">
        <f t="shared" si="8"/>
        <v>0</v>
      </c>
      <c r="V62" s="317">
        <f t="shared" si="8"/>
        <v>0</v>
      </c>
      <c r="W62" s="317">
        <f t="shared" si="8"/>
        <v>0</v>
      </c>
      <c r="X62" s="317">
        <f t="shared" si="8"/>
        <v>0</v>
      </c>
      <c r="Y62" s="317">
        <f t="shared" si="8"/>
        <v>0</v>
      </c>
      <c r="Z62" s="317">
        <f t="shared" si="7"/>
        <v>120.63433333333334</v>
      </c>
      <c r="AA62" s="317">
        <f t="shared" si="7"/>
        <v>115.48899999999999</v>
      </c>
      <c r="AB62" s="317">
        <f t="shared" si="7"/>
        <v>113.07133333333333</v>
      </c>
      <c r="AC62" s="317">
        <f t="shared" si="7"/>
        <v>0</v>
      </c>
      <c r="AD62" s="317">
        <f t="shared" si="7"/>
        <v>0</v>
      </c>
      <c r="AE62" s="317">
        <f t="shared" si="7"/>
        <v>0</v>
      </c>
      <c r="AF62" s="317">
        <f t="shared" si="7"/>
        <v>0</v>
      </c>
      <c r="AG62" s="317">
        <f t="shared" si="3"/>
        <v>349.19466666666665</v>
      </c>
      <c r="AH62" s="318">
        <v>0</v>
      </c>
      <c r="AI62" s="318">
        <v>0</v>
      </c>
      <c r="AJ62" s="318">
        <v>0</v>
      </c>
      <c r="AK62" s="318">
        <v>0</v>
      </c>
      <c r="AL62" s="318">
        <v>0</v>
      </c>
      <c r="AM62" s="318">
        <v>0</v>
      </c>
      <c r="AN62" s="318">
        <v>118.2</v>
      </c>
      <c r="AO62" s="318">
        <v>120.17</v>
      </c>
      <c r="AP62" s="318">
        <v>111.30500000000001</v>
      </c>
      <c r="AQ62" s="318">
        <v>0</v>
      </c>
      <c r="AR62" s="318">
        <v>0</v>
      </c>
      <c r="AS62" s="318">
        <v>0</v>
      </c>
      <c r="AT62" s="318">
        <v>0</v>
      </c>
      <c r="AU62" s="317">
        <f t="shared" si="4"/>
        <v>349.67500000000001</v>
      </c>
      <c r="AV62" s="319">
        <v>0</v>
      </c>
      <c r="AW62" s="319">
        <v>0</v>
      </c>
      <c r="AX62" s="319">
        <v>0</v>
      </c>
      <c r="AY62" s="319">
        <v>0</v>
      </c>
      <c r="AZ62" s="319">
        <v>0</v>
      </c>
      <c r="BA62" s="319">
        <v>0</v>
      </c>
      <c r="BB62" s="319">
        <v>120.04600000000001</v>
      </c>
      <c r="BC62" s="319">
        <v>111.73699999999999</v>
      </c>
      <c r="BD62" s="319">
        <v>110.76</v>
      </c>
      <c r="BE62" s="319">
        <v>0</v>
      </c>
      <c r="BF62" s="319">
        <v>0</v>
      </c>
      <c r="BG62" s="319">
        <v>0</v>
      </c>
      <c r="BH62" s="319">
        <v>0</v>
      </c>
      <c r="BI62" s="317">
        <f t="shared" si="5"/>
        <v>342.54300000000001</v>
      </c>
      <c r="BJ62" s="316">
        <v>0</v>
      </c>
      <c r="BK62" s="316">
        <v>0</v>
      </c>
      <c r="BL62" s="316">
        <v>0</v>
      </c>
      <c r="BM62" s="316">
        <v>0</v>
      </c>
      <c r="BN62" s="316">
        <v>0</v>
      </c>
      <c r="BO62" s="316">
        <v>0</v>
      </c>
      <c r="BP62" s="316">
        <v>123.657</v>
      </c>
      <c r="BQ62" s="316">
        <v>114.56</v>
      </c>
      <c r="BR62" s="316">
        <v>117.149</v>
      </c>
      <c r="BS62" s="316">
        <v>0</v>
      </c>
      <c r="BT62" s="316">
        <v>0</v>
      </c>
      <c r="BU62" s="316">
        <v>0</v>
      </c>
      <c r="BV62" s="316">
        <v>0</v>
      </c>
      <c r="BW62" s="317">
        <f t="shared" si="6"/>
        <v>355.36599999999999</v>
      </c>
    </row>
    <row r="63" spans="1:75" x14ac:dyDescent="0.2">
      <c r="A63" s="20" t="str">
        <f>'School Level Inst. Resources'!A63</f>
        <v>0401000</v>
      </c>
      <c r="B63" s="20" t="str">
        <f>'School Level Inst. Resources'!B63</f>
        <v>Carbon #1</v>
      </c>
      <c r="C63" s="20" t="str">
        <f>'School Level Inst. Resources'!C63</f>
        <v>0401056</v>
      </c>
      <c r="D63" s="20" t="str">
        <f>'School Level Inst. Resources'!D63</f>
        <v>Rawlins High School</v>
      </c>
      <c r="E63" s="138" t="str">
        <f>'School Level Inst. Resources'!E63</f>
        <v>9-12</v>
      </c>
      <c r="F63" s="317">
        <f>IF(AND($A$2=4,VLOOKUP($A63,'District Level ADM'!$A$5:$W$52,5,FALSE)="Prior Year"),AH63,IF(AND($A$2=4,VLOOKUP($A63,'District Level ADM'!$A$5:$W$52,5,FALSE)="3-Year Avg."),T63,IF($A$2=2,AH63,IF($A$2=3,T63,IF(($AG63&gt;$AU63),T63,AH63)))))</f>
        <v>0</v>
      </c>
      <c r="G63" s="317">
        <f>IF(AND($A$2=4,VLOOKUP($A63,'District Level ADM'!$A$5:$W$52,5,FALSE)="Prior Year"),AI63,IF(AND($A$2=4,VLOOKUP($A63,'District Level ADM'!$A$5:$W$52,5,FALSE)="3-Year Avg."),U63,IF($A$2=2,AI63,IF($A$2=3,U63,IF(($AG63&gt;$AU63),U63,AI63)))))</f>
        <v>0</v>
      </c>
      <c r="H63" s="317">
        <f>IF(AND($A$2=4,VLOOKUP($A63,'District Level ADM'!$A$5:$W$52,5,FALSE)="Prior Year"),AJ63,IF(AND($A$2=4,VLOOKUP($A63,'District Level ADM'!$A$5:$W$52,5,FALSE)="3-Year Avg."),V63,IF($A$2=2,AJ63,IF($A$2=3,V63,IF(($AG63&gt;$AU63),V63,AJ63)))))</f>
        <v>0</v>
      </c>
      <c r="I63" s="317">
        <f>IF(AND($A$2=4,VLOOKUP($A63,'District Level ADM'!$A$5:$W$52,5,FALSE)="Prior Year"),AK63,IF(AND($A$2=4,VLOOKUP($A63,'District Level ADM'!$A$5:$W$52,5,FALSE)="3-Year Avg."),W63,IF($A$2=2,AK63,IF($A$2=3,W63,IF(($AG63&gt;$AU63),W63,AK63)))))</f>
        <v>0</v>
      </c>
      <c r="J63" s="317">
        <f>IF(AND($A$2=4,VLOOKUP($A63,'District Level ADM'!$A$5:$W$52,5,FALSE)="Prior Year"),AL63,IF(AND($A$2=4,VLOOKUP($A63,'District Level ADM'!$A$5:$W$52,5,FALSE)="3-Year Avg."),X63,IF($A$2=2,AL63,IF($A$2=3,X63,IF(($AG63&gt;$AU63),X63,AL63)))))</f>
        <v>0</v>
      </c>
      <c r="K63" s="317">
        <f>IF(AND($A$2=4,VLOOKUP($A63,'District Level ADM'!$A$5:$W$52,5,FALSE)="Prior Year"),AM63,IF(AND($A$2=4,VLOOKUP($A63,'District Level ADM'!$A$5:$W$52,5,FALSE)="3-Year Avg."),Y63,IF($A$2=2,AM63,IF($A$2=3,Y63,IF(($AG63&gt;$AU63),Y63,AM63)))))</f>
        <v>0</v>
      </c>
      <c r="L63" s="317">
        <f>IF(AND($A$2=4,VLOOKUP($A63,'District Level ADM'!$A$5:$W$52,5,FALSE)="Prior Year"),AN63,IF(AND($A$2=4,VLOOKUP($A63,'District Level ADM'!$A$5:$W$52,5,FALSE)="3-Year Avg."),Z63,IF($A$2=2,AN63,IF($A$2=3,Z63,IF(($AG63&gt;$AU63),Z63,AN63)))))</f>
        <v>0</v>
      </c>
      <c r="M63" s="317">
        <f>IF(AND($A$2=4,VLOOKUP($A63,'District Level ADM'!$A$5:$W$52,5,FALSE)="Prior Year"),AO63,IF(AND($A$2=4,VLOOKUP($A63,'District Level ADM'!$A$5:$W$52,5,FALSE)="3-Year Avg."),AA63,IF($A$2=2,AO63,IF($A$2=3,AA63,IF(($AG63&gt;$AU63),AA63,AO63)))))</f>
        <v>0</v>
      </c>
      <c r="N63" s="317">
        <f>IF(AND($A$2=4,VLOOKUP($A63,'District Level ADM'!$A$5:$W$52,5,FALSE)="Prior Year"),AP63,IF(AND($A$2=4,VLOOKUP($A63,'District Level ADM'!$A$5:$W$52,5,FALSE)="3-Year Avg."),AB63,IF($A$2=2,AP63,IF($A$2=3,AB63,IF(($AG63&gt;$AU63),AB63,AP63)))))</f>
        <v>0</v>
      </c>
      <c r="O63" s="317">
        <f>IF(AND($A$2=4,VLOOKUP($A63,'District Level ADM'!$A$5:$W$52,5,FALSE)="Prior Year"),AQ63,IF(AND($A$2=4,VLOOKUP($A63,'District Level ADM'!$A$5:$W$52,5,FALSE)="3-Year Avg."),AC63,IF($A$2=2,AQ63,IF($A$2=3,AC63,IF(($AG63&gt;$AU63),AC63,AQ63)))))</f>
        <v>121.41166666666668</v>
      </c>
      <c r="P63" s="317">
        <f>IF(AND($A$2=4,VLOOKUP($A63,'District Level ADM'!$A$5:$W$52,5,FALSE)="Prior Year"),AR63,IF(AND($A$2=4,VLOOKUP($A63,'District Level ADM'!$A$5:$W$52,5,FALSE)="3-Year Avg."),AD63,IF($A$2=2,AR63,IF($A$2=3,AD63,IF(($AG63&gt;$AU63),AD63,AR63)))))</f>
        <v>116.57133333333333</v>
      </c>
      <c r="Q63" s="317">
        <f>IF(AND($A$2=4,VLOOKUP($A63,'District Level ADM'!$A$5:$W$52,5,FALSE)="Prior Year"),AS63,IF(AND($A$2=4,VLOOKUP($A63,'District Level ADM'!$A$5:$W$52,5,FALSE)="3-Year Avg."),AE63,IF($A$2=2,AS63,IF($A$2=3,AE63,IF(($AG63&gt;$AU63),AE63,AS63)))))</f>
        <v>104.46133333333334</v>
      </c>
      <c r="R63" s="317">
        <f>IF(AND($A$2=4,VLOOKUP($A63,'District Level ADM'!$A$5:$W$52,5,FALSE)="Prior Year"),AT63,IF(AND($A$2=4,VLOOKUP($A63,'District Level ADM'!$A$5:$W$52,5,FALSE)="3-Year Avg."),AF63,IF($A$2=2,AT63,IF($A$2=3,AF63,IF(($AG63&gt;$AU63),AF63,AT63)))))</f>
        <v>80.704333333333338</v>
      </c>
      <c r="S63" s="317">
        <f t="shared" si="1"/>
        <v>423.14866666666671</v>
      </c>
      <c r="T63" s="317">
        <f t="shared" si="8"/>
        <v>0</v>
      </c>
      <c r="U63" s="317">
        <f t="shared" si="8"/>
        <v>0</v>
      </c>
      <c r="V63" s="317">
        <f t="shared" si="8"/>
        <v>0</v>
      </c>
      <c r="W63" s="317">
        <f t="shared" si="8"/>
        <v>0</v>
      </c>
      <c r="X63" s="317">
        <f t="shared" si="8"/>
        <v>0</v>
      </c>
      <c r="Y63" s="317">
        <f t="shared" si="8"/>
        <v>0</v>
      </c>
      <c r="Z63" s="317">
        <f t="shared" si="7"/>
        <v>0</v>
      </c>
      <c r="AA63" s="317">
        <f t="shared" si="7"/>
        <v>0</v>
      </c>
      <c r="AB63" s="317">
        <f t="shared" si="7"/>
        <v>0</v>
      </c>
      <c r="AC63" s="317">
        <f t="shared" si="7"/>
        <v>121.41166666666668</v>
      </c>
      <c r="AD63" s="317">
        <f t="shared" si="7"/>
        <v>116.57133333333333</v>
      </c>
      <c r="AE63" s="317">
        <f t="shared" si="7"/>
        <v>104.46133333333334</v>
      </c>
      <c r="AF63" s="317">
        <f t="shared" si="7"/>
        <v>80.704333333333338</v>
      </c>
      <c r="AG63" s="317">
        <f t="shared" si="3"/>
        <v>423.14866666666671</v>
      </c>
      <c r="AH63" s="318">
        <v>0</v>
      </c>
      <c r="AI63" s="318">
        <v>0</v>
      </c>
      <c r="AJ63" s="318">
        <v>0</v>
      </c>
      <c r="AK63" s="318">
        <v>0</v>
      </c>
      <c r="AL63" s="318">
        <v>0</v>
      </c>
      <c r="AM63" s="318">
        <v>0</v>
      </c>
      <c r="AN63" s="318">
        <v>0</v>
      </c>
      <c r="AO63" s="318">
        <v>0</v>
      </c>
      <c r="AP63" s="318">
        <v>0</v>
      </c>
      <c r="AQ63" s="318">
        <v>111.30500000000001</v>
      </c>
      <c r="AR63" s="318">
        <v>105.395</v>
      </c>
      <c r="AS63" s="318">
        <v>120.17</v>
      </c>
      <c r="AT63" s="318">
        <v>84.71</v>
      </c>
      <c r="AU63" s="317">
        <f t="shared" si="4"/>
        <v>421.58</v>
      </c>
      <c r="AV63" s="319">
        <v>0</v>
      </c>
      <c r="AW63" s="319">
        <v>0</v>
      </c>
      <c r="AX63" s="319">
        <v>0</v>
      </c>
      <c r="AY63" s="319">
        <v>0</v>
      </c>
      <c r="AZ63" s="319">
        <v>0</v>
      </c>
      <c r="BA63" s="319">
        <v>0</v>
      </c>
      <c r="BB63" s="319">
        <v>0</v>
      </c>
      <c r="BC63" s="319">
        <v>0</v>
      </c>
      <c r="BD63" s="319">
        <v>0</v>
      </c>
      <c r="BE63" s="319">
        <v>118.239</v>
      </c>
      <c r="BF63" s="319">
        <v>126.486</v>
      </c>
      <c r="BG63" s="319">
        <v>101.06100000000001</v>
      </c>
      <c r="BH63" s="319">
        <v>72.724000000000004</v>
      </c>
      <c r="BI63" s="317">
        <f t="shared" si="5"/>
        <v>418.51000000000005</v>
      </c>
      <c r="BJ63" s="316">
        <v>0</v>
      </c>
      <c r="BK63" s="316">
        <v>0</v>
      </c>
      <c r="BL63" s="316">
        <v>0</v>
      </c>
      <c r="BM63" s="316">
        <v>0</v>
      </c>
      <c r="BN63" s="316">
        <v>0</v>
      </c>
      <c r="BO63" s="316">
        <v>0</v>
      </c>
      <c r="BP63" s="316">
        <v>0</v>
      </c>
      <c r="BQ63" s="316">
        <v>0</v>
      </c>
      <c r="BR63" s="316">
        <v>0</v>
      </c>
      <c r="BS63" s="316">
        <v>134.691</v>
      </c>
      <c r="BT63" s="316">
        <v>117.833</v>
      </c>
      <c r="BU63" s="316">
        <v>92.153000000000006</v>
      </c>
      <c r="BV63" s="316">
        <v>84.679000000000002</v>
      </c>
      <c r="BW63" s="317">
        <f t="shared" si="6"/>
        <v>429.35599999999999</v>
      </c>
    </row>
    <row r="64" spans="1:75" x14ac:dyDescent="0.2">
      <c r="A64" s="20" t="str">
        <f>'School Level Inst. Resources'!A64</f>
        <v>0401000</v>
      </c>
      <c r="B64" s="20" t="str">
        <f>'School Level Inst. Resources'!B64</f>
        <v>Carbon #1</v>
      </c>
      <c r="C64" s="20" t="str">
        <f>'School Level Inst. Resources'!C64</f>
        <v>0401057</v>
      </c>
      <c r="D64" s="20" t="str">
        <f>'School Level Inst. Resources'!D64</f>
        <v>Cooperative High</v>
      </c>
      <c r="E64" s="138" t="str">
        <f>'School Level Inst. Resources'!E64</f>
        <v>9-12</v>
      </c>
      <c r="F64" s="317">
        <f>IF(AND($A$2=4,VLOOKUP($A64,'District Level ADM'!$A$5:$W$52,5,FALSE)="Prior Year"),AH64,IF(AND($A$2=4,VLOOKUP($A64,'District Level ADM'!$A$5:$W$52,5,FALSE)="3-Year Avg."),T64,IF($A$2=2,AH64,IF($A$2=3,T64,IF(($AG64&gt;$AU64),T64,AH64)))))</f>
        <v>0</v>
      </c>
      <c r="G64" s="317">
        <f>IF(AND($A$2=4,VLOOKUP($A64,'District Level ADM'!$A$5:$W$52,5,FALSE)="Prior Year"),AI64,IF(AND($A$2=4,VLOOKUP($A64,'District Level ADM'!$A$5:$W$52,5,FALSE)="3-Year Avg."),U64,IF($A$2=2,AI64,IF($A$2=3,U64,IF(($AG64&gt;$AU64),U64,AI64)))))</f>
        <v>0</v>
      </c>
      <c r="H64" s="317">
        <f>IF(AND($A$2=4,VLOOKUP($A64,'District Level ADM'!$A$5:$W$52,5,FALSE)="Prior Year"),AJ64,IF(AND($A$2=4,VLOOKUP($A64,'District Level ADM'!$A$5:$W$52,5,FALSE)="3-Year Avg."),V64,IF($A$2=2,AJ64,IF($A$2=3,V64,IF(($AG64&gt;$AU64),V64,AJ64)))))</f>
        <v>0</v>
      </c>
      <c r="I64" s="317">
        <f>IF(AND($A$2=4,VLOOKUP($A64,'District Level ADM'!$A$5:$W$52,5,FALSE)="Prior Year"),AK64,IF(AND($A$2=4,VLOOKUP($A64,'District Level ADM'!$A$5:$W$52,5,FALSE)="3-Year Avg."),W64,IF($A$2=2,AK64,IF($A$2=3,W64,IF(($AG64&gt;$AU64),W64,AK64)))))</f>
        <v>0</v>
      </c>
      <c r="J64" s="317">
        <f>IF(AND($A$2=4,VLOOKUP($A64,'District Level ADM'!$A$5:$W$52,5,FALSE)="Prior Year"),AL64,IF(AND($A$2=4,VLOOKUP($A64,'District Level ADM'!$A$5:$W$52,5,FALSE)="3-Year Avg."),X64,IF($A$2=2,AL64,IF($A$2=3,X64,IF(($AG64&gt;$AU64),X64,AL64)))))</f>
        <v>0</v>
      </c>
      <c r="K64" s="317">
        <f>IF(AND($A$2=4,VLOOKUP($A64,'District Level ADM'!$A$5:$W$52,5,FALSE)="Prior Year"),AM64,IF(AND($A$2=4,VLOOKUP($A64,'District Level ADM'!$A$5:$W$52,5,FALSE)="3-Year Avg."),Y64,IF($A$2=2,AM64,IF($A$2=3,Y64,IF(($AG64&gt;$AU64),Y64,AM64)))))</f>
        <v>0</v>
      </c>
      <c r="L64" s="317">
        <f>IF(AND($A$2=4,VLOOKUP($A64,'District Level ADM'!$A$5:$W$52,5,FALSE)="Prior Year"),AN64,IF(AND($A$2=4,VLOOKUP($A64,'District Level ADM'!$A$5:$W$52,5,FALSE)="3-Year Avg."),Z64,IF($A$2=2,AN64,IF($A$2=3,Z64,IF(($AG64&gt;$AU64),Z64,AN64)))))</f>
        <v>0</v>
      </c>
      <c r="M64" s="317">
        <f>IF(AND($A$2=4,VLOOKUP($A64,'District Level ADM'!$A$5:$W$52,5,FALSE)="Prior Year"),AO64,IF(AND($A$2=4,VLOOKUP($A64,'District Level ADM'!$A$5:$W$52,5,FALSE)="3-Year Avg."),AA64,IF($A$2=2,AO64,IF($A$2=3,AA64,IF(($AG64&gt;$AU64),AA64,AO64)))))</f>
        <v>0</v>
      </c>
      <c r="N64" s="317">
        <f>IF(AND($A$2=4,VLOOKUP($A64,'District Level ADM'!$A$5:$W$52,5,FALSE)="Prior Year"),AP64,IF(AND($A$2=4,VLOOKUP($A64,'District Level ADM'!$A$5:$W$52,5,FALSE)="3-Year Avg."),AB64,IF($A$2=2,AP64,IF($A$2=3,AB64,IF(($AG64&gt;$AU64),AB64,AP64)))))</f>
        <v>0</v>
      </c>
      <c r="O64" s="317">
        <f>IF(AND($A$2=4,VLOOKUP($A64,'District Level ADM'!$A$5:$W$52,5,FALSE)="Prior Year"),AQ64,IF(AND($A$2=4,VLOOKUP($A64,'District Level ADM'!$A$5:$W$52,5,FALSE)="3-Year Avg."),AC64,IF($A$2=2,AQ64,IF($A$2=3,AC64,IF(($AG64&gt;$AU64),AC64,AQ64)))))</f>
        <v>4.3146666666666667</v>
      </c>
      <c r="P64" s="317">
        <f>IF(AND($A$2=4,VLOOKUP($A64,'District Level ADM'!$A$5:$W$52,5,FALSE)="Prior Year"),AR64,IF(AND($A$2=4,VLOOKUP($A64,'District Level ADM'!$A$5:$W$52,5,FALSE)="3-Year Avg."),AD64,IF($A$2=2,AR64,IF($A$2=3,AD64,IF(($AG64&gt;$AU64),AD64,AR64)))))</f>
        <v>8.777333333333333</v>
      </c>
      <c r="Q64" s="317">
        <f>IF(AND($A$2=4,VLOOKUP($A64,'District Level ADM'!$A$5:$W$52,5,FALSE)="Prior Year"),AS64,IF(AND($A$2=4,VLOOKUP($A64,'District Level ADM'!$A$5:$W$52,5,FALSE)="3-Year Avg."),AE64,IF($A$2=2,AS64,IF($A$2=3,AE64,IF(($AG64&gt;$AU64),AE64,AS64)))))</f>
        <v>9.7999999999999989</v>
      </c>
      <c r="R64" s="317">
        <f>IF(AND($A$2=4,VLOOKUP($A64,'District Level ADM'!$A$5:$W$52,5,FALSE)="Prior Year"),AT64,IF(AND($A$2=4,VLOOKUP($A64,'District Level ADM'!$A$5:$W$52,5,FALSE)="3-Year Avg."),AF64,IF($A$2=2,AT64,IF($A$2=3,AF64,IF(($AG64&gt;$AU64),AF64,AT64)))))</f>
        <v>11.367333333333335</v>
      </c>
      <c r="S64" s="317">
        <f t="shared" si="1"/>
        <v>34.259333333333331</v>
      </c>
      <c r="T64" s="317">
        <f t="shared" si="8"/>
        <v>0</v>
      </c>
      <c r="U64" s="317">
        <f t="shared" si="8"/>
        <v>0</v>
      </c>
      <c r="V64" s="317">
        <f t="shared" si="8"/>
        <v>0</v>
      </c>
      <c r="W64" s="317">
        <f t="shared" si="8"/>
        <v>0</v>
      </c>
      <c r="X64" s="317">
        <f t="shared" si="8"/>
        <v>0</v>
      </c>
      <c r="Y64" s="317">
        <f t="shared" si="8"/>
        <v>0</v>
      </c>
      <c r="Z64" s="317">
        <f t="shared" si="7"/>
        <v>0</v>
      </c>
      <c r="AA64" s="317">
        <f t="shared" si="7"/>
        <v>0</v>
      </c>
      <c r="AB64" s="317">
        <f t="shared" si="7"/>
        <v>0</v>
      </c>
      <c r="AC64" s="317">
        <f t="shared" si="7"/>
        <v>4.3146666666666667</v>
      </c>
      <c r="AD64" s="317">
        <f t="shared" si="7"/>
        <v>8.777333333333333</v>
      </c>
      <c r="AE64" s="317">
        <f t="shared" si="7"/>
        <v>9.7999999999999989</v>
      </c>
      <c r="AF64" s="317">
        <f t="shared" si="7"/>
        <v>11.367333333333335</v>
      </c>
      <c r="AG64" s="317">
        <f t="shared" si="3"/>
        <v>34.259333333333331</v>
      </c>
      <c r="AH64" s="318">
        <v>0</v>
      </c>
      <c r="AI64" s="318">
        <v>0</v>
      </c>
      <c r="AJ64" s="318">
        <v>0</v>
      </c>
      <c r="AK64" s="318">
        <v>0</v>
      </c>
      <c r="AL64" s="318">
        <v>0</v>
      </c>
      <c r="AM64" s="318">
        <v>0</v>
      </c>
      <c r="AN64" s="318">
        <v>0</v>
      </c>
      <c r="AO64" s="318">
        <v>0</v>
      </c>
      <c r="AP64" s="318">
        <v>0</v>
      </c>
      <c r="AQ64" s="318">
        <v>1.97</v>
      </c>
      <c r="AR64" s="318">
        <v>10.835000000000001</v>
      </c>
      <c r="AS64" s="318">
        <v>11.82</v>
      </c>
      <c r="AT64" s="318">
        <v>4.9249999999999998</v>
      </c>
      <c r="AU64" s="317">
        <f t="shared" si="4"/>
        <v>29.55</v>
      </c>
      <c r="AV64" s="319">
        <v>0</v>
      </c>
      <c r="AW64" s="319">
        <v>0</v>
      </c>
      <c r="AX64" s="319">
        <v>0</v>
      </c>
      <c r="AY64" s="319">
        <v>0</v>
      </c>
      <c r="AZ64" s="319">
        <v>0</v>
      </c>
      <c r="BA64" s="319">
        <v>0</v>
      </c>
      <c r="BB64" s="319">
        <v>0</v>
      </c>
      <c r="BC64" s="319">
        <v>0</v>
      </c>
      <c r="BD64" s="319">
        <v>0</v>
      </c>
      <c r="BE64" s="319">
        <v>5.9269999999999996</v>
      </c>
      <c r="BF64" s="319">
        <v>7.15</v>
      </c>
      <c r="BG64" s="319">
        <v>5.5529999999999999</v>
      </c>
      <c r="BH64" s="319">
        <v>20.187000000000001</v>
      </c>
      <c r="BI64" s="317">
        <f t="shared" si="5"/>
        <v>38.817</v>
      </c>
      <c r="BJ64" s="316">
        <v>0</v>
      </c>
      <c r="BK64" s="316">
        <v>0</v>
      </c>
      <c r="BL64" s="316">
        <v>0</v>
      </c>
      <c r="BM64" s="316">
        <v>0</v>
      </c>
      <c r="BN64" s="316">
        <v>0</v>
      </c>
      <c r="BO64" s="316">
        <v>0</v>
      </c>
      <c r="BP64" s="316">
        <v>0</v>
      </c>
      <c r="BQ64" s="316">
        <v>0</v>
      </c>
      <c r="BR64" s="316">
        <v>0</v>
      </c>
      <c r="BS64" s="316">
        <v>5.0469999999999997</v>
      </c>
      <c r="BT64" s="316">
        <v>8.3469999999999995</v>
      </c>
      <c r="BU64" s="316">
        <v>12.026999999999999</v>
      </c>
      <c r="BV64" s="316">
        <v>8.99</v>
      </c>
      <c r="BW64" s="317">
        <f t="shared" si="6"/>
        <v>34.411000000000001</v>
      </c>
    </row>
    <row r="65" spans="1:75" x14ac:dyDescent="0.2">
      <c r="A65" s="20" t="str">
        <f>'School Level Inst. Resources'!A65</f>
        <v>0402000</v>
      </c>
      <c r="B65" s="20" t="str">
        <f>'School Level Inst. Resources'!B65</f>
        <v>Carbon #2</v>
      </c>
      <c r="C65" s="20" t="str">
        <f>'School Level Inst. Resources'!C65</f>
        <v>0402001</v>
      </c>
      <c r="D65" s="20" t="str">
        <f>'School Level Inst. Resources'!D65</f>
        <v>Elk Mountain Elementary</v>
      </c>
      <c r="E65" s="138" t="str">
        <f>'School Level Inst. Resources'!E65</f>
        <v>K-6</v>
      </c>
      <c r="F65" s="317">
        <f>IF(AND($A$2=4,VLOOKUP($A65,'District Level ADM'!$A$5:$W$52,5,FALSE)="Prior Year"),AH65,IF(AND($A$2=4,VLOOKUP($A65,'District Level ADM'!$A$5:$W$52,5,FALSE)="3-Year Avg."),T65,IF($A$2=2,AH65,IF($A$2=3,T65,IF(($AG65&gt;$AU65),T65,AH65)))))</f>
        <v>2.8056666666666668</v>
      </c>
      <c r="G65" s="317">
        <f>IF(AND($A$2=4,VLOOKUP($A65,'District Level ADM'!$A$5:$W$52,5,FALSE)="Prior Year"),AI65,IF(AND($A$2=4,VLOOKUP($A65,'District Level ADM'!$A$5:$W$52,5,FALSE)="3-Year Avg."),U65,IF($A$2=2,AI65,IF($A$2=3,U65,IF(($AG65&gt;$AU65),U65,AI65)))))</f>
        <v>2.6950000000000003</v>
      </c>
      <c r="H65" s="317">
        <f>IF(AND($A$2=4,VLOOKUP($A65,'District Level ADM'!$A$5:$W$52,5,FALSE)="Prior Year"),AJ65,IF(AND($A$2=4,VLOOKUP($A65,'District Level ADM'!$A$5:$W$52,5,FALSE)="3-Year Avg."),V65,IF($A$2=2,AJ65,IF($A$2=3,V65,IF(($AG65&gt;$AU65),V65,AJ65)))))</f>
        <v>1.9949999999999999</v>
      </c>
      <c r="I65" s="317">
        <f>IF(AND($A$2=4,VLOOKUP($A65,'District Level ADM'!$A$5:$W$52,5,FALSE)="Prior Year"),AK65,IF(AND($A$2=4,VLOOKUP($A65,'District Level ADM'!$A$5:$W$52,5,FALSE)="3-Year Avg."),W65,IF($A$2=2,AK65,IF($A$2=3,W65,IF(($AG65&gt;$AU65),W65,AK65)))))</f>
        <v>2.6516666666666668</v>
      </c>
      <c r="J65" s="317">
        <f>IF(AND($A$2=4,VLOOKUP($A65,'District Level ADM'!$A$5:$W$52,5,FALSE)="Prior Year"),AL65,IF(AND($A$2=4,VLOOKUP($A65,'District Level ADM'!$A$5:$W$52,5,FALSE)="3-Year Avg."),X65,IF($A$2=2,AL65,IF($A$2=3,X65,IF(($AG65&gt;$AU65),X65,AL65)))))</f>
        <v>1.3686666666666667</v>
      </c>
      <c r="K65" s="317">
        <f>IF(AND($A$2=4,VLOOKUP($A65,'District Level ADM'!$A$5:$W$52,5,FALSE)="Prior Year"),AM65,IF(AND($A$2=4,VLOOKUP($A65,'District Level ADM'!$A$5:$W$52,5,FALSE)="3-Year Avg."),Y65,IF($A$2=2,AM65,IF($A$2=3,Y65,IF(($AG65&gt;$AU65),Y65,AM65)))))</f>
        <v>0.86166666666666669</v>
      </c>
      <c r="L65" s="317">
        <f>IF(AND($A$2=4,VLOOKUP($A65,'District Level ADM'!$A$5:$W$52,5,FALSE)="Prior Year"),AN65,IF(AND($A$2=4,VLOOKUP($A65,'District Level ADM'!$A$5:$W$52,5,FALSE)="3-Year Avg."),Z65,IF($A$2=2,AN65,IF($A$2=3,Z65,IF(($AG65&gt;$AU65),Z65,AN65)))))</f>
        <v>0.66866666666666663</v>
      </c>
      <c r="M65" s="317">
        <f>IF(AND($A$2=4,VLOOKUP($A65,'District Level ADM'!$A$5:$W$52,5,FALSE)="Prior Year"),AO65,IF(AND($A$2=4,VLOOKUP($A65,'District Level ADM'!$A$5:$W$52,5,FALSE)="3-Year Avg."),AA65,IF($A$2=2,AO65,IF($A$2=3,AA65,IF(($AG65&gt;$AU65),AA65,AO65)))))</f>
        <v>0</v>
      </c>
      <c r="N65" s="317">
        <f>IF(AND($A$2=4,VLOOKUP($A65,'District Level ADM'!$A$5:$W$52,5,FALSE)="Prior Year"),AP65,IF(AND($A$2=4,VLOOKUP($A65,'District Level ADM'!$A$5:$W$52,5,FALSE)="3-Year Avg."),AB65,IF($A$2=2,AP65,IF($A$2=3,AB65,IF(($AG65&gt;$AU65),AB65,AP65)))))</f>
        <v>0</v>
      </c>
      <c r="O65" s="317">
        <f>IF(AND($A$2=4,VLOOKUP($A65,'District Level ADM'!$A$5:$W$52,5,FALSE)="Prior Year"),AQ65,IF(AND($A$2=4,VLOOKUP($A65,'District Level ADM'!$A$5:$W$52,5,FALSE)="3-Year Avg."),AC65,IF($A$2=2,AQ65,IF($A$2=3,AC65,IF(($AG65&gt;$AU65),AC65,AQ65)))))</f>
        <v>0</v>
      </c>
      <c r="P65" s="317">
        <f>IF(AND($A$2=4,VLOOKUP($A65,'District Level ADM'!$A$5:$W$52,5,FALSE)="Prior Year"),AR65,IF(AND($A$2=4,VLOOKUP($A65,'District Level ADM'!$A$5:$W$52,5,FALSE)="3-Year Avg."),AD65,IF($A$2=2,AR65,IF($A$2=3,AD65,IF(($AG65&gt;$AU65),AD65,AR65)))))</f>
        <v>0</v>
      </c>
      <c r="Q65" s="317">
        <f>IF(AND($A$2=4,VLOOKUP($A65,'District Level ADM'!$A$5:$W$52,5,FALSE)="Prior Year"),AS65,IF(AND($A$2=4,VLOOKUP($A65,'District Level ADM'!$A$5:$W$52,5,FALSE)="3-Year Avg."),AE65,IF($A$2=2,AS65,IF($A$2=3,AE65,IF(($AG65&gt;$AU65),AE65,AS65)))))</f>
        <v>0</v>
      </c>
      <c r="R65" s="317">
        <f>IF(AND($A$2=4,VLOOKUP($A65,'District Level ADM'!$A$5:$W$52,5,FALSE)="Prior Year"),AT65,IF(AND($A$2=4,VLOOKUP($A65,'District Level ADM'!$A$5:$W$52,5,FALSE)="3-Year Avg."),AF65,IF($A$2=2,AT65,IF($A$2=3,AF65,IF(($AG65&gt;$AU65),AF65,AT65)))))</f>
        <v>0</v>
      </c>
      <c r="S65" s="317">
        <f t="shared" si="1"/>
        <v>13.046333333333333</v>
      </c>
      <c r="T65" s="317">
        <f t="shared" si="8"/>
        <v>2.8056666666666668</v>
      </c>
      <c r="U65" s="317">
        <f t="shared" si="8"/>
        <v>2.6950000000000003</v>
      </c>
      <c r="V65" s="317">
        <f t="shared" si="8"/>
        <v>1.9949999999999999</v>
      </c>
      <c r="W65" s="317">
        <f t="shared" si="8"/>
        <v>2.6516666666666668</v>
      </c>
      <c r="X65" s="317">
        <f t="shared" si="8"/>
        <v>1.3686666666666667</v>
      </c>
      <c r="Y65" s="317">
        <f t="shared" si="8"/>
        <v>0.86166666666666669</v>
      </c>
      <c r="Z65" s="317">
        <f t="shared" si="7"/>
        <v>0.66866666666666663</v>
      </c>
      <c r="AA65" s="317">
        <f t="shared" si="7"/>
        <v>0</v>
      </c>
      <c r="AB65" s="317">
        <f t="shared" si="7"/>
        <v>0</v>
      </c>
      <c r="AC65" s="317">
        <f t="shared" si="7"/>
        <v>0</v>
      </c>
      <c r="AD65" s="317">
        <f t="shared" si="7"/>
        <v>0</v>
      </c>
      <c r="AE65" s="317">
        <f t="shared" si="7"/>
        <v>0</v>
      </c>
      <c r="AF65" s="317">
        <f t="shared" si="7"/>
        <v>0</v>
      </c>
      <c r="AG65" s="317">
        <f t="shared" si="3"/>
        <v>13.046333333333333</v>
      </c>
      <c r="AH65" s="318">
        <v>1.97</v>
      </c>
      <c r="AI65" s="318">
        <v>3.94</v>
      </c>
      <c r="AJ65" s="318">
        <v>0.98499999999999999</v>
      </c>
      <c r="AK65" s="318">
        <v>2.9550000000000001</v>
      </c>
      <c r="AL65" s="318">
        <v>2.9550000000000001</v>
      </c>
      <c r="AM65" s="318">
        <v>0</v>
      </c>
      <c r="AN65" s="318">
        <v>0</v>
      </c>
      <c r="AO65" s="318">
        <v>0</v>
      </c>
      <c r="AP65" s="318">
        <v>0</v>
      </c>
      <c r="AQ65" s="318">
        <v>0</v>
      </c>
      <c r="AR65" s="318">
        <v>0</v>
      </c>
      <c r="AS65" s="318">
        <v>0</v>
      </c>
      <c r="AT65" s="318">
        <v>0</v>
      </c>
      <c r="AU65" s="317">
        <f t="shared" si="4"/>
        <v>12.805000000000001</v>
      </c>
      <c r="AV65" s="319">
        <v>4</v>
      </c>
      <c r="AW65" s="319">
        <v>1.145</v>
      </c>
      <c r="AX65" s="319">
        <v>2</v>
      </c>
      <c r="AY65" s="319">
        <v>3</v>
      </c>
      <c r="AZ65" s="319">
        <v>0.14499999999999999</v>
      </c>
      <c r="BA65" s="319">
        <v>1</v>
      </c>
      <c r="BB65" s="319">
        <v>2</v>
      </c>
      <c r="BC65" s="319">
        <v>0</v>
      </c>
      <c r="BD65" s="319">
        <v>0</v>
      </c>
      <c r="BE65" s="319">
        <v>0</v>
      </c>
      <c r="BF65" s="319">
        <v>0</v>
      </c>
      <c r="BG65" s="319">
        <v>0</v>
      </c>
      <c r="BH65" s="319">
        <v>0</v>
      </c>
      <c r="BI65" s="317">
        <f t="shared" si="5"/>
        <v>13.29</v>
      </c>
      <c r="BJ65" s="316">
        <v>2.4470000000000001</v>
      </c>
      <c r="BK65" s="316">
        <v>3</v>
      </c>
      <c r="BL65" s="316">
        <v>3</v>
      </c>
      <c r="BM65" s="316">
        <v>2</v>
      </c>
      <c r="BN65" s="316">
        <v>1.006</v>
      </c>
      <c r="BO65" s="316">
        <v>1.585</v>
      </c>
      <c r="BP65" s="316">
        <v>6.0000000000000001E-3</v>
      </c>
      <c r="BQ65" s="316">
        <v>0</v>
      </c>
      <c r="BR65" s="316">
        <v>0</v>
      </c>
      <c r="BS65" s="316">
        <v>0</v>
      </c>
      <c r="BT65" s="316">
        <v>0</v>
      </c>
      <c r="BU65" s="316">
        <v>0</v>
      </c>
      <c r="BV65" s="316">
        <v>0</v>
      </c>
      <c r="BW65" s="317">
        <f t="shared" si="6"/>
        <v>13.044</v>
      </c>
    </row>
    <row r="66" spans="1:75" x14ac:dyDescent="0.2">
      <c r="A66" s="20" t="str">
        <f>'School Level Inst. Resources'!A66</f>
        <v>0402000</v>
      </c>
      <c r="B66" s="20" t="str">
        <f>'School Level Inst. Resources'!B66</f>
        <v>Carbon #2</v>
      </c>
      <c r="C66" s="20" t="str">
        <f>'School Level Inst. Resources'!C66</f>
        <v>0402003</v>
      </c>
      <c r="D66" s="20" t="str">
        <f>'School Level Inst. Resources'!D66</f>
        <v>Hanna Elementary</v>
      </c>
      <c r="E66" s="138" t="str">
        <f>'School Level Inst. Resources'!E66</f>
        <v>K-6</v>
      </c>
      <c r="F66" s="317">
        <f>IF(AND($A$2=4,VLOOKUP($A66,'District Level ADM'!$A$5:$W$52,5,FALSE)="Prior Year"),AH66,IF(AND($A$2=4,VLOOKUP($A66,'District Level ADM'!$A$5:$W$52,5,FALSE)="3-Year Avg."),T66,IF($A$2=2,AH66,IF($A$2=3,T66,IF(($AG66&gt;$AU66),T66,AH66)))))</f>
        <v>10.703666666666665</v>
      </c>
      <c r="G66" s="317">
        <f>IF(AND($A$2=4,VLOOKUP($A66,'District Level ADM'!$A$5:$W$52,5,FALSE)="Prior Year"),AI66,IF(AND($A$2=4,VLOOKUP($A66,'District Level ADM'!$A$5:$W$52,5,FALSE)="3-Year Avg."),U66,IF($A$2=2,AI66,IF($A$2=3,U66,IF(($AG66&gt;$AU66),U66,AI66)))))</f>
        <v>11.883000000000001</v>
      </c>
      <c r="H66" s="317">
        <f>IF(AND($A$2=4,VLOOKUP($A66,'District Level ADM'!$A$5:$W$52,5,FALSE)="Prior Year"),AJ66,IF(AND($A$2=4,VLOOKUP($A66,'District Level ADM'!$A$5:$W$52,5,FALSE)="3-Year Avg."),V66,IF($A$2=2,AJ66,IF($A$2=3,V66,IF(($AG66&gt;$AU66),V66,AJ66)))))</f>
        <v>9.6086666666666662</v>
      </c>
      <c r="I66" s="317">
        <f>IF(AND($A$2=4,VLOOKUP($A66,'District Level ADM'!$A$5:$W$52,5,FALSE)="Prior Year"),AK66,IF(AND($A$2=4,VLOOKUP($A66,'District Level ADM'!$A$5:$W$52,5,FALSE)="3-Year Avg."),W66,IF($A$2=2,AK66,IF($A$2=3,W66,IF(($AG66&gt;$AU66),W66,AK66)))))</f>
        <v>11.780333333333333</v>
      </c>
      <c r="J66" s="317">
        <f>IF(AND($A$2=4,VLOOKUP($A66,'District Level ADM'!$A$5:$W$52,5,FALSE)="Prior Year"),AL66,IF(AND($A$2=4,VLOOKUP($A66,'District Level ADM'!$A$5:$W$52,5,FALSE)="3-Year Avg."),X66,IF($A$2=2,AL66,IF($A$2=3,X66,IF(($AG66&gt;$AU66),X66,AL66)))))</f>
        <v>10.151</v>
      </c>
      <c r="K66" s="317">
        <f>IF(AND($A$2=4,VLOOKUP($A66,'District Level ADM'!$A$5:$W$52,5,FALSE)="Prior Year"),AM66,IF(AND($A$2=4,VLOOKUP($A66,'District Level ADM'!$A$5:$W$52,5,FALSE)="3-Year Avg."),Y66,IF($A$2=2,AM66,IF($A$2=3,Y66,IF(($AG66&gt;$AU66),Y66,AM66)))))</f>
        <v>9.6573333333333338</v>
      </c>
      <c r="L66" s="317">
        <f>IF(AND($A$2=4,VLOOKUP($A66,'District Level ADM'!$A$5:$W$52,5,FALSE)="Prior Year"),AN66,IF(AND($A$2=4,VLOOKUP($A66,'District Level ADM'!$A$5:$W$52,5,FALSE)="3-Year Avg."),Z66,IF($A$2=2,AN66,IF($A$2=3,Z66,IF(($AG66&gt;$AU66),Z66,AN66)))))</f>
        <v>10.978666666666667</v>
      </c>
      <c r="M66" s="317">
        <f>IF(AND($A$2=4,VLOOKUP($A66,'District Level ADM'!$A$5:$W$52,5,FALSE)="Prior Year"),AO66,IF(AND($A$2=4,VLOOKUP($A66,'District Level ADM'!$A$5:$W$52,5,FALSE)="3-Year Avg."),AA66,IF($A$2=2,AO66,IF($A$2=3,AA66,IF(($AG66&gt;$AU66),AA66,AO66)))))</f>
        <v>0</v>
      </c>
      <c r="N66" s="317">
        <f>IF(AND($A$2=4,VLOOKUP($A66,'District Level ADM'!$A$5:$W$52,5,FALSE)="Prior Year"),AP66,IF(AND($A$2=4,VLOOKUP($A66,'District Level ADM'!$A$5:$W$52,5,FALSE)="3-Year Avg."),AB66,IF($A$2=2,AP66,IF($A$2=3,AB66,IF(($AG66&gt;$AU66),AB66,AP66)))))</f>
        <v>0</v>
      </c>
      <c r="O66" s="317">
        <f>IF(AND($A$2=4,VLOOKUP($A66,'District Level ADM'!$A$5:$W$52,5,FALSE)="Prior Year"),AQ66,IF(AND($A$2=4,VLOOKUP($A66,'District Level ADM'!$A$5:$W$52,5,FALSE)="3-Year Avg."),AC66,IF($A$2=2,AQ66,IF($A$2=3,AC66,IF(($AG66&gt;$AU66),AC66,AQ66)))))</f>
        <v>0</v>
      </c>
      <c r="P66" s="317">
        <f>IF(AND($A$2=4,VLOOKUP($A66,'District Level ADM'!$A$5:$W$52,5,FALSE)="Prior Year"),AR66,IF(AND($A$2=4,VLOOKUP($A66,'District Level ADM'!$A$5:$W$52,5,FALSE)="3-Year Avg."),AD66,IF($A$2=2,AR66,IF($A$2=3,AD66,IF(($AG66&gt;$AU66),AD66,AR66)))))</f>
        <v>0</v>
      </c>
      <c r="Q66" s="317">
        <f>IF(AND($A$2=4,VLOOKUP($A66,'District Level ADM'!$A$5:$W$52,5,FALSE)="Prior Year"),AS66,IF(AND($A$2=4,VLOOKUP($A66,'District Level ADM'!$A$5:$W$52,5,FALSE)="3-Year Avg."),AE66,IF($A$2=2,AS66,IF($A$2=3,AE66,IF(($AG66&gt;$AU66),AE66,AS66)))))</f>
        <v>0</v>
      </c>
      <c r="R66" s="317">
        <f>IF(AND($A$2=4,VLOOKUP($A66,'District Level ADM'!$A$5:$W$52,5,FALSE)="Prior Year"),AT66,IF(AND($A$2=4,VLOOKUP($A66,'District Level ADM'!$A$5:$W$52,5,FALSE)="3-Year Avg."),AF66,IF($A$2=2,AT66,IF($A$2=3,AF66,IF(($AG66&gt;$AU66),AF66,AT66)))))</f>
        <v>0</v>
      </c>
      <c r="S66" s="317">
        <f t="shared" si="1"/>
        <v>74.762666666666661</v>
      </c>
      <c r="T66" s="317">
        <f t="shared" si="8"/>
        <v>10.703666666666665</v>
      </c>
      <c r="U66" s="317">
        <f t="shared" si="8"/>
        <v>11.883000000000001</v>
      </c>
      <c r="V66" s="317">
        <f t="shared" si="8"/>
        <v>9.6086666666666662</v>
      </c>
      <c r="W66" s="317">
        <f t="shared" si="8"/>
        <v>11.780333333333333</v>
      </c>
      <c r="X66" s="317">
        <f t="shared" si="8"/>
        <v>10.151</v>
      </c>
      <c r="Y66" s="317">
        <f t="shared" si="8"/>
        <v>9.6573333333333338</v>
      </c>
      <c r="Z66" s="317">
        <f t="shared" si="7"/>
        <v>10.978666666666667</v>
      </c>
      <c r="AA66" s="317">
        <f t="shared" si="7"/>
        <v>0</v>
      </c>
      <c r="AB66" s="317">
        <f t="shared" si="7"/>
        <v>0</v>
      </c>
      <c r="AC66" s="317">
        <f t="shared" si="7"/>
        <v>0</v>
      </c>
      <c r="AD66" s="317">
        <f t="shared" si="7"/>
        <v>0</v>
      </c>
      <c r="AE66" s="317">
        <f t="shared" si="7"/>
        <v>0</v>
      </c>
      <c r="AF66" s="317">
        <f t="shared" si="7"/>
        <v>0</v>
      </c>
      <c r="AG66" s="317">
        <f t="shared" si="3"/>
        <v>74.762666666666661</v>
      </c>
      <c r="AH66" s="318">
        <v>4.9249999999999998</v>
      </c>
      <c r="AI66" s="318">
        <v>14.775</v>
      </c>
      <c r="AJ66" s="318">
        <v>6.8949999999999996</v>
      </c>
      <c r="AK66" s="318">
        <v>14.775</v>
      </c>
      <c r="AL66" s="318">
        <v>12.805</v>
      </c>
      <c r="AM66" s="318">
        <v>8.8650000000000002</v>
      </c>
      <c r="AN66" s="318">
        <v>10.835000000000001</v>
      </c>
      <c r="AO66" s="318">
        <v>0</v>
      </c>
      <c r="AP66" s="318">
        <v>0</v>
      </c>
      <c r="AQ66" s="318">
        <v>0</v>
      </c>
      <c r="AR66" s="318">
        <v>0</v>
      </c>
      <c r="AS66" s="318">
        <v>0</v>
      </c>
      <c r="AT66" s="318">
        <v>0</v>
      </c>
      <c r="AU66" s="317">
        <f t="shared" si="4"/>
        <v>73.875</v>
      </c>
      <c r="AV66" s="319">
        <v>16.861999999999998</v>
      </c>
      <c r="AW66" s="319">
        <v>8.2579999999999991</v>
      </c>
      <c r="AX66" s="319">
        <v>15.711</v>
      </c>
      <c r="AY66" s="319">
        <v>9.7110000000000003</v>
      </c>
      <c r="AZ66" s="319">
        <v>8.6859999999999999</v>
      </c>
      <c r="BA66" s="319">
        <v>10.396000000000001</v>
      </c>
      <c r="BB66" s="319">
        <v>9.4030000000000005</v>
      </c>
      <c r="BC66" s="319">
        <v>0</v>
      </c>
      <c r="BD66" s="319">
        <v>0</v>
      </c>
      <c r="BE66" s="319">
        <v>0</v>
      </c>
      <c r="BF66" s="319">
        <v>0</v>
      </c>
      <c r="BG66" s="319">
        <v>0</v>
      </c>
      <c r="BH66" s="319">
        <v>0</v>
      </c>
      <c r="BI66" s="317">
        <f t="shared" si="5"/>
        <v>79.027000000000001</v>
      </c>
      <c r="BJ66" s="316">
        <v>10.324</v>
      </c>
      <c r="BK66" s="316">
        <v>12.616</v>
      </c>
      <c r="BL66" s="316">
        <v>6.22</v>
      </c>
      <c r="BM66" s="316">
        <v>10.855</v>
      </c>
      <c r="BN66" s="316">
        <v>8.9619999999999997</v>
      </c>
      <c r="BO66" s="316">
        <v>9.7110000000000003</v>
      </c>
      <c r="BP66" s="316">
        <v>12.698</v>
      </c>
      <c r="BQ66" s="316">
        <v>0</v>
      </c>
      <c r="BR66" s="316">
        <v>0</v>
      </c>
      <c r="BS66" s="316">
        <v>0</v>
      </c>
      <c r="BT66" s="316">
        <v>0</v>
      </c>
      <c r="BU66" s="316">
        <v>0</v>
      </c>
      <c r="BV66" s="316">
        <v>0</v>
      </c>
      <c r="BW66" s="317">
        <f t="shared" si="6"/>
        <v>71.385999999999996</v>
      </c>
    </row>
    <row r="67" spans="1:75" x14ac:dyDescent="0.2">
      <c r="A67" s="20" t="str">
        <f>'School Level Inst. Resources'!A67</f>
        <v>0402000</v>
      </c>
      <c r="B67" s="20" t="str">
        <f>'School Level Inst. Resources'!B67</f>
        <v>Carbon #2</v>
      </c>
      <c r="C67" s="20" t="str">
        <f>'School Level Inst. Resources'!C67</f>
        <v>0402005</v>
      </c>
      <c r="D67" s="20" t="str">
        <f>'School Level Inst. Resources'!D67</f>
        <v>Medicine Bow Elementary</v>
      </c>
      <c r="E67" s="138" t="str">
        <f>'School Level Inst. Resources'!E67</f>
        <v>K-6</v>
      </c>
      <c r="F67" s="317">
        <f>IF(AND($A$2=4,VLOOKUP($A67,'District Level ADM'!$A$5:$W$52,5,FALSE)="Prior Year"),AH67,IF(AND($A$2=4,VLOOKUP($A67,'District Level ADM'!$A$5:$W$52,5,FALSE)="3-Year Avg."),T67,IF($A$2=2,AH67,IF($A$2=3,T67,IF(($AG67&gt;$AU67),T67,AH67)))))</f>
        <v>2.3333333333333335</v>
      </c>
      <c r="G67" s="317">
        <f>IF(AND($A$2=4,VLOOKUP($A67,'District Level ADM'!$A$5:$W$52,5,FALSE)="Prior Year"),AI67,IF(AND($A$2=4,VLOOKUP($A67,'District Level ADM'!$A$5:$W$52,5,FALSE)="3-Year Avg."),U67,IF($A$2=2,AI67,IF($A$2=3,U67,IF(($AG67&gt;$AU67),U67,AI67)))))</f>
        <v>1.9846666666666668</v>
      </c>
      <c r="H67" s="317">
        <f>IF(AND($A$2=4,VLOOKUP($A67,'District Level ADM'!$A$5:$W$52,5,FALSE)="Prior Year"),AJ67,IF(AND($A$2=4,VLOOKUP($A67,'District Level ADM'!$A$5:$W$52,5,FALSE)="3-Year Avg."),V67,IF($A$2=2,AJ67,IF($A$2=3,V67,IF(($AG67&gt;$AU67),V67,AJ67)))))</f>
        <v>3.0030000000000001</v>
      </c>
      <c r="I67" s="317">
        <f>IF(AND($A$2=4,VLOOKUP($A67,'District Level ADM'!$A$5:$W$52,5,FALSE)="Prior Year"),AK67,IF(AND($A$2=4,VLOOKUP($A67,'District Level ADM'!$A$5:$W$52,5,FALSE)="3-Year Avg."),W67,IF($A$2=2,AK67,IF($A$2=3,W67,IF(($AG67&gt;$AU67),W67,AK67)))))</f>
        <v>2.4990000000000001</v>
      </c>
      <c r="J67" s="317">
        <f>IF(AND($A$2=4,VLOOKUP($A67,'District Level ADM'!$A$5:$W$52,5,FALSE)="Prior Year"),AL67,IF(AND($A$2=4,VLOOKUP($A67,'District Level ADM'!$A$5:$W$52,5,FALSE)="3-Year Avg."),X67,IF($A$2=2,AL67,IF($A$2=3,X67,IF(($AG67&gt;$AU67),X67,AL67)))))</f>
        <v>2.7983333333333333</v>
      </c>
      <c r="K67" s="317">
        <f>IF(AND($A$2=4,VLOOKUP($A67,'District Level ADM'!$A$5:$W$52,5,FALSE)="Prior Year"),AM67,IF(AND($A$2=4,VLOOKUP($A67,'District Level ADM'!$A$5:$W$52,5,FALSE)="3-Year Avg."),Y67,IF($A$2=2,AM67,IF($A$2=3,Y67,IF(($AG67&gt;$AU67),Y67,AM67)))))</f>
        <v>2.3986666666666667</v>
      </c>
      <c r="L67" s="317">
        <f>IF(AND($A$2=4,VLOOKUP($A67,'District Level ADM'!$A$5:$W$52,5,FALSE)="Prior Year"),AN67,IF(AND($A$2=4,VLOOKUP($A67,'District Level ADM'!$A$5:$W$52,5,FALSE)="3-Year Avg."),Z67,IF($A$2=2,AN67,IF($A$2=3,Z67,IF(($AG67&gt;$AU67),Z67,AN67)))))</f>
        <v>1.3283333333333334</v>
      </c>
      <c r="M67" s="317">
        <f>IF(AND($A$2=4,VLOOKUP($A67,'District Level ADM'!$A$5:$W$52,5,FALSE)="Prior Year"),AO67,IF(AND($A$2=4,VLOOKUP($A67,'District Level ADM'!$A$5:$W$52,5,FALSE)="3-Year Avg."),AA67,IF($A$2=2,AO67,IF($A$2=3,AA67,IF(($AG67&gt;$AU67),AA67,AO67)))))</f>
        <v>0</v>
      </c>
      <c r="N67" s="317">
        <f>IF(AND($A$2=4,VLOOKUP($A67,'District Level ADM'!$A$5:$W$52,5,FALSE)="Prior Year"),AP67,IF(AND($A$2=4,VLOOKUP($A67,'District Level ADM'!$A$5:$W$52,5,FALSE)="3-Year Avg."),AB67,IF($A$2=2,AP67,IF($A$2=3,AB67,IF(($AG67&gt;$AU67),AB67,AP67)))))</f>
        <v>0</v>
      </c>
      <c r="O67" s="317">
        <f>IF(AND($A$2=4,VLOOKUP($A67,'District Level ADM'!$A$5:$W$52,5,FALSE)="Prior Year"),AQ67,IF(AND($A$2=4,VLOOKUP($A67,'District Level ADM'!$A$5:$W$52,5,FALSE)="3-Year Avg."),AC67,IF($A$2=2,AQ67,IF($A$2=3,AC67,IF(($AG67&gt;$AU67),AC67,AQ67)))))</f>
        <v>0</v>
      </c>
      <c r="P67" s="317">
        <f>IF(AND($A$2=4,VLOOKUP($A67,'District Level ADM'!$A$5:$W$52,5,FALSE)="Prior Year"),AR67,IF(AND($A$2=4,VLOOKUP($A67,'District Level ADM'!$A$5:$W$52,5,FALSE)="3-Year Avg."),AD67,IF($A$2=2,AR67,IF($A$2=3,AD67,IF(($AG67&gt;$AU67),AD67,AR67)))))</f>
        <v>0</v>
      </c>
      <c r="Q67" s="317">
        <f>IF(AND($A$2=4,VLOOKUP($A67,'District Level ADM'!$A$5:$W$52,5,FALSE)="Prior Year"),AS67,IF(AND($A$2=4,VLOOKUP($A67,'District Level ADM'!$A$5:$W$52,5,FALSE)="3-Year Avg."),AE67,IF($A$2=2,AS67,IF($A$2=3,AE67,IF(($AG67&gt;$AU67),AE67,AS67)))))</f>
        <v>0</v>
      </c>
      <c r="R67" s="317">
        <f>IF(AND($A$2=4,VLOOKUP($A67,'District Level ADM'!$A$5:$W$52,5,FALSE)="Prior Year"),AT67,IF(AND($A$2=4,VLOOKUP($A67,'District Level ADM'!$A$5:$W$52,5,FALSE)="3-Year Avg."),AF67,IF($A$2=2,AT67,IF($A$2=3,AF67,IF(($AG67&gt;$AU67),AF67,AT67)))))</f>
        <v>0</v>
      </c>
      <c r="S67" s="317">
        <f t="shared" si="1"/>
        <v>16.345333333333336</v>
      </c>
      <c r="T67" s="317">
        <f t="shared" si="8"/>
        <v>2.3333333333333335</v>
      </c>
      <c r="U67" s="317">
        <f t="shared" si="8"/>
        <v>1.9846666666666668</v>
      </c>
      <c r="V67" s="317">
        <f t="shared" si="8"/>
        <v>3.0030000000000001</v>
      </c>
      <c r="W67" s="317">
        <f t="shared" si="8"/>
        <v>2.4990000000000001</v>
      </c>
      <c r="X67" s="317">
        <f t="shared" si="8"/>
        <v>2.7983333333333333</v>
      </c>
      <c r="Y67" s="317">
        <f t="shared" si="8"/>
        <v>2.3986666666666667</v>
      </c>
      <c r="Z67" s="317">
        <f t="shared" si="7"/>
        <v>1.3283333333333334</v>
      </c>
      <c r="AA67" s="317">
        <f t="shared" si="7"/>
        <v>0</v>
      </c>
      <c r="AB67" s="317">
        <f t="shared" si="7"/>
        <v>0</v>
      </c>
      <c r="AC67" s="317">
        <f t="shared" si="7"/>
        <v>0</v>
      </c>
      <c r="AD67" s="317">
        <f t="shared" si="7"/>
        <v>0</v>
      </c>
      <c r="AE67" s="317">
        <f t="shared" si="7"/>
        <v>0</v>
      </c>
      <c r="AF67" s="317">
        <f t="shared" si="7"/>
        <v>0</v>
      </c>
      <c r="AG67" s="317">
        <f t="shared" si="3"/>
        <v>16.345333333333336</v>
      </c>
      <c r="AH67" s="318">
        <v>0</v>
      </c>
      <c r="AI67" s="318">
        <v>0.98499999999999999</v>
      </c>
      <c r="AJ67" s="318">
        <v>3.94</v>
      </c>
      <c r="AK67" s="318">
        <v>0</v>
      </c>
      <c r="AL67" s="318">
        <v>2.9550000000000001</v>
      </c>
      <c r="AM67" s="318">
        <v>1.97</v>
      </c>
      <c r="AN67" s="318">
        <v>0.98499999999999999</v>
      </c>
      <c r="AO67" s="318">
        <v>0</v>
      </c>
      <c r="AP67" s="318">
        <v>0</v>
      </c>
      <c r="AQ67" s="318">
        <v>0</v>
      </c>
      <c r="AR67" s="318">
        <v>0</v>
      </c>
      <c r="AS67" s="318">
        <v>0</v>
      </c>
      <c r="AT67" s="318">
        <v>0</v>
      </c>
      <c r="AU67" s="317">
        <f t="shared" si="4"/>
        <v>10.834999999999999</v>
      </c>
      <c r="AV67" s="319">
        <v>2</v>
      </c>
      <c r="AW67" s="319">
        <v>4.9119999999999999</v>
      </c>
      <c r="AX67" s="319">
        <v>0.91200000000000003</v>
      </c>
      <c r="AY67" s="319">
        <v>3</v>
      </c>
      <c r="AZ67" s="319">
        <v>3</v>
      </c>
      <c r="BA67" s="319">
        <v>2.226</v>
      </c>
      <c r="BB67" s="319">
        <v>0</v>
      </c>
      <c r="BC67" s="319">
        <v>0</v>
      </c>
      <c r="BD67" s="319">
        <v>0</v>
      </c>
      <c r="BE67" s="319">
        <v>0</v>
      </c>
      <c r="BF67" s="319">
        <v>0</v>
      </c>
      <c r="BG67" s="319">
        <v>0</v>
      </c>
      <c r="BH67" s="319">
        <v>0</v>
      </c>
      <c r="BI67" s="317">
        <f t="shared" si="5"/>
        <v>16.05</v>
      </c>
      <c r="BJ67" s="316">
        <v>5</v>
      </c>
      <c r="BK67" s="316">
        <v>5.7000000000000002E-2</v>
      </c>
      <c r="BL67" s="316">
        <v>4.157</v>
      </c>
      <c r="BM67" s="316">
        <v>4.4969999999999999</v>
      </c>
      <c r="BN67" s="316">
        <v>2.44</v>
      </c>
      <c r="BO67" s="316">
        <v>3</v>
      </c>
      <c r="BP67" s="316">
        <v>3</v>
      </c>
      <c r="BQ67" s="316">
        <v>0</v>
      </c>
      <c r="BR67" s="316">
        <v>0</v>
      </c>
      <c r="BS67" s="316">
        <v>0</v>
      </c>
      <c r="BT67" s="316">
        <v>0</v>
      </c>
      <c r="BU67" s="316">
        <v>0</v>
      </c>
      <c r="BV67" s="316">
        <v>0</v>
      </c>
      <c r="BW67" s="317">
        <f t="shared" si="6"/>
        <v>22.151</v>
      </c>
    </row>
    <row r="68" spans="1:75" x14ac:dyDescent="0.2">
      <c r="A68" s="20" t="str">
        <f>'School Level Inst. Resources'!A68</f>
        <v>0402000</v>
      </c>
      <c r="B68" s="20" t="str">
        <f>'School Level Inst. Resources'!B68</f>
        <v>Carbon #2</v>
      </c>
      <c r="C68" s="20" t="str">
        <f>'School Level Inst. Resources'!C68</f>
        <v>0402006</v>
      </c>
      <c r="D68" s="20" t="str">
        <f>'School Level Inst. Resources'!D68</f>
        <v>Saratoga Elementary</v>
      </c>
      <c r="E68" s="138" t="str">
        <f>'School Level Inst. Resources'!E68</f>
        <v>K-6</v>
      </c>
      <c r="F68" s="317">
        <f>IF(AND($A$2=4,VLOOKUP($A68,'District Level ADM'!$A$5:$W$52,5,FALSE)="Prior Year"),AH68,IF(AND($A$2=4,VLOOKUP($A68,'District Level ADM'!$A$5:$W$52,5,FALSE)="3-Year Avg."),T68,IF($A$2=2,AH68,IF($A$2=3,T68,IF(($AG68&gt;$AU68),T68,AH68)))))</f>
        <v>24.837</v>
      </c>
      <c r="G68" s="317">
        <f>IF(AND($A$2=4,VLOOKUP($A68,'District Level ADM'!$A$5:$W$52,5,FALSE)="Prior Year"),AI68,IF(AND($A$2=4,VLOOKUP($A68,'District Level ADM'!$A$5:$W$52,5,FALSE)="3-Year Avg."),U68,IF($A$2=2,AI68,IF($A$2=3,U68,IF(($AG68&gt;$AU68),U68,AI68)))))</f>
        <v>25.448000000000004</v>
      </c>
      <c r="H68" s="317">
        <f>IF(AND($A$2=4,VLOOKUP($A68,'District Level ADM'!$A$5:$W$52,5,FALSE)="Prior Year"),AJ68,IF(AND($A$2=4,VLOOKUP($A68,'District Level ADM'!$A$5:$W$52,5,FALSE)="3-Year Avg."),V68,IF($A$2=2,AJ68,IF($A$2=3,V68,IF(($AG68&gt;$AU68),V68,AJ68)))))</f>
        <v>25.487333333333336</v>
      </c>
      <c r="I68" s="317">
        <f>IF(AND($A$2=4,VLOOKUP($A68,'District Level ADM'!$A$5:$W$52,5,FALSE)="Prior Year"),AK68,IF(AND($A$2=4,VLOOKUP($A68,'District Level ADM'!$A$5:$W$52,5,FALSE)="3-Year Avg."),W68,IF($A$2=2,AK68,IF($A$2=3,W68,IF(($AG68&gt;$AU68),W68,AK68)))))</f>
        <v>23.956666666666667</v>
      </c>
      <c r="J68" s="317">
        <f>IF(AND($A$2=4,VLOOKUP($A68,'District Level ADM'!$A$5:$W$52,5,FALSE)="Prior Year"),AL68,IF(AND($A$2=4,VLOOKUP($A68,'District Level ADM'!$A$5:$W$52,5,FALSE)="3-Year Avg."),X68,IF($A$2=2,AL68,IF($A$2=3,X68,IF(($AG68&gt;$AU68),X68,AL68)))))</f>
        <v>19.991</v>
      </c>
      <c r="K68" s="317">
        <f>IF(AND($A$2=4,VLOOKUP($A68,'District Level ADM'!$A$5:$W$52,5,FALSE)="Prior Year"),AM68,IF(AND($A$2=4,VLOOKUP($A68,'District Level ADM'!$A$5:$W$52,5,FALSE)="3-Year Avg."),Y68,IF($A$2=2,AM68,IF($A$2=3,Y68,IF(($AG68&gt;$AU68),Y68,AM68)))))</f>
        <v>17.230333333333334</v>
      </c>
      <c r="L68" s="317">
        <f>IF(AND($A$2=4,VLOOKUP($A68,'District Level ADM'!$A$5:$W$52,5,FALSE)="Prior Year"),AN68,IF(AND($A$2=4,VLOOKUP($A68,'District Level ADM'!$A$5:$W$52,5,FALSE)="3-Year Avg."),Z68,IF($A$2=2,AN68,IF($A$2=3,Z68,IF(($AG68&gt;$AU68),Z68,AN68)))))</f>
        <v>18.625</v>
      </c>
      <c r="M68" s="317">
        <f>IF(AND($A$2=4,VLOOKUP($A68,'District Level ADM'!$A$5:$W$52,5,FALSE)="Prior Year"),AO68,IF(AND($A$2=4,VLOOKUP($A68,'District Level ADM'!$A$5:$W$52,5,FALSE)="3-Year Avg."),AA68,IF($A$2=2,AO68,IF($A$2=3,AA68,IF(($AG68&gt;$AU68),AA68,AO68)))))</f>
        <v>0</v>
      </c>
      <c r="N68" s="317">
        <f>IF(AND($A$2=4,VLOOKUP($A68,'District Level ADM'!$A$5:$W$52,5,FALSE)="Prior Year"),AP68,IF(AND($A$2=4,VLOOKUP($A68,'District Level ADM'!$A$5:$W$52,5,FALSE)="3-Year Avg."),AB68,IF($A$2=2,AP68,IF($A$2=3,AB68,IF(($AG68&gt;$AU68),AB68,AP68)))))</f>
        <v>0</v>
      </c>
      <c r="O68" s="317">
        <f>IF(AND($A$2=4,VLOOKUP($A68,'District Level ADM'!$A$5:$W$52,5,FALSE)="Prior Year"),AQ68,IF(AND($A$2=4,VLOOKUP($A68,'District Level ADM'!$A$5:$W$52,5,FALSE)="3-Year Avg."),AC68,IF($A$2=2,AQ68,IF($A$2=3,AC68,IF(($AG68&gt;$AU68),AC68,AQ68)))))</f>
        <v>0</v>
      </c>
      <c r="P68" s="317">
        <f>IF(AND($A$2=4,VLOOKUP($A68,'District Level ADM'!$A$5:$W$52,5,FALSE)="Prior Year"),AR68,IF(AND($A$2=4,VLOOKUP($A68,'District Level ADM'!$A$5:$W$52,5,FALSE)="3-Year Avg."),AD68,IF($A$2=2,AR68,IF($A$2=3,AD68,IF(($AG68&gt;$AU68),AD68,AR68)))))</f>
        <v>0</v>
      </c>
      <c r="Q68" s="317">
        <f>IF(AND($A$2=4,VLOOKUP($A68,'District Level ADM'!$A$5:$W$52,5,FALSE)="Prior Year"),AS68,IF(AND($A$2=4,VLOOKUP($A68,'District Level ADM'!$A$5:$W$52,5,FALSE)="3-Year Avg."),AE68,IF($A$2=2,AS68,IF($A$2=3,AE68,IF(($AG68&gt;$AU68),AE68,AS68)))))</f>
        <v>0</v>
      </c>
      <c r="R68" s="317">
        <f>IF(AND($A$2=4,VLOOKUP($A68,'District Level ADM'!$A$5:$W$52,5,FALSE)="Prior Year"),AT68,IF(AND($A$2=4,VLOOKUP($A68,'District Level ADM'!$A$5:$W$52,5,FALSE)="3-Year Avg."),AF68,IF($A$2=2,AT68,IF($A$2=3,AF68,IF(($AG68&gt;$AU68),AF68,AT68)))))</f>
        <v>0</v>
      </c>
      <c r="S68" s="317">
        <f t="shared" si="1"/>
        <v>155.57533333333333</v>
      </c>
      <c r="T68" s="317">
        <f t="shared" si="8"/>
        <v>24.837</v>
      </c>
      <c r="U68" s="317">
        <f t="shared" si="8"/>
        <v>25.448000000000004</v>
      </c>
      <c r="V68" s="317">
        <f t="shared" si="8"/>
        <v>25.487333333333336</v>
      </c>
      <c r="W68" s="317">
        <f t="shared" si="8"/>
        <v>23.956666666666667</v>
      </c>
      <c r="X68" s="317">
        <f t="shared" si="8"/>
        <v>19.991</v>
      </c>
      <c r="Y68" s="317">
        <f t="shared" si="8"/>
        <v>17.230333333333334</v>
      </c>
      <c r="Z68" s="317">
        <f t="shared" si="7"/>
        <v>18.625</v>
      </c>
      <c r="AA68" s="317">
        <f t="shared" si="7"/>
        <v>0</v>
      </c>
      <c r="AB68" s="317">
        <f t="shared" si="7"/>
        <v>0</v>
      </c>
      <c r="AC68" s="317">
        <f t="shared" si="7"/>
        <v>0</v>
      </c>
      <c r="AD68" s="317">
        <f t="shared" si="7"/>
        <v>0</v>
      </c>
      <c r="AE68" s="317">
        <f t="shared" si="7"/>
        <v>0</v>
      </c>
      <c r="AF68" s="317">
        <f t="shared" si="7"/>
        <v>0</v>
      </c>
      <c r="AG68" s="317">
        <f t="shared" si="3"/>
        <v>155.57533333333333</v>
      </c>
      <c r="AH68" s="318">
        <v>27.58</v>
      </c>
      <c r="AI68" s="318">
        <v>23.64</v>
      </c>
      <c r="AJ68" s="318">
        <v>24.625</v>
      </c>
      <c r="AK68" s="318">
        <v>24.625</v>
      </c>
      <c r="AL68" s="318">
        <v>23.64</v>
      </c>
      <c r="AM68" s="318">
        <v>20.684999999999999</v>
      </c>
      <c r="AN68" s="318">
        <v>22.655000000000001</v>
      </c>
      <c r="AO68" s="318">
        <v>0</v>
      </c>
      <c r="AP68" s="318">
        <v>0</v>
      </c>
      <c r="AQ68" s="318">
        <v>0</v>
      </c>
      <c r="AR68" s="318">
        <v>0</v>
      </c>
      <c r="AS68" s="318">
        <v>0</v>
      </c>
      <c r="AT68" s="318">
        <v>0</v>
      </c>
      <c r="AU68" s="317">
        <f t="shared" si="4"/>
        <v>167.45</v>
      </c>
      <c r="AV68" s="319">
        <v>20.698</v>
      </c>
      <c r="AW68" s="319">
        <v>24.962</v>
      </c>
      <c r="AX68" s="319">
        <v>26.408999999999999</v>
      </c>
      <c r="AY68" s="319">
        <v>24.83</v>
      </c>
      <c r="AZ68" s="319">
        <v>19.698</v>
      </c>
      <c r="BA68" s="319">
        <v>17</v>
      </c>
      <c r="BB68" s="319">
        <v>16.527999999999999</v>
      </c>
      <c r="BC68" s="319">
        <v>0</v>
      </c>
      <c r="BD68" s="319">
        <v>0</v>
      </c>
      <c r="BE68" s="319">
        <v>0</v>
      </c>
      <c r="BF68" s="319">
        <v>0</v>
      </c>
      <c r="BG68" s="319">
        <v>0</v>
      </c>
      <c r="BH68" s="319">
        <v>0</v>
      </c>
      <c r="BI68" s="317">
        <f t="shared" si="5"/>
        <v>150.12499999999997</v>
      </c>
      <c r="BJ68" s="316">
        <v>26.233000000000001</v>
      </c>
      <c r="BK68" s="316">
        <v>27.742000000000001</v>
      </c>
      <c r="BL68" s="316">
        <v>25.428000000000001</v>
      </c>
      <c r="BM68" s="316">
        <v>22.414999999999999</v>
      </c>
      <c r="BN68" s="316">
        <v>16.635000000000002</v>
      </c>
      <c r="BO68" s="316">
        <v>14.006</v>
      </c>
      <c r="BP68" s="316">
        <v>16.692</v>
      </c>
      <c r="BQ68" s="316">
        <v>0</v>
      </c>
      <c r="BR68" s="316">
        <v>0</v>
      </c>
      <c r="BS68" s="316">
        <v>0</v>
      </c>
      <c r="BT68" s="316">
        <v>0</v>
      </c>
      <c r="BU68" s="316">
        <v>0</v>
      </c>
      <c r="BV68" s="316">
        <v>0</v>
      </c>
      <c r="BW68" s="317">
        <f t="shared" si="6"/>
        <v>149.15100000000001</v>
      </c>
    </row>
    <row r="69" spans="1:75" x14ac:dyDescent="0.2">
      <c r="A69" s="20" t="str">
        <f>'School Level Inst. Resources'!A69</f>
        <v>0402000</v>
      </c>
      <c r="B69" s="20" t="str">
        <f>'School Level Inst. Resources'!B69</f>
        <v>Carbon #2</v>
      </c>
      <c r="C69" s="20" t="str">
        <f>'School Level Inst. Resources'!C69</f>
        <v>0402048</v>
      </c>
      <c r="D69" s="20" t="str">
        <f>'School Level Inst. Resources'!D69</f>
        <v>HEM Junior/Senior High School</v>
      </c>
      <c r="E69" s="138" t="str">
        <f>'School Level Inst. Resources'!E69</f>
        <v>7-12</v>
      </c>
      <c r="F69" s="317">
        <f>IF(AND($A$2=4,VLOOKUP($A69,'District Level ADM'!$A$5:$W$52,5,FALSE)="Prior Year"),AH69,IF(AND($A$2=4,VLOOKUP($A69,'District Level ADM'!$A$5:$W$52,5,FALSE)="3-Year Avg."),T69,IF($A$2=2,AH69,IF($A$2=3,T69,IF(($AG69&gt;$AU69),T69,AH69)))))</f>
        <v>0</v>
      </c>
      <c r="G69" s="317">
        <f>IF(AND($A$2=4,VLOOKUP($A69,'District Level ADM'!$A$5:$W$52,5,FALSE)="Prior Year"),AI69,IF(AND($A$2=4,VLOOKUP($A69,'District Level ADM'!$A$5:$W$52,5,FALSE)="3-Year Avg."),U69,IF($A$2=2,AI69,IF($A$2=3,U69,IF(($AG69&gt;$AU69),U69,AI69)))))</f>
        <v>0</v>
      </c>
      <c r="H69" s="317">
        <f>IF(AND($A$2=4,VLOOKUP($A69,'District Level ADM'!$A$5:$W$52,5,FALSE)="Prior Year"),AJ69,IF(AND($A$2=4,VLOOKUP($A69,'District Level ADM'!$A$5:$W$52,5,FALSE)="3-Year Avg."),V69,IF($A$2=2,AJ69,IF($A$2=3,V69,IF(($AG69&gt;$AU69),V69,AJ69)))))</f>
        <v>0</v>
      </c>
      <c r="I69" s="317">
        <f>IF(AND($A$2=4,VLOOKUP($A69,'District Level ADM'!$A$5:$W$52,5,FALSE)="Prior Year"),AK69,IF(AND($A$2=4,VLOOKUP($A69,'District Level ADM'!$A$5:$W$52,5,FALSE)="3-Year Avg."),W69,IF($A$2=2,AK69,IF($A$2=3,W69,IF(($AG69&gt;$AU69),W69,AK69)))))</f>
        <v>0</v>
      </c>
      <c r="J69" s="317">
        <f>IF(AND($A$2=4,VLOOKUP($A69,'District Level ADM'!$A$5:$W$52,5,FALSE)="Prior Year"),AL69,IF(AND($A$2=4,VLOOKUP($A69,'District Level ADM'!$A$5:$W$52,5,FALSE)="3-Year Avg."),X69,IF($A$2=2,AL69,IF($A$2=3,X69,IF(($AG69&gt;$AU69),X69,AL69)))))</f>
        <v>0</v>
      </c>
      <c r="K69" s="317">
        <f>IF(AND($A$2=4,VLOOKUP($A69,'District Level ADM'!$A$5:$W$52,5,FALSE)="Prior Year"),AM69,IF(AND($A$2=4,VLOOKUP($A69,'District Level ADM'!$A$5:$W$52,5,FALSE)="3-Year Avg."),Y69,IF($A$2=2,AM69,IF($A$2=3,Y69,IF(($AG69&gt;$AU69),Y69,AM69)))))</f>
        <v>0</v>
      </c>
      <c r="L69" s="317">
        <f>IF(AND($A$2=4,VLOOKUP($A69,'District Level ADM'!$A$5:$W$52,5,FALSE)="Prior Year"),AN69,IF(AND($A$2=4,VLOOKUP($A69,'District Level ADM'!$A$5:$W$52,5,FALSE)="3-Year Avg."),Z69,IF($A$2=2,AN69,IF($A$2=3,Z69,IF(($AG69&gt;$AU69),Z69,AN69)))))</f>
        <v>0</v>
      </c>
      <c r="M69" s="317">
        <f>IF(AND($A$2=4,VLOOKUP($A69,'District Level ADM'!$A$5:$W$52,5,FALSE)="Prior Year"),AO69,IF(AND($A$2=4,VLOOKUP($A69,'District Level ADM'!$A$5:$W$52,5,FALSE)="3-Year Avg."),AA69,IF($A$2=2,AO69,IF($A$2=3,AA69,IF(($AG69&gt;$AU69),AA69,AO69)))))</f>
        <v>15.894333333333334</v>
      </c>
      <c r="N69" s="317">
        <f>IF(AND($A$2=4,VLOOKUP($A69,'District Level ADM'!$A$5:$W$52,5,FALSE)="Prior Year"),AP69,IF(AND($A$2=4,VLOOKUP($A69,'District Level ADM'!$A$5:$W$52,5,FALSE)="3-Year Avg."),AB69,IF($A$2=2,AP69,IF($A$2=3,AB69,IF(($AG69&gt;$AU69),AB69,AP69)))))</f>
        <v>15.759333333333332</v>
      </c>
      <c r="O69" s="317">
        <f>IF(AND($A$2=4,VLOOKUP($A69,'District Level ADM'!$A$5:$W$52,5,FALSE)="Prior Year"),AQ69,IF(AND($A$2=4,VLOOKUP($A69,'District Level ADM'!$A$5:$W$52,5,FALSE)="3-Year Avg."),AC69,IF($A$2=2,AQ69,IF($A$2=3,AC69,IF(($AG69&gt;$AU69),AC69,AQ69)))))</f>
        <v>14.817333333333332</v>
      </c>
      <c r="P69" s="317">
        <f>IF(AND($A$2=4,VLOOKUP($A69,'District Level ADM'!$A$5:$W$52,5,FALSE)="Prior Year"),AR69,IF(AND($A$2=4,VLOOKUP($A69,'District Level ADM'!$A$5:$W$52,5,FALSE)="3-Year Avg."),AD69,IF($A$2=2,AR69,IF($A$2=3,AD69,IF(($AG69&gt;$AU69),AD69,AR69)))))</f>
        <v>11.994</v>
      </c>
      <c r="Q69" s="317">
        <f>IF(AND($A$2=4,VLOOKUP($A69,'District Level ADM'!$A$5:$W$52,5,FALSE)="Prior Year"),AS69,IF(AND($A$2=4,VLOOKUP($A69,'District Level ADM'!$A$5:$W$52,5,FALSE)="3-Year Avg."),AE69,IF($A$2=2,AS69,IF($A$2=3,AE69,IF(($AG69&gt;$AU69),AE69,AS69)))))</f>
        <v>14.398666666666665</v>
      </c>
      <c r="R69" s="317">
        <f>IF(AND($A$2=4,VLOOKUP($A69,'District Level ADM'!$A$5:$W$52,5,FALSE)="Prior Year"),AT69,IF(AND($A$2=4,VLOOKUP($A69,'District Level ADM'!$A$5:$W$52,5,FALSE)="3-Year Avg."),AF69,IF($A$2=2,AT69,IF($A$2=3,AF69,IF(($AG69&gt;$AU69),AF69,AT69)))))</f>
        <v>15.438333333333333</v>
      </c>
      <c r="S69" s="317">
        <f t="shared" si="1"/>
        <v>88.301999999999992</v>
      </c>
      <c r="T69" s="317">
        <f t="shared" si="8"/>
        <v>0</v>
      </c>
      <c r="U69" s="317">
        <f t="shared" si="8"/>
        <v>0</v>
      </c>
      <c r="V69" s="317">
        <f t="shared" si="8"/>
        <v>0</v>
      </c>
      <c r="W69" s="317">
        <f t="shared" si="8"/>
        <v>0</v>
      </c>
      <c r="X69" s="317">
        <f t="shared" si="8"/>
        <v>0</v>
      </c>
      <c r="Y69" s="317">
        <f t="shared" si="8"/>
        <v>0</v>
      </c>
      <c r="Z69" s="317">
        <f t="shared" si="7"/>
        <v>0</v>
      </c>
      <c r="AA69" s="317">
        <f t="shared" si="7"/>
        <v>15.894333333333334</v>
      </c>
      <c r="AB69" s="317">
        <f t="shared" si="7"/>
        <v>15.759333333333332</v>
      </c>
      <c r="AC69" s="317">
        <f t="shared" si="7"/>
        <v>14.817333333333332</v>
      </c>
      <c r="AD69" s="317">
        <f t="shared" si="7"/>
        <v>11.994</v>
      </c>
      <c r="AE69" s="317">
        <f t="shared" si="7"/>
        <v>14.398666666666665</v>
      </c>
      <c r="AF69" s="317">
        <f t="shared" si="7"/>
        <v>15.438333333333333</v>
      </c>
      <c r="AG69" s="317">
        <f t="shared" si="3"/>
        <v>88.301999999999992</v>
      </c>
      <c r="AH69" s="318">
        <v>0</v>
      </c>
      <c r="AI69" s="318">
        <v>0</v>
      </c>
      <c r="AJ69" s="318">
        <v>0</v>
      </c>
      <c r="AK69" s="318">
        <v>0</v>
      </c>
      <c r="AL69" s="318">
        <v>0</v>
      </c>
      <c r="AM69" s="318">
        <v>0</v>
      </c>
      <c r="AN69" s="318">
        <v>0</v>
      </c>
      <c r="AO69" s="318">
        <v>13.79</v>
      </c>
      <c r="AP69" s="318">
        <v>14.775</v>
      </c>
      <c r="AQ69" s="318">
        <v>20.684999999999999</v>
      </c>
      <c r="AR69" s="318">
        <v>9.85</v>
      </c>
      <c r="AS69" s="318">
        <v>9.85</v>
      </c>
      <c r="AT69" s="318">
        <v>12.805</v>
      </c>
      <c r="AU69" s="317">
        <f t="shared" si="4"/>
        <v>81.754999999999995</v>
      </c>
      <c r="AV69" s="319">
        <v>0</v>
      </c>
      <c r="AW69" s="319">
        <v>0</v>
      </c>
      <c r="AX69" s="319">
        <v>0</v>
      </c>
      <c r="AY69" s="319">
        <v>0</v>
      </c>
      <c r="AZ69" s="319">
        <v>0</v>
      </c>
      <c r="BA69" s="319">
        <v>0</v>
      </c>
      <c r="BB69" s="319">
        <v>0</v>
      </c>
      <c r="BC69" s="319">
        <v>16.308</v>
      </c>
      <c r="BD69" s="319">
        <v>21.78</v>
      </c>
      <c r="BE69" s="319">
        <v>11.106999999999999</v>
      </c>
      <c r="BF69" s="319">
        <v>13.195</v>
      </c>
      <c r="BG69" s="319">
        <v>13.409000000000001</v>
      </c>
      <c r="BH69" s="319">
        <v>16.257999999999999</v>
      </c>
      <c r="BI69" s="317">
        <f t="shared" si="5"/>
        <v>92.057000000000002</v>
      </c>
      <c r="BJ69" s="316">
        <v>0</v>
      </c>
      <c r="BK69" s="316">
        <v>0</v>
      </c>
      <c r="BL69" s="316">
        <v>0</v>
      </c>
      <c r="BM69" s="316">
        <v>0</v>
      </c>
      <c r="BN69" s="316">
        <v>0</v>
      </c>
      <c r="BO69" s="316">
        <v>0</v>
      </c>
      <c r="BP69" s="316">
        <v>0</v>
      </c>
      <c r="BQ69" s="316">
        <v>17.585000000000001</v>
      </c>
      <c r="BR69" s="316">
        <v>10.723000000000001</v>
      </c>
      <c r="BS69" s="316">
        <v>12.66</v>
      </c>
      <c r="BT69" s="316">
        <v>12.936999999999999</v>
      </c>
      <c r="BU69" s="316">
        <v>19.937000000000001</v>
      </c>
      <c r="BV69" s="316">
        <v>17.251999999999999</v>
      </c>
      <c r="BW69" s="317">
        <f t="shared" si="6"/>
        <v>91.093999999999994</v>
      </c>
    </row>
    <row r="70" spans="1:75" x14ac:dyDescent="0.2">
      <c r="A70" s="20" t="str">
        <f>'School Level Inst. Resources'!A70</f>
        <v>0402000</v>
      </c>
      <c r="B70" s="20" t="str">
        <f>'School Level Inst. Resources'!B70</f>
        <v>Carbon #2</v>
      </c>
      <c r="C70" s="20" t="str">
        <f>'School Level Inst. Resources'!C70</f>
        <v>0402049</v>
      </c>
      <c r="D70" s="20" t="str">
        <f>'School Level Inst. Resources'!D70</f>
        <v>Encampment K-12 School</v>
      </c>
      <c r="E70" s="138" t="str">
        <f>'School Level Inst. Resources'!E70</f>
        <v>K-12</v>
      </c>
      <c r="F70" s="317">
        <f>IF(AND($A$2=4,VLOOKUP($A70,'District Level ADM'!$A$5:$W$52,5,FALSE)="Prior Year"),AH70,IF(AND($A$2=4,VLOOKUP($A70,'District Level ADM'!$A$5:$W$52,5,FALSE)="3-Year Avg."),T70,IF($A$2=2,AH70,IF($A$2=3,T70,IF(($AG70&gt;$AU70),T70,AH70)))))</f>
        <v>7.8856666666666664</v>
      </c>
      <c r="G70" s="317">
        <f>IF(AND($A$2=4,VLOOKUP($A70,'District Level ADM'!$A$5:$W$52,5,FALSE)="Prior Year"),AI70,IF(AND($A$2=4,VLOOKUP($A70,'District Level ADM'!$A$5:$W$52,5,FALSE)="3-Year Avg."),U70,IF($A$2=2,AI70,IF($A$2=3,U70,IF(($AG70&gt;$AU70),U70,AI70)))))</f>
        <v>8.4876666666666676</v>
      </c>
      <c r="H70" s="317">
        <f>IF(AND($A$2=4,VLOOKUP($A70,'District Level ADM'!$A$5:$W$52,5,FALSE)="Prior Year"),AJ70,IF(AND($A$2=4,VLOOKUP($A70,'District Level ADM'!$A$5:$W$52,5,FALSE)="3-Year Avg."),V70,IF($A$2=2,AJ70,IF($A$2=3,V70,IF(($AG70&gt;$AU70),V70,AJ70)))))</f>
        <v>10.574333333333334</v>
      </c>
      <c r="I70" s="317">
        <f>IF(AND($A$2=4,VLOOKUP($A70,'District Level ADM'!$A$5:$W$52,5,FALSE)="Prior Year"),AK70,IF(AND($A$2=4,VLOOKUP($A70,'District Level ADM'!$A$5:$W$52,5,FALSE)="3-Year Avg."),W70,IF($A$2=2,AK70,IF($A$2=3,W70,IF(($AG70&gt;$AU70),W70,AK70)))))</f>
        <v>10.51</v>
      </c>
      <c r="J70" s="317">
        <f>IF(AND($A$2=4,VLOOKUP($A70,'District Level ADM'!$A$5:$W$52,5,FALSE)="Prior Year"),AL70,IF(AND($A$2=4,VLOOKUP($A70,'District Level ADM'!$A$5:$W$52,5,FALSE)="3-Year Avg."),X70,IF($A$2=2,AL70,IF($A$2=3,X70,IF(($AG70&gt;$AU70),X70,AL70)))))</f>
        <v>9.6293333333333333</v>
      </c>
      <c r="K70" s="317">
        <f>IF(AND($A$2=4,VLOOKUP($A70,'District Level ADM'!$A$5:$W$52,5,FALSE)="Prior Year"),AM70,IF(AND($A$2=4,VLOOKUP($A70,'District Level ADM'!$A$5:$W$52,5,FALSE)="3-Year Avg."),Y70,IF($A$2=2,AM70,IF($A$2=3,Y70,IF(($AG70&gt;$AU70),Y70,AM70)))))</f>
        <v>13.338333333333333</v>
      </c>
      <c r="L70" s="317">
        <f>IF(AND($A$2=4,VLOOKUP($A70,'District Level ADM'!$A$5:$W$52,5,FALSE)="Prior Year"),AN70,IF(AND($A$2=4,VLOOKUP($A70,'District Level ADM'!$A$5:$W$52,5,FALSE)="3-Year Avg."),Z70,IF($A$2=2,AN70,IF($A$2=3,Z70,IF(($AG70&gt;$AU70),Z70,AN70)))))</f>
        <v>11.001333333333335</v>
      </c>
      <c r="M70" s="317">
        <f>IF(AND($A$2=4,VLOOKUP($A70,'District Level ADM'!$A$5:$W$52,5,FALSE)="Prior Year"),AO70,IF(AND($A$2=4,VLOOKUP($A70,'District Level ADM'!$A$5:$W$52,5,FALSE)="3-Year Avg."),AA70,IF($A$2=2,AO70,IF($A$2=3,AA70,IF(($AG70&gt;$AU70),AA70,AO70)))))</f>
        <v>12.754666666666665</v>
      </c>
      <c r="N70" s="317">
        <f>IF(AND($A$2=4,VLOOKUP($A70,'District Level ADM'!$A$5:$W$52,5,FALSE)="Prior Year"),AP70,IF(AND($A$2=4,VLOOKUP($A70,'District Level ADM'!$A$5:$W$52,5,FALSE)="3-Year Avg."),AB70,IF($A$2=2,AP70,IF($A$2=3,AB70,IF(($AG70&gt;$AU70),AB70,AP70)))))</f>
        <v>11.901666666666666</v>
      </c>
      <c r="O70" s="317">
        <f>IF(AND($A$2=4,VLOOKUP($A70,'District Level ADM'!$A$5:$W$52,5,FALSE)="Prior Year"),AQ70,IF(AND($A$2=4,VLOOKUP($A70,'District Level ADM'!$A$5:$W$52,5,FALSE)="3-Year Avg."),AC70,IF($A$2=2,AQ70,IF($A$2=3,AC70,IF(($AG70&gt;$AU70),AC70,AQ70)))))</f>
        <v>11.661</v>
      </c>
      <c r="P70" s="317">
        <f>IF(AND($A$2=4,VLOOKUP($A70,'District Level ADM'!$A$5:$W$52,5,FALSE)="Prior Year"),AR70,IF(AND($A$2=4,VLOOKUP($A70,'District Level ADM'!$A$5:$W$52,5,FALSE)="3-Year Avg."),AD70,IF($A$2=2,AR70,IF($A$2=3,AD70,IF(($AG70&gt;$AU70),AD70,AR70)))))</f>
        <v>11.508666666666665</v>
      </c>
      <c r="Q70" s="317">
        <f>IF(AND($A$2=4,VLOOKUP($A70,'District Level ADM'!$A$5:$W$52,5,FALSE)="Prior Year"),AS70,IF(AND($A$2=4,VLOOKUP($A70,'District Level ADM'!$A$5:$W$52,5,FALSE)="3-Year Avg."),AE70,IF($A$2=2,AS70,IF($A$2=3,AE70,IF(($AG70&gt;$AU70),AE70,AS70)))))</f>
        <v>10.095666666666666</v>
      </c>
      <c r="R70" s="317">
        <f>IF(AND($A$2=4,VLOOKUP($A70,'District Level ADM'!$A$5:$W$52,5,FALSE)="Prior Year"),AT70,IF(AND($A$2=4,VLOOKUP($A70,'District Level ADM'!$A$5:$W$52,5,FALSE)="3-Year Avg."),AF70,IF($A$2=2,AT70,IF($A$2=3,AF70,IF(($AG70&gt;$AU70),AF70,AT70)))))</f>
        <v>10.988</v>
      </c>
      <c r="S70" s="317">
        <f t="shared" ref="S70:S133" si="13">SUM(F70:R70)</f>
        <v>140.33633333333336</v>
      </c>
      <c r="T70" s="317">
        <f t="shared" si="8"/>
        <v>7.8856666666666664</v>
      </c>
      <c r="U70" s="317">
        <f t="shared" si="8"/>
        <v>8.4876666666666676</v>
      </c>
      <c r="V70" s="317">
        <f t="shared" si="8"/>
        <v>10.574333333333334</v>
      </c>
      <c r="W70" s="317">
        <f t="shared" si="8"/>
        <v>10.51</v>
      </c>
      <c r="X70" s="317">
        <f t="shared" si="8"/>
        <v>9.6293333333333333</v>
      </c>
      <c r="Y70" s="317">
        <f t="shared" si="8"/>
        <v>13.338333333333333</v>
      </c>
      <c r="Z70" s="317">
        <f t="shared" si="7"/>
        <v>11.001333333333335</v>
      </c>
      <c r="AA70" s="317">
        <f t="shared" si="7"/>
        <v>12.754666666666665</v>
      </c>
      <c r="AB70" s="317">
        <f t="shared" si="7"/>
        <v>11.901666666666666</v>
      </c>
      <c r="AC70" s="317">
        <f t="shared" si="7"/>
        <v>11.661</v>
      </c>
      <c r="AD70" s="317">
        <f t="shared" si="7"/>
        <v>11.508666666666665</v>
      </c>
      <c r="AE70" s="317">
        <f t="shared" si="7"/>
        <v>10.095666666666666</v>
      </c>
      <c r="AF70" s="317">
        <f t="shared" si="7"/>
        <v>10.988</v>
      </c>
      <c r="AG70" s="317">
        <f t="shared" ref="AG70:AG133" si="14">SUM(T70:AF70)</f>
        <v>140.33633333333336</v>
      </c>
      <c r="AH70" s="318">
        <v>3.94</v>
      </c>
      <c r="AI70" s="318">
        <v>5.91</v>
      </c>
      <c r="AJ70" s="318">
        <v>12.805</v>
      </c>
      <c r="AK70" s="318">
        <v>6.8949999999999996</v>
      </c>
      <c r="AL70" s="318">
        <v>9.85</v>
      </c>
      <c r="AM70" s="318">
        <v>11.82</v>
      </c>
      <c r="AN70" s="318">
        <v>5.91</v>
      </c>
      <c r="AO70" s="318">
        <v>12.805</v>
      </c>
      <c r="AP70" s="318">
        <v>9.85</v>
      </c>
      <c r="AQ70" s="318">
        <v>14.775</v>
      </c>
      <c r="AR70" s="318">
        <v>10.835000000000001</v>
      </c>
      <c r="AS70" s="318">
        <v>8.8650000000000002</v>
      </c>
      <c r="AT70" s="318">
        <v>11.82</v>
      </c>
      <c r="AU70" s="317">
        <f t="shared" ref="AU70:AU133" si="15">SUM(AH70:AT70)</f>
        <v>126.08000000000001</v>
      </c>
      <c r="AV70" s="319">
        <v>6</v>
      </c>
      <c r="AW70" s="319">
        <v>10.811</v>
      </c>
      <c r="AX70" s="319">
        <v>6.8109999999999999</v>
      </c>
      <c r="AY70" s="319">
        <v>11.811</v>
      </c>
      <c r="AZ70" s="319">
        <v>11.038</v>
      </c>
      <c r="BA70" s="319">
        <v>8.1950000000000003</v>
      </c>
      <c r="BB70" s="319">
        <v>14.39</v>
      </c>
      <c r="BC70" s="319">
        <v>9.27</v>
      </c>
      <c r="BD70" s="319">
        <v>15.635</v>
      </c>
      <c r="BE70" s="319">
        <v>10</v>
      </c>
      <c r="BF70" s="319">
        <v>10.031000000000001</v>
      </c>
      <c r="BG70" s="319">
        <v>11.56</v>
      </c>
      <c r="BH70" s="319">
        <v>9.7040000000000006</v>
      </c>
      <c r="BI70" s="317">
        <f t="shared" ref="BI70:BI134" si="16">SUM(AV70:BH70)</f>
        <v>135.25600000000003</v>
      </c>
      <c r="BJ70" s="316">
        <v>13.717000000000001</v>
      </c>
      <c r="BK70" s="316">
        <v>8.7420000000000009</v>
      </c>
      <c r="BL70" s="316">
        <v>12.106999999999999</v>
      </c>
      <c r="BM70" s="316">
        <v>12.824</v>
      </c>
      <c r="BN70" s="316">
        <v>8</v>
      </c>
      <c r="BO70" s="316">
        <v>20</v>
      </c>
      <c r="BP70" s="316">
        <v>12.704000000000001</v>
      </c>
      <c r="BQ70" s="316">
        <v>16.189</v>
      </c>
      <c r="BR70" s="316">
        <v>10.220000000000001</v>
      </c>
      <c r="BS70" s="316">
        <v>10.208</v>
      </c>
      <c r="BT70" s="316">
        <v>13.66</v>
      </c>
      <c r="BU70" s="316">
        <v>9.8620000000000001</v>
      </c>
      <c r="BV70" s="316">
        <v>11.44</v>
      </c>
      <c r="BW70" s="317">
        <f t="shared" ref="BW70:BW132" si="17">SUM(BJ70:BV70)</f>
        <v>159.67299999999997</v>
      </c>
    </row>
    <row r="71" spans="1:75" x14ac:dyDescent="0.2">
      <c r="A71" s="20" t="str">
        <f>'School Level Inst. Resources'!A71</f>
        <v>0402000</v>
      </c>
      <c r="B71" s="20" t="str">
        <f>'School Level Inst. Resources'!B71</f>
        <v>Carbon #2</v>
      </c>
      <c r="C71" s="20" t="str">
        <f>'School Level Inst. Resources'!C71</f>
        <v>0402059</v>
      </c>
      <c r="D71" s="20" t="str">
        <f>'School Level Inst. Resources'!D71</f>
        <v>Saratoga Middle/High School</v>
      </c>
      <c r="E71" s="138" t="str">
        <f>'School Level Inst. Resources'!E71</f>
        <v>7-12</v>
      </c>
      <c r="F71" s="317">
        <f>IF(AND($A$2=4,VLOOKUP($A71,'District Level ADM'!$A$5:$W$52,5,FALSE)="Prior Year"),AH71,IF(AND($A$2=4,VLOOKUP($A71,'District Level ADM'!$A$5:$W$52,5,FALSE)="3-Year Avg."),T71,IF($A$2=2,AH71,IF($A$2=3,T71,IF(($AG71&gt;$AU71),T71,AH71)))))</f>
        <v>0</v>
      </c>
      <c r="G71" s="317">
        <f>IF(AND($A$2=4,VLOOKUP($A71,'District Level ADM'!$A$5:$W$52,5,FALSE)="Prior Year"),AI71,IF(AND($A$2=4,VLOOKUP($A71,'District Level ADM'!$A$5:$W$52,5,FALSE)="3-Year Avg."),U71,IF($A$2=2,AI71,IF($A$2=3,U71,IF(($AG71&gt;$AU71),U71,AI71)))))</f>
        <v>0</v>
      </c>
      <c r="H71" s="317">
        <f>IF(AND($A$2=4,VLOOKUP($A71,'District Level ADM'!$A$5:$W$52,5,FALSE)="Prior Year"),AJ71,IF(AND($A$2=4,VLOOKUP($A71,'District Level ADM'!$A$5:$W$52,5,FALSE)="3-Year Avg."),V71,IF($A$2=2,AJ71,IF($A$2=3,V71,IF(($AG71&gt;$AU71),V71,AJ71)))))</f>
        <v>0</v>
      </c>
      <c r="I71" s="317">
        <f>IF(AND($A$2=4,VLOOKUP($A71,'District Level ADM'!$A$5:$W$52,5,FALSE)="Prior Year"),AK71,IF(AND($A$2=4,VLOOKUP($A71,'District Level ADM'!$A$5:$W$52,5,FALSE)="3-Year Avg."),W71,IF($A$2=2,AK71,IF($A$2=3,W71,IF(($AG71&gt;$AU71),W71,AK71)))))</f>
        <v>0</v>
      </c>
      <c r="J71" s="317">
        <f>IF(AND($A$2=4,VLOOKUP($A71,'District Level ADM'!$A$5:$W$52,5,FALSE)="Prior Year"),AL71,IF(AND($A$2=4,VLOOKUP($A71,'District Level ADM'!$A$5:$W$52,5,FALSE)="3-Year Avg."),X71,IF($A$2=2,AL71,IF($A$2=3,X71,IF(($AG71&gt;$AU71),X71,AL71)))))</f>
        <v>0</v>
      </c>
      <c r="K71" s="317">
        <f>IF(AND($A$2=4,VLOOKUP($A71,'District Level ADM'!$A$5:$W$52,5,FALSE)="Prior Year"),AM71,IF(AND($A$2=4,VLOOKUP($A71,'District Level ADM'!$A$5:$W$52,5,FALSE)="3-Year Avg."),Y71,IF($A$2=2,AM71,IF($A$2=3,Y71,IF(($AG71&gt;$AU71),Y71,AM71)))))</f>
        <v>0</v>
      </c>
      <c r="L71" s="317">
        <f>IF(AND($A$2=4,VLOOKUP($A71,'District Level ADM'!$A$5:$W$52,5,FALSE)="Prior Year"),AN71,IF(AND($A$2=4,VLOOKUP($A71,'District Level ADM'!$A$5:$W$52,5,FALSE)="3-Year Avg."),Z71,IF($A$2=2,AN71,IF($A$2=3,Z71,IF(($AG71&gt;$AU71),Z71,AN71)))))</f>
        <v>0</v>
      </c>
      <c r="M71" s="317">
        <f>IF(AND($A$2=4,VLOOKUP($A71,'District Level ADM'!$A$5:$W$52,5,FALSE)="Prior Year"),AO71,IF(AND($A$2=4,VLOOKUP($A71,'District Level ADM'!$A$5:$W$52,5,FALSE)="3-Year Avg."),AA71,IF($A$2=2,AO71,IF($A$2=3,AA71,IF(($AG71&gt;$AU71),AA71,AO71)))))</f>
        <v>20.198999999999998</v>
      </c>
      <c r="N71" s="317">
        <f>IF(AND($A$2=4,VLOOKUP($A71,'District Level ADM'!$A$5:$W$52,5,FALSE)="Prior Year"),AP71,IF(AND($A$2=4,VLOOKUP($A71,'District Level ADM'!$A$5:$W$52,5,FALSE)="3-Year Avg."),AB71,IF($A$2=2,AP71,IF($A$2=3,AB71,IF(($AG71&gt;$AU71),AB71,AP71)))))</f>
        <v>19.46</v>
      </c>
      <c r="O71" s="317">
        <f>IF(AND($A$2=4,VLOOKUP($A71,'District Level ADM'!$A$5:$W$52,5,FALSE)="Prior Year"),AQ71,IF(AND($A$2=4,VLOOKUP($A71,'District Level ADM'!$A$5:$W$52,5,FALSE)="3-Year Avg."),AC71,IF($A$2=2,AQ71,IF($A$2=3,AC71,IF(($AG71&gt;$AU71),AC71,AQ71)))))</f>
        <v>22.057666666666666</v>
      </c>
      <c r="P71" s="317">
        <f>IF(AND($A$2=4,VLOOKUP($A71,'District Level ADM'!$A$5:$W$52,5,FALSE)="Prior Year"),AR71,IF(AND($A$2=4,VLOOKUP($A71,'District Level ADM'!$A$5:$W$52,5,FALSE)="3-Year Avg."),AD71,IF($A$2=2,AR71,IF($A$2=3,AD71,IF(($AG71&gt;$AU71),AD71,AR71)))))</f>
        <v>22.649333333333331</v>
      </c>
      <c r="Q71" s="317">
        <f>IF(AND($A$2=4,VLOOKUP($A71,'District Level ADM'!$A$5:$W$52,5,FALSE)="Prior Year"),AS71,IF(AND($A$2=4,VLOOKUP($A71,'District Level ADM'!$A$5:$W$52,5,FALSE)="3-Year Avg."),AE71,IF($A$2=2,AS71,IF($A$2=3,AE71,IF(($AG71&gt;$AU71),AE71,AS71)))))</f>
        <v>22.486000000000001</v>
      </c>
      <c r="R71" s="317">
        <f>IF(AND($A$2=4,VLOOKUP($A71,'District Level ADM'!$A$5:$W$52,5,FALSE)="Prior Year"),AT71,IF(AND($A$2=4,VLOOKUP($A71,'District Level ADM'!$A$5:$W$52,5,FALSE)="3-Year Avg."),AF71,IF($A$2=2,AT71,IF($A$2=3,AF71,IF(($AG71&gt;$AU71),AF71,AT71)))))</f>
        <v>23.902333333333331</v>
      </c>
      <c r="S71" s="317">
        <f t="shared" si="13"/>
        <v>130.75433333333334</v>
      </c>
      <c r="T71" s="317">
        <f t="shared" si="8"/>
        <v>0</v>
      </c>
      <c r="U71" s="317">
        <f t="shared" si="8"/>
        <v>0</v>
      </c>
      <c r="V71" s="317">
        <f t="shared" si="8"/>
        <v>0</v>
      </c>
      <c r="W71" s="317">
        <f t="shared" si="8"/>
        <v>0</v>
      </c>
      <c r="X71" s="317">
        <f t="shared" si="8"/>
        <v>0</v>
      </c>
      <c r="Y71" s="317">
        <f t="shared" si="8"/>
        <v>0</v>
      </c>
      <c r="Z71" s="317">
        <f t="shared" si="7"/>
        <v>0</v>
      </c>
      <c r="AA71" s="317">
        <f t="shared" si="7"/>
        <v>20.198999999999998</v>
      </c>
      <c r="AB71" s="317">
        <f t="shared" si="7"/>
        <v>19.46</v>
      </c>
      <c r="AC71" s="317">
        <f t="shared" si="7"/>
        <v>22.057666666666666</v>
      </c>
      <c r="AD71" s="317">
        <f t="shared" si="7"/>
        <v>22.649333333333331</v>
      </c>
      <c r="AE71" s="317">
        <f t="shared" si="7"/>
        <v>22.486000000000001</v>
      </c>
      <c r="AF71" s="317">
        <f t="shared" si="7"/>
        <v>23.902333333333331</v>
      </c>
      <c r="AG71" s="317">
        <f t="shared" si="14"/>
        <v>130.75433333333334</v>
      </c>
      <c r="AH71" s="318">
        <v>0</v>
      </c>
      <c r="AI71" s="318">
        <v>0</v>
      </c>
      <c r="AJ71" s="318">
        <v>0</v>
      </c>
      <c r="AK71" s="318">
        <v>0</v>
      </c>
      <c r="AL71" s="318">
        <v>0</v>
      </c>
      <c r="AM71" s="318">
        <v>0</v>
      </c>
      <c r="AN71" s="318">
        <v>0</v>
      </c>
      <c r="AO71" s="318">
        <v>15.76</v>
      </c>
      <c r="AP71" s="318">
        <v>16.745000000000001</v>
      </c>
      <c r="AQ71" s="318">
        <v>24.625</v>
      </c>
      <c r="AR71" s="318">
        <v>18.715</v>
      </c>
      <c r="AS71" s="318">
        <v>20.684999999999999</v>
      </c>
      <c r="AT71" s="318">
        <v>24.625</v>
      </c>
      <c r="AU71" s="317">
        <f t="shared" si="15"/>
        <v>121.155</v>
      </c>
      <c r="AV71" s="319">
        <v>0</v>
      </c>
      <c r="AW71" s="319">
        <v>0</v>
      </c>
      <c r="AX71" s="319">
        <v>0</v>
      </c>
      <c r="AY71" s="319">
        <v>0</v>
      </c>
      <c r="AZ71" s="319">
        <v>0</v>
      </c>
      <c r="BA71" s="319">
        <v>0</v>
      </c>
      <c r="BB71" s="319">
        <v>0</v>
      </c>
      <c r="BC71" s="319">
        <v>20.195</v>
      </c>
      <c r="BD71" s="319">
        <v>25.113</v>
      </c>
      <c r="BE71" s="319">
        <v>18.446999999999999</v>
      </c>
      <c r="BF71" s="319">
        <v>24.024999999999999</v>
      </c>
      <c r="BG71" s="319">
        <v>23.66</v>
      </c>
      <c r="BH71" s="319">
        <v>22.994</v>
      </c>
      <c r="BI71" s="317">
        <f t="shared" si="16"/>
        <v>134.434</v>
      </c>
      <c r="BJ71" s="316">
        <v>0</v>
      </c>
      <c r="BK71" s="316">
        <v>0</v>
      </c>
      <c r="BL71" s="316">
        <v>0</v>
      </c>
      <c r="BM71" s="316">
        <v>0</v>
      </c>
      <c r="BN71" s="316">
        <v>0</v>
      </c>
      <c r="BO71" s="316">
        <v>0</v>
      </c>
      <c r="BP71" s="316">
        <v>0</v>
      </c>
      <c r="BQ71" s="316">
        <v>24.641999999999999</v>
      </c>
      <c r="BR71" s="316">
        <v>16.521999999999998</v>
      </c>
      <c r="BS71" s="316">
        <v>23.100999999999999</v>
      </c>
      <c r="BT71" s="316">
        <v>25.207999999999998</v>
      </c>
      <c r="BU71" s="316">
        <v>23.113</v>
      </c>
      <c r="BV71" s="316">
        <v>24.088000000000001</v>
      </c>
      <c r="BW71" s="317">
        <f t="shared" si="17"/>
        <v>136.67400000000001</v>
      </c>
    </row>
    <row r="72" spans="1:75" x14ac:dyDescent="0.2">
      <c r="A72" s="20" t="str">
        <f>'School Level Inst. Resources'!A72</f>
        <v>0501000</v>
      </c>
      <c r="B72" s="20" t="str">
        <f>'School Level Inst. Resources'!B72</f>
        <v>Converse #1</v>
      </c>
      <c r="C72" s="20" t="str">
        <f>'School Level Inst. Resources'!C72</f>
        <v>0501001</v>
      </c>
      <c r="D72" s="20" t="str">
        <f>'School Level Inst. Resources'!D72</f>
        <v>Dry Creek Elementary</v>
      </c>
      <c r="E72" s="138" t="str">
        <f>'School Level Inst. Resources'!E72</f>
        <v>K-8</v>
      </c>
      <c r="F72" s="317">
        <f>IF(AND($A$2=4,VLOOKUP($A72,'District Level ADM'!$A$5:$W$52,5,FALSE)="Prior Year"),AH72,IF(AND($A$2=4,VLOOKUP($A72,'District Level ADM'!$A$5:$W$52,5,FALSE)="3-Year Avg."),T72,IF($A$2=2,AH72,IF($A$2=3,T72,IF(($AG72&gt;$AU72),T72,AH72)))))</f>
        <v>2.3606666666666665</v>
      </c>
      <c r="G72" s="317">
        <f>IF(AND($A$2=4,VLOOKUP($A72,'District Level ADM'!$A$5:$W$52,5,FALSE)="Prior Year"),AI72,IF(AND($A$2=4,VLOOKUP($A72,'District Level ADM'!$A$5:$W$52,5,FALSE)="3-Year Avg."),U72,IF($A$2=2,AI72,IF($A$2=3,U72,IF(($AG72&gt;$AU72),U72,AI72)))))</f>
        <v>2.3940000000000001</v>
      </c>
      <c r="H72" s="317">
        <f>IF(AND($A$2=4,VLOOKUP($A72,'District Level ADM'!$A$5:$W$52,5,FALSE)="Prior Year"),AJ72,IF(AND($A$2=4,VLOOKUP($A72,'District Level ADM'!$A$5:$W$52,5,FALSE)="3-Year Avg."),V72,IF($A$2=2,AJ72,IF($A$2=3,V72,IF(($AG72&gt;$AU72),V72,AJ72)))))</f>
        <v>2.313333333333333</v>
      </c>
      <c r="I72" s="317">
        <f>IF(AND($A$2=4,VLOOKUP($A72,'District Level ADM'!$A$5:$W$52,5,FALSE)="Prior Year"),AK72,IF(AND($A$2=4,VLOOKUP($A72,'District Level ADM'!$A$5:$W$52,5,FALSE)="3-Year Avg."),W72,IF($A$2=2,AK72,IF($A$2=3,W72,IF(($AG72&gt;$AU72),W72,AK72)))))</f>
        <v>1.7223333333333333</v>
      </c>
      <c r="J72" s="317">
        <f>IF(AND($A$2=4,VLOOKUP($A72,'District Level ADM'!$A$5:$W$52,5,FALSE)="Prior Year"),AL72,IF(AND($A$2=4,VLOOKUP($A72,'District Level ADM'!$A$5:$W$52,5,FALSE)="3-Year Avg."),X72,IF($A$2=2,AL72,IF($A$2=3,X72,IF(($AG72&gt;$AU72),X72,AL72)))))</f>
        <v>1.3283333333333334</v>
      </c>
      <c r="K72" s="317">
        <f>IF(AND($A$2=4,VLOOKUP($A72,'District Level ADM'!$A$5:$W$52,5,FALSE)="Prior Year"),AM72,IF(AND($A$2=4,VLOOKUP($A72,'District Level ADM'!$A$5:$W$52,5,FALSE)="3-Year Avg."),Y72,IF($A$2=2,AM72,IF($A$2=3,Y72,IF(($AG72&gt;$AU72),Y72,AM72)))))</f>
        <v>1.5186666666666666</v>
      </c>
      <c r="L72" s="317">
        <f>IF(AND($A$2=4,VLOOKUP($A72,'District Level ADM'!$A$5:$W$52,5,FALSE)="Prior Year"),AN72,IF(AND($A$2=4,VLOOKUP($A72,'District Level ADM'!$A$5:$W$52,5,FALSE)="3-Year Avg."),Z72,IF($A$2=2,AN72,IF($A$2=3,Z72,IF(($AG72&gt;$AU72),Z72,AN72)))))</f>
        <v>0.66166666666666663</v>
      </c>
      <c r="M72" s="317">
        <f>IF(AND($A$2=4,VLOOKUP($A72,'District Level ADM'!$A$5:$W$52,5,FALSE)="Prior Year"),AO72,IF(AND($A$2=4,VLOOKUP($A72,'District Level ADM'!$A$5:$W$52,5,FALSE)="3-Year Avg."),AA72,IF($A$2=2,AO72,IF($A$2=3,AA72,IF(($AG72&gt;$AU72),AA72,AO72)))))</f>
        <v>0.25</v>
      </c>
      <c r="N72" s="317">
        <f>IF(AND($A$2=4,VLOOKUP($A72,'District Level ADM'!$A$5:$W$52,5,FALSE)="Prior Year"),AP72,IF(AND($A$2=4,VLOOKUP($A72,'District Level ADM'!$A$5:$W$52,5,FALSE)="3-Year Avg."),AB72,IF($A$2=2,AP72,IF($A$2=3,AB72,IF(($AG72&gt;$AU72),AB72,AP72)))))</f>
        <v>0.66666666666666663</v>
      </c>
      <c r="O72" s="317">
        <f>IF(AND($A$2=4,VLOOKUP($A72,'District Level ADM'!$A$5:$W$52,5,FALSE)="Prior Year"),AQ72,IF(AND($A$2=4,VLOOKUP($A72,'District Level ADM'!$A$5:$W$52,5,FALSE)="3-Year Avg."),AC72,IF($A$2=2,AQ72,IF($A$2=3,AC72,IF(($AG72&gt;$AU72),AC72,AQ72)))))</f>
        <v>0</v>
      </c>
      <c r="P72" s="317">
        <f>IF(AND($A$2=4,VLOOKUP($A72,'District Level ADM'!$A$5:$W$52,5,FALSE)="Prior Year"),AR72,IF(AND($A$2=4,VLOOKUP($A72,'District Level ADM'!$A$5:$W$52,5,FALSE)="3-Year Avg."),AD72,IF($A$2=2,AR72,IF($A$2=3,AD72,IF(($AG72&gt;$AU72),AD72,AR72)))))</f>
        <v>0</v>
      </c>
      <c r="Q72" s="317">
        <f>IF(AND($A$2=4,VLOOKUP($A72,'District Level ADM'!$A$5:$W$52,5,FALSE)="Prior Year"),AS72,IF(AND($A$2=4,VLOOKUP($A72,'District Level ADM'!$A$5:$W$52,5,FALSE)="3-Year Avg."),AE72,IF($A$2=2,AS72,IF($A$2=3,AE72,IF(($AG72&gt;$AU72),AE72,AS72)))))</f>
        <v>0</v>
      </c>
      <c r="R72" s="317">
        <f>IF(AND($A$2=4,VLOOKUP($A72,'District Level ADM'!$A$5:$W$52,5,FALSE)="Prior Year"),AT72,IF(AND($A$2=4,VLOOKUP($A72,'District Level ADM'!$A$5:$W$52,5,FALSE)="3-Year Avg."),AF72,IF($A$2=2,AT72,IF($A$2=3,AF72,IF(($AG72&gt;$AU72),AF72,AT72)))))</f>
        <v>0</v>
      </c>
      <c r="S72" s="317">
        <f t="shared" si="13"/>
        <v>13.215666666666666</v>
      </c>
      <c r="T72" s="317">
        <f t="shared" si="8"/>
        <v>2.3606666666666665</v>
      </c>
      <c r="U72" s="317">
        <f t="shared" si="8"/>
        <v>2.3940000000000001</v>
      </c>
      <c r="V72" s="317">
        <f t="shared" si="8"/>
        <v>2.313333333333333</v>
      </c>
      <c r="W72" s="317">
        <f t="shared" si="8"/>
        <v>1.7223333333333333</v>
      </c>
      <c r="X72" s="317">
        <f t="shared" si="8"/>
        <v>1.3283333333333334</v>
      </c>
      <c r="Y72" s="317">
        <f t="shared" si="8"/>
        <v>1.5186666666666666</v>
      </c>
      <c r="Z72" s="317">
        <f t="shared" si="7"/>
        <v>0.66166666666666663</v>
      </c>
      <c r="AA72" s="317">
        <f t="shared" si="7"/>
        <v>0.25</v>
      </c>
      <c r="AB72" s="317">
        <f t="shared" si="7"/>
        <v>0.66666666666666663</v>
      </c>
      <c r="AC72" s="317">
        <f t="shared" si="7"/>
        <v>0</v>
      </c>
      <c r="AD72" s="317">
        <f t="shared" si="7"/>
        <v>0</v>
      </c>
      <c r="AE72" s="317">
        <f t="shared" si="7"/>
        <v>0</v>
      </c>
      <c r="AF72" s="317">
        <f t="shared" si="7"/>
        <v>0</v>
      </c>
      <c r="AG72" s="317">
        <f t="shared" si="14"/>
        <v>13.215666666666666</v>
      </c>
      <c r="AH72" s="318">
        <v>1.97</v>
      </c>
      <c r="AI72" s="318">
        <v>0.98499999999999999</v>
      </c>
      <c r="AJ72" s="318">
        <v>3.94</v>
      </c>
      <c r="AK72" s="318">
        <v>1.97</v>
      </c>
      <c r="AL72" s="318">
        <v>0.98499999999999999</v>
      </c>
      <c r="AM72" s="318">
        <v>1.97</v>
      </c>
      <c r="AN72" s="318">
        <v>0.98499999999999999</v>
      </c>
      <c r="AO72" s="318">
        <v>0</v>
      </c>
      <c r="AP72" s="318">
        <v>0</v>
      </c>
      <c r="AQ72" s="318">
        <v>0</v>
      </c>
      <c r="AR72" s="318">
        <v>0</v>
      </c>
      <c r="AS72" s="318">
        <v>0</v>
      </c>
      <c r="AT72" s="318">
        <v>0</v>
      </c>
      <c r="AU72" s="317">
        <f t="shared" si="15"/>
        <v>12.805</v>
      </c>
      <c r="AV72" s="319">
        <v>2</v>
      </c>
      <c r="AW72" s="319">
        <v>4</v>
      </c>
      <c r="AX72" s="319">
        <v>2</v>
      </c>
      <c r="AY72" s="319">
        <v>1</v>
      </c>
      <c r="AZ72" s="319">
        <v>2</v>
      </c>
      <c r="BA72" s="319">
        <v>1</v>
      </c>
      <c r="BB72" s="319">
        <v>1</v>
      </c>
      <c r="BC72" s="319">
        <v>0</v>
      </c>
      <c r="BD72" s="319">
        <v>0</v>
      </c>
      <c r="BE72" s="319">
        <v>0</v>
      </c>
      <c r="BF72" s="319">
        <v>0</v>
      </c>
      <c r="BG72" s="319">
        <v>0</v>
      </c>
      <c r="BH72" s="319">
        <v>0</v>
      </c>
      <c r="BI72" s="317">
        <f t="shared" si="16"/>
        <v>13</v>
      </c>
      <c r="BJ72" s="316">
        <v>3.1120000000000001</v>
      </c>
      <c r="BK72" s="316">
        <v>2.1970000000000001</v>
      </c>
      <c r="BL72" s="316">
        <v>1</v>
      </c>
      <c r="BM72" s="316">
        <v>2.1970000000000001</v>
      </c>
      <c r="BN72" s="316">
        <v>1</v>
      </c>
      <c r="BO72" s="316">
        <v>1.5860000000000001</v>
      </c>
      <c r="BP72" s="316">
        <v>0</v>
      </c>
      <c r="BQ72" s="316">
        <v>0.75</v>
      </c>
      <c r="BR72" s="316">
        <v>2</v>
      </c>
      <c r="BS72" s="316">
        <v>0</v>
      </c>
      <c r="BT72" s="316">
        <v>0</v>
      </c>
      <c r="BU72" s="316">
        <v>0</v>
      </c>
      <c r="BV72" s="316">
        <v>0</v>
      </c>
      <c r="BW72" s="317">
        <f t="shared" si="17"/>
        <v>13.842000000000001</v>
      </c>
    </row>
    <row r="73" spans="1:75" x14ac:dyDescent="0.2">
      <c r="A73" s="20" t="str">
        <f>'School Level Inst. Resources'!A73</f>
        <v>0501000</v>
      </c>
      <c r="B73" s="20" t="str">
        <f>'School Level Inst. Resources'!B73</f>
        <v>Converse #1</v>
      </c>
      <c r="C73" s="20" t="str">
        <f>'School Level Inst. Resources'!C73</f>
        <v>0501002</v>
      </c>
      <c r="D73" s="20" t="str">
        <f>'School Level Inst. Resources'!D73</f>
        <v>Douglas Primary School</v>
      </c>
      <c r="E73" s="138" t="str">
        <f>'School Level Inst. Resources'!E73</f>
        <v>K-1</v>
      </c>
      <c r="F73" s="317">
        <f>IF(AND($A$2=4,VLOOKUP($A73,'District Level ADM'!$A$5:$W$52,5,FALSE)="Prior Year"),AH73,IF(AND($A$2=4,VLOOKUP($A73,'District Level ADM'!$A$5:$W$52,5,FALSE)="3-Year Avg."),T73,IF($A$2=2,AH73,IF($A$2=3,T73,IF(($AG73&gt;$AU73),T73,AH73)))))</f>
        <v>131.08733333333333</v>
      </c>
      <c r="G73" s="317">
        <f>IF(AND($A$2=4,VLOOKUP($A73,'District Level ADM'!$A$5:$W$52,5,FALSE)="Prior Year"),AI73,IF(AND($A$2=4,VLOOKUP($A73,'District Level ADM'!$A$5:$W$52,5,FALSE)="3-Year Avg."),U73,IF($A$2=2,AI73,IF($A$2=3,U73,IF(($AG73&gt;$AU73),U73,AI73)))))</f>
        <v>118.73333333333333</v>
      </c>
      <c r="H73" s="317">
        <f>IF(AND($A$2=4,VLOOKUP($A73,'District Level ADM'!$A$5:$W$52,5,FALSE)="Prior Year"),AJ73,IF(AND($A$2=4,VLOOKUP($A73,'District Level ADM'!$A$5:$W$52,5,FALSE)="3-Year Avg."),V73,IF($A$2=2,AJ73,IF($A$2=3,V73,IF(($AG73&gt;$AU73),V73,AJ73)))))</f>
        <v>0</v>
      </c>
      <c r="I73" s="317">
        <f>IF(AND($A$2=4,VLOOKUP($A73,'District Level ADM'!$A$5:$W$52,5,FALSE)="Prior Year"),AK73,IF(AND($A$2=4,VLOOKUP($A73,'District Level ADM'!$A$5:$W$52,5,FALSE)="3-Year Avg."),W73,IF($A$2=2,AK73,IF($A$2=3,W73,IF(($AG73&gt;$AU73),W73,AK73)))))</f>
        <v>0</v>
      </c>
      <c r="J73" s="317">
        <f>IF(AND($A$2=4,VLOOKUP($A73,'District Level ADM'!$A$5:$W$52,5,FALSE)="Prior Year"),AL73,IF(AND($A$2=4,VLOOKUP($A73,'District Level ADM'!$A$5:$W$52,5,FALSE)="3-Year Avg."),X73,IF($A$2=2,AL73,IF($A$2=3,X73,IF(($AG73&gt;$AU73),X73,AL73)))))</f>
        <v>0</v>
      </c>
      <c r="K73" s="317">
        <f>IF(AND($A$2=4,VLOOKUP($A73,'District Level ADM'!$A$5:$W$52,5,FALSE)="Prior Year"),AM73,IF(AND($A$2=4,VLOOKUP($A73,'District Level ADM'!$A$5:$W$52,5,FALSE)="3-Year Avg."),Y73,IF($A$2=2,AM73,IF($A$2=3,Y73,IF(($AG73&gt;$AU73),Y73,AM73)))))</f>
        <v>0</v>
      </c>
      <c r="L73" s="317">
        <f>IF(AND($A$2=4,VLOOKUP($A73,'District Level ADM'!$A$5:$W$52,5,FALSE)="Prior Year"),AN73,IF(AND($A$2=4,VLOOKUP($A73,'District Level ADM'!$A$5:$W$52,5,FALSE)="3-Year Avg."),Z73,IF($A$2=2,AN73,IF($A$2=3,Z73,IF(($AG73&gt;$AU73),Z73,AN73)))))</f>
        <v>0</v>
      </c>
      <c r="M73" s="317">
        <f>IF(AND($A$2=4,VLOOKUP($A73,'District Level ADM'!$A$5:$W$52,5,FALSE)="Prior Year"),AO73,IF(AND($A$2=4,VLOOKUP($A73,'District Level ADM'!$A$5:$W$52,5,FALSE)="3-Year Avg."),AA73,IF($A$2=2,AO73,IF($A$2=3,AA73,IF(($AG73&gt;$AU73),AA73,AO73)))))</f>
        <v>0</v>
      </c>
      <c r="N73" s="317">
        <f>IF(AND($A$2=4,VLOOKUP($A73,'District Level ADM'!$A$5:$W$52,5,FALSE)="Prior Year"),AP73,IF(AND($A$2=4,VLOOKUP($A73,'District Level ADM'!$A$5:$W$52,5,FALSE)="3-Year Avg."),AB73,IF($A$2=2,AP73,IF($A$2=3,AB73,IF(($AG73&gt;$AU73),AB73,AP73)))))</f>
        <v>0</v>
      </c>
      <c r="O73" s="317">
        <f>IF(AND($A$2=4,VLOOKUP($A73,'District Level ADM'!$A$5:$W$52,5,FALSE)="Prior Year"),AQ73,IF(AND($A$2=4,VLOOKUP($A73,'District Level ADM'!$A$5:$W$52,5,FALSE)="3-Year Avg."),AC73,IF($A$2=2,AQ73,IF($A$2=3,AC73,IF(($AG73&gt;$AU73),AC73,AQ73)))))</f>
        <v>0</v>
      </c>
      <c r="P73" s="317">
        <f>IF(AND($A$2=4,VLOOKUP($A73,'District Level ADM'!$A$5:$W$52,5,FALSE)="Prior Year"),AR73,IF(AND($A$2=4,VLOOKUP($A73,'District Level ADM'!$A$5:$W$52,5,FALSE)="3-Year Avg."),AD73,IF($A$2=2,AR73,IF($A$2=3,AD73,IF(($AG73&gt;$AU73),AD73,AR73)))))</f>
        <v>0</v>
      </c>
      <c r="Q73" s="317">
        <f>IF(AND($A$2=4,VLOOKUP($A73,'District Level ADM'!$A$5:$W$52,5,FALSE)="Prior Year"),AS73,IF(AND($A$2=4,VLOOKUP($A73,'District Level ADM'!$A$5:$W$52,5,FALSE)="3-Year Avg."),AE73,IF($A$2=2,AS73,IF($A$2=3,AE73,IF(($AG73&gt;$AU73),AE73,AS73)))))</f>
        <v>0</v>
      </c>
      <c r="R73" s="317">
        <f>IF(AND($A$2=4,VLOOKUP($A73,'District Level ADM'!$A$5:$W$52,5,FALSE)="Prior Year"),AT73,IF(AND($A$2=4,VLOOKUP($A73,'District Level ADM'!$A$5:$W$52,5,FALSE)="3-Year Avg."),AF73,IF($A$2=2,AT73,IF($A$2=3,AF73,IF(($AG73&gt;$AU73),AF73,AT73)))))</f>
        <v>0</v>
      </c>
      <c r="S73" s="317">
        <f t="shared" si="13"/>
        <v>249.82066666666668</v>
      </c>
      <c r="T73" s="317">
        <f t="shared" si="8"/>
        <v>131.08733333333333</v>
      </c>
      <c r="U73" s="317">
        <f t="shared" si="8"/>
        <v>118.73333333333333</v>
      </c>
      <c r="V73" s="317">
        <f t="shared" si="8"/>
        <v>0</v>
      </c>
      <c r="W73" s="317">
        <f t="shared" si="8"/>
        <v>0</v>
      </c>
      <c r="X73" s="317">
        <f t="shared" si="8"/>
        <v>0</v>
      </c>
      <c r="Y73" s="317">
        <f t="shared" si="8"/>
        <v>0</v>
      </c>
      <c r="Z73" s="317">
        <f t="shared" si="7"/>
        <v>0</v>
      </c>
      <c r="AA73" s="317">
        <f t="shared" si="7"/>
        <v>0</v>
      </c>
      <c r="AB73" s="317">
        <f t="shared" si="7"/>
        <v>0</v>
      </c>
      <c r="AC73" s="317">
        <f t="shared" si="7"/>
        <v>0</v>
      </c>
      <c r="AD73" s="317">
        <f t="shared" si="7"/>
        <v>0</v>
      </c>
      <c r="AE73" s="317">
        <f t="shared" si="7"/>
        <v>0</v>
      </c>
      <c r="AF73" s="317">
        <f t="shared" si="7"/>
        <v>0</v>
      </c>
      <c r="AG73" s="317">
        <f t="shared" si="14"/>
        <v>249.82066666666668</v>
      </c>
      <c r="AH73" s="318">
        <v>134.94499999999999</v>
      </c>
      <c r="AI73" s="318">
        <v>110.32</v>
      </c>
      <c r="AJ73" s="318">
        <v>0</v>
      </c>
      <c r="AK73" s="318">
        <v>0</v>
      </c>
      <c r="AL73" s="318">
        <v>0</v>
      </c>
      <c r="AM73" s="318">
        <v>0</v>
      </c>
      <c r="AN73" s="318">
        <v>0</v>
      </c>
      <c r="AO73" s="318">
        <v>0</v>
      </c>
      <c r="AP73" s="318">
        <v>0</v>
      </c>
      <c r="AQ73" s="318">
        <v>0</v>
      </c>
      <c r="AR73" s="318">
        <v>0</v>
      </c>
      <c r="AS73" s="318">
        <v>0</v>
      </c>
      <c r="AT73" s="318">
        <v>0</v>
      </c>
      <c r="AU73" s="317">
        <f t="shared" si="15"/>
        <v>245.26499999999999</v>
      </c>
      <c r="AV73" s="319">
        <v>118.24</v>
      </c>
      <c r="AW73" s="319">
        <v>123.274</v>
      </c>
      <c r="AX73" s="319">
        <v>0</v>
      </c>
      <c r="AY73" s="319">
        <v>0</v>
      </c>
      <c r="AZ73" s="319">
        <v>0</v>
      </c>
      <c r="BA73" s="319">
        <v>0</v>
      </c>
      <c r="BB73" s="319">
        <v>0</v>
      </c>
      <c r="BC73" s="319">
        <v>0</v>
      </c>
      <c r="BD73" s="319">
        <v>0</v>
      </c>
      <c r="BE73" s="319">
        <v>0</v>
      </c>
      <c r="BF73" s="319">
        <v>0</v>
      </c>
      <c r="BG73" s="319">
        <v>0</v>
      </c>
      <c r="BH73" s="319">
        <v>0</v>
      </c>
      <c r="BI73" s="317">
        <f t="shared" si="16"/>
        <v>241.51400000000001</v>
      </c>
      <c r="BJ73" s="316">
        <v>140.077</v>
      </c>
      <c r="BK73" s="316">
        <v>122.60599999999999</v>
      </c>
      <c r="BL73" s="316">
        <v>0</v>
      </c>
      <c r="BM73" s="316">
        <v>0</v>
      </c>
      <c r="BN73" s="316">
        <v>0</v>
      </c>
      <c r="BO73" s="316">
        <v>0</v>
      </c>
      <c r="BP73" s="316">
        <v>0</v>
      </c>
      <c r="BQ73" s="316">
        <v>0</v>
      </c>
      <c r="BR73" s="316">
        <v>0</v>
      </c>
      <c r="BS73" s="316">
        <v>0</v>
      </c>
      <c r="BT73" s="316">
        <v>0</v>
      </c>
      <c r="BU73" s="316">
        <v>0</v>
      </c>
      <c r="BV73" s="316">
        <v>0</v>
      </c>
      <c r="BW73" s="317">
        <f t="shared" si="17"/>
        <v>262.68299999999999</v>
      </c>
    </row>
    <row r="74" spans="1:75" x14ac:dyDescent="0.2">
      <c r="A74" s="20" t="str">
        <f>'School Level Inst. Resources'!A74</f>
        <v>0501000</v>
      </c>
      <c r="B74" s="20" t="str">
        <f>'School Level Inst. Resources'!B74</f>
        <v>Converse #1</v>
      </c>
      <c r="C74" s="20" t="str">
        <f>'School Level Inst. Resources'!C74</f>
        <v>0501003</v>
      </c>
      <c r="D74" s="20" t="str">
        <f>'School Level Inst. Resources'!D74</f>
        <v>Moss Agate Elementary</v>
      </c>
      <c r="E74" s="138" t="str">
        <f>'School Level Inst. Resources'!E74</f>
        <v>K-8</v>
      </c>
      <c r="F74" s="317">
        <f>IF(AND($A$2=4,VLOOKUP($A74,'District Level ADM'!$A$5:$W$52,5,FALSE)="Prior Year"),AH74,IF(AND($A$2=4,VLOOKUP($A74,'District Level ADM'!$A$5:$W$52,5,FALSE)="3-Year Avg."),T74,IF($A$2=2,AH74,IF($A$2=3,T74,IF(($AG74&gt;$AU74),T74,AH74)))))</f>
        <v>1.6296666666666668</v>
      </c>
      <c r="G74" s="317">
        <f>IF(AND($A$2=4,VLOOKUP($A74,'District Level ADM'!$A$5:$W$52,5,FALSE)="Prior Year"),AI74,IF(AND($A$2=4,VLOOKUP($A74,'District Level ADM'!$A$5:$W$52,5,FALSE)="3-Year Avg."),U74,IF($A$2=2,AI74,IF($A$2=3,U74,IF(($AG74&gt;$AU74),U74,AI74)))))</f>
        <v>1.4626666666666666</v>
      </c>
      <c r="H74" s="317">
        <f>IF(AND($A$2=4,VLOOKUP($A74,'District Level ADM'!$A$5:$W$52,5,FALSE)="Prior Year"),AJ74,IF(AND($A$2=4,VLOOKUP($A74,'District Level ADM'!$A$5:$W$52,5,FALSE)="3-Year Avg."),V74,IF($A$2=2,AJ74,IF($A$2=3,V74,IF(($AG74&gt;$AU74),V74,AJ74)))))</f>
        <v>2.2690000000000001</v>
      </c>
      <c r="I74" s="317">
        <f>IF(AND($A$2=4,VLOOKUP($A74,'District Level ADM'!$A$5:$W$52,5,FALSE)="Prior Year"),AK74,IF(AND($A$2=4,VLOOKUP($A74,'District Level ADM'!$A$5:$W$52,5,FALSE)="3-Year Avg."),W74,IF($A$2=2,AK74,IF($A$2=3,W74,IF(($AG74&gt;$AU74),W74,AK74)))))</f>
        <v>3.3183333333333334</v>
      </c>
      <c r="J74" s="317">
        <f>IF(AND($A$2=4,VLOOKUP($A74,'District Level ADM'!$A$5:$W$52,5,FALSE)="Prior Year"),AL74,IF(AND($A$2=4,VLOOKUP($A74,'District Level ADM'!$A$5:$W$52,5,FALSE)="3-Year Avg."),X74,IF($A$2=2,AL74,IF($A$2=3,X74,IF(($AG74&gt;$AU74),X74,AL74)))))</f>
        <v>2.7563333333333335</v>
      </c>
      <c r="K74" s="317">
        <f>IF(AND($A$2=4,VLOOKUP($A74,'District Level ADM'!$A$5:$W$52,5,FALSE)="Prior Year"),AM74,IF(AND($A$2=4,VLOOKUP($A74,'District Level ADM'!$A$5:$W$52,5,FALSE)="3-Year Avg."),Y74,IF($A$2=2,AM74,IF($A$2=3,Y74,IF(($AG74&gt;$AU74),Y74,AM74)))))</f>
        <v>2.6106666666666665</v>
      </c>
      <c r="L74" s="317">
        <f>IF(AND($A$2=4,VLOOKUP($A74,'District Level ADM'!$A$5:$W$52,5,FALSE)="Prior Year"),AN74,IF(AND($A$2=4,VLOOKUP($A74,'District Level ADM'!$A$5:$W$52,5,FALSE)="3-Year Avg."),Z74,IF($A$2=2,AN74,IF($A$2=3,Z74,IF(($AG74&gt;$AU74),Z74,AN74)))))</f>
        <v>1.6566666666666665</v>
      </c>
      <c r="M74" s="317">
        <f>IF(AND($A$2=4,VLOOKUP($A74,'District Level ADM'!$A$5:$W$52,5,FALSE)="Prior Year"),AO74,IF(AND($A$2=4,VLOOKUP($A74,'District Level ADM'!$A$5:$W$52,5,FALSE)="3-Year Avg."),AA74,IF($A$2=2,AO74,IF($A$2=3,AA74,IF(($AG74&gt;$AU74),AA74,AO74)))))</f>
        <v>1.3133333333333332</v>
      </c>
      <c r="N74" s="317">
        <f>IF(AND($A$2=4,VLOOKUP($A74,'District Level ADM'!$A$5:$W$52,5,FALSE)="Prior Year"),AP74,IF(AND($A$2=4,VLOOKUP($A74,'District Level ADM'!$A$5:$W$52,5,FALSE)="3-Year Avg."),AB74,IF($A$2=2,AP74,IF($A$2=3,AB74,IF(($AG74&gt;$AU74),AB74,AP74)))))</f>
        <v>0.33333333333333331</v>
      </c>
      <c r="O74" s="317">
        <f>IF(AND($A$2=4,VLOOKUP($A74,'District Level ADM'!$A$5:$W$52,5,FALSE)="Prior Year"),AQ74,IF(AND($A$2=4,VLOOKUP($A74,'District Level ADM'!$A$5:$W$52,5,FALSE)="3-Year Avg."),AC74,IF($A$2=2,AQ74,IF($A$2=3,AC74,IF(($AG74&gt;$AU74),AC74,AQ74)))))</f>
        <v>0</v>
      </c>
      <c r="P74" s="317">
        <f>IF(AND($A$2=4,VLOOKUP($A74,'District Level ADM'!$A$5:$W$52,5,FALSE)="Prior Year"),AR74,IF(AND($A$2=4,VLOOKUP($A74,'District Level ADM'!$A$5:$W$52,5,FALSE)="3-Year Avg."),AD74,IF($A$2=2,AR74,IF($A$2=3,AD74,IF(($AG74&gt;$AU74),AD74,AR74)))))</f>
        <v>0</v>
      </c>
      <c r="Q74" s="317">
        <f>IF(AND($A$2=4,VLOOKUP($A74,'District Level ADM'!$A$5:$W$52,5,FALSE)="Prior Year"),AS74,IF(AND($A$2=4,VLOOKUP($A74,'District Level ADM'!$A$5:$W$52,5,FALSE)="3-Year Avg."),AE74,IF($A$2=2,AS74,IF($A$2=3,AE74,IF(($AG74&gt;$AU74),AE74,AS74)))))</f>
        <v>0</v>
      </c>
      <c r="R74" s="317">
        <f>IF(AND($A$2=4,VLOOKUP($A74,'District Level ADM'!$A$5:$W$52,5,FALSE)="Prior Year"),AT74,IF(AND($A$2=4,VLOOKUP($A74,'District Level ADM'!$A$5:$W$52,5,FALSE)="3-Year Avg."),AF74,IF($A$2=2,AT74,IF($A$2=3,AF74,IF(($AG74&gt;$AU74),AF74,AT74)))))</f>
        <v>0</v>
      </c>
      <c r="S74" s="317">
        <f t="shared" si="13"/>
        <v>17.349999999999998</v>
      </c>
      <c r="T74" s="317">
        <f t="shared" si="8"/>
        <v>1.6296666666666668</v>
      </c>
      <c r="U74" s="317">
        <f t="shared" si="8"/>
        <v>1.4626666666666666</v>
      </c>
      <c r="V74" s="317">
        <f t="shared" si="8"/>
        <v>2.2690000000000001</v>
      </c>
      <c r="W74" s="317">
        <f t="shared" si="8"/>
        <v>3.3183333333333334</v>
      </c>
      <c r="X74" s="317">
        <f t="shared" si="8"/>
        <v>2.7563333333333335</v>
      </c>
      <c r="Y74" s="317">
        <f t="shared" si="8"/>
        <v>2.6106666666666665</v>
      </c>
      <c r="Z74" s="317">
        <f t="shared" si="7"/>
        <v>1.6566666666666665</v>
      </c>
      <c r="AA74" s="317">
        <f t="shared" si="7"/>
        <v>1.3133333333333332</v>
      </c>
      <c r="AB74" s="317">
        <f t="shared" si="7"/>
        <v>0.33333333333333331</v>
      </c>
      <c r="AC74" s="317">
        <f t="shared" si="7"/>
        <v>0</v>
      </c>
      <c r="AD74" s="317">
        <f t="shared" si="7"/>
        <v>0</v>
      </c>
      <c r="AE74" s="317">
        <f t="shared" si="7"/>
        <v>0</v>
      </c>
      <c r="AF74" s="317">
        <f t="shared" si="7"/>
        <v>0</v>
      </c>
      <c r="AG74" s="317">
        <f t="shared" si="14"/>
        <v>17.349999999999998</v>
      </c>
      <c r="AH74" s="318">
        <v>2.9550000000000001</v>
      </c>
      <c r="AI74" s="318">
        <v>0</v>
      </c>
      <c r="AJ74" s="318">
        <v>0.98499999999999999</v>
      </c>
      <c r="AK74" s="318">
        <v>2.9550000000000001</v>
      </c>
      <c r="AL74" s="318">
        <v>3.94</v>
      </c>
      <c r="AM74" s="318">
        <v>1.97</v>
      </c>
      <c r="AN74" s="318">
        <v>1.97</v>
      </c>
      <c r="AO74" s="318">
        <v>3.94</v>
      </c>
      <c r="AP74" s="318">
        <v>0</v>
      </c>
      <c r="AQ74" s="318">
        <v>0</v>
      </c>
      <c r="AR74" s="318">
        <v>0</v>
      </c>
      <c r="AS74" s="318">
        <v>0</v>
      </c>
      <c r="AT74" s="318">
        <v>0</v>
      </c>
      <c r="AU74" s="317">
        <f t="shared" si="15"/>
        <v>18.715</v>
      </c>
      <c r="AV74" s="319">
        <v>0.93400000000000005</v>
      </c>
      <c r="AW74" s="319">
        <v>1</v>
      </c>
      <c r="AX74" s="319">
        <v>3</v>
      </c>
      <c r="AY74" s="319">
        <v>4</v>
      </c>
      <c r="AZ74" s="319">
        <v>2.4670000000000001</v>
      </c>
      <c r="BA74" s="319">
        <v>2</v>
      </c>
      <c r="BB74" s="319">
        <v>3</v>
      </c>
      <c r="BC74" s="319">
        <v>0</v>
      </c>
      <c r="BD74" s="319">
        <v>1</v>
      </c>
      <c r="BE74" s="319">
        <v>0</v>
      </c>
      <c r="BF74" s="319">
        <v>0</v>
      </c>
      <c r="BG74" s="319">
        <v>0</v>
      </c>
      <c r="BH74" s="319">
        <v>0</v>
      </c>
      <c r="BI74" s="317">
        <f t="shared" si="16"/>
        <v>17.401000000000003</v>
      </c>
      <c r="BJ74" s="316">
        <v>1</v>
      </c>
      <c r="BK74" s="316">
        <v>3.3879999999999999</v>
      </c>
      <c r="BL74" s="316">
        <v>2.8220000000000001</v>
      </c>
      <c r="BM74" s="316">
        <v>3</v>
      </c>
      <c r="BN74" s="316">
        <v>1.8620000000000001</v>
      </c>
      <c r="BO74" s="316">
        <v>3.8620000000000001</v>
      </c>
      <c r="BP74" s="316">
        <v>0</v>
      </c>
      <c r="BQ74" s="316">
        <v>0</v>
      </c>
      <c r="BR74" s="316">
        <v>0</v>
      </c>
      <c r="BS74" s="316">
        <v>0</v>
      </c>
      <c r="BT74" s="316">
        <v>0</v>
      </c>
      <c r="BU74" s="316">
        <v>0</v>
      </c>
      <c r="BV74" s="316">
        <v>0</v>
      </c>
      <c r="BW74" s="317">
        <f t="shared" si="17"/>
        <v>15.934000000000001</v>
      </c>
    </row>
    <row r="75" spans="1:75" x14ac:dyDescent="0.2">
      <c r="A75" s="20" t="str">
        <f>'School Level Inst. Resources'!A75</f>
        <v>0501000</v>
      </c>
      <c r="B75" s="20" t="str">
        <f>'School Level Inst. Resources'!B75</f>
        <v>Converse #1</v>
      </c>
      <c r="C75" s="20" t="str">
        <f>'School Level Inst. Resources'!C75</f>
        <v>0501006</v>
      </c>
      <c r="D75" s="20" t="str">
        <f>'School Level Inst. Resources'!D75</f>
        <v>Shawnee Elementary</v>
      </c>
      <c r="E75" s="138" t="str">
        <f>'School Level Inst. Resources'!E75</f>
        <v>K-8</v>
      </c>
      <c r="F75" s="317">
        <f>IF(AND($A$2=4,VLOOKUP($A75,'District Level ADM'!$A$5:$W$52,5,FALSE)="Prior Year"),AH75,IF(AND($A$2=4,VLOOKUP($A75,'District Level ADM'!$A$5:$W$52,5,FALSE)="3-Year Avg."),T75,IF($A$2=2,AH75,IF($A$2=3,T75,IF(($AG75&gt;$AU75),T75,AH75)))))</f>
        <v>1.9850000000000001</v>
      </c>
      <c r="G75" s="317">
        <f>IF(AND($A$2=4,VLOOKUP($A75,'District Level ADM'!$A$5:$W$52,5,FALSE)="Prior Year"),AI75,IF(AND($A$2=4,VLOOKUP($A75,'District Level ADM'!$A$5:$W$52,5,FALSE)="3-Year Avg."),U75,IF($A$2=2,AI75,IF($A$2=3,U75,IF(($AG75&gt;$AU75),U75,AI75)))))</f>
        <v>1.6616666666666664</v>
      </c>
      <c r="H75" s="317">
        <f>IF(AND($A$2=4,VLOOKUP($A75,'District Level ADM'!$A$5:$W$52,5,FALSE)="Prior Year"),AJ75,IF(AND($A$2=4,VLOOKUP($A75,'District Level ADM'!$A$5:$W$52,5,FALSE)="3-Year Avg."),V75,IF($A$2=2,AJ75,IF($A$2=3,V75,IF(($AG75&gt;$AU75),V75,AJ75)))))</f>
        <v>1.99</v>
      </c>
      <c r="I75" s="317">
        <f>IF(AND($A$2=4,VLOOKUP($A75,'District Level ADM'!$A$5:$W$52,5,FALSE)="Prior Year"),AK75,IF(AND($A$2=4,VLOOKUP($A75,'District Level ADM'!$A$5:$W$52,5,FALSE)="3-Year Avg."),W75,IF($A$2=2,AK75,IF($A$2=3,W75,IF(($AG75&gt;$AU75),W75,AK75)))))</f>
        <v>1.6566666666666665</v>
      </c>
      <c r="J75" s="317">
        <f>IF(AND($A$2=4,VLOOKUP($A75,'District Level ADM'!$A$5:$W$52,5,FALSE)="Prior Year"),AL75,IF(AND($A$2=4,VLOOKUP($A75,'District Level ADM'!$A$5:$W$52,5,FALSE)="3-Year Avg."),X75,IF($A$2=2,AL75,IF($A$2=3,X75,IF(($AG75&gt;$AU75),X75,AL75)))))</f>
        <v>1.5373333333333334</v>
      </c>
      <c r="K75" s="317">
        <f>IF(AND($A$2=4,VLOOKUP($A75,'District Level ADM'!$A$5:$W$52,5,FALSE)="Prior Year"),AM75,IF(AND($A$2=4,VLOOKUP($A75,'District Level ADM'!$A$5:$W$52,5,FALSE)="3-Year Avg."),Y75,IF($A$2=2,AM75,IF($A$2=3,Y75,IF(($AG75&gt;$AU75),Y75,AM75)))))</f>
        <v>1</v>
      </c>
      <c r="L75" s="317">
        <f>IF(AND($A$2=4,VLOOKUP($A75,'District Level ADM'!$A$5:$W$52,5,FALSE)="Prior Year"),AN75,IF(AND($A$2=4,VLOOKUP($A75,'District Level ADM'!$A$5:$W$52,5,FALSE)="3-Year Avg."),Z75,IF($A$2=2,AN75,IF($A$2=3,Z75,IF(($AG75&gt;$AU75),Z75,AN75)))))</f>
        <v>0.48633333333333334</v>
      </c>
      <c r="M75" s="317">
        <f>IF(AND($A$2=4,VLOOKUP($A75,'District Level ADM'!$A$5:$W$52,5,FALSE)="Prior Year"),AO75,IF(AND($A$2=4,VLOOKUP($A75,'District Level ADM'!$A$5:$W$52,5,FALSE)="3-Year Avg."),AA75,IF($A$2=2,AO75,IF($A$2=3,AA75,IF(($AG75&gt;$AU75),AA75,AO75)))))</f>
        <v>0.158</v>
      </c>
      <c r="N75" s="317">
        <f>IF(AND($A$2=4,VLOOKUP($A75,'District Level ADM'!$A$5:$W$52,5,FALSE)="Prior Year"),AP75,IF(AND($A$2=4,VLOOKUP($A75,'District Level ADM'!$A$5:$W$52,5,FALSE)="3-Year Avg."),AB75,IF($A$2=2,AP75,IF($A$2=3,AB75,IF(($AG75&gt;$AU75),AB75,AP75)))))</f>
        <v>0.82233333333333336</v>
      </c>
      <c r="O75" s="317">
        <f>IF(AND($A$2=4,VLOOKUP($A75,'District Level ADM'!$A$5:$W$52,5,FALSE)="Prior Year"),AQ75,IF(AND($A$2=4,VLOOKUP($A75,'District Level ADM'!$A$5:$W$52,5,FALSE)="3-Year Avg."),AC75,IF($A$2=2,AQ75,IF($A$2=3,AC75,IF(($AG75&gt;$AU75),AC75,AQ75)))))</f>
        <v>0</v>
      </c>
      <c r="P75" s="317">
        <f>IF(AND($A$2=4,VLOOKUP($A75,'District Level ADM'!$A$5:$W$52,5,FALSE)="Prior Year"),AR75,IF(AND($A$2=4,VLOOKUP($A75,'District Level ADM'!$A$5:$W$52,5,FALSE)="3-Year Avg."),AD75,IF($A$2=2,AR75,IF($A$2=3,AD75,IF(($AG75&gt;$AU75),AD75,AR75)))))</f>
        <v>0</v>
      </c>
      <c r="Q75" s="317">
        <f>IF(AND($A$2=4,VLOOKUP($A75,'District Level ADM'!$A$5:$W$52,5,FALSE)="Prior Year"),AS75,IF(AND($A$2=4,VLOOKUP($A75,'District Level ADM'!$A$5:$W$52,5,FALSE)="3-Year Avg."),AE75,IF($A$2=2,AS75,IF($A$2=3,AE75,IF(($AG75&gt;$AU75),AE75,AS75)))))</f>
        <v>0</v>
      </c>
      <c r="R75" s="317">
        <f>IF(AND($A$2=4,VLOOKUP($A75,'District Level ADM'!$A$5:$W$52,5,FALSE)="Prior Year"),AT75,IF(AND($A$2=4,VLOOKUP($A75,'District Level ADM'!$A$5:$W$52,5,FALSE)="3-Year Avg."),AF75,IF($A$2=2,AT75,IF($A$2=3,AF75,IF(($AG75&gt;$AU75),AF75,AT75)))))</f>
        <v>0</v>
      </c>
      <c r="S75" s="317">
        <f t="shared" si="13"/>
        <v>11.297333333333331</v>
      </c>
      <c r="T75" s="317">
        <f t="shared" si="8"/>
        <v>1.9850000000000001</v>
      </c>
      <c r="U75" s="317">
        <f t="shared" si="8"/>
        <v>1.6616666666666664</v>
      </c>
      <c r="V75" s="317">
        <f t="shared" si="8"/>
        <v>1.99</v>
      </c>
      <c r="W75" s="317">
        <f t="shared" si="8"/>
        <v>1.6566666666666665</v>
      </c>
      <c r="X75" s="317">
        <f t="shared" si="8"/>
        <v>1.5373333333333334</v>
      </c>
      <c r="Y75" s="317">
        <f t="shared" si="8"/>
        <v>1</v>
      </c>
      <c r="Z75" s="317">
        <f t="shared" si="7"/>
        <v>0.48633333333333334</v>
      </c>
      <c r="AA75" s="317">
        <f t="shared" si="7"/>
        <v>0.158</v>
      </c>
      <c r="AB75" s="317">
        <f t="shared" si="7"/>
        <v>0.82233333333333336</v>
      </c>
      <c r="AC75" s="317">
        <f t="shared" ref="AC75:AF137" si="18">AVERAGE(AQ75,BE75,BS75)</f>
        <v>0</v>
      </c>
      <c r="AD75" s="317">
        <f t="shared" si="18"/>
        <v>0</v>
      </c>
      <c r="AE75" s="317">
        <f t="shared" si="18"/>
        <v>0</v>
      </c>
      <c r="AF75" s="317">
        <f t="shared" si="18"/>
        <v>0</v>
      </c>
      <c r="AG75" s="317">
        <f t="shared" si="14"/>
        <v>11.297333333333331</v>
      </c>
      <c r="AH75" s="318">
        <v>2.9550000000000001</v>
      </c>
      <c r="AI75" s="318">
        <v>0.98499999999999999</v>
      </c>
      <c r="AJ75" s="318">
        <v>1.97</v>
      </c>
      <c r="AK75" s="318">
        <v>1.97</v>
      </c>
      <c r="AL75" s="318">
        <v>0</v>
      </c>
      <c r="AM75" s="318">
        <v>0</v>
      </c>
      <c r="AN75" s="318">
        <v>0.98499999999999999</v>
      </c>
      <c r="AO75" s="318">
        <v>0</v>
      </c>
      <c r="AP75" s="318">
        <v>0</v>
      </c>
      <c r="AQ75" s="318">
        <v>0</v>
      </c>
      <c r="AR75" s="318">
        <v>0</v>
      </c>
      <c r="AS75" s="318">
        <v>0</v>
      </c>
      <c r="AT75" s="318">
        <v>0</v>
      </c>
      <c r="AU75" s="317">
        <f t="shared" si="15"/>
        <v>8.8650000000000002</v>
      </c>
      <c r="AV75" s="319">
        <v>1</v>
      </c>
      <c r="AW75" s="319">
        <v>2</v>
      </c>
      <c r="AX75" s="319">
        <v>2</v>
      </c>
      <c r="AY75" s="319">
        <v>2</v>
      </c>
      <c r="AZ75" s="319">
        <v>1</v>
      </c>
      <c r="BA75" s="319">
        <v>3</v>
      </c>
      <c r="BB75" s="319">
        <v>0</v>
      </c>
      <c r="BC75" s="319">
        <v>0</v>
      </c>
      <c r="BD75" s="319">
        <v>1.474</v>
      </c>
      <c r="BE75" s="319">
        <v>0</v>
      </c>
      <c r="BF75" s="319">
        <v>0</v>
      </c>
      <c r="BG75" s="319">
        <v>0</v>
      </c>
      <c r="BH75" s="319">
        <v>0</v>
      </c>
      <c r="BI75" s="317">
        <f t="shared" si="16"/>
        <v>12.474</v>
      </c>
      <c r="BJ75" s="316">
        <v>2</v>
      </c>
      <c r="BK75" s="316">
        <v>2</v>
      </c>
      <c r="BL75" s="316">
        <v>2</v>
      </c>
      <c r="BM75" s="316">
        <v>1</v>
      </c>
      <c r="BN75" s="316">
        <v>3.6120000000000001</v>
      </c>
      <c r="BO75" s="316">
        <v>0</v>
      </c>
      <c r="BP75" s="316">
        <v>0.47399999999999998</v>
      </c>
      <c r="BQ75" s="316">
        <v>0.47399999999999998</v>
      </c>
      <c r="BR75" s="316">
        <v>0.99299999999999999</v>
      </c>
      <c r="BS75" s="316">
        <v>0</v>
      </c>
      <c r="BT75" s="316">
        <v>0</v>
      </c>
      <c r="BU75" s="316">
        <v>0</v>
      </c>
      <c r="BV75" s="316">
        <v>0</v>
      </c>
      <c r="BW75" s="317">
        <f t="shared" si="17"/>
        <v>12.553000000000001</v>
      </c>
    </row>
    <row r="76" spans="1:75" x14ac:dyDescent="0.2">
      <c r="A76" s="20" t="str">
        <f>'School Level Inst. Resources'!A76</f>
        <v>0501000</v>
      </c>
      <c r="B76" s="20" t="str">
        <f>'School Level Inst. Resources'!B76</f>
        <v>Converse #1</v>
      </c>
      <c r="C76" s="20" t="str">
        <f>'School Level Inst. Resources'!C76</f>
        <v>0501009</v>
      </c>
      <c r="D76" s="20" t="str">
        <f>'School Level Inst. Resources'!D76</f>
        <v>Walker Creek Elementary</v>
      </c>
      <c r="E76" s="138" t="str">
        <f>'School Level Inst. Resources'!E76</f>
        <v>K-8</v>
      </c>
      <c r="F76" s="317">
        <f>IF(AND($A$2=4,VLOOKUP($A76,'District Level ADM'!$A$5:$W$52,5,FALSE)="Prior Year"),AH76,IF(AND($A$2=4,VLOOKUP($A76,'District Level ADM'!$A$5:$W$52,5,FALSE)="3-Year Avg."),T76,IF($A$2=2,AH76,IF($A$2=3,T76,IF(($AG76&gt;$AU76),T76,AH76)))))</f>
        <v>0.66666666666666663</v>
      </c>
      <c r="G76" s="317">
        <f>IF(AND($A$2=4,VLOOKUP($A76,'District Level ADM'!$A$5:$W$52,5,FALSE)="Prior Year"),AI76,IF(AND($A$2=4,VLOOKUP($A76,'District Level ADM'!$A$5:$W$52,5,FALSE)="3-Year Avg."),U76,IF($A$2=2,AI76,IF($A$2=3,U76,IF(($AG76&gt;$AU76),U76,AI76)))))</f>
        <v>0.995</v>
      </c>
      <c r="H76" s="317">
        <f>IF(AND($A$2=4,VLOOKUP($A76,'District Level ADM'!$A$5:$W$52,5,FALSE)="Prior Year"),AJ76,IF(AND($A$2=4,VLOOKUP($A76,'District Level ADM'!$A$5:$W$52,5,FALSE)="3-Year Avg."),V76,IF($A$2=2,AJ76,IF($A$2=3,V76,IF(($AG76&gt;$AU76),V76,AJ76)))))</f>
        <v>1.3283333333333334</v>
      </c>
      <c r="I76" s="317">
        <f>IF(AND($A$2=4,VLOOKUP($A76,'District Level ADM'!$A$5:$W$52,5,FALSE)="Prior Year"),AK76,IF(AND($A$2=4,VLOOKUP($A76,'District Level ADM'!$A$5:$W$52,5,FALSE)="3-Year Avg."),W76,IF($A$2=2,AK76,IF($A$2=3,W76,IF(($AG76&gt;$AU76),W76,AK76)))))</f>
        <v>1.3233333333333333</v>
      </c>
      <c r="J76" s="317">
        <f>IF(AND($A$2=4,VLOOKUP($A76,'District Level ADM'!$A$5:$W$52,5,FALSE)="Prior Year"),AL76,IF(AND($A$2=4,VLOOKUP($A76,'District Level ADM'!$A$5:$W$52,5,FALSE)="3-Year Avg."),X76,IF($A$2=2,AL76,IF($A$2=3,X76,IF(($AG76&gt;$AU76),X76,AL76)))))</f>
        <v>1.3183333333333334</v>
      </c>
      <c r="K76" s="317">
        <f>IF(AND($A$2=4,VLOOKUP($A76,'District Level ADM'!$A$5:$W$52,5,FALSE)="Prior Year"),AM76,IF(AND($A$2=4,VLOOKUP($A76,'District Level ADM'!$A$5:$W$52,5,FALSE)="3-Year Avg."),Y76,IF($A$2=2,AM76,IF($A$2=3,Y76,IF(($AG76&gt;$AU76),Y76,AM76)))))</f>
        <v>0.66166666666666663</v>
      </c>
      <c r="L76" s="317">
        <f>IF(AND($A$2=4,VLOOKUP($A76,'District Level ADM'!$A$5:$W$52,5,FALSE)="Prior Year"),AN76,IF(AND($A$2=4,VLOOKUP($A76,'District Level ADM'!$A$5:$W$52,5,FALSE)="3-Year Avg."),Z76,IF($A$2=2,AN76,IF($A$2=3,Z76,IF(($AG76&gt;$AU76),Z76,AN76)))))</f>
        <v>0</v>
      </c>
      <c r="M76" s="317">
        <f>IF(AND($A$2=4,VLOOKUP($A76,'District Level ADM'!$A$5:$W$52,5,FALSE)="Prior Year"),AO76,IF(AND($A$2=4,VLOOKUP($A76,'District Level ADM'!$A$5:$W$52,5,FALSE)="3-Year Avg."),AA76,IF($A$2=2,AO76,IF($A$2=3,AA76,IF(($AG76&gt;$AU76),AA76,AO76)))))</f>
        <v>0</v>
      </c>
      <c r="N76" s="317">
        <f>IF(AND($A$2=4,VLOOKUP($A76,'District Level ADM'!$A$5:$W$52,5,FALSE)="Prior Year"),AP76,IF(AND($A$2=4,VLOOKUP($A76,'District Level ADM'!$A$5:$W$52,5,FALSE)="3-Year Avg."),AB76,IF($A$2=2,AP76,IF($A$2=3,AB76,IF(($AG76&gt;$AU76),AB76,AP76)))))</f>
        <v>0</v>
      </c>
      <c r="O76" s="317">
        <f>IF(AND($A$2=4,VLOOKUP($A76,'District Level ADM'!$A$5:$W$52,5,FALSE)="Prior Year"),AQ76,IF(AND($A$2=4,VLOOKUP($A76,'District Level ADM'!$A$5:$W$52,5,FALSE)="3-Year Avg."),AC76,IF($A$2=2,AQ76,IF($A$2=3,AC76,IF(($AG76&gt;$AU76),AC76,AQ76)))))</f>
        <v>0</v>
      </c>
      <c r="P76" s="317">
        <f>IF(AND($A$2=4,VLOOKUP($A76,'District Level ADM'!$A$5:$W$52,5,FALSE)="Prior Year"),AR76,IF(AND($A$2=4,VLOOKUP($A76,'District Level ADM'!$A$5:$W$52,5,FALSE)="3-Year Avg."),AD76,IF($A$2=2,AR76,IF($A$2=3,AD76,IF(($AG76&gt;$AU76),AD76,AR76)))))</f>
        <v>0</v>
      </c>
      <c r="Q76" s="317">
        <f>IF(AND($A$2=4,VLOOKUP($A76,'District Level ADM'!$A$5:$W$52,5,FALSE)="Prior Year"),AS76,IF(AND($A$2=4,VLOOKUP($A76,'District Level ADM'!$A$5:$W$52,5,FALSE)="3-Year Avg."),AE76,IF($A$2=2,AS76,IF($A$2=3,AE76,IF(($AG76&gt;$AU76),AE76,AS76)))))</f>
        <v>0</v>
      </c>
      <c r="R76" s="317">
        <f>IF(AND($A$2=4,VLOOKUP($A76,'District Level ADM'!$A$5:$W$52,5,FALSE)="Prior Year"),AT76,IF(AND($A$2=4,VLOOKUP($A76,'District Level ADM'!$A$5:$W$52,5,FALSE)="3-Year Avg."),AF76,IF($A$2=2,AT76,IF($A$2=3,AF76,IF(($AG76&gt;$AU76),AF76,AT76)))))</f>
        <v>0</v>
      </c>
      <c r="S76" s="317">
        <f t="shared" si="13"/>
        <v>6.293333333333333</v>
      </c>
      <c r="T76" s="317">
        <f t="shared" si="8"/>
        <v>0.66666666666666663</v>
      </c>
      <c r="U76" s="317">
        <f t="shared" si="8"/>
        <v>0.995</v>
      </c>
      <c r="V76" s="317">
        <f t="shared" si="8"/>
        <v>1.3283333333333334</v>
      </c>
      <c r="W76" s="317">
        <f t="shared" si="8"/>
        <v>1.3233333333333333</v>
      </c>
      <c r="X76" s="317">
        <f t="shared" si="8"/>
        <v>1.3183333333333334</v>
      </c>
      <c r="Y76" s="317">
        <f t="shared" si="8"/>
        <v>0.66166666666666663</v>
      </c>
      <c r="Z76" s="317">
        <f t="shared" si="8"/>
        <v>0</v>
      </c>
      <c r="AA76" s="317">
        <f t="shared" si="8"/>
        <v>0</v>
      </c>
      <c r="AB76" s="317">
        <f t="shared" si="8"/>
        <v>0</v>
      </c>
      <c r="AC76" s="317">
        <f t="shared" si="18"/>
        <v>0</v>
      </c>
      <c r="AD76" s="317">
        <f t="shared" si="18"/>
        <v>0</v>
      </c>
      <c r="AE76" s="317">
        <f t="shared" si="18"/>
        <v>0</v>
      </c>
      <c r="AF76" s="317">
        <f t="shared" si="18"/>
        <v>0</v>
      </c>
      <c r="AG76" s="317">
        <f t="shared" si="14"/>
        <v>6.293333333333333</v>
      </c>
      <c r="AH76" s="318">
        <v>0</v>
      </c>
      <c r="AI76" s="318">
        <v>0.98499999999999999</v>
      </c>
      <c r="AJ76" s="318">
        <v>0.98499999999999999</v>
      </c>
      <c r="AK76" s="318">
        <v>1.97</v>
      </c>
      <c r="AL76" s="318">
        <v>2.9550000000000001</v>
      </c>
      <c r="AM76" s="318">
        <v>0.98499999999999999</v>
      </c>
      <c r="AN76" s="318">
        <v>0</v>
      </c>
      <c r="AO76" s="318">
        <v>0</v>
      </c>
      <c r="AP76" s="318">
        <v>0</v>
      </c>
      <c r="AQ76" s="318">
        <v>0</v>
      </c>
      <c r="AR76" s="318">
        <v>0</v>
      </c>
      <c r="AS76" s="318">
        <v>0</v>
      </c>
      <c r="AT76" s="318">
        <v>0</v>
      </c>
      <c r="AU76" s="317">
        <f t="shared" si="15"/>
        <v>7.88</v>
      </c>
      <c r="AV76" s="319">
        <v>1</v>
      </c>
      <c r="AW76" s="319">
        <v>1</v>
      </c>
      <c r="AX76" s="319">
        <v>1</v>
      </c>
      <c r="AY76" s="319">
        <v>2</v>
      </c>
      <c r="AZ76" s="319">
        <v>0</v>
      </c>
      <c r="BA76" s="319">
        <v>1</v>
      </c>
      <c r="BB76" s="319">
        <v>0</v>
      </c>
      <c r="BC76" s="319">
        <v>0</v>
      </c>
      <c r="BD76" s="319">
        <v>0</v>
      </c>
      <c r="BE76" s="319">
        <v>0</v>
      </c>
      <c r="BF76" s="319">
        <v>0</v>
      </c>
      <c r="BG76" s="319">
        <v>0</v>
      </c>
      <c r="BH76" s="319">
        <v>0</v>
      </c>
      <c r="BI76" s="317">
        <f t="shared" si="16"/>
        <v>6</v>
      </c>
      <c r="BJ76" s="316">
        <v>1</v>
      </c>
      <c r="BK76" s="316">
        <v>1</v>
      </c>
      <c r="BL76" s="316">
        <v>2</v>
      </c>
      <c r="BM76" s="316">
        <v>0</v>
      </c>
      <c r="BN76" s="316">
        <v>1</v>
      </c>
      <c r="BO76" s="316">
        <v>0</v>
      </c>
      <c r="BP76" s="316">
        <v>0</v>
      </c>
      <c r="BQ76" s="316">
        <v>0</v>
      </c>
      <c r="BR76" s="316">
        <v>0</v>
      </c>
      <c r="BS76" s="316">
        <v>0</v>
      </c>
      <c r="BT76" s="316">
        <v>0</v>
      </c>
      <c r="BU76" s="316">
        <v>0</v>
      </c>
      <c r="BV76" s="316">
        <v>0</v>
      </c>
      <c r="BW76" s="317">
        <f t="shared" si="17"/>
        <v>5</v>
      </c>
    </row>
    <row r="77" spans="1:75" x14ac:dyDescent="0.2">
      <c r="A77" s="20" t="str">
        <f>'School Level Inst. Resources'!A77</f>
        <v>0501000</v>
      </c>
      <c r="B77" s="20" t="str">
        <f>'School Level Inst. Resources'!B77</f>
        <v>Converse #1</v>
      </c>
      <c r="C77" s="20" t="str">
        <f>'School Level Inst. Resources'!C77</f>
        <v>0501010</v>
      </c>
      <c r="D77" s="20" t="str">
        <f>'School Level Inst. Resources'!D77</f>
        <v>Douglas Upper Elementary School</v>
      </c>
      <c r="E77" s="138" t="str">
        <f>'School Level Inst. Resources'!E77</f>
        <v>4-5</v>
      </c>
      <c r="F77" s="317">
        <f>IF(AND($A$2=4,VLOOKUP($A77,'District Level ADM'!$A$5:$W$52,5,FALSE)="Prior Year"),AH77,IF(AND($A$2=4,VLOOKUP($A77,'District Level ADM'!$A$5:$W$52,5,FALSE)="3-Year Avg."),T77,IF($A$2=2,AH77,IF($A$2=3,T77,IF(($AG77&gt;$AU77),T77,AH77)))))</f>
        <v>0</v>
      </c>
      <c r="G77" s="317">
        <f>IF(AND($A$2=4,VLOOKUP($A77,'District Level ADM'!$A$5:$W$52,5,FALSE)="Prior Year"),AI77,IF(AND($A$2=4,VLOOKUP($A77,'District Level ADM'!$A$5:$W$52,5,FALSE)="3-Year Avg."),U77,IF($A$2=2,AI77,IF($A$2=3,U77,IF(($AG77&gt;$AU77),U77,AI77)))))</f>
        <v>0</v>
      </c>
      <c r="H77" s="317">
        <f>IF(AND($A$2=4,VLOOKUP($A77,'District Level ADM'!$A$5:$W$52,5,FALSE)="Prior Year"),AJ77,IF(AND($A$2=4,VLOOKUP($A77,'District Level ADM'!$A$5:$W$52,5,FALSE)="3-Year Avg."),V77,IF($A$2=2,AJ77,IF($A$2=3,V77,IF(($AG77&gt;$AU77),V77,AJ77)))))</f>
        <v>0</v>
      </c>
      <c r="I77" s="317">
        <f>IF(AND($A$2=4,VLOOKUP($A77,'District Level ADM'!$A$5:$W$52,5,FALSE)="Prior Year"),AK77,IF(AND($A$2=4,VLOOKUP($A77,'District Level ADM'!$A$5:$W$52,5,FALSE)="3-Year Avg."),W77,IF($A$2=2,AK77,IF($A$2=3,W77,IF(($AG77&gt;$AU77),W77,AK77)))))</f>
        <v>0</v>
      </c>
      <c r="J77" s="317">
        <f>IF(AND($A$2=4,VLOOKUP($A77,'District Level ADM'!$A$5:$W$52,5,FALSE)="Prior Year"),AL77,IF(AND($A$2=4,VLOOKUP($A77,'District Level ADM'!$A$5:$W$52,5,FALSE)="3-Year Avg."),X77,IF($A$2=2,AL77,IF($A$2=3,X77,IF(($AG77&gt;$AU77),X77,AL77)))))</f>
        <v>124.46133333333334</v>
      </c>
      <c r="K77" s="317">
        <f>IF(AND($A$2=4,VLOOKUP($A77,'District Level ADM'!$A$5:$W$52,5,FALSE)="Prior Year"),AM77,IF(AND($A$2=4,VLOOKUP($A77,'District Level ADM'!$A$5:$W$52,5,FALSE)="3-Year Avg."),Y77,IF($A$2=2,AM77,IF($A$2=3,Y77,IF(($AG77&gt;$AU77),Y77,AM77)))))</f>
        <v>128.19966666666667</v>
      </c>
      <c r="L77" s="317">
        <f>IF(AND($A$2=4,VLOOKUP($A77,'District Level ADM'!$A$5:$W$52,5,FALSE)="Prior Year"),AN77,IF(AND($A$2=4,VLOOKUP($A77,'District Level ADM'!$A$5:$W$52,5,FALSE)="3-Year Avg."),Z77,IF($A$2=2,AN77,IF($A$2=3,Z77,IF(($AG77&gt;$AU77),Z77,AN77)))))</f>
        <v>0</v>
      </c>
      <c r="M77" s="317">
        <f>IF(AND($A$2=4,VLOOKUP($A77,'District Level ADM'!$A$5:$W$52,5,FALSE)="Prior Year"),AO77,IF(AND($A$2=4,VLOOKUP($A77,'District Level ADM'!$A$5:$W$52,5,FALSE)="3-Year Avg."),AA77,IF($A$2=2,AO77,IF($A$2=3,AA77,IF(($AG77&gt;$AU77),AA77,AO77)))))</f>
        <v>0</v>
      </c>
      <c r="N77" s="317">
        <f>IF(AND($A$2=4,VLOOKUP($A77,'District Level ADM'!$A$5:$W$52,5,FALSE)="Prior Year"),AP77,IF(AND($A$2=4,VLOOKUP($A77,'District Level ADM'!$A$5:$W$52,5,FALSE)="3-Year Avg."),AB77,IF($A$2=2,AP77,IF($A$2=3,AB77,IF(($AG77&gt;$AU77),AB77,AP77)))))</f>
        <v>0</v>
      </c>
      <c r="O77" s="317">
        <f>IF(AND($A$2=4,VLOOKUP($A77,'District Level ADM'!$A$5:$W$52,5,FALSE)="Prior Year"),AQ77,IF(AND($A$2=4,VLOOKUP($A77,'District Level ADM'!$A$5:$W$52,5,FALSE)="3-Year Avg."),AC77,IF($A$2=2,AQ77,IF($A$2=3,AC77,IF(($AG77&gt;$AU77),AC77,AQ77)))))</f>
        <v>0</v>
      </c>
      <c r="P77" s="317">
        <f>IF(AND($A$2=4,VLOOKUP($A77,'District Level ADM'!$A$5:$W$52,5,FALSE)="Prior Year"),AR77,IF(AND($A$2=4,VLOOKUP($A77,'District Level ADM'!$A$5:$W$52,5,FALSE)="3-Year Avg."),AD77,IF($A$2=2,AR77,IF($A$2=3,AD77,IF(($AG77&gt;$AU77),AD77,AR77)))))</f>
        <v>0</v>
      </c>
      <c r="Q77" s="317">
        <f>IF(AND($A$2=4,VLOOKUP($A77,'District Level ADM'!$A$5:$W$52,5,FALSE)="Prior Year"),AS77,IF(AND($A$2=4,VLOOKUP($A77,'District Level ADM'!$A$5:$W$52,5,FALSE)="3-Year Avg."),AE77,IF($A$2=2,AS77,IF($A$2=3,AE77,IF(($AG77&gt;$AU77),AE77,AS77)))))</f>
        <v>0</v>
      </c>
      <c r="R77" s="317">
        <f>IF(AND($A$2=4,VLOOKUP($A77,'District Level ADM'!$A$5:$W$52,5,FALSE)="Prior Year"),AT77,IF(AND($A$2=4,VLOOKUP($A77,'District Level ADM'!$A$5:$W$52,5,FALSE)="3-Year Avg."),AF77,IF($A$2=2,AT77,IF($A$2=3,AF77,IF(($AG77&gt;$AU77),AF77,AT77)))))</f>
        <v>0</v>
      </c>
      <c r="S77" s="317">
        <f t="shared" si="13"/>
        <v>252.661</v>
      </c>
      <c r="T77" s="317">
        <f t="shared" si="8"/>
        <v>0</v>
      </c>
      <c r="U77" s="317">
        <f t="shared" si="8"/>
        <v>0</v>
      </c>
      <c r="V77" s="317">
        <f t="shared" si="8"/>
        <v>0</v>
      </c>
      <c r="W77" s="317">
        <f t="shared" si="8"/>
        <v>0</v>
      </c>
      <c r="X77" s="317">
        <f t="shared" si="8"/>
        <v>124.46133333333334</v>
      </c>
      <c r="Y77" s="317">
        <f t="shared" si="8"/>
        <v>128.19966666666667</v>
      </c>
      <c r="Z77" s="317">
        <f t="shared" si="8"/>
        <v>0</v>
      </c>
      <c r="AA77" s="317">
        <f t="shared" si="8"/>
        <v>0</v>
      </c>
      <c r="AB77" s="317">
        <f t="shared" si="8"/>
        <v>0</v>
      </c>
      <c r="AC77" s="317">
        <f t="shared" si="18"/>
        <v>0</v>
      </c>
      <c r="AD77" s="317">
        <f t="shared" si="18"/>
        <v>0</v>
      </c>
      <c r="AE77" s="317">
        <f t="shared" si="18"/>
        <v>0</v>
      </c>
      <c r="AF77" s="317">
        <f t="shared" si="18"/>
        <v>0</v>
      </c>
      <c r="AG77" s="317">
        <f t="shared" si="14"/>
        <v>252.661</v>
      </c>
      <c r="AH77" s="318">
        <v>0</v>
      </c>
      <c r="AI77" s="318">
        <v>0</v>
      </c>
      <c r="AJ77" s="318">
        <v>0</v>
      </c>
      <c r="AK77" s="318">
        <v>0</v>
      </c>
      <c r="AL77" s="318">
        <v>124.11</v>
      </c>
      <c r="AM77" s="318">
        <v>120.17</v>
      </c>
      <c r="AN77" s="318">
        <v>0</v>
      </c>
      <c r="AO77" s="318">
        <v>0</v>
      </c>
      <c r="AP77" s="318">
        <v>0</v>
      </c>
      <c r="AQ77" s="318">
        <v>0</v>
      </c>
      <c r="AR77" s="318">
        <v>0</v>
      </c>
      <c r="AS77" s="318">
        <v>0</v>
      </c>
      <c r="AT77" s="318">
        <v>0</v>
      </c>
      <c r="AU77" s="317">
        <f t="shared" si="15"/>
        <v>244.28</v>
      </c>
      <c r="AV77" s="319">
        <v>0</v>
      </c>
      <c r="AW77" s="319">
        <v>0</v>
      </c>
      <c r="AX77" s="319">
        <v>0</v>
      </c>
      <c r="AY77" s="319">
        <v>0</v>
      </c>
      <c r="AZ77" s="319">
        <v>118.143</v>
      </c>
      <c r="BA77" s="319">
        <v>131</v>
      </c>
      <c r="BB77" s="319">
        <v>0</v>
      </c>
      <c r="BC77" s="319">
        <v>0</v>
      </c>
      <c r="BD77" s="319">
        <v>0</v>
      </c>
      <c r="BE77" s="319">
        <v>0</v>
      </c>
      <c r="BF77" s="319">
        <v>0</v>
      </c>
      <c r="BG77" s="319">
        <v>0</v>
      </c>
      <c r="BH77" s="319">
        <v>0</v>
      </c>
      <c r="BI77" s="317">
        <f t="shared" si="16"/>
        <v>249.143</v>
      </c>
      <c r="BJ77" s="316">
        <v>0</v>
      </c>
      <c r="BK77" s="316">
        <v>0</v>
      </c>
      <c r="BL77" s="316">
        <v>0</v>
      </c>
      <c r="BM77" s="316">
        <v>0</v>
      </c>
      <c r="BN77" s="316">
        <v>131.131</v>
      </c>
      <c r="BO77" s="316">
        <v>133.429</v>
      </c>
      <c r="BP77" s="316">
        <v>0</v>
      </c>
      <c r="BQ77" s="316">
        <v>0</v>
      </c>
      <c r="BR77" s="316">
        <v>0</v>
      </c>
      <c r="BS77" s="316">
        <v>0</v>
      </c>
      <c r="BT77" s="316">
        <v>0</v>
      </c>
      <c r="BU77" s="316">
        <v>0</v>
      </c>
      <c r="BV77" s="316">
        <v>0</v>
      </c>
      <c r="BW77" s="317">
        <f t="shared" si="17"/>
        <v>264.56</v>
      </c>
    </row>
    <row r="78" spans="1:75" x14ac:dyDescent="0.2">
      <c r="A78" s="20" t="str">
        <f>'School Level Inst. Resources'!A78</f>
        <v>0501000</v>
      </c>
      <c r="B78" s="20" t="str">
        <f>'School Level Inst. Resources'!B78</f>
        <v>Converse #1</v>
      </c>
      <c r="C78" s="20" t="str">
        <f>'School Level Inst. Resources'!C78</f>
        <v>0501011</v>
      </c>
      <c r="D78" s="20" t="str">
        <f>'School Level Inst. Resources'!D78</f>
        <v>White Elementary</v>
      </c>
      <c r="E78" s="138" t="str">
        <f>'School Level Inst. Resources'!E78</f>
        <v>K-8</v>
      </c>
      <c r="F78" s="317">
        <f>IF(AND($A$2=4,VLOOKUP($A78,'District Level ADM'!$A$5:$W$52,5,FALSE)="Prior Year"),AH78,IF(AND($A$2=4,VLOOKUP($A78,'District Level ADM'!$A$5:$W$52,5,FALSE)="3-Year Avg."),T78,IF($A$2=2,AH78,IF($A$2=3,T78,IF(($AG78&gt;$AU78),T78,AH78)))))</f>
        <v>1.1573333333333333</v>
      </c>
      <c r="G78" s="317">
        <f>IF(AND($A$2=4,VLOOKUP($A78,'District Level ADM'!$A$5:$W$52,5,FALSE)="Prior Year"),AI78,IF(AND($A$2=4,VLOOKUP($A78,'District Level ADM'!$A$5:$W$52,5,FALSE)="3-Year Avg."),U78,IF($A$2=2,AI78,IF($A$2=3,U78,IF(($AG78&gt;$AU78),U78,AI78)))))</f>
        <v>2.8073333333333337</v>
      </c>
      <c r="H78" s="317">
        <f>IF(AND($A$2=4,VLOOKUP($A78,'District Level ADM'!$A$5:$W$52,5,FALSE)="Prior Year"),AJ78,IF(AND($A$2=4,VLOOKUP($A78,'District Level ADM'!$A$5:$W$52,5,FALSE)="3-Year Avg."),V78,IF($A$2=2,AJ78,IF($A$2=3,V78,IF(($AG78&gt;$AU78),V78,AJ78)))))</f>
        <v>1.9850000000000001</v>
      </c>
      <c r="I78" s="317">
        <f>IF(AND($A$2=4,VLOOKUP($A78,'District Level ADM'!$A$5:$W$52,5,FALSE)="Prior Year"),AK78,IF(AND($A$2=4,VLOOKUP($A78,'District Level ADM'!$A$5:$W$52,5,FALSE)="3-Year Avg."),W78,IF($A$2=2,AK78,IF($A$2=3,W78,IF(($AG78&gt;$AU78),W78,AK78)))))</f>
        <v>1.99</v>
      </c>
      <c r="J78" s="317">
        <f>IF(AND($A$2=4,VLOOKUP($A78,'District Level ADM'!$A$5:$W$52,5,FALSE)="Prior Year"),AL78,IF(AND($A$2=4,VLOOKUP($A78,'District Level ADM'!$A$5:$W$52,5,FALSE)="3-Year Avg."),X78,IF($A$2=2,AL78,IF($A$2=3,X78,IF(($AG78&gt;$AU78),X78,AL78)))))</f>
        <v>1.3260000000000001</v>
      </c>
      <c r="K78" s="317">
        <f>IF(AND($A$2=4,VLOOKUP($A78,'District Level ADM'!$A$5:$W$52,5,FALSE)="Prior Year"),AM78,IF(AND($A$2=4,VLOOKUP($A78,'District Level ADM'!$A$5:$W$52,5,FALSE)="3-Year Avg."),Y78,IF($A$2=2,AM78,IF($A$2=3,Y78,IF(($AG78&gt;$AU78),Y78,AM78)))))</f>
        <v>0.90566666666666673</v>
      </c>
      <c r="L78" s="317">
        <f>IF(AND($A$2=4,VLOOKUP($A78,'District Level ADM'!$A$5:$W$52,5,FALSE)="Prior Year"),AN78,IF(AND($A$2=4,VLOOKUP($A78,'District Level ADM'!$A$5:$W$52,5,FALSE)="3-Year Avg."),Z78,IF($A$2=2,AN78,IF($A$2=3,Z78,IF(($AG78&gt;$AU78),Z78,AN78)))))</f>
        <v>0.78500000000000003</v>
      </c>
      <c r="M78" s="317">
        <f>IF(AND($A$2=4,VLOOKUP($A78,'District Level ADM'!$A$5:$W$52,5,FALSE)="Prior Year"),AO78,IF(AND($A$2=4,VLOOKUP($A78,'District Level ADM'!$A$5:$W$52,5,FALSE)="3-Year Avg."),AA78,IF($A$2=2,AO78,IF($A$2=3,AA78,IF(($AG78&gt;$AU78),AA78,AO78)))))</f>
        <v>0.73833333333333329</v>
      </c>
      <c r="N78" s="317">
        <f>IF(AND($A$2=4,VLOOKUP($A78,'District Level ADM'!$A$5:$W$52,5,FALSE)="Prior Year"),AP78,IF(AND($A$2=4,VLOOKUP($A78,'District Level ADM'!$A$5:$W$52,5,FALSE)="3-Year Avg."),AB78,IF($A$2=2,AP78,IF($A$2=3,AB78,IF(($AG78&gt;$AU78),AB78,AP78)))))</f>
        <v>0.33333333333333331</v>
      </c>
      <c r="O78" s="317">
        <f>IF(AND($A$2=4,VLOOKUP($A78,'District Level ADM'!$A$5:$W$52,5,FALSE)="Prior Year"),AQ78,IF(AND($A$2=4,VLOOKUP($A78,'District Level ADM'!$A$5:$W$52,5,FALSE)="3-Year Avg."),AC78,IF($A$2=2,AQ78,IF($A$2=3,AC78,IF(($AG78&gt;$AU78),AC78,AQ78)))))</f>
        <v>0</v>
      </c>
      <c r="P78" s="317">
        <f>IF(AND($A$2=4,VLOOKUP($A78,'District Level ADM'!$A$5:$W$52,5,FALSE)="Prior Year"),AR78,IF(AND($A$2=4,VLOOKUP($A78,'District Level ADM'!$A$5:$W$52,5,FALSE)="3-Year Avg."),AD78,IF($A$2=2,AR78,IF($A$2=3,AD78,IF(($AG78&gt;$AU78),AD78,AR78)))))</f>
        <v>0</v>
      </c>
      <c r="Q78" s="317">
        <f>IF(AND($A$2=4,VLOOKUP($A78,'District Level ADM'!$A$5:$W$52,5,FALSE)="Prior Year"),AS78,IF(AND($A$2=4,VLOOKUP($A78,'District Level ADM'!$A$5:$W$52,5,FALSE)="3-Year Avg."),AE78,IF($A$2=2,AS78,IF($A$2=3,AE78,IF(($AG78&gt;$AU78),AE78,AS78)))))</f>
        <v>0</v>
      </c>
      <c r="R78" s="317">
        <f>IF(AND($A$2=4,VLOOKUP($A78,'District Level ADM'!$A$5:$W$52,5,FALSE)="Prior Year"),AT78,IF(AND($A$2=4,VLOOKUP($A78,'District Level ADM'!$A$5:$W$52,5,FALSE)="3-Year Avg."),AF78,IF($A$2=2,AT78,IF($A$2=3,AF78,IF(($AG78&gt;$AU78),AF78,AT78)))))</f>
        <v>0</v>
      </c>
      <c r="S78" s="317">
        <f t="shared" si="13"/>
        <v>12.028000000000002</v>
      </c>
      <c r="T78" s="317">
        <f t="shared" si="8"/>
        <v>1.1573333333333333</v>
      </c>
      <c r="U78" s="317">
        <f t="shared" si="8"/>
        <v>2.8073333333333337</v>
      </c>
      <c r="V78" s="317">
        <f t="shared" si="8"/>
        <v>1.9850000000000001</v>
      </c>
      <c r="W78" s="317">
        <f t="shared" si="8"/>
        <v>1.99</v>
      </c>
      <c r="X78" s="317">
        <f t="shared" si="8"/>
        <v>1.3260000000000001</v>
      </c>
      <c r="Y78" s="317">
        <f t="shared" si="8"/>
        <v>0.90566666666666673</v>
      </c>
      <c r="Z78" s="317">
        <f t="shared" si="8"/>
        <v>0.78500000000000003</v>
      </c>
      <c r="AA78" s="317">
        <f t="shared" si="8"/>
        <v>0.73833333333333329</v>
      </c>
      <c r="AB78" s="317">
        <f t="shared" si="8"/>
        <v>0.33333333333333331</v>
      </c>
      <c r="AC78" s="317">
        <f t="shared" si="18"/>
        <v>0</v>
      </c>
      <c r="AD78" s="317">
        <f t="shared" si="18"/>
        <v>0</v>
      </c>
      <c r="AE78" s="317">
        <f t="shared" si="18"/>
        <v>0</v>
      </c>
      <c r="AF78" s="317">
        <f t="shared" si="18"/>
        <v>0</v>
      </c>
      <c r="AG78" s="317">
        <f t="shared" si="14"/>
        <v>12.028000000000002</v>
      </c>
      <c r="AH78" s="318">
        <v>0.98499999999999999</v>
      </c>
      <c r="AI78" s="318">
        <v>2.9550000000000001</v>
      </c>
      <c r="AJ78" s="318">
        <v>2.9550000000000001</v>
      </c>
      <c r="AK78" s="318">
        <v>1.97</v>
      </c>
      <c r="AL78" s="318">
        <v>0.98499999999999999</v>
      </c>
      <c r="AM78" s="318">
        <v>0</v>
      </c>
      <c r="AN78" s="318">
        <v>0</v>
      </c>
      <c r="AO78" s="318">
        <v>0.98499999999999999</v>
      </c>
      <c r="AP78" s="318">
        <v>0</v>
      </c>
      <c r="AQ78" s="318">
        <v>0</v>
      </c>
      <c r="AR78" s="318">
        <v>0</v>
      </c>
      <c r="AS78" s="318">
        <v>0</v>
      </c>
      <c r="AT78" s="318">
        <v>0</v>
      </c>
      <c r="AU78" s="317">
        <f t="shared" si="15"/>
        <v>10.834999999999999</v>
      </c>
      <c r="AV78" s="319">
        <v>1.27</v>
      </c>
      <c r="AW78" s="319">
        <v>2.02</v>
      </c>
      <c r="AX78" s="319">
        <v>2</v>
      </c>
      <c r="AY78" s="319">
        <v>2</v>
      </c>
      <c r="AZ78" s="319">
        <v>1.9930000000000001</v>
      </c>
      <c r="BA78" s="319">
        <v>1</v>
      </c>
      <c r="BB78" s="319">
        <v>1.355</v>
      </c>
      <c r="BC78" s="319">
        <v>1</v>
      </c>
      <c r="BD78" s="319">
        <v>1</v>
      </c>
      <c r="BE78" s="319">
        <v>0</v>
      </c>
      <c r="BF78" s="319">
        <v>0</v>
      </c>
      <c r="BG78" s="319">
        <v>0</v>
      </c>
      <c r="BH78" s="319">
        <v>0</v>
      </c>
      <c r="BI78" s="317">
        <f t="shared" si="16"/>
        <v>13.638</v>
      </c>
      <c r="BJ78" s="316">
        <v>1.2170000000000001</v>
      </c>
      <c r="BK78" s="316">
        <v>3.4470000000000001</v>
      </c>
      <c r="BL78" s="316">
        <v>1</v>
      </c>
      <c r="BM78" s="316">
        <v>2</v>
      </c>
      <c r="BN78" s="316">
        <v>1</v>
      </c>
      <c r="BO78" s="316">
        <v>1.7170000000000001</v>
      </c>
      <c r="BP78" s="316">
        <v>1</v>
      </c>
      <c r="BQ78" s="316">
        <v>0.23</v>
      </c>
      <c r="BR78" s="316">
        <v>0</v>
      </c>
      <c r="BS78" s="316">
        <v>0</v>
      </c>
      <c r="BT78" s="316">
        <v>0</v>
      </c>
      <c r="BU78" s="316">
        <v>0</v>
      </c>
      <c r="BV78" s="316">
        <v>0</v>
      </c>
      <c r="BW78" s="317">
        <f t="shared" si="17"/>
        <v>11.611000000000001</v>
      </c>
    </row>
    <row r="79" spans="1:75" x14ac:dyDescent="0.2">
      <c r="A79" s="20" t="str">
        <f>'School Level Inst. Resources'!A79</f>
        <v>0501000</v>
      </c>
      <c r="B79" s="20" t="str">
        <f>'School Level Inst. Resources'!B79</f>
        <v>Converse #1</v>
      </c>
      <c r="C79" s="20" t="str">
        <f>'School Level Inst. Resources'!C79</f>
        <v>0501013</v>
      </c>
      <c r="D79" s="20" t="str">
        <f>'School Level Inst. Resources'!D79</f>
        <v>Douglas Intermediate School</v>
      </c>
      <c r="E79" s="138" t="str">
        <f>'School Level Inst. Resources'!E79</f>
        <v>2-3</v>
      </c>
      <c r="F79" s="317">
        <f>IF(AND($A$2=4,VLOOKUP($A79,'District Level ADM'!$A$5:$W$52,5,FALSE)="Prior Year"),AH79,IF(AND($A$2=4,VLOOKUP($A79,'District Level ADM'!$A$5:$W$52,5,FALSE)="3-Year Avg."),T79,IF($A$2=2,AH79,IF($A$2=3,T79,IF(($AG79&gt;$AU79),T79,AH79)))))</f>
        <v>0</v>
      </c>
      <c r="G79" s="317">
        <f>IF(AND($A$2=4,VLOOKUP($A79,'District Level ADM'!$A$5:$W$52,5,FALSE)="Prior Year"),AI79,IF(AND($A$2=4,VLOOKUP($A79,'District Level ADM'!$A$5:$W$52,5,FALSE)="3-Year Avg."),U79,IF($A$2=2,AI79,IF($A$2=3,U79,IF(($AG79&gt;$AU79),U79,AI79)))))</f>
        <v>0</v>
      </c>
      <c r="H79" s="317">
        <f>IF(AND($A$2=4,VLOOKUP($A79,'District Level ADM'!$A$5:$W$52,5,FALSE)="Prior Year"),AJ79,IF(AND($A$2=4,VLOOKUP($A79,'District Level ADM'!$A$5:$W$52,5,FALSE)="3-Year Avg."),V79,IF($A$2=2,AJ79,IF($A$2=3,V79,IF(($AG79&gt;$AU79),V79,AJ79)))))</f>
        <v>116.24166666666667</v>
      </c>
      <c r="I79" s="317">
        <f>IF(AND($A$2=4,VLOOKUP($A79,'District Level ADM'!$A$5:$W$52,5,FALSE)="Prior Year"),AK79,IF(AND($A$2=4,VLOOKUP($A79,'District Level ADM'!$A$5:$W$52,5,FALSE)="3-Year Avg."),W79,IF($A$2=2,AK79,IF($A$2=3,W79,IF(($AG79&gt;$AU79),W79,AK79)))))</f>
        <v>118.81700000000001</v>
      </c>
      <c r="J79" s="317">
        <f>IF(AND($A$2=4,VLOOKUP($A79,'District Level ADM'!$A$5:$W$52,5,FALSE)="Prior Year"),AL79,IF(AND($A$2=4,VLOOKUP($A79,'District Level ADM'!$A$5:$W$52,5,FALSE)="3-Year Avg."),X79,IF($A$2=2,AL79,IF($A$2=3,X79,IF(($AG79&gt;$AU79),X79,AL79)))))</f>
        <v>0</v>
      </c>
      <c r="K79" s="317">
        <f>IF(AND($A$2=4,VLOOKUP($A79,'District Level ADM'!$A$5:$W$52,5,FALSE)="Prior Year"),AM79,IF(AND($A$2=4,VLOOKUP($A79,'District Level ADM'!$A$5:$W$52,5,FALSE)="3-Year Avg."),Y79,IF($A$2=2,AM79,IF($A$2=3,Y79,IF(($AG79&gt;$AU79),Y79,AM79)))))</f>
        <v>0</v>
      </c>
      <c r="L79" s="317">
        <f>IF(AND($A$2=4,VLOOKUP($A79,'District Level ADM'!$A$5:$W$52,5,FALSE)="Prior Year"),AN79,IF(AND($A$2=4,VLOOKUP($A79,'District Level ADM'!$A$5:$W$52,5,FALSE)="3-Year Avg."),Z79,IF($A$2=2,AN79,IF($A$2=3,Z79,IF(($AG79&gt;$AU79),Z79,AN79)))))</f>
        <v>0</v>
      </c>
      <c r="M79" s="317">
        <f>IF(AND($A$2=4,VLOOKUP($A79,'District Level ADM'!$A$5:$W$52,5,FALSE)="Prior Year"),AO79,IF(AND($A$2=4,VLOOKUP($A79,'District Level ADM'!$A$5:$W$52,5,FALSE)="3-Year Avg."),AA79,IF($A$2=2,AO79,IF($A$2=3,AA79,IF(($AG79&gt;$AU79),AA79,AO79)))))</f>
        <v>0</v>
      </c>
      <c r="N79" s="317">
        <f>IF(AND($A$2=4,VLOOKUP($A79,'District Level ADM'!$A$5:$W$52,5,FALSE)="Prior Year"),AP79,IF(AND($A$2=4,VLOOKUP($A79,'District Level ADM'!$A$5:$W$52,5,FALSE)="3-Year Avg."),AB79,IF($A$2=2,AP79,IF($A$2=3,AB79,IF(($AG79&gt;$AU79),AB79,AP79)))))</f>
        <v>0</v>
      </c>
      <c r="O79" s="317">
        <f>IF(AND($A$2=4,VLOOKUP($A79,'District Level ADM'!$A$5:$W$52,5,FALSE)="Prior Year"),AQ79,IF(AND($A$2=4,VLOOKUP($A79,'District Level ADM'!$A$5:$W$52,5,FALSE)="3-Year Avg."),AC79,IF($A$2=2,AQ79,IF($A$2=3,AC79,IF(($AG79&gt;$AU79),AC79,AQ79)))))</f>
        <v>0</v>
      </c>
      <c r="P79" s="317">
        <f>IF(AND($A$2=4,VLOOKUP($A79,'District Level ADM'!$A$5:$W$52,5,FALSE)="Prior Year"),AR79,IF(AND($A$2=4,VLOOKUP($A79,'District Level ADM'!$A$5:$W$52,5,FALSE)="3-Year Avg."),AD79,IF($A$2=2,AR79,IF($A$2=3,AD79,IF(($AG79&gt;$AU79),AD79,AR79)))))</f>
        <v>0</v>
      </c>
      <c r="Q79" s="317">
        <f>IF(AND($A$2=4,VLOOKUP($A79,'District Level ADM'!$A$5:$W$52,5,FALSE)="Prior Year"),AS79,IF(AND($A$2=4,VLOOKUP($A79,'District Level ADM'!$A$5:$W$52,5,FALSE)="3-Year Avg."),AE79,IF($A$2=2,AS79,IF($A$2=3,AE79,IF(($AG79&gt;$AU79),AE79,AS79)))))</f>
        <v>0</v>
      </c>
      <c r="R79" s="317">
        <f>IF(AND($A$2=4,VLOOKUP($A79,'District Level ADM'!$A$5:$W$52,5,FALSE)="Prior Year"),AT79,IF(AND($A$2=4,VLOOKUP($A79,'District Level ADM'!$A$5:$W$52,5,FALSE)="3-Year Avg."),AF79,IF($A$2=2,AT79,IF($A$2=3,AF79,IF(($AG79&gt;$AU79),AF79,AT79)))))</f>
        <v>0</v>
      </c>
      <c r="S79" s="317">
        <f t="shared" si="13"/>
        <v>235.05866666666668</v>
      </c>
      <c r="T79" s="317">
        <f t="shared" si="8"/>
        <v>0</v>
      </c>
      <c r="U79" s="317">
        <f t="shared" si="8"/>
        <v>0</v>
      </c>
      <c r="V79" s="317">
        <f t="shared" si="8"/>
        <v>116.24166666666667</v>
      </c>
      <c r="W79" s="317">
        <f t="shared" si="8"/>
        <v>118.81700000000001</v>
      </c>
      <c r="X79" s="317">
        <f t="shared" si="8"/>
        <v>0</v>
      </c>
      <c r="Y79" s="317">
        <f t="shared" si="8"/>
        <v>0</v>
      </c>
      <c r="Z79" s="317">
        <f t="shared" si="8"/>
        <v>0</v>
      </c>
      <c r="AA79" s="317">
        <f t="shared" si="8"/>
        <v>0</v>
      </c>
      <c r="AB79" s="317">
        <f t="shared" si="8"/>
        <v>0</v>
      </c>
      <c r="AC79" s="317">
        <f t="shared" si="18"/>
        <v>0</v>
      </c>
      <c r="AD79" s="317">
        <f t="shared" si="18"/>
        <v>0</v>
      </c>
      <c r="AE79" s="317">
        <f t="shared" si="18"/>
        <v>0</v>
      </c>
      <c r="AF79" s="317">
        <f t="shared" si="18"/>
        <v>0</v>
      </c>
      <c r="AG79" s="317">
        <f t="shared" si="14"/>
        <v>235.05866666666668</v>
      </c>
      <c r="AH79" s="318">
        <v>0</v>
      </c>
      <c r="AI79" s="318">
        <v>0</v>
      </c>
      <c r="AJ79" s="318">
        <v>115.245</v>
      </c>
      <c r="AK79" s="318">
        <v>115.245</v>
      </c>
      <c r="AL79" s="318">
        <v>0</v>
      </c>
      <c r="AM79" s="318">
        <v>0</v>
      </c>
      <c r="AN79" s="318">
        <v>0</v>
      </c>
      <c r="AO79" s="318">
        <v>0</v>
      </c>
      <c r="AP79" s="318">
        <v>0</v>
      </c>
      <c r="AQ79" s="318">
        <v>0</v>
      </c>
      <c r="AR79" s="318">
        <v>0</v>
      </c>
      <c r="AS79" s="318">
        <v>0</v>
      </c>
      <c r="AT79" s="318">
        <v>0</v>
      </c>
      <c r="AU79" s="317">
        <f t="shared" si="15"/>
        <v>230.49</v>
      </c>
      <c r="AV79" s="319">
        <v>0</v>
      </c>
      <c r="AW79" s="319">
        <v>0</v>
      </c>
      <c r="AX79" s="319">
        <v>114.074</v>
      </c>
      <c r="AY79" s="319">
        <v>118.869</v>
      </c>
      <c r="AZ79" s="319">
        <v>0</v>
      </c>
      <c r="BA79" s="319">
        <v>0</v>
      </c>
      <c r="BB79" s="319">
        <v>0</v>
      </c>
      <c r="BC79" s="319">
        <v>0</v>
      </c>
      <c r="BD79" s="319">
        <v>0</v>
      </c>
      <c r="BE79" s="319">
        <v>0</v>
      </c>
      <c r="BF79" s="319">
        <v>0</v>
      </c>
      <c r="BG79" s="319">
        <v>0</v>
      </c>
      <c r="BH79" s="319">
        <v>0</v>
      </c>
      <c r="BI79" s="317">
        <f t="shared" si="16"/>
        <v>232.94299999999998</v>
      </c>
      <c r="BJ79" s="316">
        <v>0</v>
      </c>
      <c r="BK79" s="316">
        <v>0</v>
      </c>
      <c r="BL79" s="316">
        <v>119.40600000000001</v>
      </c>
      <c r="BM79" s="316">
        <v>122.337</v>
      </c>
      <c r="BN79" s="316">
        <v>0</v>
      </c>
      <c r="BO79" s="316">
        <v>0</v>
      </c>
      <c r="BP79" s="316">
        <v>0</v>
      </c>
      <c r="BQ79" s="316">
        <v>0</v>
      </c>
      <c r="BR79" s="316">
        <v>0</v>
      </c>
      <c r="BS79" s="316">
        <v>0</v>
      </c>
      <c r="BT79" s="316">
        <v>0</v>
      </c>
      <c r="BU79" s="316">
        <v>0</v>
      </c>
      <c r="BV79" s="316">
        <v>0</v>
      </c>
      <c r="BW79" s="317">
        <f t="shared" si="17"/>
        <v>241.74299999999999</v>
      </c>
    </row>
    <row r="80" spans="1:75" x14ac:dyDescent="0.2">
      <c r="A80" s="20" t="str">
        <f>'School Level Inst. Resources'!A80</f>
        <v>0501000</v>
      </c>
      <c r="B80" s="20" t="str">
        <f>'School Level Inst. Resources'!B80</f>
        <v>Converse #1</v>
      </c>
      <c r="C80" s="20" t="str">
        <f>'School Level Inst. Resources'!C80</f>
        <v>0501050</v>
      </c>
      <c r="D80" s="20" t="str">
        <f>'School Level Inst. Resources'!D80</f>
        <v>Douglas Middle School</v>
      </c>
      <c r="E80" s="138" t="str">
        <f>'School Level Inst. Resources'!E80</f>
        <v>6-8</v>
      </c>
      <c r="F80" s="317">
        <f>IF(AND($A$2=4,VLOOKUP($A80,'District Level ADM'!$A$5:$W$52,5,FALSE)="Prior Year"),AH80,IF(AND($A$2=4,VLOOKUP($A80,'District Level ADM'!$A$5:$W$52,5,FALSE)="3-Year Avg."),T80,IF($A$2=2,AH80,IF($A$2=3,T80,IF(($AG80&gt;$AU80),T80,AH80)))))</f>
        <v>0</v>
      </c>
      <c r="G80" s="317">
        <f>IF(AND($A$2=4,VLOOKUP($A80,'District Level ADM'!$A$5:$W$52,5,FALSE)="Prior Year"),AI80,IF(AND($A$2=4,VLOOKUP($A80,'District Level ADM'!$A$5:$W$52,5,FALSE)="3-Year Avg."),U80,IF($A$2=2,AI80,IF($A$2=3,U80,IF(($AG80&gt;$AU80),U80,AI80)))))</f>
        <v>0</v>
      </c>
      <c r="H80" s="317">
        <f>IF(AND($A$2=4,VLOOKUP($A80,'District Level ADM'!$A$5:$W$52,5,FALSE)="Prior Year"),AJ80,IF(AND($A$2=4,VLOOKUP($A80,'District Level ADM'!$A$5:$W$52,5,FALSE)="3-Year Avg."),V80,IF($A$2=2,AJ80,IF($A$2=3,V80,IF(($AG80&gt;$AU80),V80,AJ80)))))</f>
        <v>0</v>
      </c>
      <c r="I80" s="317">
        <f>IF(AND($A$2=4,VLOOKUP($A80,'District Level ADM'!$A$5:$W$52,5,FALSE)="Prior Year"),AK80,IF(AND($A$2=4,VLOOKUP($A80,'District Level ADM'!$A$5:$W$52,5,FALSE)="3-Year Avg."),W80,IF($A$2=2,AK80,IF($A$2=3,W80,IF(($AG80&gt;$AU80),W80,AK80)))))</f>
        <v>0</v>
      </c>
      <c r="J80" s="317">
        <f>IF(AND($A$2=4,VLOOKUP($A80,'District Level ADM'!$A$5:$W$52,5,FALSE)="Prior Year"),AL80,IF(AND($A$2=4,VLOOKUP($A80,'District Level ADM'!$A$5:$W$52,5,FALSE)="3-Year Avg."),X80,IF($A$2=2,AL80,IF($A$2=3,X80,IF(($AG80&gt;$AU80),X80,AL80)))))</f>
        <v>0</v>
      </c>
      <c r="K80" s="317">
        <f>IF(AND($A$2=4,VLOOKUP($A80,'District Level ADM'!$A$5:$W$52,5,FALSE)="Prior Year"),AM80,IF(AND($A$2=4,VLOOKUP($A80,'District Level ADM'!$A$5:$W$52,5,FALSE)="3-Year Avg."),Y80,IF($A$2=2,AM80,IF($A$2=3,Y80,IF(($AG80&gt;$AU80),Y80,AM80)))))</f>
        <v>0</v>
      </c>
      <c r="L80" s="317">
        <f>IF(AND($A$2=4,VLOOKUP($A80,'District Level ADM'!$A$5:$W$52,5,FALSE)="Prior Year"),AN80,IF(AND($A$2=4,VLOOKUP($A80,'District Level ADM'!$A$5:$W$52,5,FALSE)="3-Year Avg."),Z80,IF($A$2=2,AN80,IF($A$2=3,Z80,IF(($AG80&gt;$AU80),Z80,AN80)))))</f>
        <v>130.07466666666667</v>
      </c>
      <c r="M80" s="317">
        <f>IF(AND($A$2=4,VLOOKUP($A80,'District Level ADM'!$A$5:$W$52,5,FALSE)="Prior Year"),AO80,IF(AND($A$2=4,VLOOKUP($A80,'District Level ADM'!$A$5:$W$52,5,FALSE)="3-Year Avg."),AA80,IF($A$2=2,AO80,IF($A$2=3,AA80,IF(($AG80&gt;$AU80),AA80,AO80)))))</f>
        <v>124.28933333333335</v>
      </c>
      <c r="N80" s="317">
        <f>IF(AND($A$2=4,VLOOKUP($A80,'District Level ADM'!$A$5:$W$52,5,FALSE)="Prior Year"),AP80,IF(AND($A$2=4,VLOOKUP($A80,'District Level ADM'!$A$5:$W$52,5,FALSE)="3-Year Avg."),AB80,IF($A$2=2,AP80,IF($A$2=3,AB80,IF(($AG80&gt;$AU80),AB80,AP80)))))</f>
        <v>126.44033333333334</v>
      </c>
      <c r="O80" s="317">
        <f>IF(AND($A$2=4,VLOOKUP($A80,'District Level ADM'!$A$5:$W$52,5,FALSE)="Prior Year"),AQ80,IF(AND($A$2=4,VLOOKUP($A80,'District Level ADM'!$A$5:$W$52,5,FALSE)="3-Year Avg."),AC80,IF($A$2=2,AQ80,IF($A$2=3,AC80,IF(($AG80&gt;$AU80),AC80,AQ80)))))</f>
        <v>0</v>
      </c>
      <c r="P80" s="317">
        <f>IF(AND($A$2=4,VLOOKUP($A80,'District Level ADM'!$A$5:$W$52,5,FALSE)="Prior Year"),AR80,IF(AND($A$2=4,VLOOKUP($A80,'District Level ADM'!$A$5:$W$52,5,FALSE)="3-Year Avg."),AD80,IF($A$2=2,AR80,IF($A$2=3,AD80,IF(($AG80&gt;$AU80),AD80,AR80)))))</f>
        <v>0</v>
      </c>
      <c r="Q80" s="317">
        <f>IF(AND($A$2=4,VLOOKUP($A80,'District Level ADM'!$A$5:$W$52,5,FALSE)="Prior Year"),AS80,IF(AND($A$2=4,VLOOKUP($A80,'District Level ADM'!$A$5:$W$52,5,FALSE)="3-Year Avg."),AE80,IF($A$2=2,AS80,IF($A$2=3,AE80,IF(($AG80&gt;$AU80),AE80,AS80)))))</f>
        <v>0</v>
      </c>
      <c r="R80" s="317">
        <f>IF(AND($A$2=4,VLOOKUP($A80,'District Level ADM'!$A$5:$W$52,5,FALSE)="Prior Year"),AT80,IF(AND($A$2=4,VLOOKUP($A80,'District Level ADM'!$A$5:$W$52,5,FALSE)="3-Year Avg."),AF80,IF($A$2=2,AT80,IF($A$2=3,AF80,IF(($AG80&gt;$AU80),AF80,AT80)))))</f>
        <v>0</v>
      </c>
      <c r="S80" s="317">
        <f t="shared" si="13"/>
        <v>380.80433333333337</v>
      </c>
      <c r="T80" s="317">
        <f t="shared" si="8"/>
        <v>0</v>
      </c>
      <c r="U80" s="317">
        <f t="shared" si="8"/>
        <v>0</v>
      </c>
      <c r="V80" s="317">
        <f t="shared" si="8"/>
        <v>0</v>
      </c>
      <c r="W80" s="317">
        <f t="shared" ref="W80:AB122" si="19">AVERAGE(AK80,AY80,BM80)</f>
        <v>0</v>
      </c>
      <c r="X80" s="317">
        <f t="shared" si="19"/>
        <v>0</v>
      </c>
      <c r="Y80" s="317">
        <f t="shared" si="19"/>
        <v>0</v>
      </c>
      <c r="Z80" s="317">
        <f t="shared" si="19"/>
        <v>130.07466666666667</v>
      </c>
      <c r="AA80" s="317">
        <f t="shared" si="19"/>
        <v>124.28933333333335</v>
      </c>
      <c r="AB80" s="317">
        <f t="shared" si="19"/>
        <v>126.44033333333334</v>
      </c>
      <c r="AC80" s="317">
        <f t="shared" si="18"/>
        <v>0</v>
      </c>
      <c r="AD80" s="317">
        <f t="shared" si="18"/>
        <v>0</v>
      </c>
      <c r="AE80" s="317">
        <f t="shared" si="18"/>
        <v>0</v>
      </c>
      <c r="AF80" s="317">
        <f t="shared" si="18"/>
        <v>0</v>
      </c>
      <c r="AG80" s="317">
        <f t="shared" si="14"/>
        <v>380.80433333333337</v>
      </c>
      <c r="AH80" s="318">
        <v>0</v>
      </c>
      <c r="AI80" s="318">
        <v>0</v>
      </c>
      <c r="AJ80" s="318">
        <v>0</v>
      </c>
      <c r="AK80" s="318">
        <v>0</v>
      </c>
      <c r="AL80" s="318">
        <v>0</v>
      </c>
      <c r="AM80" s="318">
        <v>0</v>
      </c>
      <c r="AN80" s="318">
        <v>135.93</v>
      </c>
      <c r="AO80" s="318">
        <v>127.065</v>
      </c>
      <c r="AP80" s="318">
        <v>135.93</v>
      </c>
      <c r="AQ80" s="318">
        <v>0</v>
      </c>
      <c r="AR80" s="318">
        <v>0</v>
      </c>
      <c r="AS80" s="318">
        <v>0</v>
      </c>
      <c r="AT80" s="318">
        <v>0</v>
      </c>
      <c r="AU80" s="317">
        <f t="shared" si="15"/>
        <v>398.92500000000001</v>
      </c>
      <c r="AV80" s="319">
        <v>0</v>
      </c>
      <c r="AW80" s="319">
        <v>0</v>
      </c>
      <c r="AX80" s="319">
        <v>0</v>
      </c>
      <c r="AY80" s="319">
        <v>0</v>
      </c>
      <c r="AZ80" s="319">
        <v>0</v>
      </c>
      <c r="BA80" s="319">
        <v>0</v>
      </c>
      <c r="BB80" s="319">
        <v>125.96299999999999</v>
      </c>
      <c r="BC80" s="319">
        <v>129.054</v>
      </c>
      <c r="BD80" s="319">
        <v>107.64</v>
      </c>
      <c r="BE80" s="319">
        <v>0</v>
      </c>
      <c r="BF80" s="319">
        <v>0</v>
      </c>
      <c r="BG80" s="319">
        <v>0</v>
      </c>
      <c r="BH80" s="319">
        <v>0</v>
      </c>
      <c r="BI80" s="317">
        <f t="shared" si="16"/>
        <v>362.65699999999998</v>
      </c>
      <c r="BJ80" s="316">
        <v>0</v>
      </c>
      <c r="BK80" s="316">
        <v>0</v>
      </c>
      <c r="BL80" s="316">
        <v>0</v>
      </c>
      <c r="BM80" s="316">
        <v>0</v>
      </c>
      <c r="BN80" s="316">
        <v>0</v>
      </c>
      <c r="BO80" s="316">
        <v>0</v>
      </c>
      <c r="BP80" s="316">
        <v>128.33099999999999</v>
      </c>
      <c r="BQ80" s="316">
        <v>116.749</v>
      </c>
      <c r="BR80" s="316">
        <v>135.751</v>
      </c>
      <c r="BS80" s="316">
        <v>0</v>
      </c>
      <c r="BT80" s="316">
        <v>0</v>
      </c>
      <c r="BU80" s="316">
        <v>0</v>
      </c>
      <c r="BV80" s="316">
        <v>0</v>
      </c>
      <c r="BW80" s="317">
        <f t="shared" si="17"/>
        <v>380.83100000000002</v>
      </c>
    </row>
    <row r="81" spans="1:734" x14ac:dyDescent="0.2">
      <c r="A81" s="20" t="str">
        <f>'School Level Inst. Resources'!A81</f>
        <v>0501000</v>
      </c>
      <c r="B81" s="20" t="str">
        <f>'School Level Inst. Resources'!B81</f>
        <v>Converse #1</v>
      </c>
      <c r="C81" s="20" t="str">
        <f>'School Level Inst. Resources'!C81</f>
        <v>0501055</v>
      </c>
      <c r="D81" s="20" t="str">
        <f>'School Level Inst. Resources'!D81</f>
        <v>Douglas High School</v>
      </c>
      <c r="E81" s="138" t="str">
        <f>'School Level Inst. Resources'!E81</f>
        <v>9-12</v>
      </c>
      <c r="F81" s="317">
        <f>IF(AND($A$2=4,VLOOKUP($A81,'District Level ADM'!$A$5:$W$52,5,FALSE)="Prior Year"),AH81,IF(AND($A$2=4,VLOOKUP($A81,'District Level ADM'!$A$5:$W$52,5,FALSE)="3-Year Avg."),T81,IF($A$2=2,AH81,IF($A$2=3,T81,IF(($AG81&gt;$AU81),T81,AH81)))))</f>
        <v>0</v>
      </c>
      <c r="G81" s="317">
        <f>IF(AND($A$2=4,VLOOKUP($A81,'District Level ADM'!$A$5:$W$52,5,FALSE)="Prior Year"),AI81,IF(AND($A$2=4,VLOOKUP($A81,'District Level ADM'!$A$5:$W$52,5,FALSE)="3-Year Avg."),U81,IF($A$2=2,AI81,IF($A$2=3,U81,IF(($AG81&gt;$AU81),U81,AI81)))))</f>
        <v>0</v>
      </c>
      <c r="H81" s="317">
        <f>IF(AND($A$2=4,VLOOKUP($A81,'District Level ADM'!$A$5:$W$52,5,FALSE)="Prior Year"),AJ81,IF(AND($A$2=4,VLOOKUP($A81,'District Level ADM'!$A$5:$W$52,5,FALSE)="3-Year Avg."),V81,IF($A$2=2,AJ81,IF($A$2=3,V81,IF(($AG81&gt;$AU81),V81,AJ81)))))</f>
        <v>0</v>
      </c>
      <c r="I81" s="317">
        <f>IF(AND($A$2=4,VLOOKUP($A81,'District Level ADM'!$A$5:$W$52,5,FALSE)="Prior Year"),AK81,IF(AND($A$2=4,VLOOKUP($A81,'District Level ADM'!$A$5:$W$52,5,FALSE)="3-Year Avg."),W81,IF($A$2=2,AK81,IF($A$2=3,W81,IF(($AG81&gt;$AU81),W81,AK81)))))</f>
        <v>0</v>
      </c>
      <c r="J81" s="317">
        <f>IF(AND($A$2=4,VLOOKUP($A81,'District Level ADM'!$A$5:$W$52,5,FALSE)="Prior Year"),AL81,IF(AND($A$2=4,VLOOKUP($A81,'District Level ADM'!$A$5:$W$52,5,FALSE)="3-Year Avg."),X81,IF($A$2=2,AL81,IF($A$2=3,X81,IF(($AG81&gt;$AU81),X81,AL81)))))</f>
        <v>0</v>
      </c>
      <c r="K81" s="317">
        <f>IF(AND($A$2=4,VLOOKUP($A81,'District Level ADM'!$A$5:$W$52,5,FALSE)="Prior Year"),AM81,IF(AND($A$2=4,VLOOKUP($A81,'District Level ADM'!$A$5:$W$52,5,FALSE)="3-Year Avg."),Y81,IF($A$2=2,AM81,IF($A$2=3,Y81,IF(($AG81&gt;$AU81),Y81,AM81)))))</f>
        <v>0</v>
      </c>
      <c r="L81" s="317">
        <f>IF(AND($A$2=4,VLOOKUP($A81,'District Level ADM'!$A$5:$W$52,5,FALSE)="Prior Year"),AN81,IF(AND($A$2=4,VLOOKUP($A81,'District Level ADM'!$A$5:$W$52,5,FALSE)="3-Year Avg."),Z81,IF($A$2=2,AN81,IF($A$2=3,Z81,IF(($AG81&gt;$AU81),Z81,AN81)))))</f>
        <v>0</v>
      </c>
      <c r="M81" s="317">
        <f>IF(AND($A$2=4,VLOOKUP($A81,'District Level ADM'!$A$5:$W$52,5,FALSE)="Prior Year"),AO81,IF(AND($A$2=4,VLOOKUP($A81,'District Level ADM'!$A$5:$W$52,5,FALSE)="3-Year Avg."),AA81,IF($A$2=2,AO81,IF($A$2=3,AA81,IF(($AG81&gt;$AU81),AA81,AO81)))))</f>
        <v>0</v>
      </c>
      <c r="N81" s="317">
        <f>IF(AND($A$2=4,VLOOKUP($A81,'District Level ADM'!$A$5:$W$52,5,FALSE)="Prior Year"),AP81,IF(AND($A$2=4,VLOOKUP($A81,'District Level ADM'!$A$5:$W$52,5,FALSE)="3-Year Avg."),AB81,IF($A$2=2,AP81,IF($A$2=3,AB81,IF(($AG81&gt;$AU81),AB81,AP81)))))</f>
        <v>0</v>
      </c>
      <c r="O81" s="317">
        <f>IF(AND($A$2=4,VLOOKUP($A81,'District Level ADM'!$A$5:$W$52,5,FALSE)="Prior Year"),AQ81,IF(AND($A$2=4,VLOOKUP($A81,'District Level ADM'!$A$5:$W$52,5,FALSE)="3-Year Avg."),AC81,IF($A$2=2,AQ81,IF($A$2=3,AC81,IF(($AG81&gt;$AU81),AC81,AQ81)))))</f>
        <v>125.92</v>
      </c>
      <c r="P81" s="317">
        <f>IF(AND($A$2=4,VLOOKUP($A81,'District Level ADM'!$A$5:$W$52,5,FALSE)="Prior Year"),AR81,IF(AND($A$2=4,VLOOKUP($A81,'District Level ADM'!$A$5:$W$52,5,FALSE)="3-Year Avg."),AD81,IF($A$2=2,AR81,IF($A$2=3,AD81,IF(($AG81&gt;$AU81),AD81,AR81)))))</f>
        <v>130.71966666666665</v>
      </c>
      <c r="Q81" s="317">
        <f>IF(AND($A$2=4,VLOOKUP($A81,'District Level ADM'!$A$5:$W$52,5,FALSE)="Prior Year"),AS81,IF(AND($A$2=4,VLOOKUP($A81,'District Level ADM'!$A$5:$W$52,5,FALSE)="3-Year Avg."),AE81,IF($A$2=2,AS81,IF($A$2=3,AE81,IF(($AG81&gt;$AU81),AE81,AS81)))))</f>
        <v>129.346</v>
      </c>
      <c r="R81" s="317">
        <f>IF(AND($A$2=4,VLOOKUP($A81,'District Level ADM'!$A$5:$W$52,5,FALSE)="Prior Year"),AT81,IF(AND($A$2=4,VLOOKUP($A81,'District Level ADM'!$A$5:$W$52,5,FALSE)="3-Year Avg."),AF81,IF($A$2=2,AT81,IF($A$2=3,AF81,IF(($AG81&gt;$AU81),AF81,AT81)))))</f>
        <v>125.11300000000001</v>
      </c>
      <c r="S81" s="317">
        <f t="shared" si="13"/>
        <v>511.09866666666665</v>
      </c>
      <c r="T81" s="317">
        <f t="shared" ref="T81:Y143" si="20">AVERAGE(AH81,AV81,BJ81)</f>
        <v>0</v>
      </c>
      <c r="U81" s="317">
        <f t="shared" si="20"/>
        <v>0</v>
      </c>
      <c r="V81" s="317">
        <f t="shared" si="20"/>
        <v>0</v>
      </c>
      <c r="W81" s="317">
        <f t="shared" si="19"/>
        <v>0</v>
      </c>
      <c r="X81" s="317">
        <f t="shared" si="19"/>
        <v>0</v>
      </c>
      <c r="Y81" s="317">
        <f t="shared" si="19"/>
        <v>0</v>
      </c>
      <c r="Z81" s="317">
        <f t="shared" si="19"/>
        <v>0</v>
      </c>
      <c r="AA81" s="317">
        <f t="shared" si="19"/>
        <v>0</v>
      </c>
      <c r="AB81" s="317">
        <f t="shared" si="19"/>
        <v>0</v>
      </c>
      <c r="AC81" s="317">
        <f t="shared" si="18"/>
        <v>125.92</v>
      </c>
      <c r="AD81" s="317">
        <f t="shared" si="18"/>
        <v>130.71966666666665</v>
      </c>
      <c r="AE81" s="317">
        <f t="shared" si="18"/>
        <v>129.346</v>
      </c>
      <c r="AF81" s="317">
        <f t="shared" si="18"/>
        <v>125.11300000000001</v>
      </c>
      <c r="AG81" s="317">
        <f t="shared" si="14"/>
        <v>511.09866666666665</v>
      </c>
      <c r="AH81" s="318">
        <v>0</v>
      </c>
      <c r="AI81" s="318">
        <v>0</v>
      </c>
      <c r="AJ81" s="318">
        <v>0</v>
      </c>
      <c r="AK81" s="318">
        <v>0</v>
      </c>
      <c r="AL81" s="318">
        <v>0</v>
      </c>
      <c r="AM81" s="318">
        <v>0</v>
      </c>
      <c r="AN81" s="318">
        <v>0</v>
      </c>
      <c r="AO81" s="318">
        <v>0</v>
      </c>
      <c r="AP81" s="318">
        <v>0</v>
      </c>
      <c r="AQ81" s="318">
        <v>116.23</v>
      </c>
      <c r="AR81" s="318">
        <v>130.02000000000001</v>
      </c>
      <c r="AS81" s="318">
        <v>126.08</v>
      </c>
      <c r="AT81" s="318">
        <v>130.02000000000001</v>
      </c>
      <c r="AU81" s="317">
        <f t="shared" si="15"/>
        <v>502.35</v>
      </c>
      <c r="AV81" s="319">
        <v>0</v>
      </c>
      <c r="AW81" s="319">
        <v>0</v>
      </c>
      <c r="AX81" s="319">
        <v>0</v>
      </c>
      <c r="AY81" s="319">
        <v>0</v>
      </c>
      <c r="AZ81" s="319">
        <v>0</v>
      </c>
      <c r="BA81" s="319">
        <v>0</v>
      </c>
      <c r="BB81" s="319">
        <v>0</v>
      </c>
      <c r="BC81" s="319">
        <v>0</v>
      </c>
      <c r="BD81" s="319">
        <v>0</v>
      </c>
      <c r="BE81" s="319">
        <v>135.679</v>
      </c>
      <c r="BF81" s="319">
        <v>125.221</v>
      </c>
      <c r="BG81" s="319">
        <v>122.982</v>
      </c>
      <c r="BH81" s="319">
        <v>129.666</v>
      </c>
      <c r="BI81" s="317">
        <f t="shared" si="16"/>
        <v>513.548</v>
      </c>
      <c r="BJ81" s="316">
        <v>0</v>
      </c>
      <c r="BK81" s="316">
        <v>0</v>
      </c>
      <c r="BL81" s="316">
        <v>0</v>
      </c>
      <c r="BM81" s="316">
        <v>0</v>
      </c>
      <c r="BN81" s="316">
        <v>0</v>
      </c>
      <c r="BO81" s="316">
        <v>0</v>
      </c>
      <c r="BP81" s="316">
        <v>0</v>
      </c>
      <c r="BQ81" s="316">
        <v>0</v>
      </c>
      <c r="BR81" s="316">
        <v>0</v>
      </c>
      <c r="BS81" s="316">
        <v>125.851</v>
      </c>
      <c r="BT81" s="316">
        <v>136.91800000000001</v>
      </c>
      <c r="BU81" s="316">
        <v>138.976</v>
      </c>
      <c r="BV81" s="316">
        <v>115.65300000000001</v>
      </c>
      <c r="BW81" s="317">
        <f t="shared" si="17"/>
        <v>517.39800000000002</v>
      </c>
    </row>
    <row r="82" spans="1:734" x14ac:dyDescent="0.2">
      <c r="A82" s="20" t="str">
        <f>'School Level Inst. Resources'!A82</f>
        <v>0502000</v>
      </c>
      <c r="B82" s="20" t="str">
        <f>'School Level Inst. Resources'!B82</f>
        <v>Converse #2</v>
      </c>
      <c r="C82" s="20" t="str">
        <f>'School Level Inst. Resources'!C82</f>
        <v>0502001</v>
      </c>
      <c r="D82" s="20" t="str">
        <f>'School Level Inst. Resources'!D82</f>
        <v>Boxelder Elementary</v>
      </c>
      <c r="E82" s="138" t="str">
        <f>'School Level Inst. Resources'!E82</f>
        <v>K-6</v>
      </c>
      <c r="F82" s="317">
        <f>IF(AND($A$2=4,VLOOKUP($A82,'District Level ADM'!$A$5:$W$52,5,FALSE)="Prior Year"),AH82,IF(AND($A$2=4,VLOOKUP($A82,'District Level ADM'!$A$5:$W$52,5,FALSE)="3-Year Avg."),T82,IF($A$2=2,AH82,IF($A$2=3,T82,IF(($AG82&gt;$AU82),T82,AH82)))))</f>
        <v>1.6566666666666665</v>
      </c>
      <c r="G82" s="317">
        <f>IF(AND($A$2=4,VLOOKUP($A82,'District Level ADM'!$A$5:$W$52,5,FALSE)="Prior Year"),AI82,IF(AND($A$2=4,VLOOKUP($A82,'District Level ADM'!$A$5:$W$52,5,FALSE)="3-Year Avg."),U82,IF($A$2=2,AI82,IF($A$2=3,U82,IF(($AG82&gt;$AU82),U82,AI82)))))</f>
        <v>1.454</v>
      </c>
      <c r="H82" s="317">
        <f>IF(AND($A$2=4,VLOOKUP($A82,'District Level ADM'!$A$5:$W$52,5,FALSE)="Prior Year"),AJ82,IF(AND($A$2=4,VLOOKUP($A82,'District Level ADM'!$A$5:$W$52,5,FALSE)="3-Year Avg."),V82,IF($A$2=2,AJ82,IF($A$2=3,V82,IF(($AG82&gt;$AU82),V82,AJ82)))))</f>
        <v>1.3233333333333333</v>
      </c>
      <c r="I82" s="317">
        <f>IF(AND($A$2=4,VLOOKUP($A82,'District Level ADM'!$A$5:$W$52,5,FALSE)="Prior Year"),AK82,IF(AND($A$2=4,VLOOKUP($A82,'District Level ADM'!$A$5:$W$52,5,FALSE)="3-Year Avg."),W82,IF($A$2=2,AK82,IF($A$2=3,W82,IF(($AG82&gt;$AU82),W82,AK82)))))</f>
        <v>1.454</v>
      </c>
      <c r="J82" s="317">
        <f>IF(AND($A$2=4,VLOOKUP($A82,'District Level ADM'!$A$5:$W$52,5,FALSE)="Prior Year"),AL82,IF(AND($A$2=4,VLOOKUP($A82,'District Level ADM'!$A$5:$W$52,5,FALSE)="3-Year Avg."),X82,IF($A$2=2,AL82,IF($A$2=3,X82,IF(($AG82&gt;$AU82),X82,AL82)))))</f>
        <v>0.995</v>
      </c>
      <c r="K82" s="317">
        <f>IF(AND($A$2=4,VLOOKUP($A82,'District Level ADM'!$A$5:$W$52,5,FALSE)="Prior Year"),AM82,IF(AND($A$2=4,VLOOKUP($A82,'District Level ADM'!$A$5:$W$52,5,FALSE)="3-Year Avg."),Y82,IF($A$2=2,AM82,IF($A$2=3,Y82,IF(($AG82&gt;$AU82),Y82,AM82)))))</f>
        <v>0.98999999999999988</v>
      </c>
      <c r="L82" s="317">
        <f>IF(AND($A$2=4,VLOOKUP($A82,'District Level ADM'!$A$5:$W$52,5,FALSE)="Prior Year"),AN82,IF(AND($A$2=4,VLOOKUP($A82,'District Level ADM'!$A$5:$W$52,5,FALSE)="3-Year Avg."),Z82,IF($A$2=2,AN82,IF($A$2=3,Z82,IF(($AG82&gt;$AU82),Z82,AN82)))))</f>
        <v>0.33333333333333331</v>
      </c>
      <c r="M82" s="317">
        <f>IF(AND($A$2=4,VLOOKUP($A82,'District Level ADM'!$A$5:$W$52,5,FALSE)="Prior Year"),AO82,IF(AND($A$2=4,VLOOKUP($A82,'District Level ADM'!$A$5:$W$52,5,FALSE)="3-Year Avg."),AA82,IF($A$2=2,AO82,IF($A$2=3,AA82,IF(($AG82&gt;$AU82),AA82,AO82)))))</f>
        <v>0</v>
      </c>
      <c r="N82" s="317">
        <f>IF(AND($A$2=4,VLOOKUP($A82,'District Level ADM'!$A$5:$W$52,5,FALSE)="Prior Year"),AP82,IF(AND($A$2=4,VLOOKUP($A82,'District Level ADM'!$A$5:$W$52,5,FALSE)="3-Year Avg."),AB82,IF($A$2=2,AP82,IF($A$2=3,AB82,IF(($AG82&gt;$AU82),AB82,AP82)))))</f>
        <v>0</v>
      </c>
      <c r="O82" s="317">
        <f>IF(AND($A$2=4,VLOOKUP($A82,'District Level ADM'!$A$5:$W$52,5,FALSE)="Prior Year"),AQ82,IF(AND($A$2=4,VLOOKUP($A82,'District Level ADM'!$A$5:$W$52,5,FALSE)="3-Year Avg."),AC82,IF($A$2=2,AQ82,IF($A$2=3,AC82,IF(($AG82&gt;$AU82),AC82,AQ82)))))</f>
        <v>0</v>
      </c>
      <c r="P82" s="317">
        <f>IF(AND($A$2=4,VLOOKUP($A82,'District Level ADM'!$A$5:$W$52,5,FALSE)="Prior Year"),AR82,IF(AND($A$2=4,VLOOKUP($A82,'District Level ADM'!$A$5:$W$52,5,FALSE)="3-Year Avg."),AD82,IF($A$2=2,AR82,IF($A$2=3,AD82,IF(($AG82&gt;$AU82),AD82,AR82)))))</f>
        <v>0</v>
      </c>
      <c r="Q82" s="317">
        <f>IF(AND($A$2=4,VLOOKUP($A82,'District Level ADM'!$A$5:$W$52,5,FALSE)="Prior Year"),AS82,IF(AND($A$2=4,VLOOKUP($A82,'District Level ADM'!$A$5:$W$52,5,FALSE)="3-Year Avg."),AE82,IF($A$2=2,AS82,IF($A$2=3,AE82,IF(($AG82&gt;$AU82),AE82,AS82)))))</f>
        <v>0</v>
      </c>
      <c r="R82" s="317">
        <f>IF(AND($A$2=4,VLOOKUP($A82,'District Level ADM'!$A$5:$W$52,5,FALSE)="Prior Year"),AT82,IF(AND($A$2=4,VLOOKUP($A82,'District Level ADM'!$A$5:$W$52,5,FALSE)="3-Year Avg."),AF82,IF($A$2=2,AT82,IF($A$2=3,AF82,IF(($AG82&gt;$AU82),AF82,AT82)))))</f>
        <v>0</v>
      </c>
      <c r="S82" s="317">
        <f t="shared" si="13"/>
        <v>8.2063333333333333</v>
      </c>
      <c r="T82" s="317">
        <f t="shared" si="20"/>
        <v>1.6566666666666665</v>
      </c>
      <c r="U82" s="317">
        <f t="shared" si="20"/>
        <v>1.454</v>
      </c>
      <c r="V82" s="317">
        <f t="shared" si="20"/>
        <v>1.3233333333333333</v>
      </c>
      <c r="W82" s="317">
        <f t="shared" si="19"/>
        <v>1.454</v>
      </c>
      <c r="X82" s="317">
        <f t="shared" si="19"/>
        <v>0.995</v>
      </c>
      <c r="Y82" s="317">
        <f t="shared" si="19"/>
        <v>0.98999999999999988</v>
      </c>
      <c r="Z82" s="317">
        <f t="shared" si="19"/>
        <v>0.33333333333333331</v>
      </c>
      <c r="AA82" s="317">
        <f t="shared" si="19"/>
        <v>0</v>
      </c>
      <c r="AB82" s="317">
        <f t="shared" si="19"/>
        <v>0</v>
      </c>
      <c r="AC82" s="317">
        <f t="shared" si="18"/>
        <v>0</v>
      </c>
      <c r="AD82" s="317">
        <f t="shared" si="18"/>
        <v>0</v>
      </c>
      <c r="AE82" s="317">
        <f t="shared" si="18"/>
        <v>0</v>
      </c>
      <c r="AF82" s="317">
        <f t="shared" si="18"/>
        <v>0</v>
      </c>
      <c r="AG82" s="317">
        <f t="shared" si="14"/>
        <v>8.2063333333333333</v>
      </c>
      <c r="AH82" s="318">
        <v>1.97</v>
      </c>
      <c r="AI82" s="318">
        <v>0.98499999999999999</v>
      </c>
      <c r="AJ82" s="318">
        <v>1.97</v>
      </c>
      <c r="AK82" s="318">
        <v>0.98499999999999999</v>
      </c>
      <c r="AL82" s="318">
        <v>0.98499999999999999</v>
      </c>
      <c r="AM82" s="318">
        <v>1.97</v>
      </c>
      <c r="AN82" s="318">
        <v>0</v>
      </c>
      <c r="AO82" s="318">
        <v>0</v>
      </c>
      <c r="AP82" s="318">
        <v>0</v>
      </c>
      <c r="AQ82" s="318">
        <v>0</v>
      </c>
      <c r="AR82" s="318">
        <v>0</v>
      </c>
      <c r="AS82" s="318">
        <v>0</v>
      </c>
      <c r="AT82" s="318">
        <v>0</v>
      </c>
      <c r="AU82" s="317">
        <f t="shared" si="15"/>
        <v>8.8650000000000002</v>
      </c>
      <c r="AV82" s="319">
        <v>1</v>
      </c>
      <c r="AW82" s="319">
        <v>2</v>
      </c>
      <c r="AX82" s="319">
        <v>1</v>
      </c>
      <c r="AY82" s="319">
        <v>1</v>
      </c>
      <c r="AZ82" s="319">
        <v>2</v>
      </c>
      <c r="BA82" s="319">
        <v>0</v>
      </c>
      <c r="BB82" s="319">
        <v>1</v>
      </c>
      <c r="BC82" s="319">
        <v>0</v>
      </c>
      <c r="BD82" s="319">
        <v>0</v>
      </c>
      <c r="BE82" s="319">
        <v>0</v>
      </c>
      <c r="BF82" s="319">
        <v>0</v>
      </c>
      <c r="BG82" s="319">
        <v>0</v>
      </c>
      <c r="BH82" s="319">
        <v>0</v>
      </c>
      <c r="BI82" s="317">
        <f t="shared" si="16"/>
        <v>8</v>
      </c>
      <c r="BJ82" s="316">
        <v>2</v>
      </c>
      <c r="BK82" s="316">
        <v>1.377</v>
      </c>
      <c r="BL82" s="316">
        <v>1</v>
      </c>
      <c r="BM82" s="316">
        <v>2.3769999999999998</v>
      </c>
      <c r="BN82" s="316">
        <v>0</v>
      </c>
      <c r="BO82" s="316">
        <v>1</v>
      </c>
      <c r="BP82" s="316">
        <v>0</v>
      </c>
      <c r="BQ82" s="316">
        <v>0</v>
      </c>
      <c r="BR82" s="316">
        <v>0</v>
      </c>
      <c r="BS82" s="316">
        <v>0</v>
      </c>
      <c r="BT82" s="316">
        <v>0</v>
      </c>
      <c r="BU82" s="316">
        <v>0</v>
      </c>
      <c r="BV82" s="316">
        <v>0</v>
      </c>
      <c r="BW82" s="317">
        <f t="shared" si="17"/>
        <v>7.7539999999999996</v>
      </c>
    </row>
    <row r="83" spans="1:734" x14ac:dyDescent="0.2">
      <c r="A83" s="20" t="str">
        <f>'School Level Inst. Resources'!A83</f>
        <v>0502000</v>
      </c>
      <c r="B83" s="20" t="str">
        <f>'School Level Inst. Resources'!B83</f>
        <v>Converse #2</v>
      </c>
      <c r="C83" s="20" t="str">
        <f>'School Level Inst. Resources'!C83</f>
        <v>0502004</v>
      </c>
      <c r="D83" s="20" t="str">
        <f>'School Level Inst. Resources'!D83</f>
        <v>Grant Elementary</v>
      </c>
      <c r="E83" s="138" t="str">
        <f>'School Level Inst. Resources'!E83</f>
        <v>K-4</v>
      </c>
      <c r="F83" s="317">
        <f>IF(AND($A$2=4,VLOOKUP($A83,'District Level ADM'!$A$5:$W$52,5,FALSE)="Prior Year"),AH83,IF(AND($A$2=4,VLOOKUP($A83,'District Level ADM'!$A$5:$W$52,5,FALSE)="3-Year Avg."),T83,IF($A$2=2,AH83,IF($A$2=3,T83,IF(($AG83&gt;$AU83),T83,AH83)))))</f>
        <v>43.373666666666658</v>
      </c>
      <c r="G83" s="317">
        <f>IF(AND($A$2=4,VLOOKUP($A83,'District Level ADM'!$A$5:$W$52,5,FALSE)="Prior Year"),AI83,IF(AND($A$2=4,VLOOKUP($A83,'District Level ADM'!$A$5:$W$52,5,FALSE)="3-Year Avg."),U83,IF($A$2=2,AI83,IF($A$2=3,U83,IF(($AG83&gt;$AU83),U83,AI83)))))</f>
        <v>45.830000000000005</v>
      </c>
      <c r="H83" s="317">
        <f>IF(AND($A$2=4,VLOOKUP($A83,'District Level ADM'!$A$5:$W$52,5,FALSE)="Prior Year"),AJ83,IF(AND($A$2=4,VLOOKUP($A83,'District Level ADM'!$A$5:$W$52,5,FALSE)="3-Year Avg."),V83,IF($A$2=2,AJ83,IF($A$2=3,V83,IF(($AG83&gt;$AU83),V83,AJ83)))))</f>
        <v>48.283666666666669</v>
      </c>
      <c r="I83" s="317">
        <f>IF(AND($A$2=4,VLOOKUP($A83,'District Level ADM'!$A$5:$W$52,5,FALSE)="Prior Year"),AK83,IF(AND($A$2=4,VLOOKUP($A83,'District Level ADM'!$A$5:$W$52,5,FALSE)="3-Year Avg."),W83,IF($A$2=2,AK83,IF($A$2=3,W83,IF(($AG83&gt;$AU83),W83,AK83)))))</f>
        <v>53.090666666666664</v>
      </c>
      <c r="J83" s="317">
        <f>IF(AND($A$2=4,VLOOKUP($A83,'District Level ADM'!$A$5:$W$52,5,FALSE)="Prior Year"),AL83,IF(AND($A$2=4,VLOOKUP($A83,'District Level ADM'!$A$5:$W$52,5,FALSE)="3-Year Avg."),X83,IF($A$2=2,AL83,IF($A$2=3,X83,IF(($AG83&gt;$AU83),X83,AL83)))))</f>
        <v>49.227666666666664</v>
      </c>
      <c r="K83" s="317">
        <f>IF(AND($A$2=4,VLOOKUP($A83,'District Level ADM'!$A$5:$W$52,5,FALSE)="Prior Year"),AM83,IF(AND($A$2=4,VLOOKUP($A83,'District Level ADM'!$A$5:$W$52,5,FALSE)="3-Year Avg."),Y83,IF($A$2=2,AM83,IF($A$2=3,Y83,IF(($AG83&gt;$AU83),Y83,AM83)))))</f>
        <v>0</v>
      </c>
      <c r="L83" s="317">
        <f>IF(AND($A$2=4,VLOOKUP($A83,'District Level ADM'!$A$5:$W$52,5,FALSE)="Prior Year"),AN83,IF(AND($A$2=4,VLOOKUP($A83,'District Level ADM'!$A$5:$W$52,5,FALSE)="3-Year Avg."),Z83,IF($A$2=2,AN83,IF($A$2=3,Z83,IF(($AG83&gt;$AU83),Z83,AN83)))))</f>
        <v>0</v>
      </c>
      <c r="M83" s="317">
        <f>IF(AND($A$2=4,VLOOKUP($A83,'District Level ADM'!$A$5:$W$52,5,FALSE)="Prior Year"),AO83,IF(AND($A$2=4,VLOOKUP($A83,'District Level ADM'!$A$5:$W$52,5,FALSE)="3-Year Avg."),AA83,IF($A$2=2,AO83,IF($A$2=3,AA83,IF(($AG83&gt;$AU83),AA83,AO83)))))</f>
        <v>0</v>
      </c>
      <c r="N83" s="317">
        <f>IF(AND($A$2=4,VLOOKUP($A83,'District Level ADM'!$A$5:$W$52,5,FALSE)="Prior Year"),AP83,IF(AND($A$2=4,VLOOKUP($A83,'District Level ADM'!$A$5:$W$52,5,FALSE)="3-Year Avg."),AB83,IF($A$2=2,AP83,IF($A$2=3,AB83,IF(($AG83&gt;$AU83),AB83,AP83)))))</f>
        <v>0</v>
      </c>
      <c r="O83" s="317">
        <f>IF(AND($A$2=4,VLOOKUP($A83,'District Level ADM'!$A$5:$W$52,5,FALSE)="Prior Year"),AQ83,IF(AND($A$2=4,VLOOKUP($A83,'District Level ADM'!$A$5:$W$52,5,FALSE)="3-Year Avg."),AC83,IF($A$2=2,AQ83,IF($A$2=3,AC83,IF(($AG83&gt;$AU83),AC83,AQ83)))))</f>
        <v>0</v>
      </c>
      <c r="P83" s="317">
        <f>IF(AND($A$2=4,VLOOKUP($A83,'District Level ADM'!$A$5:$W$52,5,FALSE)="Prior Year"),AR83,IF(AND($A$2=4,VLOOKUP($A83,'District Level ADM'!$A$5:$W$52,5,FALSE)="3-Year Avg."),AD83,IF($A$2=2,AR83,IF($A$2=3,AD83,IF(($AG83&gt;$AU83),AD83,AR83)))))</f>
        <v>0</v>
      </c>
      <c r="Q83" s="317">
        <f>IF(AND($A$2=4,VLOOKUP($A83,'District Level ADM'!$A$5:$W$52,5,FALSE)="Prior Year"),AS83,IF(AND($A$2=4,VLOOKUP($A83,'District Level ADM'!$A$5:$W$52,5,FALSE)="3-Year Avg."),AE83,IF($A$2=2,AS83,IF($A$2=3,AE83,IF(($AG83&gt;$AU83),AE83,AS83)))))</f>
        <v>0</v>
      </c>
      <c r="R83" s="317">
        <f>IF(AND($A$2=4,VLOOKUP($A83,'District Level ADM'!$A$5:$W$52,5,FALSE)="Prior Year"),AT83,IF(AND($A$2=4,VLOOKUP($A83,'District Level ADM'!$A$5:$W$52,5,FALSE)="3-Year Avg."),AF83,IF($A$2=2,AT83,IF($A$2=3,AF83,IF(($AG83&gt;$AU83),AF83,AT83)))))</f>
        <v>0</v>
      </c>
      <c r="S83" s="317">
        <f t="shared" si="13"/>
        <v>239.80566666666667</v>
      </c>
      <c r="T83" s="317">
        <f t="shared" si="20"/>
        <v>43.373666666666658</v>
      </c>
      <c r="U83" s="317">
        <f t="shared" si="20"/>
        <v>45.830000000000005</v>
      </c>
      <c r="V83" s="317">
        <f t="shared" si="20"/>
        <v>48.283666666666669</v>
      </c>
      <c r="W83" s="317">
        <f t="shared" si="19"/>
        <v>53.090666666666664</v>
      </c>
      <c r="X83" s="317">
        <f t="shared" si="19"/>
        <v>49.227666666666664</v>
      </c>
      <c r="Y83" s="317">
        <f t="shared" si="19"/>
        <v>0</v>
      </c>
      <c r="Z83" s="317">
        <f t="shared" si="19"/>
        <v>0</v>
      </c>
      <c r="AA83" s="317">
        <f t="shared" si="19"/>
        <v>0</v>
      </c>
      <c r="AB83" s="317">
        <f t="shared" si="19"/>
        <v>0</v>
      </c>
      <c r="AC83" s="317">
        <f t="shared" si="18"/>
        <v>0</v>
      </c>
      <c r="AD83" s="317">
        <f t="shared" si="18"/>
        <v>0</v>
      </c>
      <c r="AE83" s="317">
        <f t="shared" si="18"/>
        <v>0</v>
      </c>
      <c r="AF83" s="317">
        <f t="shared" si="18"/>
        <v>0</v>
      </c>
      <c r="AG83" s="317">
        <f t="shared" si="14"/>
        <v>239.80566666666667</v>
      </c>
      <c r="AH83" s="318">
        <v>44.325000000000003</v>
      </c>
      <c r="AI83" s="318">
        <v>41.37</v>
      </c>
      <c r="AJ83" s="318">
        <v>32.505000000000003</v>
      </c>
      <c r="AK83" s="318">
        <v>49.25</v>
      </c>
      <c r="AL83" s="318">
        <v>44.325000000000003</v>
      </c>
      <c r="AM83" s="318">
        <v>0</v>
      </c>
      <c r="AN83" s="318">
        <v>0</v>
      </c>
      <c r="AO83" s="318">
        <v>0</v>
      </c>
      <c r="AP83" s="318">
        <v>0</v>
      </c>
      <c r="AQ83" s="318">
        <v>0</v>
      </c>
      <c r="AR83" s="318">
        <v>0</v>
      </c>
      <c r="AS83" s="318">
        <v>0</v>
      </c>
      <c r="AT83" s="318">
        <v>0</v>
      </c>
      <c r="AU83" s="317">
        <f t="shared" si="15"/>
        <v>211.77499999999998</v>
      </c>
      <c r="AV83" s="319">
        <v>47.716000000000001</v>
      </c>
      <c r="AW83" s="319">
        <v>32.79</v>
      </c>
      <c r="AX83" s="319">
        <v>55.176000000000002</v>
      </c>
      <c r="AY83" s="319">
        <v>51.369</v>
      </c>
      <c r="AZ83" s="319">
        <v>49.426000000000002</v>
      </c>
      <c r="BA83" s="319">
        <v>0</v>
      </c>
      <c r="BB83" s="319">
        <v>0</v>
      </c>
      <c r="BC83" s="319">
        <v>0</v>
      </c>
      <c r="BD83" s="319">
        <v>0</v>
      </c>
      <c r="BE83" s="319">
        <v>0</v>
      </c>
      <c r="BF83" s="319">
        <v>0</v>
      </c>
      <c r="BG83" s="319">
        <v>0</v>
      </c>
      <c r="BH83" s="319">
        <v>0</v>
      </c>
      <c r="BI83" s="317">
        <f t="shared" si="16"/>
        <v>236.47700000000003</v>
      </c>
      <c r="BJ83" s="316">
        <v>38.08</v>
      </c>
      <c r="BK83" s="316">
        <v>63.33</v>
      </c>
      <c r="BL83" s="316">
        <v>57.17</v>
      </c>
      <c r="BM83" s="316">
        <v>58.652999999999999</v>
      </c>
      <c r="BN83" s="316">
        <v>53.932000000000002</v>
      </c>
      <c r="BO83" s="316">
        <v>0</v>
      </c>
      <c r="BP83" s="316">
        <v>0</v>
      </c>
      <c r="BQ83" s="316">
        <v>0</v>
      </c>
      <c r="BR83" s="316">
        <v>0</v>
      </c>
      <c r="BS83" s="316">
        <v>0</v>
      </c>
      <c r="BT83" s="316">
        <v>0</v>
      </c>
      <c r="BU83" s="316">
        <v>0</v>
      </c>
      <c r="BV83" s="316">
        <v>0</v>
      </c>
      <c r="BW83" s="317">
        <f t="shared" si="17"/>
        <v>271.16499999999996</v>
      </c>
    </row>
    <row r="84" spans="1:734" x14ac:dyDescent="0.2">
      <c r="A84" s="20" t="str">
        <f>'School Level Inst. Resources'!A84</f>
        <v>0502000</v>
      </c>
      <c r="B84" s="20" t="str">
        <f>'School Level Inst. Resources'!B84</f>
        <v>Converse #2</v>
      </c>
      <c r="C84" s="20" t="str">
        <f>'School Level Inst. Resources'!C84</f>
        <v>0502007</v>
      </c>
      <c r="D84" s="20" t="str">
        <f>'School Level Inst. Resources'!D84</f>
        <v>Glenrock Intermediate School</v>
      </c>
      <c r="E84" s="138" t="str">
        <f>'School Level Inst. Resources'!E84</f>
        <v>5-6</v>
      </c>
      <c r="F84" s="317">
        <f>IF(AND($A$2=4,VLOOKUP($A84,'District Level ADM'!$A$5:$W$52,5,FALSE)="Prior Year"),AH84,IF(AND($A$2=4,VLOOKUP($A84,'District Level ADM'!$A$5:$W$52,5,FALSE)="3-Year Avg."),T84,IF($A$2=2,AH84,IF($A$2=3,T84,IF(($AG84&gt;$AU84),T84,AH84)))))</f>
        <v>0</v>
      </c>
      <c r="G84" s="317">
        <f>IF(AND($A$2=4,VLOOKUP($A84,'District Level ADM'!$A$5:$W$52,5,FALSE)="Prior Year"),AI84,IF(AND($A$2=4,VLOOKUP($A84,'District Level ADM'!$A$5:$W$52,5,FALSE)="3-Year Avg."),U84,IF($A$2=2,AI84,IF($A$2=3,U84,IF(($AG84&gt;$AU84),U84,AI84)))))</f>
        <v>0</v>
      </c>
      <c r="H84" s="317">
        <f>IF(AND($A$2=4,VLOOKUP($A84,'District Level ADM'!$A$5:$W$52,5,FALSE)="Prior Year"),AJ84,IF(AND($A$2=4,VLOOKUP($A84,'District Level ADM'!$A$5:$W$52,5,FALSE)="3-Year Avg."),V84,IF($A$2=2,AJ84,IF($A$2=3,V84,IF(($AG84&gt;$AU84),V84,AJ84)))))</f>
        <v>0</v>
      </c>
      <c r="I84" s="317">
        <f>IF(AND($A$2=4,VLOOKUP($A84,'District Level ADM'!$A$5:$W$52,5,FALSE)="Prior Year"),AK84,IF(AND($A$2=4,VLOOKUP($A84,'District Level ADM'!$A$5:$W$52,5,FALSE)="3-Year Avg."),W84,IF($A$2=2,AK84,IF($A$2=3,W84,IF(($AG84&gt;$AU84),W84,AK84)))))</f>
        <v>0</v>
      </c>
      <c r="J84" s="317">
        <f>IF(AND($A$2=4,VLOOKUP($A84,'District Level ADM'!$A$5:$W$52,5,FALSE)="Prior Year"),AL84,IF(AND($A$2=4,VLOOKUP($A84,'District Level ADM'!$A$5:$W$52,5,FALSE)="3-Year Avg."),X84,IF($A$2=2,AL84,IF($A$2=3,X84,IF(($AG84&gt;$AU84),X84,AL84)))))</f>
        <v>0</v>
      </c>
      <c r="K84" s="317">
        <f>IF(AND($A$2=4,VLOOKUP($A84,'District Level ADM'!$A$5:$W$52,5,FALSE)="Prior Year"),AM84,IF(AND($A$2=4,VLOOKUP($A84,'District Level ADM'!$A$5:$W$52,5,FALSE)="3-Year Avg."),Y84,IF($A$2=2,AM84,IF($A$2=3,Y84,IF(($AG84&gt;$AU84),Y84,AM84)))))</f>
        <v>45.418000000000006</v>
      </c>
      <c r="L84" s="317">
        <f>IF(AND($A$2=4,VLOOKUP($A84,'District Level ADM'!$A$5:$W$52,5,FALSE)="Prior Year"),AN84,IF(AND($A$2=4,VLOOKUP($A84,'District Level ADM'!$A$5:$W$52,5,FALSE)="3-Year Avg."),Z84,IF($A$2=2,AN84,IF($A$2=3,Z84,IF(($AG84&gt;$AU84),Z84,AN84)))))</f>
        <v>43.878666666666668</v>
      </c>
      <c r="M84" s="317">
        <f>IF(AND($A$2=4,VLOOKUP($A84,'District Level ADM'!$A$5:$W$52,5,FALSE)="Prior Year"),AO84,IF(AND($A$2=4,VLOOKUP($A84,'District Level ADM'!$A$5:$W$52,5,FALSE)="3-Year Avg."),AA84,IF($A$2=2,AO84,IF($A$2=3,AA84,IF(($AG84&gt;$AU84),AA84,AO84)))))</f>
        <v>0</v>
      </c>
      <c r="N84" s="317">
        <f>IF(AND($A$2=4,VLOOKUP($A84,'District Level ADM'!$A$5:$W$52,5,FALSE)="Prior Year"),AP84,IF(AND($A$2=4,VLOOKUP($A84,'District Level ADM'!$A$5:$W$52,5,FALSE)="3-Year Avg."),AB84,IF($A$2=2,AP84,IF($A$2=3,AB84,IF(($AG84&gt;$AU84),AB84,AP84)))))</f>
        <v>0</v>
      </c>
      <c r="O84" s="317">
        <f>IF(AND($A$2=4,VLOOKUP($A84,'District Level ADM'!$A$5:$W$52,5,FALSE)="Prior Year"),AQ84,IF(AND($A$2=4,VLOOKUP($A84,'District Level ADM'!$A$5:$W$52,5,FALSE)="3-Year Avg."),AC84,IF($A$2=2,AQ84,IF($A$2=3,AC84,IF(($AG84&gt;$AU84),AC84,AQ84)))))</f>
        <v>0</v>
      </c>
      <c r="P84" s="317">
        <f>IF(AND($A$2=4,VLOOKUP($A84,'District Level ADM'!$A$5:$W$52,5,FALSE)="Prior Year"),AR84,IF(AND($A$2=4,VLOOKUP($A84,'District Level ADM'!$A$5:$W$52,5,FALSE)="3-Year Avg."),AD84,IF($A$2=2,AR84,IF($A$2=3,AD84,IF(($AG84&gt;$AU84),AD84,AR84)))))</f>
        <v>0</v>
      </c>
      <c r="Q84" s="317">
        <f>IF(AND($A$2=4,VLOOKUP($A84,'District Level ADM'!$A$5:$W$52,5,FALSE)="Prior Year"),AS84,IF(AND($A$2=4,VLOOKUP($A84,'District Level ADM'!$A$5:$W$52,5,FALSE)="3-Year Avg."),AE84,IF($A$2=2,AS84,IF($A$2=3,AE84,IF(($AG84&gt;$AU84),AE84,AS84)))))</f>
        <v>0</v>
      </c>
      <c r="R84" s="317">
        <f>IF(AND($A$2=4,VLOOKUP($A84,'District Level ADM'!$A$5:$W$52,5,FALSE)="Prior Year"),AT84,IF(AND($A$2=4,VLOOKUP($A84,'District Level ADM'!$A$5:$W$52,5,FALSE)="3-Year Avg."),AF84,IF($A$2=2,AT84,IF($A$2=3,AF84,IF(($AG84&gt;$AU84),AF84,AT84)))))</f>
        <v>0</v>
      </c>
      <c r="S84" s="317">
        <f t="shared" si="13"/>
        <v>89.296666666666681</v>
      </c>
      <c r="T84" s="317">
        <f t="shared" si="20"/>
        <v>0</v>
      </c>
      <c r="U84" s="317">
        <f t="shared" si="20"/>
        <v>0</v>
      </c>
      <c r="V84" s="317">
        <f t="shared" si="20"/>
        <v>0</v>
      </c>
      <c r="W84" s="317">
        <f t="shared" si="19"/>
        <v>0</v>
      </c>
      <c r="X84" s="317">
        <f t="shared" si="19"/>
        <v>0</v>
      </c>
      <c r="Y84" s="317">
        <f t="shared" si="19"/>
        <v>45.418000000000006</v>
      </c>
      <c r="Z84" s="317">
        <f t="shared" si="19"/>
        <v>43.878666666666668</v>
      </c>
      <c r="AA84" s="317">
        <f t="shared" si="19"/>
        <v>0</v>
      </c>
      <c r="AB84" s="317">
        <f t="shared" si="19"/>
        <v>0</v>
      </c>
      <c r="AC84" s="317">
        <f t="shared" si="18"/>
        <v>0</v>
      </c>
      <c r="AD84" s="317">
        <f t="shared" si="18"/>
        <v>0</v>
      </c>
      <c r="AE84" s="317">
        <f t="shared" si="18"/>
        <v>0</v>
      </c>
      <c r="AF84" s="317">
        <f t="shared" si="18"/>
        <v>0</v>
      </c>
      <c r="AG84" s="317">
        <f t="shared" si="14"/>
        <v>89.296666666666681</v>
      </c>
      <c r="AH84" s="318">
        <v>0</v>
      </c>
      <c r="AI84" s="318">
        <v>0</v>
      </c>
      <c r="AJ84" s="318">
        <v>0</v>
      </c>
      <c r="AK84" s="318">
        <v>0</v>
      </c>
      <c r="AL84" s="318">
        <v>0</v>
      </c>
      <c r="AM84" s="318">
        <v>45.31</v>
      </c>
      <c r="AN84" s="318">
        <v>46.295000000000002</v>
      </c>
      <c r="AO84" s="318">
        <v>0</v>
      </c>
      <c r="AP84" s="318">
        <v>0</v>
      </c>
      <c r="AQ84" s="318">
        <v>0</v>
      </c>
      <c r="AR84" s="318">
        <v>0</v>
      </c>
      <c r="AS84" s="318">
        <v>0</v>
      </c>
      <c r="AT84" s="318">
        <v>0</v>
      </c>
      <c r="AU84" s="317">
        <f t="shared" si="15"/>
        <v>91.605000000000004</v>
      </c>
      <c r="AV84" s="319">
        <v>0</v>
      </c>
      <c r="AW84" s="319">
        <v>0</v>
      </c>
      <c r="AX84" s="319">
        <v>0</v>
      </c>
      <c r="AY84" s="319">
        <v>0</v>
      </c>
      <c r="AZ84" s="319">
        <v>0</v>
      </c>
      <c r="BA84" s="319">
        <v>51.006</v>
      </c>
      <c r="BB84" s="319">
        <v>42.067999999999998</v>
      </c>
      <c r="BC84" s="319">
        <v>0</v>
      </c>
      <c r="BD84" s="319">
        <v>0</v>
      </c>
      <c r="BE84" s="319">
        <v>0</v>
      </c>
      <c r="BF84" s="319">
        <v>0</v>
      </c>
      <c r="BG84" s="319">
        <v>0</v>
      </c>
      <c r="BH84" s="319">
        <v>0</v>
      </c>
      <c r="BI84" s="317">
        <f t="shared" si="16"/>
        <v>93.073999999999998</v>
      </c>
      <c r="BJ84" s="316">
        <v>0</v>
      </c>
      <c r="BK84" s="316">
        <v>0</v>
      </c>
      <c r="BL84" s="316">
        <v>0</v>
      </c>
      <c r="BM84" s="316">
        <v>0</v>
      </c>
      <c r="BN84" s="316">
        <v>0</v>
      </c>
      <c r="BO84" s="316">
        <v>39.938000000000002</v>
      </c>
      <c r="BP84" s="316">
        <v>43.273000000000003</v>
      </c>
      <c r="BQ84" s="316">
        <v>0</v>
      </c>
      <c r="BR84" s="316">
        <v>0</v>
      </c>
      <c r="BS84" s="316">
        <v>0</v>
      </c>
      <c r="BT84" s="316">
        <v>0</v>
      </c>
      <c r="BU84" s="316">
        <v>0</v>
      </c>
      <c r="BV84" s="316">
        <v>0</v>
      </c>
      <c r="BW84" s="317">
        <f t="shared" si="17"/>
        <v>83.211000000000013</v>
      </c>
    </row>
    <row r="85" spans="1:734" x14ac:dyDescent="0.2">
      <c r="A85" s="20" t="str">
        <f>'School Level Inst. Resources'!A85</f>
        <v>0502000</v>
      </c>
      <c r="B85" s="20" t="str">
        <f>'School Level Inst. Resources'!B85</f>
        <v>Converse #2</v>
      </c>
      <c r="C85" s="20" t="str">
        <f>'School Level Inst. Resources'!C85</f>
        <v>0502050</v>
      </c>
      <c r="D85" s="20" t="str">
        <f>'School Level Inst. Resources'!D85</f>
        <v>Glenrock Middle School</v>
      </c>
      <c r="E85" s="138" t="str">
        <f>'School Level Inst. Resources'!E85</f>
        <v>7-8</v>
      </c>
      <c r="F85" s="317">
        <f>IF(AND($A$2=4,VLOOKUP($A85,'District Level ADM'!$A$5:$W$52,5,FALSE)="Prior Year"),AH85,IF(AND($A$2=4,VLOOKUP($A85,'District Level ADM'!$A$5:$W$52,5,FALSE)="3-Year Avg."),T85,IF($A$2=2,AH85,IF($A$2=3,T85,IF(($AG85&gt;$AU85),T85,AH85)))))</f>
        <v>0</v>
      </c>
      <c r="G85" s="317">
        <f>IF(AND($A$2=4,VLOOKUP($A85,'District Level ADM'!$A$5:$W$52,5,FALSE)="Prior Year"),AI85,IF(AND($A$2=4,VLOOKUP($A85,'District Level ADM'!$A$5:$W$52,5,FALSE)="3-Year Avg."),U85,IF($A$2=2,AI85,IF($A$2=3,U85,IF(($AG85&gt;$AU85),U85,AI85)))))</f>
        <v>0</v>
      </c>
      <c r="H85" s="317">
        <f>IF(AND($A$2=4,VLOOKUP($A85,'District Level ADM'!$A$5:$W$52,5,FALSE)="Prior Year"),AJ85,IF(AND($A$2=4,VLOOKUP($A85,'District Level ADM'!$A$5:$W$52,5,FALSE)="3-Year Avg."),V85,IF($A$2=2,AJ85,IF($A$2=3,V85,IF(($AG85&gt;$AU85),V85,AJ85)))))</f>
        <v>0</v>
      </c>
      <c r="I85" s="317">
        <f>IF(AND($A$2=4,VLOOKUP($A85,'District Level ADM'!$A$5:$W$52,5,FALSE)="Prior Year"),AK85,IF(AND($A$2=4,VLOOKUP($A85,'District Level ADM'!$A$5:$W$52,5,FALSE)="3-Year Avg."),W85,IF($A$2=2,AK85,IF($A$2=3,W85,IF(($AG85&gt;$AU85),W85,AK85)))))</f>
        <v>0</v>
      </c>
      <c r="J85" s="317">
        <f>IF(AND($A$2=4,VLOOKUP($A85,'District Level ADM'!$A$5:$W$52,5,FALSE)="Prior Year"),AL85,IF(AND($A$2=4,VLOOKUP($A85,'District Level ADM'!$A$5:$W$52,5,FALSE)="3-Year Avg."),X85,IF($A$2=2,AL85,IF($A$2=3,X85,IF(($AG85&gt;$AU85),X85,AL85)))))</f>
        <v>0</v>
      </c>
      <c r="K85" s="317">
        <f>IF(AND($A$2=4,VLOOKUP($A85,'District Level ADM'!$A$5:$W$52,5,FALSE)="Prior Year"),AM85,IF(AND($A$2=4,VLOOKUP($A85,'District Level ADM'!$A$5:$W$52,5,FALSE)="3-Year Avg."),Y85,IF($A$2=2,AM85,IF($A$2=3,Y85,IF(($AG85&gt;$AU85),Y85,AM85)))))</f>
        <v>0</v>
      </c>
      <c r="L85" s="317">
        <f>IF(AND($A$2=4,VLOOKUP($A85,'District Level ADM'!$A$5:$W$52,5,FALSE)="Prior Year"),AN85,IF(AND($A$2=4,VLOOKUP($A85,'District Level ADM'!$A$5:$W$52,5,FALSE)="3-Year Avg."),Z85,IF($A$2=2,AN85,IF($A$2=3,Z85,IF(($AG85&gt;$AU85),Z85,AN85)))))</f>
        <v>0</v>
      </c>
      <c r="M85" s="317">
        <f>IF(AND($A$2=4,VLOOKUP($A85,'District Level ADM'!$A$5:$W$52,5,FALSE)="Prior Year"),AO85,IF(AND($A$2=4,VLOOKUP($A85,'District Level ADM'!$A$5:$W$52,5,FALSE)="3-Year Avg."),AA85,IF($A$2=2,AO85,IF($A$2=3,AA85,IF(($AG85&gt;$AU85),AA85,AO85)))))</f>
        <v>43.192666666666668</v>
      </c>
      <c r="N85" s="317">
        <f>IF(AND($A$2=4,VLOOKUP($A85,'District Level ADM'!$A$5:$W$52,5,FALSE)="Prior Year"),AP85,IF(AND($A$2=4,VLOOKUP($A85,'District Level ADM'!$A$5:$W$52,5,FALSE)="3-Year Avg."),AB85,IF($A$2=2,AP85,IF($A$2=3,AB85,IF(($AG85&gt;$AU85),AB85,AP85)))))</f>
        <v>45.435666666666663</v>
      </c>
      <c r="O85" s="317">
        <f>IF(AND($A$2=4,VLOOKUP($A85,'District Level ADM'!$A$5:$W$52,5,FALSE)="Prior Year"),AQ85,IF(AND($A$2=4,VLOOKUP($A85,'District Level ADM'!$A$5:$W$52,5,FALSE)="3-Year Avg."),AC85,IF($A$2=2,AQ85,IF($A$2=3,AC85,IF(($AG85&gt;$AU85),AC85,AQ85)))))</f>
        <v>0</v>
      </c>
      <c r="P85" s="317">
        <f>IF(AND($A$2=4,VLOOKUP($A85,'District Level ADM'!$A$5:$W$52,5,FALSE)="Prior Year"),AR85,IF(AND($A$2=4,VLOOKUP($A85,'District Level ADM'!$A$5:$W$52,5,FALSE)="3-Year Avg."),AD85,IF($A$2=2,AR85,IF($A$2=3,AD85,IF(($AG85&gt;$AU85),AD85,AR85)))))</f>
        <v>0</v>
      </c>
      <c r="Q85" s="317">
        <f>IF(AND($A$2=4,VLOOKUP($A85,'District Level ADM'!$A$5:$W$52,5,FALSE)="Prior Year"),AS85,IF(AND($A$2=4,VLOOKUP($A85,'District Level ADM'!$A$5:$W$52,5,FALSE)="3-Year Avg."),AE85,IF($A$2=2,AS85,IF($A$2=3,AE85,IF(($AG85&gt;$AU85),AE85,AS85)))))</f>
        <v>0</v>
      </c>
      <c r="R85" s="317">
        <f>IF(AND($A$2=4,VLOOKUP($A85,'District Level ADM'!$A$5:$W$52,5,FALSE)="Prior Year"),AT85,IF(AND($A$2=4,VLOOKUP($A85,'District Level ADM'!$A$5:$W$52,5,FALSE)="3-Year Avg."),AF85,IF($A$2=2,AT85,IF($A$2=3,AF85,IF(($AG85&gt;$AU85),AF85,AT85)))))</f>
        <v>0</v>
      </c>
      <c r="S85" s="317">
        <f t="shared" si="13"/>
        <v>88.62833333333333</v>
      </c>
      <c r="T85" s="317">
        <f t="shared" si="20"/>
        <v>0</v>
      </c>
      <c r="U85" s="317">
        <f t="shared" si="20"/>
        <v>0</v>
      </c>
      <c r="V85" s="317">
        <f t="shared" si="20"/>
        <v>0</v>
      </c>
      <c r="W85" s="317">
        <f t="shared" si="19"/>
        <v>0</v>
      </c>
      <c r="X85" s="317">
        <f t="shared" si="19"/>
        <v>0</v>
      </c>
      <c r="Y85" s="317">
        <f t="shared" si="19"/>
        <v>0</v>
      </c>
      <c r="Z85" s="317">
        <f t="shared" si="19"/>
        <v>0</v>
      </c>
      <c r="AA85" s="317">
        <f t="shared" si="19"/>
        <v>43.192666666666668</v>
      </c>
      <c r="AB85" s="317">
        <f t="shared" si="19"/>
        <v>45.435666666666663</v>
      </c>
      <c r="AC85" s="317">
        <f t="shared" si="18"/>
        <v>0</v>
      </c>
      <c r="AD85" s="317">
        <f t="shared" si="18"/>
        <v>0</v>
      </c>
      <c r="AE85" s="317">
        <f t="shared" si="18"/>
        <v>0</v>
      </c>
      <c r="AF85" s="317">
        <f t="shared" si="18"/>
        <v>0</v>
      </c>
      <c r="AG85" s="317">
        <f t="shared" si="14"/>
        <v>88.62833333333333</v>
      </c>
      <c r="AH85" s="318">
        <v>0</v>
      </c>
      <c r="AI85" s="318">
        <v>0</v>
      </c>
      <c r="AJ85" s="318">
        <v>0</v>
      </c>
      <c r="AK85" s="318">
        <v>0</v>
      </c>
      <c r="AL85" s="318">
        <v>0</v>
      </c>
      <c r="AM85" s="318">
        <v>0</v>
      </c>
      <c r="AN85" s="318">
        <v>0</v>
      </c>
      <c r="AO85" s="318">
        <v>38.414999999999999</v>
      </c>
      <c r="AP85" s="318">
        <v>38.414999999999999</v>
      </c>
      <c r="AQ85" s="318">
        <v>0</v>
      </c>
      <c r="AR85" s="318">
        <v>0</v>
      </c>
      <c r="AS85" s="318">
        <v>0</v>
      </c>
      <c r="AT85" s="318">
        <v>0</v>
      </c>
      <c r="AU85" s="317">
        <f t="shared" si="15"/>
        <v>76.83</v>
      </c>
      <c r="AV85" s="319">
        <v>0</v>
      </c>
      <c r="AW85" s="319">
        <v>0</v>
      </c>
      <c r="AX85" s="319">
        <v>0</v>
      </c>
      <c r="AY85" s="319">
        <v>0</v>
      </c>
      <c r="AZ85" s="319">
        <v>0</v>
      </c>
      <c r="BA85" s="319">
        <v>0</v>
      </c>
      <c r="BB85" s="319">
        <v>0</v>
      </c>
      <c r="BC85" s="319">
        <v>43.191000000000003</v>
      </c>
      <c r="BD85" s="319">
        <v>48.527999999999999</v>
      </c>
      <c r="BE85" s="319">
        <v>0</v>
      </c>
      <c r="BF85" s="319">
        <v>0</v>
      </c>
      <c r="BG85" s="319">
        <v>0</v>
      </c>
      <c r="BH85" s="319">
        <v>0</v>
      </c>
      <c r="BI85" s="317">
        <f t="shared" si="16"/>
        <v>91.718999999999994</v>
      </c>
      <c r="BJ85" s="316">
        <v>0</v>
      </c>
      <c r="BK85" s="316">
        <v>0</v>
      </c>
      <c r="BL85" s="316">
        <v>0</v>
      </c>
      <c r="BM85" s="316">
        <v>0</v>
      </c>
      <c r="BN85" s="316">
        <v>0</v>
      </c>
      <c r="BO85" s="316">
        <v>0</v>
      </c>
      <c r="BP85" s="316">
        <v>0</v>
      </c>
      <c r="BQ85" s="316">
        <v>47.972000000000001</v>
      </c>
      <c r="BR85" s="316">
        <v>49.363999999999997</v>
      </c>
      <c r="BS85" s="316">
        <v>0</v>
      </c>
      <c r="BT85" s="316">
        <v>0</v>
      </c>
      <c r="BU85" s="316">
        <v>0</v>
      </c>
      <c r="BV85" s="316">
        <v>0</v>
      </c>
      <c r="BW85" s="317">
        <f t="shared" si="17"/>
        <v>97.335999999999999</v>
      </c>
    </row>
    <row r="86" spans="1:734" x14ac:dyDescent="0.2">
      <c r="A86" s="20" t="str">
        <f>'School Level Inst. Resources'!A86</f>
        <v>0502000</v>
      </c>
      <c r="B86" s="20" t="str">
        <f>'School Level Inst. Resources'!B86</f>
        <v>Converse #2</v>
      </c>
      <c r="C86" s="20" t="str">
        <f>'School Level Inst. Resources'!C86</f>
        <v>0502055</v>
      </c>
      <c r="D86" s="20" t="str">
        <f>'School Level Inst. Resources'!D86</f>
        <v>Glenrock High School</v>
      </c>
      <c r="E86" s="138" t="str">
        <f>'School Level Inst. Resources'!E86</f>
        <v>9-12</v>
      </c>
      <c r="F86" s="317">
        <f>IF(AND($A$2=4,VLOOKUP($A86,'District Level ADM'!$A$5:$W$52,5,FALSE)="Prior Year"),AH86,IF(AND($A$2=4,VLOOKUP($A86,'District Level ADM'!$A$5:$W$52,5,FALSE)="3-Year Avg."),T86,IF($A$2=2,AH86,IF($A$2=3,T86,IF(($AG86&gt;$AU86),T86,AH86)))))</f>
        <v>0</v>
      </c>
      <c r="G86" s="317">
        <f>IF(AND($A$2=4,VLOOKUP($A86,'District Level ADM'!$A$5:$W$52,5,FALSE)="Prior Year"),AI86,IF(AND($A$2=4,VLOOKUP($A86,'District Level ADM'!$A$5:$W$52,5,FALSE)="3-Year Avg."),U86,IF($A$2=2,AI86,IF($A$2=3,U86,IF(($AG86&gt;$AU86),U86,AI86)))))</f>
        <v>0</v>
      </c>
      <c r="H86" s="317">
        <f>IF(AND($A$2=4,VLOOKUP($A86,'District Level ADM'!$A$5:$W$52,5,FALSE)="Prior Year"),AJ86,IF(AND($A$2=4,VLOOKUP($A86,'District Level ADM'!$A$5:$W$52,5,FALSE)="3-Year Avg."),V86,IF($A$2=2,AJ86,IF($A$2=3,V86,IF(($AG86&gt;$AU86),V86,AJ86)))))</f>
        <v>0</v>
      </c>
      <c r="I86" s="317">
        <f>IF(AND($A$2=4,VLOOKUP($A86,'District Level ADM'!$A$5:$W$52,5,FALSE)="Prior Year"),AK86,IF(AND($A$2=4,VLOOKUP($A86,'District Level ADM'!$A$5:$W$52,5,FALSE)="3-Year Avg."),W86,IF($A$2=2,AK86,IF($A$2=3,W86,IF(($AG86&gt;$AU86),W86,AK86)))))</f>
        <v>0</v>
      </c>
      <c r="J86" s="317">
        <f>IF(AND($A$2=4,VLOOKUP($A86,'District Level ADM'!$A$5:$W$52,5,FALSE)="Prior Year"),AL86,IF(AND($A$2=4,VLOOKUP($A86,'District Level ADM'!$A$5:$W$52,5,FALSE)="3-Year Avg."),X86,IF($A$2=2,AL86,IF($A$2=3,X86,IF(($AG86&gt;$AU86),X86,AL86)))))</f>
        <v>0</v>
      </c>
      <c r="K86" s="317">
        <f>IF(AND($A$2=4,VLOOKUP($A86,'District Level ADM'!$A$5:$W$52,5,FALSE)="Prior Year"),AM86,IF(AND($A$2=4,VLOOKUP($A86,'District Level ADM'!$A$5:$W$52,5,FALSE)="3-Year Avg."),Y86,IF($A$2=2,AM86,IF($A$2=3,Y86,IF(($AG86&gt;$AU86),Y86,AM86)))))</f>
        <v>0</v>
      </c>
      <c r="L86" s="317">
        <f>IF(AND($A$2=4,VLOOKUP($A86,'District Level ADM'!$A$5:$W$52,5,FALSE)="Prior Year"),AN86,IF(AND($A$2=4,VLOOKUP($A86,'District Level ADM'!$A$5:$W$52,5,FALSE)="3-Year Avg."),Z86,IF($A$2=2,AN86,IF($A$2=3,Z86,IF(($AG86&gt;$AU86),Z86,AN86)))))</f>
        <v>0</v>
      </c>
      <c r="M86" s="317">
        <f>IF(AND($A$2=4,VLOOKUP($A86,'District Level ADM'!$A$5:$W$52,5,FALSE)="Prior Year"),AO86,IF(AND($A$2=4,VLOOKUP($A86,'District Level ADM'!$A$5:$W$52,5,FALSE)="3-Year Avg."),AA86,IF($A$2=2,AO86,IF($A$2=3,AA86,IF(($AG86&gt;$AU86),AA86,AO86)))))</f>
        <v>0</v>
      </c>
      <c r="N86" s="317">
        <f>IF(AND($A$2=4,VLOOKUP($A86,'District Level ADM'!$A$5:$W$52,5,FALSE)="Prior Year"),AP86,IF(AND($A$2=4,VLOOKUP($A86,'District Level ADM'!$A$5:$W$52,5,FALSE)="3-Year Avg."),AB86,IF($A$2=2,AP86,IF($A$2=3,AB86,IF(($AG86&gt;$AU86),AB86,AP86)))))</f>
        <v>0</v>
      </c>
      <c r="O86" s="317">
        <f>IF(AND($A$2=4,VLOOKUP($A86,'District Level ADM'!$A$5:$W$52,5,FALSE)="Prior Year"),AQ86,IF(AND($A$2=4,VLOOKUP($A86,'District Level ADM'!$A$5:$W$52,5,FALSE)="3-Year Avg."),AC86,IF($A$2=2,AQ86,IF($A$2=3,AC86,IF(($AG86&gt;$AU86),AC86,AQ86)))))</f>
        <v>47.266999999999996</v>
      </c>
      <c r="P86" s="317">
        <f>IF(AND($A$2=4,VLOOKUP($A86,'District Level ADM'!$A$5:$W$52,5,FALSE)="Prior Year"),AR86,IF(AND($A$2=4,VLOOKUP($A86,'District Level ADM'!$A$5:$W$52,5,FALSE)="3-Year Avg."),AD86,IF($A$2=2,AR86,IF($A$2=3,AD86,IF(($AG86&gt;$AU86),AD86,AR86)))))</f>
        <v>44.862666666666662</v>
      </c>
      <c r="Q86" s="317">
        <f>IF(AND($A$2=4,VLOOKUP($A86,'District Level ADM'!$A$5:$W$52,5,FALSE)="Prior Year"),AS86,IF(AND($A$2=4,VLOOKUP($A86,'District Level ADM'!$A$5:$W$52,5,FALSE)="3-Year Avg."),AE86,IF($A$2=2,AS86,IF($A$2=3,AE86,IF(($AG86&gt;$AU86),AE86,AS86)))))</f>
        <v>44.500999999999998</v>
      </c>
      <c r="R86" s="317">
        <f>IF(AND($A$2=4,VLOOKUP($A86,'District Level ADM'!$A$5:$W$52,5,FALSE)="Prior Year"),AT86,IF(AND($A$2=4,VLOOKUP($A86,'District Level ADM'!$A$5:$W$52,5,FALSE)="3-Year Avg."),AF86,IF($A$2=2,AT86,IF($A$2=3,AF86,IF(($AG86&gt;$AU86),AF86,AT86)))))</f>
        <v>44.49</v>
      </c>
      <c r="S86" s="317">
        <f t="shared" si="13"/>
        <v>181.12066666666666</v>
      </c>
      <c r="T86" s="317">
        <f t="shared" si="20"/>
        <v>0</v>
      </c>
      <c r="U86" s="317">
        <f t="shared" si="20"/>
        <v>0</v>
      </c>
      <c r="V86" s="317">
        <f t="shared" si="20"/>
        <v>0</v>
      </c>
      <c r="W86" s="317">
        <f t="shared" si="19"/>
        <v>0</v>
      </c>
      <c r="X86" s="317">
        <f t="shared" si="19"/>
        <v>0</v>
      </c>
      <c r="Y86" s="317">
        <f t="shared" si="19"/>
        <v>0</v>
      </c>
      <c r="Z86" s="317">
        <f t="shared" si="19"/>
        <v>0</v>
      </c>
      <c r="AA86" s="317">
        <f t="shared" si="19"/>
        <v>0</v>
      </c>
      <c r="AB86" s="317">
        <f t="shared" si="19"/>
        <v>0</v>
      </c>
      <c r="AC86" s="317">
        <f t="shared" si="18"/>
        <v>47.266999999999996</v>
      </c>
      <c r="AD86" s="317">
        <f t="shared" si="18"/>
        <v>44.862666666666662</v>
      </c>
      <c r="AE86" s="317">
        <f t="shared" si="18"/>
        <v>44.500999999999998</v>
      </c>
      <c r="AF86" s="317">
        <f t="shared" si="18"/>
        <v>44.49</v>
      </c>
      <c r="AG86" s="317">
        <f t="shared" si="14"/>
        <v>181.12066666666666</v>
      </c>
      <c r="AH86" s="318">
        <v>0</v>
      </c>
      <c r="AI86" s="318">
        <v>0</v>
      </c>
      <c r="AJ86" s="318">
        <v>0</v>
      </c>
      <c r="AK86" s="318">
        <v>0</v>
      </c>
      <c r="AL86" s="318">
        <v>0</v>
      </c>
      <c r="AM86" s="318">
        <v>0</v>
      </c>
      <c r="AN86" s="318">
        <v>0</v>
      </c>
      <c r="AO86" s="318">
        <v>0</v>
      </c>
      <c r="AP86" s="318">
        <v>0</v>
      </c>
      <c r="AQ86" s="318">
        <v>49.25</v>
      </c>
      <c r="AR86" s="318">
        <v>42.354999999999997</v>
      </c>
      <c r="AS86" s="318">
        <v>42.354999999999997</v>
      </c>
      <c r="AT86" s="318">
        <v>40.384999999999998</v>
      </c>
      <c r="AU86" s="317">
        <f t="shared" si="15"/>
        <v>174.34499999999997</v>
      </c>
      <c r="AV86" s="319">
        <v>0</v>
      </c>
      <c r="AW86" s="319">
        <v>0</v>
      </c>
      <c r="AX86" s="319">
        <v>0</v>
      </c>
      <c r="AY86" s="319">
        <v>0</v>
      </c>
      <c r="AZ86" s="319">
        <v>0</v>
      </c>
      <c r="BA86" s="319">
        <v>0</v>
      </c>
      <c r="BB86" s="319">
        <v>0</v>
      </c>
      <c r="BC86" s="319">
        <v>0</v>
      </c>
      <c r="BD86" s="319">
        <v>0</v>
      </c>
      <c r="BE86" s="319">
        <v>49.648000000000003</v>
      </c>
      <c r="BF86" s="319">
        <v>43.073999999999998</v>
      </c>
      <c r="BG86" s="319">
        <v>42.107999999999997</v>
      </c>
      <c r="BH86" s="319">
        <v>44.851999999999997</v>
      </c>
      <c r="BI86" s="317">
        <f t="shared" si="16"/>
        <v>179.68200000000002</v>
      </c>
      <c r="BJ86" s="316">
        <v>0</v>
      </c>
      <c r="BK86" s="316">
        <v>0</v>
      </c>
      <c r="BL86" s="316">
        <v>0</v>
      </c>
      <c r="BM86" s="316">
        <v>0</v>
      </c>
      <c r="BN86" s="316">
        <v>0</v>
      </c>
      <c r="BO86" s="316">
        <v>0</v>
      </c>
      <c r="BP86" s="316">
        <v>0</v>
      </c>
      <c r="BQ86" s="316">
        <v>0</v>
      </c>
      <c r="BR86" s="316">
        <v>0</v>
      </c>
      <c r="BS86" s="316">
        <v>42.902999999999999</v>
      </c>
      <c r="BT86" s="316">
        <v>49.158999999999999</v>
      </c>
      <c r="BU86" s="316">
        <v>49.04</v>
      </c>
      <c r="BV86" s="316">
        <v>48.232999999999997</v>
      </c>
      <c r="BW86" s="317">
        <f t="shared" si="17"/>
        <v>189.33500000000001</v>
      </c>
    </row>
    <row r="87" spans="1:734" x14ac:dyDescent="0.2">
      <c r="A87" s="20" t="str">
        <f>'School Level Inst. Resources'!A87</f>
        <v>0601000</v>
      </c>
      <c r="B87" s="20" t="str">
        <f>'School Level Inst. Resources'!B87</f>
        <v>Crook #1</v>
      </c>
      <c r="C87" s="20" t="str">
        <f>'School Level Inst. Resources'!C87</f>
        <v>0601007</v>
      </c>
      <c r="D87" s="20" t="str">
        <f>'School Level Inst. Resources'!D87</f>
        <v>Sundance Elementary</v>
      </c>
      <c r="E87" s="138" t="str">
        <f>'School Level Inst. Resources'!E87</f>
        <v>K-6</v>
      </c>
      <c r="F87" s="317">
        <f>IF(AND($A$2=4,VLOOKUP($A87,'District Level ADM'!$A$5:$W$52,5,FALSE)="Prior Year"),AH87,IF(AND($A$2=4,VLOOKUP($A87,'District Level ADM'!$A$5:$W$52,5,FALSE)="3-Year Avg."),T87,IF($A$2=2,AH87,IF($A$2=3,T87,IF(($AG87&gt;$AU87),T87,AH87)))))</f>
        <v>29.120333333333331</v>
      </c>
      <c r="G87" s="317">
        <f>IF(AND($A$2=4,VLOOKUP($A87,'District Level ADM'!$A$5:$W$52,5,FALSE)="Prior Year"),AI87,IF(AND($A$2=4,VLOOKUP($A87,'District Level ADM'!$A$5:$W$52,5,FALSE)="3-Year Avg."),U87,IF($A$2=2,AI87,IF($A$2=3,U87,IF(($AG87&gt;$AU87),U87,AI87)))))</f>
        <v>29.346666666666668</v>
      </c>
      <c r="H87" s="317">
        <f>IF(AND($A$2=4,VLOOKUP($A87,'District Level ADM'!$A$5:$W$52,5,FALSE)="Prior Year"),AJ87,IF(AND($A$2=4,VLOOKUP($A87,'District Level ADM'!$A$5:$W$52,5,FALSE)="3-Year Avg."),V87,IF($A$2=2,AJ87,IF($A$2=3,V87,IF(($AG87&gt;$AU87),V87,AJ87)))))</f>
        <v>28.294</v>
      </c>
      <c r="I87" s="317">
        <f>IF(AND($A$2=4,VLOOKUP($A87,'District Level ADM'!$A$5:$W$52,5,FALSE)="Prior Year"),AK87,IF(AND($A$2=4,VLOOKUP($A87,'District Level ADM'!$A$5:$W$52,5,FALSE)="3-Year Avg."),W87,IF($A$2=2,AK87,IF($A$2=3,W87,IF(($AG87&gt;$AU87),W87,AK87)))))</f>
        <v>26.739000000000001</v>
      </c>
      <c r="J87" s="317">
        <f>IF(AND($A$2=4,VLOOKUP($A87,'District Level ADM'!$A$5:$W$52,5,FALSE)="Prior Year"),AL87,IF(AND($A$2=4,VLOOKUP($A87,'District Level ADM'!$A$5:$W$52,5,FALSE)="3-Year Avg."),X87,IF($A$2=2,AL87,IF($A$2=3,X87,IF(($AG87&gt;$AU87),X87,AL87)))))</f>
        <v>30.226333333333333</v>
      </c>
      <c r="K87" s="317">
        <f>IF(AND($A$2=4,VLOOKUP($A87,'District Level ADM'!$A$5:$W$52,5,FALSE)="Prior Year"),AM87,IF(AND($A$2=4,VLOOKUP($A87,'District Level ADM'!$A$5:$W$52,5,FALSE)="3-Year Avg."),Y87,IF($A$2=2,AM87,IF($A$2=3,Y87,IF(($AG87&gt;$AU87),Y87,AM87)))))</f>
        <v>30.389333333333337</v>
      </c>
      <c r="L87" s="317">
        <f>IF(AND($A$2=4,VLOOKUP($A87,'District Level ADM'!$A$5:$W$52,5,FALSE)="Prior Year"),AN87,IF(AND($A$2=4,VLOOKUP($A87,'District Level ADM'!$A$5:$W$52,5,FALSE)="3-Year Avg."),Z87,IF($A$2=2,AN87,IF($A$2=3,Z87,IF(($AG87&gt;$AU87),Z87,AN87)))))</f>
        <v>28.803666666666668</v>
      </c>
      <c r="M87" s="317">
        <f>IF(AND($A$2=4,VLOOKUP($A87,'District Level ADM'!$A$5:$W$52,5,FALSE)="Prior Year"),AO87,IF(AND($A$2=4,VLOOKUP($A87,'District Level ADM'!$A$5:$W$52,5,FALSE)="3-Year Avg."),AA87,IF($A$2=2,AO87,IF($A$2=3,AA87,IF(($AG87&gt;$AU87),AA87,AO87)))))</f>
        <v>0</v>
      </c>
      <c r="N87" s="317">
        <f>IF(AND($A$2=4,VLOOKUP($A87,'District Level ADM'!$A$5:$W$52,5,FALSE)="Prior Year"),AP87,IF(AND($A$2=4,VLOOKUP($A87,'District Level ADM'!$A$5:$W$52,5,FALSE)="3-Year Avg."),AB87,IF($A$2=2,AP87,IF($A$2=3,AB87,IF(($AG87&gt;$AU87),AB87,AP87)))))</f>
        <v>0</v>
      </c>
      <c r="O87" s="317">
        <f>IF(AND($A$2=4,VLOOKUP($A87,'District Level ADM'!$A$5:$W$52,5,FALSE)="Prior Year"),AQ87,IF(AND($A$2=4,VLOOKUP($A87,'District Level ADM'!$A$5:$W$52,5,FALSE)="3-Year Avg."),AC87,IF($A$2=2,AQ87,IF($A$2=3,AC87,IF(($AG87&gt;$AU87),AC87,AQ87)))))</f>
        <v>0</v>
      </c>
      <c r="P87" s="317">
        <f>IF(AND($A$2=4,VLOOKUP($A87,'District Level ADM'!$A$5:$W$52,5,FALSE)="Prior Year"),AR87,IF(AND($A$2=4,VLOOKUP($A87,'District Level ADM'!$A$5:$W$52,5,FALSE)="3-Year Avg."),AD87,IF($A$2=2,AR87,IF($A$2=3,AD87,IF(($AG87&gt;$AU87),AD87,AR87)))))</f>
        <v>0</v>
      </c>
      <c r="Q87" s="317">
        <f>IF(AND($A$2=4,VLOOKUP($A87,'District Level ADM'!$A$5:$W$52,5,FALSE)="Prior Year"),AS87,IF(AND($A$2=4,VLOOKUP($A87,'District Level ADM'!$A$5:$W$52,5,FALSE)="3-Year Avg."),AE87,IF($A$2=2,AS87,IF($A$2=3,AE87,IF(($AG87&gt;$AU87),AE87,AS87)))))</f>
        <v>0</v>
      </c>
      <c r="R87" s="317">
        <f>IF(AND($A$2=4,VLOOKUP($A87,'District Level ADM'!$A$5:$W$52,5,FALSE)="Prior Year"),AT87,IF(AND($A$2=4,VLOOKUP($A87,'District Level ADM'!$A$5:$W$52,5,FALSE)="3-Year Avg."),AF87,IF($A$2=2,AT87,IF($A$2=3,AF87,IF(($AG87&gt;$AU87),AF87,AT87)))))</f>
        <v>0</v>
      </c>
      <c r="S87" s="317">
        <f t="shared" si="13"/>
        <v>202.91933333333333</v>
      </c>
      <c r="T87" s="317">
        <f t="shared" si="20"/>
        <v>29.120333333333331</v>
      </c>
      <c r="U87" s="317">
        <f t="shared" si="20"/>
        <v>29.346666666666668</v>
      </c>
      <c r="V87" s="317">
        <f t="shared" si="20"/>
        <v>28.294</v>
      </c>
      <c r="W87" s="317">
        <f t="shared" si="19"/>
        <v>26.739000000000001</v>
      </c>
      <c r="X87" s="317">
        <f t="shared" si="19"/>
        <v>30.226333333333333</v>
      </c>
      <c r="Y87" s="317">
        <f t="shared" si="19"/>
        <v>30.389333333333337</v>
      </c>
      <c r="Z87" s="317">
        <f t="shared" si="19"/>
        <v>28.803666666666668</v>
      </c>
      <c r="AA87" s="317">
        <f t="shared" si="19"/>
        <v>0</v>
      </c>
      <c r="AB87" s="317">
        <f t="shared" si="19"/>
        <v>0</v>
      </c>
      <c r="AC87" s="317">
        <f t="shared" si="18"/>
        <v>0</v>
      </c>
      <c r="AD87" s="317">
        <f t="shared" si="18"/>
        <v>0</v>
      </c>
      <c r="AE87" s="317">
        <f t="shared" si="18"/>
        <v>0</v>
      </c>
      <c r="AF87" s="317">
        <f t="shared" si="18"/>
        <v>0</v>
      </c>
      <c r="AG87" s="317">
        <f t="shared" si="14"/>
        <v>202.91933333333333</v>
      </c>
      <c r="AH87" s="318">
        <v>26.594999999999999</v>
      </c>
      <c r="AI87" s="318">
        <v>31.52</v>
      </c>
      <c r="AJ87" s="318">
        <v>24.625</v>
      </c>
      <c r="AK87" s="318">
        <v>23.64</v>
      </c>
      <c r="AL87" s="318">
        <v>28.565000000000001</v>
      </c>
      <c r="AM87" s="318">
        <v>29.55</v>
      </c>
      <c r="AN87" s="318">
        <v>31.52</v>
      </c>
      <c r="AO87" s="318">
        <v>0</v>
      </c>
      <c r="AP87" s="318">
        <v>0</v>
      </c>
      <c r="AQ87" s="318">
        <v>0</v>
      </c>
      <c r="AR87" s="318">
        <v>0</v>
      </c>
      <c r="AS87" s="318">
        <v>0</v>
      </c>
      <c r="AT87" s="318">
        <v>0</v>
      </c>
      <c r="AU87" s="317">
        <f t="shared" si="15"/>
        <v>196.01500000000001</v>
      </c>
      <c r="AV87" s="319">
        <v>31.765999999999998</v>
      </c>
      <c r="AW87" s="319">
        <v>29.326000000000001</v>
      </c>
      <c r="AX87" s="319">
        <v>26.257000000000001</v>
      </c>
      <c r="AY87" s="319">
        <v>29.577000000000002</v>
      </c>
      <c r="AZ87" s="319">
        <v>28.56</v>
      </c>
      <c r="BA87" s="319">
        <v>32.988999999999997</v>
      </c>
      <c r="BB87" s="319">
        <v>29.457000000000001</v>
      </c>
      <c r="BC87" s="319">
        <v>0</v>
      </c>
      <c r="BD87" s="319">
        <v>0</v>
      </c>
      <c r="BE87" s="319">
        <v>0</v>
      </c>
      <c r="BF87" s="319">
        <v>0</v>
      </c>
      <c r="BG87" s="319">
        <v>0</v>
      </c>
      <c r="BH87" s="319">
        <v>0</v>
      </c>
      <c r="BI87" s="317">
        <f t="shared" si="16"/>
        <v>207.93199999999999</v>
      </c>
      <c r="BJ87" s="316">
        <v>29</v>
      </c>
      <c r="BK87" s="316">
        <v>27.193999999999999</v>
      </c>
      <c r="BL87" s="316">
        <v>34</v>
      </c>
      <c r="BM87" s="316">
        <v>27</v>
      </c>
      <c r="BN87" s="316">
        <v>33.554000000000002</v>
      </c>
      <c r="BO87" s="316">
        <v>28.629000000000001</v>
      </c>
      <c r="BP87" s="316">
        <v>25.434000000000001</v>
      </c>
      <c r="BQ87" s="316">
        <v>0</v>
      </c>
      <c r="BR87" s="316">
        <v>0</v>
      </c>
      <c r="BS87" s="316">
        <v>0</v>
      </c>
      <c r="BT87" s="316">
        <v>0</v>
      </c>
      <c r="BU87" s="316">
        <v>0</v>
      </c>
      <c r="BV87" s="316">
        <v>0</v>
      </c>
      <c r="BW87" s="317">
        <f t="shared" si="17"/>
        <v>204.81099999999998</v>
      </c>
    </row>
    <row r="88" spans="1:734" s="320" customFormat="1" x14ac:dyDescent="0.2">
      <c r="A88" s="20" t="str">
        <f>'School Level Inst. Resources'!A88</f>
        <v>0601000</v>
      </c>
      <c r="B88" s="20" t="str">
        <f>'School Level Inst. Resources'!B88</f>
        <v>Crook #1</v>
      </c>
      <c r="C88" s="20" t="str">
        <f>'School Level Inst. Resources'!C88</f>
        <v>0601008</v>
      </c>
      <c r="D88" s="20" t="str">
        <f>'School Level Inst. Resources'!D88</f>
        <v>Moorcroft K-8</v>
      </c>
      <c r="E88" s="138" t="str">
        <f>'School Level Inst. Resources'!E88</f>
        <v>K-8</v>
      </c>
      <c r="F88" s="317">
        <f>IF(AND($A$2=4,VLOOKUP($A88,'District Level ADM'!$A$5:$W$52,5,FALSE)="Prior Year"),AH88,IF(AND($A$2=4,VLOOKUP($A88,'District Level ADM'!$A$5:$W$52,5,FALSE)="3-Year Avg."),T88,IF($A$2=2,AH88,IF($A$2=3,T88,IF(($AG88&gt;$AU88),T88,AH88)))))</f>
        <v>61.411333333333324</v>
      </c>
      <c r="G88" s="317">
        <f>IF(AND($A$2=4,VLOOKUP($A88,'District Level ADM'!$A$5:$W$52,5,FALSE)="Prior Year"),AI88,IF(AND($A$2=4,VLOOKUP($A88,'District Level ADM'!$A$5:$W$52,5,FALSE)="3-Year Avg."),U88,IF($A$2=2,AI88,IF($A$2=3,U88,IF(($AG88&gt;$AU88),U88,AI88)))))</f>
        <v>54.861666666666672</v>
      </c>
      <c r="H88" s="317">
        <f>IF(AND($A$2=4,VLOOKUP($A88,'District Level ADM'!$A$5:$W$52,5,FALSE)="Prior Year"),AJ88,IF(AND($A$2=4,VLOOKUP($A88,'District Level ADM'!$A$5:$W$52,5,FALSE)="3-Year Avg."),V88,IF($A$2=2,AJ88,IF($A$2=3,V88,IF(($AG88&gt;$AU88),V88,AJ88)))))</f>
        <v>52.459000000000003</v>
      </c>
      <c r="I88" s="317">
        <f>IF(AND($A$2=4,VLOOKUP($A88,'District Level ADM'!$A$5:$W$52,5,FALSE)="Prior Year"),AK88,IF(AND($A$2=4,VLOOKUP($A88,'District Level ADM'!$A$5:$W$52,5,FALSE)="3-Year Avg."),W88,IF($A$2=2,AK88,IF($A$2=3,W88,IF(($AG88&gt;$AU88),W88,AK88)))))</f>
        <v>47.394000000000005</v>
      </c>
      <c r="J88" s="317">
        <f>IF(AND($A$2=4,VLOOKUP($A88,'District Level ADM'!$A$5:$W$52,5,FALSE)="Prior Year"),AL88,IF(AND($A$2=4,VLOOKUP($A88,'District Level ADM'!$A$5:$W$52,5,FALSE)="3-Year Avg."),X88,IF($A$2=2,AL88,IF($A$2=3,X88,IF(($AG88&gt;$AU88),X88,AL88)))))</f>
        <v>48.441666666666663</v>
      </c>
      <c r="K88" s="317">
        <f>IF(AND($A$2=4,VLOOKUP($A88,'District Level ADM'!$A$5:$W$52,5,FALSE)="Prior Year"),AM88,IF(AND($A$2=4,VLOOKUP($A88,'District Level ADM'!$A$5:$W$52,5,FALSE)="3-Year Avg."),Y88,IF($A$2=2,AM88,IF($A$2=3,Y88,IF(($AG88&gt;$AU88),Y88,AM88)))))</f>
        <v>44.238999999999997</v>
      </c>
      <c r="L88" s="317">
        <f>IF(AND($A$2=4,VLOOKUP($A88,'District Level ADM'!$A$5:$W$52,5,FALSE)="Prior Year"),AN88,IF(AND($A$2=4,VLOOKUP($A88,'District Level ADM'!$A$5:$W$52,5,FALSE)="3-Year Avg."),Z88,IF($A$2=2,AN88,IF($A$2=3,Z88,IF(($AG88&gt;$AU88),Z88,AN88)))))</f>
        <v>44.199666666666673</v>
      </c>
      <c r="M88" s="317">
        <f>IF(AND($A$2=4,VLOOKUP($A88,'District Level ADM'!$A$5:$W$52,5,FALSE)="Prior Year"),AO88,IF(AND($A$2=4,VLOOKUP($A88,'District Level ADM'!$A$5:$W$52,5,FALSE)="3-Year Avg."),AA88,IF($A$2=2,AO88,IF($A$2=3,AA88,IF(($AG88&gt;$AU88),AA88,AO88)))))</f>
        <v>44.416333333333341</v>
      </c>
      <c r="N88" s="317">
        <f>IF(AND($A$2=4,VLOOKUP($A88,'District Level ADM'!$A$5:$W$52,5,FALSE)="Prior Year"),AP88,IF(AND($A$2=4,VLOOKUP($A88,'District Level ADM'!$A$5:$W$52,5,FALSE)="3-Year Avg."),AB88,IF($A$2=2,AP88,IF($A$2=3,AB88,IF(($AG88&gt;$AU88),AB88,AP88)))))</f>
        <v>40.050333333333334</v>
      </c>
      <c r="O88" s="317">
        <f>IF(AND($A$2=4,VLOOKUP($A88,'District Level ADM'!$A$5:$W$52,5,FALSE)="Prior Year"),AQ88,IF(AND($A$2=4,VLOOKUP($A88,'District Level ADM'!$A$5:$W$52,5,FALSE)="3-Year Avg."),AC88,IF($A$2=2,AQ88,IF($A$2=3,AC88,IF(($AG88&gt;$AU88),AC88,AQ88)))))</f>
        <v>0</v>
      </c>
      <c r="P88" s="317">
        <f>IF(AND($A$2=4,VLOOKUP($A88,'District Level ADM'!$A$5:$W$52,5,FALSE)="Prior Year"),AR88,IF(AND($A$2=4,VLOOKUP($A88,'District Level ADM'!$A$5:$W$52,5,FALSE)="3-Year Avg."),AD88,IF($A$2=2,AR88,IF($A$2=3,AD88,IF(($AG88&gt;$AU88),AD88,AR88)))))</f>
        <v>0</v>
      </c>
      <c r="Q88" s="317">
        <f>IF(AND($A$2=4,VLOOKUP($A88,'District Level ADM'!$A$5:$W$52,5,FALSE)="Prior Year"),AS88,IF(AND($A$2=4,VLOOKUP($A88,'District Level ADM'!$A$5:$W$52,5,FALSE)="3-Year Avg."),AE88,IF($A$2=2,AS88,IF($A$2=3,AE88,IF(($AG88&gt;$AU88),AE88,AS88)))))</f>
        <v>0</v>
      </c>
      <c r="R88" s="317">
        <f>IF(AND($A$2=4,VLOOKUP($A88,'District Level ADM'!$A$5:$W$52,5,FALSE)="Prior Year"),AT88,IF(AND($A$2=4,VLOOKUP($A88,'District Level ADM'!$A$5:$W$52,5,FALSE)="3-Year Avg."),AF88,IF($A$2=2,AT88,IF($A$2=3,AF88,IF(($AG88&gt;$AU88),AF88,AT88)))))</f>
        <v>0</v>
      </c>
      <c r="S88" s="317">
        <f t="shared" si="13"/>
        <v>437.47300000000007</v>
      </c>
      <c r="T88" s="317">
        <f t="shared" si="20"/>
        <v>61.411333333333324</v>
      </c>
      <c r="U88" s="317">
        <f t="shared" si="20"/>
        <v>54.861666666666672</v>
      </c>
      <c r="V88" s="317">
        <f t="shared" si="20"/>
        <v>52.459000000000003</v>
      </c>
      <c r="W88" s="317">
        <f t="shared" si="19"/>
        <v>47.394000000000005</v>
      </c>
      <c r="X88" s="317">
        <f t="shared" si="19"/>
        <v>48.441666666666663</v>
      </c>
      <c r="Y88" s="317">
        <f t="shared" si="19"/>
        <v>44.238999999999997</v>
      </c>
      <c r="Z88" s="317">
        <f t="shared" si="19"/>
        <v>44.199666666666673</v>
      </c>
      <c r="AA88" s="317">
        <f t="shared" si="19"/>
        <v>44.416333333333341</v>
      </c>
      <c r="AB88" s="317">
        <f t="shared" si="19"/>
        <v>40.050333333333334</v>
      </c>
      <c r="AC88" s="317">
        <f t="shared" si="18"/>
        <v>0</v>
      </c>
      <c r="AD88" s="317">
        <f t="shared" si="18"/>
        <v>0</v>
      </c>
      <c r="AE88" s="317">
        <f t="shared" si="18"/>
        <v>0</v>
      </c>
      <c r="AF88" s="317">
        <f t="shared" si="18"/>
        <v>0</v>
      </c>
      <c r="AG88" s="317">
        <f t="shared" si="14"/>
        <v>437.47300000000007</v>
      </c>
      <c r="AH88" s="318">
        <v>55.16</v>
      </c>
      <c r="AI88" s="318">
        <v>56.145000000000003</v>
      </c>
      <c r="AJ88" s="318">
        <v>63.04</v>
      </c>
      <c r="AK88" s="318">
        <v>44.325000000000003</v>
      </c>
      <c r="AL88" s="318">
        <v>48.265000000000001</v>
      </c>
      <c r="AM88" s="318">
        <v>43.34</v>
      </c>
      <c r="AN88" s="318">
        <v>49.25</v>
      </c>
      <c r="AO88" s="318">
        <v>51.22</v>
      </c>
      <c r="AP88" s="318">
        <v>35.46</v>
      </c>
      <c r="AQ88" s="318">
        <v>0</v>
      </c>
      <c r="AR88" s="318">
        <v>0</v>
      </c>
      <c r="AS88" s="318">
        <v>0</v>
      </c>
      <c r="AT88" s="318">
        <v>0</v>
      </c>
      <c r="AU88" s="317">
        <f t="shared" si="15"/>
        <v>446.20499999999998</v>
      </c>
      <c r="AV88" s="319">
        <v>60</v>
      </c>
      <c r="AW88" s="319">
        <v>62.926000000000002</v>
      </c>
      <c r="AX88" s="319">
        <v>45.793999999999997</v>
      </c>
      <c r="AY88" s="319">
        <v>49.045999999999999</v>
      </c>
      <c r="AZ88" s="319">
        <v>45.405999999999999</v>
      </c>
      <c r="BA88" s="319">
        <v>46.793999999999997</v>
      </c>
      <c r="BB88" s="319">
        <v>45.823</v>
      </c>
      <c r="BC88" s="319">
        <v>40.823</v>
      </c>
      <c r="BD88" s="319">
        <v>38.994</v>
      </c>
      <c r="BE88" s="319">
        <v>0</v>
      </c>
      <c r="BF88" s="319">
        <v>0</v>
      </c>
      <c r="BG88" s="319">
        <v>0</v>
      </c>
      <c r="BH88" s="319">
        <v>0</v>
      </c>
      <c r="BI88" s="317">
        <f t="shared" si="16"/>
        <v>435.60599999999988</v>
      </c>
      <c r="BJ88" s="316">
        <v>69.073999999999998</v>
      </c>
      <c r="BK88" s="316">
        <v>45.514000000000003</v>
      </c>
      <c r="BL88" s="316">
        <v>48.542999999999999</v>
      </c>
      <c r="BM88" s="316">
        <v>48.811</v>
      </c>
      <c r="BN88" s="316">
        <v>51.654000000000003</v>
      </c>
      <c r="BO88" s="316">
        <v>42.582999999999998</v>
      </c>
      <c r="BP88" s="316">
        <v>37.526000000000003</v>
      </c>
      <c r="BQ88" s="316">
        <v>41.206000000000003</v>
      </c>
      <c r="BR88" s="316">
        <v>45.697000000000003</v>
      </c>
      <c r="BS88" s="316">
        <v>0</v>
      </c>
      <c r="BT88" s="316">
        <v>0</v>
      </c>
      <c r="BU88" s="316">
        <v>0</v>
      </c>
      <c r="BV88" s="316">
        <v>0</v>
      </c>
      <c r="BW88" s="317">
        <f t="shared" si="17"/>
        <v>430.608</v>
      </c>
      <c r="BX88" s="40"/>
      <c r="BY88" s="40"/>
      <c r="BZ88" s="40"/>
      <c r="CA88" s="40"/>
      <c r="CB88" s="40"/>
      <c r="CC88" s="40"/>
      <c r="CD88" s="40"/>
      <c r="CE88" s="40"/>
      <c r="CF88" s="40"/>
      <c r="CG88" s="40"/>
      <c r="CH88" s="40"/>
      <c r="CI88" s="40"/>
      <c r="CJ88" s="40"/>
      <c r="CK88" s="40"/>
      <c r="CL88" s="40"/>
      <c r="CM88" s="40"/>
      <c r="CN88" s="40"/>
      <c r="CO88" s="40"/>
      <c r="CP88" s="40"/>
      <c r="CQ88" s="40"/>
      <c r="CR88" s="40"/>
      <c r="CS88" s="40"/>
      <c r="CT88" s="40"/>
      <c r="CU88" s="40"/>
      <c r="CV88" s="40"/>
      <c r="CW88" s="40"/>
      <c r="CX88" s="40"/>
      <c r="CY88" s="40"/>
      <c r="CZ88" s="40"/>
      <c r="DA88" s="40"/>
      <c r="DB88" s="40"/>
      <c r="DC88" s="40"/>
      <c r="DD88" s="40"/>
      <c r="DE88" s="40"/>
      <c r="DF88" s="40"/>
      <c r="DG88" s="40"/>
      <c r="DH88" s="40"/>
      <c r="DI88" s="40"/>
      <c r="DJ88" s="40"/>
      <c r="DK88" s="40"/>
      <c r="DL88" s="40"/>
      <c r="DM88" s="40"/>
      <c r="DN88" s="40"/>
      <c r="DO88" s="40"/>
      <c r="DP88" s="40"/>
      <c r="DQ88" s="40"/>
      <c r="DR88" s="40"/>
      <c r="DS88" s="40"/>
      <c r="DT88" s="40"/>
      <c r="DU88" s="40"/>
      <c r="DV88" s="40"/>
      <c r="DW88" s="40"/>
      <c r="DX88" s="40"/>
      <c r="DY88" s="40"/>
      <c r="DZ88" s="40"/>
      <c r="EA88" s="40"/>
      <c r="EB88" s="40"/>
      <c r="EC88" s="40"/>
      <c r="ED88" s="40"/>
      <c r="EE88" s="40"/>
      <c r="EF88" s="40"/>
      <c r="EG88" s="40"/>
      <c r="EH88" s="40"/>
      <c r="EI88" s="40"/>
      <c r="EJ88" s="40"/>
      <c r="EK88" s="40"/>
      <c r="EL88" s="40"/>
      <c r="EM88" s="40"/>
      <c r="EN88" s="40"/>
      <c r="EO88" s="40"/>
      <c r="EP88" s="40"/>
      <c r="EQ88" s="40"/>
      <c r="ER88" s="40"/>
      <c r="ES88" s="40"/>
      <c r="ET88" s="40"/>
      <c r="EU88" s="40"/>
      <c r="EV88" s="40"/>
      <c r="EW88" s="40"/>
      <c r="EX88" s="40"/>
      <c r="EY88" s="40"/>
      <c r="EZ88" s="40"/>
      <c r="FA88" s="40"/>
      <c r="FB88" s="40"/>
      <c r="FC88" s="40"/>
      <c r="FD88" s="40"/>
      <c r="FE88" s="40"/>
      <c r="FF88" s="40"/>
      <c r="FG88" s="40"/>
      <c r="FH88" s="40"/>
      <c r="FI88" s="40"/>
      <c r="FJ88" s="40"/>
      <c r="FK88" s="40"/>
      <c r="FL88" s="40"/>
      <c r="FM88" s="40"/>
      <c r="FN88" s="40"/>
      <c r="FO88" s="40"/>
      <c r="FP88" s="40"/>
      <c r="FQ88" s="40"/>
      <c r="FR88" s="40"/>
      <c r="FS88" s="40"/>
      <c r="FT88" s="40"/>
      <c r="FU88" s="40"/>
      <c r="FV88" s="40"/>
      <c r="FW88" s="40"/>
      <c r="FX88" s="40"/>
      <c r="FY88" s="40"/>
      <c r="FZ88" s="40"/>
      <c r="GA88" s="40"/>
      <c r="GB88" s="40"/>
      <c r="GC88" s="40"/>
      <c r="GD88" s="40"/>
      <c r="GE88" s="40"/>
      <c r="GF88" s="40"/>
      <c r="GG88" s="40"/>
      <c r="GH88" s="40"/>
      <c r="GI88" s="40"/>
      <c r="GJ88" s="40"/>
      <c r="GK88" s="40"/>
      <c r="GL88" s="40"/>
      <c r="GM88" s="40"/>
      <c r="GN88" s="40"/>
      <c r="GO88" s="40"/>
      <c r="GP88" s="40"/>
      <c r="GQ88" s="40"/>
      <c r="GR88" s="40"/>
      <c r="GS88" s="40"/>
      <c r="GT88" s="40"/>
      <c r="GU88" s="40"/>
      <c r="GV88" s="40"/>
      <c r="GW88" s="40"/>
      <c r="GX88" s="40"/>
      <c r="GY88" s="40"/>
      <c r="GZ88" s="40"/>
      <c r="HA88" s="40"/>
      <c r="HB88" s="40"/>
      <c r="HC88" s="40"/>
      <c r="HD88" s="40"/>
      <c r="HE88" s="40"/>
      <c r="HF88" s="40"/>
      <c r="HG88" s="40"/>
      <c r="HH88" s="40"/>
      <c r="HI88" s="40"/>
      <c r="HJ88" s="40"/>
      <c r="HK88" s="40"/>
      <c r="HL88" s="40"/>
      <c r="HM88" s="40"/>
      <c r="HN88" s="40"/>
      <c r="HO88" s="40"/>
      <c r="HP88" s="40"/>
      <c r="HQ88" s="40"/>
      <c r="HR88" s="40"/>
      <c r="HS88" s="40"/>
      <c r="HT88" s="40"/>
      <c r="HU88" s="40"/>
      <c r="HV88" s="40"/>
      <c r="HW88" s="40"/>
      <c r="HX88" s="40"/>
      <c r="HY88" s="40"/>
      <c r="HZ88" s="40"/>
      <c r="IA88" s="40"/>
      <c r="IB88" s="40"/>
      <c r="IC88" s="40"/>
      <c r="ID88" s="40"/>
      <c r="IE88" s="40"/>
      <c r="IF88" s="40"/>
      <c r="IG88" s="40"/>
      <c r="IH88" s="40"/>
      <c r="II88" s="40"/>
      <c r="IJ88" s="40"/>
      <c r="IK88" s="40"/>
      <c r="IL88" s="40"/>
      <c r="IM88" s="40"/>
      <c r="IN88" s="40"/>
      <c r="IO88" s="40"/>
      <c r="IP88" s="40"/>
      <c r="IQ88" s="40"/>
      <c r="IR88" s="40"/>
      <c r="IS88" s="40"/>
      <c r="IT88" s="40"/>
      <c r="IU88" s="40"/>
      <c r="IV88" s="40"/>
      <c r="IW88" s="40"/>
      <c r="IX88" s="40"/>
      <c r="IY88" s="40"/>
      <c r="IZ88" s="40"/>
      <c r="JA88" s="40"/>
      <c r="JB88" s="40"/>
      <c r="JC88" s="40"/>
      <c r="JD88" s="40"/>
      <c r="JE88" s="40"/>
      <c r="JF88" s="40"/>
      <c r="JG88" s="40"/>
      <c r="JH88" s="40"/>
      <c r="JI88" s="40"/>
      <c r="JJ88" s="40"/>
      <c r="JK88" s="40"/>
      <c r="JL88" s="40"/>
      <c r="JM88" s="40"/>
      <c r="JN88" s="40"/>
      <c r="JO88" s="40"/>
      <c r="JP88" s="40"/>
      <c r="JQ88" s="40"/>
      <c r="JR88" s="40"/>
      <c r="JS88" s="40"/>
      <c r="JT88" s="40"/>
      <c r="JU88" s="40"/>
      <c r="JV88" s="40"/>
      <c r="JW88" s="40"/>
      <c r="JX88" s="40"/>
      <c r="JY88" s="40"/>
      <c r="JZ88" s="40"/>
      <c r="KA88" s="40"/>
      <c r="KB88" s="40"/>
      <c r="KC88" s="40"/>
      <c r="KD88" s="40"/>
      <c r="KE88" s="40"/>
      <c r="KF88" s="40"/>
      <c r="KG88" s="40"/>
      <c r="KH88" s="40"/>
      <c r="KI88" s="40"/>
      <c r="KJ88" s="40"/>
      <c r="KK88" s="40"/>
      <c r="KL88" s="40"/>
      <c r="KM88" s="40"/>
      <c r="KN88" s="40"/>
      <c r="KO88" s="40"/>
      <c r="KP88" s="40"/>
      <c r="KQ88" s="40"/>
      <c r="KR88" s="40"/>
      <c r="KS88" s="40"/>
      <c r="KT88" s="40"/>
      <c r="KU88" s="40"/>
      <c r="KV88" s="40"/>
      <c r="KW88" s="40"/>
      <c r="KX88" s="40"/>
      <c r="KY88" s="40"/>
      <c r="KZ88" s="40"/>
      <c r="LA88" s="40"/>
      <c r="LB88" s="40"/>
      <c r="LC88" s="40"/>
      <c r="LD88" s="40"/>
      <c r="LE88" s="40"/>
      <c r="LF88" s="40"/>
      <c r="LG88" s="40"/>
      <c r="LH88" s="40"/>
      <c r="LI88" s="40"/>
      <c r="LJ88" s="40"/>
      <c r="LK88" s="40"/>
      <c r="LL88" s="40"/>
      <c r="LM88" s="40"/>
      <c r="LN88" s="40"/>
      <c r="LO88" s="40"/>
      <c r="LP88" s="40"/>
      <c r="LQ88" s="40"/>
      <c r="LR88" s="40"/>
      <c r="LS88" s="40"/>
      <c r="LT88" s="40"/>
      <c r="LU88" s="40"/>
      <c r="LV88" s="40"/>
      <c r="LW88" s="40"/>
      <c r="LX88" s="40"/>
      <c r="LY88" s="40"/>
      <c r="LZ88" s="40"/>
      <c r="MA88" s="40"/>
      <c r="MB88" s="40"/>
      <c r="MC88" s="40"/>
      <c r="MD88" s="40"/>
      <c r="ME88" s="40"/>
      <c r="MF88" s="40"/>
      <c r="MG88" s="40"/>
      <c r="MH88" s="40"/>
      <c r="MI88" s="40"/>
      <c r="MJ88" s="40"/>
      <c r="MK88" s="40"/>
      <c r="ML88" s="40"/>
      <c r="MM88" s="40"/>
      <c r="MN88" s="40"/>
      <c r="MO88" s="40"/>
      <c r="MP88" s="40"/>
      <c r="MQ88" s="40"/>
      <c r="MR88" s="40"/>
      <c r="MS88" s="40"/>
      <c r="MT88" s="40"/>
      <c r="MU88" s="40"/>
      <c r="MV88" s="40"/>
      <c r="MW88" s="40"/>
      <c r="MX88" s="40"/>
      <c r="MY88" s="40"/>
      <c r="MZ88" s="40"/>
      <c r="NA88" s="40"/>
      <c r="NB88" s="40"/>
      <c r="NC88" s="40"/>
      <c r="ND88" s="40"/>
      <c r="NE88" s="40"/>
      <c r="NF88" s="40"/>
      <c r="NG88" s="40"/>
      <c r="NH88" s="40"/>
      <c r="NI88" s="40"/>
      <c r="NJ88" s="40"/>
      <c r="NK88" s="40"/>
      <c r="NL88" s="40"/>
      <c r="NM88" s="40"/>
      <c r="NN88" s="40"/>
      <c r="NO88" s="40"/>
      <c r="NP88" s="40"/>
      <c r="NQ88" s="40"/>
      <c r="NR88" s="40"/>
      <c r="NS88" s="40"/>
      <c r="NT88" s="40"/>
      <c r="NU88" s="40"/>
      <c r="NV88" s="40"/>
      <c r="NW88" s="40"/>
      <c r="NX88" s="40"/>
      <c r="NY88" s="40"/>
      <c r="NZ88" s="40"/>
      <c r="OA88" s="40"/>
      <c r="OB88" s="40"/>
      <c r="OC88" s="40"/>
      <c r="OD88" s="40"/>
      <c r="OE88" s="40"/>
      <c r="OF88" s="40"/>
      <c r="OG88" s="40"/>
      <c r="OH88" s="40"/>
      <c r="OI88" s="40"/>
      <c r="OJ88" s="40"/>
      <c r="OK88" s="40"/>
      <c r="OL88" s="40"/>
      <c r="OM88" s="40"/>
      <c r="ON88" s="40"/>
      <c r="OO88" s="40"/>
      <c r="OP88" s="40"/>
      <c r="OQ88" s="40"/>
      <c r="OR88" s="40"/>
      <c r="OS88" s="40"/>
      <c r="OT88" s="40"/>
      <c r="OU88" s="40"/>
      <c r="OV88" s="40"/>
      <c r="OW88" s="40"/>
      <c r="OX88" s="40"/>
      <c r="OY88" s="40"/>
      <c r="OZ88" s="40"/>
      <c r="PA88" s="40"/>
      <c r="PB88" s="40"/>
      <c r="PC88" s="40"/>
      <c r="PD88" s="40"/>
      <c r="PE88" s="40"/>
      <c r="PF88" s="40"/>
      <c r="PG88" s="40"/>
      <c r="PH88" s="40"/>
      <c r="PI88" s="40"/>
      <c r="PJ88" s="40"/>
      <c r="PK88" s="40"/>
      <c r="PL88" s="40"/>
      <c r="PM88" s="40"/>
      <c r="PN88" s="40"/>
      <c r="PO88" s="40"/>
      <c r="PP88" s="40"/>
      <c r="PQ88" s="40"/>
      <c r="PR88" s="40"/>
      <c r="PS88" s="40"/>
      <c r="PT88" s="40"/>
      <c r="PU88" s="40"/>
      <c r="PV88" s="40"/>
      <c r="PW88" s="40"/>
      <c r="PX88" s="40"/>
      <c r="PY88" s="40"/>
      <c r="PZ88" s="40"/>
      <c r="QA88" s="40"/>
      <c r="QB88" s="40"/>
      <c r="QC88" s="40"/>
      <c r="QD88" s="40"/>
      <c r="QE88" s="40"/>
      <c r="QF88" s="40"/>
      <c r="QG88" s="40"/>
      <c r="QH88" s="40"/>
      <c r="QI88" s="40"/>
      <c r="QJ88" s="40"/>
      <c r="QK88" s="40"/>
      <c r="QL88" s="40"/>
      <c r="QM88" s="40"/>
      <c r="QN88" s="40"/>
      <c r="QO88" s="40"/>
      <c r="QP88" s="40"/>
      <c r="QQ88" s="40"/>
      <c r="QR88" s="40"/>
      <c r="QS88" s="40"/>
      <c r="QT88" s="40"/>
      <c r="QU88" s="40"/>
      <c r="QV88" s="40"/>
      <c r="QW88" s="40"/>
      <c r="QX88" s="40"/>
      <c r="QY88" s="40"/>
      <c r="QZ88" s="40"/>
      <c r="RA88" s="40"/>
      <c r="RB88" s="40"/>
      <c r="RC88" s="40"/>
      <c r="RD88" s="40"/>
      <c r="RE88" s="40"/>
      <c r="RF88" s="40"/>
      <c r="RG88" s="40"/>
      <c r="RH88" s="40"/>
      <c r="RI88" s="40"/>
      <c r="RJ88" s="40"/>
      <c r="RK88" s="40"/>
      <c r="RL88" s="40"/>
      <c r="RM88" s="40"/>
      <c r="RN88" s="40"/>
      <c r="RO88" s="40"/>
      <c r="RP88" s="40"/>
      <c r="RQ88" s="40"/>
      <c r="RR88" s="40"/>
      <c r="RS88" s="40"/>
      <c r="RT88" s="40"/>
      <c r="RU88" s="40"/>
      <c r="RV88" s="40"/>
      <c r="RW88" s="40"/>
      <c r="RX88" s="40"/>
      <c r="RY88" s="40"/>
      <c r="RZ88" s="40"/>
      <c r="SA88" s="40"/>
      <c r="SB88" s="40"/>
      <c r="SC88" s="40"/>
      <c r="SD88" s="40"/>
      <c r="SE88" s="40"/>
      <c r="SF88" s="40"/>
      <c r="SG88" s="40"/>
      <c r="SH88" s="40"/>
      <c r="SI88" s="40"/>
      <c r="SJ88" s="40"/>
      <c r="SK88" s="40"/>
      <c r="SL88" s="40"/>
      <c r="SM88" s="40"/>
      <c r="SN88" s="40"/>
      <c r="SO88" s="40"/>
      <c r="SP88" s="40"/>
      <c r="SQ88" s="40"/>
      <c r="SR88" s="40"/>
      <c r="SS88" s="40"/>
      <c r="ST88" s="40"/>
      <c r="SU88" s="40"/>
      <c r="SV88" s="40"/>
      <c r="SW88" s="40"/>
      <c r="SX88" s="40"/>
      <c r="SY88" s="40"/>
      <c r="SZ88" s="40"/>
      <c r="TA88" s="40"/>
      <c r="TB88" s="40"/>
      <c r="TC88" s="40"/>
      <c r="TD88" s="40"/>
      <c r="TE88" s="40"/>
      <c r="TF88" s="40"/>
      <c r="TG88" s="40"/>
      <c r="TH88" s="40"/>
      <c r="TI88" s="40"/>
      <c r="TJ88" s="40"/>
      <c r="TK88" s="40"/>
      <c r="TL88" s="40"/>
      <c r="TM88" s="40"/>
      <c r="TN88" s="40"/>
      <c r="TO88" s="40"/>
      <c r="TP88" s="40"/>
      <c r="TQ88" s="40"/>
      <c r="TR88" s="40"/>
      <c r="TS88" s="40"/>
      <c r="TT88" s="40"/>
      <c r="TU88" s="40"/>
      <c r="TV88" s="40"/>
      <c r="TW88" s="40"/>
      <c r="TX88" s="40"/>
      <c r="TY88" s="40"/>
      <c r="TZ88" s="40"/>
      <c r="UA88" s="40"/>
      <c r="UB88" s="40"/>
      <c r="UC88" s="40"/>
      <c r="UD88" s="40"/>
      <c r="UE88" s="40"/>
      <c r="UF88" s="40"/>
      <c r="UG88" s="40"/>
      <c r="UH88" s="40"/>
      <c r="UI88" s="40"/>
      <c r="UJ88" s="40"/>
      <c r="UK88" s="40"/>
      <c r="UL88" s="40"/>
      <c r="UM88" s="40"/>
      <c r="UN88" s="40"/>
      <c r="UO88" s="40"/>
      <c r="UP88" s="40"/>
      <c r="UQ88" s="40"/>
      <c r="UR88" s="40"/>
      <c r="US88" s="40"/>
      <c r="UT88" s="40"/>
      <c r="UU88" s="40"/>
      <c r="UV88" s="40"/>
      <c r="UW88" s="40"/>
      <c r="UX88" s="40"/>
      <c r="UY88" s="40"/>
      <c r="UZ88" s="40"/>
      <c r="VA88" s="40"/>
      <c r="VB88" s="40"/>
      <c r="VC88" s="40"/>
      <c r="VD88" s="40"/>
      <c r="VE88" s="40"/>
      <c r="VF88" s="40"/>
      <c r="VG88" s="40"/>
      <c r="VH88" s="40"/>
      <c r="VI88" s="40"/>
      <c r="VJ88" s="40"/>
      <c r="VK88" s="40"/>
      <c r="VL88" s="40"/>
      <c r="VM88" s="40"/>
      <c r="VN88" s="40"/>
      <c r="VO88" s="40"/>
      <c r="VP88" s="40"/>
      <c r="VQ88" s="40"/>
      <c r="VR88" s="40"/>
      <c r="VS88" s="40"/>
      <c r="VT88" s="40"/>
      <c r="VU88" s="40"/>
      <c r="VV88" s="40"/>
      <c r="VW88" s="40"/>
      <c r="VX88" s="40"/>
      <c r="VY88" s="40"/>
      <c r="VZ88" s="40"/>
      <c r="WA88" s="40"/>
      <c r="WB88" s="40"/>
      <c r="WC88" s="40"/>
      <c r="WD88" s="40"/>
      <c r="WE88" s="40"/>
      <c r="WF88" s="40"/>
      <c r="WG88" s="40"/>
      <c r="WH88" s="40"/>
      <c r="WI88" s="40"/>
      <c r="WJ88" s="40"/>
      <c r="WK88" s="40"/>
      <c r="WL88" s="40"/>
      <c r="WM88" s="40"/>
      <c r="WN88" s="40"/>
      <c r="WO88" s="40"/>
      <c r="WP88" s="40"/>
      <c r="WQ88" s="40"/>
      <c r="WR88" s="40"/>
      <c r="WS88" s="40"/>
      <c r="WT88" s="40"/>
      <c r="WU88" s="40"/>
      <c r="WV88" s="40"/>
      <c r="WW88" s="40"/>
      <c r="WX88" s="40"/>
      <c r="WY88" s="40"/>
      <c r="WZ88" s="40"/>
      <c r="XA88" s="40"/>
      <c r="XB88" s="40"/>
      <c r="XC88" s="40"/>
      <c r="XD88" s="40"/>
      <c r="XE88" s="40"/>
      <c r="XF88" s="40"/>
      <c r="XG88" s="40"/>
      <c r="XH88" s="40"/>
      <c r="XI88" s="40"/>
      <c r="XJ88" s="40"/>
      <c r="XK88" s="40"/>
      <c r="XL88" s="40"/>
      <c r="XM88" s="40"/>
      <c r="XN88" s="40"/>
      <c r="XO88" s="40"/>
      <c r="XP88" s="40"/>
      <c r="XQ88" s="40"/>
      <c r="XR88" s="40"/>
      <c r="XS88" s="40"/>
      <c r="XT88" s="40"/>
      <c r="XU88" s="40"/>
      <c r="XV88" s="40"/>
      <c r="XW88" s="40"/>
      <c r="XX88" s="40"/>
      <c r="XY88" s="40"/>
      <c r="XZ88" s="40"/>
      <c r="YA88" s="40"/>
      <c r="YB88" s="40"/>
      <c r="YC88" s="40"/>
      <c r="YD88" s="40"/>
      <c r="YE88" s="40"/>
      <c r="YF88" s="40"/>
      <c r="YG88" s="40"/>
      <c r="YH88" s="40"/>
      <c r="YI88" s="40"/>
      <c r="YJ88" s="40"/>
      <c r="YK88" s="40"/>
      <c r="YL88" s="40"/>
      <c r="YM88" s="40"/>
      <c r="YN88" s="40"/>
      <c r="YO88" s="40"/>
      <c r="YP88" s="40"/>
      <c r="YQ88" s="40"/>
      <c r="YR88" s="40"/>
      <c r="YS88" s="40"/>
      <c r="YT88" s="40"/>
      <c r="YU88" s="40"/>
      <c r="YV88" s="40"/>
      <c r="YW88" s="40"/>
      <c r="YX88" s="40"/>
      <c r="YY88" s="40"/>
      <c r="YZ88" s="40"/>
      <c r="ZA88" s="40"/>
      <c r="ZB88" s="40"/>
      <c r="ZC88" s="40"/>
      <c r="ZD88" s="40"/>
      <c r="ZE88" s="40"/>
      <c r="ZF88" s="40"/>
      <c r="ZG88" s="40"/>
      <c r="ZH88" s="40"/>
      <c r="ZI88" s="40"/>
      <c r="ZJ88" s="40"/>
      <c r="ZK88" s="40"/>
      <c r="ZL88" s="40"/>
      <c r="ZM88" s="40"/>
      <c r="ZN88" s="40"/>
      <c r="ZO88" s="40"/>
      <c r="ZP88" s="40"/>
      <c r="ZQ88" s="40"/>
      <c r="ZR88" s="40"/>
      <c r="ZS88" s="40"/>
      <c r="ZT88" s="40"/>
      <c r="ZU88" s="40"/>
      <c r="ZV88" s="40"/>
      <c r="ZW88" s="40"/>
      <c r="ZX88" s="40"/>
      <c r="ZY88" s="40"/>
      <c r="ZZ88" s="40"/>
      <c r="AAA88" s="40"/>
      <c r="AAB88" s="40"/>
      <c r="AAC88" s="40"/>
      <c r="AAD88" s="40"/>
      <c r="AAE88" s="40"/>
      <c r="AAF88" s="40"/>
      <c r="AAG88" s="40"/>
      <c r="AAH88" s="40"/>
      <c r="AAI88" s="40"/>
      <c r="AAJ88" s="40"/>
      <c r="AAK88" s="40"/>
      <c r="AAL88" s="40"/>
      <c r="AAM88" s="40"/>
      <c r="AAN88" s="40"/>
      <c r="AAO88" s="40"/>
      <c r="AAP88" s="40"/>
      <c r="AAQ88" s="40"/>
      <c r="AAR88" s="40"/>
      <c r="AAS88" s="40"/>
      <c r="AAT88" s="40"/>
      <c r="AAU88" s="40"/>
      <c r="AAV88" s="40"/>
      <c r="AAW88" s="40"/>
      <c r="AAX88" s="40"/>
      <c r="AAY88" s="40"/>
      <c r="AAZ88" s="40"/>
      <c r="ABA88" s="40"/>
      <c r="ABB88" s="40"/>
      <c r="ABC88" s="40"/>
      <c r="ABD88" s="40"/>
      <c r="ABE88" s="40"/>
      <c r="ABF88" s="40"/>
    </row>
    <row r="89" spans="1:734" x14ac:dyDescent="0.2">
      <c r="A89" s="20" t="str">
        <f>'School Level Inst. Resources'!A89</f>
        <v>0601000</v>
      </c>
      <c r="B89" s="20" t="str">
        <f>'School Level Inst. Resources'!B89</f>
        <v>Crook #1</v>
      </c>
      <c r="C89" s="20" t="str">
        <f>'School Level Inst. Resources'!C89</f>
        <v>0601048</v>
      </c>
      <c r="D89" s="20" t="str">
        <f>'School Level Inst. Resources'!D89</f>
        <v>Sundance Secondary</v>
      </c>
      <c r="E89" s="138" t="str">
        <f>'School Level Inst. Resources'!E89</f>
        <v>7-12</v>
      </c>
      <c r="F89" s="317">
        <f>IF(AND($A$2=4,VLOOKUP($A89,'District Level ADM'!$A$5:$W$52,5,FALSE)="Prior Year"),AH89,IF(AND($A$2=4,VLOOKUP($A89,'District Level ADM'!$A$5:$W$52,5,FALSE)="3-Year Avg."),T89,IF($A$2=2,AH89,IF($A$2=3,T89,IF(($AG89&gt;$AU89),T89,AH89)))))</f>
        <v>0</v>
      </c>
      <c r="G89" s="317">
        <f>IF(AND($A$2=4,VLOOKUP($A89,'District Level ADM'!$A$5:$W$52,5,FALSE)="Prior Year"),AI89,IF(AND($A$2=4,VLOOKUP($A89,'District Level ADM'!$A$5:$W$52,5,FALSE)="3-Year Avg."),U89,IF($A$2=2,AI89,IF($A$2=3,U89,IF(($AG89&gt;$AU89),U89,AI89)))))</f>
        <v>0</v>
      </c>
      <c r="H89" s="317">
        <f>IF(AND($A$2=4,VLOOKUP($A89,'District Level ADM'!$A$5:$W$52,5,FALSE)="Prior Year"),AJ89,IF(AND($A$2=4,VLOOKUP($A89,'District Level ADM'!$A$5:$W$52,5,FALSE)="3-Year Avg."),V89,IF($A$2=2,AJ89,IF($A$2=3,V89,IF(($AG89&gt;$AU89),V89,AJ89)))))</f>
        <v>0</v>
      </c>
      <c r="I89" s="317">
        <f>IF(AND($A$2=4,VLOOKUP($A89,'District Level ADM'!$A$5:$W$52,5,FALSE)="Prior Year"),AK89,IF(AND($A$2=4,VLOOKUP($A89,'District Level ADM'!$A$5:$W$52,5,FALSE)="3-Year Avg."),W89,IF($A$2=2,AK89,IF($A$2=3,W89,IF(($AG89&gt;$AU89),W89,AK89)))))</f>
        <v>0</v>
      </c>
      <c r="J89" s="317">
        <f>IF(AND($A$2=4,VLOOKUP($A89,'District Level ADM'!$A$5:$W$52,5,FALSE)="Prior Year"),AL89,IF(AND($A$2=4,VLOOKUP($A89,'District Level ADM'!$A$5:$W$52,5,FALSE)="3-Year Avg."),X89,IF($A$2=2,AL89,IF($A$2=3,X89,IF(($AG89&gt;$AU89),X89,AL89)))))</f>
        <v>0</v>
      </c>
      <c r="K89" s="317">
        <f>IF(AND($A$2=4,VLOOKUP($A89,'District Level ADM'!$A$5:$W$52,5,FALSE)="Prior Year"),AM89,IF(AND($A$2=4,VLOOKUP($A89,'District Level ADM'!$A$5:$W$52,5,FALSE)="3-Year Avg."),Y89,IF($A$2=2,AM89,IF($A$2=3,Y89,IF(($AG89&gt;$AU89),Y89,AM89)))))</f>
        <v>0</v>
      </c>
      <c r="L89" s="317">
        <f>IF(AND($A$2=4,VLOOKUP($A89,'District Level ADM'!$A$5:$W$52,5,FALSE)="Prior Year"),AN89,IF(AND($A$2=4,VLOOKUP($A89,'District Level ADM'!$A$5:$W$52,5,FALSE)="3-Year Avg."),Z89,IF($A$2=2,AN89,IF($A$2=3,Z89,IF(($AG89&gt;$AU89),Z89,AN89)))))</f>
        <v>0</v>
      </c>
      <c r="M89" s="317">
        <f>IF(AND($A$2=4,VLOOKUP($A89,'District Level ADM'!$A$5:$W$52,5,FALSE)="Prior Year"),AO89,IF(AND($A$2=4,VLOOKUP($A89,'District Level ADM'!$A$5:$W$52,5,FALSE)="3-Year Avg."),AA89,IF($A$2=2,AO89,IF($A$2=3,AA89,IF(($AG89&gt;$AU89),AA89,AO89)))))</f>
        <v>31.368666666666666</v>
      </c>
      <c r="N89" s="317">
        <f>IF(AND($A$2=4,VLOOKUP($A89,'District Level ADM'!$A$5:$W$52,5,FALSE)="Prior Year"),AP89,IF(AND($A$2=4,VLOOKUP($A89,'District Level ADM'!$A$5:$W$52,5,FALSE)="3-Year Avg."),AB89,IF($A$2=2,AP89,IF($A$2=3,AB89,IF(($AG89&gt;$AU89),AB89,AP89)))))</f>
        <v>30.056000000000001</v>
      </c>
      <c r="O89" s="317">
        <f>IF(AND($A$2=4,VLOOKUP($A89,'District Level ADM'!$A$5:$W$52,5,FALSE)="Prior Year"),AQ89,IF(AND($A$2=4,VLOOKUP($A89,'District Level ADM'!$A$5:$W$52,5,FALSE)="3-Year Avg."),AC89,IF($A$2=2,AQ89,IF($A$2=3,AC89,IF(($AG89&gt;$AU89),AC89,AQ89)))))</f>
        <v>31.323666666666668</v>
      </c>
      <c r="P89" s="317">
        <f>IF(AND($A$2=4,VLOOKUP($A89,'District Level ADM'!$A$5:$W$52,5,FALSE)="Prior Year"),AR89,IF(AND($A$2=4,VLOOKUP($A89,'District Level ADM'!$A$5:$W$52,5,FALSE)="3-Year Avg."),AD89,IF($A$2=2,AR89,IF($A$2=3,AD89,IF(($AG89&gt;$AU89),AD89,AR89)))))</f>
        <v>29.550666666666668</v>
      </c>
      <c r="Q89" s="317">
        <f>IF(AND($A$2=4,VLOOKUP($A89,'District Level ADM'!$A$5:$W$52,5,FALSE)="Prior Year"),AS89,IF(AND($A$2=4,VLOOKUP($A89,'District Level ADM'!$A$5:$W$52,5,FALSE)="3-Year Avg."),AE89,IF($A$2=2,AS89,IF($A$2=3,AE89,IF(($AG89&gt;$AU89),AE89,AS89)))))</f>
        <v>25.395666666666667</v>
      </c>
      <c r="R89" s="317">
        <f>IF(AND($A$2=4,VLOOKUP($A89,'District Level ADM'!$A$5:$W$52,5,FALSE)="Prior Year"),AT89,IF(AND($A$2=4,VLOOKUP($A89,'District Level ADM'!$A$5:$W$52,5,FALSE)="3-Year Avg."),AF89,IF($A$2=2,AT89,IF($A$2=3,AF89,IF(($AG89&gt;$AU89),AF89,AT89)))))</f>
        <v>25.48266666666667</v>
      </c>
      <c r="S89" s="317">
        <f t="shared" si="13"/>
        <v>173.17733333333334</v>
      </c>
      <c r="T89" s="317">
        <f t="shared" si="20"/>
        <v>0</v>
      </c>
      <c r="U89" s="317">
        <f t="shared" si="20"/>
        <v>0</v>
      </c>
      <c r="V89" s="317">
        <f t="shared" si="20"/>
        <v>0</v>
      </c>
      <c r="W89" s="317">
        <f t="shared" si="19"/>
        <v>0</v>
      </c>
      <c r="X89" s="317">
        <f t="shared" si="19"/>
        <v>0</v>
      </c>
      <c r="Y89" s="317">
        <f t="shared" si="19"/>
        <v>0</v>
      </c>
      <c r="Z89" s="317">
        <f t="shared" si="19"/>
        <v>0</v>
      </c>
      <c r="AA89" s="317">
        <f t="shared" si="19"/>
        <v>31.368666666666666</v>
      </c>
      <c r="AB89" s="317">
        <f t="shared" si="19"/>
        <v>30.056000000000001</v>
      </c>
      <c r="AC89" s="317">
        <f t="shared" si="18"/>
        <v>31.323666666666668</v>
      </c>
      <c r="AD89" s="317">
        <f t="shared" si="18"/>
        <v>29.550666666666668</v>
      </c>
      <c r="AE89" s="317">
        <f t="shared" si="18"/>
        <v>25.395666666666667</v>
      </c>
      <c r="AF89" s="317">
        <f t="shared" si="18"/>
        <v>25.48266666666667</v>
      </c>
      <c r="AG89" s="317">
        <f t="shared" si="14"/>
        <v>173.17733333333334</v>
      </c>
      <c r="AH89" s="318">
        <v>0</v>
      </c>
      <c r="AI89" s="318">
        <v>0</v>
      </c>
      <c r="AJ89" s="318">
        <v>0</v>
      </c>
      <c r="AK89" s="318">
        <v>0</v>
      </c>
      <c r="AL89" s="318">
        <v>0</v>
      </c>
      <c r="AM89" s="318">
        <v>0</v>
      </c>
      <c r="AN89" s="318">
        <v>0</v>
      </c>
      <c r="AO89" s="318">
        <v>30.535</v>
      </c>
      <c r="AP89" s="318">
        <v>24.625</v>
      </c>
      <c r="AQ89" s="318">
        <v>32.505000000000003</v>
      </c>
      <c r="AR89" s="318">
        <v>31.52</v>
      </c>
      <c r="AS89" s="318">
        <v>25.61</v>
      </c>
      <c r="AT89" s="318">
        <v>24.625</v>
      </c>
      <c r="AU89" s="317">
        <f t="shared" si="15"/>
        <v>169.42</v>
      </c>
      <c r="AV89" s="319">
        <v>0</v>
      </c>
      <c r="AW89" s="319">
        <v>0</v>
      </c>
      <c r="AX89" s="319">
        <v>0</v>
      </c>
      <c r="AY89" s="319">
        <v>0</v>
      </c>
      <c r="AZ89" s="319">
        <v>0</v>
      </c>
      <c r="BA89" s="319">
        <v>0</v>
      </c>
      <c r="BB89" s="319">
        <v>0</v>
      </c>
      <c r="BC89" s="319">
        <v>29.010999999999999</v>
      </c>
      <c r="BD89" s="319">
        <v>34.594000000000001</v>
      </c>
      <c r="BE89" s="319">
        <v>29.135000000000002</v>
      </c>
      <c r="BF89" s="319">
        <v>28.32</v>
      </c>
      <c r="BG89" s="319">
        <v>25.183</v>
      </c>
      <c r="BH89" s="319">
        <v>25.492000000000001</v>
      </c>
      <c r="BI89" s="317">
        <f t="shared" si="16"/>
        <v>171.73499999999999</v>
      </c>
      <c r="BJ89" s="316">
        <v>0</v>
      </c>
      <c r="BK89" s="316">
        <v>0</v>
      </c>
      <c r="BL89" s="316">
        <v>0</v>
      </c>
      <c r="BM89" s="316">
        <v>0</v>
      </c>
      <c r="BN89" s="316">
        <v>0</v>
      </c>
      <c r="BO89" s="316">
        <v>0</v>
      </c>
      <c r="BP89" s="316">
        <v>0</v>
      </c>
      <c r="BQ89" s="316">
        <v>34.56</v>
      </c>
      <c r="BR89" s="316">
        <v>30.949000000000002</v>
      </c>
      <c r="BS89" s="316">
        <v>32.331000000000003</v>
      </c>
      <c r="BT89" s="316">
        <v>28.812000000000001</v>
      </c>
      <c r="BU89" s="316">
        <v>25.394000000000002</v>
      </c>
      <c r="BV89" s="316">
        <v>26.331000000000003</v>
      </c>
      <c r="BW89" s="317">
        <f t="shared" si="17"/>
        <v>178.37700000000001</v>
      </c>
    </row>
    <row r="90" spans="1:734" x14ac:dyDescent="0.2">
      <c r="A90" s="20" t="str">
        <f>'School Level Inst. Resources'!A90</f>
        <v>0601000</v>
      </c>
      <c r="B90" s="20" t="str">
        <f>'School Level Inst. Resources'!B90</f>
        <v>Crook #1</v>
      </c>
      <c r="C90" s="20" t="str">
        <f>'School Level Inst. Resources'!C90</f>
        <v>0601049</v>
      </c>
      <c r="D90" s="20" t="str">
        <f>'School Level Inst. Resources'!D90</f>
        <v>Hulett School</v>
      </c>
      <c r="E90" s="138" t="str">
        <f>'School Level Inst. Resources'!E90</f>
        <v>K-12</v>
      </c>
      <c r="F90" s="317">
        <f>IF(AND($A$2=4,VLOOKUP($A90,'District Level ADM'!$A$5:$W$52,5,FALSE)="Prior Year"),AH90,IF(AND($A$2=4,VLOOKUP($A90,'District Level ADM'!$A$5:$W$52,5,FALSE)="3-Year Avg."),T90,IF($A$2=2,AH90,IF($A$2=3,T90,IF(($AG90&gt;$AU90),T90,AH90)))))</f>
        <v>8.1663333333333341</v>
      </c>
      <c r="G90" s="317">
        <f>IF(AND($A$2=4,VLOOKUP($A90,'District Level ADM'!$A$5:$W$52,5,FALSE)="Prior Year"),AI90,IF(AND($A$2=4,VLOOKUP($A90,'District Level ADM'!$A$5:$W$52,5,FALSE)="3-Year Avg."),U90,IF($A$2=2,AI90,IF($A$2=3,U90,IF(($AG90&gt;$AU90),U90,AI90)))))</f>
        <v>6.96</v>
      </c>
      <c r="H90" s="317">
        <f>IF(AND($A$2=4,VLOOKUP($A90,'District Level ADM'!$A$5:$W$52,5,FALSE)="Prior Year"),AJ90,IF(AND($A$2=4,VLOOKUP($A90,'District Level ADM'!$A$5:$W$52,5,FALSE)="3-Year Avg."),V90,IF($A$2=2,AJ90,IF($A$2=3,V90,IF(($AG90&gt;$AU90),V90,AJ90)))))</f>
        <v>6.1223333333333336</v>
      </c>
      <c r="I90" s="317">
        <f>IF(AND($A$2=4,VLOOKUP($A90,'District Level ADM'!$A$5:$W$52,5,FALSE)="Prior Year"),AK90,IF(AND($A$2=4,VLOOKUP($A90,'District Level ADM'!$A$5:$W$52,5,FALSE)="3-Year Avg."),W90,IF($A$2=2,AK90,IF($A$2=3,W90,IF(($AG90&gt;$AU90),W90,AK90)))))</f>
        <v>8.1993333333333336</v>
      </c>
      <c r="J90" s="317">
        <f>IF(AND($A$2=4,VLOOKUP($A90,'District Level ADM'!$A$5:$W$52,5,FALSE)="Prior Year"),AL90,IF(AND($A$2=4,VLOOKUP($A90,'District Level ADM'!$A$5:$W$52,5,FALSE)="3-Year Avg."),X90,IF($A$2=2,AL90,IF($A$2=3,X90,IF(($AG90&gt;$AU90),X90,AL90)))))</f>
        <v>11.133333333333333</v>
      </c>
      <c r="K90" s="317">
        <f>IF(AND($A$2=4,VLOOKUP($A90,'District Level ADM'!$A$5:$W$52,5,FALSE)="Prior Year"),AM90,IF(AND($A$2=4,VLOOKUP($A90,'District Level ADM'!$A$5:$W$52,5,FALSE)="3-Year Avg."),Y90,IF($A$2=2,AM90,IF($A$2=3,Y90,IF(($AG90&gt;$AU90),Y90,AM90)))))</f>
        <v>12.921333333333331</v>
      </c>
      <c r="L90" s="317">
        <f>IF(AND($A$2=4,VLOOKUP($A90,'District Level ADM'!$A$5:$W$52,5,FALSE)="Prior Year"),AN90,IF(AND($A$2=4,VLOOKUP($A90,'District Level ADM'!$A$5:$W$52,5,FALSE)="3-Year Avg."),Z90,IF($A$2=2,AN90,IF($A$2=3,Z90,IF(($AG90&gt;$AU90),Z90,AN90)))))</f>
        <v>14.525</v>
      </c>
      <c r="M90" s="317">
        <f>IF(AND($A$2=4,VLOOKUP($A90,'District Level ADM'!$A$5:$W$52,5,FALSE)="Prior Year"),AO90,IF(AND($A$2=4,VLOOKUP($A90,'District Level ADM'!$A$5:$W$52,5,FALSE)="3-Year Avg."),AA90,IF($A$2=2,AO90,IF($A$2=3,AA90,IF(($AG90&gt;$AU90),AA90,AO90)))))</f>
        <v>12.860999999999999</v>
      </c>
      <c r="N90" s="317">
        <f>IF(AND($A$2=4,VLOOKUP($A90,'District Level ADM'!$A$5:$W$52,5,FALSE)="Prior Year"),AP90,IF(AND($A$2=4,VLOOKUP($A90,'District Level ADM'!$A$5:$W$52,5,FALSE)="3-Year Avg."),AB90,IF($A$2=2,AP90,IF($A$2=3,AB90,IF(($AG90&gt;$AU90),AB90,AP90)))))</f>
        <v>14.014000000000001</v>
      </c>
      <c r="O90" s="317">
        <f>IF(AND($A$2=4,VLOOKUP($A90,'District Level ADM'!$A$5:$W$52,5,FALSE)="Prior Year"),AQ90,IF(AND($A$2=4,VLOOKUP($A90,'District Level ADM'!$A$5:$W$52,5,FALSE)="3-Year Avg."),AC90,IF($A$2=2,AQ90,IF($A$2=3,AC90,IF(($AG90&gt;$AU90),AC90,AQ90)))))</f>
        <v>11.784333333333334</v>
      </c>
      <c r="P90" s="317">
        <f>IF(AND($A$2=4,VLOOKUP($A90,'District Level ADM'!$A$5:$W$52,5,FALSE)="Prior Year"),AR90,IF(AND($A$2=4,VLOOKUP($A90,'District Level ADM'!$A$5:$W$52,5,FALSE)="3-Year Avg."),AD90,IF($A$2=2,AR90,IF($A$2=3,AD90,IF(($AG90&gt;$AU90),AD90,AR90)))))</f>
        <v>13.679666666666668</v>
      </c>
      <c r="Q90" s="317">
        <f>IF(AND($A$2=4,VLOOKUP($A90,'District Level ADM'!$A$5:$W$52,5,FALSE)="Prior Year"),AS90,IF(AND($A$2=4,VLOOKUP($A90,'District Level ADM'!$A$5:$W$52,5,FALSE)="3-Year Avg."),AE90,IF($A$2=2,AS90,IF($A$2=3,AE90,IF(($AG90&gt;$AU90),AE90,AS90)))))</f>
        <v>11.586333333333334</v>
      </c>
      <c r="R90" s="317">
        <f>IF(AND($A$2=4,VLOOKUP($A90,'District Level ADM'!$A$5:$W$52,5,FALSE)="Prior Year"),AT90,IF(AND($A$2=4,VLOOKUP($A90,'District Level ADM'!$A$5:$W$52,5,FALSE)="3-Year Avg."),AF90,IF($A$2=2,AT90,IF($A$2=3,AF90,IF(($AG90&gt;$AU90),AF90,AT90)))))</f>
        <v>11.268333333333333</v>
      </c>
      <c r="S90" s="317">
        <f t="shared" si="13"/>
        <v>143.22133333333335</v>
      </c>
      <c r="T90" s="317">
        <f t="shared" si="20"/>
        <v>8.1663333333333341</v>
      </c>
      <c r="U90" s="317">
        <f t="shared" si="20"/>
        <v>6.96</v>
      </c>
      <c r="V90" s="317">
        <f t="shared" si="20"/>
        <v>6.1223333333333336</v>
      </c>
      <c r="W90" s="317">
        <f t="shared" si="19"/>
        <v>8.1993333333333336</v>
      </c>
      <c r="X90" s="317">
        <f t="shared" si="19"/>
        <v>11.133333333333333</v>
      </c>
      <c r="Y90" s="317">
        <f t="shared" si="19"/>
        <v>12.921333333333331</v>
      </c>
      <c r="Z90" s="317">
        <f t="shared" si="19"/>
        <v>14.525</v>
      </c>
      <c r="AA90" s="317">
        <f t="shared" si="19"/>
        <v>12.860999999999999</v>
      </c>
      <c r="AB90" s="317">
        <f t="shared" si="19"/>
        <v>14.014000000000001</v>
      </c>
      <c r="AC90" s="317">
        <f t="shared" si="18"/>
        <v>11.784333333333334</v>
      </c>
      <c r="AD90" s="317">
        <f t="shared" si="18"/>
        <v>13.679666666666668</v>
      </c>
      <c r="AE90" s="317">
        <f t="shared" si="18"/>
        <v>11.586333333333334</v>
      </c>
      <c r="AF90" s="317">
        <f t="shared" si="18"/>
        <v>11.268333333333333</v>
      </c>
      <c r="AG90" s="317">
        <f t="shared" si="14"/>
        <v>143.22133333333335</v>
      </c>
      <c r="AH90" s="318">
        <v>8.8650000000000002</v>
      </c>
      <c r="AI90" s="318">
        <v>7.88</v>
      </c>
      <c r="AJ90" s="318">
        <v>5.91</v>
      </c>
      <c r="AK90" s="318">
        <v>6.8949999999999996</v>
      </c>
      <c r="AL90" s="318">
        <v>7.88</v>
      </c>
      <c r="AM90" s="318">
        <v>9.85</v>
      </c>
      <c r="AN90" s="318">
        <v>14.775</v>
      </c>
      <c r="AO90" s="318">
        <v>15.76</v>
      </c>
      <c r="AP90" s="318">
        <v>16.745000000000001</v>
      </c>
      <c r="AQ90" s="318">
        <v>9.85</v>
      </c>
      <c r="AR90" s="318">
        <v>20.684999999999999</v>
      </c>
      <c r="AS90" s="318">
        <v>9.85</v>
      </c>
      <c r="AT90" s="318">
        <v>12.805</v>
      </c>
      <c r="AU90" s="317">
        <f t="shared" si="15"/>
        <v>147.75</v>
      </c>
      <c r="AV90" s="319">
        <v>8.234</v>
      </c>
      <c r="AW90" s="319">
        <v>6</v>
      </c>
      <c r="AX90" s="319">
        <v>5.7309999999999999</v>
      </c>
      <c r="AY90" s="319">
        <v>7.0739999999999998</v>
      </c>
      <c r="AZ90" s="319">
        <v>10</v>
      </c>
      <c r="BA90" s="319">
        <v>14.513999999999999</v>
      </c>
      <c r="BB90" s="319">
        <v>13.663</v>
      </c>
      <c r="BC90" s="319">
        <v>13.869</v>
      </c>
      <c r="BD90" s="319">
        <v>8</v>
      </c>
      <c r="BE90" s="319">
        <v>17.457000000000001</v>
      </c>
      <c r="BF90" s="319">
        <v>7.6740000000000004</v>
      </c>
      <c r="BG90" s="319">
        <v>14</v>
      </c>
      <c r="BH90" s="319">
        <v>10.531000000000001</v>
      </c>
      <c r="BI90" s="317">
        <f t="shared" si="16"/>
        <v>136.74700000000001</v>
      </c>
      <c r="BJ90" s="316">
        <v>7.4</v>
      </c>
      <c r="BK90" s="316">
        <v>7</v>
      </c>
      <c r="BL90" s="316">
        <v>6.726</v>
      </c>
      <c r="BM90" s="316">
        <v>10.629</v>
      </c>
      <c r="BN90" s="316">
        <v>15.52</v>
      </c>
      <c r="BO90" s="316">
        <v>14.4</v>
      </c>
      <c r="BP90" s="316">
        <v>15.137</v>
      </c>
      <c r="BQ90" s="316">
        <v>8.9540000000000006</v>
      </c>
      <c r="BR90" s="316">
        <v>17.297000000000001</v>
      </c>
      <c r="BS90" s="316">
        <v>8.0459999999999994</v>
      </c>
      <c r="BT90" s="316">
        <v>12.68</v>
      </c>
      <c r="BU90" s="316">
        <v>10.909000000000001</v>
      </c>
      <c r="BV90" s="316">
        <v>10.468999999999999</v>
      </c>
      <c r="BW90" s="317">
        <f t="shared" si="17"/>
        <v>145.167</v>
      </c>
    </row>
    <row r="91" spans="1:734" s="320" customFormat="1" x14ac:dyDescent="0.2">
      <c r="A91" s="20" t="str">
        <f>'School Level Inst. Resources'!A91</f>
        <v>0601000</v>
      </c>
      <c r="B91" s="20" t="str">
        <f>'School Level Inst. Resources'!B91</f>
        <v>Crook #1</v>
      </c>
      <c r="C91" s="20" t="str">
        <f>'School Level Inst. Resources'!C91</f>
        <v>0601056</v>
      </c>
      <c r="D91" s="20" t="str">
        <f>'School Level Inst. Resources'!D91</f>
        <v>Moorcroft High School</v>
      </c>
      <c r="E91" s="138" t="str">
        <f>'School Level Inst. Resources'!E91</f>
        <v>9-12</v>
      </c>
      <c r="F91" s="317">
        <f>IF(AND($A$2=4,VLOOKUP($A91,'District Level ADM'!$A$5:$W$52,5,FALSE)="Prior Year"),AH91,IF(AND($A$2=4,VLOOKUP($A91,'District Level ADM'!$A$5:$W$52,5,FALSE)="3-Year Avg."),T91,IF($A$2=2,AH91,IF($A$2=3,T91,IF(($AG91&gt;$AU91),T91,AH91)))))</f>
        <v>0</v>
      </c>
      <c r="G91" s="317">
        <f>IF(AND($A$2=4,VLOOKUP($A91,'District Level ADM'!$A$5:$W$52,5,FALSE)="Prior Year"),AI91,IF(AND($A$2=4,VLOOKUP($A91,'District Level ADM'!$A$5:$W$52,5,FALSE)="3-Year Avg."),U91,IF($A$2=2,AI91,IF($A$2=3,U91,IF(($AG91&gt;$AU91),U91,AI91)))))</f>
        <v>0</v>
      </c>
      <c r="H91" s="317">
        <f>IF(AND($A$2=4,VLOOKUP($A91,'District Level ADM'!$A$5:$W$52,5,FALSE)="Prior Year"),AJ91,IF(AND($A$2=4,VLOOKUP($A91,'District Level ADM'!$A$5:$W$52,5,FALSE)="3-Year Avg."),V91,IF($A$2=2,AJ91,IF($A$2=3,V91,IF(($AG91&gt;$AU91),V91,AJ91)))))</f>
        <v>0</v>
      </c>
      <c r="I91" s="317">
        <f>IF(AND($A$2=4,VLOOKUP($A91,'District Level ADM'!$A$5:$W$52,5,FALSE)="Prior Year"),AK91,IF(AND($A$2=4,VLOOKUP($A91,'District Level ADM'!$A$5:$W$52,5,FALSE)="3-Year Avg."),W91,IF($A$2=2,AK91,IF($A$2=3,W91,IF(($AG91&gt;$AU91),W91,AK91)))))</f>
        <v>0</v>
      </c>
      <c r="J91" s="317">
        <f>IF(AND($A$2=4,VLOOKUP($A91,'District Level ADM'!$A$5:$W$52,5,FALSE)="Prior Year"),AL91,IF(AND($A$2=4,VLOOKUP($A91,'District Level ADM'!$A$5:$W$52,5,FALSE)="3-Year Avg."),X91,IF($A$2=2,AL91,IF($A$2=3,X91,IF(($AG91&gt;$AU91),X91,AL91)))))</f>
        <v>0</v>
      </c>
      <c r="K91" s="317">
        <f>IF(AND($A$2=4,VLOOKUP($A91,'District Level ADM'!$A$5:$W$52,5,FALSE)="Prior Year"),AM91,IF(AND($A$2=4,VLOOKUP($A91,'District Level ADM'!$A$5:$W$52,5,FALSE)="3-Year Avg."),Y91,IF($A$2=2,AM91,IF($A$2=3,Y91,IF(($AG91&gt;$AU91),Y91,AM91)))))</f>
        <v>0</v>
      </c>
      <c r="L91" s="317">
        <f>IF(AND($A$2=4,VLOOKUP($A91,'District Level ADM'!$A$5:$W$52,5,FALSE)="Prior Year"),AN91,IF(AND($A$2=4,VLOOKUP($A91,'District Level ADM'!$A$5:$W$52,5,FALSE)="3-Year Avg."),Z91,IF($A$2=2,AN91,IF($A$2=3,Z91,IF(($AG91&gt;$AU91),Z91,AN91)))))</f>
        <v>0</v>
      </c>
      <c r="M91" s="317">
        <f>IF(AND($A$2=4,VLOOKUP($A91,'District Level ADM'!$A$5:$W$52,5,FALSE)="Prior Year"),AO91,IF(AND($A$2=4,VLOOKUP($A91,'District Level ADM'!$A$5:$W$52,5,FALSE)="3-Year Avg."),AA91,IF($A$2=2,AO91,IF($A$2=3,AA91,IF(($AG91&gt;$AU91),AA91,AO91)))))</f>
        <v>0</v>
      </c>
      <c r="N91" s="317">
        <f>IF(AND($A$2=4,VLOOKUP($A91,'District Level ADM'!$A$5:$W$52,5,FALSE)="Prior Year"),AP91,IF(AND($A$2=4,VLOOKUP($A91,'District Level ADM'!$A$5:$W$52,5,FALSE)="3-Year Avg."),AB91,IF($A$2=2,AP91,IF($A$2=3,AB91,IF(($AG91&gt;$AU91),AB91,AP91)))))</f>
        <v>0</v>
      </c>
      <c r="O91" s="317">
        <f>IF(AND($A$2=4,VLOOKUP($A91,'District Level ADM'!$A$5:$W$52,5,FALSE)="Prior Year"),AQ91,IF(AND($A$2=4,VLOOKUP($A91,'District Level ADM'!$A$5:$W$52,5,FALSE)="3-Year Avg."),AC91,IF($A$2=2,AQ91,IF($A$2=3,AC91,IF(($AG91&gt;$AU91),AC91,AQ91)))))</f>
        <v>44.062333333333328</v>
      </c>
      <c r="P91" s="317">
        <f>IF(AND($A$2=4,VLOOKUP($A91,'District Level ADM'!$A$5:$W$52,5,FALSE)="Prior Year"),AR91,IF(AND($A$2=4,VLOOKUP($A91,'District Level ADM'!$A$5:$W$52,5,FALSE)="3-Year Avg."),AD91,IF($A$2=2,AR91,IF($A$2=3,AD91,IF(($AG91&gt;$AU91),AD91,AR91)))))</f>
        <v>44.627000000000002</v>
      </c>
      <c r="Q91" s="317">
        <f>IF(AND($A$2=4,VLOOKUP($A91,'District Level ADM'!$A$5:$W$52,5,FALSE)="Prior Year"),AS91,IF(AND($A$2=4,VLOOKUP($A91,'District Level ADM'!$A$5:$W$52,5,FALSE)="3-Year Avg."),AE91,IF($A$2=2,AS91,IF($A$2=3,AE91,IF(($AG91&gt;$AU91),AE91,AS91)))))</f>
        <v>45.157000000000004</v>
      </c>
      <c r="R91" s="317">
        <f>IF(AND($A$2=4,VLOOKUP($A91,'District Level ADM'!$A$5:$W$52,5,FALSE)="Prior Year"),AT91,IF(AND($A$2=4,VLOOKUP($A91,'District Level ADM'!$A$5:$W$52,5,FALSE)="3-Year Avg."),AF91,IF($A$2=2,AT91,IF($A$2=3,AF91,IF(($AG91&gt;$AU91),AF91,AT91)))))</f>
        <v>43.968666666666671</v>
      </c>
      <c r="S91" s="317">
        <f t="shared" si="13"/>
        <v>177.81500000000003</v>
      </c>
      <c r="T91" s="317">
        <f t="shared" si="20"/>
        <v>0</v>
      </c>
      <c r="U91" s="317">
        <f t="shared" si="20"/>
        <v>0</v>
      </c>
      <c r="V91" s="317">
        <f t="shared" si="20"/>
        <v>0</v>
      </c>
      <c r="W91" s="317">
        <f t="shared" si="19"/>
        <v>0</v>
      </c>
      <c r="X91" s="317">
        <f t="shared" si="19"/>
        <v>0</v>
      </c>
      <c r="Y91" s="317">
        <f t="shared" si="19"/>
        <v>0</v>
      </c>
      <c r="Z91" s="317">
        <f t="shared" si="19"/>
        <v>0</v>
      </c>
      <c r="AA91" s="317">
        <f t="shared" si="19"/>
        <v>0</v>
      </c>
      <c r="AB91" s="317">
        <f t="shared" si="19"/>
        <v>0</v>
      </c>
      <c r="AC91" s="317">
        <f t="shared" si="18"/>
        <v>44.062333333333328</v>
      </c>
      <c r="AD91" s="317">
        <f t="shared" si="18"/>
        <v>44.627000000000002</v>
      </c>
      <c r="AE91" s="317">
        <f t="shared" si="18"/>
        <v>45.157000000000004</v>
      </c>
      <c r="AF91" s="317">
        <f t="shared" si="18"/>
        <v>43.968666666666671</v>
      </c>
      <c r="AG91" s="317">
        <f t="shared" si="14"/>
        <v>177.81500000000003</v>
      </c>
      <c r="AH91" s="318">
        <v>0</v>
      </c>
      <c r="AI91" s="318">
        <v>0</v>
      </c>
      <c r="AJ91" s="318">
        <v>0</v>
      </c>
      <c r="AK91" s="318">
        <v>0</v>
      </c>
      <c r="AL91" s="318">
        <v>0</v>
      </c>
      <c r="AM91" s="318">
        <v>0</v>
      </c>
      <c r="AN91" s="318">
        <v>0</v>
      </c>
      <c r="AO91" s="318">
        <v>0</v>
      </c>
      <c r="AP91" s="318">
        <v>0</v>
      </c>
      <c r="AQ91" s="318">
        <v>41.37</v>
      </c>
      <c r="AR91" s="318">
        <v>37.43</v>
      </c>
      <c r="AS91" s="318">
        <v>40.384999999999998</v>
      </c>
      <c r="AT91" s="318">
        <v>49.25</v>
      </c>
      <c r="AU91" s="317">
        <f t="shared" si="15"/>
        <v>168.435</v>
      </c>
      <c r="AV91" s="319">
        <v>0</v>
      </c>
      <c r="AW91" s="319">
        <v>0</v>
      </c>
      <c r="AX91" s="319">
        <v>0</v>
      </c>
      <c r="AY91" s="319">
        <v>0</v>
      </c>
      <c r="AZ91" s="319">
        <v>0</v>
      </c>
      <c r="BA91" s="319">
        <v>0</v>
      </c>
      <c r="BB91" s="319">
        <v>0</v>
      </c>
      <c r="BC91" s="319">
        <v>0</v>
      </c>
      <c r="BD91" s="319">
        <v>0</v>
      </c>
      <c r="BE91" s="319">
        <v>45.491</v>
      </c>
      <c r="BF91" s="319">
        <v>41.72</v>
      </c>
      <c r="BG91" s="319">
        <v>51.149000000000001</v>
      </c>
      <c r="BH91" s="319">
        <v>44.737000000000002</v>
      </c>
      <c r="BI91" s="317">
        <f t="shared" si="16"/>
        <v>183.09700000000001</v>
      </c>
      <c r="BJ91" s="316">
        <v>0</v>
      </c>
      <c r="BK91" s="316">
        <v>0</v>
      </c>
      <c r="BL91" s="316">
        <v>0</v>
      </c>
      <c r="BM91" s="316">
        <v>0</v>
      </c>
      <c r="BN91" s="316">
        <v>0</v>
      </c>
      <c r="BO91" s="316">
        <v>0</v>
      </c>
      <c r="BP91" s="316">
        <v>0</v>
      </c>
      <c r="BQ91" s="316">
        <v>0</v>
      </c>
      <c r="BR91" s="316">
        <v>0</v>
      </c>
      <c r="BS91" s="316">
        <v>45.326000000000001</v>
      </c>
      <c r="BT91" s="316">
        <v>54.731000000000002</v>
      </c>
      <c r="BU91" s="316">
        <v>43.936999999999998</v>
      </c>
      <c r="BV91" s="316">
        <v>37.918999999999997</v>
      </c>
      <c r="BW91" s="317">
        <f t="shared" si="17"/>
        <v>181.91300000000001</v>
      </c>
      <c r="BX91" s="40"/>
      <c r="BY91" s="40"/>
      <c r="BZ91" s="40"/>
      <c r="CA91" s="40"/>
      <c r="CB91" s="40"/>
      <c r="CC91" s="40"/>
      <c r="CD91" s="40"/>
      <c r="CE91" s="40"/>
      <c r="CF91" s="40"/>
      <c r="CG91" s="40"/>
      <c r="CH91" s="40"/>
      <c r="CI91" s="40"/>
      <c r="CJ91" s="40"/>
      <c r="CK91" s="40"/>
      <c r="CL91" s="40"/>
      <c r="CM91" s="40"/>
      <c r="CN91" s="40"/>
      <c r="CO91" s="40"/>
      <c r="CP91" s="40"/>
      <c r="CQ91" s="40"/>
      <c r="CR91" s="40"/>
      <c r="CS91" s="40"/>
      <c r="CT91" s="40"/>
      <c r="CU91" s="40"/>
      <c r="CV91" s="40"/>
      <c r="CW91" s="40"/>
      <c r="CX91" s="40"/>
      <c r="CY91" s="40"/>
      <c r="CZ91" s="40"/>
      <c r="DA91" s="40"/>
      <c r="DB91" s="40"/>
      <c r="DC91" s="40"/>
      <c r="DD91" s="40"/>
      <c r="DE91" s="40"/>
      <c r="DF91" s="40"/>
      <c r="DG91" s="40"/>
      <c r="DH91" s="40"/>
      <c r="DI91" s="40"/>
      <c r="DJ91" s="40"/>
      <c r="DK91" s="40"/>
      <c r="DL91" s="40"/>
      <c r="DM91" s="40"/>
      <c r="DN91" s="40"/>
      <c r="DO91" s="40"/>
      <c r="DP91" s="40"/>
      <c r="DQ91" s="40"/>
      <c r="DR91" s="40"/>
      <c r="DS91" s="40"/>
      <c r="DT91" s="40"/>
      <c r="DU91" s="40"/>
      <c r="DV91" s="40"/>
      <c r="DW91" s="40"/>
      <c r="DX91" s="40"/>
      <c r="DY91" s="40"/>
      <c r="DZ91" s="40"/>
      <c r="EA91" s="40"/>
      <c r="EB91" s="40"/>
      <c r="EC91" s="40"/>
      <c r="ED91" s="40"/>
      <c r="EE91" s="40"/>
      <c r="EF91" s="40"/>
      <c r="EG91" s="40"/>
      <c r="EH91" s="40"/>
      <c r="EI91" s="40"/>
      <c r="EJ91" s="40"/>
      <c r="EK91" s="40"/>
      <c r="EL91" s="40"/>
      <c r="EM91" s="40"/>
      <c r="EN91" s="40"/>
      <c r="EO91" s="40"/>
      <c r="EP91" s="40"/>
      <c r="EQ91" s="40"/>
      <c r="ER91" s="40"/>
      <c r="ES91" s="40"/>
      <c r="ET91" s="40"/>
      <c r="EU91" s="40"/>
      <c r="EV91" s="40"/>
      <c r="EW91" s="40"/>
      <c r="EX91" s="40"/>
      <c r="EY91" s="40"/>
      <c r="EZ91" s="40"/>
      <c r="FA91" s="40"/>
      <c r="FB91" s="40"/>
      <c r="FC91" s="40"/>
      <c r="FD91" s="40"/>
      <c r="FE91" s="40"/>
      <c r="FF91" s="40"/>
      <c r="FG91" s="40"/>
      <c r="FH91" s="40"/>
      <c r="FI91" s="40"/>
      <c r="FJ91" s="40"/>
      <c r="FK91" s="40"/>
      <c r="FL91" s="40"/>
      <c r="FM91" s="40"/>
      <c r="FN91" s="40"/>
      <c r="FO91" s="40"/>
      <c r="FP91" s="40"/>
      <c r="FQ91" s="40"/>
      <c r="FR91" s="40"/>
      <c r="FS91" s="40"/>
      <c r="FT91" s="40"/>
      <c r="FU91" s="40"/>
      <c r="FV91" s="40"/>
      <c r="FW91" s="40"/>
      <c r="FX91" s="40"/>
      <c r="FY91" s="40"/>
      <c r="FZ91" s="40"/>
      <c r="GA91" s="40"/>
      <c r="GB91" s="40"/>
      <c r="GC91" s="40"/>
      <c r="GD91" s="40"/>
      <c r="GE91" s="40"/>
      <c r="GF91" s="40"/>
      <c r="GG91" s="40"/>
      <c r="GH91" s="40"/>
      <c r="GI91" s="40"/>
      <c r="GJ91" s="40"/>
      <c r="GK91" s="40"/>
      <c r="GL91" s="40"/>
      <c r="GM91" s="40"/>
      <c r="GN91" s="40"/>
      <c r="GO91" s="40"/>
      <c r="GP91" s="40"/>
      <c r="GQ91" s="40"/>
      <c r="GR91" s="40"/>
      <c r="GS91" s="40"/>
      <c r="GT91" s="40"/>
      <c r="GU91" s="40"/>
      <c r="GV91" s="40"/>
      <c r="GW91" s="40"/>
      <c r="GX91" s="40"/>
      <c r="GY91" s="40"/>
      <c r="GZ91" s="40"/>
      <c r="HA91" s="40"/>
      <c r="HB91" s="40"/>
      <c r="HC91" s="40"/>
      <c r="HD91" s="40"/>
      <c r="HE91" s="40"/>
      <c r="HF91" s="40"/>
      <c r="HG91" s="40"/>
      <c r="HH91" s="40"/>
      <c r="HI91" s="40"/>
      <c r="HJ91" s="40"/>
      <c r="HK91" s="40"/>
      <c r="HL91" s="40"/>
      <c r="HM91" s="40"/>
      <c r="HN91" s="40"/>
      <c r="HO91" s="40"/>
      <c r="HP91" s="40"/>
      <c r="HQ91" s="40"/>
      <c r="HR91" s="40"/>
      <c r="HS91" s="40"/>
      <c r="HT91" s="40"/>
      <c r="HU91" s="40"/>
      <c r="HV91" s="40"/>
      <c r="HW91" s="40"/>
      <c r="HX91" s="40"/>
      <c r="HY91" s="40"/>
      <c r="HZ91" s="40"/>
      <c r="IA91" s="40"/>
      <c r="IB91" s="40"/>
      <c r="IC91" s="40"/>
      <c r="ID91" s="40"/>
      <c r="IE91" s="40"/>
      <c r="IF91" s="40"/>
      <c r="IG91" s="40"/>
      <c r="IH91" s="40"/>
      <c r="II91" s="40"/>
      <c r="IJ91" s="40"/>
      <c r="IK91" s="40"/>
      <c r="IL91" s="40"/>
      <c r="IM91" s="40"/>
      <c r="IN91" s="40"/>
      <c r="IO91" s="40"/>
      <c r="IP91" s="40"/>
      <c r="IQ91" s="40"/>
      <c r="IR91" s="40"/>
      <c r="IS91" s="40"/>
      <c r="IT91" s="40"/>
      <c r="IU91" s="40"/>
      <c r="IV91" s="40"/>
      <c r="IW91" s="40"/>
      <c r="IX91" s="40"/>
      <c r="IY91" s="40"/>
      <c r="IZ91" s="40"/>
      <c r="JA91" s="40"/>
      <c r="JB91" s="40"/>
      <c r="JC91" s="40"/>
      <c r="JD91" s="40"/>
      <c r="JE91" s="40"/>
      <c r="JF91" s="40"/>
      <c r="JG91" s="40"/>
      <c r="JH91" s="40"/>
      <c r="JI91" s="40"/>
      <c r="JJ91" s="40"/>
      <c r="JK91" s="40"/>
      <c r="JL91" s="40"/>
      <c r="JM91" s="40"/>
      <c r="JN91" s="40"/>
      <c r="JO91" s="40"/>
      <c r="JP91" s="40"/>
      <c r="JQ91" s="40"/>
      <c r="JR91" s="40"/>
      <c r="JS91" s="40"/>
      <c r="JT91" s="40"/>
      <c r="JU91" s="40"/>
      <c r="JV91" s="40"/>
      <c r="JW91" s="40"/>
      <c r="JX91" s="40"/>
      <c r="JY91" s="40"/>
      <c r="JZ91" s="40"/>
      <c r="KA91" s="40"/>
      <c r="KB91" s="40"/>
      <c r="KC91" s="40"/>
      <c r="KD91" s="40"/>
      <c r="KE91" s="40"/>
      <c r="KF91" s="40"/>
      <c r="KG91" s="40"/>
      <c r="KH91" s="40"/>
      <c r="KI91" s="40"/>
      <c r="KJ91" s="40"/>
      <c r="KK91" s="40"/>
      <c r="KL91" s="40"/>
      <c r="KM91" s="40"/>
      <c r="KN91" s="40"/>
      <c r="KO91" s="40"/>
      <c r="KP91" s="40"/>
      <c r="KQ91" s="40"/>
      <c r="KR91" s="40"/>
      <c r="KS91" s="40"/>
      <c r="KT91" s="40"/>
      <c r="KU91" s="40"/>
      <c r="KV91" s="40"/>
      <c r="KW91" s="40"/>
      <c r="KX91" s="40"/>
      <c r="KY91" s="40"/>
      <c r="KZ91" s="40"/>
      <c r="LA91" s="40"/>
      <c r="LB91" s="40"/>
      <c r="LC91" s="40"/>
      <c r="LD91" s="40"/>
      <c r="LE91" s="40"/>
      <c r="LF91" s="40"/>
      <c r="LG91" s="40"/>
      <c r="LH91" s="40"/>
      <c r="LI91" s="40"/>
      <c r="LJ91" s="40"/>
      <c r="LK91" s="40"/>
      <c r="LL91" s="40"/>
      <c r="LM91" s="40"/>
      <c r="LN91" s="40"/>
      <c r="LO91" s="40"/>
      <c r="LP91" s="40"/>
      <c r="LQ91" s="40"/>
      <c r="LR91" s="40"/>
      <c r="LS91" s="40"/>
      <c r="LT91" s="40"/>
      <c r="LU91" s="40"/>
      <c r="LV91" s="40"/>
      <c r="LW91" s="40"/>
      <c r="LX91" s="40"/>
      <c r="LY91" s="40"/>
      <c r="LZ91" s="40"/>
      <c r="MA91" s="40"/>
      <c r="MB91" s="40"/>
      <c r="MC91" s="40"/>
      <c r="MD91" s="40"/>
      <c r="ME91" s="40"/>
      <c r="MF91" s="40"/>
      <c r="MG91" s="40"/>
      <c r="MH91" s="40"/>
      <c r="MI91" s="40"/>
      <c r="MJ91" s="40"/>
      <c r="MK91" s="40"/>
      <c r="ML91" s="40"/>
      <c r="MM91" s="40"/>
      <c r="MN91" s="40"/>
      <c r="MO91" s="40"/>
      <c r="MP91" s="40"/>
      <c r="MQ91" s="40"/>
      <c r="MR91" s="40"/>
      <c r="MS91" s="40"/>
      <c r="MT91" s="40"/>
      <c r="MU91" s="40"/>
      <c r="MV91" s="40"/>
      <c r="MW91" s="40"/>
      <c r="MX91" s="40"/>
      <c r="MY91" s="40"/>
      <c r="MZ91" s="40"/>
      <c r="NA91" s="40"/>
      <c r="NB91" s="40"/>
      <c r="NC91" s="40"/>
      <c r="ND91" s="40"/>
      <c r="NE91" s="40"/>
      <c r="NF91" s="40"/>
      <c r="NG91" s="40"/>
      <c r="NH91" s="40"/>
      <c r="NI91" s="40"/>
      <c r="NJ91" s="40"/>
      <c r="NK91" s="40"/>
      <c r="NL91" s="40"/>
      <c r="NM91" s="40"/>
      <c r="NN91" s="40"/>
      <c r="NO91" s="40"/>
      <c r="NP91" s="40"/>
      <c r="NQ91" s="40"/>
      <c r="NR91" s="40"/>
      <c r="NS91" s="40"/>
      <c r="NT91" s="40"/>
      <c r="NU91" s="40"/>
      <c r="NV91" s="40"/>
      <c r="NW91" s="40"/>
      <c r="NX91" s="40"/>
      <c r="NY91" s="40"/>
      <c r="NZ91" s="40"/>
      <c r="OA91" s="40"/>
      <c r="OB91" s="40"/>
      <c r="OC91" s="40"/>
      <c r="OD91" s="40"/>
      <c r="OE91" s="40"/>
      <c r="OF91" s="40"/>
      <c r="OG91" s="40"/>
      <c r="OH91" s="40"/>
      <c r="OI91" s="40"/>
      <c r="OJ91" s="40"/>
      <c r="OK91" s="40"/>
      <c r="OL91" s="40"/>
      <c r="OM91" s="40"/>
      <c r="ON91" s="40"/>
      <c r="OO91" s="40"/>
      <c r="OP91" s="40"/>
      <c r="OQ91" s="40"/>
      <c r="OR91" s="40"/>
      <c r="OS91" s="40"/>
      <c r="OT91" s="40"/>
      <c r="OU91" s="40"/>
      <c r="OV91" s="40"/>
      <c r="OW91" s="40"/>
      <c r="OX91" s="40"/>
      <c r="OY91" s="40"/>
      <c r="OZ91" s="40"/>
      <c r="PA91" s="40"/>
      <c r="PB91" s="40"/>
      <c r="PC91" s="40"/>
      <c r="PD91" s="40"/>
      <c r="PE91" s="40"/>
      <c r="PF91" s="40"/>
      <c r="PG91" s="40"/>
      <c r="PH91" s="40"/>
      <c r="PI91" s="40"/>
      <c r="PJ91" s="40"/>
      <c r="PK91" s="40"/>
      <c r="PL91" s="40"/>
      <c r="PM91" s="40"/>
      <c r="PN91" s="40"/>
      <c r="PO91" s="40"/>
      <c r="PP91" s="40"/>
      <c r="PQ91" s="40"/>
      <c r="PR91" s="40"/>
      <c r="PS91" s="40"/>
      <c r="PT91" s="40"/>
      <c r="PU91" s="40"/>
      <c r="PV91" s="40"/>
      <c r="PW91" s="40"/>
      <c r="PX91" s="40"/>
      <c r="PY91" s="40"/>
      <c r="PZ91" s="40"/>
      <c r="QA91" s="40"/>
      <c r="QB91" s="40"/>
      <c r="QC91" s="40"/>
      <c r="QD91" s="40"/>
      <c r="QE91" s="40"/>
      <c r="QF91" s="40"/>
      <c r="QG91" s="40"/>
      <c r="QH91" s="40"/>
      <c r="QI91" s="40"/>
      <c r="QJ91" s="40"/>
      <c r="QK91" s="40"/>
      <c r="QL91" s="40"/>
      <c r="QM91" s="40"/>
      <c r="QN91" s="40"/>
      <c r="QO91" s="40"/>
      <c r="QP91" s="40"/>
      <c r="QQ91" s="40"/>
      <c r="QR91" s="40"/>
      <c r="QS91" s="40"/>
      <c r="QT91" s="40"/>
      <c r="QU91" s="40"/>
      <c r="QV91" s="40"/>
      <c r="QW91" s="40"/>
      <c r="QX91" s="40"/>
      <c r="QY91" s="40"/>
      <c r="QZ91" s="40"/>
      <c r="RA91" s="40"/>
      <c r="RB91" s="40"/>
      <c r="RC91" s="40"/>
      <c r="RD91" s="40"/>
      <c r="RE91" s="40"/>
      <c r="RF91" s="40"/>
      <c r="RG91" s="40"/>
      <c r="RH91" s="40"/>
      <c r="RI91" s="40"/>
      <c r="RJ91" s="40"/>
      <c r="RK91" s="40"/>
      <c r="RL91" s="40"/>
      <c r="RM91" s="40"/>
      <c r="RN91" s="40"/>
      <c r="RO91" s="40"/>
      <c r="RP91" s="40"/>
      <c r="RQ91" s="40"/>
      <c r="RR91" s="40"/>
      <c r="RS91" s="40"/>
      <c r="RT91" s="40"/>
      <c r="RU91" s="40"/>
      <c r="RV91" s="40"/>
      <c r="RW91" s="40"/>
      <c r="RX91" s="40"/>
      <c r="RY91" s="40"/>
      <c r="RZ91" s="40"/>
      <c r="SA91" s="40"/>
      <c r="SB91" s="40"/>
      <c r="SC91" s="40"/>
      <c r="SD91" s="40"/>
      <c r="SE91" s="40"/>
      <c r="SF91" s="40"/>
      <c r="SG91" s="40"/>
      <c r="SH91" s="40"/>
      <c r="SI91" s="40"/>
      <c r="SJ91" s="40"/>
      <c r="SK91" s="40"/>
      <c r="SL91" s="40"/>
      <c r="SM91" s="40"/>
      <c r="SN91" s="40"/>
      <c r="SO91" s="40"/>
      <c r="SP91" s="40"/>
      <c r="SQ91" s="40"/>
      <c r="SR91" s="40"/>
      <c r="SS91" s="40"/>
      <c r="ST91" s="40"/>
      <c r="SU91" s="40"/>
      <c r="SV91" s="40"/>
      <c r="SW91" s="40"/>
      <c r="SX91" s="40"/>
      <c r="SY91" s="40"/>
      <c r="SZ91" s="40"/>
      <c r="TA91" s="40"/>
      <c r="TB91" s="40"/>
      <c r="TC91" s="40"/>
      <c r="TD91" s="40"/>
      <c r="TE91" s="40"/>
      <c r="TF91" s="40"/>
      <c r="TG91" s="40"/>
      <c r="TH91" s="40"/>
      <c r="TI91" s="40"/>
      <c r="TJ91" s="40"/>
      <c r="TK91" s="40"/>
      <c r="TL91" s="40"/>
      <c r="TM91" s="40"/>
      <c r="TN91" s="40"/>
      <c r="TO91" s="40"/>
      <c r="TP91" s="40"/>
      <c r="TQ91" s="40"/>
      <c r="TR91" s="40"/>
      <c r="TS91" s="40"/>
      <c r="TT91" s="40"/>
      <c r="TU91" s="40"/>
      <c r="TV91" s="40"/>
      <c r="TW91" s="40"/>
      <c r="TX91" s="40"/>
      <c r="TY91" s="40"/>
      <c r="TZ91" s="40"/>
      <c r="UA91" s="40"/>
      <c r="UB91" s="40"/>
      <c r="UC91" s="40"/>
      <c r="UD91" s="40"/>
      <c r="UE91" s="40"/>
      <c r="UF91" s="40"/>
      <c r="UG91" s="40"/>
      <c r="UH91" s="40"/>
      <c r="UI91" s="40"/>
      <c r="UJ91" s="40"/>
      <c r="UK91" s="40"/>
      <c r="UL91" s="40"/>
      <c r="UM91" s="40"/>
      <c r="UN91" s="40"/>
      <c r="UO91" s="40"/>
      <c r="UP91" s="40"/>
      <c r="UQ91" s="40"/>
      <c r="UR91" s="40"/>
      <c r="US91" s="40"/>
      <c r="UT91" s="40"/>
      <c r="UU91" s="40"/>
      <c r="UV91" s="40"/>
      <c r="UW91" s="40"/>
      <c r="UX91" s="40"/>
      <c r="UY91" s="40"/>
      <c r="UZ91" s="40"/>
      <c r="VA91" s="40"/>
      <c r="VB91" s="40"/>
      <c r="VC91" s="40"/>
      <c r="VD91" s="40"/>
      <c r="VE91" s="40"/>
      <c r="VF91" s="40"/>
      <c r="VG91" s="40"/>
      <c r="VH91" s="40"/>
      <c r="VI91" s="40"/>
      <c r="VJ91" s="40"/>
      <c r="VK91" s="40"/>
      <c r="VL91" s="40"/>
      <c r="VM91" s="40"/>
      <c r="VN91" s="40"/>
      <c r="VO91" s="40"/>
      <c r="VP91" s="40"/>
      <c r="VQ91" s="40"/>
      <c r="VR91" s="40"/>
      <c r="VS91" s="40"/>
      <c r="VT91" s="40"/>
      <c r="VU91" s="40"/>
      <c r="VV91" s="40"/>
      <c r="VW91" s="40"/>
      <c r="VX91" s="40"/>
      <c r="VY91" s="40"/>
      <c r="VZ91" s="40"/>
      <c r="WA91" s="40"/>
      <c r="WB91" s="40"/>
      <c r="WC91" s="40"/>
      <c r="WD91" s="40"/>
      <c r="WE91" s="40"/>
      <c r="WF91" s="40"/>
      <c r="WG91" s="40"/>
      <c r="WH91" s="40"/>
      <c r="WI91" s="40"/>
      <c r="WJ91" s="40"/>
      <c r="WK91" s="40"/>
      <c r="WL91" s="40"/>
      <c r="WM91" s="40"/>
      <c r="WN91" s="40"/>
      <c r="WO91" s="40"/>
      <c r="WP91" s="40"/>
      <c r="WQ91" s="40"/>
      <c r="WR91" s="40"/>
      <c r="WS91" s="40"/>
      <c r="WT91" s="40"/>
      <c r="WU91" s="40"/>
      <c r="WV91" s="40"/>
      <c r="WW91" s="40"/>
      <c r="WX91" s="40"/>
      <c r="WY91" s="40"/>
      <c r="WZ91" s="40"/>
      <c r="XA91" s="40"/>
      <c r="XB91" s="40"/>
      <c r="XC91" s="40"/>
      <c r="XD91" s="40"/>
      <c r="XE91" s="40"/>
      <c r="XF91" s="40"/>
      <c r="XG91" s="40"/>
      <c r="XH91" s="40"/>
      <c r="XI91" s="40"/>
      <c r="XJ91" s="40"/>
      <c r="XK91" s="40"/>
      <c r="XL91" s="40"/>
      <c r="XM91" s="40"/>
      <c r="XN91" s="40"/>
      <c r="XO91" s="40"/>
      <c r="XP91" s="40"/>
      <c r="XQ91" s="40"/>
      <c r="XR91" s="40"/>
      <c r="XS91" s="40"/>
      <c r="XT91" s="40"/>
      <c r="XU91" s="40"/>
      <c r="XV91" s="40"/>
      <c r="XW91" s="40"/>
      <c r="XX91" s="40"/>
      <c r="XY91" s="40"/>
      <c r="XZ91" s="40"/>
      <c r="YA91" s="40"/>
      <c r="YB91" s="40"/>
      <c r="YC91" s="40"/>
      <c r="YD91" s="40"/>
      <c r="YE91" s="40"/>
      <c r="YF91" s="40"/>
      <c r="YG91" s="40"/>
      <c r="YH91" s="40"/>
      <c r="YI91" s="40"/>
      <c r="YJ91" s="40"/>
      <c r="YK91" s="40"/>
      <c r="YL91" s="40"/>
      <c r="YM91" s="40"/>
      <c r="YN91" s="40"/>
      <c r="YO91" s="40"/>
      <c r="YP91" s="40"/>
      <c r="YQ91" s="40"/>
      <c r="YR91" s="40"/>
      <c r="YS91" s="40"/>
      <c r="YT91" s="40"/>
      <c r="YU91" s="40"/>
      <c r="YV91" s="40"/>
      <c r="YW91" s="40"/>
      <c r="YX91" s="40"/>
      <c r="YY91" s="40"/>
      <c r="YZ91" s="40"/>
      <c r="ZA91" s="40"/>
      <c r="ZB91" s="40"/>
      <c r="ZC91" s="40"/>
      <c r="ZD91" s="40"/>
      <c r="ZE91" s="40"/>
      <c r="ZF91" s="40"/>
      <c r="ZG91" s="40"/>
      <c r="ZH91" s="40"/>
      <c r="ZI91" s="40"/>
      <c r="ZJ91" s="40"/>
      <c r="ZK91" s="40"/>
      <c r="ZL91" s="40"/>
      <c r="ZM91" s="40"/>
      <c r="ZN91" s="40"/>
      <c r="ZO91" s="40"/>
      <c r="ZP91" s="40"/>
      <c r="ZQ91" s="40"/>
      <c r="ZR91" s="40"/>
      <c r="ZS91" s="40"/>
      <c r="ZT91" s="40"/>
      <c r="ZU91" s="40"/>
      <c r="ZV91" s="40"/>
      <c r="ZW91" s="40"/>
      <c r="ZX91" s="40"/>
      <c r="ZY91" s="40"/>
      <c r="ZZ91" s="40"/>
      <c r="AAA91" s="40"/>
      <c r="AAB91" s="40"/>
      <c r="AAC91" s="40"/>
      <c r="AAD91" s="40"/>
      <c r="AAE91" s="40"/>
      <c r="AAF91" s="40"/>
      <c r="AAG91" s="40"/>
      <c r="AAH91" s="40"/>
      <c r="AAI91" s="40"/>
      <c r="AAJ91" s="40"/>
      <c r="AAK91" s="40"/>
      <c r="AAL91" s="40"/>
      <c r="AAM91" s="40"/>
      <c r="AAN91" s="40"/>
      <c r="AAO91" s="40"/>
      <c r="AAP91" s="40"/>
      <c r="AAQ91" s="40"/>
      <c r="AAR91" s="40"/>
      <c r="AAS91" s="40"/>
      <c r="AAT91" s="40"/>
      <c r="AAU91" s="40"/>
      <c r="AAV91" s="40"/>
      <c r="AAW91" s="40"/>
      <c r="AAX91" s="40"/>
      <c r="AAY91" s="40"/>
      <c r="AAZ91" s="40"/>
      <c r="ABA91" s="40"/>
      <c r="ABB91" s="40"/>
      <c r="ABC91" s="40"/>
      <c r="ABD91" s="40"/>
      <c r="ABE91" s="40"/>
      <c r="ABF91" s="40"/>
    </row>
    <row r="92" spans="1:734" x14ac:dyDescent="0.2">
      <c r="A92" s="20" t="str">
        <f>'School Level Inst. Resources'!A92</f>
        <v>0701000</v>
      </c>
      <c r="B92" s="20" t="str">
        <f>'School Level Inst. Resources'!B92</f>
        <v>Fremont #1</v>
      </c>
      <c r="C92" s="20" t="str">
        <f>'School Level Inst. Resources'!C92</f>
        <v>0701006</v>
      </c>
      <c r="D92" s="20" t="str">
        <f>'School Level Inst. Resources'!D92</f>
        <v>Jeffrey City Elementary</v>
      </c>
      <c r="E92" s="138" t="str">
        <f>'School Level Inst. Resources'!E92</f>
        <v>K-6</v>
      </c>
      <c r="F92" s="317">
        <f>IF(AND($A$2=4,VLOOKUP($A92,'District Level ADM'!$A$5:$W$52,5,FALSE)="Prior Year"),AH92,IF(AND($A$2=4,VLOOKUP($A92,'District Level ADM'!$A$5:$W$52,5,FALSE)="3-Year Avg."),T92,IF($A$2=2,AH92,IF($A$2=3,T92,IF(($AG92&gt;$AU92),T92,AH92)))))</f>
        <v>0</v>
      </c>
      <c r="G92" s="317">
        <f>IF(AND($A$2=4,VLOOKUP($A92,'District Level ADM'!$A$5:$W$52,5,FALSE)="Prior Year"),AI92,IF(AND($A$2=4,VLOOKUP($A92,'District Level ADM'!$A$5:$W$52,5,FALSE)="3-Year Avg."),U92,IF($A$2=2,AI92,IF($A$2=3,U92,IF(($AG92&gt;$AU92),U92,AI92)))))</f>
        <v>0</v>
      </c>
      <c r="H92" s="317">
        <f>IF(AND($A$2=4,VLOOKUP($A92,'District Level ADM'!$A$5:$W$52,5,FALSE)="Prior Year"),AJ92,IF(AND($A$2=4,VLOOKUP($A92,'District Level ADM'!$A$5:$W$52,5,FALSE)="3-Year Avg."),V92,IF($A$2=2,AJ92,IF($A$2=3,V92,IF(($AG92&gt;$AU92),V92,AJ92)))))</f>
        <v>0.98499999999999999</v>
      </c>
      <c r="I92" s="317">
        <f>IF(AND($A$2=4,VLOOKUP($A92,'District Level ADM'!$A$5:$W$52,5,FALSE)="Prior Year"),AK92,IF(AND($A$2=4,VLOOKUP($A92,'District Level ADM'!$A$5:$W$52,5,FALSE)="3-Year Avg."),W92,IF($A$2=2,AK92,IF($A$2=3,W92,IF(($AG92&gt;$AU92),W92,AK92)))))</f>
        <v>2.9550000000000001</v>
      </c>
      <c r="J92" s="317">
        <f>IF(AND($A$2=4,VLOOKUP($A92,'District Level ADM'!$A$5:$W$52,5,FALSE)="Prior Year"),AL92,IF(AND($A$2=4,VLOOKUP($A92,'District Level ADM'!$A$5:$W$52,5,FALSE)="3-Year Avg."),X92,IF($A$2=2,AL92,IF($A$2=3,X92,IF(($AG92&gt;$AU92),X92,AL92)))))</f>
        <v>1.97</v>
      </c>
      <c r="K92" s="317">
        <f>IF(AND($A$2=4,VLOOKUP($A92,'District Level ADM'!$A$5:$W$52,5,FALSE)="Prior Year"),AM92,IF(AND($A$2=4,VLOOKUP($A92,'District Level ADM'!$A$5:$W$52,5,FALSE)="3-Year Avg."),Y92,IF($A$2=2,AM92,IF($A$2=3,Y92,IF(($AG92&gt;$AU92),Y92,AM92)))))</f>
        <v>0.98499999999999999</v>
      </c>
      <c r="L92" s="317">
        <f>IF(AND($A$2=4,VLOOKUP($A92,'District Level ADM'!$A$5:$W$52,5,FALSE)="Prior Year"),AN92,IF(AND($A$2=4,VLOOKUP($A92,'District Level ADM'!$A$5:$W$52,5,FALSE)="3-Year Avg."),Z92,IF($A$2=2,AN92,IF($A$2=3,Z92,IF(($AG92&gt;$AU92),Z92,AN92)))))</f>
        <v>0</v>
      </c>
      <c r="M92" s="317">
        <f>IF(AND($A$2=4,VLOOKUP($A92,'District Level ADM'!$A$5:$W$52,5,FALSE)="Prior Year"),AO92,IF(AND($A$2=4,VLOOKUP($A92,'District Level ADM'!$A$5:$W$52,5,FALSE)="3-Year Avg."),AA92,IF($A$2=2,AO92,IF($A$2=3,AA92,IF(($AG92&gt;$AU92),AA92,AO92)))))</f>
        <v>0</v>
      </c>
      <c r="N92" s="317">
        <f>IF(AND($A$2=4,VLOOKUP($A92,'District Level ADM'!$A$5:$W$52,5,FALSE)="Prior Year"),AP92,IF(AND($A$2=4,VLOOKUP($A92,'District Level ADM'!$A$5:$W$52,5,FALSE)="3-Year Avg."),AB92,IF($A$2=2,AP92,IF($A$2=3,AB92,IF(($AG92&gt;$AU92),AB92,AP92)))))</f>
        <v>0</v>
      </c>
      <c r="O92" s="317">
        <f>IF(AND($A$2=4,VLOOKUP($A92,'District Level ADM'!$A$5:$W$52,5,FALSE)="Prior Year"),AQ92,IF(AND($A$2=4,VLOOKUP($A92,'District Level ADM'!$A$5:$W$52,5,FALSE)="3-Year Avg."),AC92,IF($A$2=2,AQ92,IF($A$2=3,AC92,IF(($AG92&gt;$AU92),AC92,AQ92)))))</f>
        <v>0</v>
      </c>
      <c r="P92" s="317">
        <f>IF(AND($A$2=4,VLOOKUP($A92,'District Level ADM'!$A$5:$W$52,5,FALSE)="Prior Year"),AR92,IF(AND($A$2=4,VLOOKUP($A92,'District Level ADM'!$A$5:$W$52,5,FALSE)="3-Year Avg."),AD92,IF($A$2=2,AR92,IF($A$2=3,AD92,IF(($AG92&gt;$AU92),AD92,AR92)))))</f>
        <v>0</v>
      </c>
      <c r="Q92" s="317">
        <f>IF(AND($A$2=4,VLOOKUP($A92,'District Level ADM'!$A$5:$W$52,5,FALSE)="Prior Year"),AS92,IF(AND($A$2=4,VLOOKUP($A92,'District Level ADM'!$A$5:$W$52,5,FALSE)="3-Year Avg."),AE92,IF($A$2=2,AS92,IF($A$2=3,AE92,IF(($AG92&gt;$AU92),AE92,AS92)))))</f>
        <v>0</v>
      </c>
      <c r="R92" s="317">
        <f>IF(AND($A$2=4,VLOOKUP($A92,'District Level ADM'!$A$5:$W$52,5,FALSE)="Prior Year"),AT92,IF(AND($A$2=4,VLOOKUP($A92,'District Level ADM'!$A$5:$W$52,5,FALSE)="3-Year Avg."),AF92,IF($A$2=2,AT92,IF($A$2=3,AF92,IF(($AG92&gt;$AU92),AF92,AT92)))))</f>
        <v>0</v>
      </c>
      <c r="S92" s="317">
        <f t="shared" si="13"/>
        <v>6.8950000000000005</v>
      </c>
      <c r="T92" s="317">
        <f t="shared" si="20"/>
        <v>0.33333333333333331</v>
      </c>
      <c r="U92" s="317">
        <f t="shared" si="20"/>
        <v>1.0256666666666667</v>
      </c>
      <c r="V92" s="317">
        <f t="shared" si="20"/>
        <v>1.9949999999999999</v>
      </c>
      <c r="W92" s="317">
        <f t="shared" si="19"/>
        <v>1.6516666666666666</v>
      </c>
      <c r="X92" s="317">
        <f t="shared" si="19"/>
        <v>1.3536666666666666</v>
      </c>
      <c r="Y92" s="317">
        <f t="shared" si="19"/>
        <v>0.995</v>
      </c>
      <c r="Z92" s="317">
        <f t="shared" si="19"/>
        <v>0</v>
      </c>
      <c r="AA92" s="317">
        <f t="shared" si="19"/>
        <v>0</v>
      </c>
      <c r="AB92" s="317">
        <f t="shared" si="19"/>
        <v>0</v>
      </c>
      <c r="AC92" s="317">
        <f t="shared" si="18"/>
        <v>0</v>
      </c>
      <c r="AD92" s="317">
        <f t="shared" si="18"/>
        <v>0</v>
      </c>
      <c r="AE92" s="317">
        <f t="shared" si="18"/>
        <v>0</v>
      </c>
      <c r="AF92" s="317">
        <f t="shared" si="18"/>
        <v>0</v>
      </c>
      <c r="AG92" s="317">
        <f t="shared" si="14"/>
        <v>7.3543333333333329</v>
      </c>
      <c r="AH92" s="318">
        <v>0</v>
      </c>
      <c r="AI92" s="318">
        <v>0</v>
      </c>
      <c r="AJ92" s="318">
        <v>0.98499999999999999</v>
      </c>
      <c r="AK92" s="318">
        <v>2.9550000000000001</v>
      </c>
      <c r="AL92" s="318">
        <v>1.97</v>
      </c>
      <c r="AM92" s="318">
        <v>0.98499999999999999</v>
      </c>
      <c r="AN92" s="318">
        <v>0</v>
      </c>
      <c r="AO92" s="318">
        <v>0</v>
      </c>
      <c r="AP92" s="318">
        <v>0</v>
      </c>
      <c r="AQ92" s="318">
        <v>0</v>
      </c>
      <c r="AR92" s="318">
        <v>0</v>
      </c>
      <c r="AS92" s="318">
        <v>0</v>
      </c>
      <c r="AT92" s="318">
        <v>0</v>
      </c>
      <c r="AU92" s="317">
        <f t="shared" si="15"/>
        <v>6.8950000000000005</v>
      </c>
      <c r="AV92" s="319">
        <v>0</v>
      </c>
      <c r="AW92" s="319">
        <v>1.077</v>
      </c>
      <c r="AX92" s="319">
        <v>3</v>
      </c>
      <c r="AY92" s="319">
        <v>2</v>
      </c>
      <c r="AZ92" s="319">
        <v>1</v>
      </c>
      <c r="BA92" s="319">
        <v>1</v>
      </c>
      <c r="BB92" s="319">
        <v>0</v>
      </c>
      <c r="BC92" s="319">
        <v>0</v>
      </c>
      <c r="BD92" s="319">
        <v>0</v>
      </c>
      <c r="BE92" s="319">
        <v>0</v>
      </c>
      <c r="BF92" s="319">
        <v>0</v>
      </c>
      <c r="BG92" s="319">
        <v>0</v>
      </c>
      <c r="BH92" s="319">
        <v>0</v>
      </c>
      <c r="BI92" s="317">
        <f t="shared" si="16"/>
        <v>8.077</v>
      </c>
      <c r="BJ92" s="316">
        <v>1</v>
      </c>
      <c r="BK92" s="316">
        <v>2</v>
      </c>
      <c r="BL92" s="316">
        <v>2</v>
      </c>
      <c r="BM92" s="316">
        <v>0</v>
      </c>
      <c r="BN92" s="316">
        <v>1.091</v>
      </c>
      <c r="BO92" s="316">
        <v>1</v>
      </c>
      <c r="BP92" s="316">
        <v>0</v>
      </c>
      <c r="BQ92" s="316">
        <v>0</v>
      </c>
      <c r="BR92" s="316">
        <v>0</v>
      </c>
      <c r="BS92" s="316">
        <v>0</v>
      </c>
      <c r="BT92" s="316">
        <v>0</v>
      </c>
      <c r="BU92" s="316">
        <v>0</v>
      </c>
      <c r="BV92" s="316">
        <v>0</v>
      </c>
      <c r="BW92" s="317">
        <f t="shared" si="17"/>
        <v>7.0910000000000002</v>
      </c>
    </row>
    <row r="93" spans="1:734" x14ac:dyDescent="0.2">
      <c r="A93" s="20" t="str">
        <f>'School Level Inst. Resources'!A93</f>
        <v>0701000</v>
      </c>
      <c r="B93" s="20" t="str">
        <f>'School Level Inst. Resources'!B93</f>
        <v>Fremont #1</v>
      </c>
      <c r="C93" s="20" t="str">
        <f>'School Level Inst. Resources'!C93</f>
        <v>0701008</v>
      </c>
      <c r="D93" s="20" t="str">
        <f>'School Level Inst. Resources'!D93</f>
        <v>Gannett Peak</v>
      </c>
      <c r="E93" s="138" t="str">
        <f>'School Level Inst. Resources'!E93</f>
        <v>K-3</v>
      </c>
      <c r="F93" s="317">
        <f>IF(AND($A$2=4,VLOOKUP($A93,'District Level ADM'!$A$5:$W$52,5,FALSE)="Prior Year"),AH93,IF(AND($A$2=4,VLOOKUP($A93,'District Level ADM'!$A$5:$W$52,5,FALSE)="3-Year Avg."),T93,IF($A$2=2,AH93,IF($A$2=3,T93,IF(($AG93&gt;$AU93),T93,AH93)))))</f>
        <v>116.23</v>
      </c>
      <c r="G93" s="317">
        <f>IF(AND($A$2=4,VLOOKUP($A93,'District Level ADM'!$A$5:$W$52,5,FALSE)="Prior Year"),AI93,IF(AND($A$2=4,VLOOKUP($A93,'District Level ADM'!$A$5:$W$52,5,FALSE)="3-Year Avg."),U93,IF($A$2=2,AI93,IF($A$2=3,U93,IF(($AG93&gt;$AU93),U93,AI93)))))</f>
        <v>125.095</v>
      </c>
      <c r="H93" s="317">
        <f>IF(AND($A$2=4,VLOOKUP($A93,'District Level ADM'!$A$5:$W$52,5,FALSE)="Prior Year"),AJ93,IF(AND($A$2=4,VLOOKUP($A93,'District Level ADM'!$A$5:$W$52,5,FALSE)="3-Year Avg."),V93,IF($A$2=2,AJ93,IF($A$2=3,V93,IF(($AG93&gt;$AU93),V93,AJ93)))))</f>
        <v>142.82499999999999</v>
      </c>
      <c r="I93" s="317">
        <f>IF(AND($A$2=4,VLOOKUP($A93,'District Level ADM'!$A$5:$W$52,5,FALSE)="Prior Year"),AK93,IF(AND($A$2=4,VLOOKUP($A93,'District Level ADM'!$A$5:$W$52,5,FALSE)="3-Year Avg."),W93,IF($A$2=2,AK93,IF($A$2=3,W93,IF(($AG93&gt;$AU93),W93,AK93)))))</f>
        <v>151.69</v>
      </c>
      <c r="J93" s="317">
        <f>IF(AND($A$2=4,VLOOKUP($A93,'District Level ADM'!$A$5:$W$52,5,FALSE)="Prior Year"),AL93,IF(AND($A$2=4,VLOOKUP($A93,'District Level ADM'!$A$5:$W$52,5,FALSE)="3-Year Avg."),X93,IF($A$2=2,AL93,IF($A$2=3,X93,IF(($AG93&gt;$AU93),X93,AL93)))))</f>
        <v>0</v>
      </c>
      <c r="K93" s="317">
        <f>IF(AND($A$2=4,VLOOKUP($A93,'District Level ADM'!$A$5:$W$52,5,FALSE)="Prior Year"),AM93,IF(AND($A$2=4,VLOOKUP($A93,'District Level ADM'!$A$5:$W$52,5,FALSE)="3-Year Avg."),Y93,IF($A$2=2,AM93,IF($A$2=3,Y93,IF(($AG93&gt;$AU93),Y93,AM93)))))</f>
        <v>0</v>
      </c>
      <c r="L93" s="317">
        <f>IF(AND($A$2=4,VLOOKUP($A93,'District Level ADM'!$A$5:$W$52,5,FALSE)="Prior Year"),AN93,IF(AND($A$2=4,VLOOKUP($A93,'District Level ADM'!$A$5:$W$52,5,FALSE)="3-Year Avg."),Z93,IF($A$2=2,AN93,IF($A$2=3,Z93,IF(($AG93&gt;$AU93),Z93,AN93)))))</f>
        <v>0</v>
      </c>
      <c r="M93" s="317">
        <f>IF(AND($A$2=4,VLOOKUP($A93,'District Level ADM'!$A$5:$W$52,5,FALSE)="Prior Year"),AO93,IF(AND($A$2=4,VLOOKUP($A93,'District Level ADM'!$A$5:$W$52,5,FALSE)="3-Year Avg."),AA93,IF($A$2=2,AO93,IF($A$2=3,AA93,IF(($AG93&gt;$AU93),AA93,AO93)))))</f>
        <v>0</v>
      </c>
      <c r="N93" s="317">
        <f>IF(AND($A$2=4,VLOOKUP($A93,'District Level ADM'!$A$5:$W$52,5,FALSE)="Prior Year"),AP93,IF(AND($A$2=4,VLOOKUP($A93,'District Level ADM'!$A$5:$W$52,5,FALSE)="3-Year Avg."),AB93,IF($A$2=2,AP93,IF($A$2=3,AB93,IF(($AG93&gt;$AU93),AB93,AP93)))))</f>
        <v>0</v>
      </c>
      <c r="O93" s="317">
        <f>IF(AND($A$2=4,VLOOKUP($A93,'District Level ADM'!$A$5:$W$52,5,FALSE)="Prior Year"),AQ93,IF(AND($A$2=4,VLOOKUP($A93,'District Level ADM'!$A$5:$W$52,5,FALSE)="3-Year Avg."),AC93,IF($A$2=2,AQ93,IF($A$2=3,AC93,IF(($AG93&gt;$AU93),AC93,AQ93)))))</f>
        <v>0</v>
      </c>
      <c r="P93" s="317">
        <f>IF(AND($A$2=4,VLOOKUP($A93,'District Level ADM'!$A$5:$W$52,5,FALSE)="Prior Year"),AR93,IF(AND($A$2=4,VLOOKUP($A93,'District Level ADM'!$A$5:$W$52,5,FALSE)="3-Year Avg."),AD93,IF($A$2=2,AR93,IF($A$2=3,AD93,IF(($AG93&gt;$AU93),AD93,AR93)))))</f>
        <v>0</v>
      </c>
      <c r="Q93" s="317">
        <f>IF(AND($A$2=4,VLOOKUP($A93,'District Level ADM'!$A$5:$W$52,5,FALSE)="Prior Year"),AS93,IF(AND($A$2=4,VLOOKUP($A93,'District Level ADM'!$A$5:$W$52,5,FALSE)="3-Year Avg."),AE93,IF($A$2=2,AS93,IF($A$2=3,AE93,IF(($AG93&gt;$AU93),AE93,AS93)))))</f>
        <v>0</v>
      </c>
      <c r="R93" s="317">
        <f>IF(AND($A$2=4,VLOOKUP($A93,'District Level ADM'!$A$5:$W$52,5,FALSE)="Prior Year"),AT93,IF(AND($A$2=4,VLOOKUP($A93,'District Level ADM'!$A$5:$W$52,5,FALSE)="3-Year Avg."),AF93,IF($A$2=2,AT93,IF($A$2=3,AF93,IF(($AG93&gt;$AU93),AF93,AT93)))))</f>
        <v>0</v>
      </c>
      <c r="S93" s="317">
        <f t="shared" si="13"/>
        <v>535.83999999999992</v>
      </c>
      <c r="T93" s="317">
        <f t="shared" si="20"/>
        <v>126.84700000000002</v>
      </c>
      <c r="U93" s="317">
        <f t="shared" si="20"/>
        <v>134.15466666666666</v>
      </c>
      <c r="V93" s="317">
        <f t="shared" si="20"/>
        <v>144.34466666666665</v>
      </c>
      <c r="W93" s="317">
        <f t="shared" si="19"/>
        <v>152.76266666666666</v>
      </c>
      <c r="X93" s="317">
        <f t="shared" si="19"/>
        <v>0</v>
      </c>
      <c r="Y93" s="317">
        <f t="shared" si="19"/>
        <v>0</v>
      </c>
      <c r="Z93" s="317">
        <f t="shared" si="19"/>
        <v>0</v>
      </c>
      <c r="AA93" s="317">
        <f t="shared" si="19"/>
        <v>0</v>
      </c>
      <c r="AB93" s="317">
        <f t="shared" si="19"/>
        <v>0</v>
      </c>
      <c r="AC93" s="317">
        <f t="shared" si="18"/>
        <v>0</v>
      </c>
      <c r="AD93" s="317">
        <f t="shared" si="18"/>
        <v>0</v>
      </c>
      <c r="AE93" s="317">
        <f t="shared" si="18"/>
        <v>0</v>
      </c>
      <c r="AF93" s="317">
        <f t="shared" si="18"/>
        <v>0</v>
      </c>
      <c r="AG93" s="317">
        <f t="shared" si="14"/>
        <v>558.10899999999992</v>
      </c>
      <c r="AH93" s="318">
        <v>116.23</v>
      </c>
      <c r="AI93" s="318">
        <v>125.095</v>
      </c>
      <c r="AJ93" s="318">
        <v>142.82499999999999</v>
      </c>
      <c r="AK93" s="318">
        <v>151.69</v>
      </c>
      <c r="AL93" s="318">
        <v>0</v>
      </c>
      <c r="AM93" s="318">
        <v>0</v>
      </c>
      <c r="AN93" s="318">
        <v>0</v>
      </c>
      <c r="AO93" s="318">
        <v>0</v>
      </c>
      <c r="AP93" s="318">
        <v>0</v>
      </c>
      <c r="AQ93" s="318">
        <v>0</v>
      </c>
      <c r="AR93" s="318">
        <v>0</v>
      </c>
      <c r="AS93" s="318">
        <v>0</v>
      </c>
      <c r="AT93" s="318">
        <v>0</v>
      </c>
      <c r="AU93" s="317">
        <f t="shared" si="15"/>
        <v>535.83999999999992</v>
      </c>
      <c r="AV93" s="319">
        <v>126.017</v>
      </c>
      <c r="AW93" s="319">
        <v>138.04</v>
      </c>
      <c r="AX93" s="319">
        <v>149.47999999999999</v>
      </c>
      <c r="AY93" s="319">
        <v>148.489</v>
      </c>
      <c r="AZ93" s="319">
        <v>0</v>
      </c>
      <c r="BA93" s="319">
        <v>0</v>
      </c>
      <c r="BB93" s="319">
        <v>0</v>
      </c>
      <c r="BC93" s="319">
        <v>0</v>
      </c>
      <c r="BD93" s="319">
        <v>0</v>
      </c>
      <c r="BE93" s="319">
        <v>0</v>
      </c>
      <c r="BF93" s="319">
        <v>0</v>
      </c>
      <c r="BG93" s="319">
        <v>0</v>
      </c>
      <c r="BH93" s="319">
        <v>0</v>
      </c>
      <c r="BI93" s="317">
        <f t="shared" si="16"/>
        <v>562.02600000000007</v>
      </c>
      <c r="BJ93" s="316">
        <v>138.29400000000001</v>
      </c>
      <c r="BK93" s="316">
        <v>139.32900000000001</v>
      </c>
      <c r="BL93" s="316">
        <v>140.72900000000001</v>
      </c>
      <c r="BM93" s="316">
        <v>158.10900000000001</v>
      </c>
      <c r="BN93" s="316">
        <v>0</v>
      </c>
      <c r="BO93" s="316">
        <v>0</v>
      </c>
      <c r="BP93" s="316">
        <v>0</v>
      </c>
      <c r="BQ93" s="316">
        <v>0</v>
      </c>
      <c r="BR93" s="316">
        <v>0</v>
      </c>
      <c r="BS93" s="316">
        <v>0</v>
      </c>
      <c r="BT93" s="316">
        <v>0</v>
      </c>
      <c r="BU93" s="316">
        <v>0</v>
      </c>
      <c r="BV93" s="316">
        <v>0</v>
      </c>
      <c r="BW93" s="317">
        <f t="shared" si="17"/>
        <v>576.46100000000013</v>
      </c>
    </row>
    <row r="94" spans="1:734" x14ac:dyDescent="0.2">
      <c r="A94" s="20" t="str">
        <f>'School Level Inst. Resources'!A94</f>
        <v>0701000</v>
      </c>
      <c r="B94" s="20" t="str">
        <f>'School Level Inst. Resources'!B94</f>
        <v>Fremont #1</v>
      </c>
      <c r="C94" s="20" t="str">
        <f>'School Level Inst. Resources'!C94</f>
        <v>0701009</v>
      </c>
      <c r="D94" s="20" t="str">
        <f>'School Level Inst. Resources'!D94</f>
        <v>Baldwin Creek</v>
      </c>
      <c r="E94" s="138" t="str">
        <f>'School Level Inst. Resources'!E94</f>
        <v>4-5</v>
      </c>
      <c r="F94" s="317">
        <f>IF(AND($A$2=4,VLOOKUP($A94,'District Level ADM'!$A$5:$W$52,5,FALSE)="Prior Year"),AH94,IF(AND($A$2=4,VLOOKUP($A94,'District Level ADM'!$A$5:$W$52,5,FALSE)="3-Year Avg."),T94,IF($A$2=2,AH94,IF($A$2=3,T94,IF(($AG94&gt;$AU94),T94,AH94)))))</f>
        <v>0</v>
      </c>
      <c r="G94" s="317">
        <f>IF(AND($A$2=4,VLOOKUP($A94,'District Level ADM'!$A$5:$W$52,5,FALSE)="Prior Year"),AI94,IF(AND($A$2=4,VLOOKUP($A94,'District Level ADM'!$A$5:$W$52,5,FALSE)="3-Year Avg."),U94,IF($A$2=2,AI94,IF($A$2=3,U94,IF(($AG94&gt;$AU94),U94,AI94)))))</f>
        <v>0</v>
      </c>
      <c r="H94" s="317">
        <f>IF(AND($A$2=4,VLOOKUP($A94,'District Level ADM'!$A$5:$W$52,5,FALSE)="Prior Year"),AJ94,IF(AND($A$2=4,VLOOKUP($A94,'District Level ADM'!$A$5:$W$52,5,FALSE)="3-Year Avg."),V94,IF($A$2=2,AJ94,IF($A$2=3,V94,IF(($AG94&gt;$AU94),V94,AJ94)))))</f>
        <v>0</v>
      </c>
      <c r="I94" s="317">
        <f>IF(AND($A$2=4,VLOOKUP($A94,'District Level ADM'!$A$5:$W$52,5,FALSE)="Prior Year"),AK94,IF(AND($A$2=4,VLOOKUP($A94,'District Level ADM'!$A$5:$W$52,5,FALSE)="3-Year Avg."),W94,IF($A$2=2,AK94,IF($A$2=3,W94,IF(($AG94&gt;$AU94),W94,AK94)))))</f>
        <v>0</v>
      </c>
      <c r="J94" s="317">
        <f>IF(AND($A$2=4,VLOOKUP($A94,'District Level ADM'!$A$5:$W$52,5,FALSE)="Prior Year"),AL94,IF(AND($A$2=4,VLOOKUP($A94,'District Level ADM'!$A$5:$W$52,5,FALSE)="3-Year Avg."),X94,IF($A$2=2,AL94,IF($A$2=3,X94,IF(($AG94&gt;$AU94),X94,AL94)))))</f>
        <v>144.79499999999999</v>
      </c>
      <c r="K94" s="317">
        <f>IF(AND($A$2=4,VLOOKUP($A94,'District Level ADM'!$A$5:$W$52,5,FALSE)="Prior Year"),AM94,IF(AND($A$2=4,VLOOKUP($A94,'District Level ADM'!$A$5:$W$52,5,FALSE)="3-Year Avg."),Y94,IF($A$2=2,AM94,IF($A$2=3,Y94,IF(($AG94&gt;$AU94),Y94,AM94)))))</f>
        <v>155.63</v>
      </c>
      <c r="L94" s="317">
        <f>IF(AND($A$2=4,VLOOKUP($A94,'District Level ADM'!$A$5:$W$52,5,FALSE)="Prior Year"),AN94,IF(AND($A$2=4,VLOOKUP($A94,'District Level ADM'!$A$5:$W$52,5,FALSE)="3-Year Avg."),Z94,IF($A$2=2,AN94,IF($A$2=3,Z94,IF(($AG94&gt;$AU94),Z94,AN94)))))</f>
        <v>0</v>
      </c>
      <c r="M94" s="317">
        <f>IF(AND($A$2=4,VLOOKUP($A94,'District Level ADM'!$A$5:$W$52,5,FALSE)="Prior Year"),AO94,IF(AND($A$2=4,VLOOKUP($A94,'District Level ADM'!$A$5:$W$52,5,FALSE)="3-Year Avg."),AA94,IF($A$2=2,AO94,IF($A$2=3,AA94,IF(($AG94&gt;$AU94),AA94,AO94)))))</f>
        <v>0</v>
      </c>
      <c r="N94" s="317">
        <f>IF(AND($A$2=4,VLOOKUP($A94,'District Level ADM'!$A$5:$W$52,5,FALSE)="Prior Year"),AP94,IF(AND($A$2=4,VLOOKUP($A94,'District Level ADM'!$A$5:$W$52,5,FALSE)="3-Year Avg."),AB94,IF($A$2=2,AP94,IF($A$2=3,AB94,IF(($AG94&gt;$AU94),AB94,AP94)))))</f>
        <v>0</v>
      </c>
      <c r="O94" s="317">
        <f>IF(AND($A$2=4,VLOOKUP($A94,'District Level ADM'!$A$5:$W$52,5,FALSE)="Prior Year"),AQ94,IF(AND($A$2=4,VLOOKUP($A94,'District Level ADM'!$A$5:$W$52,5,FALSE)="3-Year Avg."),AC94,IF($A$2=2,AQ94,IF($A$2=3,AC94,IF(($AG94&gt;$AU94),AC94,AQ94)))))</f>
        <v>0</v>
      </c>
      <c r="P94" s="317">
        <f>IF(AND($A$2=4,VLOOKUP($A94,'District Level ADM'!$A$5:$W$52,5,FALSE)="Prior Year"),AR94,IF(AND($A$2=4,VLOOKUP($A94,'District Level ADM'!$A$5:$W$52,5,FALSE)="3-Year Avg."),AD94,IF($A$2=2,AR94,IF($A$2=3,AD94,IF(($AG94&gt;$AU94),AD94,AR94)))))</f>
        <v>0</v>
      </c>
      <c r="Q94" s="317">
        <f>IF(AND($A$2=4,VLOOKUP($A94,'District Level ADM'!$A$5:$W$52,5,FALSE)="Prior Year"),AS94,IF(AND($A$2=4,VLOOKUP($A94,'District Level ADM'!$A$5:$W$52,5,FALSE)="3-Year Avg."),AE94,IF($A$2=2,AS94,IF($A$2=3,AE94,IF(($AG94&gt;$AU94),AE94,AS94)))))</f>
        <v>0</v>
      </c>
      <c r="R94" s="317">
        <f>IF(AND($A$2=4,VLOOKUP($A94,'District Level ADM'!$A$5:$W$52,5,FALSE)="Prior Year"),AT94,IF(AND($A$2=4,VLOOKUP($A94,'District Level ADM'!$A$5:$W$52,5,FALSE)="3-Year Avg."),AF94,IF($A$2=2,AT94,IF($A$2=3,AF94,IF(($AG94&gt;$AU94),AF94,AT94)))))</f>
        <v>0</v>
      </c>
      <c r="S94" s="317">
        <f t="shared" si="13"/>
        <v>300.42499999999995</v>
      </c>
      <c r="T94" s="317">
        <f t="shared" si="20"/>
        <v>0</v>
      </c>
      <c r="U94" s="317">
        <f t="shared" si="20"/>
        <v>0</v>
      </c>
      <c r="V94" s="317">
        <f t="shared" si="20"/>
        <v>0</v>
      </c>
      <c r="W94" s="317">
        <f t="shared" si="19"/>
        <v>0</v>
      </c>
      <c r="X94" s="317">
        <f t="shared" si="19"/>
        <v>147.15466666666666</v>
      </c>
      <c r="Y94" s="317">
        <f t="shared" si="19"/>
        <v>139.34166666666667</v>
      </c>
      <c r="Z94" s="317">
        <f t="shared" si="19"/>
        <v>0</v>
      </c>
      <c r="AA94" s="317">
        <f t="shared" si="19"/>
        <v>0</v>
      </c>
      <c r="AB94" s="317">
        <f t="shared" si="19"/>
        <v>0</v>
      </c>
      <c r="AC94" s="317">
        <f t="shared" si="18"/>
        <v>0</v>
      </c>
      <c r="AD94" s="317">
        <f t="shared" si="18"/>
        <v>0</v>
      </c>
      <c r="AE94" s="317">
        <f t="shared" si="18"/>
        <v>0</v>
      </c>
      <c r="AF94" s="317">
        <f t="shared" si="18"/>
        <v>0</v>
      </c>
      <c r="AG94" s="317">
        <f t="shared" si="14"/>
        <v>286.49633333333333</v>
      </c>
      <c r="AH94" s="318">
        <v>0</v>
      </c>
      <c r="AI94" s="318">
        <v>0</v>
      </c>
      <c r="AJ94" s="318">
        <v>0</v>
      </c>
      <c r="AK94" s="318">
        <v>0</v>
      </c>
      <c r="AL94" s="318">
        <v>144.79499999999999</v>
      </c>
      <c r="AM94" s="318">
        <v>155.63</v>
      </c>
      <c r="AN94" s="318">
        <v>0</v>
      </c>
      <c r="AO94" s="318">
        <v>0</v>
      </c>
      <c r="AP94" s="318">
        <v>0</v>
      </c>
      <c r="AQ94" s="318">
        <v>0</v>
      </c>
      <c r="AR94" s="318">
        <v>0</v>
      </c>
      <c r="AS94" s="318">
        <v>0</v>
      </c>
      <c r="AT94" s="318">
        <v>0</v>
      </c>
      <c r="AU94" s="317">
        <f t="shared" si="15"/>
        <v>300.42499999999995</v>
      </c>
      <c r="AV94" s="319">
        <v>0</v>
      </c>
      <c r="AW94" s="319">
        <v>0</v>
      </c>
      <c r="AX94" s="319">
        <v>0</v>
      </c>
      <c r="AY94" s="319">
        <v>0</v>
      </c>
      <c r="AZ94" s="319">
        <v>163.96899999999999</v>
      </c>
      <c r="BA94" s="319">
        <v>136.221</v>
      </c>
      <c r="BB94" s="319">
        <v>0</v>
      </c>
      <c r="BC94" s="319">
        <v>0</v>
      </c>
      <c r="BD94" s="319">
        <v>0</v>
      </c>
      <c r="BE94" s="319">
        <v>0</v>
      </c>
      <c r="BF94" s="319">
        <v>0</v>
      </c>
      <c r="BG94" s="319">
        <v>0</v>
      </c>
      <c r="BH94" s="319">
        <v>0</v>
      </c>
      <c r="BI94" s="317">
        <f t="shared" si="16"/>
        <v>300.19</v>
      </c>
      <c r="BJ94" s="316">
        <v>0</v>
      </c>
      <c r="BK94" s="316">
        <v>0</v>
      </c>
      <c r="BL94" s="316">
        <v>0</v>
      </c>
      <c r="BM94" s="316">
        <v>0</v>
      </c>
      <c r="BN94" s="316">
        <v>132.69999999999999</v>
      </c>
      <c r="BO94" s="316">
        <v>126.17400000000001</v>
      </c>
      <c r="BP94" s="316">
        <v>0</v>
      </c>
      <c r="BQ94" s="316">
        <v>0</v>
      </c>
      <c r="BR94" s="316">
        <v>0</v>
      </c>
      <c r="BS94" s="316">
        <v>0</v>
      </c>
      <c r="BT94" s="316">
        <v>0</v>
      </c>
      <c r="BU94" s="316">
        <v>0</v>
      </c>
      <c r="BV94" s="316">
        <v>0</v>
      </c>
      <c r="BW94" s="317">
        <f t="shared" si="17"/>
        <v>258.87400000000002</v>
      </c>
    </row>
    <row r="95" spans="1:734" x14ac:dyDescent="0.2">
      <c r="A95" s="20" t="str">
        <f>'School Level Inst. Resources'!A95</f>
        <v>0701000</v>
      </c>
      <c r="B95" s="20" t="str">
        <f>'School Level Inst. Resources'!B95</f>
        <v>Fremont #1</v>
      </c>
      <c r="C95" s="20" t="str">
        <f>'School Level Inst. Resources'!C95</f>
        <v>0701050</v>
      </c>
      <c r="D95" s="20" t="str">
        <f>'School Level Inst. Resources'!D95</f>
        <v>Lander Middle School</v>
      </c>
      <c r="E95" s="138" t="str">
        <f>'School Level Inst. Resources'!E95</f>
        <v>6-8</v>
      </c>
      <c r="F95" s="317">
        <f>IF(AND($A$2=4,VLOOKUP($A95,'District Level ADM'!$A$5:$W$52,5,FALSE)="Prior Year"),AH95,IF(AND($A$2=4,VLOOKUP($A95,'District Level ADM'!$A$5:$W$52,5,FALSE)="3-Year Avg."),T95,IF($A$2=2,AH95,IF($A$2=3,T95,IF(($AG95&gt;$AU95),T95,AH95)))))</f>
        <v>0</v>
      </c>
      <c r="G95" s="317">
        <f>IF(AND($A$2=4,VLOOKUP($A95,'District Level ADM'!$A$5:$W$52,5,FALSE)="Prior Year"),AI95,IF(AND($A$2=4,VLOOKUP($A95,'District Level ADM'!$A$5:$W$52,5,FALSE)="3-Year Avg."),U95,IF($A$2=2,AI95,IF($A$2=3,U95,IF(($AG95&gt;$AU95),U95,AI95)))))</f>
        <v>0</v>
      </c>
      <c r="H95" s="317">
        <f>IF(AND($A$2=4,VLOOKUP($A95,'District Level ADM'!$A$5:$W$52,5,FALSE)="Prior Year"),AJ95,IF(AND($A$2=4,VLOOKUP($A95,'District Level ADM'!$A$5:$W$52,5,FALSE)="3-Year Avg."),V95,IF($A$2=2,AJ95,IF($A$2=3,V95,IF(($AG95&gt;$AU95),V95,AJ95)))))</f>
        <v>0</v>
      </c>
      <c r="I95" s="317">
        <f>IF(AND($A$2=4,VLOOKUP($A95,'District Level ADM'!$A$5:$W$52,5,FALSE)="Prior Year"),AK95,IF(AND($A$2=4,VLOOKUP($A95,'District Level ADM'!$A$5:$W$52,5,FALSE)="3-Year Avg."),W95,IF($A$2=2,AK95,IF($A$2=3,W95,IF(($AG95&gt;$AU95),W95,AK95)))))</f>
        <v>0</v>
      </c>
      <c r="J95" s="317">
        <f>IF(AND($A$2=4,VLOOKUP($A95,'District Level ADM'!$A$5:$W$52,5,FALSE)="Prior Year"),AL95,IF(AND($A$2=4,VLOOKUP($A95,'District Level ADM'!$A$5:$W$52,5,FALSE)="3-Year Avg."),X95,IF($A$2=2,AL95,IF($A$2=3,X95,IF(($AG95&gt;$AU95),X95,AL95)))))</f>
        <v>0</v>
      </c>
      <c r="K95" s="317">
        <f>IF(AND($A$2=4,VLOOKUP($A95,'District Level ADM'!$A$5:$W$52,5,FALSE)="Prior Year"),AM95,IF(AND($A$2=4,VLOOKUP($A95,'District Level ADM'!$A$5:$W$52,5,FALSE)="3-Year Avg."),Y95,IF($A$2=2,AM95,IF($A$2=3,Y95,IF(($AG95&gt;$AU95),Y95,AM95)))))</f>
        <v>0</v>
      </c>
      <c r="L95" s="317">
        <f>IF(AND($A$2=4,VLOOKUP($A95,'District Level ADM'!$A$5:$W$52,5,FALSE)="Prior Year"),AN95,IF(AND($A$2=4,VLOOKUP($A95,'District Level ADM'!$A$5:$W$52,5,FALSE)="3-Year Avg."),Z95,IF($A$2=2,AN95,IF($A$2=3,Z95,IF(($AG95&gt;$AU95),Z95,AN95)))))</f>
        <v>140.85499999999999</v>
      </c>
      <c r="M95" s="317">
        <f>IF(AND($A$2=4,VLOOKUP($A95,'District Level ADM'!$A$5:$W$52,5,FALSE)="Prior Year"),AO95,IF(AND($A$2=4,VLOOKUP($A95,'District Level ADM'!$A$5:$W$52,5,FALSE)="3-Year Avg."),AA95,IF($A$2=2,AO95,IF($A$2=3,AA95,IF(($AG95&gt;$AU95),AA95,AO95)))))</f>
        <v>132.97499999999999</v>
      </c>
      <c r="N95" s="317">
        <f>IF(AND($A$2=4,VLOOKUP($A95,'District Level ADM'!$A$5:$W$52,5,FALSE)="Prior Year"),AP95,IF(AND($A$2=4,VLOOKUP($A95,'District Level ADM'!$A$5:$W$52,5,FALSE)="3-Year Avg."),AB95,IF($A$2=2,AP95,IF($A$2=3,AB95,IF(($AG95&gt;$AU95),AB95,AP95)))))</f>
        <v>135.93</v>
      </c>
      <c r="O95" s="317">
        <f>IF(AND($A$2=4,VLOOKUP($A95,'District Level ADM'!$A$5:$W$52,5,FALSE)="Prior Year"),AQ95,IF(AND($A$2=4,VLOOKUP($A95,'District Level ADM'!$A$5:$W$52,5,FALSE)="3-Year Avg."),AC95,IF($A$2=2,AQ95,IF($A$2=3,AC95,IF(($AG95&gt;$AU95),AC95,AQ95)))))</f>
        <v>0</v>
      </c>
      <c r="P95" s="317">
        <f>IF(AND($A$2=4,VLOOKUP($A95,'District Level ADM'!$A$5:$W$52,5,FALSE)="Prior Year"),AR95,IF(AND($A$2=4,VLOOKUP($A95,'District Level ADM'!$A$5:$W$52,5,FALSE)="3-Year Avg."),AD95,IF($A$2=2,AR95,IF($A$2=3,AD95,IF(($AG95&gt;$AU95),AD95,AR95)))))</f>
        <v>0</v>
      </c>
      <c r="Q95" s="317">
        <f>IF(AND($A$2=4,VLOOKUP($A95,'District Level ADM'!$A$5:$W$52,5,FALSE)="Prior Year"),AS95,IF(AND($A$2=4,VLOOKUP($A95,'District Level ADM'!$A$5:$W$52,5,FALSE)="3-Year Avg."),AE95,IF($A$2=2,AS95,IF($A$2=3,AE95,IF(($AG95&gt;$AU95),AE95,AS95)))))</f>
        <v>0</v>
      </c>
      <c r="R95" s="317">
        <f>IF(AND($A$2=4,VLOOKUP($A95,'District Level ADM'!$A$5:$W$52,5,FALSE)="Prior Year"),AT95,IF(AND($A$2=4,VLOOKUP($A95,'District Level ADM'!$A$5:$W$52,5,FALSE)="3-Year Avg."),AF95,IF($A$2=2,AT95,IF($A$2=3,AF95,IF(($AG95&gt;$AU95),AF95,AT95)))))</f>
        <v>0</v>
      </c>
      <c r="S95" s="317">
        <f t="shared" si="13"/>
        <v>409.76</v>
      </c>
      <c r="T95" s="317">
        <f t="shared" si="20"/>
        <v>0</v>
      </c>
      <c r="U95" s="317">
        <f t="shared" si="20"/>
        <v>0</v>
      </c>
      <c r="V95" s="317">
        <f t="shared" si="20"/>
        <v>0</v>
      </c>
      <c r="W95" s="317">
        <f t="shared" si="19"/>
        <v>0</v>
      </c>
      <c r="X95" s="317">
        <f t="shared" si="19"/>
        <v>0</v>
      </c>
      <c r="Y95" s="317">
        <f t="shared" si="19"/>
        <v>0</v>
      </c>
      <c r="Z95" s="317">
        <f t="shared" si="19"/>
        <v>135.18266666666668</v>
      </c>
      <c r="AA95" s="317">
        <f t="shared" si="19"/>
        <v>132.03200000000001</v>
      </c>
      <c r="AB95" s="317">
        <f t="shared" si="19"/>
        <v>128.64066666666665</v>
      </c>
      <c r="AC95" s="317">
        <f t="shared" si="18"/>
        <v>0</v>
      </c>
      <c r="AD95" s="317">
        <f t="shared" si="18"/>
        <v>0</v>
      </c>
      <c r="AE95" s="317">
        <f t="shared" si="18"/>
        <v>0</v>
      </c>
      <c r="AF95" s="317">
        <f t="shared" si="18"/>
        <v>0</v>
      </c>
      <c r="AG95" s="317">
        <f t="shared" si="14"/>
        <v>395.85533333333331</v>
      </c>
      <c r="AH95" s="318">
        <v>0</v>
      </c>
      <c r="AI95" s="318">
        <v>0</v>
      </c>
      <c r="AJ95" s="318">
        <v>0</v>
      </c>
      <c r="AK95" s="318">
        <v>0</v>
      </c>
      <c r="AL95" s="318">
        <v>0</v>
      </c>
      <c r="AM95" s="318">
        <v>0</v>
      </c>
      <c r="AN95" s="318">
        <v>140.85499999999999</v>
      </c>
      <c r="AO95" s="318">
        <v>132.97499999999999</v>
      </c>
      <c r="AP95" s="318">
        <v>135.93</v>
      </c>
      <c r="AQ95" s="318">
        <v>0</v>
      </c>
      <c r="AR95" s="318">
        <v>0</v>
      </c>
      <c r="AS95" s="318">
        <v>0</v>
      </c>
      <c r="AT95" s="318">
        <v>0</v>
      </c>
      <c r="AU95" s="317">
        <f t="shared" si="15"/>
        <v>409.76</v>
      </c>
      <c r="AV95" s="319">
        <v>0</v>
      </c>
      <c r="AW95" s="319">
        <v>0</v>
      </c>
      <c r="AX95" s="319">
        <v>0</v>
      </c>
      <c r="AY95" s="319">
        <v>0</v>
      </c>
      <c r="AZ95" s="319">
        <v>0</v>
      </c>
      <c r="BA95" s="319">
        <v>0</v>
      </c>
      <c r="BB95" s="319">
        <v>132.54900000000001</v>
      </c>
      <c r="BC95" s="319">
        <v>140.17699999999999</v>
      </c>
      <c r="BD95" s="319">
        <v>128.60900000000001</v>
      </c>
      <c r="BE95" s="319">
        <v>0</v>
      </c>
      <c r="BF95" s="319">
        <v>0</v>
      </c>
      <c r="BG95" s="319">
        <v>0</v>
      </c>
      <c r="BH95" s="319">
        <v>0</v>
      </c>
      <c r="BI95" s="317">
        <f t="shared" si="16"/>
        <v>401.33500000000004</v>
      </c>
      <c r="BJ95" s="316">
        <v>0</v>
      </c>
      <c r="BK95" s="316">
        <v>0</v>
      </c>
      <c r="BL95" s="316">
        <v>0</v>
      </c>
      <c r="BM95" s="316">
        <v>0</v>
      </c>
      <c r="BN95" s="316">
        <v>0</v>
      </c>
      <c r="BO95" s="316">
        <v>0</v>
      </c>
      <c r="BP95" s="316">
        <v>132.14400000000001</v>
      </c>
      <c r="BQ95" s="316">
        <v>122.944</v>
      </c>
      <c r="BR95" s="316">
        <v>121.383</v>
      </c>
      <c r="BS95" s="316">
        <v>0</v>
      </c>
      <c r="BT95" s="316">
        <v>0</v>
      </c>
      <c r="BU95" s="316">
        <v>0</v>
      </c>
      <c r="BV95" s="316">
        <v>0</v>
      </c>
      <c r="BW95" s="317">
        <f t="shared" si="17"/>
        <v>376.471</v>
      </c>
    </row>
    <row r="96" spans="1:734" x14ac:dyDescent="0.2">
      <c r="A96" s="20" t="str">
        <f>'School Level Inst. Resources'!A96</f>
        <v>0701000</v>
      </c>
      <c r="B96" s="20" t="str">
        <f>'School Level Inst. Resources'!B96</f>
        <v>Fremont #1</v>
      </c>
      <c r="C96" s="20" t="str">
        <f>'School Level Inst. Resources'!C96</f>
        <v>0701055</v>
      </c>
      <c r="D96" s="20" t="str">
        <f>'School Level Inst. Resources'!D96</f>
        <v>Lander Valley High School</v>
      </c>
      <c r="E96" s="138" t="str">
        <f>'School Level Inst. Resources'!E96</f>
        <v>9-12</v>
      </c>
      <c r="F96" s="317">
        <f>IF(AND($A$2=4,VLOOKUP($A96,'District Level ADM'!$A$5:$W$52,5,FALSE)="Prior Year"),AH96,IF(AND($A$2=4,VLOOKUP($A96,'District Level ADM'!$A$5:$W$52,5,FALSE)="3-Year Avg."),T96,IF($A$2=2,AH96,IF($A$2=3,T96,IF(($AG96&gt;$AU96),T96,AH96)))))</f>
        <v>0</v>
      </c>
      <c r="G96" s="317">
        <f>IF(AND($A$2=4,VLOOKUP($A96,'District Level ADM'!$A$5:$W$52,5,FALSE)="Prior Year"),AI96,IF(AND($A$2=4,VLOOKUP($A96,'District Level ADM'!$A$5:$W$52,5,FALSE)="3-Year Avg."),U96,IF($A$2=2,AI96,IF($A$2=3,U96,IF(($AG96&gt;$AU96),U96,AI96)))))</f>
        <v>0</v>
      </c>
      <c r="H96" s="317">
        <f>IF(AND($A$2=4,VLOOKUP($A96,'District Level ADM'!$A$5:$W$52,5,FALSE)="Prior Year"),AJ96,IF(AND($A$2=4,VLOOKUP($A96,'District Level ADM'!$A$5:$W$52,5,FALSE)="3-Year Avg."),V96,IF($A$2=2,AJ96,IF($A$2=3,V96,IF(($AG96&gt;$AU96),V96,AJ96)))))</f>
        <v>0</v>
      </c>
      <c r="I96" s="317">
        <f>IF(AND($A$2=4,VLOOKUP($A96,'District Level ADM'!$A$5:$W$52,5,FALSE)="Prior Year"),AK96,IF(AND($A$2=4,VLOOKUP($A96,'District Level ADM'!$A$5:$W$52,5,FALSE)="3-Year Avg."),W96,IF($A$2=2,AK96,IF($A$2=3,W96,IF(($AG96&gt;$AU96),W96,AK96)))))</f>
        <v>0</v>
      </c>
      <c r="J96" s="317">
        <f>IF(AND($A$2=4,VLOOKUP($A96,'District Level ADM'!$A$5:$W$52,5,FALSE)="Prior Year"),AL96,IF(AND($A$2=4,VLOOKUP($A96,'District Level ADM'!$A$5:$W$52,5,FALSE)="3-Year Avg."),X96,IF($A$2=2,AL96,IF($A$2=3,X96,IF(($AG96&gt;$AU96),X96,AL96)))))</f>
        <v>0</v>
      </c>
      <c r="K96" s="317">
        <f>IF(AND($A$2=4,VLOOKUP($A96,'District Level ADM'!$A$5:$W$52,5,FALSE)="Prior Year"),AM96,IF(AND($A$2=4,VLOOKUP($A96,'District Level ADM'!$A$5:$W$52,5,FALSE)="3-Year Avg."),Y96,IF($A$2=2,AM96,IF($A$2=3,Y96,IF(($AG96&gt;$AU96),Y96,AM96)))))</f>
        <v>0</v>
      </c>
      <c r="L96" s="317">
        <f>IF(AND($A$2=4,VLOOKUP($A96,'District Level ADM'!$A$5:$W$52,5,FALSE)="Prior Year"),AN96,IF(AND($A$2=4,VLOOKUP($A96,'District Level ADM'!$A$5:$W$52,5,FALSE)="3-Year Avg."),Z96,IF($A$2=2,AN96,IF($A$2=3,Z96,IF(($AG96&gt;$AU96),Z96,AN96)))))</f>
        <v>0</v>
      </c>
      <c r="M96" s="317">
        <f>IF(AND($A$2=4,VLOOKUP($A96,'District Level ADM'!$A$5:$W$52,5,FALSE)="Prior Year"),AO96,IF(AND($A$2=4,VLOOKUP($A96,'District Level ADM'!$A$5:$W$52,5,FALSE)="3-Year Avg."),AA96,IF($A$2=2,AO96,IF($A$2=3,AA96,IF(($AG96&gt;$AU96),AA96,AO96)))))</f>
        <v>0</v>
      </c>
      <c r="N96" s="317">
        <f>IF(AND($A$2=4,VLOOKUP($A96,'District Level ADM'!$A$5:$W$52,5,FALSE)="Prior Year"),AP96,IF(AND($A$2=4,VLOOKUP($A96,'District Level ADM'!$A$5:$W$52,5,FALSE)="3-Year Avg."),AB96,IF($A$2=2,AP96,IF($A$2=3,AB96,IF(($AG96&gt;$AU96),AB96,AP96)))))</f>
        <v>0</v>
      </c>
      <c r="O96" s="317">
        <f>IF(AND($A$2=4,VLOOKUP($A96,'District Level ADM'!$A$5:$W$52,5,FALSE)="Prior Year"),AQ96,IF(AND($A$2=4,VLOOKUP($A96,'District Level ADM'!$A$5:$W$52,5,FALSE)="3-Year Avg."),AC96,IF($A$2=2,AQ96,IF($A$2=3,AC96,IF(($AG96&gt;$AU96),AC96,AQ96)))))</f>
        <v>142.82499999999999</v>
      </c>
      <c r="P96" s="317">
        <f>IF(AND($A$2=4,VLOOKUP($A96,'District Level ADM'!$A$5:$W$52,5,FALSE)="Prior Year"),AR96,IF(AND($A$2=4,VLOOKUP($A96,'District Level ADM'!$A$5:$W$52,5,FALSE)="3-Year Avg."),AD96,IF($A$2=2,AR96,IF($A$2=3,AD96,IF(($AG96&gt;$AU96),AD96,AR96)))))</f>
        <v>133.96</v>
      </c>
      <c r="Q96" s="317">
        <f>IF(AND($A$2=4,VLOOKUP($A96,'District Level ADM'!$A$5:$W$52,5,FALSE)="Prior Year"),AS96,IF(AND($A$2=4,VLOOKUP($A96,'District Level ADM'!$A$5:$W$52,5,FALSE)="3-Year Avg."),AE96,IF($A$2=2,AS96,IF($A$2=3,AE96,IF(($AG96&gt;$AU96),AE96,AS96)))))</f>
        <v>93.575000000000003</v>
      </c>
      <c r="R96" s="317">
        <f>IF(AND($A$2=4,VLOOKUP($A96,'District Level ADM'!$A$5:$W$52,5,FALSE)="Prior Year"),AT96,IF(AND($A$2=4,VLOOKUP($A96,'District Level ADM'!$A$5:$W$52,5,FALSE)="3-Year Avg."),AF96,IF($A$2=2,AT96,IF($A$2=3,AF96,IF(($AG96&gt;$AU96),AF96,AT96)))))</f>
        <v>102.44</v>
      </c>
      <c r="S96" s="317">
        <f t="shared" si="13"/>
        <v>472.79999999999995</v>
      </c>
      <c r="T96" s="317">
        <f t="shared" si="20"/>
        <v>0</v>
      </c>
      <c r="U96" s="317">
        <f t="shared" si="20"/>
        <v>0</v>
      </c>
      <c r="V96" s="317">
        <f t="shared" si="20"/>
        <v>0</v>
      </c>
      <c r="W96" s="317">
        <f t="shared" si="19"/>
        <v>0</v>
      </c>
      <c r="X96" s="317">
        <f t="shared" si="19"/>
        <v>0</v>
      </c>
      <c r="Y96" s="317">
        <f t="shared" si="19"/>
        <v>0</v>
      </c>
      <c r="Z96" s="317">
        <f t="shared" si="19"/>
        <v>0</v>
      </c>
      <c r="AA96" s="317">
        <f t="shared" si="19"/>
        <v>0</v>
      </c>
      <c r="AB96" s="317">
        <f t="shared" si="19"/>
        <v>0</v>
      </c>
      <c r="AC96" s="317">
        <f t="shared" si="18"/>
        <v>135.524</v>
      </c>
      <c r="AD96" s="317">
        <f t="shared" si="18"/>
        <v>118.48266666666666</v>
      </c>
      <c r="AE96" s="317">
        <f t="shared" si="18"/>
        <v>92.850666666666669</v>
      </c>
      <c r="AF96" s="317">
        <f t="shared" si="18"/>
        <v>102.22133333333333</v>
      </c>
      <c r="AG96" s="317">
        <f t="shared" si="14"/>
        <v>449.07866666666666</v>
      </c>
      <c r="AH96" s="318">
        <v>0</v>
      </c>
      <c r="AI96" s="318">
        <v>0</v>
      </c>
      <c r="AJ96" s="318">
        <v>0</v>
      </c>
      <c r="AK96" s="318">
        <v>0</v>
      </c>
      <c r="AL96" s="318">
        <v>0</v>
      </c>
      <c r="AM96" s="318">
        <v>0</v>
      </c>
      <c r="AN96" s="318">
        <v>0</v>
      </c>
      <c r="AO96" s="318">
        <v>0</v>
      </c>
      <c r="AP96" s="318">
        <v>0</v>
      </c>
      <c r="AQ96" s="318">
        <v>142.82499999999999</v>
      </c>
      <c r="AR96" s="318">
        <v>133.96</v>
      </c>
      <c r="AS96" s="318">
        <v>93.575000000000003</v>
      </c>
      <c r="AT96" s="318">
        <v>102.44</v>
      </c>
      <c r="AU96" s="317">
        <f t="shared" si="15"/>
        <v>472.79999999999995</v>
      </c>
      <c r="AV96" s="319">
        <v>0</v>
      </c>
      <c r="AW96" s="319">
        <v>0</v>
      </c>
      <c r="AX96" s="319">
        <v>0</v>
      </c>
      <c r="AY96" s="319">
        <v>0</v>
      </c>
      <c r="AZ96" s="319">
        <v>0</v>
      </c>
      <c r="BA96" s="319">
        <v>0</v>
      </c>
      <c r="BB96" s="319">
        <v>0</v>
      </c>
      <c r="BC96" s="319">
        <v>0</v>
      </c>
      <c r="BD96" s="319">
        <v>0</v>
      </c>
      <c r="BE96" s="319">
        <v>146.83199999999999</v>
      </c>
      <c r="BF96" s="319">
        <v>99.965999999999994</v>
      </c>
      <c r="BG96" s="319">
        <v>102.95099999999999</v>
      </c>
      <c r="BH96" s="319">
        <v>96.56</v>
      </c>
      <c r="BI96" s="317">
        <f t="shared" si="16"/>
        <v>446.30900000000003</v>
      </c>
      <c r="BJ96" s="316">
        <v>0</v>
      </c>
      <c r="BK96" s="316">
        <v>0</v>
      </c>
      <c r="BL96" s="316">
        <v>0</v>
      </c>
      <c r="BM96" s="316">
        <v>0</v>
      </c>
      <c r="BN96" s="316">
        <v>0</v>
      </c>
      <c r="BO96" s="316">
        <v>0</v>
      </c>
      <c r="BP96" s="316">
        <v>0</v>
      </c>
      <c r="BQ96" s="316">
        <v>0</v>
      </c>
      <c r="BR96" s="316">
        <v>0</v>
      </c>
      <c r="BS96" s="316">
        <v>116.91500000000001</v>
      </c>
      <c r="BT96" s="316">
        <v>121.52200000000001</v>
      </c>
      <c r="BU96" s="316">
        <v>82.025999999999996</v>
      </c>
      <c r="BV96" s="316">
        <v>107.664</v>
      </c>
      <c r="BW96" s="317">
        <f t="shared" si="17"/>
        <v>428.12700000000001</v>
      </c>
    </row>
    <row r="97" spans="1:734" x14ac:dyDescent="0.2">
      <c r="A97" s="20" t="str">
        <f>'School Level Inst. Resources'!A97</f>
        <v>0701000</v>
      </c>
      <c r="B97" s="20" t="str">
        <f>'School Level Inst. Resources'!B97</f>
        <v>Fremont #1</v>
      </c>
      <c r="C97" s="20" t="str">
        <f>'School Level Inst. Resources'!C97</f>
        <v>0701056</v>
      </c>
      <c r="D97" s="20" t="str">
        <f>'School Level Inst. Resources'!D97</f>
        <v>Pathfinder High School</v>
      </c>
      <c r="E97" s="138" t="str">
        <f>'School Level Inst. Resources'!E97</f>
        <v>9-12</v>
      </c>
      <c r="F97" s="317">
        <f>IF(AND($A$2=4,VLOOKUP($A97,'District Level ADM'!$A$5:$W$52,5,FALSE)="Prior Year"),AH97,IF(AND($A$2=4,VLOOKUP($A97,'District Level ADM'!$A$5:$W$52,5,FALSE)="3-Year Avg."),T97,IF($A$2=2,AH97,IF($A$2=3,T97,IF(($AG97&gt;$AU97),T97,AH97)))))</f>
        <v>0</v>
      </c>
      <c r="G97" s="317">
        <f>IF(AND($A$2=4,VLOOKUP($A97,'District Level ADM'!$A$5:$W$52,5,FALSE)="Prior Year"),AI97,IF(AND($A$2=4,VLOOKUP($A97,'District Level ADM'!$A$5:$W$52,5,FALSE)="3-Year Avg."),U97,IF($A$2=2,AI97,IF($A$2=3,U97,IF(($AG97&gt;$AU97),U97,AI97)))))</f>
        <v>0</v>
      </c>
      <c r="H97" s="317">
        <f>IF(AND($A$2=4,VLOOKUP($A97,'District Level ADM'!$A$5:$W$52,5,FALSE)="Prior Year"),AJ97,IF(AND($A$2=4,VLOOKUP($A97,'District Level ADM'!$A$5:$W$52,5,FALSE)="3-Year Avg."),V97,IF($A$2=2,AJ97,IF($A$2=3,V97,IF(($AG97&gt;$AU97),V97,AJ97)))))</f>
        <v>0</v>
      </c>
      <c r="I97" s="317">
        <f>IF(AND($A$2=4,VLOOKUP($A97,'District Level ADM'!$A$5:$W$52,5,FALSE)="Prior Year"),AK97,IF(AND($A$2=4,VLOOKUP($A97,'District Level ADM'!$A$5:$W$52,5,FALSE)="3-Year Avg."),W97,IF($A$2=2,AK97,IF($A$2=3,W97,IF(($AG97&gt;$AU97),W97,AK97)))))</f>
        <v>0</v>
      </c>
      <c r="J97" s="317">
        <f>IF(AND($A$2=4,VLOOKUP($A97,'District Level ADM'!$A$5:$W$52,5,FALSE)="Prior Year"),AL97,IF(AND($A$2=4,VLOOKUP($A97,'District Level ADM'!$A$5:$W$52,5,FALSE)="3-Year Avg."),X97,IF($A$2=2,AL97,IF($A$2=3,X97,IF(($AG97&gt;$AU97),X97,AL97)))))</f>
        <v>0</v>
      </c>
      <c r="K97" s="317">
        <f>IF(AND($A$2=4,VLOOKUP($A97,'District Level ADM'!$A$5:$W$52,5,FALSE)="Prior Year"),AM97,IF(AND($A$2=4,VLOOKUP($A97,'District Level ADM'!$A$5:$W$52,5,FALSE)="3-Year Avg."),Y97,IF($A$2=2,AM97,IF($A$2=3,Y97,IF(($AG97&gt;$AU97),Y97,AM97)))))</f>
        <v>0</v>
      </c>
      <c r="L97" s="317">
        <f>IF(AND($A$2=4,VLOOKUP($A97,'District Level ADM'!$A$5:$W$52,5,FALSE)="Prior Year"),AN97,IF(AND($A$2=4,VLOOKUP($A97,'District Level ADM'!$A$5:$W$52,5,FALSE)="3-Year Avg."),Z97,IF($A$2=2,AN97,IF($A$2=3,Z97,IF(($AG97&gt;$AU97),Z97,AN97)))))</f>
        <v>0</v>
      </c>
      <c r="M97" s="317">
        <f>IF(AND($A$2=4,VLOOKUP($A97,'District Level ADM'!$A$5:$W$52,5,FALSE)="Prior Year"),AO97,IF(AND($A$2=4,VLOOKUP($A97,'District Level ADM'!$A$5:$W$52,5,FALSE)="3-Year Avg."),AA97,IF($A$2=2,AO97,IF($A$2=3,AA97,IF(($AG97&gt;$AU97),AA97,AO97)))))</f>
        <v>0</v>
      </c>
      <c r="N97" s="317">
        <f>IF(AND($A$2=4,VLOOKUP($A97,'District Level ADM'!$A$5:$W$52,5,FALSE)="Prior Year"),AP97,IF(AND($A$2=4,VLOOKUP($A97,'District Level ADM'!$A$5:$W$52,5,FALSE)="3-Year Avg."),AB97,IF($A$2=2,AP97,IF($A$2=3,AB97,IF(($AG97&gt;$AU97),AB97,AP97)))))</f>
        <v>0</v>
      </c>
      <c r="O97" s="317">
        <f>IF(AND($A$2=4,VLOOKUP($A97,'District Level ADM'!$A$5:$W$52,5,FALSE)="Prior Year"),AQ97,IF(AND($A$2=4,VLOOKUP($A97,'District Level ADM'!$A$5:$W$52,5,FALSE)="3-Year Avg."),AC97,IF($A$2=2,AQ97,IF($A$2=3,AC97,IF(($AG97&gt;$AU97),AC97,AQ97)))))</f>
        <v>6.8949999999999996</v>
      </c>
      <c r="P97" s="317">
        <f>IF(AND($A$2=4,VLOOKUP($A97,'District Level ADM'!$A$5:$W$52,5,FALSE)="Prior Year"),AR97,IF(AND($A$2=4,VLOOKUP($A97,'District Level ADM'!$A$5:$W$52,5,FALSE)="3-Year Avg."),AD97,IF($A$2=2,AR97,IF($A$2=3,AD97,IF(($AG97&gt;$AU97),AD97,AR97)))))</f>
        <v>11.82</v>
      </c>
      <c r="Q97" s="317">
        <f>IF(AND($A$2=4,VLOOKUP($A97,'District Level ADM'!$A$5:$W$52,5,FALSE)="Prior Year"),AS97,IF(AND($A$2=4,VLOOKUP($A97,'District Level ADM'!$A$5:$W$52,5,FALSE)="3-Year Avg."),AE97,IF($A$2=2,AS97,IF($A$2=3,AE97,IF(($AG97&gt;$AU97),AE97,AS97)))))</f>
        <v>7.88</v>
      </c>
      <c r="R97" s="317">
        <f>IF(AND($A$2=4,VLOOKUP($A97,'District Level ADM'!$A$5:$W$52,5,FALSE)="Prior Year"),AT97,IF(AND($A$2=4,VLOOKUP($A97,'District Level ADM'!$A$5:$W$52,5,FALSE)="3-Year Avg."),AF97,IF($A$2=2,AT97,IF($A$2=3,AF97,IF(($AG97&gt;$AU97),AF97,AT97)))))</f>
        <v>7.88</v>
      </c>
      <c r="S97" s="317">
        <f t="shared" si="13"/>
        <v>34.475000000000001</v>
      </c>
      <c r="T97" s="317">
        <f t="shared" si="20"/>
        <v>0</v>
      </c>
      <c r="U97" s="317">
        <f t="shared" si="20"/>
        <v>0</v>
      </c>
      <c r="V97" s="317">
        <f t="shared" si="20"/>
        <v>0</v>
      </c>
      <c r="W97" s="317">
        <f t="shared" si="19"/>
        <v>0</v>
      </c>
      <c r="X97" s="317">
        <f t="shared" si="19"/>
        <v>0</v>
      </c>
      <c r="Y97" s="317">
        <f t="shared" si="19"/>
        <v>0</v>
      </c>
      <c r="Z97" s="317">
        <f t="shared" si="19"/>
        <v>0</v>
      </c>
      <c r="AA97" s="317">
        <f t="shared" si="19"/>
        <v>0</v>
      </c>
      <c r="AB97" s="317">
        <f t="shared" si="19"/>
        <v>0</v>
      </c>
      <c r="AC97" s="317">
        <f t="shared" si="18"/>
        <v>7.976</v>
      </c>
      <c r="AD97" s="317">
        <f t="shared" si="18"/>
        <v>8.9276666666666653</v>
      </c>
      <c r="AE97" s="317">
        <f t="shared" si="18"/>
        <v>9.3923333333333332</v>
      </c>
      <c r="AF97" s="317">
        <f t="shared" si="18"/>
        <v>6.6550000000000002</v>
      </c>
      <c r="AG97" s="317">
        <f t="shared" si="14"/>
        <v>32.951000000000001</v>
      </c>
      <c r="AH97" s="318">
        <v>0</v>
      </c>
      <c r="AI97" s="318">
        <v>0</v>
      </c>
      <c r="AJ97" s="318">
        <v>0</v>
      </c>
      <c r="AK97" s="318">
        <v>0</v>
      </c>
      <c r="AL97" s="318">
        <v>0</v>
      </c>
      <c r="AM97" s="318">
        <v>0</v>
      </c>
      <c r="AN97" s="318">
        <v>0</v>
      </c>
      <c r="AO97" s="318">
        <v>0</v>
      </c>
      <c r="AP97" s="318">
        <v>0</v>
      </c>
      <c r="AQ97" s="318">
        <v>6.8949999999999996</v>
      </c>
      <c r="AR97" s="318">
        <v>11.82</v>
      </c>
      <c r="AS97" s="318">
        <v>7.88</v>
      </c>
      <c r="AT97" s="318">
        <v>7.88</v>
      </c>
      <c r="AU97" s="317">
        <f t="shared" si="15"/>
        <v>34.475000000000001</v>
      </c>
      <c r="AV97" s="319">
        <v>0</v>
      </c>
      <c r="AW97" s="319">
        <v>0</v>
      </c>
      <c r="AX97" s="319">
        <v>0</v>
      </c>
      <c r="AY97" s="319">
        <v>0</v>
      </c>
      <c r="AZ97" s="319">
        <v>0</v>
      </c>
      <c r="BA97" s="319">
        <v>0</v>
      </c>
      <c r="BB97" s="319">
        <v>0</v>
      </c>
      <c r="BC97" s="319">
        <v>0</v>
      </c>
      <c r="BD97" s="319">
        <v>0</v>
      </c>
      <c r="BE97" s="319">
        <v>10.949</v>
      </c>
      <c r="BF97" s="319">
        <v>7.3970000000000002</v>
      </c>
      <c r="BG97" s="319">
        <v>12.994</v>
      </c>
      <c r="BH97" s="319">
        <v>6.1459999999999999</v>
      </c>
      <c r="BI97" s="317">
        <f t="shared" si="16"/>
        <v>37.485999999999997</v>
      </c>
      <c r="BJ97" s="316">
        <v>0</v>
      </c>
      <c r="BK97" s="316">
        <v>0</v>
      </c>
      <c r="BL97" s="316">
        <v>0</v>
      </c>
      <c r="BM97" s="316">
        <v>0</v>
      </c>
      <c r="BN97" s="316">
        <v>0</v>
      </c>
      <c r="BO97" s="316">
        <v>0</v>
      </c>
      <c r="BP97" s="316">
        <v>0</v>
      </c>
      <c r="BQ97" s="316">
        <v>0</v>
      </c>
      <c r="BR97" s="316">
        <v>0</v>
      </c>
      <c r="BS97" s="316">
        <v>6.0839999999999996</v>
      </c>
      <c r="BT97" s="316">
        <v>7.5659999999999998</v>
      </c>
      <c r="BU97" s="316">
        <v>7.3029999999999999</v>
      </c>
      <c r="BV97" s="316">
        <v>5.9390000000000001</v>
      </c>
      <c r="BW97" s="317">
        <f t="shared" si="17"/>
        <v>26.891999999999999</v>
      </c>
    </row>
    <row r="98" spans="1:734" x14ac:dyDescent="0.2">
      <c r="A98" s="20" t="str">
        <f>'School Level Inst. Resources'!A98</f>
        <v>0702000</v>
      </c>
      <c r="B98" s="20" t="str">
        <f>'School Level Inst. Resources'!B98</f>
        <v>Fremont #2</v>
      </c>
      <c r="C98" s="20" t="str">
        <f>'School Level Inst. Resources'!C98</f>
        <v>0702001</v>
      </c>
      <c r="D98" s="20" t="str">
        <f>'School Level Inst. Resources'!D98</f>
        <v>Dubois Elementary</v>
      </c>
      <c r="E98" s="138" t="str">
        <f>'School Level Inst. Resources'!E98</f>
        <v>K-5</v>
      </c>
      <c r="F98" s="317">
        <f>IF(AND($A$2=4,VLOOKUP($A98,'District Level ADM'!$A$5:$W$52,5,FALSE)="Prior Year"),AH98,IF(AND($A$2=4,VLOOKUP($A98,'District Level ADM'!$A$5:$W$52,5,FALSE)="3-Year Avg."),T98,IF($A$2=2,AH98,IF($A$2=3,T98,IF(($AG98&gt;$AU98),T98,AH98)))))</f>
        <v>14.775</v>
      </c>
      <c r="G98" s="317">
        <f>IF(AND($A$2=4,VLOOKUP($A98,'District Level ADM'!$A$5:$W$52,5,FALSE)="Prior Year"),AI98,IF(AND($A$2=4,VLOOKUP($A98,'District Level ADM'!$A$5:$W$52,5,FALSE)="3-Year Avg."),U98,IF($A$2=2,AI98,IF($A$2=3,U98,IF(($AG98&gt;$AU98),U98,AI98)))))</f>
        <v>11.82</v>
      </c>
      <c r="H98" s="317">
        <f>IF(AND($A$2=4,VLOOKUP($A98,'District Level ADM'!$A$5:$W$52,5,FALSE)="Prior Year"),AJ98,IF(AND($A$2=4,VLOOKUP($A98,'District Level ADM'!$A$5:$W$52,5,FALSE)="3-Year Avg."),V98,IF($A$2=2,AJ98,IF($A$2=3,V98,IF(($AG98&gt;$AU98),V98,AJ98)))))</f>
        <v>8.8650000000000002</v>
      </c>
      <c r="I98" s="317">
        <f>IF(AND($A$2=4,VLOOKUP($A98,'District Level ADM'!$A$5:$W$52,5,FALSE)="Prior Year"),AK98,IF(AND($A$2=4,VLOOKUP($A98,'District Level ADM'!$A$5:$W$52,5,FALSE)="3-Year Avg."),W98,IF($A$2=2,AK98,IF($A$2=3,W98,IF(($AG98&gt;$AU98),W98,AK98)))))</f>
        <v>10.835000000000001</v>
      </c>
      <c r="J98" s="317">
        <f>IF(AND($A$2=4,VLOOKUP($A98,'District Level ADM'!$A$5:$W$52,5,FALSE)="Prior Year"),AL98,IF(AND($A$2=4,VLOOKUP($A98,'District Level ADM'!$A$5:$W$52,5,FALSE)="3-Year Avg."),X98,IF($A$2=2,AL98,IF($A$2=3,X98,IF(($AG98&gt;$AU98),X98,AL98)))))</f>
        <v>7.88</v>
      </c>
      <c r="K98" s="317">
        <f>IF(AND($A$2=4,VLOOKUP($A98,'District Level ADM'!$A$5:$W$52,5,FALSE)="Prior Year"),AM98,IF(AND($A$2=4,VLOOKUP($A98,'District Level ADM'!$A$5:$W$52,5,FALSE)="3-Year Avg."),Y98,IF($A$2=2,AM98,IF($A$2=3,Y98,IF(($AG98&gt;$AU98),Y98,AM98)))))</f>
        <v>10.835000000000001</v>
      </c>
      <c r="L98" s="317">
        <f>IF(AND($A$2=4,VLOOKUP($A98,'District Level ADM'!$A$5:$W$52,5,FALSE)="Prior Year"),AN98,IF(AND($A$2=4,VLOOKUP($A98,'District Level ADM'!$A$5:$W$52,5,FALSE)="3-Year Avg."),Z98,IF($A$2=2,AN98,IF($A$2=3,Z98,IF(($AG98&gt;$AU98),Z98,AN98)))))</f>
        <v>0</v>
      </c>
      <c r="M98" s="317">
        <f>IF(AND($A$2=4,VLOOKUP($A98,'District Level ADM'!$A$5:$W$52,5,FALSE)="Prior Year"),AO98,IF(AND($A$2=4,VLOOKUP($A98,'District Level ADM'!$A$5:$W$52,5,FALSE)="3-Year Avg."),AA98,IF($A$2=2,AO98,IF($A$2=3,AA98,IF(($AG98&gt;$AU98),AA98,AO98)))))</f>
        <v>0</v>
      </c>
      <c r="N98" s="317">
        <f>IF(AND($A$2=4,VLOOKUP($A98,'District Level ADM'!$A$5:$W$52,5,FALSE)="Prior Year"),AP98,IF(AND($A$2=4,VLOOKUP($A98,'District Level ADM'!$A$5:$W$52,5,FALSE)="3-Year Avg."),AB98,IF($A$2=2,AP98,IF($A$2=3,AB98,IF(($AG98&gt;$AU98),AB98,AP98)))))</f>
        <v>0</v>
      </c>
      <c r="O98" s="317">
        <f>IF(AND($A$2=4,VLOOKUP($A98,'District Level ADM'!$A$5:$W$52,5,FALSE)="Prior Year"),AQ98,IF(AND($A$2=4,VLOOKUP($A98,'District Level ADM'!$A$5:$W$52,5,FALSE)="3-Year Avg."),AC98,IF($A$2=2,AQ98,IF($A$2=3,AC98,IF(($AG98&gt;$AU98),AC98,AQ98)))))</f>
        <v>0</v>
      </c>
      <c r="P98" s="317">
        <f>IF(AND($A$2=4,VLOOKUP($A98,'District Level ADM'!$A$5:$W$52,5,FALSE)="Prior Year"),AR98,IF(AND($A$2=4,VLOOKUP($A98,'District Level ADM'!$A$5:$W$52,5,FALSE)="3-Year Avg."),AD98,IF($A$2=2,AR98,IF($A$2=3,AD98,IF(($AG98&gt;$AU98),AD98,AR98)))))</f>
        <v>0</v>
      </c>
      <c r="Q98" s="317">
        <f>IF(AND($A$2=4,VLOOKUP($A98,'District Level ADM'!$A$5:$W$52,5,FALSE)="Prior Year"),AS98,IF(AND($A$2=4,VLOOKUP($A98,'District Level ADM'!$A$5:$W$52,5,FALSE)="3-Year Avg."),AE98,IF($A$2=2,AS98,IF($A$2=3,AE98,IF(($AG98&gt;$AU98),AE98,AS98)))))</f>
        <v>0</v>
      </c>
      <c r="R98" s="317">
        <f>IF(AND($A$2=4,VLOOKUP($A98,'District Level ADM'!$A$5:$W$52,5,FALSE)="Prior Year"),AT98,IF(AND($A$2=4,VLOOKUP($A98,'District Level ADM'!$A$5:$W$52,5,FALSE)="3-Year Avg."),AF98,IF($A$2=2,AT98,IF($A$2=3,AF98,IF(($AG98&gt;$AU98),AF98,AT98)))))</f>
        <v>0</v>
      </c>
      <c r="S98" s="317">
        <f t="shared" si="13"/>
        <v>65.010000000000005</v>
      </c>
      <c r="T98" s="317">
        <f t="shared" si="20"/>
        <v>11.773333333333333</v>
      </c>
      <c r="U98" s="317">
        <f t="shared" si="20"/>
        <v>10.731999999999999</v>
      </c>
      <c r="V98" s="317">
        <f t="shared" si="20"/>
        <v>10.207000000000001</v>
      </c>
      <c r="W98" s="317">
        <f t="shared" si="19"/>
        <v>10.626333333333333</v>
      </c>
      <c r="X98" s="317">
        <f t="shared" si="19"/>
        <v>9.9643333333333342</v>
      </c>
      <c r="Y98" s="317">
        <f t="shared" si="19"/>
        <v>9.918000000000001</v>
      </c>
      <c r="Z98" s="317">
        <f t="shared" si="19"/>
        <v>0</v>
      </c>
      <c r="AA98" s="317">
        <f t="shared" si="19"/>
        <v>0</v>
      </c>
      <c r="AB98" s="317">
        <f t="shared" si="19"/>
        <v>0</v>
      </c>
      <c r="AC98" s="317">
        <f t="shared" si="18"/>
        <v>0</v>
      </c>
      <c r="AD98" s="317">
        <f t="shared" si="18"/>
        <v>0</v>
      </c>
      <c r="AE98" s="317">
        <f t="shared" si="18"/>
        <v>0</v>
      </c>
      <c r="AF98" s="317">
        <f t="shared" si="18"/>
        <v>0</v>
      </c>
      <c r="AG98" s="317">
        <f t="shared" si="14"/>
        <v>63.221000000000004</v>
      </c>
      <c r="AH98" s="318">
        <v>14.775</v>
      </c>
      <c r="AI98" s="318">
        <v>11.82</v>
      </c>
      <c r="AJ98" s="318">
        <v>8.8650000000000002</v>
      </c>
      <c r="AK98" s="318">
        <v>10.835000000000001</v>
      </c>
      <c r="AL98" s="318">
        <v>7.88</v>
      </c>
      <c r="AM98" s="318">
        <v>10.835000000000001</v>
      </c>
      <c r="AN98" s="318">
        <v>0</v>
      </c>
      <c r="AO98" s="318">
        <v>0</v>
      </c>
      <c r="AP98" s="318">
        <v>0</v>
      </c>
      <c r="AQ98" s="318">
        <v>0</v>
      </c>
      <c r="AR98" s="318">
        <v>0</v>
      </c>
      <c r="AS98" s="318">
        <v>0</v>
      </c>
      <c r="AT98" s="318">
        <v>0</v>
      </c>
      <c r="AU98" s="317">
        <f t="shared" si="15"/>
        <v>65.010000000000005</v>
      </c>
      <c r="AV98" s="319">
        <v>9.5640000000000001</v>
      </c>
      <c r="AW98" s="319">
        <v>10.128</v>
      </c>
      <c r="AX98" s="319">
        <v>9.8140000000000001</v>
      </c>
      <c r="AY98" s="319">
        <v>11.513</v>
      </c>
      <c r="AZ98" s="319">
        <v>10.91</v>
      </c>
      <c r="BA98" s="319">
        <v>11.853</v>
      </c>
      <c r="BB98" s="319">
        <v>0</v>
      </c>
      <c r="BC98" s="319">
        <v>0</v>
      </c>
      <c r="BD98" s="319">
        <v>0</v>
      </c>
      <c r="BE98" s="319">
        <v>0</v>
      </c>
      <c r="BF98" s="319">
        <v>0</v>
      </c>
      <c r="BG98" s="319">
        <v>0</v>
      </c>
      <c r="BH98" s="319">
        <v>0</v>
      </c>
      <c r="BI98" s="317">
        <f t="shared" si="16"/>
        <v>63.782000000000004</v>
      </c>
      <c r="BJ98" s="316">
        <v>10.981</v>
      </c>
      <c r="BK98" s="316">
        <v>10.247999999999999</v>
      </c>
      <c r="BL98" s="316">
        <v>11.942</v>
      </c>
      <c r="BM98" s="316">
        <v>9.5310000000000006</v>
      </c>
      <c r="BN98" s="316">
        <v>11.103</v>
      </c>
      <c r="BO98" s="316">
        <v>7.0659999999999998</v>
      </c>
      <c r="BP98" s="316">
        <v>0</v>
      </c>
      <c r="BQ98" s="316">
        <v>0</v>
      </c>
      <c r="BR98" s="316">
        <v>0</v>
      </c>
      <c r="BS98" s="316">
        <v>0</v>
      </c>
      <c r="BT98" s="316">
        <v>0</v>
      </c>
      <c r="BU98" s="316">
        <v>0</v>
      </c>
      <c r="BV98" s="316">
        <v>0</v>
      </c>
      <c r="BW98" s="317">
        <f t="shared" si="17"/>
        <v>60.871000000000002</v>
      </c>
    </row>
    <row r="99" spans="1:734" x14ac:dyDescent="0.2">
      <c r="A99" s="20" t="str">
        <f>'School Level Inst. Resources'!A99</f>
        <v>0702000</v>
      </c>
      <c r="B99" s="20" t="str">
        <f>'School Level Inst. Resources'!B99</f>
        <v>Fremont #2</v>
      </c>
      <c r="C99" s="20" t="str">
        <f>'School Level Inst. Resources'!C99</f>
        <v>0702050</v>
      </c>
      <c r="D99" s="20" t="str">
        <f>'School Level Inst. Resources'!D99</f>
        <v>Dubois Middle School</v>
      </c>
      <c r="E99" s="138" t="str">
        <f>'School Level Inst. Resources'!E99</f>
        <v>6-8</v>
      </c>
      <c r="F99" s="317">
        <f>IF(AND($A$2=4,VLOOKUP($A99,'District Level ADM'!$A$5:$W$52,5,FALSE)="Prior Year"),AH99,IF(AND($A$2=4,VLOOKUP($A99,'District Level ADM'!$A$5:$W$52,5,FALSE)="3-Year Avg."),T99,IF($A$2=2,AH99,IF($A$2=3,T99,IF(($AG99&gt;$AU99),T99,AH99)))))</f>
        <v>0</v>
      </c>
      <c r="G99" s="317">
        <f>IF(AND($A$2=4,VLOOKUP($A99,'District Level ADM'!$A$5:$W$52,5,FALSE)="Prior Year"),AI99,IF(AND($A$2=4,VLOOKUP($A99,'District Level ADM'!$A$5:$W$52,5,FALSE)="3-Year Avg."),U99,IF($A$2=2,AI99,IF($A$2=3,U99,IF(($AG99&gt;$AU99),U99,AI99)))))</f>
        <v>0</v>
      </c>
      <c r="H99" s="317">
        <f>IF(AND($A$2=4,VLOOKUP($A99,'District Level ADM'!$A$5:$W$52,5,FALSE)="Prior Year"),AJ99,IF(AND($A$2=4,VLOOKUP($A99,'District Level ADM'!$A$5:$W$52,5,FALSE)="3-Year Avg."),V99,IF($A$2=2,AJ99,IF($A$2=3,V99,IF(($AG99&gt;$AU99),V99,AJ99)))))</f>
        <v>0</v>
      </c>
      <c r="I99" s="317">
        <f>IF(AND($A$2=4,VLOOKUP($A99,'District Level ADM'!$A$5:$W$52,5,FALSE)="Prior Year"),AK99,IF(AND($A$2=4,VLOOKUP($A99,'District Level ADM'!$A$5:$W$52,5,FALSE)="3-Year Avg."),W99,IF($A$2=2,AK99,IF($A$2=3,W99,IF(($AG99&gt;$AU99),W99,AK99)))))</f>
        <v>0</v>
      </c>
      <c r="J99" s="317">
        <f>IF(AND($A$2=4,VLOOKUP($A99,'District Level ADM'!$A$5:$W$52,5,FALSE)="Prior Year"),AL99,IF(AND($A$2=4,VLOOKUP($A99,'District Level ADM'!$A$5:$W$52,5,FALSE)="3-Year Avg."),X99,IF($A$2=2,AL99,IF($A$2=3,X99,IF(($AG99&gt;$AU99),X99,AL99)))))</f>
        <v>0</v>
      </c>
      <c r="K99" s="317">
        <f>IF(AND($A$2=4,VLOOKUP($A99,'District Level ADM'!$A$5:$W$52,5,FALSE)="Prior Year"),AM99,IF(AND($A$2=4,VLOOKUP($A99,'District Level ADM'!$A$5:$W$52,5,FALSE)="3-Year Avg."),Y99,IF($A$2=2,AM99,IF($A$2=3,Y99,IF(($AG99&gt;$AU99),Y99,AM99)))))</f>
        <v>0</v>
      </c>
      <c r="L99" s="317">
        <f>IF(AND($A$2=4,VLOOKUP($A99,'District Level ADM'!$A$5:$W$52,5,FALSE)="Prior Year"),AN99,IF(AND($A$2=4,VLOOKUP($A99,'District Level ADM'!$A$5:$W$52,5,FALSE)="3-Year Avg."),Z99,IF($A$2=2,AN99,IF($A$2=3,Z99,IF(($AG99&gt;$AU99),Z99,AN99)))))</f>
        <v>13.79</v>
      </c>
      <c r="M99" s="317">
        <f>IF(AND($A$2=4,VLOOKUP($A99,'District Level ADM'!$A$5:$W$52,5,FALSE)="Prior Year"),AO99,IF(AND($A$2=4,VLOOKUP($A99,'District Level ADM'!$A$5:$W$52,5,FALSE)="3-Year Avg."),AA99,IF($A$2=2,AO99,IF($A$2=3,AA99,IF(($AG99&gt;$AU99),AA99,AO99)))))</f>
        <v>7.88</v>
      </c>
      <c r="N99" s="317">
        <f>IF(AND($A$2=4,VLOOKUP($A99,'District Level ADM'!$A$5:$W$52,5,FALSE)="Prior Year"),AP99,IF(AND($A$2=4,VLOOKUP($A99,'District Level ADM'!$A$5:$W$52,5,FALSE)="3-Year Avg."),AB99,IF($A$2=2,AP99,IF($A$2=3,AB99,IF(($AG99&gt;$AU99),AB99,AP99)))))</f>
        <v>13.79</v>
      </c>
      <c r="O99" s="317">
        <f>IF(AND($A$2=4,VLOOKUP($A99,'District Level ADM'!$A$5:$W$52,5,FALSE)="Prior Year"),AQ99,IF(AND($A$2=4,VLOOKUP($A99,'District Level ADM'!$A$5:$W$52,5,FALSE)="3-Year Avg."),AC99,IF($A$2=2,AQ99,IF($A$2=3,AC99,IF(($AG99&gt;$AU99),AC99,AQ99)))))</f>
        <v>0</v>
      </c>
      <c r="P99" s="317">
        <f>IF(AND($A$2=4,VLOOKUP($A99,'District Level ADM'!$A$5:$W$52,5,FALSE)="Prior Year"),AR99,IF(AND($A$2=4,VLOOKUP($A99,'District Level ADM'!$A$5:$W$52,5,FALSE)="3-Year Avg."),AD99,IF($A$2=2,AR99,IF($A$2=3,AD99,IF(($AG99&gt;$AU99),AD99,AR99)))))</f>
        <v>0</v>
      </c>
      <c r="Q99" s="317">
        <f>IF(AND($A$2=4,VLOOKUP($A99,'District Level ADM'!$A$5:$W$52,5,FALSE)="Prior Year"),AS99,IF(AND($A$2=4,VLOOKUP($A99,'District Level ADM'!$A$5:$W$52,5,FALSE)="3-Year Avg."),AE99,IF($A$2=2,AS99,IF($A$2=3,AE99,IF(($AG99&gt;$AU99),AE99,AS99)))))</f>
        <v>0</v>
      </c>
      <c r="R99" s="317">
        <f>IF(AND($A$2=4,VLOOKUP($A99,'District Level ADM'!$A$5:$W$52,5,FALSE)="Prior Year"),AT99,IF(AND($A$2=4,VLOOKUP($A99,'District Level ADM'!$A$5:$W$52,5,FALSE)="3-Year Avg."),AF99,IF($A$2=2,AT99,IF($A$2=3,AF99,IF(($AG99&gt;$AU99),AF99,AT99)))))</f>
        <v>0</v>
      </c>
      <c r="S99" s="317">
        <f t="shared" si="13"/>
        <v>35.459999999999994</v>
      </c>
      <c r="T99" s="317">
        <f t="shared" si="20"/>
        <v>0</v>
      </c>
      <c r="U99" s="317">
        <f t="shared" si="20"/>
        <v>0</v>
      </c>
      <c r="V99" s="317">
        <f t="shared" si="20"/>
        <v>0</v>
      </c>
      <c r="W99" s="317">
        <f t="shared" si="19"/>
        <v>0</v>
      </c>
      <c r="X99" s="317">
        <f t="shared" si="19"/>
        <v>0</v>
      </c>
      <c r="Y99" s="317">
        <f t="shared" si="19"/>
        <v>0</v>
      </c>
      <c r="Z99" s="317">
        <f t="shared" si="19"/>
        <v>10.553666666666667</v>
      </c>
      <c r="AA99" s="317">
        <f t="shared" si="19"/>
        <v>9.8036666666666665</v>
      </c>
      <c r="AB99" s="317">
        <f t="shared" si="19"/>
        <v>10.587</v>
      </c>
      <c r="AC99" s="317">
        <f t="shared" si="18"/>
        <v>0</v>
      </c>
      <c r="AD99" s="317">
        <f t="shared" si="18"/>
        <v>0</v>
      </c>
      <c r="AE99" s="317">
        <f t="shared" si="18"/>
        <v>0</v>
      </c>
      <c r="AF99" s="317">
        <f t="shared" si="18"/>
        <v>0</v>
      </c>
      <c r="AG99" s="317">
        <f t="shared" si="14"/>
        <v>30.944333333333333</v>
      </c>
      <c r="AH99" s="318">
        <v>0</v>
      </c>
      <c r="AI99" s="318">
        <v>0</v>
      </c>
      <c r="AJ99" s="318">
        <v>0</v>
      </c>
      <c r="AK99" s="318">
        <v>0</v>
      </c>
      <c r="AL99" s="318">
        <v>0</v>
      </c>
      <c r="AM99" s="318">
        <v>0</v>
      </c>
      <c r="AN99" s="318">
        <v>13.79</v>
      </c>
      <c r="AO99" s="318">
        <v>7.88</v>
      </c>
      <c r="AP99" s="318">
        <v>13.79</v>
      </c>
      <c r="AQ99" s="318">
        <v>0</v>
      </c>
      <c r="AR99" s="318">
        <v>0</v>
      </c>
      <c r="AS99" s="318">
        <v>0</v>
      </c>
      <c r="AT99" s="318">
        <v>0</v>
      </c>
      <c r="AU99" s="317">
        <f t="shared" si="15"/>
        <v>35.459999999999994</v>
      </c>
      <c r="AV99" s="319">
        <v>0</v>
      </c>
      <c r="AW99" s="319">
        <v>0</v>
      </c>
      <c r="AX99" s="319">
        <v>0</v>
      </c>
      <c r="AY99" s="319">
        <v>0</v>
      </c>
      <c r="AZ99" s="319">
        <v>0</v>
      </c>
      <c r="BA99" s="319">
        <v>0</v>
      </c>
      <c r="BB99" s="319">
        <v>7.7309999999999999</v>
      </c>
      <c r="BC99" s="319">
        <v>12</v>
      </c>
      <c r="BD99" s="319">
        <v>10</v>
      </c>
      <c r="BE99" s="319">
        <v>0</v>
      </c>
      <c r="BF99" s="319">
        <v>0</v>
      </c>
      <c r="BG99" s="319">
        <v>0</v>
      </c>
      <c r="BH99" s="319">
        <v>0</v>
      </c>
      <c r="BI99" s="317">
        <f t="shared" si="16"/>
        <v>29.731000000000002</v>
      </c>
      <c r="BJ99" s="316">
        <v>0</v>
      </c>
      <c r="BK99" s="316">
        <v>0</v>
      </c>
      <c r="BL99" s="316">
        <v>0</v>
      </c>
      <c r="BM99" s="316">
        <v>0</v>
      </c>
      <c r="BN99" s="316">
        <v>0</v>
      </c>
      <c r="BO99" s="316">
        <v>0</v>
      </c>
      <c r="BP99" s="316">
        <v>10.14</v>
      </c>
      <c r="BQ99" s="316">
        <v>9.5310000000000006</v>
      </c>
      <c r="BR99" s="316">
        <v>7.9710000000000001</v>
      </c>
      <c r="BS99" s="316">
        <v>0</v>
      </c>
      <c r="BT99" s="316">
        <v>0</v>
      </c>
      <c r="BU99" s="316">
        <v>0</v>
      </c>
      <c r="BV99" s="316">
        <v>0</v>
      </c>
      <c r="BW99" s="317">
        <f t="shared" si="17"/>
        <v>27.641999999999999</v>
      </c>
    </row>
    <row r="100" spans="1:734" x14ac:dyDescent="0.2">
      <c r="A100" s="20" t="str">
        <f>'School Level Inst. Resources'!A100</f>
        <v>0702000</v>
      </c>
      <c r="B100" s="20" t="str">
        <f>'School Level Inst. Resources'!B100</f>
        <v>Fremont #2</v>
      </c>
      <c r="C100" s="20" t="str">
        <f>'School Level Inst. Resources'!C100</f>
        <v>0702055</v>
      </c>
      <c r="D100" s="20" t="str">
        <f>'School Level Inst. Resources'!D100</f>
        <v>Dubois High School</v>
      </c>
      <c r="E100" s="138" t="str">
        <f>'School Level Inst. Resources'!E100</f>
        <v>9-12</v>
      </c>
      <c r="F100" s="317">
        <f>IF(AND($A$2=4,VLOOKUP($A100,'District Level ADM'!$A$5:$W$52,5,FALSE)="Prior Year"),AH100,IF(AND($A$2=4,VLOOKUP($A100,'District Level ADM'!$A$5:$W$52,5,FALSE)="3-Year Avg."),T100,IF($A$2=2,AH100,IF($A$2=3,T100,IF(($AG100&gt;$AU100),T100,AH100)))))</f>
        <v>0</v>
      </c>
      <c r="G100" s="317">
        <f>IF(AND($A$2=4,VLOOKUP($A100,'District Level ADM'!$A$5:$W$52,5,FALSE)="Prior Year"),AI100,IF(AND($A$2=4,VLOOKUP($A100,'District Level ADM'!$A$5:$W$52,5,FALSE)="3-Year Avg."),U100,IF($A$2=2,AI100,IF($A$2=3,U100,IF(($AG100&gt;$AU100),U100,AI100)))))</f>
        <v>0</v>
      </c>
      <c r="H100" s="317">
        <f>IF(AND($A$2=4,VLOOKUP($A100,'District Level ADM'!$A$5:$W$52,5,FALSE)="Prior Year"),AJ100,IF(AND($A$2=4,VLOOKUP($A100,'District Level ADM'!$A$5:$W$52,5,FALSE)="3-Year Avg."),V100,IF($A$2=2,AJ100,IF($A$2=3,V100,IF(($AG100&gt;$AU100),V100,AJ100)))))</f>
        <v>0</v>
      </c>
      <c r="I100" s="317">
        <f>IF(AND($A$2=4,VLOOKUP($A100,'District Level ADM'!$A$5:$W$52,5,FALSE)="Prior Year"),AK100,IF(AND($A$2=4,VLOOKUP($A100,'District Level ADM'!$A$5:$W$52,5,FALSE)="3-Year Avg."),W100,IF($A$2=2,AK100,IF($A$2=3,W100,IF(($AG100&gt;$AU100),W100,AK100)))))</f>
        <v>0</v>
      </c>
      <c r="J100" s="317">
        <f>IF(AND($A$2=4,VLOOKUP($A100,'District Level ADM'!$A$5:$W$52,5,FALSE)="Prior Year"),AL100,IF(AND($A$2=4,VLOOKUP($A100,'District Level ADM'!$A$5:$W$52,5,FALSE)="3-Year Avg."),X100,IF($A$2=2,AL100,IF($A$2=3,X100,IF(($AG100&gt;$AU100),X100,AL100)))))</f>
        <v>0</v>
      </c>
      <c r="K100" s="317">
        <f>IF(AND($A$2=4,VLOOKUP($A100,'District Level ADM'!$A$5:$W$52,5,FALSE)="Prior Year"),AM100,IF(AND($A$2=4,VLOOKUP($A100,'District Level ADM'!$A$5:$W$52,5,FALSE)="3-Year Avg."),Y100,IF($A$2=2,AM100,IF($A$2=3,Y100,IF(($AG100&gt;$AU100),Y100,AM100)))))</f>
        <v>0</v>
      </c>
      <c r="L100" s="317">
        <f>IF(AND($A$2=4,VLOOKUP($A100,'District Level ADM'!$A$5:$W$52,5,FALSE)="Prior Year"),AN100,IF(AND($A$2=4,VLOOKUP($A100,'District Level ADM'!$A$5:$W$52,5,FALSE)="3-Year Avg."),Z100,IF($A$2=2,AN100,IF($A$2=3,Z100,IF(($AG100&gt;$AU100),Z100,AN100)))))</f>
        <v>0</v>
      </c>
      <c r="M100" s="317">
        <f>IF(AND($A$2=4,VLOOKUP($A100,'District Level ADM'!$A$5:$W$52,5,FALSE)="Prior Year"),AO100,IF(AND($A$2=4,VLOOKUP($A100,'District Level ADM'!$A$5:$W$52,5,FALSE)="3-Year Avg."),AA100,IF($A$2=2,AO100,IF($A$2=3,AA100,IF(($AG100&gt;$AU100),AA100,AO100)))))</f>
        <v>0</v>
      </c>
      <c r="N100" s="317">
        <f>IF(AND($A$2=4,VLOOKUP($A100,'District Level ADM'!$A$5:$W$52,5,FALSE)="Prior Year"),AP100,IF(AND($A$2=4,VLOOKUP($A100,'District Level ADM'!$A$5:$W$52,5,FALSE)="3-Year Avg."),AB100,IF($A$2=2,AP100,IF($A$2=3,AB100,IF(($AG100&gt;$AU100),AB100,AP100)))))</f>
        <v>0</v>
      </c>
      <c r="O100" s="317">
        <f>IF(AND($A$2=4,VLOOKUP($A100,'District Level ADM'!$A$5:$W$52,5,FALSE)="Prior Year"),AQ100,IF(AND($A$2=4,VLOOKUP($A100,'District Level ADM'!$A$5:$W$52,5,FALSE)="3-Year Avg."),AC100,IF($A$2=2,AQ100,IF($A$2=3,AC100,IF(($AG100&gt;$AU100),AC100,AQ100)))))</f>
        <v>8.8650000000000002</v>
      </c>
      <c r="P100" s="317">
        <f>IF(AND($A$2=4,VLOOKUP($A100,'District Level ADM'!$A$5:$W$52,5,FALSE)="Prior Year"),AR100,IF(AND($A$2=4,VLOOKUP($A100,'District Level ADM'!$A$5:$W$52,5,FALSE)="3-Year Avg."),AD100,IF($A$2=2,AR100,IF($A$2=3,AD100,IF(($AG100&gt;$AU100),AD100,AR100)))))</f>
        <v>11.82</v>
      </c>
      <c r="Q100" s="317">
        <f>IF(AND($A$2=4,VLOOKUP($A100,'District Level ADM'!$A$5:$W$52,5,FALSE)="Prior Year"),AS100,IF(AND($A$2=4,VLOOKUP($A100,'District Level ADM'!$A$5:$W$52,5,FALSE)="3-Year Avg."),AE100,IF($A$2=2,AS100,IF($A$2=3,AE100,IF(($AG100&gt;$AU100),AE100,AS100)))))</f>
        <v>10.835000000000001</v>
      </c>
      <c r="R100" s="317">
        <f>IF(AND($A$2=4,VLOOKUP($A100,'District Level ADM'!$A$5:$W$52,5,FALSE)="Prior Year"),AT100,IF(AND($A$2=4,VLOOKUP($A100,'District Level ADM'!$A$5:$W$52,5,FALSE)="3-Year Avg."),AF100,IF($A$2=2,AT100,IF($A$2=3,AF100,IF(($AG100&gt;$AU100),AF100,AT100)))))</f>
        <v>16.745000000000001</v>
      </c>
      <c r="S100" s="317">
        <f t="shared" si="13"/>
        <v>48.265000000000001</v>
      </c>
      <c r="T100" s="317">
        <f t="shared" si="20"/>
        <v>0</v>
      </c>
      <c r="U100" s="317">
        <f t="shared" si="20"/>
        <v>0</v>
      </c>
      <c r="V100" s="317">
        <f t="shared" si="20"/>
        <v>0</v>
      </c>
      <c r="W100" s="317">
        <f t="shared" si="19"/>
        <v>0</v>
      </c>
      <c r="X100" s="317">
        <f t="shared" si="19"/>
        <v>0</v>
      </c>
      <c r="Y100" s="317">
        <f t="shared" si="19"/>
        <v>0</v>
      </c>
      <c r="Z100" s="317">
        <f t="shared" si="19"/>
        <v>0</v>
      </c>
      <c r="AA100" s="317">
        <f t="shared" si="19"/>
        <v>0</v>
      </c>
      <c r="AB100" s="317">
        <f t="shared" si="19"/>
        <v>0</v>
      </c>
      <c r="AC100" s="317">
        <f t="shared" si="18"/>
        <v>11.386333333333333</v>
      </c>
      <c r="AD100" s="317">
        <f t="shared" si="18"/>
        <v>13.095999999999998</v>
      </c>
      <c r="AE100" s="317">
        <f t="shared" si="18"/>
        <v>14.079333333333333</v>
      </c>
      <c r="AF100" s="317">
        <f t="shared" si="18"/>
        <v>13.408000000000001</v>
      </c>
      <c r="AG100" s="317">
        <f t="shared" si="14"/>
        <v>51.969666666666662</v>
      </c>
      <c r="AH100" s="318">
        <v>0</v>
      </c>
      <c r="AI100" s="318">
        <v>0</v>
      </c>
      <c r="AJ100" s="318">
        <v>0</v>
      </c>
      <c r="AK100" s="318">
        <v>0</v>
      </c>
      <c r="AL100" s="318">
        <v>0</v>
      </c>
      <c r="AM100" s="318">
        <v>0</v>
      </c>
      <c r="AN100" s="318">
        <v>0</v>
      </c>
      <c r="AO100" s="318">
        <v>0</v>
      </c>
      <c r="AP100" s="318">
        <v>0</v>
      </c>
      <c r="AQ100" s="318">
        <v>8.8650000000000002</v>
      </c>
      <c r="AR100" s="318">
        <v>11.82</v>
      </c>
      <c r="AS100" s="318">
        <v>10.835000000000001</v>
      </c>
      <c r="AT100" s="318">
        <v>16.745000000000001</v>
      </c>
      <c r="AU100" s="317">
        <f t="shared" si="15"/>
        <v>48.265000000000001</v>
      </c>
      <c r="AV100" s="319">
        <v>0</v>
      </c>
      <c r="AW100" s="319">
        <v>0</v>
      </c>
      <c r="AX100" s="319">
        <v>0</v>
      </c>
      <c r="AY100" s="319">
        <v>0</v>
      </c>
      <c r="AZ100" s="319">
        <v>0</v>
      </c>
      <c r="BA100" s="319">
        <v>0</v>
      </c>
      <c r="BB100" s="319">
        <v>0</v>
      </c>
      <c r="BC100" s="319">
        <v>0</v>
      </c>
      <c r="BD100" s="319">
        <v>0</v>
      </c>
      <c r="BE100" s="319">
        <v>11.551</v>
      </c>
      <c r="BF100" s="319">
        <v>11.468</v>
      </c>
      <c r="BG100" s="319">
        <v>16.654</v>
      </c>
      <c r="BH100" s="319">
        <v>14.942</v>
      </c>
      <c r="BI100" s="317">
        <f t="shared" si="16"/>
        <v>54.615000000000002</v>
      </c>
      <c r="BJ100" s="316">
        <v>0</v>
      </c>
      <c r="BK100" s="316">
        <v>0</v>
      </c>
      <c r="BL100" s="316">
        <v>0</v>
      </c>
      <c r="BM100" s="316">
        <v>0</v>
      </c>
      <c r="BN100" s="316">
        <v>0</v>
      </c>
      <c r="BO100" s="316">
        <v>0</v>
      </c>
      <c r="BP100" s="316">
        <v>0</v>
      </c>
      <c r="BQ100" s="316">
        <v>0</v>
      </c>
      <c r="BR100" s="316">
        <v>0</v>
      </c>
      <c r="BS100" s="316">
        <v>13.743</v>
      </c>
      <c r="BT100" s="316">
        <v>16</v>
      </c>
      <c r="BU100" s="316">
        <v>14.749000000000001</v>
      </c>
      <c r="BV100" s="316">
        <v>8.5370000000000008</v>
      </c>
      <c r="BW100" s="317">
        <f t="shared" si="17"/>
        <v>53.029000000000003</v>
      </c>
    </row>
    <row r="101" spans="1:734" x14ac:dyDescent="0.2">
      <c r="A101" s="20" t="str">
        <f>'School Level Inst. Resources'!A101</f>
        <v>0706000</v>
      </c>
      <c r="B101" s="20" t="str">
        <f>'School Level Inst. Resources'!B101</f>
        <v>Fremont #6</v>
      </c>
      <c r="C101" s="20" t="str">
        <f>'School Level Inst. Resources'!C101</f>
        <v>0706001</v>
      </c>
      <c r="D101" s="20" t="str">
        <f>'School Level Inst. Resources'!D101</f>
        <v>Crowheart Elementary</v>
      </c>
      <c r="E101" s="138" t="str">
        <f>'School Level Inst. Resources'!E101</f>
        <v>P-3</v>
      </c>
      <c r="F101" s="317">
        <f>IF(AND($A$2=4,VLOOKUP($A101,'District Level ADM'!$A$5:$W$52,5,FALSE)="Prior Year"),AH101,IF(AND($A$2=4,VLOOKUP($A101,'District Level ADM'!$A$5:$W$52,5,FALSE)="3-Year Avg."),T101,IF($A$2=2,AH101,IF($A$2=3,T101,IF(($AG101&gt;$AU101),T101,AH101)))))</f>
        <v>4.9249999999999998</v>
      </c>
      <c r="G101" s="317">
        <f>IF(AND($A$2=4,VLOOKUP($A101,'District Level ADM'!$A$5:$W$52,5,FALSE)="Prior Year"),AI101,IF(AND($A$2=4,VLOOKUP($A101,'District Level ADM'!$A$5:$W$52,5,FALSE)="3-Year Avg."),U101,IF($A$2=2,AI101,IF($A$2=3,U101,IF(($AG101&gt;$AU101),U101,AI101)))))</f>
        <v>2.9550000000000001</v>
      </c>
      <c r="H101" s="317">
        <f>IF(AND($A$2=4,VLOOKUP($A101,'District Level ADM'!$A$5:$W$52,5,FALSE)="Prior Year"),AJ101,IF(AND($A$2=4,VLOOKUP($A101,'District Level ADM'!$A$5:$W$52,5,FALSE)="3-Year Avg."),V101,IF($A$2=2,AJ101,IF($A$2=3,V101,IF(($AG101&gt;$AU101),V101,AJ101)))))</f>
        <v>5.91</v>
      </c>
      <c r="I101" s="317">
        <f>IF(AND($A$2=4,VLOOKUP($A101,'District Level ADM'!$A$5:$W$52,5,FALSE)="Prior Year"),AK101,IF(AND($A$2=4,VLOOKUP($A101,'District Level ADM'!$A$5:$W$52,5,FALSE)="3-Year Avg."),W101,IF($A$2=2,AK101,IF($A$2=3,W101,IF(($AG101&gt;$AU101),W101,AK101)))))</f>
        <v>3.94</v>
      </c>
      <c r="J101" s="317">
        <f>IF(AND($A$2=4,VLOOKUP($A101,'District Level ADM'!$A$5:$W$52,5,FALSE)="Prior Year"),AL101,IF(AND($A$2=4,VLOOKUP($A101,'District Level ADM'!$A$5:$W$52,5,FALSE)="3-Year Avg."),X101,IF($A$2=2,AL101,IF($A$2=3,X101,IF(($AG101&gt;$AU101),X101,AL101)))))</f>
        <v>0</v>
      </c>
      <c r="K101" s="317">
        <f>IF(AND($A$2=4,VLOOKUP($A101,'District Level ADM'!$A$5:$W$52,5,FALSE)="Prior Year"),AM101,IF(AND($A$2=4,VLOOKUP($A101,'District Level ADM'!$A$5:$W$52,5,FALSE)="3-Year Avg."),Y101,IF($A$2=2,AM101,IF($A$2=3,Y101,IF(($AG101&gt;$AU101),Y101,AM101)))))</f>
        <v>0</v>
      </c>
      <c r="L101" s="317">
        <f>IF(AND($A$2=4,VLOOKUP($A101,'District Level ADM'!$A$5:$W$52,5,FALSE)="Prior Year"),AN101,IF(AND($A$2=4,VLOOKUP($A101,'District Level ADM'!$A$5:$W$52,5,FALSE)="3-Year Avg."),Z101,IF($A$2=2,AN101,IF($A$2=3,Z101,IF(($AG101&gt;$AU101),Z101,AN101)))))</f>
        <v>0</v>
      </c>
      <c r="M101" s="317">
        <f>IF(AND($A$2=4,VLOOKUP($A101,'District Level ADM'!$A$5:$W$52,5,FALSE)="Prior Year"),AO101,IF(AND($A$2=4,VLOOKUP($A101,'District Level ADM'!$A$5:$W$52,5,FALSE)="3-Year Avg."),AA101,IF($A$2=2,AO101,IF($A$2=3,AA101,IF(($AG101&gt;$AU101),AA101,AO101)))))</f>
        <v>0</v>
      </c>
      <c r="N101" s="317">
        <f>IF(AND($A$2=4,VLOOKUP($A101,'District Level ADM'!$A$5:$W$52,5,FALSE)="Prior Year"),AP101,IF(AND($A$2=4,VLOOKUP($A101,'District Level ADM'!$A$5:$W$52,5,FALSE)="3-Year Avg."),AB101,IF($A$2=2,AP101,IF($A$2=3,AB101,IF(($AG101&gt;$AU101),AB101,AP101)))))</f>
        <v>0</v>
      </c>
      <c r="O101" s="317">
        <f>IF(AND($A$2=4,VLOOKUP($A101,'District Level ADM'!$A$5:$W$52,5,FALSE)="Prior Year"),AQ101,IF(AND($A$2=4,VLOOKUP($A101,'District Level ADM'!$A$5:$W$52,5,FALSE)="3-Year Avg."),AC101,IF($A$2=2,AQ101,IF($A$2=3,AC101,IF(($AG101&gt;$AU101),AC101,AQ101)))))</f>
        <v>0</v>
      </c>
      <c r="P101" s="317">
        <f>IF(AND($A$2=4,VLOOKUP($A101,'District Level ADM'!$A$5:$W$52,5,FALSE)="Prior Year"),AR101,IF(AND($A$2=4,VLOOKUP($A101,'District Level ADM'!$A$5:$W$52,5,FALSE)="3-Year Avg."),AD101,IF($A$2=2,AR101,IF($A$2=3,AD101,IF(($AG101&gt;$AU101),AD101,AR101)))))</f>
        <v>0</v>
      </c>
      <c r="Q101" s="317">
        <f>IF(AND($A$2=4,VLOOKUP($A101,'District Level ADM'!$A$5:$W$52,5,FALSE)="Prior Year"),AS101,IF(AND($A$2=4,VLOOKUP($A101,'District Level ADM'!$A$5:$W$52,5,FALSE)="3-Year Avg."),AE101,IF($A$2=2,AS101,IF($A$2=3,AE101,IF(($AG101&gt;$AU101),AE101,AS101)))))</f>
        <v>0</v>
      </c>
      <c r="R101" s="317">
        <f>IF(AND($A$2=4,VLOOKUP($A101,'District Level ADM'!$A$5:$W$52,5,FALSE)="Prior Year"),AT101,IF(AND($A$2=4,VLOOKUP($A101,'District Level ADM'!$A$5:$W$52,5,FALSE)="3-Year Avg."),AF101,IF($A$2=2,AT101,IF($A$2=3,AF101,IF(($AG101&gt;$AU101),AF101,AT101)))))</f>
        <v>0</v>
      </c>
      <c r="S101" s="317">
        <f t="shared" si="13"/>
        <v>17.73</v>
      </c>
      <c r="T101" s="317">
        <f t="shared" si="20"/>
        <v>4.3530000000000006</v>
      </c>
      <c r="U101" s="317">
        <f t="shared" si="20"/>
        <v>4.3183333333333334</v>
      </c>
      <c r="V101" s="317">
        <f t="shared" si="20"/>
        <v>3.6670000000000003</v>
      </c>
      <c r="W101" s="317">
        <f t="shared" si="19"/>
        <v>1.3133333333333332</v>
      </c>
      <c r="X101" s="317">
        <f t="shared" si="19"/>
        <v>0</v>
      </c>
      <c r="Y101" s="317">
        <f t="shared" si="19"/>
        <v>0</v>
      </c>
      <c r="Z101" s="317">
        <f t="shared" si="19"/>
        <v>0</v>
      </c>
      <c r="AA101" s="317">
        <f t="shared" si="19"/>
        <v>0</v>
      </c>
      <c r="AB101" s="317">
        <f t="shared" si="19"/>
        <v>0</v>
      </c>
      <c r="AC101" s="317">
        <f t="shared" si="18"/>
        <v>0</v>
      </c>
      <c r="AD101" s="317">
        <f t="shared" si="18"/>
        <v>0</v>
      </c>
      <c r="AE101" s="317">
        <f t="shared" si="18"/>
        <v>0</v>
      </c>
      <c r="AF101" s="317">
        <f t="shared" si="18"/>
        <v>0</v>
      </c>
      <c r="AG101" s="317">
        <f t="shared" si="14"/>
        <v>13.651666666666666</v>
      </c>
      <c r="AH101" s="318">
        <v>4.9249999999999998</v>
      </c>
      <c r="AI101" s="318">
        <v>2.9550000000000001</v>
      </c>
      <c r="AJ101" s="318">
        <v>5.91</v>
      </c>
      <c r="AK101" s="318">
        <v>3.94</v>
      </c>
      <c r="AL101" s="318">
        <v>0</v>
      </c>
      <c r="AM101" s="318">
        <v>0</v>
      </c>
      <c r="AN101" s="318">
        <v>0</v>
      </c>
      <c r="AO101" s="318">
        <v>0</v>
      </c>
      <c r="AP101" s="318">
        <v>0</v>
      </c>
      <c r="AQ101" s="318">
        <v>0</v>
      </c>
      <c r="AR101" s="318">
        <v>0</v>
      </c>
      <c r="AS101" s="318">
        <v>0</v>
      </c>
      <c r="AT101" s="318">
        <v>0</v>
      </c>
      <c r="AU101" s="317">
        <f t="shared" si="15"/>
        <v>17.73</v>
      </c>
      <c r="AV101" s="319">
        <v>2.988</v>
      </c>
      <c r="AW101" s="319">
        <v>6</v>
      </c>
      <c r="AX101" s="319">
        <v>5.0910000000000002</v>
      </c>
      <c r="AY101" s="319">
        <v>0</v>
      </c>
      <c r="AZ101" s="319">
        <v>0</v>
      </c>
      <c r="BA101" s="319">
        <v>0</v>
      </c>
      <c r="BB101" s="319">
        <v>0</v>
      </c>
      <c r="BC101" s="319">
        <v>0</v>
      </c>
      <c r="BD101" s="319">
        <v>0</v>
      </c>
      <c r="BE101" s="319">
        <v>0</v>
      </c>
      <c r="BF101" s="319">
        <v>0</v>
      </c>
      <c r="BG101" s="319">
        <v>0</v>
      </c>
      <c r="BH101" s="319">
        <v>0</v>
      </c>
      <c r="BI101" s="317">
        <f t="shared" si="16"/>
        <v>14.079000000000001</v>
      </c>
      <c r="BJ101" s="316">
        <v>5.1459999999999999</v>
      </c>
      <c r="BK101" s="316">
        <v>4</v>
      </c>
      <c r="BL101" s="316">
        <v>0</v>
      </c>
      <c r="BM101" s="316">
        <v>0</v>
      </c>
      <c r="BN101" s="316">
        <v>0</v>
      </c>
      <c r="BO101" s="316">
        <v>0</v>
      </c>
      <c r="BP101" s="316">
        <v>0</v>
      </c>
      <c r="BQ101" s="316">
        <v>0</v>
      </c>
      <c r="BR101" s="316">
        <v>0</v>
      </c>
      <c r="BS101" s="316">
        <v>0</v>
      </c>
      <c r="BT101" s="316">
        <v>0</v>
      </c>
      <c r="BU101" s="316">
        <v>0</v>
      </c>
      <c r="BV101" s="316">
        <v>0</v>
      </c>
      <c r="BW101" s="317">
        <f t="shared" si="17"/>
        <v>9.1460000000000008</v>
      </c>
    </row>
    <row r="102" spans="1:734" x14ac:dyDescent="0.2">
      <c r="A102" s="20" t="str">
        <f>'School Level Inst. Resources'!A102</f>
        <v>0706000</v>
      </c>
      <c r="B102" s="20" t="str">
        <f>'School Level Inst. Resources'!B102</f>
        <v>Fremont #6</v>
      </c>
      <c r="C102" s="20" t="str">
        <f>'School Level Inst. Resources'!C102</f>
        <v>0706002</v>
      </c>
      <c r="D102" s="20" t="str">
        <f>'School Level Inst. Resources'!D102</f>
        <v>Wind River Elementary</v>
      </c>
      <c r="E102" s="138" t="str">
        <f>'School Level Inst. Resources'!E102</f>
        <v>P-5</v>
      </c>
      <c r="F102" s="317">
        <f>IF(AND($A$2=4,VLOOKUP($A102,'District Level ADM'!$A$5:$W$52,5,FALSE)="Prior Year"),AH102,IF(AND($A$2=4,VLOOKUP($A102,'District Level ADM'!$A$5:$W$52,5,FALSE)="3-Year Avg."),T102,IF($A$2=2,AH102,IF($A$2=3,T102,IF(($AG102&gt;$AU102),T102,AH102)))))</f>
        <v>35.46</v>
      </c>
      <c r="G102" s="317">
        <f>IF(AND($A$2=4,VLOOKUP($A102,'District Level ADM'!$A$5:$W$52,5,FALSE)="Prior Year"),AI102,IF(AND($A$2=4,VLOOKUP($A102,'District Level ADM'!$A$5:$W$52,5,FALSE)="3-Year Avg."),U102,IF($A$2=2,AI102,IF($A$2=3,U102,IF(($AG102&gt;$AU102),U102,AI102)))))</f>
        <v>24.625</v>
      </c>
      <c r="H102" s="317">
        <f>IF(AND($A$2=4,VLOOKUP($A102,'District Level ADM'!$A$5:$W$52,5,FALSE)="Prior Year"),AJ102,IF(AND($A$2=4,VLOOKUP($A102,'District Level ADM'!$A$5:$W$52,5,FALSE)="3-Year Avg."),V102,IF($A$2=2,AJ102,IF($A$2=3,V102,IF(($AG102&gt;$AU102),V102,AJ102)))))</f>
        <v>22.655000000000001</v>
      </c>
      <c r="I102" s="317">
        <f>IF(AND($A$2=4,VLOOKUP($A102,'District Level ADM'!$A$5:$W$52,5,FALSE)="Prior Year"),AK102,IF(AND($A$2=4,VLOOKUP($A102,'District Level ADM'!$A$5:$W$52,5,FALSE)="3-Year Avg."),W102,IF($A$2=2,AK102,IF($A$2=3,W102,IF(($AG102&gt;$AU102),W102,AK102)))))</f>
        <v>25.61</v>
      </c>
      <c r="J102" s="317">
        <f>IF(AND($A$2=4,VLOOKUP($A102,'District Level ADM'!$A$5:$W$52,5,FALSE)="Prior Year"),AL102,IF(AND($A$2=4,VLOOKUP($A102,'District Level ADM'!$A$5:$W$52,5,FALSE)="3-Year Avg."),X102,IF($A$2=2,AL102,IF($A$2=3,X102,IF(($AG102&gt;$AU102),X102,AL102)))))</f>
        <v>28.565000000000001</v>
      </c>
      <c r="K102" s="317">
        <f>IF(AND($A$2=4,VLOOKUP($A102,'District Level ADM'!$A$5:$W$52,5,FALSE)="Prior Year"),AM102,IF(AND($A$2=4,VLOOKUP($A102,'District Level ADM'!$A$5:$W$52,5,FALSE)="3-Year Avg."),Y102,IF($A$2=2,AM102,IF($A$2=3,Y102,IF(($AG102&gt;$AU102),Y102,AM102)))))</f>
        <v>32.505000000000003</v>
      </c>
      <c r="L102" s="317">
        <f>IF(AND($A$2=4,VLOOKUP($A102,'District Level ADM'!$A$5:$W$52,5,FALSE)="Prior Year"),AN102,IF(AND($A$2=4,VLOOKUP($A102,'District Level ADM'!$A$5:$W$52,5,FALSE)="3-Year Avg."),Z102,IF($A$2=2,AN102,IF($A$2=3,Z102,IF(($AG102&gt;$AU102),Z102,AN102)))))</f>
        <v>0</v>
      </c>
      <c r="M102" s="317">
        <f>IF(AND($A$2=4,VLOOKUP($A102,'District Level ADM'!$A$5:$W$52,5,FALSE)="Prior Year"),AO102,IF(AND($A$2=4,VLOOKUP($A102,'District Level ADM'!$A$5:$W$52,5,FALSE)="3-Year Avg."),AA102,IF($A$2=2,AO102,IF($A$2=3,AA102,IF(($AG102&gt;$AU102),AA102,AO102)))))</f>
        <v>0</v>
      </c>
      <c r="N102" s="317">
        <f>IF(AND($A$2=4,VLOOKUP($A102,'District Level ADM'!$A$5:$W$52,5,FALSE)="Prior Year"),AP102,IF(AND($A$2=4,VLOOKUP($A102,'District Level ADM'!$A$5:$W$52,5,FALSE)="3-Year Avg."),AB102,IF($A$2=2,AP102,IF($A$2=3,AB102,IF(($AG102&gt;$AU102),AB102,AP102)))))</f>
        <v>0</v>
      </c>
      <c r="O102" s="317">
        <f>IF(AND($A$2=4,VLOOKUP($A102,'District Level ADM'!$A$5:$W$52,5,FALSE)="Prior Year"),AQ102,IF(AND($A$2=4,VLOOKUP($A102,'District Level ADM'!$A$5:$W$52,5,FALSE)="3-Year Avg."),AC102,IF($A$2=2,AQ102,IF($A$2=3,AC102,IF(($AG102&gt;$AU102),AC102,AQ102)))))</f>
        <v>0</v>
      </c>
      <c r="P102" s="317">
        <f>IF(AND($A$2=4,VLOOKUP($A102,'District Level ADM'!$A$5:$W$52,5,FALSE)="Prior Year"),AR102,IF(AND($A$2=4,VLOOKUP($A102,'District Level ADM'!$A$5:$W$52,5,FALSE)="3-Year Avg."),AD102,IF($A$2=2,AR102,IF($A$2=3,AD102,IF(($AG102&gt;$AU102),AD102,AR102)))))</f>
        <v>0</v>
      </c>
      <c r="Q102" s="317">
        <f>IF(AND($A$2=4,VLOOKUP($A102,'District Level ADM'!$A$5:$W$52,5,FALSE)="Prior Year"),AS102,IF(AND($A$2=4,VLOOKUP($A102,'District Level ADM'!$A$5:$W$52,5,FALSE)="3-Year Avg."),AE102,IF($A$2=2,AS102,IF($A$2=3,AE102,IF(($AG102&gt;$AU102),AE102,AS102)))))</f>
        <v>0</v>
      </c>
      <c r="R102" s="317">
        <f>IF(AND($A$2=4,VLOOKUP($A102,'District Level ADM'!$A$5:$W$52,5,FALSE)="Prior Year"),AT102,IF(AND($A$2=4,VLOOKUP($A102,'District Level ADM'!$A$5:$W$52,5,FALSE)="3-Year Avg."),AF102,IF($A$2=2,AT102,IF($A$2=3,AF102,IF(($AG102&gt;$AU102),AF102,AT102)))))</f>
        <v>0</v>
      </c>
      <c r="S102" s="317">
        <f t="shared" si="13"/>
        <v>169.42000000000002</v>
      </c>
      <c r="T102" s="317">
        <f t="shared" si="20"/>
        <v>27.855666666666668</v>
      </c>
      <c r="U102" s="317">
        <f t="shared" si="20"/>
        <v>24.127333333333336</v>
      </c>
      <c r="V102" s="317">
        <f t="shared" si="20"/>
        <v>24.774333333333335</v>
      </c>
      <c r="W102" s="317">
        <f t="shared" si="19"/>
        <v>25.986000000000001</v>
      </c>
      <c r="X102" s="317">
        <f t="shared" si="19"/>
        <v>29.655999999999995</v>
      </c>
      <c r="Y102" s="317">
        <f t="shared" si="19"/>
        <v>30.933999999999997</v>
      </c>
      <c r="Z102" s="317">
        <f t="shared" si="19"/>
        <v>0</v>
      </c>
      <c r="AA102" s="317">
        <f t="shared" si="19"/>
        <v>0</v>
      </c>
      <c r="AB102" s="317">
        <f t="shared" si="19"/>
        <v>0</v>
      </c>
      <c r="AC102" s="317">
        <f t="shared" si="18"/>
        <v>0</v>
      </c>
      <c r="AD102" s="317">
        <f t="shared" si="18"/>
        <v>0</v>
      </c>
      <c r="AE102" s="317">
        <f t="shared" si="18"/>
        <v>0</v>
      </c>
      <c r="AF102" s="317">
        <f t="shared" si="18"/>
        <v>0</v>
      </c>
      <c r="AG102" s="317">
        <f t="shared" si="14"/>
        <v>163.33333333333334</v>
      </c>
      <c r="AH102" s="318">
        <v>35.46</v>
      </c>
      <c r="AI102" s="318">
        <v>24.625</v>
      </c>
      <c r="AJ102" s="318">
        <v>22.655000000000001</v>
      </c>
      <c r="AK102" s="318">
        <v>25.61</v>
      </c>
      <c r="AL102" s="318">
        <v>28.565000000000001</v>
      </c>
      <c r="AM102" s="318">
        <v>32.505000000000003</v>
      </c>
      <c r="AN102" s="318">
        <v>0</v>
      </c>
      <c r="AO102" s="318">
        <v>0</v>
      </c>
      <c r="AP102" s="318">
        <v>0</v>
      </c>
      <c r="AQ102" s="318">
        <v>0</v>
      </c>
      <c r="AR102" s="318">
        <v>0</v>
      </c>
      <c r="AS102" s="318">
        <v>0</v>
      </c>
      <c r="AT102" s="318">
        <v>0</v>
      </c>
      <c r="AU102" s="317">
        <f t="shared" si="15"/>
        <v>169.42000000000002</v>
      </c>
      <c r="AV102" s="319">
        <v>25.594000000000001</v>
      </c>
      <c r="AW102" s="319">
        <v>21.042000000000002</v>
      </c>
      <c r="AX102" s="319">
        <v>25.067</v>
      </c>
      <c r="AY102" s="319">
        <v>24.57</v>
      </c>
      <c r="AZ102" s="319">
        <v>29.472999999999999</v>
      </c>
      <c r="BA102" s="319">
        <v>30.727</v>
      </c>
      <c r="BB102" s="319">
        <v>0</v>
      </c>
      <c r="BC102" s="319">
        <v>0</v>
      </c>
      <c r="BD102" s="319">
        <v>0</v>
      </c>
      <c r="BE102" s="319">
        <v>0</v>
      </c>
      <c r="BF102" s="319">
        <v>0</v>
      </c>
      <c r="BG102" s="319">
        <v>0</v>
      </c>
      <c r="BH102" s="319">
        <v>0</v>
      </c>
      <c r="BI102" s="317">
        <f t="shared" si="16"/>
        <v>156.47299999999998</v>
      </c>
      <c r="BJ102" s="316">
        <v>22.513000000000002</v>
      </c>
      <c r="BK102" s="316">
        <v>26.715</v>
      </c>
      <c r="BL102" s="316">
        <v>26.600999999999999</v>
      </c>
      <c r="BM102" s="316">
        <v>27.777999999999999</v>
      </c>
      <c r="BN102" s="316">
        <v>30.93</v>
      </c>
      <c r="BO102" s="316">
        <v>29.57</v>
      </c>
      <c r="BP102" s="316">
        <v>0</v>
      </c>
      <c r="BQ102" s="316">
        <v>0</v>
      </c>
      <c r="BR102" s="316">
        <v>0</v>
      </c>
      <c r="BS102" s="316">
        <v>0</v>
      </c>
      <c r="BT102" s="316">
        <v>0</v>
      </c>
      <c r="BU102" s="316">
        <v>0</v>
      </c>
      <c r="BV102" s="316">
        <v>0</v>
      </c>
      <c r="BW102" s="317">
        <f t="shared" si="17"/>
        <v>164.107</v>
      </c>
    </row>
    <row r="103" spans="1:734" x14ac:dyDescent="0.2">
      <c r="A103" s="20" t="str">
        <f>'School Level Inst. Resources'!A103</f>
        <v>0706000</v>
      </c>
      <c r="B103" s="20" t="str">
        <f>'School Level Inst. Resources'!B103</f>
        <v>Fremont #6</v>
      </c>
      <c r="C103" s="20" t="str">
        <f>'School Level Inst. Resources'!C103</f>
        <v>0706050</v>
      </c>
      <c r="D103" s="20" t="str">
        <f>'School Level Inst. Resources'!D103</f>
        <v>Wind River Middle School</v>
      </c>
      <c r="E103" s="138" t="str">
        <f>'School Level Inst. Resources'!E103</f>
        <v>6-8</v>
      </c>
      <c r="F103" s="317">
        <f>IF(AND($A$2=4,VLOOKUP($A103,'District Level ADM'!$A$5:$W$52,5,FALSE)="Prior Year"),AH103,IF(AND($A$2=4,VLOOKUP($A103,'District Level ADM'!$A$5:$W$52,5,FALSE)="3-Year Avg."),T103,IF($A$2=2,AH103,IF($A$2=3,T103,IF(($AG103&gt;$AU103),T103,AH103)))))</f>
        <v>0</v>
      </c>
      <c r="G103" s="317">
        <f>IF(AND($A$2=4,VLOOKUP($A103,'District Level ADM'!$A$5:$W$52,5,FALSE)="Prior Year"),AI103,IF(AND($A$2=4,VLOOKUP($A103,'District Level ADM'!$A$5:$W$52,5,FALSE)="3-Year Avg."),U103,IF($A$2=2,AI103,IF($A$2=3,U103,IF(($AG103&gt;$AU103),U103,AI103)))))</f>
        <v>0</v>
      </c>
      <c r="H103" s="317">
        <f>IF(AND($A$2=4,VLOOKUP($A103,'District Level ADM'!$A$5:$W$52,5,FALSE)="Prior Year"),AJ103,IF(AND($A$2=4,VLOOKUP($A103,'District Level ADM'!$A$5:$W$52,5,FALSE)="3-Year Avg."),V103,IF($A$2=2,AJ103,IF($A$2=3,V103,IF(($AG103&gt;$AU103),V103,AJ103)))))</f>
        <v>0</v>
      </c>
      <c r="I103" s="317">
        <f>IF(AND($A$2=4,VLOOKUP($A103,'District Level ADM'!$A$5:$W$52,5,FALSE)="Prior Year"),AK103,IF(AND($A$2=4,VLOOKUP($A103,'District Level ADM'!$A$5:$W$52,5,FALSE)="3-Year Avg."),W103,IF($A$2=2,AK103,IF($A$2=3,W103,IF(($AG103&gt;$AU103),W103,AK103)))))</f>
        <v>0</v>
      </c>
      <c r="J103" s="317">
        <f>IF(AND($A$2=4,VLOOKUP($A103,'District Level ADM'!$A$5:$W$52,5,FALSE)="Prior Year"),AL103,IF(AND($A$2=4,VLOOKUP($A103,'District Level ADM'!$A$5:$W$52,5,FALSE)="3-Year Avg."),X103,IF($A$2=2,AL103,IF($A$2=3,X103,IF(($AG103&gt;$AU103),X103,AL103)))))</f>
        <v>0</v>
      </c>
      <c r="K103" s="317">
        <f>IF(AND($A$2=4,VLOOKUP($A103,'District Level ADM'!$A$5:$W$52,5,FALSE)="Prior Year"),AM103,IF(AND($A$2=4,VLOOKUP($A103,'District Level ADM'!$A$5:$W$52,5,FALSE)="3-Year Avg."),Y103,IF($A$2=2,AM103,IF($A$2=3,Y103,IF(($AG103&gt;$AU103),Y103,AM103)))))</f>
        <v>0</v>
      </c>
      <c r="L103" s="317">
        <f>IF(AND($A$2=4,VLOOKUP($A103,'District Level ADM'!$A$5:$W$52,5,FALSE)="Prior Year"),AN103,IF(AND($A$2=4,VLOOKUP($A103,'District Level ADM'!$A$5:$W$52,5,FALSE)="3-Year Avg."),Z103,IF($A$2=2,AN103,IF($A$2=3,Z103,IF(($AG103&gt;$AU103),Z103,AN103)))))</f>
        <v>29.55</v>
      </c>
      <c r="M103" s="317">
        <f>IF(AND($A$2=4,VLOOKUP($A103,'District Level ADM'!$A$5:$W$52,5,FALSE)="Prior Year"),AO103,IF(AND($A$2=4,VLOOKUP($A103,'District Level ADM'!$A$5:$W$52,5,FALSE)="3-Year Avg."),AA103,IF($A$2=2,AO103,IF($A$2=3,AA103,IF(($AG103&gt;$AU103),AA103,AO103)))))</f>
        <v>30.535</v>
      </c>
      <c r="N103" s="317">
        <f>IF(AND($A$2=4,VLOOKUP($A103,'District Level ADM'!$A$5:$W$52,5,FALSE)="Prior Year"),AP103,IF(AND($A$2=4,VLOOKUP($A103,'District Level ADM'!$A$5:$W$52,5,FALSE)="3-Year Avg."),AB103,IF($A$2=2,AP103,IF($A$2=3,AB103,IF(($AG103&gt;$AU103),AB103,AP103)))))</f>
        <v>25.61</v>
      </c>
      <c r="O103" s="317">
        <f>IF(AND($A$2=4,VLOOKUP($A103,'District Level ADM'!$A$5:$W$52,5,FALSE)="Prior Year"),AQ103,IF(AND($A$2=4,VLOOKUP($A103,'District Level ADM'!$A$5:$W$52,5,FALSE)="3-Year Avg."),AC103,IF($A$2=2,AQ103,IF($A$2=3,AC103,IF(($AG103&gt;$AU103),AC103,AQ103)))))</f>
        <v>0</v>
      </c>
      <c r="P103" s="317">
        <f>IF(AND($A$2=4,VLOOKUP($A103,'District Level ADM'!$A$5:$W$52,5,FALSE)="Prior Year"),AR103,IF(AND($A$2=4,VLOOKUP($A103,'District Level ADM'!$A$5:$W$52,5,FALSE)="3-Year Avg."),AD103,IF($A$2=2,AR103,IF($A$2=3,AD103,IF(($AG103&gt;$AU103),AD103,AR103)))))</f>
        <v>0</v>
      </c>
      <c r="Q103" s="317">
        <f>IF(AND($A$2=4,VLOOKUP($A103,'District Level ADM'!$A$5:$W$52,5,FALSE)="Prior Year"),AS103,IF(AND($A$2=4,VLOOKUP($A103,'District Level ADM'!$A$5:$W$52,5,FALSE)="3-Year Avg."),AE103,IF($A$2=2,AS103,IF($A$2=3,AE103,IF(($AG103&gt;$AU103),AE103,AS103)))))</f>
        <v>0</v>
      </c>
      <c r="R103" s="317">
        <f>IF(AND($A$2=4,VLOOKUP($A103,'District Level ADM'!$A$5:$W$52,5,FALSE)="Prior Year"),AT103,IF(AND($A$2=4,VLOOKUP($A103,'District Level ADM'!$A$5:$W$52,5,FALSE)="3-Year Avg."),AF103,IF($A$2=2,AT103,IF($A$2=3,AF103,IF(($AG103&gt;$AU103),AF103,AT103)))))</f>
        <v>0</v>
      </c>
      <c r="S103" s="317">
        <f t="shared" si="13"/>
        <v>85.694999999999993</v>
      </c>
      <c r="T103" s="317">
        <f t="shared" si="20"/>
        <v>0</v>
      </c>
      <c r="U103" s="317">
        <f t="shared" si="20"/>
        <v>0</v>
      </c>
      <c r="V103" s="317">
        <f t="shared" si="20"/>
        <v>0</v>
      </c>
      <c r="W103" s="317">
        <f t="shared" si="19"/>
        <v>0</v>
      </c>
      <c r="X103" s="317">
        <f t="shared" si="19"/>
        <v>0</v>
      </c>
      <c r="Y103" s="317">
        <f t="shared" si="19"/>
        <v>0</v>
      </c>
      <c r="Z103" s="317">
        <f t="shared" si="19"/>
        <v>26.054666666666666</v>
      </c>
      <c r="AA103" s="317">
        <f t="shared" si="19"/>
        <v>26.114999999999998</v>
      </c>
      <c r="AB103" s="317">
        <f t="shared" si="19"/>
        <v>29.741</v>
      </c>
      <c r="AC103" s="317">
        <f t="shared" si="18"/>
        <v>0</v>
      </c>
      <c r="AD103" s="317">
        <f t="shared" si="18"/>
        <v>0</v>
      </c>
      <c r="AE103" s="317">
        <f t="shared" si="18"/>
        <v>0</v>
      </c>
      <c r="AF103" s="317">
        <f t="shared" si="18"/>
        <v>0</v>
      </c>
      <c r="AG103" s="317">
        <f t="shared" si="14"/>
        <v>81.910666666666657</v>
      </c>
      <c r="AH103" s="318">
        <v>0</v>
      </c>
      <c r="AI103" s="318">
        <v>0</v>
      </c>
      <c r="AJ103" s="318">
        <v>0</v>
      </c>
      <c r="AK103" s="318">
        <v>0</v>
      </c>
      <c r="AL103" s="318">
        <v>0</v>
      </c>
      <c r="AM103" s="318">
        <v>0</v>
      </c>
      <c r="AN103" s="318">
        <v>29.55</v>
      </c>
      <c r="AO103" s="318">
        <v>30.535</v>
      </c>
      <c r="AP103" s="318">
        <v>25.61</v>
      </c>
      <c r="AQ103" s="318">
        <v>0</v>
      </c>
      <c r="AR103" s="318">
        <v>0</v>
      </c>
      <c r="AS103" s="318">
        <v>0</v>
      </c>
      <c r="AT103" s="318">
        <v>0</v>
      </c>
      <c r="AU103" s="317">
        <f t="shared" si="15"/>
        <v>85.694999999999993</v>
      </c>
      <c r="AV103" s="319">
        <v>0</v>
      </c>
      <c r="AW103" s="319">
        <v>0</v>
      </c>
      <c r="AX103" s="319">
        <v>0</v>
      </c>
      <c r="AY103" s="319">
        <v>0</v>
      </c>
      <c r="AZ103" s="319">
        <v>0</v>
      </c>
      <c r="BA103" s="319">
        <v>0</v>
      </c>
      <c r="BB103" s="319">
        <v>28.873000000000001</v>
      </c>
      <c r="BC103" s="319">
        <v>20.721</v>
      </c>
      <c r="BD103" s="319">
        <v>27.588000000000001</v>
      </c>
      <c r="BE103" s="319">
        <v>0</v>
      </c>
      <c r="BF103" s="319">
        <v>0</v>
      </c>
      <c r="BG103" s="319">
        <v>0</v>
      </c>
      <c r="BH103" s="319">
        <v>0</v>
      </c>
      <c r="BI103" s="317">
        <f t="shared" si="16"/>
        <v>77.182000000000002</v>
      </c>
      <c r="BJ103" s="316">
        <v>0</v>
      </c>
      <c r="BK103" s="316">
        <v>0</v>
      </c>
      <c r="BL103" s="316">
        <v>0</v>
      </c>
      <c r="BM103" s="316">
        <v>0</v>
      </c>
      <c r="BN103" s="316">
        <v>0</v>
      </c>
      <c r="BO103" s="316">
        <v>0</v>
      </c>
      <c r="BP103" s="316">
        <v>19.741</v>
      </c>
      <c r="BQ103" s="316">
        <v>27.088999999999999</v>
      </c>
      <c r="BR103" s="316">
        <v>36.024999999999999</v>
      </c>
      <c r="BS103" s="316">
        <v>0</v>
      </c>
      <c r="BT103" s="316">
        <v>0</v>
      </c>
      <c r="BU103" s="316">
        <v>0</v>
      </c>
      <c r="BV103" s="316">
        <v>0</v>
      </c>
      <c r="BW103" s="317">
        <f t="shared" si="17"/>
        <v>82.85499999999999</v>
      </c>
    </row>
    <row r="104" spans="1:734" x14ac:dyDescent="0.2">
      <c r="A104" s="20" t="str">
        <f>'School Level Inst. Resources'!A104</f>
        <v>0706000</v>
      </c>
      <c r="B104" s="20" t="str">
        <f>'School Level Inst. Resources'!B104</f>
        <v>Fremont #6</v>
      </c>
      <c r="C104" s="20" t="str">
        <f>'School Level Inst. Resources'!C104</f>
        <v>0706056</v>
      </c>
      <c r="D104" s="20" t="str">
        <f>'School Level Inst. Resources'!D104</f>
        <v>Wind River High School</v>
      </c>
      <c r="E104" s="138" t="str">
        <f>'School Level Inst. Resources'!E104</f>
        <v>9-12</v>
      </c>
      <c r="F104" s="317">
        <f>IF(AND($A$2=4,VLOOKUP($A104,'District Level ADM'!$A$5:$W$52,5,FALSE)="Prior Year"),AH104,IF(AND($A$2=4,VLOOKUP($A104,'District Level ADM'!$A$5:$W$52,5,FALSE)="3-Year Avg."),T104,IF($A$2=2,AH104,IF($A$2=3,T104,IF(($AG104&gt;$AU104),T104,AH104)))))</f>
        <v>0</v>
      </c>
      <c r="G104" s="317">
        <f>IF(AND($A$2=4,VLOOKUP($A104,'District Level ADM'!$A$5:$W$52,5,FALSE)="Prior Year"),AI104,IF(AND($A$2=4,VLOOKUP($A104,'District Level ADM'!$A$5:$W$52,5,FALSE)="3-Year Avg."),U104,IF($A$2=2,AI104,IF($A$2=3,U104,IF(($AG104&gt;$AU104),U104,AI104)))))</f>
        <v>0</v>
      </c>
      <c r="H104" s="317">
        <f>IF(AND($A$2=4,VLOOKUP($A104,'District Level ADM'!$A$5:$W$52,5,FALSE)="Prior Year"),AJ104,IF(AND($A$2=4,VLOOKUP($A104,'District Level ADM'!$A$5:$W$52,5,FALSE)="3-Year Avg."),V104,IF($A$2=2,AJ104,IF($A$2=3,V104,IF(($AG104&gt;$AU104),V104,AJ104)))))</f>
        <v>0</v>
      </c>
      <c r="I104" s="317">
        <f>IF(AND($A$2=4,VLOOKUP($A104,'District Level ADM'!$A$5:$W$52,5,FALSE)="Prior Year"),AK104,IF(AND($A$2=4,VLOOKUP($A104,'District Level ADM'!$A$5:$W$52,5,FALSE)="3-Year Avg."),W104,IF($A$2=2,AK104,IF($A$2=3,W104,IF(($AG104&gt;$AU104),W104,AK104)))))</f>
        <v>0</v>
      </c>
      <c r="J104" s="317">
        <f>IF(AND($A$2=4,VLOOKUP($A104,'District Level ADM'!$A$5:$W$52,5,FALSE)="Prior Year"),AL104,IF(AND($A$2=4,VLOOKUP($A104,'District Level ADM'!$A$5:$W$52,5,FALSE)="3-Year Avg."),X104,IF($A$2=2,AL104,IF($A$2=3,X104,IF(($AG104&gt;$AU104),X104,AL104)))))</f>
        <v>0</v>
      </c>
      <c r="K104" s="317">
        <f>IF(AND($A$2=4,VLOOKUP($A104,'District Level ADM'!$A$5:$W$52,5,FALSE)="Prior Year"),AM104,IF(AND($A$2=4,VLOOKUP($A104,'District Level ADM'!$A$5:$W$52,5,FALSE)="3-Year Avg."),Y104,IF($A$2=2,AM104,IF($A$2=3,Y104,IF(($AG104&gt;$AU104),Y104,AM104)))))</f>
        <v>0</v>
      </c>
      <c r="L104" s="317">
        <f>IF(AND($A$2=4,VLOOKUP($A104,'District Level ADM'!$A$5:$W$52,5,FALSE)="Prior Year"),AN104,IF(AND($A$2=4,VLOOKUP($A104,'District Level ADM'!$A$5:$W$52,5,FALSE)="3-Year Avg."),Z104,IF($A$2=2,AN104,IF($A$2=3,Z104,IF(($AG104&gt;$AU104),Z104,AN104)))))</f>
        <v>0</v>
      </c>
      <c r="M104" s="317">
        <f>IF(AND($A$2=4,VLOOKUP($A104,'District Level ADM'!$A$5:$W$52,5,FALSE)="Prior Year"),AO104,IF(AND($A$2=4,VLOOKUP($A104,'District Level ADM'!$A$5:$W$52,5,FALSE)="3-Year Avg."),AA104,IF($A$2=2,AO104,IF($A$2=3,AA104,IF(($AG104&gt;$AU104),AA104,AO104)))))</f>
        <v>0</v>
      </c>
      <c r="N104" s="317">
        <f>IF(AND($A$2=4,VLOOKUP($A104,'District Level ADM'!$A$5:$W$52,5,FALSE)="Prior Year"),AP104,IF(AND($A$2=4,VLOOKUP($A104,'District Level ADM'!$A$5:$W$52,5,FALSE)="3-Year Avg."),AB104,IF($A$2=2,AP104,IF($A$2=3,AB104,IF(($AG104&gt;$AU104),AB104,AP104)))))</f>
        <v>0</v>
      </c>
      <c r="O104" s="317">
        <f>IF(AND($A$2=4,VLOOKUP($A104,'District Level ADM'!$A$5:$W$52,5,FALSE)="Prior Year"),AQ104,IF(AND($A$2=4,VLOOKUP($A104,'District Level ADM'!$A$5:$W$52,5,FALSE)="3-Year Avg."),AC104,IF($A$2=2,AQ104,IF($A$2=3,AC104,IF(($AG104&gt;$AU104),AC104,AQ104)))))</f>
        <v>29.55</v>
      </c>
      <c r="P104" s="317">
        <f>IF(AND($A$2=4,VLOOKUP($A104,'District Level ADM'!$A$5:$W$52,5,FALSE)="Prior Year"),AR104,IF(AND($A$2=4,VLOOKUP($A104,'District Level ADM'!$A$5:$W$52,5,FALSE)="3-Year Avg."),AD104,IF($A$2=2,AR104,IF($A$2=3,AD104,IF(($AG104&gt;$AU104),AD104,AR104)))))</f>
        <v>37.43</v>
      </c>
      <c r="Q104" s="317">
        <f>IF(AND($A$2=4,VLOOKUP($A104,'District Level ADM'!$A$5:$W$52,5,FALSE)="Prior Year"),AS104,IF(AND($A$2=4,VLOOKUP($A104,'District Level ADM'!$A$5:$W$52,5,FALSE)="3-Year Avg."),AE104,IF($A$2=2,AS104,IF($A$2=3,AE104,IF(($AG104&gt;$AU104),AE104,AS104)))))</f>
        <v>35.46</v>
      </c>
      <c r="R104" s="317">
        <f>IF(AND($A$2=4,VLOOKUP($A104,'District Level ADM'!$A$5:$W$52,5,FALSE)="Prior Year"),AT104,IF(AND($A$2=4,VLOOKUP($A104,'District Level ADM'!$A$5:$W$52,5,FALSE)="3-Year Avg."),AF104,IF($A$2=2,AT104,IF($A$2=3,AF104,IF(($AG104&gt;$AU104),AF104,AT104)))))</f>
        <v>28.565000000000001</v>
      </c>
      <c r="S104" s="317">
        <f t="shared" si="13"/>
        <v>131.005</v>
      </c>
      <c r="T104" s="317">
        <f t="shared" si="20"/>
        <v>0</v>
      </c>
      <c r="U104" s="317">
        <f t="shared" si="20"/>
        <v>0</v>
      </c>
      <c r="V104" s="317">
        <f t="shared" si="20"/>
        <v>0</v>
      </c>
      <c r="W104" s="317">
        <f t="shared" si="19"/>
        <v>0</v>
      </c>
      <c r="X104" s="317">
        <f t="shared" si="19"/>
        <v>0</v>
      </c>
      <c r="Y104" s="317">
        <f t="shared" si="19"/>
        <v>0</v>
      </c>
      <c r="Z104" s="317">
        <f t="shared" si="19"/>
        <v>0</v>
      </c>
      <c r="AA104" s="317">
        <f t="shared" si="19"/>
        <v>0</v>
      </c>
      <c r="AB104" s="317">
        <f t="shared" si="19"/>
        <v>0</v>
      </c>
      <c r="AC104" s="317">
        <f t="shared" si="18"/>
        <v>37.219666666666662</v>
      </c>
      <c r="AD104" s="317">
        <f t="shared" si="18"/>
        <v>36.709666666666664</v>
      </c>
      <c r="AE104" s="317">
        <f t="shared" si="18"/>
        <v>28.176666666666666</v>
      </c>
      <c r="AF104" s="317">
        <f t="shared" si="18"/>
        <v>23.059333333333331</v>
      </c>
      <c r="AG104" s="317">
        <f t="shared" si="14"/>
        <v>125.16533333333331</v>
      </c>
      <c r="AH104" s="318">
        <v>0</v>
      </c>
      <c r="AI104" s="318">
        <v>0</v>
      </c>
      <c r="AJ104" s="318">
        <v>0</v>
      </c>
      <c r="AK104" s="318">
        <v>0</v>
      </c>
      <c r="AL104" s="318">
        <v>0</v>
      </c>
      <c r="AM104" s="318">
        <v>0</v>
      </c>
      <c r="AN104" s="318">
        <v>0</v>
      </c>
      <c r="AO104" s="318">
        <v>0</v>
      </c>
      <c r="AP104" s="318">
        <v>0</v>
      </c>
      <c r="AQ104" s="318">
        <v>29.55</v>
      </c>
      <c r="AR104" s="318">
        <v>37.43</v>
      </c>
      <c r="AS104" s="318">
        <v>35.46</v>
      </c>
      <c r="AT104" s="318">
        <v>28.565000000000001</v>
      </c>
      <c r="AU104" s="317">
        <f t="shared" si="15"/>
        <v>131.005</v>
      </c>
      <c r="AV104" s="319">
        <v>0</v>
      </c>
      <c r="AW104" s="319">
        <v>0</v>
      </c>
      <c r="AX104" s="319">
        <v>0</v>
      </c>
      <c r="AY104" s="319">
        <v>0</v>
      </c>
      <c r="AZ104" s="319">
        <v>0</v>
      </c>
      <c r="BA104" s="319">
        <v>0</v>
      </c>
      <c r="BB104" s="319">
        <v>0</v>
      </c>
      <c r="BC104" s="319">
        <v>0</v>
      </c>
      <c r="BD104" s="319">
        <v>0</v>
      </c>
      <c r="BE104" s="319">
        <v>43.241999999999997</v>
      </c>
      <c r="BF104" s="319">
        <v>37.369999999999997</v>
      </c>
      <c r="BG104" s="319">
        <v>30.988</v>
      </c>
      <c r="BH104" s="319">
        <v>15.17</v>
      </c>
      <c r="BI104" s="317">
        <f t="shared" si="16"/>
        <v>126.77</v>
      </c>
      <c r="BJ104" s="316">
        <v>0</v>
      </c>
      <c r="BK104" s="316">
        <v>0</v>
      </c>
      <c r="BL104" s="316">
        <v>0</v>
      </c>
      <c r="BM104" s="316">
        <v>0</v>
      </c>
      <c r="BN104" s="316">
        <v>0</v>
      </c>
      <c r="BO104" s="316">
        <v>0</v>
      </c>
      <c r="BP104" s="316">
        <v>0</v>
      </c>
      <c r="BQ104" s="316">
        <v>0</v>
      </c>
      <c r="BR104" s="316">
        <v>0</v>
      </c>
      <c r="BS104" s="316">
        <v>38.866999999999997</v>
      </c>
      <c r="BT104" s="316">
        <v>35.329000000000001</v>
      </c>
      <c r="BU104" s="316">
        <v>18.082000000000001</v>
      </c>
      <c r="BV104" s="316">
        <v>25.443000000000001</v>
      </c>
      <c r="BW104" s="317">
        <f t="shared" si="17"/>
        <v>117.72099999999999</v>
      </c>
    </row>
    <row r="105" spans="1:734" s="320" customFormat="1" x14ac:dyDescent="0.2">
      <c r="A105" s="20" t="str">
        <f>'School Level Inst. Resources'!A105</f>
        <v>0706000</v>
      </c>
      <c r="B105" s="20" t="str">
        <f>'School Level Inst. Resources'!B105</f>
        <v>Fremont #6</v>
      </c>
      <c r="C105" s="20" t="str">
        <f>'School Level Inst. Resources'!C105</f>
        <v>0706057</v>
      </c>
      <c r="D105" s="20" t="str">
        <f>'School Level Inst. Resources'!D105</f>
        <v>Wind River Learning Academy</v>
      </c>
      <c r="E105" s="138" t="str">
        <f>'School Level Inst. Resources'!E105</f>
        <v>9-12</v>
      </c>
      <c r="F105" s="317">
        <f>IF(AND($A$2=4,VLOOKUP($A105,'District Level ADM'!$A$5:$W$52,5,FALSE)="Prior Year"),AH105,IF(AND($A$2=4,VLOOKUP($A105,'District Level ADM'!$A$5:$W$52,5,FALSE)="3-Year Avg."),T105,IF($A$2=2,AH105,IF($A$2=3,T105,IF(($AG105&gt;$AU105),T105,AH105)))))</f>
        <v>0</v>
      </c>
      <c r="G105" s="317">
        <f>IF(AND($A$2=4,VLOOKUP($A105,'District Level ADM'!$A$5:$W$52,5,FALSE)="Prior Year"),AI105,IF(AND($A$2=4,VLOOKUP($A105,'District Level ADM'!$A$5:$W$52,5,FALSE)="3-Year Avg."),U105,IF($A$2=2,AI105,IF($A$2=3,U105,IF(($AG105&gt;$AU105),U105,AI105)))))</f>
        <v>0</v>
      </c>
      <c r="H105" s="317">
        <f>IF(AND($A$2=4,VLOOKUP($A105,'District Level ADM'!$A$5:$W$52,5,FALSE)="Prior Year"),AJ105,IF(AND($A$2=4,VLOOKUP($A105,'District Level ADM'!$A$5:$W$52,5,FALSE)="3-Year Avg."),V105,IF($A$2=2,AJ105,IF($A$2=3,V105,IF(($AG105&gt;$AU105),V105,AJ105)))))</f>
        <v>0</v>
      </c>
      <c r="I105" s="317">
        <f>IF(AND($A$2=4,VLOOKUP($A105,'District Level ADM'!$A$5:$W$52,5,FALSE)="Prior Year"),AK105,IF(AND($A$2=4,VLOOKUP($A105,'District Level ADM'!$A$5:$W$52,5,FALSE)="3-Year Avg."),W105,IF($A$2=2,AK105,IF($A$2=3,W105,IF(($AG105&gt;$AU105),W105,AK105)))))</f>
        <v>0</v>
      </c>
      <c r="J105" s="317">
        <f>IF(AND($A$2=4,VLOOKUP($A105,'District Level ADM'!$A$5:$W$52,5,FALSE)="Prior Year"),AL105,IF(AND($A$2=4,VLOOKUP($A105,'District Level ADM'!$A$5:$W$52,5,FALSE)="3-Year Avg."),X105,IF($A$2=2,AL105,IF($A$2=3,X105,IF(($AG105&gt;$AU105),X105,AL105)))))</f>
        <v>0</v>
      </c>
      <c r="K105" s="317">
        <f>IF(AND($A$2=4,VLOOKUP($A105,'District Level ADM'!$A$5:$W$52,5,FALSE)="Prior Year"),AM105,IF(AND($A$2=4,VLOOKUP($A105,'District Level ADM'!$A$5:$W$52,5,FALSE)="3-Year Avg."),Y105,IF($A$2=2,AM105,IF($A$2=3,Y105,IF(($AG105&gt;$AU105),Y105,AM105)))))</f>
        <v>0</v>
      </c>
      <c r="L105" s="317">
        <f>IF(AND($A$2=4,VLOOKUP($A105,'District Level ADM'!$A$5:$W$52,5,FALSE)="Prior Year"),AN105,IF(AND($A$2=4,VLOOKUP($A105,'District Level ADM'!$A$5:$W$52,5,FALSE)="3-Year Avg."),Z105,IF($A$2=2,AN105,IF($A$2=3,Z105,IF(($AG105&gt;$AU105),Z105,AN105)))))</f>
        <v>0</v>
      </c>
      <c r="M105" s="317">
        <f>IF(AND($A$2=4,VLOOKUP($A105,'District Level ADM'!$A$5:$W$52,5,FALSE)="Prior Year"),AO105,IF(AND($A$2=4,VLOOKUP($A105,'District Level ADM'!$A$5:$W$52,5,FALSE)="3-Year Avg."),AA105,IF($A$2=2,AO105,IF($A$2=3,AA105,IF(($AG105&gt;$AU105),AA105,AO105)))))</f>
        <v>0</v>
      </c>
      <c r="N105" s="317">
        <f>IF(AND($A$2=4,VLOOKUP($A105,'District Level ADM'!$A$5:$W$52,5,FALSE)="Prior Year"),AP105,IF(AND($A$2=4,VLOOKUP($A105,'District Level ADM'!$A$5:$W$52,5,FALSE)="3-Year Avg."),AB105,IF($A$2=2,AP105,IF($A$2=3,AB105,IF(($AG105&gt;$AU105),AB105,AP105)))))</f>
        <v>0</v>
      </c>
      <c r="O105" s="317">
        <f>IF(AND($A$2=4,VLOOKUP($A105,'District Level ADM'!$A$5:$W$52,5,FALSE)="Prior Year"),AQ105,IF(AND($A$2=4,VLOOKUP($A105,'District Level ADM'!$A$5:$W$52,5,FALSE)="3-Year Avg."),AC105,IF($A$2=2,AQ105,IF($A$2=3,AC105,IF(($AG105&gt;$AU105),AC105,AQ105)))))</f>
        <v>0</v>
      </c>
      <c r="P105" s="317">
        <f>IF(AND($A$2=4,VLOOKUP($A105,'District Level ADM'!$A$5:$W$52,5,FALSE)="Prior Year"),AR105,IF(AND($A$2=4,VLOOKUP($A105,'District Level ADM'!$A$5:$W$52,5,FALSE)="3-Year Avg."),AD105,IF($A$2=2,AR105,IF($A$2=3,AD105,IF(($AG105&gt;$AU105),AD105,AR105)))))</f>
        <v>0</v>
      </c>
      <c r="Q105" s="317">
        <f>IF(AND($A$2=4,VLOOKUP($A105,'District Level ADM'!$A$5:$W$52,5,FALSE)="Prior Year"),AS105,IF(AND($A$2=4,VLOOKUP($A105,'District Level ADM'!$A$5:$W$52,5,FALSE)="3-Year Avg."),AE105,IF($A$2=2,AS105,IF($A$2=3,AE105,IF(($AG105&gt;$AU105),AE105,AS105)))))</f>
        <v>1.97</v>
      </c>
      <c r="R105" s="317">
        <f>IF(AND($A$2=4,VLOOKUP($A105,'District Level ADM'!$A$5:$W$52,5,FALSE)="Prior Year"),AT105,IF(AND($A$2=4,VLOOKUP($A105,'District Level ADM'!$A$5:$W$52,5,FALSE)="3-Year Avg."),AF105,IF($A$2=2,AT105,IF($A$2=3,AF105,IF(($AG105&gt;$AU105),AF105,AT105)))))</f>
        <v>0.98499999999999999</v>
      </c>
      <c r="S105" s="317">
        <f t="shared" si="13"/>
        <v>2.9550000000000001</v>
      </c>
      <c r="T105" s="317">
        <f t="shared" si="20"/>
        <v>0</v>
      </c>
      <c r="U105" s="317">
        <f t="shared" si="20"/>
        <v>0</v>
      </c>
      <c r="V105" s="317">
        <f t="shared" si="20"/>
        <v>0</v>
      </c>
      <c r="W105" s="317">
        <f t="shared" si="19"/>
        <v>0</v>
      </c>
      <c r="X105" s="317">
        <f t="shared" si="19"/>
        <v>0</v>
      </c>
      <c r="Y105" s="317">
        <f t="shared" si="19"/>
        <v>0</v>
      </c>
      <c r="Z105" s="317">
        <f t="shared" si="19"/>
        <v>0</v>
      </c>
      <c r="AA105" s="317">
        <f t="shared" si="19"/>
        <v>0</v>
      </c>
      <c r="AB105" s="317">
        <f t="shared" si="19"/>
        <v>0</v>
      </c>
      <c r="AC105" s="317">
        <f t="shared" si="18"/>
        <v>0</v>
      </c>
      <c r="AD105" s="317">
        <f t="shared" si="18"/>
        <v>0.39500000000000002</v>
      </c>
      <c r="AE105" s="317">
        <f t="shared" si="18"/>
        <v>0.999</v>
      </c>
      <c r="AF105" s="317">
        <f t="shared" si="18"/>
        <v>0.40433333333333338</v>
      </c>
      <c r="AG105" s="317">
        <f t="shared" si="14"/>
        <v>1.7983333333333336</v>
      </c>
      <c r="AH105" s="318">
        <v>0</v>
      </c>
      <c r="AI105" s="318">
        <v>0</v>
      </c>
      <c r="AJ105" s="318">
        <v>0</v>
      </c>
      <c r="AK105" s="318">
        <v>0</v>
      </c>
      <c r="AL105" s="318">
        <v>0</v>
      </c>
      <c r="AM105" s="318">
        <v>0</v>
      </c>
      <c r="AN105" s="318">
        <v>0</v>
      </c>
      <c r="AO105" s="318">
        <v>0</v>
      </c>
      <c r="AP105" s="318">
        <v>0</v>
      </c>
      <c r="AQ105" s="318">
        <v>0</v>
      </c>
      <c r="AR105" s="318">
        <v>0</v>
      </c>
      <c r="AS105" s="318">
        <v>1.97</v>
      </c>
      <c r="AT105" s="318">
        <v>0.98499999999999999</v>
      </c>
      <c r="AU105" s="317">
        <f t="shared" si="15"/>
        <v>2.9550000000000001</v>
      </c>
      <c r="AV105" s="319">
        <v>0</v>
      </c>
      <c r="AW105" s="319">
        <v>0</v>
      </c>
      <c r="AX105" s="319">
        <v>0</v>
      </c>
      <c r="AY105" s="319">
        <v>0</v>
      </c>
      <c r="AZ105" s="319">
        <v>0</v>
      </c>
      <c r="BA105" s="319">
        <v>0</v>
      </c>
      <c r="BB105" s="319">
        <v>0</v>
      </c>
      <c r="BC105" s="319">
        <v>0</v>
      </c>
      <c r="BD105" s="319">
        <v>0</v>
      </c>
      <c r="BE105" s="319">
        <v>0</v>
      </c>
      <c r="BF105" s="319">
        <v>0.69099999999999995</v>
      </c>
      <c r="BG105" s="319">
        <v>0.53300000000000003</v>
      </c>
      <c r="BH105" s="319">
        <v>0</v>
      </c>
      <c r="BI105" s="317">
        <f t="shared" si="16"/>
        <v>1.224</v>
      </c>
      <c r="BJ105" s="316">
        <v>0</v>
      </c>
      <c r="BK105" s="316">
        <v>0</v>
      </c>
      <c r="BL105" s="316">
        <v>0</v>
      </c>
      <c r="BM105" s="316">
        <v>0</v>
      </c>
      <c r="BN105" s="316">
        <v>0</v>
      </c>
      <c r="BO105" s="316">
        <v>0</v>
      </c>
      <c r="BP105" s="316">
        <v>0</v>
      </c>
      <c r="BQ105" s="316">
        <v>0</v>
      </c>
      <c r="BR105" s="316">
        <v>0</v>
      </c>
      <c r="BS105" s="316">
        <v>0</v>
      </c>
      <c r="BT105" s="316">
        <v>0.49399999999999999</v>
      </c>
      <c r="BU105" s="316">
        <v>0.49399999999999999</v>
      </c>
      <c r="BV105" s="316">
        <v>0.22800000000000001</v>
      </c>
      <c r="BW105" s="317">
        <f t="shared" si="17"/>
        <v>1.216</v>
      </c>
      <c r="BX105" s="40"/>
      <c r="BY105" s="40"/>
      <c r="BZ105" s="40"/>
      <c r="CA105" s="40"/>
      <c r="CB105" s="40"/>
      <c r="CC105" s="40"/>
      <c r="CD105" s="40"/>
      <c r="CE105" s="40"/>
      <c r="CF105" s="40"/>
      <c r="CG105" s="40"/>
      <c r="CH105" s="40"/>
      <c r="CI105" s="40"/>
      <c r="CJ105" s="40"/>
      <c r="CK105" s="40"/>
      <c r="CL105" s="40"/>
      <c r="CM105" s="40"/>
      <c r="CN105" s="40"/>
      <c r="CO105" s="40"/>
      <c r="CP105" s="40"/>
      <c r="CQ105" s="40"/>
      <c r="CR105" s="40"/>
      <c r="CS105" s="40"/>
      <c r="CT105" s="40"/>
      <c r="CU105" s="40"/>
      <c r="CV105" s="40"/>
      <c r="CW105" s="40"/>
      <c r="CX105" s="40"/>
      <c r="CY105" s="40"/>
      <c r="CZ105" s="40"/>
      <c r="DA105" s="40"/>
      <c r="DB105" s="40"/>
      <c r="DC105" s="40"/>
      <c r="DD105" s="40"/>
      <c r="DE105" s="40"/>
      <c r="DF105" s="40"/>
      <c r="DG105" s="40"/>
      <c r="DH105" s="40"/>
      <c r="DI105" s="40"/>
      <c r="DJ105" s="40"/>
      <c r="DK105" s="40"/>
      <c r="DL105" s="40"/>
      <c r="DM105" s="40"/>
      <c r="DN105" s="40"/>
      <c r="DO105" s="40"/>
      <c r="DP105" s="40"/>
      <c r="DQ105" s="40"/>
      <c r="DR105" s="40"/>
      <c r="DS105" s="40"/>
      <c r="DT105" s="40"/>
      <c r="DU105" s="40"/>
      <c r="DV105" s="40"/>
      <c r="DW105" s="40"/>
      <c r="DX105" s="40"/>
      <c r="DY105" s="40"/>
      <c r="DZ105" s="40"/>
      <c r="EA105" s="40"/>
      <c r="EB105" s="40"/>
      <c r="EC105" s="40"/>
      <c r="ED105" s="40"/>
      <c r="EE105" s="40"/>
      <c r="EF105" s="40"/>
      <c r="EG105" s="40"/>
      <c r="EH105" s="40"/>
      <c r="EI105" s="40"/>
      <c r="EJ105" s="40"/>
      <c r="EK105" s="40"/>
      <c r="EL105" s="40"/>
      <c r="EM105" s="40"/>
      <c r="EN105" s="40"/>
      <c r="EO105" s="40"/>
      <c r="EP105" s="40"/>
      <c r="EQ105" s="40"/>
      <c r="ER105" s="40"/>
      <c r="ES105" s="40"/>
      <c r="ET105" s="40"/>
      <c r="EU105" s="40"/>
      <c r="EV105" s="40"/>
      <c r="EW105" s="40"/>
      <c r="EX105" s="40"/>
      <c r="EY105" s="40"/>
      <c r="EZ105" s="40"/>
      <c r="FA105" s="40"/>
      <c r="FB105" s="40"/>
      <c r="FC105" s="40"/>
      <c r="FD105" s="40"/>
      <c r="FE105" s="40"/>
      <c r="FF105" s="40"/>
      <c r="FG105" s="40"/>
      <c r="FH105" s="40"/>
      <c r="FI105" s="40"/>
      <c r="FJ105" s="40"/>
      <c r="FK105" s="40"/>
      <c r="FL105" s="40"/>
      <c r="FM105" s="40"/>
      <c r="FN105" s="40"/>
      <c r="FO105" s="40"/>
      <c r="FP105" s="40"/>
      <c r="FQ105" s="40"/>
      <c r="FR105" s="40"/>
      <c r="FS105" s="40"/>
      <c r="FT105" s="40"/>
      <c r="FU105" s="40"/>
      <c r="FV105" s="40"/>
      <c r="FW105" s="40"/>
      <c r="FX105" s="40"/>
      <c r="FY105" s="40"/>
      <c r="FZ105" s="40"/>
      <c r="GA105" s="40"/>
      <c r="GB105" s="40"/>
      <c r="GC105" s="40"/>
      <c r="GD105" s="40"/>
      <c r="GE105" s="40"/>
      <c r="GF105" s="40"/>
      <c r="GG105" s="40"/>
      <c r="GH105" s="40"/>
      <c r="GI105" s="40"/>
      <c r="GJ105" s="40"/>
      <c r="GK105" s="40"/>
      <c r="GL105" s="40"/>
      <c r="GM105" s="40"/>
      <c r="GN105" s="40"/>
      <c r="GO105" s="40"/>
      <c r="GP105" s="40"/>
      <c r="GQ105" s="40"/>
      <c r="GR105" s="40"/>
      <c r="GS105" s="40"/>
      <c r="GT105" s="40"/>
      <c r="GU105" s="40"/>
      <c r="GV105" s="40"/>
      <c r="GW105" s="40"/>
      <c r="GX105" s="40"/>
      <c r="GY105" s="40"/>
      <c r="GZ105" s="40"/>
      <c r="HA105" s="40"/>
      <c r="HB105" s="40"/>
      <c r="HC105" s="40"/>
      <c r="HD105" s="40"/>
      <c r="HE105" s="40"/>
      <c r="HF105" s="40"/>
      <c r="HG105" s="40"/>
      <c r="HH105" s="40"/>
      <c r="HI105" s="40"/>
      <c r="HJ105" s="40"/>
      <c r="HK105" s="40"/>
      <c r="HL105" s="40"/>
      <c r="HM105" s="40"/>
      <c r="HN105" s="40"/>
      <c r="HO105" s="40"/>
      <c r="HP105" s="40"/>
      <c r="HQ105" s="40"/>
      <c r="HR105" s="40"/>
      <c r="HS105" s="40"/>
      <c r="HT105" s="40"/>
      <c r="HU105" s="40"/>
      <c r="HV105" s="40"/>
      <c r="HW105" s="40"/>
      <c r="HX105" s="40"/>
      <c r="HY105" s="40"/>
      <c r="HZ105" s="40"/>
      <c r="IA105" s="40"/>
      <c r="IB105" s="40"/>
      <c r="IC105" s="40"/>
      <c r="ID105" s="40"/>
      <c r="IE105" s="40"/>
      <c r="IF105" s="40"/>
      <c r="IG105" s="40"/>
      <c r="IH105" s="40"/>
      <c r="II105" s="40"/>
      <c r="IJ105" s="40"/>
      <c r="IK105" s="40"/>
      <c r="IL105" s="40"/>
      <c r="IM105" s="40"/>
      <c r="IN105" s="40"/>
      <c r="IO105" s="40"/>
      <c r="IP105" s="40"/>
      <c r="IQ105" s="40"/>
      <c r="IR105" s="40"/>
      <c r="IS105" s="40"/>
      <c r="IT105" s="40"/>
      <c r="IU105" s="40"/>
      <c r="IV105" s="40"/>
      <c r="IW105" s="40"/>
      <c r="IX105" s="40"/>
      <c r="IY105" s="40"/>
      <c r="IZ105" s="40"/>
      <c r="JA105" s="40"/>
      <c r="JB105" s="40"/>
      <c r="JC105" s="40"/>
      <c r="JD105" s="40"/>
      <c r="JE105" s="40"/>
      <c r="JF105" s="40"/>
      <c r="JG105" s="40"/>
      <c r="JH105" s="40"/>
      <c r="JI105" s="40"/>
      <c r="JJ105" s="40"/>
      <c r="JK105" s="40"/>
      <c r="JL105" s="40"/>
      <c r="JM105" s="40"/>
      <c r="JN105" s="40"/>
      <c r="JO105" s="40"/>
      <c r="JP105" s="40"/>
      <c r="JQ105" s="40"/>
      <c r="JR105" s="40"/>
      <c r="JS105" s="40"/>
      <c r="JT105" s="40"/>
      <c r="JU105" s="40"/>
      <c r="JV105" s="40"/>
      <c r="JW105" s="40"/>
      <c r="JX105" s="40"/>
      <c r="JY105" s="40"/>
      <c r="JZ105" s="40"/>
      <c r="KA105" s="40"/>
      <c r="KB105" s="40"/>
      <c r="KC105" s="40"/>
      <c r="KD105" s="40"/>
      <c r="KE105" s="40"/>
      <c r="KF105" s="40"/>
      <c r="KG105" s="40"/>
      <c r="KH105" s="40"/>
      <c r="KI105" s="40"/>
      <c r="KJ105" s="40"/>
      <c r="KK105" s="40"/>
      <c r="KL105" s="40"/>
      <c r="KM105" s="40"/>
      <c r="KN105" s="40"/>
      <c r="KO105" s="40"/>
      <c r="KP105" s="40"/>
      <c r="KQ105" s="40"/>
      <c r="KR105" s="40"/>
      <c r="KS105" s="40"/>
      <c r="KT105" s="40"/>
      <c r="KU105" s="40"/>
      <c r="KV105" s="40"/>
      <c r="KW105" s="40"/>
      <c r="KX105" s="40"/>
      <c r="KY105" s="40"/>
      <c r="KZ105" s="40"/>
      <c r="LA105" s="40"/>
      <c r="LB105" s="40"/>
      <c r="LC105" s="40"/>
      <c r="LD105" s="40"/>
      <c r="LE105" s="40"/>
      <c r="LF105" s="40"/>
      <c r="LG105" s="40"/>
      <c r="LH105" s="40"/>
      <c r="LI105" s="40"/>
      <c r="LJ105" s="40"/>
      <c r="LK105" s="40"/>
      <c r="LL105" s="40"/>
      <c r="LM105" s="40"/>
      <c r="LN105" s="40"/>
      <c r="LO105" s="40"/>
      <c r="LP105" s="40"/>
      <c r="LQ105" s="40"/>
      <c r="LR105" s="40"/>
      <c r="LS105" s="40"/>
      <c r="LT105" s="40"/>
      <c r="LU105" s="40"/>
      <c r="LV105" s="40"/>
      <c r="LW105" s="40"/>
      <c r="LX105" s="40"/>
      <c r="LY105" s="40"/>
      <c r="LZ105" s="40"/>
      <c r="MA105" s="40"/>
      <c r="MB105" s="40"/>
      <c r="MC105" s="40"/>
      <c r="MD105" s="40"/>
      <c r="ME105" s="40"/>
      <c r="MF105" s="40"/>
      <c r="MG105" s="40"/>
      <c r="MH105" s="40"/>
      <c r="MI105" s="40"/>
      <c r="MJ105" s="40"/>
      <c r="MK105" s="40"/>
      <c r="ML105" s="40"/>
      <c r="MM105" s="40"/>
      <c r="MN105" s="40"/>
      <c r="MO105" s="40"/>
      <c r="MP105" s="40"/>
      <c r="MQ105" s="40"/>
      <c r="MR105" s="40"/>
      <c r="MS105" s="40"/>
      <c r="MT105" s="40"/>
      <c r="MU105" s="40"/>
      <c r="MV105" s="40"/>
      <c r="MW105" s="40"/>
      <c r="MX105" s="40"/>
      <c r="MY105" s="40"/>
      <c r="MZ105" s="40"/>
      <c r="NA105" s="40"/>
      <c r="NB105" s="40"/>
      <c r="NC105" s="40"/>
      <c r="ND105" s="40"/>
      <c r="NE105" s="40"/>
      <c r="NF105" s="40"/>
      <c r="NG105" s="40"/>
      <c r="NH105" s="40"/>
      <c r="NI105" s="40"/>
      <c r="NJ105" s="40"/>
      <c r="NK105" s="40"/>
      <c r="NL105" s="40"/>
      <c r="NM105" s="40"/>
      <c r="NN105" s="40"/>
      <c r="NO105" s="40"/>
      <c r="NP105" s="40"/>
      <c r="NQ105" s="40"/>
      <c r="NR105" s="40"/>
      <c r="NS105" s="40"/>
      <c r="NT105" s="40"/>
      <c r="NU105" s="40"/>
      <c r="NV105" s="40"/>
      <c r="NW105" s="40"/>
      <c r="NX105" s="40"/>
      <c r="NY105" s="40"/>
      <c r="NZ105" s="40"/>
      <c r="OA105" s="40"/>
      <c r="OB105" s="40"/>
      <c r="OC105" s="40"/>
      <c r="OD105" s="40"/>
      <c r="OE105" s="40"/>
      <c r="OF105" s="40"/>
      <c r="OG105" s="40"/>
      <c r="OH105" s="40"/>
      <c r="OI105" s="40"/>
      <c r="OJ105" s="40"/>
      <c r="OK105" s="40"/>
      <c r="OL105" s="40"/>
      <c r="OM105" s="40"/>
      <c r="ON105" s="40"/>
      <c r="OO105" s="40"/>
      <c r="OP105" s="40"/>
      <c r="OQ105" s="40"/>
      <c r="OR105" s="40"/>
      <c r="OS105" s="40"/>
      <c r="OT105" s="40"/>
      <c r="OU105" s="40"/>
      <c r="OV105" s="40"/>
      <c r="OW105" s="40"/>
      <c r="OX105" s="40"/>
      <c r="OY105" s="40"/>
      <c r="OZ105" s="40"/>
      <c r="PA105" s="40"/>
      <c r="PB105" s="40"/>
      <c r="PC105" s="40"/>
      <c r="PD105" s="40"/>
      <c r="PE105" s="40"/>
      <c r="PF105" s="40"/>
      <c r="PG105" s="40"/>
      <c r="PH105" s="40"/>
      <c r="PI105" s="40"/>
      <c r="PJ105" s="40"/>
      <c r="PK105" s="40"/>
      <c r="PL105" s="40"/>
      <c r="PM105" s="40"/>
      <c r="PN105" s="40"/>
      <c r="PO105" s="40"/>
      <c r="PP105" s="40"/>
      <c r="PQ105" s="40"/>
      <c r="PR105" s="40"/>
      <c r="PS105" s="40"/>
      <c r="PT105" s="40"/>
      <c r="PU105" s="40"/>
      <c r="PV105" s="40"/>
      <c r="PW105" s="40"/>
      <c r="PX105" s="40"/>
      <c r="PY105" s="40"/>
      <c r="PZ105" s="40"/>
      <c r="QA105" s="40"/>
      <c r="QB105" s="40"/>
      <c r="QC105" s="40"/>
      <c r="QD105" s="40"/>
      <c r="QE105" s="40"/>
      <c r="QF105" s="40"/>
      <c r="QG105" s="40"/>
      <c r="QH105" s="40"/>
      <c r="QI105" s="40"/>
      <c r="QJ105" s="40"/>
      <c r="QK105" s="40"/>
      <c r="QL105" s="40"/>
      <c r="QM105" s="40"/>
      <c r="QN105" s="40"/>
      <c r="QO105" s="40"/>
      <c r="QP105" s="40"/>
      <c r="QQ105" s="40"/>
      <c r="QR105" s="40"/>
      <c r="QS105" s="40"/>
      <c r="QT105" s="40"/>
      <c r="QU105" s="40"/>
      <c r="QV105" s="40"/>
      <c r="QW105" s="40"/>
      <c r="QX105" s="40"/>
      <c r="QY105" s="40"/>
      <c r="QZ105" s="40"/>
      <c r="RA105" s="40"/>
      <c r="RB105" s="40"/>
      <c r="RC105" s="40"/>
      <c r="RD105" s="40"/>
      <c r="RE105" s="40"/>
      <c r="RF105" s="40"/>
      <c r="RG105" s="40"/>
      <c r="RH105" s="40"/>
      <c r="RI105" s="40"/>
      <c r="RJ105" s="40"/>
      <c r="RK105" s="40"/>
      <c r="RL105" s="40"/>
      <c r="RM105" s="40"/>
      <c r="RN105" s="40"/>
      <c r="RO105" s="40"/>
      <c r="RP105" s="40"/>
      <c r="RQ105" s="40"/>
      <c r="RR105" s="40"/>
      <c r="RS105" s="40"/>
      <c r="RT105" s="40"/>
      <c r="RU105" s="40"/>
      <c r="RV105" s="40"/>
      <c r="RW105" s="40"/>
      <c r="RX105" s="40"/>
      <c r="RY105" s="40"/>
      <c r="RZ105" s="40"/>
      <c r="SA105" s="40"/>
      <c r="SB105" s="40"/>
      <c r="SC105" s="40"/>
      <c r="SD105" s="40"/>
      <c r="SE105" s="40"/>
      <c r="SF105" s="40"/>
      <c r="SG105" s="40"/>
      <c r="SH105" s="40"/>
      <c r="SI105" s="40"/>
      <c r="SJ105" s="40"/>
      <c r="SK105" s="40"/>
      <c r="SL105" s="40"/>
      <c r="SM105" s="40"/>
      <c r="SN105" s="40"/>
      <c r="SO105" s="40"/>
      <c r="SP105" s="40"/>
      <c r="SQ105" s="40"/>
      <c r="SR105" s="40"/>
      <c r="SS105" s="40"/>
      <c r="ST105" s="40"/>
      <c r="SU105" s="40"/>
      <c r="SV105" s="40"/>
      <c r="SW105" s="40"/>
      <c r="SX105" s="40"/>
      <c r="SY105" s="40"/>
      <c r="SZ105" s="40"/>
      <c r="TA105" s="40"/>
      <c r="TB105" s="40"/>
      <c r="TC105" s="40"/>
      <c r="TD105" s="40"/>
      <c r="TE105" s="40"/>
      <c r="TF105" s="40"/>
      <c r="TG105" s="40"/>
      <c r="TH105" s="40"/>
      <c r="TI105" s="40"/>
      <c r="TJ105" s="40"/>
      <c r="TK105" s="40"/>
      <c r="TL105" s="40"/>
      <c r="TM105" s="40"/>
      <c r="TN105" s="40"/>
      <c r="TO105" s="40"/>
      <c r="TP105" s="40"/>
      <c r="TQ105" s="40"/>
      <c r="TR105" s="40"/>
      <c r="TS105" s="40"/>
      <c r="TT105" s="40"/>
      <c r="TU105" s="40"/>
      <c r="TV105" s="40"/>
      <c r="TW105" s="40"/>
      <c r="TX105" s="40"/>
      <c r="TY105" s="40"/>
      <c r="TZ105" s="40"/>
      <c r="UA105" s="40"/>
      <c r="UB105" s="40"/>
      <c r="UC105" s="40"/>
      <c r="UD105" s="40"/>
      <c r="UE105" s="40"/>
      <c r="UF105" s="40"/>
      <c r="UG105" s="40"/>
      <c r="UH105" s="40"/>
      <c r="UI105" s="40"/>
      <c r="UJ105" s="40"/>
      <c r="UK105" s="40"/>
      <c r="UL105" s="40"/>
      <c r="UM105" s="40"/>
      <c r="UN105" s="40"/>
      <c r="UO105" s="40"/>
      <c r="UP105" s="40"/>
      <c r="UQ105" s="40"/>
      <c r="UR105" s="40"/>
      <c r="US105" s="40"/>
      <c r="UT105" s="40"/>
      <c r="UU105" s="40"/>
      <c r="UV105" s="40"/>
      <c r="UW105" s="40"/>
      <c r="UX105" s="40"/>
      <c r="UY105" s="40"/>
      <c r="UZ105" s="40"/>
      <c r="VA105" s="40"/>
      <c r="VB105" s="40"/>
      <c r="VC105" s="40"/>
      <c r="VD105" s="40"/>
      <c r="VE105" s="40"/>
      <c r="VF105" s="40"/>
      <c r="VG105" s="40"/>
      <c r="VH105" s="40"/>
      <c r="VI105" s="40"/>
      <c r="VJ105" s="40"/>
      <c r="VK105" s="40"/>
      <c r="VL105" s="40"/>
      <c r="VM105" s="40"/>
      <c r="VN105" s="40"/>
      <c r="VO105" s="40"/>
      <c r="VP105" s="40"/>
      <c r="VQ105" s="40"/>
      <c r="VR105" s="40"/>
      <c r="VS105" s="40"/>
      <c r="VT105" s="40"/>
      <c r="VU105" s="40"/>
      <c r="VV105" s="40"/>
      <c r="VW105" s="40"/>
      <c r="VX105" s="40"/>
      <c r="VY105" s="40"/>
      <c r="VZ105" s="40"/>
      <c r="WA105" s="40"/>
      <c r="WB105" s="40"/>
      <c r="WC105" s="40"/>
      <c r="WD105" s="40"/>
      <c r="WE105" s="40"/>
      <c r="WF105" s="40"/>
      <c r="WG105" s="40"/>
      <c r="WH105" s="40"/>
      <c r="WI105" s="40"/>
      <c r="WJ105" s="40"/>
      <c r="WK105" s="40"/>
      <c r="WL105" s="40"/>
      <c r="WM105" s="40"/>
      <c r="WN105" s="40"/>
      <c r="WO105" s="40"/>
      <c r="WP105" s="40"/>
      <c r="WQ105" s="40"/>
      <c r="WR105" s="40"/>
      <c r="WS105" s="40"/>
      <c r="WT105" s="40"/>
      <c r="WU105" s="40"/>
      <c r="WV105" s="40"/>
      <c r="WW105" s="40"/>
      <c r="WX105" s="40"/>
      <c r="WY105" s="40"/>
      <c r="WZ105" s="40"/>
      <c r="XA105" s="40"/>
      <c r="XB105" s="40"/>
      <c r="XC105" s="40"/>
      <c r="XD105" s="40"/>
      <c r="XE105" s="40"/>
      <c r="XF105" s="40"/>
      <c r="XG105" s="40"/>
      <c r="XH105" s="40"/>
      <c r="XI105" s="40"/>
      <c r="XJ105" s="40"/>
      <c r="XK105" s="40"/>
      <c r="XL105" s="40"/>
      <c r="XM105" s="40"/>
      <c r="XN105" s="40"/>
      <c r="XO105" s="40"/>
      <c r="XP105" s="40"/>
      <c r="XQ105" s="40"/>
      <c r="XR105" s="40"/>
      <c r="XS105" s="40"/>
      <c r="XT105" s="40"/>
      <c r="XU105" s="40"/>
      <c r="XV105" s="40"/>
      <c r="XW105" s="40"/>
      <c r="XX105" s="40"/>
      <c r="XY105" s="40"/>
      <c r="XZ105" s="40"/>
      <c r="YA105" s="40"/>
      <c r="YB105" s="40"/>
      <c r="YC105" s="40"/>
      <c r="YD105" s="40"/>
      <c r="YE105" s="40"/>
      <c r="YF105" s="40"/>
      <c r="YG105" s="40"/>
      <c r="YH105" s="40"/>
      <c r="YI105" s="40"/>
      <c r="YJ105" s="40"/>
      <c r="YK105" s="40"/>
      <c r="YL105" s="40"/>
      <c r="YM105" s="40"/>
      <c r="YN105" s="40"/>
      <c r="YO105" s="40"/>
      <c r="YP105" s="40"/>
      <c r="YQ105" s="40"/>
      <c r="YR105" s="40"/>
      <c r="YS105" s="40"/>
      <c r="YT105" s="40"/>
      <c r="YU105" s="40"/>
      <c r="YV105" s="40"/>
      <c r="YW105" s="40"/>
      <c r="YX105" s="40"/>
      <c r="YY105" s="40"/>
      <c r="YZ105" s="40"/>
      <c r="ZA105" s="40"/>
      <c r="ZB105" s="40"/>
      <c r="ZC105" s="40"/>
      <c r="ZD105" s="40"/>
      <c r="ZE105" s="40"/>
      <c r="ZF105" s="40"/>
      <c r="ZG105" s="40"/>
      <c r="ZH105" s="40"/>
      <c r="ZI105" s="40"/>
      <c r="ZJ105" s="40"/>
      <c r="ZK105" s="40"/>
      <c r="ZL105" s="40"/>
      <c r="ZM105" s="40"/>
      <c r="ZN105" s="40"/>
      <c r="ZO105" s="40"/>
      <c r="ZP105" s="40"/>
      <c r="ZQ105" s="40"/>
      <c r="ZR105" s="40"/>
      <c r="ZS105" s="40"/>
      <c r="ZT105" s="40"/>
      <c r="ZU105" s="40"/>
      <c r="ZV105" s="40"/>
      <c r="ZW105" s="40"/>
      <c r="ZX105" s="40"/>
      <c r="ZY105" s="40"/>
      <c r="ZZ105" s="40"/>
      <c r="AAA105" s="40"/>
      <c r="AAB105" s="40"/>
      <c r="AAC105" s="40"/>
      <c r="AAD105" s="40"/>
      <c r="AAE105" s="40"/>
      <c r="AAF105" s="40"/>
      <c r="AAG105" s="40"/>
      <c r="AAH105" s="40"/>
      <c r="AAI105" s="40"/>
      <c r="AAJ105" s="40"/>
      <c r="AAK105" s="40"/>
      <c r="AAL105" s="40"/>
      <c r="AAM105" s="40"/>
      <c r="AAN105" s="40"/>
      <c r="AAO105" s="40"/>
      <c r="AAP105" s="40"/>
      <c r="AAQ105" s="40"/>
      <c r="AAR105" s="40"/>
      <c r="AAS105" s="40"/>
      <c r="AAT105" s="40"/>
      <c r="AAU105" s="40"/>
      <c r="AAV105" s="40"/>
      <c r="AAW105" s="40"/>
      <c r="AAX105" s="40"/>
      <c r="AAY105" s="40"/>
      <c r="AAZ105" s="40"/>
      <c r="ABA105" s="40"/>
      <c r="ABB105" s="40"/>
      <c r="ABC105" s="40"/>
      <c r="ABD105" s="40"/>
      <c r="ABE105" s="40"/>
      <c r="ABF105" s="40"/>
    </row>
    <row r="106" spans="1:734" x14ac:dyDescent="0.2">
      <c r="A106" s="20" t="str">
        <f>'School Level Inst. Resources'!A106</f>
        <v>0714000</v>
      </c>
      <c r="B106" s="20" t="str">
        <f>'School Level Inst. Resources'!B106</f>
        <v>Fremont #14</v>
      </c>
      <c r="C106" s="20" t="str">
        <f>'School Level Inst. Resources'!C106</f>
        <v>0714001</v>
      </c>
      <c r="D106" s="20" t="str">
        <f>'School Level Inst. Resources'!D106</f>
        <v>Wyoming Indian Elementary</v>
      </c>
      <c r="E106" s="138" t="str">
        <f>'School Level Inst. Resources'!E106</f>
        <v>P-5</v>
      </c>
      <c r="F106" s="317">
        <f>IF(AND($A$2=4,VLOOKUP($A106,'District Level ADM'!$A$5:$W$52,5,FALSE)="Prior Year"),AH106,IF(AND($A$2=4,VLOOKUP($A106,'District Level ADM'!$A$5:$W$52,5,FALSE)="3-Year Avg."),T106,IF($A$2=2,AH106,IF($A$2=3,T106,IF(($AG106&gt;$AU106),T106,AH106)))))</f>
        <v>53.41</v>
      </c>
      <c r="G106" s="317">
        <f>IF(AND($A$2=4,VLOOKUP($A106,'District Level ADM'!$A$5:$W$52,5,FALSE)="Prior Year"),AI106,IF(AND($A$2=4,VLOOKUP($A106,'District Level ADM'!$A$5:$W$52,5,FALSE)="3-Year Avg."),U106,IF($A$2=2,AI106,IF($A$2=3,U106,IF(($AG106&gt;$AU106),U106,AI106)))))</f>
        <v>50.534666666666659</v>
      </c>
      <c r="H106" s="317">
        <f>IF(AND($A$2=4,VLOOKUP($A106,'District Level ADM'!$A$5:$W$52,5,FALSE)="Prior Year"),AJ106,IF(AND($A$2=4,VLOOKUP($A106,'District Level ADM'!$A$5:$W$52,5,FALSE)="3-Year Avg."),V106,IF($A$2=2,AJ106,IF($A$2=3,V106,IF(($AG106&gt;$AU106),V106,AJ106)))))</f>
        <v>49.100333333333339</v>
      </c>
      <c r="I106" s="317">
        <f>IF(AND($A$2=4,VLOOKUP($A106,'District Level ADM'!$A$5:$W$52,5,FALSE)="Prior Year"),AK106,IF(AND($A$2=4,VLOOKUP($A106,'District Level ADM'!$A$5:$W$52,5,FALSE)="3-Year Avg."),W106,IF($A$2=2,AK106,IF($A$2=3,W106,IF(($AG106&gt;$AU106),W106,AK106)))))</f>
        <v>52.167999999999999</v>
      </c>
      <c r="J106" s="317">
        <f>IF(AND($A$2=4,VLOOKUP($A106,'District Level ADM'!$A$5:$W$52,5,FALSE)="Prior Year"),AL106,IF(AND($A$2=4,VLOOKUP($A106,'District Level ADM'!$A$5:$W$52,5,FALSE)="3-Year Avg."),X106,IF($A$2=2,AL106,IF($A$2=3,X106,IF(($AG106&gt;$AU106),X106,AL106)))))</f>
        <v>57.635666666666673</v>
      </c>
      <c r="K106" s="317">
        <f>IF(AND($A$2=4,VLOOKUP($A106,'District Level ADM'!$A$5:$W$52,5,FALSE)="Prior Year"),AM106,IF(AND($A$2=4,VLOOKUP($A106,'District Level ADM'!$A$5:$W$52,5,FALSE)="3-Year Avg."),Y106,IF($A$2=2,AM106,IF($A$2=3,Y106,IF(($AG106&gt;$AU106),Y106,AM106)))))</f>
        <v>51.723666666666666</v>
      </c>
      <c r="L106" s="317">
        <f>IF(AND($A$2=4,VLOOKUP($A106,'District Level ADM'!$A$5:$W$52,5,FALSE)="Prior Year"),AN106,IF(AND($A$2=4,VLOOKUP($A106,'District Level ADM'!$A$5:$W$52,5,FALSE)="3-Year Avg."),Z106,IF($A$2=2,AN106,IF($A$2=3,Z106,IF(($AG106&gt;$AU106),Z106,AN106)))))</f>
        <v>0</v>
      </c>
      <c r="M106" s="317">
        <f>IF(AND($A$2=4,VLOOKUP($A106,'District Level ADM'!$A$5:$W$52,5,FALSE)="Prior Year"),AO106,IF(AND($A$2=4,VLOOKUP($A106,'District Level ADM'!$A$5:$W$52,5,FALSE)="3-Year Avg."),AA106,IF($A$2=2,AO106,IF($A$2=3,AA106,IF(($AG106&gt;$AU106),AA106,AO106)))))</f>
        <v>0</v>
      </c>
      <c r="N106" s="317">
        <f>IF(AND($A$2=4,VLOOKUP($A106,'District Level ADM'!$A$5:$W$52,5,FALSE)="Prior Year"),AP106,IF(AND($A$2=4,VLOOKUP($A106,'District Level ADM'!$A$5:$W$52,5,FALSE)="3-Year Avg."),AB106,IF($A$2=2,AP106,IF($A$2=3,AB106,IF(($AG106&gt;$AU106),AB106,AP106)))))</f>
        <v>0</v>
      </c>
      <c r="O106" s="317">
        <f>IF(AND($A$2=4,VLOOKUP($A106,'District Level ADM'!$A$5:$W$52,5,FALSE)="Prior Year"),AQ106,IF(AND($A$2=4,VLOOKUP($A106,'District Level ADM'!$A$5:$W$52,5,FALSE)="3-Year Avg."),AC106,IF($A$2=2,AQ106,IF($A$2=3,AC106,IF(($AG106&gt;$AU106),AC106,AQ106)))))</f>
        <v>0</v>
      </c>
      <c r="P106" s="317">
        <f>IF(AND($A$2=4,VLOOKUP($A106,'District Level ADM'!$A$5:$W$52,5,FALSE)="Prior Year"),AR106,IF(AND($A$2=4,VLOOKUP($A106,'District Level ADM'!$A$5:$W$52,5,FALSE)="3-Year Avg."),AD106,IF($A$2=2,AR106,IF($A$2=3,AD106,IF(($AG106&gt;$AU106),AD106,AR106)))))</f>
        <v>0</v>
      </c>
      <c r="Q106" s="317">
        <f>IF(AND($A$2=4,VLOOKUP($A106,'District Level ADM'!$A$5:$W$52,5,FALSE)="Prior Year"),AS106,IF(AND($A$2=4,VLOOKUP($A106,'District Level ADM'!$A$5:$W$52,5,FALSE)="3-Year Avg."),AE106,IF($A$2=2,AS106,IF($A$2=3,AE106,IF(($AG106&gt;$AU106),AE106,AS106)))))</f>
        <v>0</v>
      </c>
      <c r="R106" s="317">
        <f>IF(AND($A$2=4,VLOOKUP($A106,'District Level ADM'!$A$5:$W$52,5,FALSE)="Prior Year"),AT106,IF(AND($A$2=4,VLOOKUP($A106,'District Level ADM'!$A$5:$W$52,5,FALSE)="3-Year Avg."),AF106,IF($A$2=2,AT106,IF($A$2=3,AF106,IF(($AG106&gt;$AU106),AF106,AT106)))))</f>
        <v>0</v>
      </c>
      <c r="S106" s="317">
        <f t="shared" si="13"/>
        <v>314.57233333333329</v>
      </c>
      <c r="T106" s="317">
        <f t="shared" si="20"/>
        <v>53.41</v>
      </c>
      <c r="U106" s="317">
        <f t="shared" si="20"/>
        <v>50.534666666666659</v>
      </c>
      <c r="V106" s="317">
        <f t="shared" si="20"/>
        <v>49.100333333333339</v>
      </c>
      <c r="W106" s="317">
        <f t="shared" si="19"/>
        <v>52.167999999999999</v>
      </c>
      <c r="X106" s="317">
        <f t="shared" si="19"/>
        <v>57.635666666666673</v>
      </c>
      <c r="Y106" s="317">
        <f t="shared" si="19"/>
        <v>51.723666666666666</v>
      </c>
      <c r="Z106" s="317">
        <f t="shared" si="19"/>
        <v>0</v>
      </c>
      <c r="AA106" s="317">
        <f t="shared" si="19"/>
        <v>0</v>
      </c>
      <c r="AB106" s="317">
        <f t="shared" si="19"/>
        <v>0</v>
      </c>
      <c r="AC106" s="317">
        <f t="shared" si="18"/>
        <v>0</v>
      </c>
      <c r="AD106" s="317">
        <f t="shared" si="18"/>
        <v>0</v>
      </c>
      <c r="AE106" s="317">
        <f t="shared" si="18"/>
        <v>0</v>
      </c>
      <c r="AF106" s="317">
        <f t="shared" si="18"/>
        <v>0</v>
      </c>
      <c r="AG106" s="317">
        <f t="shared" si="14"/>
        <v>314.57233333333329</v>
      </c>
      <c r="AH106" s="318">
        <v>53.19</v>
      </c>
      <c r="AI106" s="318">
        <v>49.25</v>
      </c>
      <c r="AJ106" s="318">
        <v>46.295000000000002</v>
      </c>
      <c r="AK106" s="318">
        <v>45.31</v>
      </c>
      <c r="AL106" s="318">
        <v>62.055</v>
      </c>
      <c r="AM106" s="318">
        <v>47.28</v>
      </c>
      <c r="AN106" s="318">
        <v>0</v>
      </c>
      <c r="AO106" s="318">
        <v>0</v>
      </c>
      <c r="AP106" s="318">
        <v>0</v>
      </c>
      <c r="AQ106" s="318">
        <v>0</v>
      </c>
      <c r="AR106" s="318">
        <v>0</v>
      </c>
      <c r="AS106" s="318">
        <v>0</v>
      </c>
      <c r="AT106" s="318">
        <v>0</v>
      </c>
      <c r="AU106" s="317">
        <f t="shared" si="15"/>
        <v>303.38</v>
      </c>
      <c r="AV106" s="319">
        <v>53.457000000000001</v>
      </c>
      <c r="AW106" s="319">
        <v>48.850999999999999</v>
      </c>
      <c r="AX106" s="319">
        <v>47.896999999999998</v>
      </c>
      <c r="AY106" s="319">
        <v>59.073999999999998</v>
      </c>
      <c r="AZ106" s="319">
        <v>52.389000000000003</v>
      </c>
      <c r="BA106" s="319">
        <v>60.12</v>
      </c>
      <c r="BB106" s="319">
        <v>0</v>
      </c>
      <c r="BC106" s="319">
        <v>0</v>
      </c>
      <c r="BD106" s="319">
        <v>0</v>
      </c>
      <c r="BE106" s="319">
        <v>0</v>
      </c>
      <c r="BF106" s="319">
        <v>0</v>
      </c>
      <c r="BG106" s="319">
        <v>0</v>
      </c>
      <c r="BH106" s="319">
        <v>0</v>
      </c>
      <c r="BI106" s="317">
        <f t="shared" si="16"/>
        <v>321.78800000000001</v>
      </c>
      <c r="BJ106" s="316">
        <v>53.582999999999998</v>
      </c>
      <c r="BK106" s="316">
        <v>53.503</v>
      </c>
      <c r="BL106" s="316">
        <v>53.109000000000002</v>
      </c>
      <c r="BM106" s="316">
        <v>52.12</v>
      </c>
      <c r="BN106" s="316">
        <v>58.463000000000001</v>
      </c>
      <c r="BO106" s="316">
        <v>47.771000000000001</v>
      </c>
      <c r="BP106" s="316">
        <v>0</v>
      </c>
      <c r="BQ106" s="316">
        <v>0</v>
      </c>
      <c r="BR106" s="316">
        <v>0</v>
      </c>
      <c r="BS106" s="316">
        <v>0</v>
      </c>
      <c r="BT106" s="316">
        <v>0</v>
      </c>
      <c r="BU106" s="316">
        <v>0</v>
      </c>
      <c r="BV106" s="316">
        <v>0</v>
      </c>
      <c r="BW106" s="317">
        <f t="shared" si="17"/>
        <v>318.54900000000004</v>
      </c>
    </row>
    <row r="107" spans="1:734" x14ac:dyDescent="0.2">
      <c r="A107" s="20" t="str">
        <f>'School Level Inst. Resources'!A107</f>
        <v>0714000</v>
      </c>
      <c r="B107" s="20" t="str">
        <f>'School Level Inst. Resources'!B107</f>
        <v>Fremont #14</v>
      </c>
      <c r="C107" s="20" t="str">
        <f>'School Level Inst. Resources'!C107</f>
        <v>0714050</v>
      </c>
      <c r="D107" s="20" t="str">
        <f>'School Level Inst. Resources'!D107</f>
        <v>Wyoming Indian Middle School</v>
      </c>
      <c r="E107" s="138" t="str">
        <f>'School Level Inst. Resources'!E107</f>
        <v>6-8</v>
      </c>
      <c r="F107" s="317">
        <f>IF(AND($A$2=4,VLOOKUP($A107,'District Level ADM'!$A$5:$W$52,5,FALSE)="Prior Year"),AH107,IF(AND($A$2=4,VLOOKUP($A107,'District Level ADM'!$A$5:$W$52,5,FALSE)="3-Year Avg."),T107,IF($A$2=2,AH107,IF($A$2=3,T107,IF(($AG107&gt;$AU107),T107,AH107)))))</f>
        <v>0</v>
      </c>
      <c r="G107" s="317">
        <f>IF(AND($A$2=4,VLOOKUP($A107,'District Level ADM'!$A$5:$W$52,5,FALSE)="Prior Year"),AI107,IF(AND($A$2=4,VLOOKUP($A107,'District Level ADM'!$A$5:$W$52,5,FALSE)="3-Year Avg."),U107,IF($A$2=2,AI107,IF($A$2=3,U107,IF(($AG107&gt;$AU107),U107,AI107)))))</f>
        <v>0</v>
      </c>
      <c r="H107" s="317">
        <f>IF(AND($A$2=4,VLOOKUP($A107,'District Level ADM'!$A$5:$W$52,5,FALSE)="Prior Year"),AJ107,IF(AND($A$2=4,VLOOKUP($A107,'District Level ADM'!$A$5:$W$52,5,FALSE)="3-Year Avg."),V107,IF($A$2=2,AJ107,IF($A$2=3,V107,IF(($AG107&gt;$AU107),V107,AJ107)))))</f>
        <v>0</v>
      </c>
      <c r="I107" s="317">
        <f>IF(AND($A$2=4,VLOOKUP($A107,'District Level ADM'!$A$5:$W$52,5,FALSE)="Prior Year"),AK107,IF(AND($A$2=4,VLOOKUP($A107,'District Level ADM'!$A$5:$W$52,5,FALSE)="3-Year Avg."),W107,IF($A$2=2,AK107,IF($A$2=3,W107,IF(($AG107&gt;$AU107),W107,AK107)))))</f>
        <v>0</v>
      </c>
      <c r="J107" s="317">
        <f>IF(AND($A$2=4,VLOOKUP($A107,'District Level ADM'!$A$5:$W$52,5,FALSE)="Prior Year"),AL107,IF(AND($A$2=4,VLOOKUP($A107,'District Level ADM'!$A$5:$W$52,5,FALSE)="3-Year Avg."),X107,IF($A$2=2,AL107,IF($A$2=3,X107,IF(($AG107&gt;$AU107),X107,AL107)))))</f>
        <v>0</v>
      </c>
      <c r="K107" s="317">
        <f>IF(AND($A$2=4,VLOOKUP($A107,'District Level ADM'!$A$5:$W$52,5,FALSE)="Prior Year"),AM107,IF(AND($A$2=4,VLOOKUP($A107,'District Level ADM'!$A$5:$W$52,5,FALSE)="3-Year Avg."),Y107,IF($A$2=2,AM107,IF($A$2=3,Y107,IF(($AG107&gt;$AU107),Y107,AM107)))))</f>
        <v>0</v>
      </c>
      <c r="L107" s="317">
        <f>IF(AND($A$2=4,VLOOKUP($A107,'District Level ADM'!$A$5:$W$52,5,FALSE)="Prior Year"),AN107,IF(AND($A$2=4,VLOOKUP($A107,'District Level ADM'!$A$5:$W$52,5,FALSE)="3-Year Avg."),Z107,IF($A$2=2,AN107,IF($A$2=3,Z107,IF(($AG107&gt;$AU107),Z107,AN107)))))</f>
        <v>52.44233333333333</v>
      </c>
      <c r="M107" s="317">
        <f>IF(AND($A$2=4,VLOOKUP($A107,'District Level ADM'!$A$5:$W$52,5,FALSE)="Prior Year"),AO107,IF(AND($A$2=4,VLOOKUP($A107,'District Level ADM'!$A$5:$W$52,5,FALSE)="3-Year Avg."),AA107,IF($A$2=2,AO107,IF($A$2=3,AA107,IF(($AG107&gt;$AU107),AA107,AO107)))))</f>
        <v>48.018333333333338</v>
      </c>
      <c r="N107" s="317">
        <f>IF(AND($A$2=4,VLOOKUP($A107,'District Level ADM'!$A$5:$W$52,5,FALSE)="Prior Year"),AP107,IF(AND($A$2=4,VLOOKUP($A107,'District Level ADM'!$A$5:$W$52,5,FALSE)="3-Year Avg."),AB107,IF($A$2=2,AP107,IF($A$2=3,AB107,IF(($AG107&gt;$AU107),AB107,AP107)))))</f>
        <v>49.871999999999993</v>
      </c>
      <c r="O107" s="317">
        <f>IF(AND($A$2=4,VLOOKUP($A107,'District Level ADM'!$A$5:$W$52,5,FALSE)="Prior Year"),AQ107,IF(AND($A$2=4,VLOOKUP($A107,'District Level ADM'!$A$5:$W$52,5,FALSE)="3-Year Avg."),AC107,IF($A$2=2,AQ107,IF($A$2=3,AC107,IF(($AG107&gt;$AU107),AC107,AQ107)))))</f>
        <v>0</v>
      </c>
      <c r="P107" s="317">
        <f>IF(AND($A$2=4,VLOOKUP($A107,'District Level ADM'!$A$5:$W$52,5,FALSE)="Prior Year"),AR107,IF(AND($A$2=4,VLOOKUP($A107,'District Level ADM'!$A$5:$W$52,5,FALSE)="3-Year Avg."),AD107,IF($A$2=2,AR107,IF($A$2=3,AD107,IF(($AG107&gt;$AU107),AD107,AR107)))))</f>
        <v>0</v>
      </c>
      <c r="Q107" s="317">
        <f>IF(AND($A$2=4,VLOOKUP($A107,'District Level ADM'!$A$5:$W$52,5,FALSE)="Prior Year"),AS107,IF(AND($A$2=4,VLOOKUP($A107,'District Level ADM'!$A$5:$W$52,5,FALSE)="3-Year Avg."),AE107,IF($A$2=2,AS107,IF($A$2=3,AE107,IF(($AG107&gt;$AU107),AE107,AS107)))))</f>
        <v>0</v>
      </c>
      <c r="R107" s="317">
        <f>IF(AND($A$2=4,VLOOKUP($A107,'District Level ADM'!$A$5:$W$52,5,FALSE)="Prior Year"),AT107,IF(AND($A$2=4,VLOOKUP($A107,'District Level ADM'!$A$5:$W$52,5,FALSE)="3-Year Avg."),AF107,IF($A$2=2,AT107,IF($A$2=3,AF107,IF(($AG107&gt;$AU107),AF107,AT107)))))</f>
        <v>0</v>
      </c>
      <c r="S107" s="317">
        <f t="shared" si="13"/>
        <v>150.33266666666665</v>
      </c>
      <c r="T107" s="317">
        <f t="shared" si="20"/>
        <v>0</v>
      </c>
      <c r="U107" s="317">
        <f t="shared" si="20"/>
        <v>0</v>
      </c>
      <c r="V107" s="317">
        <f t="shared" si="20"/>
        <v>0</v>
      </c>
      <c r="W107" s="317">
        <f t="shared" si="19"/>
        <v>0</v>
      </c>
      <c r="X107" s="317">
        <f t="shared" si="19"/>
        <v>0</v>
      </c>
      <c r="Y107" s="317">
        <f t="shared" si="19"/>
        <v>0</v>
      </c>
      <c r="Z107" s="317">
        <f t="shared" si="19"/>
        <v>52.44233333333333</v>
      </c>
      <c r="AA107" s="317">
        <f t="shared" si="19"/>
        <v>48.018333333333338</v>
      </c>
      <c r="AB107" s="317">
        <f t="shared" si="19"/>
        <v>49.871999999999993</v>
      </c>
      <c r="AC107" s="317">
        <f t="shared" si="18"/>
        <v>0</v>
      </c>
      <c r="AD107" s="317">
        <f t="shared" si="18"/>
        <v>0</v>
      </c>
      <c r="AE107" s="317">
        <f t="shared" si="18"/>
        <v>0</v>
      </c>
      <c r="AF107" s="317">
        <f t="shared" si="18"/>
        <v>0</v>
      </c>
      <c r="AG107" s="317">
        <f t="shared" si="14"/>
        <v>150.33266666666665</v>
      </c>
      <c r="AH107" s="318">
        <v>0</v>
      </c>
      <c r="AI107" s="318">
        <v>0</v>
      </c>
      <c r="AJ107" s="318">
        <v>0</v>
      </c>
      <c r="AK107" s="318">
        <v>0</v>
      </c>
      <c r="AL107" s="318">
        <v>0</v>
      </c>
      <c r="AM107" s="318">
        <v>0</v>
      </c>
      <c r="AN107" s="318">
        <v>53.19</v>
      </c>
      <c r="AO107" s="318">
        <v>51.22</v>
      </c>
      <c r="AP107" s="318">
        <v>52.204999999999998</v>
      </c>
      <c r="AQ107" s="318">
        <v>0</v>
      </c>
      <c r="AR107" s="318">
        <v>0</v>
      </c>
      <c r="AS107" s="318">
        <v>0</v>
      </c>
      <c r="AT107" s="318">
        <v>0</v>
      </c>
      <c r="AU107" s="317">
        <f t="shared" si="15"/>
        <v>156.61500000000001</v>
      </c>
      <c r="AV107" s="319">
        <v>0</v>
      </c>
      <c r="AW107" s="319">
        <v>0</v>
      </c>
      <c r="AX107" s="319">
        <v>0</v>
      </c>
      <c r="AY107" s="319">
        <v>0</v>
      </c>
      <c r="AZ107" s="319">
        <v>0</v>
      </c>
      <c r="BA107" s="319">
        <v>0</v>
      </c>
      <c r="BB107" s="319">
        <v>53.143000000000001</v>
      </c>
      <c r="BC107" s="319">
        <v>51.765999999999998</v>
      </c>
      <c r="BD107" s="319">
        <v>40.491</v>
      </c>
      <c r="BE107" s="319">
        <v>0</v>
      </c>
      <c r="BF107" s="319">
        <v>0</v>
      </c>
      <c r="BG107" s="319">
        <v>0</v>
      </c>
      <c r="BH107" s="319">
        <v>0</v>
      </c>
      <c r="BI107" s="317">
        <f t="shared" si="16"/>
        <v>145.39999999999998</v>
      </c>
      <c r="BJ107" s="316">
        <v>0</v>
      </c>
      <c r="BK107" s="316">
        <v>0</v>
      </c>
      <c r="BL107" s="316">
        <v>0</v>
      </c>
      <c r="BM107" s="316">
        <v>0</v>
      </c>
      <c r="BN107" s="316">
        <v>0</v>
      </c>
      <c r="BO107" s="316">
        <v>0</v>
      </c>
      <c r="BP107" s="316">
        <v>50.994</v>
      </c>
      <c r="BQ107" s="316">
        <v>41.069000000000003</v>
      </c>
      <c r="BR107" s="316">
        <v>56.92</v>
      </c>
      <c r="BS107" s="316">
        <v>0</v>
      </c>
      <c r="BT107" s="316">
        <v>0</v>
      </c>
      <c r="BU107" s="316">
        <v>0</v>
      </c>
      <c r="BV107" s="316">
        <v>0</v>
      </c>
      <c r="BW107" s="317">
        <f t="shared" si="17"/>
        <v>148.983</v>
      </c>
    </row>
    <row r="108" spans="1:734" x14ac:dyDescent="0.2">
      <c r="A108" s="20" t="str">
        <f>'School Level Inst. Resources'!A108</f>
        <v>0714000</v>
      </c>
      <c r="B108" s="20" t="str">
        <f>'School Level Inst. Resources'!B108</f>
        <v>Fremont #14</v>
      </c>
      <c r="C108" s="20" t="str">
        <f>'School Level Inst. Resources'!C108</f>
        <v>0714055</v>
      </c>
      <c r="D108" s="20" t="str">
        <f>'School Level Inst. Resources'!D108</f>
        <v>Wyoming Indian High School</v>
      </c>
      <c r="E108" s="138" t="str">
        <f>'School Level Inst. Resources'!E108</f>
        <v>9-12</v>
      </c>
      <c r="F108" s="317">
        <f>IF(AND($A$2=4,VLOOKUP($A108,'District Level ADM'!$A$5:$W$52,5,FALSE)="Prior Year"),AH108,IF(AND($A$2=4,VLOOKUP($A108,'District Level ADM'!$A$5:$W$52,5,FALSE)="3-Year Avg."),T108,IF($A$2=2,AH108,IF($A$2=3,T108,IF(($AG108&gt;$AU108),T108,AH108)))))</f>
        <v>0</v>
      </c>
      <c r="G108" s="317">
        <f>IF(AND($A$2=4,VLOOKUP($A108,'District Level ADM'!$A$5:$W$52,5,FALSE)="Prior Year"),AI108,IF(AND($A$2=4,VLOOKUP($A108,'District Level ADM'!$A$5:$W$52,5,FALSE)="3-Year Avg."),U108,IF($A$2=2,AI108,IF($A$2=3,U108,IF(($AG108&gt;$AU108),U108,AI108)))))</f>
        <v>0</v>
      </c>
      <c r="H108" s="317">
        <f>IF(AND($A$2=4,VLOOKUP($A108,'District Level ADM'!$A$5:$W$52,5,FALSE)="Prior Year"),AJ108,IF(AND($A$2=4,VLOOKUP($A108,'District Level ADM'!$A$5:$W$52,5,FALSE)="3-Year Avg."),V108,IF($A$2=2,AJ108,IF($A$2=3,V108,IF(($AG108&gt;$AU108),V108,AJ108)))))</f>
        <v>0</v>
      </c>
      <c r="I108" s="317">
        <f>IF(AND($A$2=4,VLOOKUP($A108,'District Level ADM'!$A$5:$W$52,5,FALSE)="Prior Year"),AK108,IF(AND($A$2=4,VLOOKUP($A108,'District Level ADM'!$A$5:$W$52,5,FALSE)="3-Year Avg."),W108,IF($A$2=2,AK108,IF($A$2=3,W108,IF(($AG108&gt;$AU108),W108,AK108)))))</f>
        <v>0</v>
      </c>
      <c r="J108" s="317">
        <f>IF(AND($A$2=4,VLOOKUP($A108,'District Level ADM'!$A$5:$W$52,5,FALSE)="Prior Year"),AL108,IF(AND($A$2=4,VLOOKUP($A108,'District Level ADM'!$A$5:$W$52,5,FALSE)="3-Year Avg."),X108,IF($A$2=2,AL108,IF($A$2=3,X108,IF(($AG108&gt;$AU108),X108,AL108)))))</f>
        <v>0</v>
      </c>
      <c r="K108" s="317">
        <f>IF(AND($A$2=4,VLOOKUP($A108,'District Level ADM'!$A$5:$W$52,5,FALSE)="Prior Year"),AM108,IF(AND($A$2=4,VLOOKUP($A108,'District Level ADM'!$A$5:$W$52,5,FALSE)="3-Year Avg."),Y108,IF($A$2=2,AM108,IF($A$2=3,Y108,IF(($AG108&gt;$AU108),Y108,AM108)))))</f>
        <v>0</v>
      </c>
      <c r="L108" s="317">
        <f>IF(AND($A$2=4,VLOOKUP($A108,'District Level ADM'!$A$5:$W$52,5,FALSE)="Prior Year"),AN108,IF(AND($A$2=4,VLOOKUP($A108,'District Level ADM'!$A$5:$W$52,5,FALSE)="3-Year Avg."),Z108,IF($A$2=2,AN108,IF($A$2=3,Z108,IF(($AG108&gt;$AU108),Z108,AN108)))))</f>
        <v>0</v>
      </c>
      <c r="M108" s="317">
        <f>IF(AND($A$2=4,VLOOKUP($A108,'District Level ADM'!$A$5:$W$52,5,FALSE)="Prior Year"),AO108,IF(AND($A$2=4,VLOOKUP($A108,'District Level ADM'!$A$5:$W$52,5,FALSE)="3-Year Avg."),AA108,IF($A$2=2,AO108,IF($A$2=3,AA108,IF(($AG108&gt;$AU108),AA108,AO108)))))</f>
        <v>0</v>
      </c>
      <c r="N108" s="317">
        <f>IF(AND($A$2=4,VLOOKUP($A108,'District Level ADM'!$A$5:$W$52,5,FALSE)="Prior Year"),AP108,IF(AND($A$2=4,VLOOKUP($A108,'District Level ADM'!$A$5:$W$52,5,FALSE)="3-Year Avg."),AB108,IF($A$2=2,AP108,IF($A$2=3,AB108,IF(($AG108&gt;$AU108),AB108,AP108)))))</f>
        <v>0</v>
      </c>
      <c r="O108" s="317">
        <f>IF(AND($A$2=4,VLOOKUP($A108,'District Level ADM'!$A$5:$W$52,5,FALSE)="Prior Year"),AQ108,IF(AND($A$2=4,VLOOKUP($A108,'District Level ADM'!$A$5:$W$52,5,FALSE)="3-Year Avg."),AC108,IF($A$2=2,AQ108,IF($A$2=3,AC108,IF(($AG108&gt;$AU108),AC108,AQ108)))))</f>
        <v>58.56066666666667</v>
      </c>
      <c r="P108" s="317">
        <f>IF(AND($A$2=4,VLOOKUP($A108,'District Level ADM'!$A$5:$W$52,5,FALSE)="Prior Year"),AR108,IF(AND($A$2=4,VLOOKUP($A108,'District Level ADM'!$A$5:$W$52,5,FALSE)="3-Year Avg."),AD108,IF($A$2=2,AR108,IF($A$2=3,AD108,IF(($AG108&gt;$AU108),AD108,AR108)))))</f>
        <v>37.511666666666663</v>
      </c>
      <c r="Q108" s="317">
        <f>IF(AND($A$2=4,VLOOKUP($A108,'District Level ADM'!$A$5:$W$52,5,FALSE)="Prior Year"),AS108,IF(AND($A$2=4,VLOOKUP($A108,'District Level ADM'!$A$5:$W$52,5,FALSE)="3-Year Avg."),AE108,IF($A$2=2,AS108,IF($A$2=3,AE108,IF(($AG108&gt;$AU108),AE108,AS108)))))</f>
        <v>29.615666666666669</v>
      </c>
      <c r="R108" s="317">
        <f>IF(AND($A$2=4,VLOOKUP($A108,'District Level ADM'!$A$5:$W$52,5,FALSE)="Prior Year"),AT108,IF(AND($A$2=4,VLOOKUP($A108,'District Level ADM'!$A$5:$W$52,5,FALSE)="3-Year Avg."),AF108,IF($A$2=2,AT108,IF($A$2=3,AF108,IF(($AG108&gt;$AU108),AF108,AT108)))))</f>
        <v>26.748333333333335</v>
      </c>
      <c r="S108" s="317">
        <f t="shared" si="13"/>
        <v>152.43633333333332</v>
      </c>
      <c r="T108" s="317">
        <f t="shared" si="20"/>
        <v>0</v>
      </c>
      <c r="U108" s="317">
        <f t="shared" si="20"/>
        <v>0</v>
      </c>
      <c r="V108" s="317">
        <f t="shared" si="20"/>
        <v>0</v>
      </c>
      <c r="W108" s="317">
        <f t="shared" si="19"/>
        <v>0</v>
      </c>
      <c r="X108" s="317">
        <f t="shared" si="19"/>
        <v>0</v>
      </c>
      <c r="Y108" s="317">
        <f t="shared" si="19"/>
        <v>0</v>
      </c>
      <c r="Z108" s="317">
        <f t="shared" si="19"/>
        <v>0</v>
      </c>
      <c r="AA108" s="317">
        <f t="shared" si="19"/>
        <v>0</v>
      </c>
      <c r="AB108" s="317">
        <f t="shared" si="19"/>
        <v>0</v>
      </c>
      <c r="AC108" s="317">
        <f t="shared" si="18"/>
        <v>58.56066666666667</v>
      </c>
      <c r="AD108" s="317">
        <f t="shared" si="18"/>
        <v>37.511666666666663</v>
      </c>
      <c r="AE108" s="317">
        <f t="shared" si="18"/>
        <v>29.615666666666669</v>
      </c>
      <c r="AF108" s="317">
        <f t="shared" si="18"/>
        <v>26.748333333333335</v>
      </c>
      <c r="AG108" s="317">
        <f t="shared" si="14"/>
        <v>152.43633333333332</v>
      </c>
      <c r="AH108" s="318">
        <v>0</v>
      </c>
      <c r="AI108" s="318">
        <v>0</v>
      </c>
      <c r="AJ108" s="318">
        <v>0</v>
      </c>
      <c r="AK108" s="318">
        <v>0</v>
      </c>
      <c r="AL108" s="318">
        <v>0</v>
      </c>
      <c r="AM108" s="318">
        <v>0</v>
      </c>
      <c r="AN108" s="318">
        <v>0</v>
      </c>
      <c r="AO108" s="318">
        <v>0</v>
      </c>
      <c r="AP108" s="318">
        <v>0</v>
      </c>
      <c r="AQ108" s="318">
        <v>53.19</v>
      </c>
      <c r="AR108" s="318">
        <v>43.34</v>
      </c>
      <c r="AS108" s="318">
        <v>26.594999999999999</v>
      </c>
      <c r="AT108" s="318">
        <v>28.565000000000001</v>
      </c>
      <c r="AU108" s="317">
        <f t="shared" si="15"/>
        <v>151.69</v>
      </c>
      <c r="AV108" s="319">
        <v>0</v>
      </c>
      <c r="AW108" s="319">
        <v>0</v>
      </c>
      <c r="AX108" s="319">
        <v>0</v>
      </c>
      <c r="AY108" s="319">
        <v>0</v>
      </c>
      <c r="AZ108" s="319">
        <v>0</v>
      </c>
      <c r="BA108" s="319">
        <v>0</v>
      </c>
      <c r="BB108" s="319">
        <v>0</v>
      </c>
      <c r="BC108" s="319">
        <v>0</v>
      </c>
      <c r="BD108" s="319">
        <v>0</v>
      </c>
      <c r="BE108" s="319">
        <v>57.542999999999999</v>
      </c>
      <c r="BF108" s="319">
        <v>35.006</v>
      </c>
      <c r="BG108" s="319">
        <v>31.062999999999999</v>
      </c>
      <c r="BH108" s="319">
        <v>24.954000000000001</v>
      </c>
      <c r="BI108" s="317">
        <f t="shared" si="16"/>
        <v>148.566</v>
      </c>
      <c r="BJ108" s="316">
        <v>0</v>
      </c>
      <c r="BK108" s="316">
        <v>0</v>
      </c>
      <c r="BL108" s="316">
        <v>0</v>
      </c>
      <c r="BM108" s="316">
        <v>0</v>
      </c>
      <c r="BN108" s="316">
        <v>0</v>
      </c>
      <c r="BO108" s="316">
        <v>0</v>
      </c>
      <c r="BP108" s="316">
        <v>0</v>
      </c>
      <c r="BQ108" s="316">
        <v>0</v>
      </c>
      <c r="BR108" s="316">
        <v>0</v>
      </c>
      <c r="BS108" s="316">
        <v>64.948999999999998</v>
      </c>
      <c r="BT108" s="316">
        <v>34.189</v>
      </c>
      <c r="BU108" s="316">
        <v>31.189</v>
      </c>
      <c r="BV108" s="316">
        <v>26.725999999999999</v>
      </c>
      <c r="BW108" s="317">
        <f t="shared" si="17"/>
        <v>157.053</v>
      </c>
    </row>
    <row r="109" spans="1:734" x14ac:dyDescent="0.2">
      <c r="A109" s="20" t="str">
        <f>'School Level Inst. Resources'!A109</f>
        <v>0721000</v>
      </c>
      <c r="B109" s="20" t="str">
        <f>'School Level Inst. Resources'!B109</f>
        <v>Fremont #21</v>
      </c>
      <c r="C109" s="20" t="str">
        <f>'School Level Inst. Resources'!C109</f>
        <v>0721001</v>
      </c>
      <c r="D109" s="20" t="str">
        <f>'School Level Inst. Resources'!D109</f>
        <v>Ft. Washakie Elementary</v>
      </c>
      <c r="E109" s="138" t="str">
        <f>'School Level Inst. Resources'!E109</f>
        <v>P-6</v>
      </c>
      <c r="F109" s="317">
        <f>IF(AND($A$2=4,VLOOKUP($A109,'District Level ADM'!$A$5:$W$52,5,FALSE)="Prior Year"),AH109,IF(AND($A$2=4,VLOOKUP($A109,'District Level ADM'!$A$5:$W$52,5,FALSE)="3-Year Avg."),T109,IF($A$2=2,AH109,IF($A$2=3,T109,IF(($AG109&gt;$AU109),T109,AH109)))))</f>
        <v>48.265000000000001</v>
      </c>
      <c r="G109" s="317">
        <f>IF(AND($A$2=4,VLOOKUP($A109,'District Level ADM'!$A$5:$W$52,5,FALSE)="Prior Year"),AI109,IF(AND($A$2=4,VLOOKUP($A109,'District Level ADM'!$A$5:$W$52,5,FALSE)="3-Year Avg."),U109,IF($A$2=2,AI109,IF($A$2=3,U109,IF(($AG109&gt;$AU109),U109,AI109)))))</f>
        <v>40.384999999999998</v>
      </c>
      <c r="H109" s="317">
        <f>IF(AND($A$2=4,VLOOKUP($A109,'District Level ADM'!$A$5:$W$52,5,FALSE)="Prior Year"),AJ109,IF(AND($A$2=4,VLOOKUP($A109,'District Level ADM'!$A$5:$W$52,5,FALSE)="3-Year Avg."),V109,IF($A$2=2,AJ109,IF($A$2=3,V109,IF(($AG109&gt;$AU109),V109,AJ109)))))</f>
        <v>38.414999999999999</v>
      </c>
      <c r="I109" s="317">
        <f>IF(AND($A$2=4,VLOOKUP($A109,'District Level ADM'!$A$5:$W$52,5,FALSE)="Prior Year"),AK109,IF(AND($A$2=4,VLOOKUP($A109,'District Level ADM'!$A$5:$W$52,5,FALSE)="3-Year Avg."),W109,IF($A$2=2,AK109,IF($A$2=3,W109,IF(($AG109&gt;$AU109),W109,AK109)))))</f>
        <v>44.325000000000003</v>
      </c>
      <c r="J109" s="317">
        <f>IF(AND($A$2=4,VLOOKUP($A109,'District Level ADM'!$A$5:$W$52,5,FALSE)="Prior Year"),AL109,IF(AND($A$2=4,VLOOKUP($A109,'District Level ADM'!$A$5:$W$52,5,FALSE)="3-Year Avg."),X109,IF($A$2=2,AL109,IF($A$2=3,X109,IF(($AG109&gt;$AU109),X109,AL109)))))</f>
        <v>39.4</v>
      </c>
      <c r="K109" s="317">
        <f>IF(AND($A$2=4,VLOOKUP($A109,'District Level ADM'!$A$5:$W$52,5,FALSE)="Prior Year"),AM109,IF(AND($A$2=4,VLOOKUP($A109,'District Level ADM'!$A$5:$W$52,5,FALSE)="3-Year Avg."),Y109,IF($A$2=2,AM109,IF($A$2=3,Y109,IF(($AG109&gt;$AU109),Y109,AM109)))))</f>
        <v>51.22</v>
      </c>
      <c r="L109" s="317">
        <f>IF(AND($A$2=4,VLOOKUP($A109,'District Level ADM'!$A$5:$W$52,5,FALSE)="Prior Year"),AN109,IF(AND($A$2=4,VLOOKUP($A109,'District Level ADM'!$A$5:$W$52,5,FALSE)="3-Year Avg."),Z109,IF($A$2=2,AN109,IF($A$2=3,Z109,IF(($AG109&gt;$AU109),Z109,AN109)))))</f>
        <v>43.34</v>
      </c>
      <c r="M109" s="317">
        <f>IF(AND($A$2=4,VLOOKUP($A109,'District Level ADM'!$A$5:$W$52,5,FALSE)="Prior Year"),AO109,IF(AND($A$2=4,VLOOKUP($A109,'District Level ADM'!$A$5:$W$52,5,FALSE)="3-Year Avg."),AA109,IF($A$2=2,AO109,IF($A$2=3,AA109,IF(($AG109&gt;$AU109),AA109,AO109)))))</f>
        <v>0</v>
      </c>
      <c r="N109" s="317">
        <f>IF(AND($A$2=4,VLOOKUP($A109,'District Level ADM'!$A$5:$W$52,5,FALSE)="Prior Year"),AP109,IF(AND($A$2=4,VLOOKUP($A109,'District Level ADM'!$A$5:$W$52,5,FALSE)="3-Year Avg."),AB109,IF($A$2=2,AP109,IF($A$2=3,AB109,IF(($AG109&gt;$AU109),AB109,AP109)))))</f>
        <v>0</v>
      </c>
      <c r="O109" s="317">
        <f>IF(AND($A$2=4,VLOOKUP($A109,'District Level ADM'!$A$5:$W$52,5,FALSE)="Prior Year"),AQ109,IF(AND($A$2=4,VLOOKUP($A109,'District Level ADM'!$A$5:$W$52,5,FALSE)="3-Year Avg."),AC109,IF($A$2=2,AQ109,IF($A$2=3,AC109,IF(($AG109&gt;$AU109),AC109,AQ109)))))</f>
        <v>0</v>
      </c>
      <c r="P109" s="317">
        <f>IF(AND($A$2=4,VLOOKUP($A109,'District Level ADM'!$A$5:$W$52,5,FALSE)="Prior Year"),AR109,IF(AND($A$2=4,VLOOKUP($A109,'District Level ADM'!$A$5:$W$52,5,FALSE)="3-Year Avg."),AD109,IF($A$2=2,AR109,IF($A$2=3,AD109,IF(($AG109&gt;$AU109),AD109,AR109)))))</f>
        <v>0</v>
      </c>
      <c r="Q109" s="317">
        <f>IF(AND($A$2=4,VLOOKUP($A109,'District Level ADM'!$A$5:$W$52,5,FALSE)="Prior Year"),AS109,IF(AND($A$2=4,VLOOKUP($A109,'District Level ADM'!$A$5:$W$52,5,FALSE)="3-Year Avg."),AE109,IF($A$2=2,AS109,IF($A$2=3,AE109,IF(($AG109&gt;$AU109),AE109,AS109)))))</f>
        <v>0</v>
      </c>
      <c r="R109" s="317">
        <f>IF(AND($A$2=4,VLOOKUP($A109,'District Level ADM'!$A$5:$W$52,5,FALSE)="Prior Year"),AT109,IF(AND($A$2=4,VLOOKUP($A109,'District Level ADM'!$A$5:$W$52,5,FALSE)="3-Year Avg."),AF109,IF($A$2=2,AT109,IF($A$2=3,AF109,IF(($AG109&gt;$AU109),AF109,AT109)))))</f>
        <v>0</v>
      </c>
      <c r="S109" s="317">
        <f t="shared" si="13"/>
        <v>305.35000000000002</v>
      </c>
      <c r="T109" s="317">
        <f t="shared" si="20"/>
        <v>46.631</v>
      </c>
      <c r="U109" s="317">
        <f t="shared" si="20"/>
        <v>44.32500000000001</v>
      </c>
      <c r="V109" s="317">
        <f t="shared" si="20"/>
        <v>43.884666666666668</v>
      </c>
      <c r="W109" s="317">
        <f t="shared" si="19"/>
        <v>46.818333333333328</v>
      </c>
      <c r="X109" s="317">
        <f t="shared" si="19"/>
        <v>46.768000000000001</v>
      </c>
      <c r="Y109" s="317">
        <f t="shared" si="19"/>
        <v>51.950333333333333</v>
      </c>
      <c r="Z109" s="317">
        <f t="shared" si="19"/>
        <v>48.765000000000008</v>
      </c>
      <c r="AA109" s="317">
        <f t="shared" si="19"/>
        <v>0</v>
      </c>
      <c r="AB109" s="317">
        <f t="shared" si="19"/>
        <v>0</v>
      </c>
      <c r="AC109" s="317">
        <f t="shared" si="18"/>
        <v>0</v>
      </c>
      <c r="AD109" s="317">
        <f t="shared" si="18"/>
        <v>0</v>
      </c>
      <c r="AE109" s="317">
        <f t="shared" si="18"/>
        <v>0</v>
      </c>
      <c r="AF109" s="317">
        <f t="shared" si="18"/>
        <v>0</v>
      </c>
      <c r="AG109" s="317">
        <f t="shared" si="14"/>
        <v>329.14233333333334</v>
      </c>
      <c r="AH109" s="318">
        <v>48.265000000000001</v>
      </c>
      <c r="AI109" s="318">
        <v>40.384999999999998</v>
      </c>
      <c r="AJ109" s="318">
        <v>38.414999999999999</v>
      </c>
      <c r="AK109" s="318">
        <v>44.325000000000003</v>
      </c>
      <c r="AL109" s="318">
        <v>39.4</v>
      </c>
      <c r="AM109" s="318">
        <v>51.22</v>
      </c>
      <c r="AN109" s="318">
        <v>43.34</v>
      </c>
      <c r="AO109" s="318">
        <v>0</v>
      </c>
      <c r="AP109" s="318">
        <v>0</v>
      </c>
      <c r="AQ109" s="318">
        <v>0</v>
      </c>
      <c r="AR109" s="318">
        <v>0</v>
      </c>
      <c r="AS109" s="318">
        <v>0</v>
      </c>
      <c r="AT109" s="318">
        <v>0</v>
      </c>
      <c r="AU109" s="317">
        <f t="shared" si="15"/>
        <v>305.35000000000002</v>
      </c>
      <c r="AV109" s="319">
        <v>43.573999999999998</v>
      </c>
      <c r="AW109" s="319">
        <v>45.67</v>
      </c>
      <c r="AX109" s="319">
        <v>42.716000000000001</v>
      </c>
      <c r="AY109" s="319">
        <v>43.21</v>
      </c>
      <c r="AZ109" s="319">
        <v>51.716000000000001</v>
      </c>
      <c r="BA109" s="319">
        <v>45.79</v>
      </c>
      <c r="BB109" s="319">
        <v>61.33</v>
      </c>
      <c r="BC109" s="319">
        <v>0</v>
      </c>
      <c r="BD109" s="319">
        <v>0</v>
      </c>
      <c r="BE109" s="319">
        <v>0</v>
      </c>
      <c r="BF109" s="319">
        <v>0</v>
      </c>
      <c r="BG109" s="319">
        <v>0</v>
      </c>
      <c r="BH109" s="319">
        <v>0</v>
      </c>
      <c r="BI109" s="317">
        <f t="shared" si="16"/>
        <v>334.00600000000003</v>
      </c>
      <c r="BJ109" s="316">
        <v>48.054000000000002</v>
      </c>
      <c r="BK109" s="316">
        <v>46.92</v>
      </c>
      <c r="BL109" s="316">
        <v>50.523000000000003</v>
      </c>
      <c r="BM109" s="316">
        <v>52.92</v>
      </c>
      <c r="BN109" s="316">
        <v>49.188000000000002</v>
      </c>
      <c r="BO109" s="316">
        <v>58.841000000000001</v>
      </c>
      <c r="BP109" s="316">
        <v>41.625</v>
      </c>
      <c r="BQ109" s="316">
        <v>0</v>
      </c>
      <c r="BR109" s="316">
        <v>0</v>
      </c>
      <c r="BS109" s="316">
        <v>0</v>
      </c>
      <c r="BT109" s="316">
        <v>0</v>
      </c>
      <c r="BU109" s="316">
        <v>0</v>
      </c>
      <c r="BV109" s="316">
        <v>0</v>
      </c>
      <c r="BW109" s="317">
        <f t="shared" si="17"/>
        <v>348.07100000000003</v>
      </c>
    </row>
    <row r="110" spans="1:734" x14ac:dyDescent="0.2">
      <c r="A110" s="20" t="str">
        <f>'School Level Inst. Resources'!A110</f>
        <v>0721000</v>
      </c>
      <c r="B110" s="20" t="str">
        <f>'School Level Inst. Resources'!B110</f>
        <v>Fremont #21</v>
      </c>
      <c r="C110" s="20" t="str">
        <f>'School Level Inst. Resources'!C110</f>
        <v>0721050</v>
      </c>
      <c r="D110" s="20" t="str">
        <f>'School Level Inst. Resources'!D110</f>
        <v>Ft. Washakie Middle School</v>
      </c>
      <c r="E110" s="138" t="str">
        <f>'School Level Inst. Resources'!E110</f>
        <v>7-8</v>
      </c>
      <c r="F110" s="317">
        <f>IF(AND($A$2=4,VLOOKUP($A110,'District Level ADM'!$A$5:$W$52,5,FALSE)="Prior Year"),AH110,IF(AND($A$2=4,VLOOKUP($A110,'District Level ADM'!$A$5:$W$52,5,FALSE)="3-Year Avg."),T110,IF($A$2=2,AH110,IF($A$2=3,T110,IF(($AG110&gt;$AU110),T110,AH110)))))</f>
        <v>0</v>
      </c>
      <c r="G110" s="317">
        <f>IF(AND($A$2=4,VLOOKUP($A110,'District Level ADM'!$A$5:$W$52,5,FALSE)="Prior Year"),AI110,IF(AND($A$2=4,VLOOKUP($A110,'District Level ADM'!$A$5:$W$52,5,FALSE)="3-Year Avg."),U110,IF($A$2=2,AI110,IF($A$2=3,U110,IF(($AG110&gt;$AU110),U110,AI110)))))</f>
        <v>0</v>
      </c>
      <c r="H110" s="317">
        <f>IF(AND($A$2=4,VLOOKUP($A110,'District Level ADM'!$A$5:$W$52,5,FALSE)="Prior Year"),AJ110,IF(AND($A$2=4,VLOOKUP($A110,'District Level ADM'!$A$5:$W$52,5,FALSE)="3-Year Avg."),V110,IF($A$2=2,AJ110,IF($A$2=3,V110,IF(($AG110&gt;$AU110),V110,AJ110)))))</f>
        <v>0</v>
      </c>
      <c r="I110" s="317">
        <f>IF(AND($A$2=4,VLOOKUP($A110,'District Level ADM'!$A$5:$W$52,5,FALSE)="Prior Year"),AK110,IF(AND($A$2=4,VLOOKUP($A110,'District Level ADM'!$A$5:$W$52,5,FALSE)="3-Year Avg."),W110,IF($A$2=2,AK110,IF($A$2=3,W110,IF(($AG110&gt;$AU110),W110,AK110)))))</f>
        <v>0</v>
      </c>
      <c r="J110" s="317">
        <f>IF(AND($A$2=4,VLOOKUP($A110,'District Level ADM'!$A$5:$W$52,5,FALSE)="Prior Year"),AL110,IF(AND($A$2=4,VLOOKUP($A110,'District Level ADM'!$A$5:$W$52,5,FALSE)="3-Year Avg."),X110,IF($A$2=2,AL110,IF($A$2=3,X110,IF(($AG110&gt;$AU110),X110,AL110)))))</f>
        <v>0</v>
      </c>
      <c r="K110" s="317">
        <f>IF(AND($A$2=4,VLOOKUP($A110,'District Level ADM'!$A$5:$W$52,5,FALSE)="Prior Year"),AM110,IF(AND($A$2=4,VLOOKUP($A110,'District Level ADM'!$A$5:$W$52,5,FALSE)="3-Year Avg."),Y110,IF($A$2=2,AM110,IF($A$2=3,Y110,IF(($AG110&gt;$AU110),Y110,AM110)))))</f>
        <v>0</v>
      </c>
      <c r="L110" s="317">
        <f>IF(AND($A$2=4,VLOOKUP($A110,'District Level ADM'!$A$5:$W$52,5,FALSE)="Prior Year"),AN110,IF(AND($A$2=4,VLOOKUP($A110,'District Level ADM'!$A$5:$W$52,5,FALSE)="3-Year Avg."),Z110,IF($A$2=2,AN110,IF($A$2=3,Z110,IF(($AG110&gt;$AU110),Z110,AN110)))))</f>
        <v>0</v>
      </c>
      <c r="M110" s="317">
        <f>IF(AND($A$2=4,VLOOKUP($A110,'District Level ADM'!$A$5:$W$52,5,FALSE)="Prior Year"),AO110,IF(AND($A$2=4,VLOOKUP($A110,'District Level ADM'!$A$5:$W$52,5,FALSE)="3-Year Avg."),AA110,IF($A$2=2,AO110,IF($A$2=3,AA110,IF(($AG110&gt;$AU110),AA110,AO110)))))</f>
        <v>59.1</v>
      </c>
      <c r="N110" s="317">
        <f>IF(AND($A$2=4,VLOOKUP($A110,'District Level ADM'!$A$5:$W$52,5,FALSE)="Prior Year"),AP110,IF(AND($A$2=4,VLOOKUP($A110,'District Level ADM'!$A$5:$W$52,5,FALSE)="3-Year Avg."),AB110,IF($A$2=2,AP110,IF($A$2=3,AB110,IF(($AG110&gt;$AU110),AB110,AP110)))))</f>
        <v>43.34</v>
      </c>
      <c r="O110" s="317">
        <f>IF(AND($A$2=4,VLOOKUP($A110,'District Level ADM'!$A$5:$W$52,5,FALSE)="Prior Year"),AQ110,IF(AND($A$2=4,VLOOKUP($A110,'District Level ADM'!$A$5:$W$52,5,FALSE)="3-Year Avg."),AC110,IF($A$2=2,AQ110,IF($A$2=3,AC110,IF(($AG110&gt;$AU110),AC110,AQ110)))))</f>
        <v>0</v>
      </c>
      <c r="P110" s="317">
        <f>IF(AND($A$2=4,VLOOKUP($A110,'District Level ADM'!$A$5:$W$52,5,FALSE)="Prior Year"),AR110,IF(AND($A$2=4,VLOOKUP($A110,'District Level ADM'!$A$5:$W$52,5,FALSE)="3-Year Avg."),AD110,IF($A$2=2,AR110,IF($A$2=3,AD110,IF(($AG110&gt;$AU110),AD110,AR110)))))</f>
        <v>0</v>
      </c>
      <c r="Q110" s="317">
        <f>IF(AND($A$2=4,VLOOKUP($A110,'District Level ADM'!$A$5:$W$52,5,FALSE)="Prior Year"),AS110,IF(AND($A$2=4,VLOOKUP($A110,'District Level ADM'!$A$5:$W$52,5,FALSE)="3-Year Avg."),AE110,IF($A$2=2,AS110,IF($A$2=3,AE110,IF(($AG110&gt;$AU110),AE110,AS110)))))</f>
        <v>0</v>
      </c>
      <c r="R110" s="317">
        <f>IF(AND($A$2=4,VLOOKUP($A110,'District Level ADM'!$A$5:$W$52,5,FALSE)="Prior Year"),AT110,IF(AND($A$2=4,VLOOKUP($A110,'District Level ADM'!$A$5:$W$52,5,FALSE)="3-Year Avg."),AF110,IF($A$2=2,AT110,IF($A$2=3,AF110,IF(($AG110&gt;$AU110),AF110,AT110)))))</f>
        <v>0</v>
      </c>
      <c r="S110" s="317">
        <f t="shared" si="13"/>
        <v>102.44</v>
      </c>
      <c r="T110" s="317">
        <f t="shared" si="20"/>
        <v>0</v>
      </c>
      <c r="U110" s="317">
        <f t="shared" si="20"/>
        <v>0</v>
      </c>
      <c r="V110" s="317">
        <f t="shared" si="20"/>
        <v>0</v>
      </c>
      <c r="W110" s="317">
        <f t="shared" si="19"/>
        <v>0</v>
      </c>
      <c r="X110" s="317">
        <f t="shared" si="19"/>
        <v>0</v>
      </c>
      <c r="Y110" s="317">
        <f t="shared" si="19"/>
        <v>0</v>
      </c>
      <c r="Z110" s="317">
        <f t="shared" si="19"/>
        <v>0</v>
      </c>
      <c r="AA110" s="317">
        <f t="shared" si="19"/>
        <v>55.861000000000011</v>
      </c>
      <c r="AB110" s="317">
        <f t="shared" si="19"/>
        <v>46.494</v>
      </c>
      <c r="AC110" s="317">
        <f t="shared" si="18"/>
        <v>0</v>
      </c>
      <c r="AD110" s="317">
        <f t="shared" si="18"/>
        <v>0</v>
      </c>
      <c r="AE110" s="317">
        <f t="shared" si="18"/>
        <v>0</v>
      </c>
      <c r="AF110" s="317">
        <f t="shared" si="18"/>
        <v>0</v>
      </c>
      <c r="AG110" s="317">
        <f t="shared" si="14"/>
        <v>102.35500000000002</v>
      </c>
      <c r="AH110" s="318">
        <v>0</v>
      </c>
      <c r="AI110" s="318">
        <v>0</v>
      </c>
      <c r="AJ110" s="318">
        <v>0</v>
      </c>
      <c r="AK110" s="318">
        <v>0</v>
      </c>
      <c r="AL110" s="318">
        <v>0</v>
      </c>
      <c r="AM110" s="318">
        <v>0</v>
      </c>
      <c r="AN110" s="318">
        <v>0</v>
      </c>
      <c r="AO110" s="318">
        <v>59.1</v>
      </c>
      <c r="AP110" s="318">
        <v>43.34</v>
      </c>
      <c r="AQ110" s="318">
        <v>0</v>
      </c>
      <c r="AR110" s="318">
        <v>0</v>
      </c>
      <c r="AS110" s="318">
        <v>0</v>
      </c>
      <c r="AT110" s="318">
        <v>0</v>
      </c>
      <c r="AU110" s="317">
        <f t="shared" si="15"/>
        <v>102.44</v>
      </c>
      <c r="AV110" s="319">
        <v>0</v>
      </c>
      <c r="AW110" s="319">
        <v>0</v>
      </c>
      <c r="AX110" s="319">
        <v>0</v>
      </c>
      <c r="AY110" s="319">
        <v>0</v>
      </c>
      <c r="AZ110" s="319">
        <v>0</v>
      </c>
      <c r="BA110" s="319">
        <v>0</v>
      </c>
      <c r="BB110" s="319">
        <v>0</v>
      </c>
      <c r="BC110" s="319">
        <v>45.682000000000002</v>
      </c>
      <c r="BD110" s="319">
        <v>59.226999999999997</v>
      </c>
      <c r="BE110" s="319">
        <v>0</v>
      </c>
      <c r="BF110" s="319">
        <v>0</v>
      </c>
      <c r="BG110" s="319">
        <v>0</v>
      </c>
      <c r="BH110" s="319">
        <v>0</v>
      </c>
      <c r="BI110" s="317">
        <f t="shared" si="16"/>
        <v>104.90899999999999</v>
      </c>
      <c r="BJ110" s="316">
        <v>0</v>
      </c>
      <c r="BK110" s="316">
        <v>0</v>
      </c>
      <c r="BL110" s="316">
        <v>0</v>
      </c>
      <c r="BM110" s="316">
        <v>0</v>
      </c>
      <c r="BN110" s="316">
        <v>0</v>
      </c>
      <c r="BO110" s="316">
        <v>0</v>
      </c>
      <c r="BP110" s="316">
        <v>0</v>
      </c>
      <c r="BQ110" s="316">
        <v>62.801000000000002</v>
      </c>
      <c r="BR110" s="316">
        <v>36.914999999999999</v>
      </c>
      <c r="BS110" s="316">
        <v>0</v>
      </c>
      <c r="BT110" s="316">
        <v>0</v>
      </c>
      <c r="BU110" s="316">
        <v>0</v>
      </c>
      <c r="BV110" s="316">
        <v>0</v>
      </c>
      <c r="BW110" s="317">
        <f t="shared" si="17"/>
        <v>99.716000000000008</v>
      </c>
    </row>
    <row r="111" spans="1:734" x14ac:dyDescent="0.2">
      <c r="A111" s="20" t="str">
        <f>'School Level Inst. Resources'!A111</f>
        <v>0721000</v>
      </c>
      <c r="B111" s="20" t="str">
        <f>'School Level Inst. Resources'!B111</f>
        <v>Fremont #21</v>
      </c>
      <c r="C111" s="20" t="str">
        <f>'School Level Inst. Resources'!C111</f>
        <v>0721056</v>
      </c>
      <c r="D111" s="20" t="str">
        <f>'School Level Inst. Resources'!D111</f>
        <v>Ft. Washakie High School</v>
      </c>
      <c r="E111" s="138" t="str">
        <f>'School Level Inst. Resources'!E111</f>
        <v>9-12</v>
      </c>
      <c r="F111" s="317">
        <f>IF(AND($A$2=4,VLOOKUP($A111,'District Level ADM'!$A$5:$W$52,5,FALSE)="Prior Year"),AH111,IF(AND($A$2=4,VLOOKUP($A111,'District Level ADM'!$A$5:$W$52,5,FALSE)="3-Year Avg."),T111,IF($A$2=2,AH111,IF($A$2=3,T111,IF(($AG111&gt;$AU111),T111,AH111)))))</f>
        <v>0</v>
      </c>
      <c r="G111" s="317">
        <f>IF(AND($A$2=4,VLOOKUP($A111,'District Level ADM'!$A$5:$W$52,5,FALSE)="Prior Year"),AI111,IF(AND($A$2=4,VLOOKUP($A111,'District Level ADM'!$A$5:$W$52,5,FALSE)="3-Year Avg."),U111,IF($A$2=2,AI111,IF($A$2=3,U111,IF(($AG111&gt;$AU111),U111,AI111)))))</f>
        <v>0</v>
      </c>
      <c r="H111" s="317">
        <f>IF(AND($A$2=4,VLOOKUP($A111,'District Level ADM'!$A$5:$W$52,5,FALSE)="Prior Year"),AJ111,IF(AND($A$2=4,VLOOKUP($A111,'District Level ADM'!$A$5:$W$52,5,FALSE)="3-Year Avg."),V111,IF($A$2=2,AJ111,IF($A$2=3,V111,IF(($AG111&gt;$AU111),V111,AJ111)))))</f>
        <v>0</v>
      </c>
      <c r="I111" s="317">
        <f>IF(AND($A$2=4,VLOOKUP($A111,'District Level ADM'!$A$5:$W$52,5,FALSE)="Prior Year"),AK111,IF(AND($A$2=4,VLOOKUP($A111,'District Level ADM'!$A$5:$W$52,5,FALSE)="3-Year Avg."),W111,IF($A$2=2,AK111,IF($A$2=3,W111,IF(($AG111&gt;$AU111),W111,AK111)))))</f>
        <v>0</v>
      </c>
      <c r="J111" s="317">
        <f>IF(AND($A$2=4,VLOOKUP($A111,'District Level ADM'!$A$5:$W$52,5,FALSE)="Prior Year"),AL111,IF(AND($A$2=4,VLOOKUP($A111,'District Level ADM'!$A$5:$W$52,5,FALSE)="3-Year Avg."),X111,IF($A$2=2,AL111,IF($A$2=3,X111,IF(($AG111&gt;$AU111),X111,AL111)))))</f>
        <v>0</v>
      </c>
      <c r="K111" s="317">
        <f>IF(AND($A$2=4,VLOOKUP($A111,'District Level ADM'!$A$5:$W$52,5,FALSE)="Prior Year"),AM111,IF(AND($A$2=4,VLOOKUP($A111,'District Level ADM'!$A$5:$W$52,5,FALSE)="3-Year Avg."),Y111,IF($A$2=2,AM111,IF($A$2=3,Y111,IF(($AG111&gt;$AU111),Y111,AM111)))))</f>
        <v>0</v>
      </c>
      <c r="L111" s="317">
        <f>IF(AND($A$2=4,VLOOKUP($A111,'District Level ADM'!$A$5:$W$52,5,FALSE)="Prior Year"),AN111,IF(AND($A$2=4,VLOOKUP($A111,'District Level ADM'!$A$5:$W$52,5,FALSE)="3-Year Avg."),Z111,IF($A$2=2,AN111,IF($A$2=3,Z111,IF(($AG111&gt;$AU111),Z111,AN111)))))</f>
        <v>0</v>
      </c>
      <c r="M111" s="317">
        <f>IF(AND($A$2=4,VLOOKUP($A111,'District Level ADM'!$A$5:$W$52,5,FALSE)="Prior Year"),AO111,IF(AND($A$2=4,VLOOKUP($A111,'District Level ADM'!$A$5:$W$52,5,FALSE)="3-Year Avg."),AA111,IF($A$2=2,AO111,IF($A$2=3,AA111,IF(($AG111&gt;$AU111),AA111,AO111)))))</f>
        <v>0</v>
      </c>
      <c r="N111" s="317">
        <f>IF(AND($A$2=4,VLOOKUP($A111,'District Level ADM'!$A$5:$W$52,5,FALSE)="Prior Year"),AP111,IF(AND($A$2=4,VLOOKUP($A111,'District Level ADM'!$A$5:$W$52,5,FALSE)="3-Year Avg."),AB111,IF($A$2=2,AP111,IF($A$2=3,AB111,IF(($AG111&gt;$AU111),AB111,AP111)))))</f>
        <v>0</v>
      </c>
      <c r="O111" s="317">
        <f>IF(AND($A$2=4,VLOOKUP($A111,'District Level ADM'!$A$5:$W$52,5,FALSE)="Prior Year"),AQ111,IF(AND($A$2=4,VLOOKUP($A111,'District Level ADM'!$A$5:$W$52,5,FALSE)="3-Year Avg."),AC111,IF($A$2=2,AQ111,IF($A$2=3,AC111,IF(($AG111&gt;$AU111),AC111,AQ111)))))</f>
        <v>44.325000000000003</v>
      </c>
      <c r="P111" s="317">
        <f>IF(AND($A$2=4,VLOOKUP($A111,'District Level ADM'!$A$5:$W$52,5,FALSE)="Prior Year"),AR111,IF(AND($A$2=4,VLOOKUP($A111,'District Level ADM'!$A$5:$W$52,5,FALSE)="3-Year Avg."),AD111,IF($A$2=2,AR111,IF($A$2=3,AD111,IF(($AG111&gt;$AU111),AD111,AR111)))))</f>
        <v>19.7</v>
      </c>
      <c r="Q111" s="317">
        <f>IF(AND($A$2=4,VLOOKUP($A111,'District Level ADM'!$A$5:$W$52,5,FALSE)="Prior Year"),AS111,IF(AND($A$2=4,VLOOKUP($A111,'District Level ADM'!$A$5:$W$52,5,FALSE)="3-Year Avg."),AE111,IF($A$2=2,AS111,IF($A$2=3,AE111,IF(($AG111&gt;$AU111),AE111,AS111)))))</f>
        <v>9.85</v>
      </c>
      <c r="R111" s="317">
        <f>IF(AND($A$2=4,VLOOKUP($A111,'District Level ADM'!$A$5:$W$52,5,FALSE)="Prior Year"),AT111,IF(AND($A$2=4,VLOOKUP($A111,'District Level ADM'!$A$5:$W$52,5,FALSE)="3-Year Avg."),AF111,IF($A$2=2,AT111,IF($A$2=3,AF111,IF(($AG111&gt;$AU111),AF111,AT111)))))</f>
        <v>15.76</v>
      </c>
      <c r="S111" s="317">
        <f t="shared" si="13"/>
        <v>89.635000000000005</v>
      </c>
      <c r="T111" s="317">
        <f t="shared" si="20"/>
        <v>0</v>
      </c>
      <c r="U111" s="317">
        <f t="shared" si="20"/>
        <v>0</v>
      </c>
      <c r="V111" s="317">
        <f t="shared" si="20"/>
        <v>0</v>
      </c>
      <c r="W111" s="317">
        <f t="shared" si="19"/>
        <v>0</v>
      </c>
      <c r="X111" s="317">
        <f t="shared" si="19"/>
        <v>0</v>
      </c>
      <c r="Y111" s="317">
        <f t="shared" si="19"/>
        <v>0</v>
      </c>
      <c r="Z111" s="317">
        <f t="shared" si="19"/>
        <v>0</v>
      </c>
      <c r="AA111" s="317">
        <f t="shared" si="19"/>
        <v>0</v>
      </c>
      <c r="AB111" s="317">
        <f t="shared" si="19"/>
        <v>0</v>
      </c>
      <c r="AC111" s="317">
        <f t="shared" si="18"/>
        <v>25.407333333333337</v>
      </c>
      <c r="AD111" s="317">
        <f t="shared" si="18"/>
        <v>14.950999999999999</v>
      </c>
      <c r="AE111" s="317">
        <f t="shared" si="18"/>
        <v>10.427333333333333</v>
      </c>
      <c r="AF111" s="317">
        <f t="shared" si="18"/>
        <v>11.196666666666667</v>
      </c>
      <c r="AG111" s="317">
        <f t="shared" si="14"/>
        <v>61.982333333333337</v>
      </c>
      <c r="AH111" s="318">
        <v>0</v>
      </c>
      <c r="AI111" s="318">
        <v>0</v>
      </c>
      <c r="AJ111" s="318">
        <v>0</v>
      </c>
      <c r="AK111" s="318">
        <v>0</v>
      </c>
      <c r="AL111" s="318">
        <v>0</v>
      </c>
      <c r="AM111" s="318">
        <v>0</v>
      </c>
      <c r="AN111" s="318">
        <v>0</v>
      </c>
      <c r="AO111" s="318">
        <v>0</v>
      </c>
      <c r="AP111" s="318">
        <v>0</v>
      </c>
      <c r="AQ111" s="318">
        <v>44.325000000000003</v>
      </c>
      <c r="AR111" s="318">
        <v>19.7</v>
      </c>
      <c r="AS111" s="318">
        <v>9.85</v>
      </c>
      <c r="AT111" s="318">
        <v>15.76</v>
      </c>
      <c r="AU111" s="317">
        <f t="shared" si="15"/>
        <v>89.635000000000005</v>
      </c>
      <c r="AV111" s="319">
        <v>0</v>
      </c>
      <c r="AW111" s="319">
        <v>0</v>
      </c>
      <c r="AX111" s="319">
        <v>0</v>
      </c>
      <c r="AY111" s="319">
        <v>0</v>
      </c>
      <c r="AZ111" s="319">
        <v>0</v>
      </c>
      <c r="BA111" s="319">
        <v>0</v>
      </c>
      <c r="BB111" s="319">
        <v>0</v>
      </c>
      <c r="BC111" s="319">
        <v>0</v>
      </c>
      <c r="BD111" s="319">
        <v>0</v>
      </c>
      <c r="BE111" s="319">
        <v>13.67</v>
      </c>
      <c r="BF111" s="319">
        <v>15.266999999999999</v>
      </c>
      <c r="BG111" s="319">
        <v>10.574</v>
      </c>
      <c r="BH111" s="319">
        <v>7.665</v>
      </c>
      <c r="BI111" s="317">
        <f t="shared" si="16"/>
        <v>47.175999999999995</v>
      </c>
      <c r="BJ111" s="316">
        <v>0</v>
      </c>
      <c r="BK111" s="316">
        <v>0</v>
      </c>
      <c r="BL111" s="316">
        <v>0</v>
      </c>
      <c r="BM111" s="316">
        <v>0</v>
      </c>
      <c r="BN111" s="316">
        <v>0</v>
      </c>
      <c r="BO111" s="316">
        <v>0</v>
      </c>
      <c r="BP111" s="316">
        <v>0</v>
      </c>
      <c r="BQ111" s="316">
        <v>0</v>
      </c>
      <c r="BR111" s="316">
        <v>0</v>
      </c>
      <c r="BS111" s="316">
        <v>18.227</v>
      </c>
      <c r="BT111" s="316">
        <v>9.8859999999999992</v>
      </c>
      <c r="BU111" s="316">
        <v>10.858000000000001</v>
      </c>
      <c r="BV111" s="316">
        <v>10.164999999999999</v>
      </c>
      <c r="BW111" s="317">
        <f t="shared" si="17"/>
        <v>49.136000000000003</v>
      </c>
    </row>
    <row r="112" spans="1:734" x14ac:dyDescent="0.2">
      <c r="A112" s="20" t="str">
        <f>'School Level Inst. Resources'!A112</f>
        <v>0724000</v>
      </c>
      <c r="B112" s="20" t="str">
        <f>'School Level Inst. Resources'!B112</f>
        <v>Fremont #24</v>
      </c>
      <c r="C112" s="20" t="str">
        <f>'School Level Inst. Resources'!C112</f>
        <v>0724001</v>
      </c>
      <c r="D112" s="20" t="str">
        <f>'School Level Inst. Resources'!D112</f>
        <v>Shoshoni Elementary</v>
      </c>
      <c r="E112" s="138" t="str">
        <f>'School Level Inst. Resources'!E112</f>
        <v>P-6</v>
      </c>
      <c r="F112" s="317">
        <f>IF(AND($A$2=4,VLOOKUP($A112,'District Level ADM'!$A$5:$W$52,5,FALSE)="Prior Year"),AH112,IF(AND($A$2=4,VLOOKUP($A112,'District Level ADM'!$A$5:$W$52,5,FALSE)="3-Year Avg."),T112,IF($A$2=2,AH112,IF($A$2=3,T112,IF(($AG112&gt;$AU112),T112,AH112)))))</f>
        <v>33.249000000000002</v>
      </c>
      <c r="G112" s="317">
        <f>IF(AND($A$2=4,VLOOKUP($A112,'District Level ADM'!$A$5:$W$52,5,FALSE)="Prior Year"),AI112,IF(AND($A$2=4,VLOOKUP($A112,'District Level ADM'!$A$5:$W$52,5,FALSE)="3-Year Avg."),U112,IF($A$2=2,AI112,IF($A$2=3,U112,IF(($AG112&gt;$AU112),U112,AI112)))))</f>
        <v>31.081999999999997</v>
      </c>
      <c r="H112" s="317">
        <f>IF(AND($A$2=4,VLOOKUP($A112,'District Level ADM'!$A$5:$W$52,5,FALSE)="Prior Year"),AJ112,IF(AND($A$2=4,VLOOKUP($A112,'District Level ADM'!$A$5:$W$52,5,FALSE)="3-Year Avg."),V112,IF($A$2=2,AJ112,IF($A$2=3,V112,IF(($AG112&gt;$AU112),V112,AJ112)))))</f>
        <v>31.891666666666669</v>
      </c>
      <c r="I112" s="317">
        <f>IF(AND($A$2=4,VLOOKUP($A112,'District Level ADM'!$A$5:$W$52,5,FALSE)="Prior Year"),AK112,IF(AND($A$2=4,VLOOKUP($A112,'District Level ADM'!$A$5:$W$52,5,FALSE)="3-Year Avg."),W112,IF($A$2=2,AK112,IF($A$2=3,W112,IF(($AG112&gt;$AU112),W112,AK112)))))</f>
        <v>31.029666666666667</v>
      </c>
      <c r="J112" s="317">
        <f>IF(AND($A$2=4,VLOOKUP($A112,'District Level ADM'!$A$5:$W$52,5,FALSE)="Prior Year"),AL112,IF(AND($A$2=4,VLOOKUP($A112,'District Level ADM'!$A$5:$W$52,5,FALSE)="3-Year Avg."),X112,IF($A$2=2,AL112,IF($A$2=3,X112,IF(($AG112&gt;$AU112),X112,AL112)))))</f>
        <v>30.920666666666666</v>
      </c>
      <c r="K112" s="317">
        <f>IF(AND($A$2=4,VLOOKUP($A112,'District Level ADM'!$A$5:$W$52,5,FALSE)="Prior Year"),AM112,IF(AND($A$2=4,VLOOKUP($A112,'District Level ADM'!$A$5:$W$52,5,FALSE)="3-Year Avg."),Y112,IF($A$2=2,AM112,IF($A$2=3,Y112,IF(($AG112&gt;$AU112),Y112,AM112)))))</f>
        <v>31.308000000000003</v>
      </c>
      <c r="L112" s="317">
        <f>IF(AND($A$2=4,VLOOKUP($A112,'District Level ADM'!$A$5:$W$52,5,FALSE)="Prior Year"),AN112,IF(AND($A$2=4,VLOOKUP($A112,'District Level ADM'!$A$5:$W$52,5,FALSE)="3-Year Avg."),Z112,IF($A$2=2,AN112,IF($A$2=3,Z112,IF(($AG112&gt;$AU112),Z112,AN112)))))</f>
        <v>34.264000000000003</v>
      </c>
      <c r="M112" s="317">
        <f>IF(AND($A$2=4,VLOOKUP($A112,'District Level ADM'!$A$5:$W$52,5,FALSE)="Prior Year"),AO112,IF(AND($A$2=4,VLOOKUP($A112,'District Level ADM'!$A$5:$W$52,5,FALSE)="3-Year Avg."),AA112,IF($A$2=2,AO112,IF($A$2=3,AA112,IF(($AG112&gt;$AU112),AA112,AO112)))))</f>
        <v>0</v>
      </c>
      <c r="N112" s="317">
        <f>IF(AND($A$2=4,VLOOKUP($A112,'District Level ADM'!$A$5:$W$52,5,FALSE)="Prior Year"),AP112,IF(AND($A$2=4,VLOOKUP($A112,'District Level ADM'!$A$5:$W$52,5,FALSE)="3-Year Avg."),AB112,IF($A$2=2,AP112,IF($A$2=3,AB112,IF(($AG112&gt;$AU112),AB112,AP112)))))</f>
        <v>0</v>
      </c>
      <c r="O112" s="317">
        <f>IF(AND($A$2=4,VLOOKUP($A112,'District Level ADM'!$A$5:$W$52,5,FALSE)="Prior Year"),AQ112,IF(AND($A$2=4,VLOOKUP($A112,'District Level ADM'!$A$5:$W$52,5,FALSE)="3-Year Avg."),AC112,IF($A$2=2,AQ112,IF($A$2=3,AC112,IF(($AG112&gt;$AU112),AC112,AQ112)))))</f>
        <v>0</v>
      </c>
      <c r="P112" s="317">
        <f>IF(AND($A$2=4,VLOOKUP($A112,'District Level ADM'!$A$5:$W$52,5,FALSE)="Prior Year"),AR112,IF(AND($A$2=4,VLOOKUP($A112,'District Level ADM'!$A$5:$W$52,5,FALSE)="3-Year Avg."),AD112,IF($A$2=2,AR112,IF($A$2=3,AD112,IF(($AG112&gt;$AU112),AD112,AR112)))))</f>
        <v>0</v>
      </c>
      <c r="Q112" s="317">
        <f>IF(AND($A$2=4,VLOOKUP($A112,'District Level ADM'!$A$5:$W$52,5,FALSE)="Prior Year"),AS112,IF(AND($A$2=4,VLOOKUP($A112,'District Level ADM'!$A$5:$W$52,5,FALSE)="3-Year Avg."),AE112,IF($A$2=2,AS112,IF($A$2=3,AE112,IF(($AG112&gt;$AU112),AE112,AS112)))))</f>
        <v>0</v>
      </c>
      <c r="R112" s="317">
        <f>IF(AND($A$2=4,VLOOKUP($A112,'District Level ADM'!$A$5:$W$52,5,FALSE)="Prior Year"),AT112,IF(AND($A$2=4,VLOOKUP($A112,'District Level ADM'!$A$5:$W$52,5,FALSE)="3-Year Avg."),AF112,IF($A$2=2,AT112,IF($A$2=3,AF112,IF(($AG112&gt;$AU112),AF112,AT112)))))</f>
        <v>0</v>
      </c>
      <c r="S112" s="317">
        <f t="shared" si="13"/>
        <v>223.745</v>
      </c>
      <c r="T112" s="317">
        <f t="shared" si="20"/>
        <v>33.249000000000002</v>
      </c>
      <c r="U112" s="317">
        <f t="shared" si="20"/>
        <v>31.081999999999997</v>
      </c>
      <c r="V112" s="317">
        <f t="shared" si="20"/>
        <v>31.891666666666669</v>
      </c>
      <c r="W112" s="317">
        <f t="shared" si="19"/>
        <v>31.029666666666667</v>
      </c>
      <c r="X112" s="317">
        <f t="shared" si="19"/>
        <v>30.920666666666666</v>
      </c>
      <c r="Y112" s="317">
        <f t="shared" si="19"/>
        <v>31.308000000000003</v>
      </c>
      <c r="Z112" s="317">
        <f t="shared" si="19"/>
        <v>34.264000000000003</v>
      </c>
      <c r="AA112" s="317">
        <f t="shared" si="19"/>
        <v>0</v>
      </c>
      <c r="AB112" s="317">
        <f t="shared" si="19"/>
        <v>0</v>
      </c>
      <c r="AC112" s="317">
        <f t="shared" si="18"/>
        <v>0</v>
      </c>
      <c r="AD112" s="317">
        <f t="shared" si="18"/>
        <v>0</v>
      </c>
      <c r="AE112" s="317">
        <f t="shared" si="18"/>
        <v>0</v>
      </c>
      <c r="AF112" s="317">
        <f t="shared" si="18"/>
        <v>0</v>
      </c>
      <c r="AG112" s="317">
        <f t="shared" si="14"/>
        <v>223.745</v>
      </c>
      <c r="AH112" s="318">
        <v>26.594999999999999</v>
      </c>
      <c r="AI112" s="318">
        <v>26.594999999999999</v>
      </c>
      <c r="AJ112" s="318">
        <v>33.49</v>
      </c>
      <c r="AK112" s="318">
        <v>32.505000000000003</v>
      </c>
      <c r="AL112" s="318">
        <v>36.445</v>
      </c>
      <c r="AM112" s="318">
        <v>28.565000000000001</v>
      </c>
      <c r="AN112" s="318">
        <v>29.55</v>
      </c>
      <c r="AO112" s="318">
        <v>0</v>
      </c>
      <c r="AP112" s="318">
        <v>0</v>
      </c>
      <c r="AQ112" s="318">
        <v>0</v>
      </c>
      <c r="AR112" s="318">
        <v>0</v>
      </c>
      <c r="AS112" s="318">
        <v>0</v>
      </c>
      <c r="AT112" s="318">
        <v>0</v>
      </c>
      <c r="AU112" s="317">
        <f t="shared" si="15"/>
        <v>213.745</v>
      </c>
      <c r="AV112" s="319">
        <v>31.591999999999999</v>
      </c>
      <c r="AW112" s="319">
        <v>32.543999999999997</v>
      </c>
      <c r="AX112" s="319">
        <v>33.006</v>
      </c>
      <c r="AY112" s="319">
        <v>33.845999999999997</v>
      </c>
      <c r="AZ112" s="319">
        <v>27.786999999999999</v>
      </c>
      <c r="BA112" s="319">
        <v>28.663</v>
      </c>
      <c r="BB112" s="319">
        <v>41.384999999999998</v>
      </c>
      <c r="BC112" s="319">
        <v>0</v>
      </c>
      <c r="BD112" s="319">
        <v>0</v>
      </c>
      <c r="BE112" s="319">
        <v>0</v>
      </c>
      <c r="BF112" s="319">
        <v>0</v>
      </c>
      <c r="BG112" s="319">
        <v>0</v>
      </c>
      <c r="BH112" s="319">
        <v>0</v>
      </c>
      <c r="BI112" s="317">
        <f t="shared" si="16"/>
        <v>228.82300000000001</v>
      </c>
      <c r="BJ112" s="316">
        <v>41.56</v>
      </c>
      <c r="BK112" s="316">
        <v>34.106999999999999</v>
      </c>
      <c r="BL112" s="316">
        <v>29.178999999999998</v>
      </c>
      <c r="BM112" s="316">
        <v>26.738</v>
      </c>
      <c r="BN112" s="316">
        <v>28.53</v>
      </c>
      <c r="BO112" s="316">
        <v>36.695999999999998</v>
      </c>
      <c r="BP112" s="316">
        <v>31.856999999999999</v>
      </c>
      <c r="BQ112" s="316">
        <v>0</v>
      </c>
      <c r="BR112" s="316">
        <v>0</v>
      </c>
      <c r="BS112" s="316">
        <v>0</v>
      </c>
      <c r="BT112" s="316">
        <v>0</v>
      </c>
      <c r="BU112" s="316">
        <v>0</v>
      </c>
      <c r="BV112" s="316">
        <v>0</v>
      </c>
      <c r="BW112" s="317">
        <f t="shared" si="17"/>
        <v>228.667</v>
      </c>
    </row>
    <row r="113" spans="1:734" x14ac:dyDescent="0.2">
      <c r="A113" s="20" t="str">
        <f>'School Level Inst. Resources'!A113</f>
        <v>0724000</v>
      </c>
      <c r="B113" s="20" t="str">
        <f>'School Level Inst. Resources'!B113</f>
        <v>Fremont #24</v>
      </c>
      <c r="C113" s="20" t="str">
        <f>'School Level Inst. Resources'!C113</f>
        <v>0724050</v>
      </c>
      <c r="D113" s="20" t="str">
        <f>'School Level Inst. Resources'!D113</f>
        <v>Shoshoni Junior High School</v>
      </c>
      <c r="E113" s="138" t="str">
        <f>'School Level Inst. Resources'!E113</f>
        <v>7-8</v>
      </c>
      <c r="F113" s="317">
        <f>IF(AND($A$2=4,VLOOKUP($A113,'District Level ADM'!$A$5:$W$52,5,FALSE)="Prior Year"),AH113,IF(AND($A$2=4,VLOOKUP($A113,'District Level ADM'!$A$5:$W$52,5,FALSE)="3-Year Avg."),T113,IF($A$2=2,AH113,IF($A$2=3,T113,IF(($AG113&gt;$AU113),T113,AH113)))))</f>
        <v>0</v>
      </c>
      <c r="G113" s="317">
        <f>IF(AND($A$2=4,VLOOKUP($A113,'District Level ADM'!$A$5:$W$52,5,FALSE)="Prior Year"),AI113,IF(AND($A$2=4,VLOOKUP($A113,'District Level ADM'!$A$5:$W$52,5,FALSE)="3-Year Avg."),U113,IF($A$2=2,AI113,IF($A$2=3,U113,IF(($AG113&gt;$AU113),U113,AI113)))))</f>
        <v>0</v>
      </c>
      <c r="H113" s="317">
        <f>IF(AND($A$2=4,VLOOKUP($A113,'District Level ADM'!$A$5:$W$52,5,FALSE)="Prior Year"),AJ113,IF(AND($A$2=4,VLOOKUP($A113,'District Level ADM'!$A$5:$W$52,5,FALSE)="3-Year Avg."),V113,IF($A$2=2,AJ113,IF($A$2=3,V113,IF(($AG113&gt;$AU113),V113,AJ113)))))</f>
        <v>0</v>
      </c>
      <c r="I113" s="317">
        <f>IF(AND($A$2=4,VLOOKUP($A113,'District Level ADM'!$A$5:$W$52,5,FALSE)="Prior Year"),AK113,IF(AND($A$2=4,VLOOKUP($A113,'District Level ADM'!$A$5:$W$52,5,FALSE)="3-Year Avg."),W113,IF($A$2=2,AK113,IF($A$2=3,W113,IF(($AG113&gt;$AU113),W113,AK113)))))</f>
        <v>0</v>
      </c>
      <c r="J113" s="317">
        <f>IF(AND($A$2=4,VLOOKUP($A113,'District Level ADM'!$A$5:$W$52,5,FALSE)="Prior Year"),AL113,IF(AND($A$2=4,VLOOKUP($A113,'District Level ADM'!$A$5:$W$52,5,FALSE)="3-Year Avg."),X113,IF($A$2=2,AL113,IF($A$2=3,X113,IF(($AG113&gt;$AU113),X113,AL113)))))</f>
        <v>0</v>
      </c>
      <c r="K113" s="317">
        <f>IF(AND($A$2=4,VLOOKUP($A113,'District Level ADM'!$A$5:$W$52,5,FALSE)="Prior Year"),AM113,IF(AND($A$2=4,VLOOKUP($A113,'District Level ADM'!$A$5:$W$52,5,FALSE)="3-Year Avg."),Y113,IF($A$2=2,AM113,IF($A$2=3,Y113,IF(($AG113&gt;$AU113),Y113,AM113)))))</f>
        <v>0</v>
      </c>
      <c r="L113" s="317">
        <f>IF(AND($A$2=4,VLOOKUP($A113,'District Level ADM'!$A$5:$W$52,5,FALSE)="Prior Year"),AN113,IF(AND($A$2=4,VLOOKUP($A113,'District Level ADM'!$A$5:$W$52,5,FALSE)="3-Year Avg."),Z113,IF($A$2=2,AN113,IF($A$2=3,Z113,IF(($AG113&gt;$AU113),Z113,AN113)))))</f>
        <v>0</v>
      </c>
      <c r="M113" s="317">
        <f>IF(AND($A$2=4,VLOOKUP($A113,'District Level ADM'!$A$5:$W$52,5,FALSE)="Prior Year"),AO113,IF(AND($A$2=4,VLOOKUP($A113,'District Level ADM'!$A$5:$W$52,5,FALSE)="3-Year Avg."),AA113,IF($A$2=2,AO113,IF($A$2=3,AA113,IF(($AG113&gt;$AU113),AA113,AO113)))))</f>
        <v>29.859666666666669</v>
      </c>
      <c r="N113" s="317">
        <f>IF(AND($A$2=4,VLOOKUP($A113,'District Level ADM'!$A$5:$W$52,5,FALSE)="Prior Year"),AP113,IF(AND($A$2=4,VLOOKUP($A113,'District Level ADM'!$A$5:$W$52,5,FALSE)="3-Year Avg."),AB113,IF($A$2=2,AP113,IF($A$2=3,AB113,IF(($AG113&gt;$AU113),AB113,AP113)))))</f>
        <v>26.363333333333333</v>
      </c>
      <c r="O113" s="317">
        <f>IF(AND($A$2=4,VLOOKUP($A113,'District Level ADM'!$A$5:$W$52,5,FALSE)="Prior Year"),AQ113,IF(AND($A$2=4,VLOOKUP($A113,'District Level ADM'!$A$5:$W$52,5,FALSE)="3-Year Avg."),AC113,IF($A$2=2,AQ113,IF($A$2=3,AC113,IF(($AG113&gt;$AU113),AC113,AQ113)))))</f>
        <v>0</v>
      </c>
      <c r="P113" s="317">
        <f>IF(AND($A$2=4,VLOOKUP($A113,'District Level ADM'!$A$5:$W$52,5,FALSE)="Prior Year"),AR113,IF(AND($A$2=4,VLOOKUP($A113,'District Level ADM'!$A$5:$W$52,5,FALSE)="3-Year Avg."),AD113,IF($A$2=2,AR113,IF($A$2=3,AD113,IF(($AG113&gt;$AU113),AD113,AR113)))))</f>
        <v>0</v>
      </c>
      <c r="Q113" s="317">
        <f>IF(AND($A$2=4,VLOOKUP($A113,'District Level ADM'!$A$5:$W$52,5,FALSE)="Prior Year"),AS113,IF(AND($A$2=4,VLOOKUP($A113,'District Level ADM'!$A$5:$W$52,5,FALSE)="3-Year Avg."),AE113,IF($A$2=2,AS113,IF($A$2=3,AE113,IF(($AG113&gt;$AU113),AE113,AS113)))))</f>
        <v>0</v>
      </c>
      <c r="R113" s="317">
        <f>IF(AND($A$2=4,VLOOKUP($A113,'District Level ADM'!$A$5:$W$52,5,FALSE)="Prior Year"),AT113,IF(AND($A$2=4,VLOOKUP($A113,'District Level ADM'!$A$5:$W$52,5,FALSE)="3-Year Avg."),AF113,IF($A$2=2,AT113,IF($A$2=3,AF113,IF(($AG113&gt;$AU113),AF113,AT113)))))</f>
        <v>0</v>
      </c>
      <c r="S113" s="317">
        <f t="shared" si="13"/>
        <v>56.222999999999999</v>
      </c>
      <c r="T113" s="317">
        <f t="shared" si="20"/>
        <v>0</v>
      </c>
      <c r="U113" s="317">
        <f t="shared" si="20"/>
        <v>0</v>
      </c>
      <c r="V113" s="317">
        <f t="shared" si="20"/>
        <v>0</v>
      </c>
      <c r="W113" s="317">
        <f t="shared" si="19"/>
        <v>0</v>
      </c>
      <c r="X113" s="317">
        <f t="shared" si="19"/>
        <v>0</v>
      </c>
      <c r="Y113" s="317">
        <f t="shared" si="19"/>
        <v>0</v>
      </c>
      <c r="Z113" s="317">
        <f t="shared" si="19"/>
        <v>0</v>
      </c>
      <c r="AA113" s="317">
        <f t="shared" si="19"/>
        <v>29.859666666666669</v>
      </c>
      <c r="AB113" s="317">
        <f t="shared" si="19"/>
        <v>26.363333333333333</v>
      </c>
      <c r="AC113" s="317">
        <f t="shared" si="18"/>
        <v>0</v>
      </c>
      <c r="AD113" s="317">
        <f t="shared" si="18"/>
        <v>0</v>
      </c>
      <c r="AE113" s="317">
        <f t="shared" si="18"/>
        <v>0</v>
      </c>
      <c r="AF113" s="317">
        <f t="shared" si="18"/>
        <v>0</v>
      </c>
      <c r="AG113" s="317">
        <f t="shared" si="14"/>
        <v>56.222999999999999</v>
      </c>
      <c r="AH113" s="318">
        <v>0</v>
      </c>
      <c r="AI113" s="318">
        <v>0</v>
      </c>
      <c r="AJ113" s="318">
        <v>0</v>
      </c>
      <c r="AK113" s="318">
        <v>0</v>
      </c>
      <c r="AL113" s="318">
        <v>0</v>
      </c>
      <c r="AM113" s="318">
        <v>0</v>
      </c>
      <c r="AN113" s="318">
        <v>0</v>
      </c>
      <c r="AO113" s="318">
        <v>35.46</v>
      </c>
      <c r="AP113" s="318">
        <v>27.58</v>
      </c>
      <c r="AQ113" s="318">
        <v>0</v>
      </c>
      <c r="AR113" s="318">
        <v>0</v>
      </c>
      <c r="AS113" s="318">
        <v>0</v>
      </c>
      <c r="AT113" s="318">
        <v>0</v>
      </c>
      <c r="AU113" s="317">
        <f t="shared" si="15"/>
        <v>63.04</v>
      </c>
      <c r="AV113" s="319">
        <v>0</v>
      </c>
      <c r="AW113" s="319">
        <v>0</v>
      </c>
      <c r="AX113" s="319">
        <v>0</v>
      </c>
      <c r="AY113" s="319">
        <v>0</v>
      </c>
      <c r="AZ113" s="319">
        <v>0</v>
      </c>
      <c r="BA113" s="319">
        <v>0</v>
      </c>
      <c r="BB113" s="319">
        <v>0</v>
      </c>
      <c r="BC113" s="319">
        <v>28.513999999999999</v>
      </c>
      <c r="BD113" s="319">
        <v>25.37</v>
      </c>
      <c r="BE113" s="319">
        <v>0</v>
      </c>
      <c r="BF113" s="319">
        <v>0</v>
      </c>
      <c r="BG113" s="319">
        <v>0</v>
      </c>
      <c r="BH113" s="319">
        <v>0</v>
      </c>
      <c r="BI113" s="317">
        <f t="shared" si="16"/>
        <v>53.884</v>
      </c>
      <c r="BJ113" s="316">
        <v>0</v>
      </c>
      <c r="BK113" s="316">
        <v>0</v>
      </c>
      <c r="BL113" s="316">
        <v>0</v>
      </c>
      <c r="BM113" s="316">
        <v>0</v>
      </c>
      <c r="BN113" s="316">
        <v>0</v>
      </c>
      <c r="BO113" s="316">
        <v>0</v>
      </c>
      <c r="BP113" s="316">
        <v>0</v>
      </c>
      <c r="BQ113" s="316">
        <v>25.605</v>
      </c>
      <c r="BR113" s="316">
        <v>26.14</v>
      </c>
      <c r="BS113" s="316">
        <v>0</v>
      </c>
      <c r="BT113" s="316">
        <v>0</v>
      </c>
      <c r="BU113" s="316">
        <v>0</v>
      </c>
      <c r="BV113" s="316">
        <v>0</v>
      </c>
      <c r="BW113" s="317">
        <f t="shared" si="17"/>
        <v>51.745000000000005</v>
      </c>
    </row>
    <row r="114" spans="1:734" x14ac:dyDescent="0.2">
      <c r="A114" s="20" t="str">
        <f>'School Level Inst. Resources'!A114</f>
        <v>0724000</v>
      </c>
      <c r="B114" s="20" t="str">
        <f>'School Level Inst. Resources'!B114</f>
        <v>Fremont #24</v>
      </c>
      <c r="C114" s="20" t="str">
        <f>'School Level Inst. Resources'!C114</f>
        <v>0724055</v>
      </c>
      <c r="D114" s="20" t="str">
        <f>'School Level Inst. Resources'!D114</f>
        <v>Shoshoni High School</v>
      </c>
      <c r="E114" s="138" t="str">
        <f>'School Level Inst. Resources'!E114</f>
        <v>9-12</v>
      </c>
      <c r="F114" s="317">
        <f>IF(AND($A$2=4,VLOOKUP($A114,'District Level ADM'!$A$5:$W$52,5,FALSE)="Prior Year"),AH114,IF(AND($A$2=4,VLOOKUP($A114,'District Level ADM'!$A$5:$W$52,5,FALSE)="3-Year Avg."),T114,IF($A$2=2,AH114,IF($A$2=3,T114,IF(($AG114&gt;$AU114),T114,AH114)))))</f>
        <v>0</v>
      </c>
      <c r="G114" s="317">
        <f>IF(AND($A$2=4,VLOOKUP($A114,'District Level ADM'!$A$5:$W$52,5,FALSE)="Prior Year"),AI114,IF(AND($A$2=4,VLOOKUP($A114,'District Level ADM'!$A$5:$W$52,5,FALSE)="3-Year Avg."),U114,IF($A$2=2,AI114,IF($A$2=3,U114,IF(($AG114&gt;$AU114),U114,AI114)))))</f>
        <v>0</v>
      </c>
      <c r="H114" s="317">
        <f>IF(AND($A$2=4,VLOOKUP($A114,'District Level ADM'!$A$5:$W$52,5,FALSE)="Prior Year"),AJ114,IF(AND($A$2=4,VLOOKUP($A114,'District Level ADM'!$A$5:$W$52,5,FALSE)="3-Year Avg."),V114,IF($A$2=2,AJ114,IF($A$2=3,V114,IF(($AG114&gt;$AU114),V114,AJ114)))))</f>
        <v>0</v>
      </c>
      <c r="I114" s="317">
        <f>IF(AND($A$2=4,VLOOKUP($A114,'District Level ADM'!$A$5:$W$52,5,FALSE)="Prior Year"),AK114,IF(AND($A$2=4,VLOOKUP($A114,'District Level ADM'!$A$5:$W$52,5,FALSE)="3-Year Avg."),W114,IF($A$2=2,AK114,IF($A$2=3,W114,IF(($AG114&gt;$AU114),W114,AK114)))))</f>
        <v>0</v>
      </c>
      <c r="J114" s="317">
        <f>IF(AND($A$2=4,VLOOKUP($A114,'District Level ADM'!$A$5:$W$52,5,FALSE)="Prior Year"),AL114,IF(AND($A$2=4,VLOOKUP($A114,'District Level ADM'!$A$5:$W$52,5,FALSE)="3-Year Avg."),X114,IF($A$2=2,AL114,IF($A$2=3,X114,IF(($AG114&gt;$AU114),X114,AL114)))))</f>
        <v>0</v>
      </c>
      <c r="K114" s="317">
        <f>IF(AND($A$2=4,VLOOKUP($A114,'District Level ADM'!$A$5:$W$52,5,FALSE)="Prior Year"),AM114,IF(AND($A$2=4,VLOOKUP($A114,'District Level ADM'!$A$5:$W$52,5,FALSE)="3-Year Avg."),Y114,IF($A$2=2,AM114,IF($A$2=3,Y114,IF(($AG114&gt;$AU114),Y114,AM114)))))</f>
        <v>0</v>
      </c>
      <c r="L114" s="317">
        <f>IF(AND($A$2=4,VLOOKUP($A114,'District Level ADM'!$A$5:$W$52,5,FALSE)="Prior Year"),AN114,IF(AND($A$2=4,VLOOKUP($A114,'District Level ADM'!$A$5:$W$52,5,FALSE)="3-Year Avg."),Z114,IF($A$2=2,AN114,IF($A$2=3,Z114,IF(($AG114&gt;$AU114),Z114,AN114)))))</f>
        <v>0</v>
      </c>
      <c r="M114" s="317">
        <f>IF(AND($A$2=4,VLOOKUP($A114,'District Level ADM'!$A$5:$W$52,5,FALSE)="Prior Year"),AO114,IF(AND($A$2=4,VLOOKUP($A114,'District Level ADM'!$A$5:$W$52,5,FALSE)="3-Year Avg."),AA114,IF($A$2=2,AO114,IF($A$2=3,AA114,IF(($AG114&gt;$AU114),AA114,AO114)))))</f>
        <v>0</v>
      </c>
      <c r="N114" s="317">
        <f>IF(AND($A$2=4,VLOOKUP($A114,'District Level ADM'!$A$5:$W$52,5,FALSE)="Prior Year"),AP114,IF(AND($A$2=4,VLOOKUP($A114,'District Level ADM'!$A$5:$W$52,5,FALSE)="3-Year Avg."),AB114,IF($A$2=2,AP114,IF($A$2=3,AB114,IF(($AG114&gt;$AU114),AB114,AP114)))))</f>
        <v>0</v>
      </c>
      <c r="O114" s="317">
        <f>IF(AND($A$2=4,VLOOKUP($A114,'District Level ADM'!$A$5:$W$52,5,FALSE)="Prior Year"),AQ114,IF(AND($A$2=4,VLOOKUP($A114,'District Level ADM'!$A$5:$W$52,5,FALSE)="3-Year Avg."),AC114,IF($A$2=2,AQ114,IF($A$2=3,AC114,IF(($AG114&gt;$AU114),AC114,AQ114)))))</f>
        <v>26.540000000000003</v>
      </c>
      <c r="P114" s="317">
        <f>IF(AND($A$2=4,VLOOKUP($A114,'District Level ADM'!$A$5:$W$52,5,FALSE)="Prior Year"),AR114,IF(AND($A$2=4,VLOOKUP($A114,'District Level ADM'!$A$5:$W$52,5,FALSE)="3-Year Avg."),AD114,IF($A$2=2,AR114,IF($A$2=3,AD114,IF(($AG114&gt;$AU114),AD114,AR114)))))</f>
        <v>27.772333333333336</v>
      </c>
      <c r="Q114" s="317">
        <f>IF(AND($A$2=4,VLOOKUP($A114,'District Level ADM'!$A$5:$W$52,5,FALSE)="Prior Year"),AS114,IF(AND($A$2=4,VLOOKUP($A114,'District Level ADM'!$A$5:$W$52,5,FALSE)="3-Year Avg."),AE114,IF($A$2=2,AS114,IF($A$2=3,AE114,IF(($AG114&gt;$AU114),AE114,AS114)))))</f>
        <v>25.838999999999999</v>
      </c>
      <c r="R114" s="317">
        <f>IF(AND($A$2=4,VLOOKUP($A114,'District Level ADM'!$A$5:$W$52,5,FALSE)="Prior Year"),AT114,IF(AND($A$2=4,VLOOKUP($A114,'District Level ADM'!$A$5:$W$52,5,FALSE)="3-Year Avg."),AF114,IF($A$2=2,AT114,IF($A$2=3,AF114,IF(($AG114&gt;$AU114),AF114,AT114)))))</f>
        <v>28.401666666666667</v>
      </c>
      <c r="S114" s="317">
        <f t="shared" si="13"/>
        <v>108.55300000000001</v>
      </c>
      <c r="T114" s="317">
        <f t="shared" si="20"/>
        <v>0</v>
      </c>
      <c r="U114" s="317">
        <f t="shared" si="20"/>
        <v>0</v>
      </c>
      <c r="V114" s="317">
        <f t="shared" si="20"/>
        <v>0</v>
      </c>
      <c r="W114" s="317">
        <f t="shared" si="19"/>
        <v>0</v>
      </c>
      <c r="X114" s="317">
        <f t="shared" si="19"/>
        <v>0</v>
      </c>
      <c r="Y114" s="317">
        <f t="shared" si="19"/>
        <v>0</v>
      </c>
      <c r="Z114" s="317">
        <f t="shared" si="19"/>
        <v>0</v>
      </c>
      <c r="AA114" s="317">
        <f t="shared" si="19"/>
        <v>0</v>
      </c>
      <c r="AB114" s="317">
        <f t="shared" si="19"/>
        <v>0</v>
      </c>
      <c r="AC114" s="317">
        <f t="shared" si="18"/>
        <v>26.540000000000003</v>
      </c>
      <c r="AD114" s="317">
        <f t="shared" si="18"/>
        <v>27.772333333333336</v>
      </c>
      <c r="AE114" s="317">
        <f t="shared" si="18"/>
        <v>25.838999999999999</v>
      </c>
      <c r="AF114" s="317">
        <f t="shared" si="18"/>
        <v>28.401666666666667</v>
      </c>
      <c r="AG114" s="317">
        <f t="shared" si="14"/>
        <v>108.55300000000001</v>
      </c>
      <c r="AH114" s="318">
        <v>0</v>
      </c>
      <c r="AI114" s="318">
        <v>0</v>
      </c>
      <c r="AJ114" s="318">
        <v>0</v>
      </c>
      <c r="AK114" s="318">
        <v>0</v>
      </c>
      <c r="AL114" s="318">
        <v>0</v>
      </c>
      <c r="AM114" s="318">
        <v>0</v>
      </c>
      <c r="AN114" s="318">
        <v>0</v>
      </c>
      <c r="AO114" s="318">
        <v>0</v>
      </c>
      <c r="AP114" s="318">
        <v>0</v>
      </c>
      <c r="AQ114" s="318">
        <v>25.61</v>
      </c>
      <c r="AR114" s="318">
        <v>32.505000000000003</v>
      </c>
      <c r="AS114" s="318">
        <v>21.67</v>
      </c>
      <c r="AT114" s="318">
        <v>26.594999999999999</v>
      </c>
      <c r="AU114" s="317">
        <f t="shared" si="15"/>
        <v>106.38</v>
      </c>
      <c r="AV114" s="319">
        <v>0</v>
      </c>
      <c r="AW114" s="319">
        <v>0</v>
      </c>
      <c r="AX114" s="319">
        <v>0</v>
      </c>
      <c r="AY114" s="319">
        <v>0</v>
      </c>
      <c r="AZ114" s="319">
        <v>0</v>
      </c>
      <c r="BA114" s="319">
        <v>0</v>
      </c>
      <c r="BB114" s="319">
        <v>0</v>
      </c>
      <c r="BC114" s="319">
        <v>0</v>
      </c>
      <c r="BD114" s="319">
        <v>0</v>
      </c>
      <c r="BE114" s="319">
        <v>27.300999999999998</v>
      </c>
      <c r="BF114" s="319">
        <v>23.37</v>
      </c>
      <c r="BG114" s="319">
        <v>26.289000000000001</v>
      </c>
      <c r="BH114" s="319">
        <v>30</v>
      </c>
      <c r="BI114" s="317">
        <f t="shared" si="16"/>
        <v>106.96000000000001</v>
      </c>
      <c r="BJ114" s="316">
        <v>0</v>
      </c>
      <c r="BK114" s="316">
        <v>0</v>
      </c>
      <c r="BL114" s="316">
        <v>0</v>
      </c>
      <c r="BM114" s="316">
        <v>0</v>
      </c>
      <c r="BN114" s="316">
        <v>0</v>
      </c>
      <c r="BO114" s="316">
        <v>0</v>
      </c>
      <c r="BP114" s="316">
        <v>0</v>
      </c>
      <c r="BQ114" s="316">
        <v>0</v>
      </c>
      <c r="BR114" s="316">
        <v>0</v>
      </c>
      <c r="BS114" s="316">
        <v>26.709</v>
      </c>
      <c r="BT114" s="316">
        <v>27.442</v>
      </c>
      <c r="BU114" s="316">
        <v>29.558</v>
      </c>
      <c r="BV114" s="316">
        <v>28.61</v>
      </c>
      <c r="BW114" s="317">
        <f t="shared" si="17"/>
        <v>112.319</v>
      </c>
    </row>
    <row r="115" spans="1:734" x14ac:dyDescent="0.2">
      <c r="A115" s="20" t="str">
        <f>'School Level Inst. Resources'!A115</f>
        <v>0725000</v>
      </c>
      <c r="B115" s="20" t="str">
        <f>'School Level Inst. Resources'!B115</f>
        <v>Fremont #25</v>
      </c>
      <c r="C115" s="20" t="str">
        <f>'School Level Inst. Resources'!C115</f>
        <v>0725002</v>
      </c>
      <c r="D115" s="20" t="str">
        <f>'School Level Inst. Resources'!D115</f>
        <v>Ashgrove Elementary</v>
      </c>
      <c r="E115" s="138" t="str">
        <f>'School Level Inst. Resources'!E115</f>
        <v>1-3</v>
      </c>
      <c r="F115" s="317">
        <f>IF(AND($A$2=4,VLOOKUP($A115,'District Level ADM'!$A$5:$W$52,5,FALSE)="Prior Year"),AH115,IF(AND($A$2=4,VLOOKUP($A115,'District Level ADM'!$A$5:$W$52,5,FALSE)="3-Year Avg."),T115,IF($A$2=2,AH115,IF($A$2=3,T115,IF(($AG115&gt;$AU115),T115,AH115)))))</f>
        <v>0</v>
      </c>
      <c r="G115" s="317">
        <f>IF(AND($A$2=4,VLOOKUP($A115,'District Level ADM'!$A$5:$W$52,5,FALSE)="Prior Year"),AI115,IF(AND($A$2=4,VLOOKUP($A115,'District Level ADM'!$A$5:$W$52,5,FALSE)="3-Year Avg."),U115,IF($A$2=2,AI115,IF($A$2=3,U115,IF(($AG115&gt;$AU115),U115,AI115)))))</f>
        <v>56.884999999999998</v>
      </c>
      <c r="H115" s="317">
        <f>IF(AND($A$2=4,VLOOKUP($A115,'District Level ADM'!$A$5:$W$52,5,FALSE)="Prior Year"),AJ115,IF(AND($A$2=4,VLOOKUP($A115,'District Level ADM'!$A$5:$W$52,5,FALSE)="3-Year Avg."),V115,IF($A$2=2,AJ115,IF($A$2=3,V115,IF(($AG115&gt;$AU115),V115,AJ115)))))</f>
        <v>63.881333333333338</v>
      </c>
      <c r="I115" s="317">
        <f>IF(AND($A$2=4,VLOOKUP($A115,'District Level ADM'!$A$5:$W$52,5,FALSE)="Prior Year"),AK115,IF(AND($A$2=4,VLOOKUP($A115,'District Level ADM'!$A$5:$W$52,5,FALSE)="3-Year Avg."),W115,IF($A$2=2,AK115,IF($A$2=3,W115,IF(($AG115&gt;$AU115),W115,AK115)))))</f>
        <v>60.567000000000007</v>
      </c>
      <c r="J115" s="317">
        <f>IF(AND($A$2=4,VLOOKUP($A115,'District Level ADM'!$A$5:$W$52,5,FALSE)="Prior Year"),AL115,IF(AND($A$2=4,VLOOKUP($A115,'District Level ADM'!$A$5:$W$52,5,FALSE)="3-Year Avg."),X115,IF($A$2=2,AL115,IF($A$2=3,X115,IF(($AG115&gt;$AU115),X115,AL115)))))</f>
        <v>0</v>
      </c>
      <c r="K115" s="317">
        <f>IF(AND($A$2=4,VLOOKUP($A115,'District Level ADM'!$A$5:$W$52,5,FALSE)="Prior Year"),AM115,IF(AND($A$2=4,VLOOKUP($A115,'District Level ADM'!$A$5:$W$52,5,FALSE)="3-Year Avg."),Y115,IF($A$2=2,AM115,IF($A$2=3,Y115,IF(($AG115&gt;$AU115),Y115,AM115)))))</f>
        <v>0</v>
      </c>
      <c r="L115" s="317">
        <f>IF(AND($A$2=4,VLOOKUP($A115,'District Level ADM'!$A$5:$W$52,5,FALSE)="Prior Year"),AN115,IF(AND($A$2=4,VLOOKUP($A115,'District Level ADM'!$A$5:$W$52,5,FALSE)="3-Year Avg."),Z115,IF($A$2=2,AN115,IF($A$2=3,Z115,IF(($AG115&gt;$AU115),Z115,AN115)))))</f>
        <v>0</v>
      </c>
      <c r="M115" s="317">
        <f>IF(AND($A$2=4,VLOOKUP($A115,'District Level ADM'!$A$5:$W$52,5,FALSE)="Prior Year"),AO115,IF(AND($A$2=4,VLOOKUP($A115,'District Level ADM'!$A$5:$W$52,5,FALSE)="3-Year Avg."),AA115,IF($A$2=2,AO115,IF($A$2=3,AA115,IF(($AG115&gt;$AU115),AA115,AO115)))))</f>
        <v>0</v>
      </c>
      <c r="N115" s="317">
        <f>IF(AND($A$2=4,VLOOKUP($A115,'District Level ADM'!$A$5:$W$52,5,FALSE)="Prior Year"),AP115,IF(AND($A$2=4,VLOOKUP($A115,'District Level ADM'!$A$5:$W$52,5,FALSE)="3-Year Avg."),AB115,IF($A$2=2,AP115,IF($A$2=3,AB115,IF(($AG115&gt;$AU115),AB115,AP115)))))</f>
        <v>0</v>
      </c>
      <c r="O115" s="317">
        <f>IF(AND($A$2=4,VLOOKUP($A115,'District Level ADM'!$A$5:$W$52,5,FALSE)="Prior Year"),AQ115,IF(AND($A$2=4,VLOOKUP($A115,'District Level ADM'!$A$5:$W$52,5,FALSE)="3-Year Avg."),AC115,IF($A$2=2,AQ115,IF($A$2=3,AC115,IF(($AG115&gt;$AU115),AC115,AQ115)))))</f>
        <v>0</v>
      </c>
      <c r="P115" s="317">
        <f>IF(AND($A$2=4,VLOOKUP($A115,'District Level ADM'!$A$5:$W$52,5,FALSE)="Prior Year"),AR115,IF(AND($A$2=4,VLOOKUP($A115,'District Level ADM'!$A$5:$W$52,5,FALSE)="3-Year Avg."),AD115,IF($A$2=2,AR115,IF($A$2=3,AD115,IF(($AG115&gt;$AU115),AD115,AR115)))))</f>
        <v>0</v>
      </c>
      <c r="Q115" s="317">
        <f>IF(AND($A$2=4,VLOOKUP($A115,'District Level ADM'!$A$5:$W$52,5,FALSE)="Prior Year"),AS115,IF(AND($A$2=4,VLOOKUP($A115,'District Level ADM'!$A$5:$W$52,5,FALSE)="3-Year Avg."),AE115,IF($A$2=2,AS115,IF($A$2=3,AE115,IF(($AG115&gt;$AU115),AE115,AS115)))))</f>
        <v>0</v>
      </c>
      <c r="R115" s="317">
        <f>IF(AND($A$2=4,VLOOKUP($A115,'District Level ADM'!$A$5:$W$52,5,FALSE)="Prior Year"),AT115,IF(AND($A$2=4,VLOOKUP($A115,'District Level ADM'!$A$5:$W$52,5,FALSE)="3-Year Avg."),AF115,IF($A$2=2,AT115,IF($A$2=3,AF115,IF(($AG115&gt;$AU115),AF115,AT115)))))</f>
        <v>0</v>
      </c>
      <c r="S115" s="317">
        <f t="shared" si="13"/>
        <v>181.33333333333334</v>
      </c>
      <c r="T115" s="317">
        <f t="shared" si="20"/>
        <v>0</v>
      </c>
      <c r="U115" s="317">
        <f t="shared" si="20"/>
        <v>56.884999999999998</v>
      </c>
      <c r="V115" s="317">
        <f t="shared" si="20"/>
        <v>63.881333333333338</v>
      </c>
      <c r="W115" s="317">
        <f t="shared" si="19"/>
        <v>60.567000000000007</v>
      </c>
      <c r="X115" s="317">
        <f t="shared" si="19"/>
        <v>0</v>
      </c>
      <c r="Y115" s="317">
        <f t="shared" si="19"/>
        <v>0</v>
      </c>
      <c r="Z115" s="317">
        <f t="shared" si="19"/>
        <v>0</v>
      </c>
      <c r="AA115" s="317">
        <f t="shared" si="19"/>
        <v>0</v>
      </c>
      <c r="AB115" s="317">
        <f t="shared" si="19"/>
        <v>0</v>
      </c>
      <c r="AC115" s="317">
        <f t="shared" si="18"/>
        <v>0</v>
      </c>
      <c r="AD115" s="317">
        <f t="shared" si="18"/>
        <v>0</v>
      </c>
      <c r="AE115" s="317">
        <f t="shared" si="18"/>
        <v>0</v>
      </c>
      <c r="AF115" s="317">
        <f t="shared" si="18"/>
        <v>0</v>
      </c>
      <c r="AG115" s="317">
        <f t="shared" si="14"/>
        <v>181.33333333333334</v>
      </c>
      <c r="AH115" s="318">
        <v>0</v>
      </c>
      <c r="AI115" s="318">
        <v>41.37</v>
      </c>
      <c r="AJ115" s="318">
        <v>61.07</v>
      </c>
      <c r="AK115" s="318">
        <v>57.13</v>
      </c>
      <c r="AL115" s="318">
        <v>0</v>
      </c>
      <c r="AM115" s="318">
        <v>0</v>
      </c>
      <c r="AN115" s="318">
        <v>0</v>
      </c>
      <c r="AO115" s="318">
        <v>0</v>
      </c>
      <c r="AP115" s="318">
        <v>0</v>
      </c>
      <c r="AQ115" s="318">
        <v>0</v>
      </c>
      <c r="AR115" s="318">
        <v>0</v>
      </c>
      <c r="AS115" s="318">
        <v>0</v>
      </c>
      <c r="AT115" s="318">
        <v>0</v>
      </c>
      <c r="AU115" s="317">
        <f t="shared" si="15"/>
        <v>159.57</v>
      </c>
      <c r="AV115" s="319">
        <v>0</v>
      </c>
      <c r="AW115" s="319">
        <v>66.944000000000003</v>
      </c>
      <c r="AX115" s="319">
        <v>62.011000000000003</v>
      </c>
      <c r="AY115" s="319">
        <v>65.253</v>
      </c>
      <c r="AZ115" s="319">
        <v>0</v>
      </c>
      <c r="BA115" s="319">
        <v>0</v>
      </c>
      <c r="BB115" s="319">
        <v>0</v>
      </c>
      <c r="BC115" s="319">
        <v>0</v>
      </c>
      <c r="BD115" s="319">
        <v>0</v>
      </c>
      <c r="BE115" s="319">
        <v>0</v>
      </c>
      <c r="BF115" s="319">
        <v>0</v>
      </c>
      <c r="BG115" s="319">
        <v>0</v>
      </c>
      <c r="BH115" s="319">
        <v>0</v>
      </c>
      <c r="BI115" s="317">
        <f t="shared" si="16"/>
        <v>194.20800000000003</v>
      </c>
      <c r="BJ115" s="316">
        <v>0</v>
      </c>
      <c r="BK115" s="316">
        <v>62.341000000000001</v>
      </c>
      <c r="BL115" s="316">
        <v>68.563000000000002</v>
      </c>
      <c r="BM115" s="316">
        <v>59.317999999999998</v>
      </c>
      <c r="BN115" s="316">
        <v>0</v>
      </c>
      <c r="BO115" s="316">
        <v>0</v>
      </c>
      <c r="BP115" s="316">
        <v>0</v>
      </c>
      <c r="BQ115" s="316">
        <v>0</v>
      </c>
      <c r="BR115" s="316">
        <v>0</v>
      </c>
      <c r="BS115" s="316">
        <v>0</v>
      </c>
      <c r="BT115" s="316">
        <v>0</v>
      </c>
      <c r="BU115" s="316">
        <v>0</v>
      </c>
      <c r="BV115" s="316">
        <v>0</v>
      </c>
      <c r="BW115" s="317">
        <f t="shared" si="17"/>
        <v>190.22199999999998</v>
      </c>
    </row>
    <row r="116" spans="1:734" x14ac:dyDescent="0.2">
      <c r="A116" s="20" t="str">
        <f>'School Level Inst. Resources'!A116</f>
        <v>0725000</v>
      </c>
      <c r="B116" s="20" t="str">
        <f>'School Level Inst. Resources'!B116</f>
        <v>Fremont #25</v>
      </c>
      <c r="C116" s="20" t="str">
        <f>'School Level Inst. Resources'!C116</f>
        <v>0725007</v>
      </c>
      <c r="D116" s="20" t="str">
        <f>'School Level Inst. Resources'!D116</f>
        <v>Rendezvous Elementary</v>
      </c>
      <c r="E116" s="138" t="str">
        <f>'School Level Inst. Resources'!E116</f>
        <v>4-5</v>
      </c>
      <c r="F116" s="317">
        <f>IF(AND($A$2=4,VLOOKUP($A116,'District Level ADM'!$A$5:$W$52,5,FALSE)="Prior Year"),AH116,IF(AND($A$2=4,VLOOKUP($A116,'District Level ADM'!$A$5:$W$52,5,FALSE)="3-Year Avg."),T116,IF($A$2=2,AH116,IF($A$2=3,T116,IF(($AG116&gt;$AU116),T116,AH116)))))</f>
        <v>0</v>
      </c>
      <c r="G116" s="317">
        <f>IF(AND($A$2=4,VLOOKUP($A116,'District Level ADM'!$A$5:$W$52,5,FALSE)="Prior Year"),AI116,IF(AND($A$2=4,VLOOKUP($A116,'District Level ADM'!$A$5:$W$52,5,FALSE)="3-Year Avg."),U116,IF($A$2=2,AI116,IF($A$2=3,U116,IF(($AG116&gt;$AU116),U116,AI116)))))</f>
        <v>0</v>
      </c>
      <c r="H116" s="317">
        <f>IF(AND($A$2=4,VLOOKUP($A116,'District Level ADM'!$A$5:$W$52,5,FALSE)="Prior Year"),AJ116,IF(AND($A$2=4,VLOOKUP($A116,'District Level ADM'!$A$5:$W$52,5,FALSE)="3-Year Avg."),V116,IF($A$2=2,AJ116,IF($A$2=3,V116,IF(($AG116&gt;$AU116),V116,AJ116)))))</f>
        <v>0</v>
      </c>
      <c r="I116" s="317">
        <f>IF(AND($A$2=4,VLOOKUP($A116,'District Level ADM'!$A$5:$W$52,5,FALSE)="Prior Year"),AK116,IF(AND($A$2=4,VLOOKUP($A116,'District Level ADM'!$A$5:$W$52,5,FALSE)="3-Year Avg."),W116,IF($A$2=2,AK116,IF($A$2=3,W116,IF(($AG116&gt;$AU116),W116,AK116)))))</f>
        <v>0</v>
      </c>
      <c r="J116" s="317">
        <f>IF(AND($A$2=4,VLOOKUP($A116,'District Level ADM'!$A$5:$W$52,5,FALSE)="Prior Year"),AL116,IF(AND($A$2=4,VLOOKUP($A116,'District Level ADM'!$A$5:$W$52,5,FALSE)="3-Year Avg."),X116,IF($A$2=2,AL116,IF($A$2=3,X116,IF(($AG116&gt;$AU116),X116,AL116)))))</f>
        <v>198.47266666666667</v>
      </c>
      <c r="K116" s="317">
        <f>IF(AND($A$2=4,VLOOKUP($A116,'District Level ADM'!$A$5:$W$52,5,FALSE)="Prior Year"),AM116,IF(AND($A$2=4,VLOOKUP($A116,'District Level ADM'!$A$5:$W$52,5,FALSE)="3-Year Avg."),Y116,IF($A$2=2,AM116,IF($A$2=3,Y116,IF(($AG116&gt;$AU116),Y116,AM116)))))</f>
        <v>189.744</v>
      </c>
      <c r="L116" s="317">
        <f>IF(AND($A$2=4,VLOOKUP($A116,'District Level ADM'!$A$5:$W$52,5,FALSE)="Prior Year"),AN116,IF(AND($A$2=4,VLOOKUP($A116,'District Level ADM'!$A$5:$W$52,5,FALSE)="3-Year Avg."),Z116,IF($A$2=2,AN116,IF($A$2=3,Z116,IF(($AG116&gt;$AU116),Z116,AN116)))))</f>
        <v>0</v>
      </c>
      <c r="M116" s="317">
        <f>IF(AND($A$2=4,VLOOKUP($A116,'District Level ADM'!$A$5:$W$52,5,FALSE)="Prior Year"),AO116,IF(AND($A$2=4,VLOOKUP($A116,'District Level ADM'!$A$5:$W$52,5,FALSE)="3-Year Avg."),AA116,IF($A$2=2,AO116,IF($A$2=3,AA116,IF(($AG116&gt;$AU116),AA116,AO116)))))</f>
        <v>0</v>
      </c>
      <c r="N116" s="317">
        <f>IF(AND($A$2=4,VLOOKUP($A116,'District Level ADM'!$A$5:$W$52,5,FALSE)="Prior Year"),AP116,IF(AND($A$2=4,VLOOKUP($A116,'District Level ADM'!$A$5:$W$52,5,FALSE)="3-Year Avg."),AB116,IF($A$2=2,AP116,IF($A$2=3,AB116,IF(($AG116&gt;$AU116),AB116,AP116)))))</f>
        <v>0</v>
      </c>
      <c r="O116" s="317">
        <f>IF(AND($A$2=4,VLOOKUP($A116,'District Level ADM'!$A$5:$W$52,5,FALSE)="Prior Year"),AQ116,IF(AND($A$2=4,VLOOKUP($A116,'District Level ADM'!$A$5:$W$52,5,FALSE)="3-Year Avg."),AC116,IF($A$2=2,AQ116,IF($A$2=3,AC116,IF(($AG116&gt;$AU116),AC116,AQ116)))))</f>
        <v>0</v>
      </c>
      <c r="P116" s="317">
        <f>IF(AND($A$2=4,VLOOKUP($A116,'District Level ADM'!$A$5:$W$52,5,FALSE)="Prior Year"),AR116,IF(AND($A$2=4,VLOOKUP($A116,'District Level ADM'!$A$5:$W$52,5,FALSE)="3-Year Avg."),AD116,IF($A$2=2,AR116,IF($A$2=3,AD116,IF(($AG116&gt;$AU116),AD116,AR116)))))</f>
        <v>0</v>
      </c>
      <c r="Q116" s="317">
        <f>IF(AND($A$2=4,VLOOKUP($A116,'District Level ADM'!$A$5:$W$52,5,FALSE)="Prior Year"),AS116,IF(AND($A$2=4,VLOOKUP($A116,'District Level ADM'!$A$5:$W$52,5,FALSE)="3-Year Avg."),AE116,IF($A$2=2,AS116,IF($A$2=3,AE116,IF(($AG116&gt;$AU116),AE116,AS116)))))</f>
        <v>0</v>
      </c>
      <c r="R116" s="317">
        <f>IF(AND($A$2=4,VLOOKUP($A116,'District Level ADM'!$A$5:$W$52,5,FALSE)="Prior Year"),AT116,IF(AND($A$2=4,VLOOKUP($A116,'District Level ADM'!$A$5:$W$52,5,FALSE)="3-Year Avg."),AF116,IF($A$2=2,AT116,IF($A$2=3,AF116,IF(($AG116&gt;$AU116),AF116,AT116)))))</f>
        <v>0</v>
      </c>
      <c r="S116" s="317">
        <f t="shared" si="13"/>
        <v>388.2166666666667</v>
      </c>
      <c r="T116" s="317">
        <f t="shared" si="20"/>
        <v>0</v>
      </c>
      <c r="U116" s="317">
        <f t="shared" si="20"/>
        <v>0</v>
      </c>
      <c r="V116" s="317">
        <f t="shared" si="20"/>
        <v>0</v>
      </c>
      <c r="W116" s="317">
        <f t="shared" si="19"/>
        <v>0</v>
      </c>
      <c r="X116" s="317">
        <f t="shared" si="19"/>
        <v>198.47266666666667</v>
      </c>
      <c r="Y116" s="317">
        <f t="shared" si="19"/>
        <v>189.744</v>
      </c>
      <c r="Z116" s="317">
        <f t="shared" si="19"/>
        <v>0</v>
      </c>
      <c r="AA116" s="317">
        <f t="shared" si="19"/>
        <v>0</v>
      </c>
      <c r="AB116" s="317">
        <f t="shared" si="19"/>
        <v>0</v>
      </c>
      <c r="AC116" s="317">
        <f t="shared" si="18"/>
        <v>0</v>
      </c>
      <c r="AD116" s="317">
        <f t="shared" si="18"/>
        <v>0</v>
      </c>
      <c r="AE116" s="317">
        <f t="shared" si="18"/>
        <v>0</v>
      </c>
      <c r="AF116" s="317">
        <f t="shared" si="18"/>
        <v>0</v>
      </c>
      <c r="AG116" s="317">
        <f t="shared" si="14"/>
        <v>388.2166666666667</v>
      </c>
      <c r="AH116" s="318">
        <v>0</v>
      </c>
      <c r="AI116" s="318">
        <v>0</v>
      </c>
      <c r="AJ116" s="318">
        <v>0</v>
      </c>
      <c r="AK116" s="318">
        <v>0</v>
      </c>
      <c r="AL116" s="318">
        <v>211.77500000000001</v>
      </c>
      <c r="AM116" s="318">
        <v>170.405</v>
      </c>
      <c r="AN116" s="318">
        <v>0</v>
      </c>
      <c r="AO116" s="318">
        <v>0</v>
      </c>
      <c r="AP116" s="318">
        <v>0</v>
      </c>
      <c r="AQ116" s="318">
        <v>0</v>
      </c>
      <c r="AR116" s="318">
        <v>0</v>
      </c>
      <c r="AS116" s="318">
        <v>0</v>
      </c>
      <c r="AT116" s="318">
        <v>0</v>
      </c>
      <c r="AU116" s="317">
        <f>SUM(AH116:AT116)</f>
        <v>382.18</v>
      </c>
      <c r="AV116" s="319">
        <v>0</v>
      </c>
      <c r="AW116" s="319">
        <v>0</v>
      </c>
      <c r="AX116" s="319">
        <v>0</v>
      </c>
      <c r="AY116" s="319">
        <v>0</v>
      </c>
      <c r="AZ116" s="319">
        <v>172.34800000000001</v>
      </c>
      <c r="BA116" s="319">
        <v>207.73</v>
      </c>
      <c r="BB116" s="319">
        <v>0</v>
      </c>
      <c r="BC116" s="319">
        <v>0</v>
      </c>
      <c r="BD116" s="319">
        <v>0</v>
      </c>
      <c r="BE116" s="319">
        <v>0</v>
      </c>
      <c r="BF116" s="319">
        <v>0</v>
      </c>
      <c r="BG116" s="319">
        <v>0</v>
      </c>
      <c r="BH116" s="319">
        <v>0</v>
      </c>
      <c r="BI116" s="317">
        <f>SUM(AV116:BH116)</f>
        <v>380.07799999999997</v>
      </c>
      <c r="BJ116" s="316">
        <v>0</v>
      </c>
      <c r="BK116" s="316">
        <v>0</v>
      </c>
      <c r="BL116" s="316">
        <v>0</v>
      </c>
      <c r="BM116" s="316">
        <v>0</v>
      </c>
      <c r="BN116" s="316">
        <v>211.29499999999999</v>
      </c>
      <c r="BO116" s="316">
        <v>191.09700000000001</v>
      </c>
      <c r="BP116" s="316">
        <v>0</v>
      </c>
      <c r="BQ116" s="316">
        <v>0</v>
      </c>
      <c r="BR116" s="316">
        <v>0</v>
      </c>
      <c r="BS116" s="316">
        <v>0</v>
      </c>
      <c r="BT116" s="316">
        <v>0</v>
      </c>
      <c r="BU116" s="316">
        <v>0</v>
      </c>
      <c r="BV116" s="316">
        <v>0</v>
      </c>
      <c r="BW116" s="317">
        <f>SUM(BJ116:BV116)</f>
        <v>402.392</v>
      </c>
    </row>
    <row r="117" spans="1:734" x14ac:dyDescent="0.2">
      <c r="A117" s="20" t="str">
        <f>'School Level Inst. Resources'!A117</f>
        <v>0725000</v>
      </c>
      <c r="B117" s="20" t="str">
        <f>'School Level Inst. Resources'!B117</f>
        <v>Fremont #25</v>
      </c>
      <c r="C117" s="20" t="str">
        <f>'School Level Inst. Resources'!C117</f>
        <v>0725008</v>
      </c>
      <c r="D117" s="20" t="str">
        <f>'School Level Inst. Resources'!D117</f>
        <v>Jackson Elementary</v>
      </c>
      <c r="E117" s="138" t="str">
        <f>'School Level Inst. Resources'!E117</f>
        <v>1-3</v>
      </c>
      <c r="F117" s="317">
        <f>IF(AND($A$2=4,VLOOKUP($A117,'District Level ADM'!$A$5:$W$52,5,FALSE)="Prior Year"),AH117,IF(AND($A$2=4,VLOOKUP($A117,'District Level ADM'!$A$5:$W$52,5,FALSE)="3-Year Avg."),T117,IF($A$2=2,AH117,IF($A$2=3,T117,IF(($AG117&gt;$AU117),T117,AH117)))))</f>
        <v>0</v>
      </c>
      <c r="G117" s="317">
        <f>IF(AND($A$2=4,VLOOKUP($A117,'District Level ADM'!$A$5:$W$52,5,FALSE)="Prior Year"),AI117,IF(AND($A$2=4,VLOOKUP($A117,'District Level ADM'!$A$5:$W$52,5,FALSE)="3-Year Avg."),U117,IF($A$2=2,AI117,IF($A$2=3,U117,IF(($AG117&gt;$AU117),U117,AI117)))))</f>
        <v>53.524000000000001</v>
      </c>
      <c r="H117" s="317">
        <f>IF(AND($A$2=4,VLOOKUP($A117,'District Level ADM'!$A$5:$W$52,5,FALSE)="Prior Year"),AJ117,IF(AND($A$2=4,VLOOKUP($A117,'District Level ADM'!$A$5:$W$52,5,FALSE)="3-Year Avg."),V117,IF($A$2=2,AJ117,IF($A$2=3,V117,IF(($AG117&gt;$AU117),V117,AJ117)))))</f>
        <v>58.911999999999999</v>
      </c>
      <c r="I117" s="317">
        <f>IF(AND($A$2=4,VLOOKUP($A117,'District Level ADM'!$A$5:$W$52,5,FALSE)="Prior Year"),AK117,IF(AND($A$2=4,VLOOKUP($A117,'District Level ADM'!$A$5:$W$52,5,FALSE)="3-Year Avg."),W117,IF($A$2=2,AK117,IF($A$2=3,W117,IF(($AG117&gt;$AU117),W117,AK117)))))</f>
        <v>60.431000000000004</v>
      </c>
      <c r="J117" s="317">
        <f>IF(AND($A$2=4,VLOOKUP($A117,'District Level ADM'!$A$5:$W$52,5,FALSE)="Prior Year"),AL117,IF(AND($A$2=4,VLOOKUP($A117,'District Level ADM'!$A$5:$W$52,5,FALSE)="3-Year Avg."),X117,IF($A$2=2,AL117,IF($A$2=3,X117,IF(($AG117&gt;$AU117),X117,AL117)))))</f>
        <v>0</v>
      </c>
      <c r="K117" s="317">
        <f>IF(AND($A$2=4,VLOOKUP($A117,'District Level ADM'!$A$5:$W$52,5,FALSE)="Prior Year"),AM117,IF(AND($A$2=4,VLOOKUP($A117,'District Level ADM'!$A$5:$W$52,5,FALSE)="3-Year Avg."),Y117,IF($A$2=2,AM117,IF($A$2=3,Y117,IF(($AG117&gt;$AU117),Y117,AM117)))))</f>
        <v>0</v>
      </c>
      <c r="L117" s="317">
        <f>IF(AND($A$2=4,VLOOKUP($A117,'District Level ADM'!$A$5:$W$52,5,FALSE)="Prior Year"),AN117,IF(AND($A$2=4,VLOOKUP($A117,'District Level ADM'!$A$5:$W$52,5,FALSE)="3-Year Avg."),Z117,IF($A$2=2,AN117,IF($A$2=3,Z117,IF(($AG117&gt;$AU117),Z117,AN117)))))</f>
        <v>0</v>
      </c>
      <c r="M117" s="317">
        <f>IF(AND($A$2=4,VLOOKUP($A117,'District Level ADM'!$A$5:$W$52,5,FALSE)="Prior Year"),AO117,IF(AND($A$2=4,VLOOKUP($A117,'District Level ADM'!$A$5:$W$52,5,FALSE)="3-Year Avg."),AA117,IF($A$2=2,AO117,IF($A$2=3,AA117,IF(($AG117&gt;$AU117),AA117,AO117)))))</f>
        <v>0</v>
      </c>
      <c r="N117" s="317">
        <f>IF(AND($A$2=4,VLOOKUP($A117,'District Level ADM'!$A$5:$W$52,5,FALSE)="Prior Year"),AP117,IF(AND($A$2=4,VLOOKUP($A117,'District Level ADM'!$A$5:$W$52,5,FALSE)="3-Year Avg."),AB117,IF($A$2=2,AP117,IF($A$2=3,AB117,IF(($AG117&gt;$AU117),AB117,AP117)))))</f>
        <v>0</v>
      </c>
      <c r="O117" s="317">
        <f>IF(AND($A$2=4,VLOOKUP($A117,'District Level ADM'!$A$5:$W$52,5,FALSE)="Prior Year"),AQ117,IF(AND($A$2=4,VLOOKUP($A117,'District Level ADM'!$A$5:$W$52,5,FALSE)="3-Year Avg."),AC117,IF($A$2=2,AQ117,IF($A$2=3,AC117,IF(($AG117&gt;$AU117),AC117,AQ117)))))</f>
        <v>0</v>
      </c>
      <c r="P117" s="317">
        <f>IF(AND($A$2=4,VLOOKUP($A117,'District Level ADM'!$A$5:$W$52,5,FALSE)="Prior Year"),AR117,IF(AND($A$2=4,VLOOKUP($A117,'District Level ADM'!$A$5:$W$52,5,FALSE)="3-Year Avg."),AD117,IF($A$2=2,AR117,IF($A$2=3,AD117,IF(($AG117&gt;$AU117),AD117,AR117)))))</f>
        <v>0</v>
      </c>
      <c r="Q117" s="317">
        <f>IF(AND($A$2=4,VLOOKUP($A117,'District Level ADM'!$A$5:$W$52,5,FALSE)="Prior Year"),AS117,IF(AND($A$2=4,VLOOKUP($A117,'District Level ADM'!$A$5:$W$52,5,FALSE)="3-Year Avg."),AE117,IF($A$2=2,AS117,IF($A$2=3,AE117,IF(($AG117&gt;$AU117),AE117,AS117)))))</f>
        <v>0</v>
      </c>
      <c r="R117" s="317">
        <f>IF(AND($A$2=4,VLOOKUP($A117,'District Level ADM'!$A$5:$W$52,5,FALSE)="Prior Year"),AT117,IF(AND($A$2=4,VLOOKUP($A117,'District Level ADM'!$A$5:$W$52,5,FALSE)="3-Year Avg."),AF117,IF($A$2=2,AT117,IF($A$2=3,AF117,IF(($AG117&gt;$AU117),AF117,AT117)))))</f>
        <v>0</v>
      </c>
      <c r="S117" s="317">
        <f t="shared" si="13"/>
        <v>172.86700000000002</v>
      </c>
      <c r="T117" s="317">
        <f t="shared" si="20"/>
        <v>0</v>
      </c>
      <c r="U117" s="317">
        <f t="shared" si="20"/>
        <v>53.524000000000001</v>
      </c>
      <c r="V117" s="317">
        <f t="shared" si="20"/>
        <v>58.911999999999999</v>
      </c>
      <c r="W117" s="317">
        <f t="shared" si="19"/>
        <v>60.431000000000004</v>
      </c>
      <c r="X117" s="317">
        <f t="shared" si="19"/>
        <v>0</v>
      </c>
      <c r="Y117" s="317">
        <f t="shared" si="19"/>
        <v>0</v>
      </c>
      <c r="Z117" s="317">
        <f t="shared" si="19"/>
        <v>0</v>
      </c>
      <c r="AA117" s="317">
        <f t="shared" si="19"/>
        <v>0</v>
      </c>
      <c r="AB117" s="317">
        <f t="shared" si="19"/>
        <v>0</v>
      </c>
      <c r="AC117" s="317">
        <f t="shared" si="18"/>
        <v>0</v>
      </c>
      <c r="AD117" s="317">
        <f t="shared" si="18"/>
        <v>0</v>
      </c>
      <c r="AE117" s="317">
        <f t="shared" si="18"/>
        <v>0</v>
      </c>
      <c r="AF117" s="317">
        <f t="shared" si="18"/>
        <v>0</v>
      </c>
      <c r="AG117" s="317">
        <f t="shared" si="14"/>
        <v>172.86700000000002</v>
      </c>
      <c r="AH117" s="318">
        <v>0</v>
      </c>
      <c r="AI117" s="318">
        <v>45.31</v>
      </c>
      <c r="AJ117" s="318">
        <v>60.085000000000001</v>
      </c>
      <c r="AK117" s="318">
        <v>58.115000000000002</v>
      </c>
      <c r="AL117" s="318">
        <v>0</v>
      </c>
      <c r="AM117" s="318">
        <v>0</v>
      </c>
      <c r="AN117" s="318">
        <v>0</v>
      </c>
      <c r="AO117" s="318">
        <v>0</v>
      </c>
      <c r="AP117" s="318">
        <v>0</v>
      </c>
      <c r="AQ117" s="318">
        <v>0</v>
      </c>
      <c r="AR117" s="318">
        <v>0</v>
      </c>
      <c r="AS117" s="318">
        <v>0</v>
      </c>
      <c r="AT117" s="318">
        <v>0</v>
      </c>
      <c r="AU117" s="317">
        <f t="shared" si="15"/>
        <v>163.51000000000002</v>
      </c>
      <c r="AV117" s="319">
        <v>0</v>
      </c>
      <c r="AW117" s="319">
        <v>65.477999999999994</v>
      </c>
      <c r="AX117" s="319">
        <v>62.725000000000001</v>
      </c>
      <c r="AY117" s="319">
        <v>63.86</v>
      </c>
      <c r="AZ117" s="319">
        <v>0</v>
      </c>
      <c r="BA117" s="319">
        <v>0</v>
      </c>
      <c r="BB117" s="319">
        <v>0</v>
      </c>
      <c r="BC117" s="319">
        <v>0</v>
      </c>
      <c r="BD117" s="319">
        <v>0</v>
      </c>
      <c r="BE117" s="319">
        <v>0</v>
      </c>
      <c r="BF117" s="319">
        <v>0</v>
      </c>
      <c r="BG117" s="319">
        <v>0</v>
      </c>
      <c r="BH117" s="319">
        <v>0</v>
      </c>
      <c r="BI117" s="317">
        <f t="shared" si="16"/>
        <v>192.06299999999999</v>
      </c>
      <c r="BJ117" s="316">
        <v>0</v>
      </c>
      <c r="BK117" s="316">
        <v>49.783999999999999</v>
      </c>
      <c r="BL117" s="316">
        <v>53.926000000000002</v>
      </c>
      <c r="BM117" s="316">
        <v>59.317999999999998</v>
      </c>
      <c r="BN117" s="316">
        <v>0</v>
      </c>
      <c r="BO117" s="316">
        <v>0</v>
      </c>
      <c r="BP117" s="316">
        <v>0</v>
      </c>
      <c r="BQ117" s="316">
        <v>0</v>
      </c>
      <c r="BR117" s="316">
        <v>0</v>
      </c>
      <c r="BS117" s="316">
        <v>0</v>
      </c>
      <c r="BT117" s="316">
        <v>0</v>
      </c>
      <c r="BU117" s="316">
        <v>0</v>
      </c>
      <c r="BV117" s="316">
        <v>0</v>
      </c>
      <c r="BW117" s="317">
        <f t="shared" si="17"/>
        <v>163.02800000000002</v>
      </c>
    </row>
    <row r="118" spans="1:734" x14ac:dyDescent="0.2">
      <c r="A118" s="20" t="str">
        <f>'School Level Inst. Resources'!A118</f>
        <v>0725000</v>
      </c>
      <c r="B118" s="20" t="str">
        <f>'School Level Inst. Resources'!B118</f>
        <v>Fremont #25</v>
      </c>
      <c r="C118" s="20" t="str">
        <f>'School Level Inst. Resources'!C118</f>
        <v>0725009</v>
      </c>
      <c r="D118" s="20" t="str">
        <f>'School Level Inst. Resources'!D118</f>
        <v>Aspen Early Learning Center</v>
      </c>
      <c r="E118" s="138" t="str">
        <f>'School Level Inst. Resources'!E118</f>
        <v>K</v>
      </c>
      <c r="F118" s="317">
        <f>IF(AND($A$2=4,VLOOKUP($A118,'District Level ADM'!$A$5:$W$52,5,FALSE)="Prior Year"),AH118,IF(AND($A$2=4,VLOOKUP($A118,'District Level ADM'!$A$5:$W$52,5,FALSE)="3-Year Avg."),T118,IF($A$2=2,AH118,IF($A$2=3,T118,IF(($AG118&gt;$AU118),T118,AH118)))))</f>
        <v>207.23066666666668</v>
      </c>
      <c r="G118" s="317">
        <f>IF(AND($A$2=4,VLOOKUP($A118,'District Level ADM'!$A$5:$W$52,5,FALSE)="Prior Year"),AI118,IF(AND($A$2=4,VLOOKUP($A118,'District Level ADM'!$A$5:$W$52,5,FALSE)="3-Year Avg."),U118,IF($A$2=2,AI118,IF($A$2=3,U118,IF(($AG118&gt;$AU118),U118,AI118)))))</f>
        <v>0</v>
      </c>
      <c r="H118" s="317">
        <f>IF(AND($A$2=4,VLOOKUP($A118,'District Level ADM'!$A$5:$W$52,5,FALSE)="Prior Year"),AJ118,IF(AND($A$2=4,VLOOKUP($A118,'District Level ADM'!$A$5:$W$52,5,FALSE)="3-Year Avg."),V118,IF($A$2=2,AJ118,IF($A$2=3,V118,IF(($AG118&gt;$AU118),V118,AJ118)))))</f>
        <v>0</v>
      </c>
      <c r="I118" s="317">
        <f>IF(AND($A$2=4,VLOOKUP($A118,'District Level ADM'!$A$5:$W$52,5,FALSE)="Prior Year"),AK118,IF(AND($A$2=4,VLOOKUP($A118,'District Level ADM'!$A$5:$W$52,5,FALSE)="3-Year Avg."),W118,IF($A$2=2,AK118,IF($A$2=3,W118,IF(($AG118&gt;$AU118),W118,AK118)))))</f>
        <v>0</v>
      </c>
      <c r="J118" s="317">
        <f>IF(AND($A$2=4,VLOOKUP($A118,'District Level ADM'!$A$5:$W$52,5,FALSE)="Prior Year"),AL118,IF(AND($A$2=4,VLOOKUP($A118,'District Level ADM'!$A$5:$W$52,5,FALSE)="3-Year Avg."),X118,IF($A$2=2,AL118,IF($A$2=3,X118,IF(($AG118&gt;$AU118),X118,AL118)))))</f>
        <v>0</v>
      </c>
      <c r="K118" s="317">
        <f>IF(AND($A$2=4,VLOOKUP($A118,'District Level ADM'!$A$5:$W$52,5,FALSE)="Prior Year"),AM118,IF(AND($A$2=4,VLOOKUP($A118,'District Level ADM'!$A$5:$W$52,5,FALSE)="3-Year Avg."),Y118,IF($A$2=2,AM118,IF($A$2=3,Y118,IF(($AG118&gt;$AU118),Y118,AM118)))))</f>
        <v>0</v>
      </c>
      <c r="L118" s="317">
        <f>IF(AND($A$2=4,VLOOKUP($A118,'District Level ADM'!$A$5:$W$52,5,FALSE)="Prior Year"),AN118,IF(AND($A$2=4,VLOOKUP($A118,'District Level ADM'!$A$5:$W$52,5,FALSE)="3-Year Avg."),Z118,IF($A$2=2,AN118,IF($A$2=3,Z118,IF(($AG118&gt;$AU118),Z118,AN118)))))</f>
        <v>0</v>
      </c>
      <c r="M118" s="317">
        <f>IF(AND($A$2=4,VLOOKUP($A118,'District Level ADM'!$A$5:$W$52,5,FALSE)="Prior Year"),AO118,IF(AND($A$2=4,VLOOKUP($A118,'District Level ADM'!$A$5:$W$52,5,FALSE)="3-Year Avg."),AA118,IF($A$2=2,AO118,IF($A$2=3,AA118,IF(($AG118&gt;$AU118),AA118,AO118)))))</f>
        <v>0</v>
      </c>
      <c r="N118" s="317">
        <f>IF(AND($A$2=4,VLOOKUP($A118,'District Level ADM'!$A$5:$W$52,5,FALSE)="Prior Year"),AP118,IF(AND($A$2=4,VLOOKUP($A118,'District Level ADM'!$A$5:$W$52,5,FALSE)="3-Year Avg."),AB118,IF($A$2=2,AP118,IF($A$2=3,AB118,IF(($AG118&gt;$AU118),AB118,AP118)))))</f>
        <v>0</v>
      </c>
      <c r="O118" s="317">
        <f>IF(AND($A$2=4,VLOOKUP($A118,'District Level ADM'!$A$5:$W$52,5,FALSE)="Prior Year"),AQ118,IF(AND($A$2=4,VLOOKUP($A118,'District Level ADM'!$A$5:$W$52,5,FALSE)="3-Year Avg."),AC118,IF($A$2=2,AQ118,IF($A$2=3,AC118,IF(($AG118&gt;$AU118),AC118,AQ118)))))</f>
        <v>0</v>
      </c>
      <c r="P118" s="317">
        <f>IF(AND($A$2=4,VLOOKUP($A118,'District Level ADM'!$A$5:$W$52,5,FALSE)="Prior Year"),AR118,IF(AND($A$2=4,VLOOKUP($A118,'District Level ADM'!$A$5:$W$52,5,FALSE)="3-Year Avg."),AD118,IF($A$2=2,AR118,IF($A$2=3,AD118,IF(($AG118&gt;$AU118),AD118,AR118)))))</f>
        <v>0</v>
      </c>
      <c r="Q118" s="317">
        <f>IF(AND($A$2=4,VLOOKUP($A118,'District Level ADM'!$A$5:$W$52,5,FALSE)="Prior Year"),AS118,IF(AND($A$2=4,VLOOKUP($A118,'District Level ADM'!$A$5:$W$52,5,FALSE)="3-Year Avg."),AE118,IF($A$2=2,AS118,IF($A$2=3,AE118,IF(($AG118&gt;$AU118),AE118,AS118)))))</f>
        <v>0</v>
      </c>
      <c r="R118" s="317">
        <f>IF(AND($A$2=4,VLOOKUP($A118,'District Level ADM'!$A$5:$W$52,5,FALSE)="Prior Year"),AT118,IF(AND($A$2=4,VLOOKUP($A118,'District Level ADM'!$A$5:$W$52,5,FALSE)="3-Year Avg."),AF118,IF($A$2=2,AT118,IF($A$2=3,AF118,IF(($AG118&gt;$AU118),AF118,AT118)))))</f>
        <v>0</v>
      </c>
      <c r="S118" s="317">
        <f t="shared" si="13"/>
        <v>207.23066666666668</v>
      </c>
      <c r="T118" s="317">
        <f t="shared" si="20"/>
        <v>207.23066666666668</v>
      </c>
      <c r="U118" s="317">
        <f t="shared" si="20"/>
        <v>0</v>
      </c>
      <c r="V118" s="317">
        <f t="shared" si="20"/>
        <v>0</v>
      </c>
      <c r="W118" s="317">
        <f t="shared" si="19"/>
        <v>0</v>
      </c>
      <c r="X118" s="317">
        <f t="shared" si="19"/>
        <v>0</v>
      </c>
      <c r="Y118" s="317">
        <f t="shared" si="19"/>
        <v>0</v>
      </c>
      <c r="Z118" s="317">
        <f t="shared" si="19"/>
        <v>0</v>
      </c>
      <c r="AA118" s="317">
        <f t="shared" si="19"/>
        <v>0</v>
      </c>
      <c r="AB118" s="317">
        <f t="shared" si="19"/>
        <v>0</v>
      </c>
      <c r="AC118" s="317">
        <f t="shared" si="18"/>
        <v>0</v>
      </c>
      <c r="AD118" s="317">
        <f t="shared" si="18"/>
        <v>0</v>
      </c>
      <c r="AE118" s="317">
        <f t="shared" si="18"/>
        <v>0</v>
      </c>
      <c r="AF118" s="317">
        <f t="shared" si="18"/>
        <v>0</v>
      </c>
      <c r="AG118" s="317">
        <f t="shared" si="14"/>
        <v>207.23066666666668</v>
      </c>
      <c r="AH118" s="318">
        <v>238.37</v>
      </c>
      <c r="AI118" s="318">
        <v>0</v>
      </c>
      <c r="AJ118" s="318">
        <v>0</v>
      </c>
      <c r="AK118" s="318">
        <v>0</v>
      </c>
      <c r="AL118" s="318">
        <v>0</v>
      </c>
      <c r="AM118" s="318">
        <v>0</v>
      </c>
      <c r="AN118" s="318">
        <v>0</v>
      </c>
      <c r="AO118" s="318">
        <v>0</v>
      </c>
      <c r="AP118" s="318">
        <v>0</v>
      </c>
      <c r="AQ118" s="318">
        <v>0</v>
      </c>
      <c r="AR118" s="318">
        <v>0</v>
      </c>
      <c r="AS118" s="318">
        <v>0</v>
      </c>
      <c r="AT118" s="318">
        <v>0</v>
      </c>
      <c r="AU118" s="317">
        <f t="shared" si="15"/>
        <v>238.37</v>
      </c>
      <c r="AV118" s="319">
        <v>168.14599999999999</v>
      </c>
      <c r="AW118" s="319">
        <v>0</v>
      </c>
      <c r="AX118" s="319">
        <v>0</v>
      </c>
      <c r="AY118" s="319">
        <v>0</v>
      </c>
      <c r="AZ118" s="319">
        <v>0</v>
      </c>
      <c r="BA118" s="319">
        <v>0</v>
      </c>
      <c r="BB118" s="319">
        <v>0</v>
      </c>
      <c r="BC118" s="319">
        <v>0</v>
      </c>
      <c r="BD118" s="319">
        <v>0</v>
      </c>
      <c r="BE118" s="319">
        <v>0</v>
      </c>
      <c r="BF118" s="319">
        <v>0</v>
      </c>
      <c r="BG118" s="319">
        <v>0</v>
      </c>
      <c r="BH118" s="319">
        <v>0</v>
      </c>
      <c r="BI118" s="317">
        <f t="shared" si="16"/>
        <v>168.14599999999999</v>
      </c>
      <c r="BJ118" s="316">
        <v>215.17599999999999</v>
      </c>
      <c r="BK118" s="316">
        <v>0</v>
      </c>
      <c r="BL118" s="316">
        <v>0</v>
      </c>
      <c r="BM118" s="316">
        <v>0</v>
      </c>
      <c r="BN118" s="316">
        <v>0</v>
      </c>
      <c r="BO118" s="316">
        <v>0</v>
      </c>
      <c r="BP118" s="316">
        <v>0</v>
      </c>
      <c r="BQ118" s="316">
        <v>0</v>
      </c>
      <c r="BR118" s="316">
        <v>0</v>
      </c>
      <c r="BS118" s="316">
        <v>0</v>
      </c>
      <c r="BT118" s="316">
        <v>0</v>
      </c>
      <c r="BU118" s="316">
        <v>0</v>
      </c>
      <c r="BV118" s="316">
        <v>0</v>
      </c>
      <c r="BW118" s="317">
        <f t="shared" si="17"/>
        <v>215.17599999999999</v>
      </c>
    </row>
    <row r="119" spans="1:734" x14ac:dyDescent="0.2">
      <c r="A119" s="20" t="str">
        <f>'School Level Inst. Resources'!A119</f>
        <v>0725000</v>
      </c>
      <c r="B119" s="20" t="str">
        <f>'School Level Inst. Resources'!B119</f>
        <v>Fremont #25</v>
      </c>
      <c r="C119" s="20" t="str">
        <f>'School Level Inst. Resources'!C119</f>
        <v>0725010</v>
      </c>
      <c r="D119" s="20" t="str">
        <f>'School Level Inst. Resources'!D119</f>
        <v>Willow Creek Elementary</v>
      </c>
      <c r="E119" s="138" t="str">
        <f>'School Level Inst. Resources'!E119</f>
        <v>1-3</v>
      </c>
      <c r="F119" s="317">
        <f>IF(AND($A$2=4,VLOOKUP($A119,'District Level ADM'!$A$5:$W$52,5,FALSE)="Prior Year"),AH119,IF(AND($A$2=4,VLOOKUP($A119,'District Level ADM'!$A$5:$W$52,5,FALSE)="3-Year Avg."),T119,IF($A$2=2,AH119,IF($A$2=3,T119,IF(($AG119&gt;$AU119),T119,AH119)))))</f>
        <v>0</v>
      </c>
      <c r="G119" s="317">
        <f>IF(AND($A$2=4,VLOOKUP($A119,'District Level ADM'!$A$5:$W$52,5,FALSE)="Prior Year"),AI119,IF(AND($A$2=4,VLOOKUP($A119,'District Level ADM'!$A$5:$W$52,5,FALSE)="3-Year Avg."),U119,IF($A$2=2,AI119,IF($A$2=3,U119,IF(($AG119&gt;$AU119),U119,AI119)))))</f>
        <v>69.264666666666656</v>
      </c>
      <c r="H119" s="317">
        <f>IF(AND($A$2=4,VLOOKUP($A119,'District Level ADM'!$A$5:$W$52,5,FALSE)="Prior Year"),AJ119,IF(AND($A$2=4,VLOOKUP($A119,'District Level ADM'!$A$5:$W$52,5,FALSE)="3-Year Avg."),V119,IF($A$2=2,AJ119,IF($A$2=3,V119,IF(($AG119&gt;$AU119),V119,AJ119)))))</f>
        <v>79.919666666666657</v>
      </c>
      <c r="I119" s="317">
        <f>IF(AND($A$2=4,VLOOKUP($A119,'District Level ADM'!$A$5:$W$52,5,FALSE)="Prior Year"),AK119,IF(AND($A$2=4,VLOOKUP($A119,'District Level ADM'!$A$5:$W$52,5,FALSE)="3-Year Avg."),W119,IF($A$2=2,AK119,IF($A$2=3,W119,IF(($AG119&gt;$AU119),W119,AK119)))))</f>
        <v>70.599666666666664</v>
      </c>
      <c r="J119" s="317">
        <f>IF(AND($A$2=4,VLOOKUP($A119,'District Level ADM'!$A$5:$W$52,5,FALSE)="Prior Year"),AL119,IF(AND($A$2=4,VLOOKUP($A119,'District Level ADM'!$A$5:$W$52,5,FALSE)="3-Year Avg."),X119,IF($A$2=2,AL119,IF($A$2=3,X119,IF(($AG119&gt;$AU119),X119,AL119)))))</f>
        <v>0</v>
      </c>
      <c r="K119" s="317">
        <f>IF(AND($A$2=4,VLOOKUP($A119,'District Level ADM'!$A$5:$W$52,5,FALSE)="Prior Year"),AM119,IF(AND($A$2=4,VLOOKUP($A119,'District Level ADM'!$A$5:$W$52,5,FALSE)="3-Year Avg."),Y119,IF($A$2=2,AM119,IF($A$2=3,Y119,IF(($AG119&gt;$AU119),Y119,AM119)))))</f>
        <v>0</v>
      </c>
      <c r="L119" s="317">
        <f>IF(AND($A$2=4,VLOOKUP($A119,'District Level ADM'!$A$5:$W$52,5,FALSE)="Prior Year"),AN119,IF(AND($A$2=4,VLOOKUP($A119,'District Level ADM'!$A$5:$W$52,5,FALSE)="3-Year Avg."),Z119,IF($A$2=2,AN119,IF($A$2=3,Z119,IF(($AG119&gt;$AU119),Z119,AN119)))))</f>
        <v>0</v>
      </c>
      <c r="M119" s="317">
        <f>IF(AND($A$2=4,VLOOKUP($A119,'District Level ADM'!$A$5:$W$52,5,FALSE)="Prior Year"),AO119,IF(AND($A$2=4,VLOOKUP($A119,'District Level ADM'!$A$5:$W$52,5,FALSE)="3-Year Avg."),AA119,IF($A$2=2,AO119,IF($A$2=3,AA119,IF(($AG119&gt;$AU119),AA119,AO119)))))</f>
        <v>0</v>
      </c>
      <c r="N119" s="317">
        <f>IF(AND($A$2=4,VLOOKUP($A119,'District Level ADM'!$A$5:$W$52,5,FALSE)="Prior Year"),AP119,IF(AND($A$2=4,VLOOKUP($A119,'District Level ADM'!$A$5:$W$52,5,FALSE)="3-Year Avg."),AB119,IF($A$2=2,AP119,IF($A$2=3,AB119,IF(($AG119&gt;$AU119),AB119,AP119)))))</f>
        <v>0</v>
      </c>
      <c r="O119" s="317">
        <f>IF(AND($A$2=4,VLOOKUP($A119,'District Level ADM'!$A$5:$W$52,5,FALSE)="Prior Year"),AQ119,IF(AND($A$2=4,VLOOKUP($A119,'District Level ADM'!$A$5:$W$52,5,FALSE)="3-Year Avg."),AC119,IF($A$2=2,AQ119,IF($A$2=3,AC119,IF(($AG119&gt;$AU119),AC119,AQ119)))))</f>
        <v>0</v>
      </c>
      <c r="P119" s="317">
        <f>IF(AND($A$2=4,VLOOKUP($A119,'District Level ADM'!$A$5:$W$52,5,FALSE)="Prior Year"),AR119,IF(AND($A$2=4,VLOOKUP($A119,'District Level ADM'!$A$5:$W$52,5,FALSE)="3-Year Avg."),AD119,IF($A$2=2,AR119,IF($A$2=3,AD119,IF(($AG119&gt;$AU119),AD119,AR119)))))</f>
        <v>0</v>
      </c>
      <c r="Q119" s="317">
        <f>IF(AND($A$2=4,VLOOKUP($A119,'District Level ADM'!$A$5:$W$52,5,FALSE)="Prior Year"),AS119,IF(AND($A$2=4,VLOOKUP($A119,'District Level ADM'!$A$5:$W$52,5,FALSE)="3-Year Avg."),AE119,IF($A$2=2,AS119,IF($A$2=3,AE119,IF(($AG119&gt;$AU119),AE119,AS119)))))</f>
        <v>0</v>
      </c>
      <c r="R119" s="317">
        <f>IF(AND($A$2=4,VLOOKUP($A119,'District Level ADM'!$A$5:$W$52,5,FALSE)="Prior Year"),AT119,IF(AND($A$2=4,VLOOKUP($A119,'District Level ADM'!$A$5:$W$52,5,FALSE)="3-Year Avg."),AF119,IF($A$2=2,AT119,IF($A$2=3,AF119,IF(($AG119&gt;$AU119),AF119,AT119)))))</f>
        <v>0</v>
      </c>
      <c r="S119" s="317">
        <f t="shared" si="13"/>
        <v>219.78399999999999</v>
      </c>
      <c r="T119" s="317">
        <f t="shared" si="20"/>
        <v>0</v>
      </c>
      <c r="U119" s="317">
        <f t="shared" si="20"/>
        <v>69.264666666666656</v>
      </c>
      <c r="V119" s="317">
        <f t="shared" si="20"/>
        <v>79.919666666666657</v>
      </c>
      <c r="W119" s="317">
        <f t="shared" si="19"/>
        <v>70.599666666666664</v>
      </c>
      <c r="X119" s="317">
        <f t="shared" si="19"/>
        <v>0</v>
      </c>
      <c r="Y119" s="317">
        <f t="shared" si="19"/>
        <v>0</v>
      </c>
      <c r="Z119" s="317">
        <f t="shared" si="19"/>
        <v>0</v>
      </c>
      <c r="AA119" s="317">
        <f t="shared" si="19"/>
        <v>0</v>
      </c>
      <c r="AB119" s="317">
        <f t="shared" si="19"/>
        <v>0</v>
      </c>
      <c r="AC119" s="317">
        <f t="shared" si="18"/>
        <v>0</v>
      </c>
      <c r="AD119" s="317">
        <f t="shared" si="18"/>
        <v>0</v>
      </c>
      <c r="AE119" s="317">
        <f t="shared" si="18"/>
        <v>0</v>
      </c>
      <c r="AF119" s="317">
        <f t="shared" si="18"/>
        <v>0</v>
      </c>
      <c r="AG119" s="317">
        <f t="shared" si="14"/>
        <v>219.78399999999999</v>
      </c>
      <c r="AH119" s="318">
        <v>0</v>
      </c>
      <c r="AI119" s="318">
        <v>46.295000000000002</v>
      </c>
      <c r="AJ119" s="318">
        <v>74.86</v>
      </c>
      <c r="AK119" s="318">
        <v>61.07</v>
      </c>
      <c r="AL119" s="318">
        <v>0</v>
      </c>
      <c r="AM119" s="318">
        <v>0</v>
      </c>
      <c r="AN119" s="318">
        <v>0</v>
      </c>
      <c r="AO119" s="318">
        <v>0</v>
      </c>
      <c r="AP119" s="318">
        <v>0</v>
      </c>
      <c r="AQ119" s="318">
        <v>0</v>
      </c>
      <c r="AR119" s="318">
        <v>0</v>
      </c>
      <c r="AS119" s="318">
        <v>0</v>
      </c>
      <c r="AT119" s="318">
        <v>0</v>
      </c>
      <c r="AU119" s="317">
        <f t="shared" si="15"/>
        <v>182.22499999999999</v>
      </c>
      <c r="AV119" s="319">
        <v>0</v>
      </c>
      <c r="AW119" s="319">
        <v>82.652000000000001</v>
      </c>
      <c r="AX119" s="319">
        <v>62.393000000000001</v>
      </c>
      <c r="AY119" s="319">
        <v>91.41</v>
      </c>
      <c r="AZ119" s="319">
        <v>0</v>
      </c>
      <c r="BA119" s="319">
        <v>0</v>
      </c>
      <c r="BB119" s="319">
        <v>0</v>
      </c>
      <c r="BC119" s="319">
        <v>0</v>
      </c>
      <c r="BD119" s="319">
        <v>0</v>
      </c>
      <c r="BE119" s="319">
        <v>0</v>
      </c>
      <c r="BF119" s="319">
        <v>0</v>
      </c>
      <c r="BG119" s="319">
        <v>0</v>
      </c>
      <c r="BH119" s="319">
        <v>0</v>
      </c>
      <c r="BI119" s="317">
        <f t="shared" ref="BI119" si="21">SUM(AV119:BH119)</f>
        <v>236.45500000000001</v>
      </c>
      <c r="BJ119" s="316">
        <v>0</v>
      </c>
      <c r="BK119" s="316">
        <v>78.846999999999994</v>
      </c>
      <c r="BL119" s="316">
        <v>102.506</v>
      </c>
      <c r="BM119" s="316">
        <v>59.319000000000003</v>
      </c>
      <c r="BN119" s="316">
        <v>0</v>
      </c>
      <c r="BO119" s="316">
        <v>0</v>
      </c>
      <c r="BP119" s="316">
        <v>0</v>
      </c>
      <c r="BQ119" s="316">
        <v>0</v>
      </c>
      <c r="BR119" s="316">
        <v>0</v>
      </c>
      <c r="BS119" s="316">
        <v>0</v>
      </c>
      <c r="BT119" s="316">
        <v>0</v>
      </c>
      <c r="BU119" s="316">
        <v>0</v>
      </c>
      <c r="BV119" s="316">
        <v>0</v>
      </c>
      <c r="BW119" s="317">
        <f t="shared" ref="BW119" si="22">SUM(BJ119:BV119)</f>
        <v>240.67200000000003</v>
      </c>
    </row>
    <row r="120" spans="1:734" x14ac:dyDescent="0.2">
      <c r="A120" s="20" t="str">
        <f>'School Level Inst. Resources'!A120</f>
        <v>0725000</v>
      </c>
      <c r="B120" s="20" t="str">
        <f>'School Level Inst. Resources'!B120</f>
        <v>Fremont #25</v>
      </c>
      <c r="C120" s="20" t="str">
        <f>'School Level Inst. Resources'!C120</f>
        <v>0725050</v>
      </c>
      <c r="D120" s="20" t="str">
        <f>'School Level Inst. Resources'!D120</f>
        <v>Riverton Middle School</v>
      </c>
      <c r="E120" s="138" t="str">
        <f>'School Level Inst. Resources'!E120</f>
        <v>6-8</v>
      </c>
      <c r="F120" s="317">
        <f>IF(AND($A$2=4,VLOOKUP($A120,'District Level ADM'!$A$5:$W$52,5,FALSE)="Prior Year"),AH120,IF(AND($A$2=4,VLOOKUP($A120,'District Level ADM'!$A$5:$W$52,5,FALSE)="3-Year Avg."),T120,IF($A$2=2,AH120,IF($A$2=3,T120,IF(($AG120&gt;$AU120),T120,AH120)))))</f>
        <v>0</v>
      </c>
      <c r="G120" s="317">
        <f>IF(AND($A$2=4,VLOOKUP($A120,'District Level ADM'!$A$5:$W$52,5,FALSE)="Prior Year"),AI120,IF(AND($A$2=4,VLOOKUP($A120,'District Level ADM'!$A$5:$W$52,5,FALSE)="3-Year Avg."),U120,IF($A$2=2,AI120,IF($A$2=3,U120,IF(($AG120&gt;$AU120),U120,AI120)))))</f>
        <v>0</v>
      </c>
      <c r="H120" s="317">
        <f>IF(AND($A$2=4,VLOOKUP($A120,'District Level ADM'!$A$5:$W$52,5,FALSE)="Prior Year"),AJ120,IF(AND($A$2=4,VLOOKUP($A120,'District Level ADM'!$A$5:$W$52,5,FALSE)="3-Year Avg."),V120,IF($A$2=2,AJ120,IF($A$2=3,V120,IF(($AG120&gt;$AU120),V120,AJ120)))))</f>
        <v>0</v>
      </c>
      <c r="I120" s="317">
        <f>IF(AND($A$2=4,VLOOKUP($A120,'District Level ADM'!$A$5:$W$52,5,FALSE)="Prior Year"),AK120,IF(AND($A$2=4,VLOOKUP($A120,'District Level ADM'!$A$5:$W$52,5,FALSE)="3-Year Avg."),W120,IF($A$2=2,AK120,IF($A$2=3,W120,IF(($AG120&gt;$AU120),W120,AK120)))))</f>
        <v>0</v>
      </c>
      <c r="J120" s="317">
        <f>IF(AND($A$2=4,VLOOKUP($A120,'District Level ADM'!$A$5:$W$52,5,FALSE)="Prior Year"),AL120,IF(AND($A$2=4,VLOOKUP($A120,'District Level ADM'!$A$5:$W$52,5,FALSE)="3-Year Avg."),X120,IF($A$2=2,AL120,IF($A$2=3,X120,IF(($AG120&gt;$AU120),X120,AL120)))))</f>
        <v>0</v>
      </c>
      <c r="K120" s="317">
        <f>IF(AND($A$2=4,VLOOKUP($A120,'District Level ADM'!$A$5:$W$52,5,FALSE)="Prior Year"),AM120,IF(AND($A$2=4,VLOOKUP($A120,'District Level ADM'!$A$5:$W$52,5,FALSE)="3-Year Avg."),Y120,IF($A$2=2,AM120,IF($A$2=3,Y120,IF(($AG120&gt;$AU120),Y120,AM120)))))</f>
        <v>0</v>
      </c>
      <c r="L120" s="317">
        <f>IF(AND($A$2=4,VLOOKUP($A120,'District Level ADM'!$A$5:$W$52,5,FALSE)="Prior Year"),AN120,IF(AND($A$2=4,VLOOKUP($A120,'District Level ADM'!$A$5:$W$52,5,FALSE)="3-Year Avg."),Z120,IF($A$2=2,AN120,IF($A$2=3,Z120,IF(($AG120&gt;$AU120),Z120,AN120)))))</f>
        <v>194.12100000000001</v>
      </c>
      <c r="M120" s="317">
        <f>IF(AND($A$2=4,VLOOKUP($A120,'District Level ADM'!$A$5:$W$52,5,FALSE)="Prior Year"),AO120,IF(AND($A$2=4,VLOOKUP($A120,'District Level ADM'!$A$5:$W$52,5,FALSE)="3-Year Avg."),AA120,IF($A$2=2,AO120,IF($A$2=3,AA120,IF(($AG120&gt;$AU120),AA120,AO120)))))</f>
        <v>181.33033333333333</v>
      </c>
      <c r="N120" s="317">
        <f>IF(AND($A$2=4,VLOOKUP($A120,'District Level ADM'!$A$5:$W$52,5,FALSE)="Prior Year"),AP120,IF(AND($A$2=4,VLOOKUP($A120,'District Level ADM'!$A$5:$W$52,5,FALSE)="3-Year Avg."),AB120,IF($A$2=2,AP120,IF($A$2=3,AB120,IF(($AG120&gt;$AU120),AB120,AP120)))))</f>
        <v>169.30100000000002</v>
      </c>
      <c r="O120" s="317">
        <f>IF(AND($A$2=4,VLOOKUP($A120,'District Level ADM'!$A$5:$W$52,5,FALSE)="Prior Year"),AQ120,IF(AND($A$2=4,VLOOKUP($A120,'District Level ADM'!$A$5:$W$52,5,FALSE)="3-Year Avg."),AC120,IF($A$2=2,AQ120,IF($A$2=3,AC120,IF(($AG120&gt;$AU120),AC120,AQ120)))))</f>
        <v>0</v>
      </c>
      <c r="P120" s="317">
        <f>IF(AND($A$2=4,VLOOKUP($A120,'District Level ADM'!$A$5:$W$52,5,FALSE)="Prior Year"),AR120,IF(AND($A$2=4,VLOOKUP($A120,'District Level ADM'!$A$5:$W$52,5,FALSE)="3-Year Avg."),AD120,IF($A$2=2,AR120,IF($A$2=3,AD120,IF(($AG120&gt;$AU120),AD120,AR120)))))</f>
        <v>0</v>
      </c>
      <c r="Q120" s="317">
        <f>IF(AND($A$2=4,VLOOKUP($A120,'District Level ADM'!$A$5:$W$52,5,FALSE)="Prior Year"),AS120,IF(AND($A$2=4,VLOOKUP($A120,'District Level ADM'!$A$5:$W$52,5,FALSE)="3-Year Avg."),AE120,IF($A$2=2,AS120,IF($A$2=3,AE120,IF(($AG120&gt;$AU120),AE120,AS120)))))</f>
        <v>0</v>
      </c>
      <c r="R120" s="317">
        <f>IF(AND($A$2=4,VLOOKUP($A120,'District Level ADM'!$A$5:$W$52,5,FALSE)="Prior Year"),AT120,IF(AND($A$2=4,VLOOKUP($A120,'District Level ADM'!$A$5:$W$52,5,FALSE)="3-Year Avg."),AF120,IF($A$2=2,AT120,IF($A$2=3,AF120,IF(($AG120&gt;$AU120),AF120,AT120)))))</f>
        <v>0</v>
      </c>
      <c r="S120" s="317">
        <f t="shared" si="13"/>
        <v>544.75233333333335</v>
      </c>
      <c r="T120" s="317">
        <f t="shared" si="20"/>
        <v>0</v>
      </c>
      <c r="U120" s="317">
        <f t="shared" si="20"/>
        <v>0</v>
      </c>
      <c r="V120" s="317">
        <f t="shared" si="20"/>
        <v>0</v>
      </c>
      <c r="W120" s="317">
        <f t="shared" si="19"/>
        <v>0</v>
      </c>
      <c r="X120" s="317">
        <f t="shared" si="19"/>
        <v>0</v>
      </c>
      <c r="Y120" s="317">
        <f t="shared" si="19"/>
        <v>0</v>
      </c>
      <c r="Z120" s="317">
        <f t="shared" si="19"/>
        <v>194.12100000000001</v>
      </c>
      <c r="AA120" s="317">
        <f t="shared" si="19"/>
        <v>181.33033333333333</v>
      </c>
      <c r="AB120" s="317">
        <f t="shared" si="19"/>
        <v>169.30100000000002</v>
      </c>
      <c r="AC120" s="317">
        <f t="shared" si="18"/>
        <v>0</v>
      </c>
      <c r="AD120" s="317">
        <f t="shared" si="18"/>
        <v>0</v>
      </c>
      <c r="AE120" s="317">
        <f t="shared" si="18"/>
        <v>0</v>
      </c>
      <c r="AF120" s="317">
        <f t="shared" si="18"/>
        <v>0</v>
      </c>
      <c r="AG120" s="317">
        <f t="shared" si="14"/>
        <v>544.75233333333335</v>
      </c>
      <c r="AH120" s="318">
        <v>0</v>
      </c>
      <c r="AI120" s="318">
        <v>0</v>
      </c>
      <c r="AJ120" s="318">
        <v>0</v>
      </c>
      <c r="AK120" s="318">
        <v>0</v>
      </c>
      <c r="AL120" s="318">
        <v>0</v>
      </c>
      <c r="AM120" s="318">
        <v>0</v>
      </c>
      <c r="AN120" s="318">
        <v>213.745</v>
      </c>
      <c r="AO120" s="318">
        <v>180.255</v>
      </c>
      <c r="AP120" s="318">
        <v>181.24</v>
      </c>
      <c r="AQ120" s="318">
        <v>0</v>
      </c>
      <c r="AR120" s="318">
        <v>0</v>
      </c>
      <c r="AS120" s="318">
        <v>0</v>
      </c>
      <c r="AT120" s="318">
        <v>0</v>
      </c>
      <c r="AU120" s="317">
        <f t="shared" si="15"/>
        <v>575.24</v>
      </c>
      <c r="AV120" s="319">
        <v>0</v>
      </c>
      <c r="AW120" s="319">
        <v>0</v>
      </c>
      <c r="AX120" s="319">
        <v>0</v>
      </c>
      <c r="AY120" s="319">
        <v>0</v>
      </c>
      <c r="AZ120" s="319">
        <v>0</v>
      </c>
      <c r="BA120" s="319">
        <v>0</v>
      </c>
      <c r="BB120" s="319">
        <v>183.57900000000001</v>
      </c>
      <c r="BC120" s="319">
        <v>185.25299999999999</v>
      </c>
      <c r="BD120" s="319">
        <v>162.27000000000001</v>
      </c>
      <c r="BE120" s="319">
        <v>0</v>
      </c>
      <c r="BF120" s="319">
        <v>0</v>
      </c>
      <c r="BG120" s="319">
        <v>0</v>
      </c>
      <c r="BH120" s="319">
        <v>0</v>
      </c>
      <c r="BI120" s="317">
        <f t="shared" si="16"/>
        <v>531.10199999999998</v>
      </c>
      <c r="BJ120" s="316">
        <v>0</v>
      </c>
      <c r="BK120" s="316">
        <v>0</v>
      </c>
      <c r="BL120" s="316">
        <v>0</v>
      </c>
      <c r="BM120" s="316">
        <v>0</v>
      </c>
      <c r="BN120" s="316">
        <v>0</v>
      </c>
      <c r="BO120" s="316">
        <v>0</v>
      </c>
      <c r="BP120" s="316">
        <v>185.03899999999999</v>
      </c>
      <c r="BQ120" s="316">
        <v>178.483</v>
      </c>
      <c r="BR120" s="316">
        <v>164.393</v>
      </c>
      <c r="BS120" s="316">
        <v>0</v>
      </c>
      <c r="BT120" s="316">
        <v>0</v>
      </c>
      <c r="BU120" s="316">
        <v>0</v>
      </c>
      <c r="BV120" s="316">
        <v>0</v>
      </c>
      <c r="BW120" s="317">
        <f t="shared" si="17"/>
        <v>527.91499999999996</v>
      </c>
    </row>
    <row r="121" spans="1:734" x14ac:dyDescent="0.2">
      <c r="A121" s="20" t="str">
        <f>'School Level Inst. Resources'!A121</f>
        <v>0725000</v>
      </c>
      <c r="B121" s="20" t="str">
        <f>'School Level Inst. Resources'!B121</f>
        <v>Fremont #25</v>
      </c>
      <c r="C121" s="20" t="str">
        <f>'School Level Inst. Resources'!C121</f>
        <v>0725056</v>
      </c>
      <c r="D121" s="20" t="str">
        <f>'School Level Inst. Resources'!D121</f>
        <v>Riverton High School</v>
      </c>
      <c r="E121" s="138" t="str">
        <f>'School Level Inst. Resources'!E121</f>
        <v>9-12</v>
      </c>
      <c r="F121" s="317">
        <f>IF(AND($A$2=4,VLOOKUP($A121,'District Level ADM'!$A$5:$W$52,5,FALSE)="Prior Year"),AH121,IF(AND($A$2=4,VLOOKUP($A121,'District Level ADM'!$A$5:$W$52,5,FALSE)="3-Year Avg."),T121,IF($A$2=2,AH121,IF($A$2=3,T121,IF(($AG121&gt;$AU121),T121,AH121)))))</f>
        <v>0</v>
      </c>
      <c r="G121" s="317">
        <f>IF(AND($A$2=4,VLOOKUP($A121,'District Level ADM'!$A$5:$W$52,5,FALSE)="Prior Year"),AI121,IF(AND($A$2=4,VLOOKUP($A121,'District Level ADM'!$A$5:$W$52,5,FALSE)="3-Year Avg."),U121,IF($A$2=2,AI121,IF($A$2=3,U121,IF(($AG121&gt;$AU121),U121,AI121)))))</f>
        <v>0</v>
      </c>
      <c r="H121" s="317">
        <f>IF(AND($A$2=4,VLOOKUP($A121,'District Level ADM'!$A$5:$W$52,5,FALSE)="Prior Year"),AJ121,IF(AND($A$2=4,VLOOKUP($A121,'District Level ADM'!$A$5:$W$52,5,FALSE)="3-Year Avg."),V121,IF($A$2=2,AJ121,IF($A$2=3,V121,IF(($AG121&gt;$AU121),V121,AJ121)))))</f>
        <v>0</v>
      </c>
      <c r="I121" s="317">
        <f>IF(AND($A$2=4,VLOOKUP($A121,'District Level ADM'!$A$5:$W$52,5,FALSE)="Prior Year"),AK121,IF(AND($A$2=4,VLOOKUP($A121,'District Level ADM'!$A$5:$W$52,5,FALSE)="3-Year Avg."),W121,IF($A$2=2,AK121,IF($A$2=3,W121,IF(($AG121&gt;$AU121),W121,AK121)))))</f>
        <v>0</v>
      </c>
      <c r="J121" s="317">
        <f>IF(AND($A$2=4,VLOOKUP($A121,'District Level ADM'!$A$5:$W$52,5,FALSE)="Prior Year"),AL121,IF(AND($A$2=4,VLOOKUP($A121,'District Level ADM'!$A$5:$W$52,5,FALSE)="3-Year Avg."),X121,IF($A$2=2,AL121,IF($A$2=3,X121,IF(($AG121&gt;$AU121),X121,AL121)))))</f>
        <v>0</v>
      </c>
      <c r="K121" s="317">
        <f>IF(AND($A$2=4,VLOOKUP($A121,'District Level ADM'!$A$5:$W$52,5,FALSE)="Prior Year"),AM121,IF(AND($A$2=4,VLOOKUP($A121,'District Level ADM'!$A$5:$W$52,5,FALSE)="3-Year Avg."),Y121,IF($A$2=2,AM121,IF($A$2=3,Y121,IF(($AG121&gt;$AU121),Y121,AM121)))))</f>
        <v>0</v>
      </c>
      <c r="L121" s="317">
        <f>IF(AND($A$2=4,VLOOKUP($A121,'District Level ADM'!$A$5:$W$52,5,FALSE)="Prior Year"),AN121,IF(AND($A$2=4,VLOOKUP($A121,'District Level ADM'!$A$5:$W$52,5,FALSE)="3-Year Avg."),Z121,IF($A$2=2,AN121,IF($A$2=3,Z121,IF(($AG121&gt;$AU121),Z121,AN121)))))</f>
        <v>0</v>
      </c>
      <c r="M121" s="317">
        <f>IF(AND($A$2=4,VLOOKUP($A121,'District Level ADM'!$A$5:$W$52,5,FALSE)="Prior Year"),AO121,IF(AND($A$2=4,VLOOKUP($A121,'District Level ADM'!$A$5:$W$52,5,FALSE)="3-Year Avg."),AA121,IF($A$2=2,AO121,IF($A$2=3,AA121,IF(($AG121&gt;$AU121),AA121,AO121)))))</f>
        <v>0</v>
      </c>
      <c r="N121" s="317">
        <f>IF(AND($A$2=4,VLOOKUP($A121,'District Level ADM'!$A$5:$W$52,5,FALSE)="Prior Year"),AP121,IF(AND($A$2=4,VLOOKUP($A121,'District Level ADM'!$A$5:$W$52,5,FALSE)="3-Year Avg."),AB121,IF($A$2=2,AP121,IF($A$2=3,AB121,IF(($AG121&gt;$AU121),AB121,AP121)))))</f>
        <v>0</v>
      </c>
      <c r="O121" s="317">
        <f>IF(AND($A$2=4,VLOOKUP($A121,'District Level ADM'!$A$5:$W$52,5,FALSE)="Prior Year"),AQ121,IF(AND($A$2=4,VLOOKUP($A121,'District Level ADM'!$A$5:$W$52,5,FALSE)="3-Year Avg."),AC121,IF($A$2=2,AQ121,IF($A$2=3,AC121,IF(($AG121&gt;$AU121),AC121,AQ121)))))</f>
        <v>190.96566666666669</v>
      </c>
      <c r="P121" s="317">
        <f>IF(AND($A$2=4,VLOOKUP($A121,'District Level ADM'!$A$5:$W$52,5,FALSE)="Prior Year"),AR121,IF(AND($A$2=4,VLOOKUP($A121,'District Level ADM'!$A$5:$W$52,5,FALSE)="3-Year Avg."),AD121,IF($A$2=2,AR121,IF($A$2=3,AD121,IF(($AG121&gt;$AU121),AD121,AR121)))))</f>
        <v>178.44200000000001</v>
      </c>
      <c r="Q121" s="317">
        <f>IF(AND($A$2=4,VLOOKUP($A121,'District Level ADM'!$A$5:$W$52,5,FALSE)="Prior Year"),AS121,IF(AND($A$2=4,VLOOKUP($A121,'District Level ADM'!$A$5:$W$52,5,FALSE)="3-Year Avg."),AE121,IF($A$2=2,AS121,IF($A$2=3,AE121,IF(($AG121&gt;$AU121),AE121,AS121)))))</f>
        <v>166.81433333333334</v>
      </c>
      <c r="R121" s="317">
        <f>IF(AND($A$2=4,VLOOKUP($A121,'District Level ADM'!$A$5:$W$52,5,FALSE)="Prior Year"),AT121,IF(AND($A$2=4,VLOOKUP($A121,'District Level ADM'!$A$5:$W$52,5,FALSE)="3-Year Avg."),AF121,IF($A$2=2,AT121,IF($A$2=3,AF121,IF(($AG121&gt;$AU121),AF121,AT121)))))</f>
        <v>168.81199999999998</v>
      </c>
      <c r="S121" s="317">
        <f t="shared" si="13"/>
        <v>705.03400000000011</v>
      </c>
      <c r="T121" s="317">
        <f t="shared" si="20"/>
        <v>0</v>
      </c>
      <c r="U121" s="317">
        <f t="shared" si="20"/>
        <v>0</v>
      </c>
      <c r="V121" s="317">
        <f t="shared" si="20"/>
        <v>0</v>
      </c>
      <c r="W121" s="317">
        <f t="shared" si="19"/>
        <v>0</v>
      </c>
      <c r="X121" s="317">
        <f t="shared" si="19"/>
        <v>0</v>
      </c>
      <c r="Y121" s="317">
        <f t="shared" si="19"/>
        <v>0</v>
      </c>
      <c r="Z121" s="317">
        <f t="shared" si="19"/>
        <v>0</v>
      </c>
      <c r="AA121" s="317">
        <f t="shared" si="19"/>
        <v>0</v>
      </c>
      <c r="AB121" s="317">
        <f t="shared" si="19"/>
        <v>0</v>
      </c>
      <c r="AC121" s="317">
        <f t="shared" si="18"/>
        <v>190.96566666666669</v>
      </c>
      <c r="AD121" s="317">
        <f t="shared" si="18"/>
        <v>178.44200000000001</v>
      </c>
      <c r="AE121" s="317">
        <f t="shared" si="18"/>
        <v>166.81433333333334</v>
      </c>
      <c r="AF121" s="317">
        <f t="shared" si="18"/>
        <v>168.81199999999998</v>
      </c>
      <c r="AG121" s="317">
        <f t="shared" si="14"/>
        <v>705.03400000000011</v>
      </c>
      <c r="AH121" s="318">
        <v>0</v>
      </c>
      <c r="AI121" s="318">
        <v>0</v>
      </c>
      <c r="AJ121" s="318">
        <v>0</v>
      </c>
      <c r="AK121" s="318">
        <v>0</v>
      </c>
      <c r="AL121" s="318">
        <v>0</v>
      </c>
      <c r="AM121" s="318">
        <v>0</v>
      </c>
      <c r="AN121" s="318">
        <v>0</v>
      </c>
      <c r="AO121" s="318">
        <v>0</v>
      </c>
      <c r="AP121" s="318">
        <v>0</v>
      </c>
      <c r="AQ121" s="318">
        <v>187.15</v>
      </c>
      <c r="AR121" s="318">
        <v>176.315</v>
      </c>
      <c r="AS121" s="318">
        <v>162.52500000000001</v>
      </c>
      <c r="AT121" s="318">
        <v>159.57</v>
      </c>
      <c r="AU121" s="317">
        <f t="shared" si="15"/>
        <v>685.56</v>
      </c>
      <c r="AV121" s="319">
        <v>0</v>
      </c>
      <c r="AW121" s="319">
        <v>0</v>
      </c>
      <c r="AX121" s="319">
        <v>0</v>
      </c>
      <c r="AY121" s="319">
        <v>0</v>
      </c>
      <c r="AZ121" s="319">
        <v>0</v>
      </c>
      <c r="BA121" s="319">
        <v>0</v>
      </c>
      <c r="BB121" s="319">
        <v>0</v>
      </c>
      <c r="BC121" s="319">
        <v>0</v>
      </c>
      <c r="BD121" s="319">
        <v>0</v>
      </c>
      <c r="BE121" s="319">
        <v>180.489</v>
      </c>
      <c r="BF121" s="319">
        <v>180.67400000000001</v>
      </c>
      <c r="BG121" s="319">
        <v>158.89599999999999</v>
      </c>
      <c r="BH121" s="319">
        <v>168.05099999999999</v>
      </c>
      <c r="BI121" s="317">
        <f t="shared" si="16"/>
        <v>688.1099999999999</v>
      </c>
      <c r="BJ121" s="316">
        <v>0</v>
      </c>
      <c r="BK121" s="316">
        <v>0</v>
      </c>
      <c r="BL121" s="316">
        <v>0</v>
      </c>
      <c r="BM121" s="316">
        <v>0</v>
      </c>
      <c r="BN121" s="316">
        <v>0</v>
      </c>
      <c r="BO121" s="316">
        <v>0</v>
      </c>
      <c r="BP121" s="316">
        <v>0</v>
      </c>
      <c r="BQ121" s="316">
        <v>0</v>
      </c>
      <c r="BR121" s="316">
        <v>0</v>
      </c>
      <c r="BS121" s="316">
        <v>205.25800000000001</v>
      </c>
      <c r="BT121" s="316">
        <v>178.33699999999999</v>
      </c>
      <c r="BU121" s="316">
        <v>179.02199999999999</v>
      </c>
      <c r="BV121" s="316">
        <v>178.815</v>
      </c>
      <c r="BW121" s="317">
        <f t="shared" si="17"/>
        <v>741.43200000000002</v>
      </c>
    </row>
    <row r="122" spans="1:734" s="320" customFormat="1" x14ac:dyDescent="0.2">
      <c r="A122" s="20" t="str">
        <f>'School Level Inst. Resources'!A122</f>
        <v>0725000</v>
      </c>
      <c r="B122" s="20" t="str">
        <f>'School Level Inst. Resources'!B122</f>
        <v>Fremont #25</v>
      </c>
      <c r="C122" s="20" t="str">
        <f>'School Level Inst. Resources'!C122</f>
        <v>0725057</v>
      </c>
      <c r="D122" s="20" t="str">
        <f>'School Level Inst. Resources'!D122</f>
        <v>Frontier Academy</v>
      </c>
      <c r="E122" s="138" t="str">
        <f>'School Level Inst. Resources'!E122</f>
        <v>9-12</v>
      </c>
      <c r="F122" s="317">
        <f>IF(AND($A$2=4,VLOOKUP($A122,'District Level ADM'!$A$5:$W$52,5,FALSE)="Prior Year"),AH122,IF(AND($A$2=4,VLOOKUP($A122,'District Level ADM'!$A$5:$W$52,5,FALSE)="3-Year Avg."),T122,IF($A$2=2,AH122,IF($A$2=3,T122,IF(($AG122&gt;$AU122),T122,AH122)))))</f>
        <v>0</v>
      </c>
      <c r="G122" s="317">
        <f>IF(AND($A$2=4,VLOOKUP($A122,'District Level ADM'!$A$5:$W$52,5,FALSE)="Prior Year"),AI122,IF(AND($A$2=4,VLOOKUP($A122,'District Level ADM'!$A$5:$W$52,5,FALSE)="3-Year Avg."),U122,IF($A$2=2,AI122,IF($A$2=3,U122,IF(($AG122&gt;$AU122),U122,AI122)))))</f>
        <v>0</v>
      </c>
      <c r="H122" s="317">
        <f>IF(AND($A$2=4,VLOOKUP($A122,'District Level ADM'!$A$5:$W$52,5,FALSE)="Prior Year"),AJ122,IF(AND($A$2=4,VLOOKUP($A122,'District Level ADM'!$A$5:$W$52,5,FALSE)="3-Year Avg."),V122,IF($A$2=2,AJ122,IF($A$2=3,V122,IF(($AG122&gt;$AU122),V122,AJ122)))))</f>
        <v>0</v>
      </c>
      <c r="I122" s="317">
        <f>IF(AND($A$2=4,VLOOKUP($A122,'District Level ADM'!$A$5:$W$52,5,FALSE)="Prior Year"),AK122,IF(AND($A$2=4,VLOOKUP($A122,'District Level ADM'!$A$5:$W$52,5,FALSE)="3-Year Avg."),W122,IF($A$2=2,AK122,IF($A$2=3,W122,IF(($AG122&gt;$AU122),W122,AK122)))))</f>
        <v>0</v>
      </c>
      <c r="J122" s="317">
        <f>IF(AND($A$2=4,VLOOKUP($A122,'District Level ADM'!$A$5:$W$52,5,FALSE)="Prior Year"),AL122,IF(AND($A$2=4,VLOOKUP($A122,'District Level ADM'!$A$5:$W$52,5,FALSE)="3-Year Avg."),X122,IF($A$2=2,AL122,IF($A$2=3,X122,IF(($AG122&gt;$AU122),X122,AL122)))))</f>
        <v>0</v>
      </c>
      <c r="K122" s="317">
        <f>IF(AND($A$2=4,VLOOKUP($A122,'District Level ADM'!$A$5:$W$52,5,FALSE)="Prior Year"),AM122,IF(AND($A$2=4,VLOOKUP($A122,'District Level ADM'!$A$5:$W$52,5,FALSE)="3-Year Avg."),Y122,IF($A$2=2,AM122,IF($A$2=3,Y122,IF(($AG122&gt;$AU122),Y122,AM122)))))</f>
        <v>0</v>
      </c>
      <c r="L122" s="317">
        <f>IF(AND($A$2=4,VLOOKUP($A122,'District Level ADM'!$A$5:$W$52,5,FALSE)="Prior Year"),AN122,IF(AND($A$2=4,VLOOKUP($A122,'District Level ADM'!$A$5:$W$52,5,FALSE)="3-Year Avg."),Z122,IF($A$2=2,AN122,IF($A$2=3,Z122,IF(($AG122&gt;$AU122),Z122,AN122)))))</f>
        <v>0</v>
      </c>
      <c r="M122" s="317">
        <f>IF(AND($A$2=4,VLOOKUP($A122,'District Level ADM'!$A$5:$W$52,5,FALSE)="Prior Year"),AO122,IF(AND($A$2=4,VLOOKUP($A122,'District Level ADM'!$A$5:$W$52,5,FALSE)="3-Year Avg."),AA122,IF($A$2=2,AO122,IF($A$2=3,AA122,IF(($AG122&gt;$AU122),AA122,AO122)))))</f>
        <v>0</v>
      </c>
      <c r="N122" s="317">
        <f>IF(AND($A$2=4,VLOOKUP($A122,'District Level ADM'!$A$5:$W$52,5,FALSE)="Prior Year"),AP122,IF(AND($A$2=4,VLOOKUP($A122,'District Level ADM'!$A$5:$W$52,5,FALSE)="3-Year Avg."),AB122,IF($A$2=2,AP122,IF($A$2=3,AB122,IF(($AG122&gt;$AU122),AB122,AP122)))))</f>
        <v>0</v>
      </c>
      <c r="O122" s="317">
        <f>IF(AND($A$2=4,VLOOKUP($A122,'District Level ADM'!$A$5:$W$52,5,FALSE)="Prior Year"),AQ122,IF(AND($A$2=4,VLOOKUP($A122,'District Level ADM'!$A$5:$W$52,5,FALSE)="3-Year Avg."),AC122,IF($A$2=2,AQ122,IF($A$2=3,AC122,IF(($AG122&gt;$AU122),AC122,AQ122)))))</f>
        <v>7.2999999999999995E-2</v>
      </c>
      <c r="P122" s="317">
        <f>IF(AND($A$2=4,VLOOKUP($A122,'District Level ADM'!$A$5:$W$52,5,FALSE)="Prior Year"),AR122,IF(AND($A$2=4,VLOOKUP($A122,'District Level ADM'!$A$5:$W$52,5,FALSE)="3-Year Avg."),AD122,IF($A$2=2,AR122,IF($A$2=3,AD122,IF(($AG122&gt;$AU122),AD122,AR122)))))</f>
        <v>2.532</v>
      </c>
      <c r="Q122" s="317">
        <f>IF(AND($A$2=4,VLOOKUP($A122,'District Level ADM'!$A$5:$W$52,5,FALSE)="Prior Year"),AS122,IF(AND($A$2=4,VLOOKUP($A122,'District Level ADM'!$A$5:$W$52,5,FALSE)="3-Year Avg."),AE122,IF($A$2=2,AS122,IF($A$2=3,AE122,IF(($AG122&gt;$AU122),AE122,AS122)))))</f>
        <v>8.5356666666666658</v>
      </c>
      <c r="R122" s="317">
        <f>IF(AND($A$2=4,VLOOKUP($A122,'District Level ADM'!$A$5:$W$52,5,FALSE)="Prior Year"),AT122,IF(AND($A$2=4,VLOOKUP($A122,'District Level ADM'!$A$5:$W$52,5,FALSE)="3-Year Avg."),AF122,IF($A$2=2,AT122,IF($A$2=3,AF122,IF(($AG122&gt;$AU122),AF122,AT122)))))</f>
        <v>18.724999999999998</v>
      </c>
      <c r="S122" s="317">
        <f t="shared" si="13"/>
        <v>29.865666666666662</v>
      </c>
      <c r="T122" s="317">
        <f t="shared" si="20"/>
        <v>0</v>
      </c>
      <c r="U122" s="317">
        <f t="shared" si="20"/>
        <v>0</v>
      </c>
      <c r="V122" s="317">
        <f t="shared" si="20"/>
        <v>0</v>
      </c>
      <c r="W122" s="317">
        <f t="shared" si="19"/>
        <v>0</v>
      </c>
      <c r="X122" s="317">
        <f t="shared" si="19"/>
        <v>0</v>
      </c>
      <c r="Y122" s="317">
        <f t="shared" si="19"/>
        <v>0</v>
      </c>
      <c r="Z122" s="317">
        <f t="shared" ref="Z122:AF167" si="23">AVERAGE(AN122,BB122,BP122)</f>
        <v>0</v>
      </c>
      <c r="AA122" s="317">
        <f t="shared" si="23"/>
        <v>0</v>
      </c>
      <c r="AB122" s="317">
        <f t="shared" si="23"/>
        <v>0</v>
      </c>
      <c r="AC122" s="317">
        <f t="shared" si="18"/>
        <v>7.2999999999999995E-2</v>
      </c>
      <c r="AD122" s="317">
        <f t="shared" si="18"/>
        <v>2.532</v>
      </c>
      <c r="AE122" s="317">
        <f t="shared" si="18"/>
        <v>8.5356666666666658</v>
      </c>
      <c r="AF122" s="317">
        <f t="shared" si="18"/>
        <v>18.724999999999998</v>
      </c>
      <c r="AG122" s="317">
        <f t="shared" si="14"/>
        <v>29.865666666666662</v>
      </c>
      <c r="AH122" s="318">
        <v>0</v>
      </c>
      <c r="AI122" s="318">
        <v>0</v>
      </c>
      <c r="AJ122" s="318">
        <v>0</v>
      </c>
      <c r="AK122" s="318">
        <v>0</v>
      </c>
      <c r="AL122" s="318">
        <v>0</v>
      </c>
      <c r="AM122" s="318">
        <v>0</v>
      </c>
      <c r="AN122" s="318">
        <v>0</v>
      </c>
      <c r="AO122" s="318">
        <v>0</v>
      </c>
      <c r="AP122" s="318">
        <v>0</v>
      </c>
      <c r="AQ122" s="318">
        <v>0</v>
      </c>
      <c r="AR122" s="318">
        <v>0</v>
      </c>
      <c r="AS122" s="318">
        <v>5.91</v>
      </c>
      <c r="AT122" s="318">
        <v>24.625</v>
      </c>
      <c r="AU122" s="317">
        <f t="shared" si="15"/>
        <v>30.535</v>
      </c>
      <c r="AV122" s="319">
        <v>0</v>
      </c>
      <c r="AW122" s="319">
        <v>0</v>
      </c>
      <c r="AX122" s="319">
        <v>0</v>
      </c>
      <c r="AY122" s="319">
        <v>0</v>
      </c>
      <c r="AZ122" s="319">
        <v>0</v>
      </c>
      <c r="BA122" s="319">
        <v>0</v>
      </c>
      <c r="BB122" s="319">
        <v>0</v>
      </c>
      <c r="BC122" s="319">
        <v>0</v>
      </c>
      <c r="BD122" s="319">
        <v>0</v>
      </c>
      <c r="BE122" s="319">
        <v>0</v>
      </c>
      <c r="BF122" s="319">
        <v>2.27</v>
      </c>
      <c r="BG122" s="319">
        <v>8.1630000000000003</v>
      </c>
      <c r="BH122" s="319">
        <v>21.219000000000001</v>
      </c>
      <c r="BI122" s="317">
        <f t="shared" si="16"/>
        <v>31.652000000000001</v>
      </c>
      <c r="BJ122" s="316">
        <v>0</v>
      </c>
      <c r="BK122" s="316">
        <v>0</v>
      </c>
      <c r="BL122" s="316">
        <v>0</v>
      </c>
      <c r="BM122" s="316">
        <v>0</v>
      </c>
      <c r="BN122" s="316">
        <v>0</v>
      </c>
      <c r="BO122" s="316">
        <v>0</v>
      </c>
      <c r="BP122" s="316">
        <v>0</v>
      </c>
      <c r="BQ122" s="316">
        <v>0</v>
      </c>
      <c r="BR122" s="316">
        <v>0</v>
      </c>
      <c r="BS122" s="316">
        <v>0.219</v>
      </c>
      <c r="BT122" s="316">
        <v>5.3259999999999996</v>
      </c>
      <c r="BU122" s="316">
        <v>11.534000000000001</v>
      </c>
      <c r="BV122" s="316">
        <v>10.331</v>
      </c>
      <c r="BW122" s="317">
        <f t="shared" si="17"/>
        <v>27.41</v>
      </c>
      <c r="BX122" s="40"/>
      <c r="BY122" s="40"/>
      <c r="BZ122" s="40"/>
      <c r="CA122" s="40"/>
      <c r="CB122" s="40"/>
      <c r="CC122" s="40"/>
      <c r="CD122" s="40"/>
      <c r="CE122" s="40"/>
      <c r="CF122" s="40"/>
      <c r="CG122" s="40"/>
      <c r="CH122" s="40"/>
      <c r="CI122" s="40"/>
      <c r="CJ122" s="40"/>
      <c r="CK122" s="40"/>
      <c r="CL122" s="40"/>
      <c r="CM122" s="40"/>
      <c r="CN122" s="40"/>
      <c r="CO122" s="40"/>
      <c r="CP122" s="40"/>
      <c r="CQ122" s="40"/>
      <c r="CR122" s="40"/>
      <c r="CS122" s="40"/>
      <c r="CT122" s="40"/>
      <c r="CU122" s="40"/>
      <c r="CV122" s="40"/>
      <c r="CW122" s="40"/>
      <c r="CX122" s="40"/>
      <c r="CY122" s="40"/>
      <c r="CZ122" s="40"/>
      <c r="DA122" s="40"/>
      <c r="DB122" s="40"/>
      <c r="DC122" s="40"/>
      <c r="DD122" s="40"/>
      <c r="DE122" s="40"/>
      <c r="DF122" s="40"/>
      <c r="DG122" s="40"/>
      <c r="DH122" s="40"/>
      <c r="DI122" s="40"/>
      <c r="DJ122" s="40"/>
      <c r="DK122" s="40"/>
      <c r="DL122" s="40"/>
      <c r="DM122" s="40"/>
      <c r="DN122" s="40"/>
      <c r="DO122" s="40"/>
      <c r="DP122" s="40"/>
      <c r="DQ122" s="40"/>
      <c r="DR122" s="40"/>
      <c r="DS122" s="40"/>
      <c r="DT122" s="40"/>
      <c r="DU122" s="40"/>
      <c r="DV122" s="40"/>
      <c r="DW122" s="40"/>
      <c r="DX122" s="40"/>
      <c r="DY122" s="40"/>
      <c r="DZ122" s="40"/>
      <c r="EA122" s="40"/>
      <c r="EB122" s="40"/>
      <c r="EC122" s="40"/>
      <c r="ED122" s="40"/>
      <c r="EE122" s="40"/>
      <c r="EF122" s="40"/>
      <c r="EG122" s="40"/>
      <c r="EH122" s="40"/>
      <c r="EI122" s="40"/>
      <c r="EJ122" s="40"/>
      <c r="EK122" s="40"/>
      <c r="EL122" s="40"/>
      <c r="EM122" s="40"/>
      <c r="EN122" s="40"/>
      <c r="EO122" s="40"/>
      <c r="EP122" s="40"/>
      <c r="EQ122" s="40"/>
      <c r="ER122" s="40"/>
      <c r="ES122" s="40"/>
      <c r="ET122" s="40"/>
      <c r="EU122" s="40"/>
      <c r="EV122" s="40"/>
      <c r="EW122" s="40"/>
      <c r="EX122" s="40"/>
      <c r="EY122" s="40"/>
      <c r="EZ122" s="40"/>
      <c r="FA122" s="40"/>
      <c r="FB122" s="40"/>
      <c r="FC122" s="40"/>
      <c r="FD122" s="40"/>
      <c r="FE122" s="40"/>
      <c r="FF122" s="40"/>
      <c r="FG122" s="40"/>
      <c r="FH122" s="40"/>
      <c r="FI122" s="40"/>
      <c r="FJ122" s="40"/>
      <c r="FK122" s="40"/>
      <c r="FL122" s="40"/>
      <c r="FM122" s="40"/>
      <c r="FN122" s="40"/>
      <c r="FO122" s="40"/>
      <c r="FP122" s="40"/>
      <c r="FQ122" s="40"/>
      <c r="FR122" s="40"/>
      <c r="FS122" s="40"/>
      <c r="FT122" s="40"/>
      <c r="FU122" s="40"/>
      <c r="FV122" s="40"/>
      <c r="FW122" s="40"/>
      <c r="FX122" s="40"/>
      <c r="FY122" s="40"/>
      <c r="FZ122" s="40"/>
      <c r="GA122" s="40"/>
      <c r="GB122" s="40"/>
      <c r="GC122" s="40"/>
      <c r="GD122" s="40"/>
      <c r="GE122" s="40"/>
      <c r="GF122" s="40"/>
      <c r="GG122" s="40"/>
      <c r="GH122" s="40"/>
      <c r="GI122" s="40"/>
      <c r="GJ122" s="40"/>
      <c r="GK122" s="40"/>
      <c r="GL122" s="40"/>
      <c r="GM122" s="40"/>
      <c r="GN122" s="40"/>
      <c r="GO122" s="40"/>
      <c r="GP122" s="40"/>
      <c r="GQ122" s="40"/>
      <c r="GR122" s="40"/>
      <c r="GS122" s="40"/>
      <c r="GT122" s="40"/>
      <c r="GU122" s="40"/>
      <c r="GV122" s="40"/>
      <c r="GW122" s="40"/>
      <c r="GX122" s="40"/>
      <c r="GY122" s="40"/>
      <c r="GZ122" s="40"/>
      <c r="HA122" s="40"/>
      <c r="HB122" s="40"/>
      <c r="HC122" s="40"/>
      <c r="HD122" s="40"/>
      <c r="HE122" s="40"/>
      <c r="HF122" s="40"/>
      <c r="HG122" s="40"/>
      <c r="HH122" s="40"/>
      <c r="HI122" s="40"/>
      <c r="HJ122" s="40"/>
      <c r="HK122" s="40"/>
      <c r="HL122" s="40"/>
      <c r="HM122" s="40"/>
      <c r="HN122" s="40"/>
      <c r="HO122" s="40"/>
      <c r="HP122" s="40"/>
      <c r="HQ122" s="40"/>
      <c r="HR122" s="40"/>
      <c r="HS122" s="40"/>
      <c r="HT122" s="40"/>
      <c r="HU122" s="40"/>
      <c r="HV122" s="40"/>
      <c r="HW122" s="40"/>
      <c r="HX122" s="40"/>
      <c r="HY122" s="40"/>
      <c r="HZ122" s="40"/>
      <c r="IA122" s="40"/>
      <c r="IB122" s="40"/>
      <c r="IC122" s="40"/>
      <c r="ID122" s="40"/>
      <c r="IE122" s="40"/>
      <c r="IF122" s="40"/>
      <c r="IG122" s="40"/>
      <c r="IH122" s="40"/>
      <c r="II122" s="40"/>
      <c r="IJ122" s="40"/>
      <c r="IK122" s="40"/>
      <c r="IL122" s="40"/>
      <c r="IM122" s="40"/>
      <c r="IN122" s="40"/>
      <c r="IO122" s="40"/>
      <c r="IP122" s="40"/>
      <c r="IQ122" s="40"/>
      <c r="IR122" s="40"/>
      <c r="IS122" s="40"/>
      <c r="IT122" s="40"/>
      <c r="IU122" s="40"/>
      <c r="IV122" s="40"/>
      <c r="IW122" s="40"/>
      <c r="IX122" s="40"/>
      <c r="IY122" s="40"/>
      <c r="IZ122" s="40"/>
      <c r="JA122" s="40"/>
      <c r="JB122" s="40"/>
      <c r="JC122" s="40"/>
      <c r="JD122" s="40"/>
      <c r="JE122" s="40"/>
      <c r="JF122" s="40"/>
      <c r="JG122" s="40"/>
      <c r="JH122" s="40"/>
      <c r="JI122" s="40"/>
      <c r="JJ122" s="40"/>
      <c r="JK122" s="40"/>
      <c r="JL122" s="40"/>
      <c r="JM122" s="40"/>
      <c r="JN122" s="40"/>
      <c r="JO122" s="40"/>
      <c r="JP122" s="40"/>
      <c r="JQ122" s="40"/>
      <c r="JR122" s="40"/>
      <c r="JS122" s="40"/>
      <c r="JT122" s="40"/>
      <c r="JU122" s="40"/>
      <c r="JV122" s="40"/>
      <c r="JW122" s="40"/>
      <c r="JX122" s="40"/>
      <c r="JY122" s="40"/>
      <c r="JZ122" s="40"/>
      <c r="KA122" s="40"/>
      <c r="KB122" s="40"/>
      <c r="KC122" s="40"/>
      <c r="KD122" s="40"/>
      <c r="KE122" s="40"/>
      <c r="KF122" s="40"/>
      <c r="KG122" s="40"/>
      <c r="KH122" s="40"/>
      <c r="KI122" s="40"/>
      <c r="KJ122" s="40"/>
      <c r="KK122" s="40"/>
      <c r="KL122" s="40"/>
      <c r="KM122" s="40"/>
      <c r="KN122" s="40"/>
      <c r="KO122" s="40"/>
      <c r="KP122" s="40"/>
      <c r="KQ122" s="40"/>
      <c r="KR122" s="40"/>
      <c r="KS122" s="40"/>
      <c r="KT122" s="40"/>
      <c r="KU122" s="40"/>
      <c r="KV122" s="40"/>
      <c r="KW122" s="40"/>
      <c r="KX122" s="40"/>
      <c r="KY122" s="40"/>
      <c r="KZ122" s="40"/>
      <c r="LA122" s="40"/>
      <c r="LB122" s="40"/>
      <c r="LC122" s="40"/>
      <c r="LD122" s="40"/>
      <c r="LE122" s="40"/>
      <c r="LF122" s="40"/>
      <c r="LG122" s="40"/>
      <c r="LH122" s="40"/>
      <c r="LI122" s="40"/>
      <c r="LJ122" s="40"/>
      <c r="LK122" s="40"/>
      <c r="LL122" s="40"/>
      <c r="LM122" s="40"/>
      <c r="LN122" s="40"/>
      <c r="LO122" s="40"/>
      <c r="LP122" s="40"/>
      <c r="LQ122" s="40"/>
      <c r="LR122" s="40"/>
      <c r="LS122" s="40"/>
      <c r="LT122" s="40"/>
      <c r="LU122" s="40"/>
      <c r="LV122" s="40"/>
      <c r="LW122" s="40"/>
      <c r="LX122" s="40"/>
      <c r="LY122" s="40"/>
      <c r="LZ122" s="40"/>
      <c r="MA122" s="40"/>
      <c r="MB122" s="40"/>
      <c r="MC122" s="40"/>
      <c r="MD122" s="40"/>
      <c r="ME122" s="40"/>
      <c r="MF122" s="40"/>
      <c r="MG122" s="40"/>
      <c r="MH122" s="40"/>
      <c r="MI122" s="40"/>
      <c r="MJ122" s="40"/>
      <c r="MK122" s="40"/>
      <c r="ML122" s="40"/>
      <c r="MM122" s="40"/>
      <c r="MN122" s="40"/>
      <c r="MO122" s="40"/>
      <c r="MP122" s="40"/>
      <c r="MQ122" s="40"/>
      <c r="MR122" s="40"/>
      <c r="MS122" s="40"/>
      <c r="MT122" s="40"/>
      <c r="MU122" s="40"/>
      <c r="MV122" s="40"/>
      <c r="MW122" s="40"/>
      <c r="MX122" s="40"/>
      <c r="MY122" s="40"/>
      <c r="MZ122" s="40"/>
      <c r="NA122" s="40"/>
      <c r="NB122" s="40"/>
      <c r="NC122" s="40"/>
      <c r="ND122" s="40"/>
      <c r="NE122" s="40"/>
      <c r="NF122" s="40"/>
      <c r="NG122" s="40"/>
      <c r="NH122" s="40"/>
      <c r="NI122" s="40"/>
      <c r="NJ122" s="40"/>
      <c r="NK122" s="40"/>
      <c r="NL122" s="40"/>
      <c r="NM122" s="40"/>
      <c r="NN122" s="40"/>
      <c r="NO122" s="40"/>
      <c r="NP122" s="40"/>
      <c r="NQ122" s="40"/>
      <c r="NR122" s="40"/>
      <c r="NS122" s="40"/>
      <c r="NT122" s="40"/>
      <c r="NU122" s="40"/>
      <c r="NV122" s="40"/>
      <c r="NW122" s="40"/>
      <c r="NX122" s="40"/>
      <c r="NY122" s="40"/>
      <c r="NZ122" s="40"/>
      <c r="OA122" s="40"/>
      <c r="OB122" s="40"/>
      <c r="OC122" s="40"/>
      <c r="OD122" s="40"/>
      <c r="OE122" s="40"/>
      <c r="OF122" s="40"/>
      <c r="OG122" s="40"/>
      <c r="OH122" s="40"/>
      <c r="OI122" s="40"/>
      <c r="OJ122" s="40"/>
      <c r="OK122" s="40"/>
      <c r="OL122" s="40"/>
      <c r="OM122" s="40"/>
      <c r="ON122" s="40"/>
      <c r="OO122" s="40"/>
      <c r="OP122" s="40"/>
      <c r="OQ122" s="40"/>
      <c r="OR122" s="40"/>
      <c r="OS122" s="40"/>
      <c r="OT122" s="40"/>
      <c r="OU122" s="40"/>
      <c r="OV122" s="40"/>
      <c r="OW122" s="40"/>
      <c r="OX122" s="40"/>
      <c r="OY122" s="40"/>
      <c r="OZ122" s="40"/>
      <c r="PA122" s="40"/>
      <c r="PB122" s="40"/>
      <c r="PC122" s="40"/>
      <c r="PD122" s="40"/>
      <c r="PE122" s="40"/>
      <c r="PF122" s="40"/>
      <c r="PG122" s="40"/>
      <c r="PH122" s="40"/>
      <c r="PI122" s="40"/>
      <c r="PJ122" s="40"/>
      <c r="PK122" s="40"/>
      <c r="PL122" s="40"/>
      <c r="PM122" s="40"/>
      <c r="PN122" s="40"/>
      <c r="PO122" s="40"/>
      <c r="PP122" s="40"/>
      <c r="PQ122" s="40"/>
      <c r="PR122" s="40"/>
      <c r="PS122" s="40"/>
      <c r="PT122" s="40"/>
      <c r="PU122" s="40"/>
      <c r="PV122" s="40"/>
      <c r="PW122" s="40"/>
      <c r="PX122" s="40"/>
      <c r="PY122" s="40"/>
      <c r="PZ122" s="40"/>
      <c r="QA122" s="40"/>
      <c r="QB122" s="40"/>
      <c r="QC122" s="40"/>
      <c r="QD122" s="40"/>
      <c r="QE122" s="40"/>
      <c r="QF122" s="40"/>
      <c r="QG122" s="40"/>
      <c r="QH122" s="40"/>
      <c r="QI122" s="40"/>
      <c r="QJ122" s="40"/>
      <c r="QK122" s="40"/>
      <c r="QL122" s="40"/>
      <c r="QM122" s="40"/>
      <c r="QN122" s="40"/>
      <c r="QO122" s="40"/>
      <c r="QP122" s="40"/>
      <c r="QQ122" s="40"/>
      <c r="QR122" s="40"/>
      <c r="QS122" s="40"/>
      <c r="QT122" s="40"/>
      <c r="QU122" s="40"/>
      <c r="QV122" s="40"/>
      <c r="QW122" s="40"/>
      <c r="QX122" s="40"/>
      <c r="QY122" s="40"/>
      <c r="QZ122" s="40"/>
      <c r="RA122" s="40"/>
      <c r="RB122" s="40"/>
      <c r="RC122" s="40"/>
      <c r="RD122" s="40"/>
      <c r="RE122" s="40"/>
      <c r="RF122" s="40"/>
      <c r="RG122" s="40"/>
      <c r="RH122" s="40"/>
      <c r="RI122" s="40"/>
      <c r="RJ122" s="40"/>
      <c r="RK122" s="40"/>
      <c r="RL122" s="40"/>
      <c r="RM122" s="40"/>
      <c r="RN122" s="40"/>
      <c r="RO122" s="40"/>
      <c r="RP122" s="40"/>
      <c r="RQ122" s="40"/>
      <c r="RR122" s="40"/>
      <c r="RS122" s="40"/>
      <c r="RT122" s="40"/>
      <c r="RU122" s="40"/>
      <c r="RV122" s="40"/>
      <c r="RW122" s="40"/>
      <c r="RX122" s="40"/>
      <c r="RY122" s="40"/>
      <c r="RZ122" s="40"/>
      <c r="SA122" s="40"/>
      <c r="SB122" s="40"/>
      <c r="SC122" s="40"/>
      <c r="SD122" s="40"/>
      <c r="SE122" s="40"/>
      <c r="SF122" s="40"/>
      <c r="SG122" s="40"/>
      <c r="SH122" s="40"/>
      <c r="SI122" s="40"/>
      <c r="SJ122" s="40"/>
      <c r="SK122" s="40"/>
      <c r="SL122" s="40"/>
      <c r="SM122" s="40"/>
      <c r="SN122" s="40"/>
      <c r="SO122" s="40"/>
      <c r="SP122" s="40"/>
      <c r="SQ122" s="40"/>
      <c r="SR122" s="40"/>
      <c r="SS122" s="40"/>
      <c r="ST122" s="40"/>
      <c r="SU122" s="40"/>
      <c r="SV122" s="40"/>
      <c r="SW122" s="40"/>
      <c r="SX122" s="40"/>
      <c r="SY122" s="40"/>
      <c r="SZ122" s="40"/>
      <c r="TA122" s="40"/>
      <c r="TB122" s="40"/>
      <c r="TC122" s="40"/>
      <c r="TD122" s="40"/>
      <c r="TE122" s="40"/>
      <c r="TF122" s="40"/>
      <c r="TG122" s="40"/>
      <c r="TH122" s="40"/>
      <c r="TI122" s="40"/>
      <c r="TJ122" s="40"/>
      <c r="TK122" s="40"/>
      <c r="TL122" s="40"/>
      <c r="TM122" s="40"/>
      <c r="TN122" s="40"/>
      <c r="TO122" s="40"/>
      <c r="TP122" s="40"/>
      <c r="TQ122" s="40"/>
      <c r="TR122" s="40"/>
      <c r="TS122" s="40"/>
      <c r="TT122" s="40"/>
      <c r="TU122" s="40"/>
      <c r="TV122" s="40"/>
      <c r="TW122" s="40"/>
      <c r="TX122" s="40"/>
      <c r="TY122" s="40"/>
      <c r="TZ122" s="40"/>
      <c r="UA122" s="40"/>
      <c r="UB122" s="40"/>
      <c r="UC122" s="40"/>
      <c r="UD122" s="40"/>
      <c r="UE122" s="40"/>
      <c r="UF122" s="40"/>
      <c r="UG122" s="40"/>
      <c r="UH122" s="40"/>
      <c r="UI122" s="40"/>
      <c r="UJ122" s="40"/>
      <c r="UK122" s="40"/>
      <c r="UL122" s="40"/>
      <c r="UM122" s="40"/>
      <c r="UN122" s="40"/>
      <c r="UO122" s="40"/>
      <c r="UP122" s="40"/>
      <c r="UQ122" s="40"/>
      <c r="UR122" s="40"/>
      <c r="US122" s="40"/>
      <c r="UT122" s="40"/>
      <c r="UU122" s="40"/>
      <c r="UV122" s="40"/>
      <c r="UW122" s="40"/>
      <c r="UX122" s="40"/>
      <c r="UY122" s="40"/>
      <c r="UZ122" s="40"/>
      <c r="VA122" s="40"/>
      <c r="VB122" s="40"/>
      <c r="VC122" s="40"/>
      <c r="VD122" s="40"/>
      <c r="VE122" s="40"/>
      <c r="VF122" s="40"/>
      <c r="VG122" s="40"/>
      <c r="VH122" s="40"/>
      <c r="VI122" s="40"/>
      <c r="VJ122" s="40"/>
      <c r="VK122" s="40"/>
      <c r="VL122" s="40"/>
      <c r="VM122" s="40"/>
      <c r="VN122" s="40"/>
      <c r="VO122" s="40"/>
      <c r="VP122" s="40"/>
      <c r="VQ122" s="40"/>
      <c r="VR122" s="40"/>
      <c r="VS122" s="40"/>
      <c r="VT122" s="40"/>
      <c r="VU122" s="40"/>
      <c r="VV122" s="40"/>
      <c r="VW122" s="40"/>
      <c r="VX122" s="40"/>
      <c r="VY122" s="40"/>
      <c r="VZ122" s="40"/>
      <c r="WA122" s="40"/>
      <c r="WB122" s="40"/>
      <c r="WC122" s="40"/>
      <c r="WD122" s="40"/>
      <c r="WE122" s="40"/>
      <c r="WF122" s="40"/>
      <c r="WG122" s="40"/>
      <c r="WH122" s="40"/>
      <c r="WI122" s="40"/>
      <c r="WJ122" s="40"/>
      <c r="WK122" s="40"/>
      <c r="WL122" s="40"/>
      <c r="WM122" s="40"/>
      <c r="WN122" s="40"/>
      <c r="WO122" s="40"/>
      <c r="WP122" s="40"/>
      <c r="WQ122" s="40"/>
      <c r="WR122" s="40"/>
      <c r="WS122" s="40"/>
      <c r="WT122" s="40"/>
      <c r="WU122" s="40"/>
      <c r="WV122" s="40"/>
      <c r="WW122" s="40"/>
      <c r="WX122" s="40"/>
      <c r="WY122" s="40"/>
      <c r="WZ122" s="40"/>
      <c r="XA122" s="40"/>
      <c r="XB122" s="40"/>
      <c r="XC122" s="40"/>
      <c r="XD122" s="40"/>
      <c r="XE122" s="40"/>
      <c r="XF122" s="40"/>
      <c r="XG122" s="40"/>
      <c r="XH122" s="40"/>
      <c r="XI122" s="40"/>
      <c r="XJ122" s="40"/>
      <c r="XK122" s="40"/>
      <c r="XL122" s="40"/>
      <c r="XM122" s="40"/>
      <c r="XN122" s="40"/>
      <c r="XO122" s="40"/>
      <c r="XP122" s="40"/>
      <c r="XQ122" s="40"/>
      <c r="XR122" s="40"/>
      <c r="XS122" s="40"/>
      <c r="XT122" s="40"/>
      <c r="XU122" s="40"/>
      <c r="XV122" s="40"/>
      <c r="XW122" s="40"/>
      <c r="XX122" s="40"/>
      <c r="XY122" s="40"/>
      <c r="XZ122" s="40"/>
      <c r="YA122" s="40"/>
      <c r="YB122" s="40"/>
      <c r="YC122" s="40"/>
      <c r="YD122" s="40"/>
      <c r="YE122" s="40"/>
      <c r="YF122" s="40"/>
      <c r="YG122" s="40"/>
      <c r="YH122" s="40"/>
      <c r="YI122" s="40"/>
      <c r="YJ122" s="40"/>
      <c r="YK122" s="40"/>
      <c r="YL122" s="40"/>
      <c r="YM122" s="40"/>
      <c r="YN122" s="40"/>
      <c r="YO122" s="40"/>
      <c r="YP122" s="40"/>
      <c r="YQ122" s="40"/>
      <c r="YR122" s="40"/>
      <c r="YS122" s="40"/>
      <c r="YT122" s="40"/>
      <c r="YU122" s="40"/>
      <c r="YV122" s="40"/>
      <c r="YW122" s="40"/>
      <c r="YX122" s="40"/>
      <c r="YY122" s="40"/>
      <c r="YZ122" s="40"/>
      <c r="ZA122" s="40"/>
      <c r="ZB122" s="40"/>
      <c r="ZC122" s="40"/>
      <c r="ZD122" s="40"/>
      <c r="ZE122" s="40"/>
      <c r="ZF122" s="40"/>
      <c r="ZG122" s="40"/>
      <c r="ZH122" s="40"/>
      <c r="ZI122" s="40"/>
      <c r="ZJ122" s="40"/>
      <c r="ZK122" s="40"/>
      <c r="ZL122" s="40"/>
      <c r="ZM122" s="40"/>
      <c r="ZN122" s="40"/>
      <c r="ZO122" s="40"/>
      <c r="ZP122" s="40"/>
      <c r="ZQ122" s="40"/>
      <c r="ZR122" s="40"/>
      <c r="ZS122" s="40"/>
      <c r="ZT122" s="40"/>
      <c r="ZU122" s="40"/>
      <c r="ZV122" s="40"/>
      <c r="ZW122" s="40"/>
      <c r="ZX122" s="40"/>
      <c r="ZY122" s="40"/>
      <c r="ZZ122" s="40"/>
      <c r="AAA122" s="40"/>
      <c r="AAB122" s="40"/>
      <c r="AAC122" s="40"/>
      <c r="AAD122" s="40"/>
      <c r="AAE122" s="40"/>
      <c r="AAF122" s="40"/>
      <c r="AAG122" s="40"/>
      <c r="AAH122" s="40"/>
      <c r="AAI122" s="40"/>
      <c r="AAJ122" s="40"/>
      <c r="AAK122" s="40"/>
      <c r="AAL122" s="40"/>
      <c r="AAM122" s="40"/>
      <c r="AAN122" s="40"/>
      <c r="AAO122" s="40"/>
      <c r="AAP122" s="40"/>
      <c r="AAQ122" s="40"/>
      <c r="AAR122" s="40"/>
      <c r="AAS122" s="40"/>
      <c r="AAT122" s="40"/>
      <c r="AAU122" s="40"/>
      <c r="AAV122" s="40"/>
      <c r="AAW122" s="40"/>
      <c r="AAX122" s="40"/>
      <c r="AAY122" s="40"/>
      <c r="AAZ122" s="40"/>
      <c r="ABA122" s="40"/>
      <c r="ABB122" s="40"/>
      <c r="ABC122" s="40"/>
      <c r="ABD122" s="40"/>
      <c r="ABE122" s="40"/>
      <c r="ABF122" s="40"/>
    </row>
    <row r="123" spans="1:734" x14ac:dyDescent="0.2">
      <c r="A123" s="20" t="str">
        <f>'School Level Inst. Resources'!A123</f>
        <v>0738000</v>
      </c>
      <c r="B123" s="20" t="str">
        <f>'School Level Inst. Resources'!B123</f>
        <v>Fremont #38</v>
      </c>
      <c r="C123" s="20" t="str">
        <f>'School Level Inst. Resources'!C123</f>
        <v>0738001</v>
      </c>
      <c r="D123" s="20" t="str">
        <f>'School Level Inst. Resources'!D123</f>
        <v>Arapahoe Elementary</v>
      </c>
      <c r="E123" s="138" t="str">
        <f>'School Level Inst. Resources'!E123</f>
        <v>P-8</v>
      </c>
      <c r="F123" s="317">
        <f>IF(AND($A$2=4,VLOOKUP($A123,'District Level ADM'!$A$5:$W$52,5,FALSE)="Prior Year"),AH123,IF(AND($A$2=4,VLOOKUP($A123,'District Level ADM'!$A$5:$W$52,5,FALSE)="3-Year Avg."),T123,IF($A$2=2,AH123,IF($A$2=3,T123,IF(($AG123&gt;$AU123),T123,AH123)))))</f>
        <v>52.204999999999998</v>
      </c>
      <c r="G123" s="317">
        <f>IF(AND($A$2=4,VLOOKUP($A123,'District Level ADM'!$A$5:$W$52,5,FALSE)="Prior Year"),AI123,IF(AND($A$2=4,VLOOKUP($A123,'District Level ADM'!$A$5:$W$52,5,FALSE)="3-Year Avg."),U123,IF($A$2=2,AI123,IF($A$2=3,U123,IF(($AG123&gt;$AU123),U123,AI123)))))</f>
        <v>56.145000000000003</v>
      </c>
      <c r="H123" s="317">
        <f>IF(AND($A$2=4,VLOOKUP($A123,'District Level ADM'!$A$5:$W$52,5,FALSE)="Prior Year"),AJ123,IF(AND($A$2=4,VLOOKUP($A123,'District Level ADM'!$A$5:$W$52,5,FALSE)="3-Year Avg."),V123,IF($A$2=2,AJ123,IF($A$2=3,V123,IF(($AG123&gt;$AU123),V123,AJ123)))))</f>
        <v>50.234999999999999</v>
      </c>
      <c r="I123" s="317">
        <f>IF(AND($A$2=4,VLOOKUP($A123,'District Level ADM'!$A$5:$W$52,5,FALSE)="Prior Year"),AK123,IF(AND($A$2=4,VLOOKUP($A123,'District Level ADM'!$A$5:$W$52,5,FALSE)="3-Year Avg."),W123,IF($A$2=2,AK123,IF($A$2=3,W123,IF(($AG123&gt;$AU123),W123,AK123)))))</f>
        <v>37.43</v>
      </c>
      <c r="J123" s="317">
        <f>IF(AND($A$2=4,VLOOKUP($A123,'District Level ADM'!$A$5:$W$52,5,FALSE)="Prior Year"),AL123,IF(AND($A$2=4,VLOOKUP($A123,'District Level ADM'!$A$5:$W$52,5,FALSE)="3-Year Avg."),X123,IF($A$2=2,AL123,IF($A$2=3,X123,IF(($AG123&gt;$AU123),X123,AL123)))))</f>
        <v>38.414999999999999</v>
      </c>
      <c r="K123" s="317">
        <f>IF(AND($A$2=4,VLOOKUP($A123,'District Level ADM'!$A$5:$W$52,5,FALSE)="Prior Year"),AM123,IF(AND($A$2=4,VLOOKUP($A123,'District Level ADM'!$A$5:$W$52,5,FALSE)="3-Year Avg."),Y123,IF($A$2=2,AM123,IF($A$2=3,Y123,IF(($AG123&gt;$AU123),Y123,AM123)))))</f>
        <v>44.325000000000003</v>
      </c>
      <c r="L123" s="317">
        <f>IF(AND($A$2=4,VLOOKUP($A123,'District Level ADM'!$A$5:$W$52,5,FALSE)="Prior Year"),AN123,IF(AND($A$2=4,VLOOKUP($A123,'District Level ADM'!$A$5:$W$52,5,FALSE)="3-Year Avg."),Z123,IF($A$2=2,AN123,IF($A$2=3,Z123,IF(($AG123&gt;$AU123),Z123,AN123)))))</f>
        <v>52.204999999999998</v>
      </c>
      <c r="M123" s="317">
        <f>IF(AND($A$2=4,VLOOKUP($A123,'District Level ADM'!$A$5:$W$52,5,FALSE)="Prior Year"),AO123,IF(AND($A$2=4,VLOOKUP($A123,'District Level ADM'!$A$5:$W$52,5,FALSE)="3-Year Avg."),AA123,IF($A$2=2,AO123,IF($A$2=3,AA123,IF(($AG123&gt;$AU123),AA123,AO123)))))</f>
        <v>37.43</v>
      </c>
      <c r="N123" s="317">
        <f>IF(AND($A$2=4,VLOOKUP($A123,'District Level ADM'!$A$5:$W$52,5,FALSE)="Prior Year"),AP123,IF(AND($A$2=4,VLOOKUP($A123,'District Level ADM'!$A$5:$W$52,5,FALSE)="3-Year Avg."),AB123,IF($A$2=2,AP123,IF($A$2=3,AB123,IF(($AG123&gt;$AU123),AB123,AP123)))))</f>
        <v>33.49</v>
      </c>
      <c r="O123" s="317">
        <f>IF(AND($A$2=4,VLOOKUP($A123,'District Level ADM'!$A$5:$W$52,5,FALSE)="Prior Year"),AQ123,IF(AND($A$2=4,VLOOKUP($A123,'District Level ADM'!$A$5:$W$52,5,FALSE)="3-Year Avg."),AC123,IF($A$2=2,AQ123,IF($A$2=3,AC123,IF(($AG123&gt;$AU123),AC123,AQ123)))))</f>
        <v>0</v>
      </c>
      <c r="P123" s="317">
        <f>IF(AND($A$2=4,VLOOKUP($A123,'District Level ADM'!$A$5:$W$52,5,FALSE)="Prior Year"),AR123,IF(AND($A$2=4,VLOOKUP($A123,'District Level ADM'!$A$5:$W$52,5,FALSE)="3-Year Avg."),AD123,IF($A$2=2,AR123,IF($A$2=3,AD123,IF(($AG123&gt;$AU123),AD123,AR123)))))</f>
        <v>0</v>
      </c>
      <c r="Q123" s="317">
        <f>IF(AND($A$2=4,VLOOKUP($A123,'District Level ADM'!$A$5:$W$52,5,FALSE)="Prior Year"),AS123,IF(AND($A$2=4,VLOOKUP($A123,'District Level ADM'!$A$5:$W$52,5,FALSE)="3-Year Avg."),AE123,IF($A$2=2,AS123,IF($A$2=3,AE123,IF(($AG123&gt;$AU123),AE123,AS123)))))</f>
        <v>0</v>
      </c>
      <c r="R123" s="317">
        <f>IF(AND($A$2=4,VLOOKUP($A123,'District Level ADM'!$A$5:$W$52,5,FALSE)="Prior Year"),AT123,IF(AND($A$2=4,VLOOKUP($A123,'District Level ADM'!$A$5:$W$52,5,FALSE)="3-Year Avg."),AF123,IF($A$2=2,AT123,IF($A$2=3,AF123,IF(($AG123&gt;$AU123),AF123,AT123)))))</f>
        <v>0</v>
      </c>
      <c r="S123" s="317">
        <f t="shared" si="13"/>
        <v>401.88</v>
      </c>
      <c r="T123" s="317">
        <f t="shared" si="20"/>
        <v>54.026666666666664</v>
      </c>
      <c r="U123" s="317">
        <f t="shared" si="20"/>
        <v>51.579333333333331</v>
      </c>
      <c r="V123" s="317">
        <f t="shared" si="20"/>
        <v>44.998333333333335</v>
      </c>
      <c r="W123" s="317">
        <f t="shared" si="20"/>
        <v>43.552666666666674</v>
      </c>
      <c r="X123" s="317">
        <f t="shared" si="20"/>
        <v>43.863999999999997</v>
      </c>
      <c r="Y123" s="317">
        <f t="shared" si="20"/>
        <v>42.645666666666671</v>
      </c>
      <c r="Z123" s="317">
        <f t="shared" si="23"/>
        <v>42.288333333333334</v>
      </c>
      <c r="AA123" s="317">
        <f t="shared" si="23"/>
        <v>34.943333333333328</v>
      </c>
      <c r="AB123" s="317">
        <f t="shared" si="23"/>
        <v>31.734666666666669</v>
      </c>
      <c r="AC123" s="317">
        <f t="shared" si="18"/>
        <v>0</v>
      </c>
      <c r="AD123" s="317">
        <f t="shared" si="18"/>
        <v>0</v>
      </c>
      <c r="AE123" s="317">
        <f t="shared" si="18"/>
        <v>0</v>
      </c>
      <c r="AF123" s="317">
        <f t="shared" si="18"/>
        <v>0</v>
      </c>
      <c r="AG123" s="317">
        <f t="shared" si="14"/>
        <v>389.63300000000004</v>
      </c>
      <c r="AH123" s="318">
        <v>52.204999999999998</v>
      </c>
      <c r="AI123" s="318">
        <v>56.145000000000003</v>
      </c>
      <c r="AJ123" s="318">
        <v>50.234999999999999</v>
      </c>
      <c r="AK123" s="318">
        <v>37.43</v>
      </c>
      <c r="AL123" s="318">
        <v>38.414999999999999</v>
      </c>
      <c r="AM123" s="318">
        <v>44.325000000000003</v>
      </c>
      <c r="AN123" s="318">
        <v>52.204999999999998</v>
      </c>
      <c r="AO123" s="318">
        <v>37.43</v>
      </c>
      <c r="AP123" s="318">
        <v>33.49</v>
      </c>
      <c r="AQ123" s="318">
        <v>0</v>
      </c>
      <c r="AR123" s="318">
        <v>0</v>
      </c>
      <c r="AS123" s="318">
        <v>0</v>
      </c>
      <c r="AT123" s="318">
        <v>0</v>
      </c>
      <c r="AU123" s="317">
        <f t="shared" si="15"/>
        <v>401.88</v>
      </c>
      <c r="AV123" s="319">
        <v>53.588999999999999</v>
      </c>
      <c r="AW123" s="319">
        <v>52.564</v>
      </c>
      <c r="AX123" s="319">
        <v>41.32</v>
      </c>
      <c r="AY123" s="319">
        <v>40.850999999999999</v>
      </c>
      <c r="AZ123" s="319">
        <v>46.622999999999998</v>
      </c>
      <c r="BA123" s="319">
        <v>43.863</v>
      </c>
      <c r="BB123" s="319">
        <v>34.363</v>
      </c>
      <c r="BC123" s="319">
        <v>33.948999999999998</v>
      </c>
      <c r="BD123" s="319">
        <v>27.210999999999999</v>
      </c>
      <c r="BE123" s="319">
        <v>0</v>
      </c>
      <c r="BF123" s="319">
        <v>0</v>
      </c>
      <c r="BG123" s="319">
        <v>0</v>
      </c>
      <c r="BH123" s="319">
        <v>0</v>
      </c>
      <c r="BI123" s="317">
        <f t="shared" si="16"/>
        <v>374.33299999999997</v>
      </c>
      <c r="BJ123" s="316">
        <v>56.286000000000001</v>
      </c>
      <c r="BK123" s="316">
        <v>46.029000000000003</v>
      </c>
      <c r="BL123" s="316">
        <v>43.44</v>
      </c>
      <c r="BM123" s="316">
        <v>52.377000000000002</v>
      </c>
      <c r="BN123" s="316">
        <v>46.554000000000002</v>
      </c>
      <c r="BO123" s="316">
        <v>39.749000000000002</v>
      </c>
      <c r="BP123" s="316">
        <v>40.296999999999997</v>
      </c>
      <c r="BQ123" s="316">
        <v>33.451000000000001</v>
      </c>
      <c r="BR123" s="316">
        <v>34.503</v>
      </c>
      <c r="BS123" s="316">
        <v>0</v>
      </c>
      <c r="BT123" s="316">
        <v>0</v>
      </c>
      <c r="BU123" s="316">
        <v>0</v>
      </c>
      <c r="BV123" s="316">
        <v>0</v>
      </c>
      <c r="BW123" s="317">
        <f t="shared" si="17"/>
        <v>392.68599999999998</v>
      </c>
    </row>
    <row r="124" spans="1:734" x14ac:dyDescent="0.2">
      <c r="A124" s="20" t="str">
        <f>'School Level Inst. Resources'!A124</f>
        <v>0738000</v>
      </c>
      <c r="B124" s="20" t="str">
        <f>'School Level Inst. Resources'!B124</f>
        <v>Fremont #38</v>
      </c>
      <c r="C124" s="20" t="str">
        <f>'School Level Inst. Resources'!C124</f>
        <v>0738055</v>
      </c>
      <c r="D124" s="20" t="str">
        <f>'School Level Inst. Resources'!D124</f>
        <v>Arapaho Charter High School</v>
      </c>
      <c r="E124" s="138" t="str">
        <f>'School Level Inst. Resources'!E124</f>
        <v>9-12</v>
      </c>
      <c r="F124" s="317">
        <f>IF(AND($A$2=4,VLOOKUP($A124,'District Level ADM'!$A$5:$W$52,5,FALSE)="Prior Year"),AH124,IF(AND($A$2=4,VLOOKUP($A124,'District Level ADM'!$A$5:$W$52,5,FALSE)="3-Year Avg."),T124,IF($A$2=2,AH124,IF($A$2=3,T124,IF(($AG124&gt;$AU124),T124,AH124)))))</f>
        <v>0</v>
      </c>
      <c r="G124" s="317">
        <f>IF(AND($A$2=4,VLOOKUP($A124,'District Level ADM'!$A$5:$W$52,5,FALSE)="Prior Year"),AI124,IF(AND($A$2=4,VLOOKUP($A124,'District Level ADM'!$A$5:$W$52,5,FALSE)="3-Year Avg."),U124,IF($A$2=2,AI124,IF($A$2=3,U124,IF(($AG124&gt;$AU124),U124,AI124)))))</f>
        <v>0</v>
      </c>
      <c r="H124" s="317">
        <f>IF(AND($A$2=4,VLOOKUP($A124,'District Level ADM'!$A$5:$W$52,5,FALSE)="Prior Year"),AJ124,IF(AND($A$2=4,VLOOKUP($A124,'District Level ADM'!$A$5:$W$52,5,FALSE)="3-Year Avg."),V124,IF($A$2=2,AJ124,IF($A$2=3,V124,IF(($AG124&gt;$AU124),V124,AJ124)))))</f>
        <v>0</v>
      </c>
      <c r="I124" s="317">
        <f>IF(AND($A$2=4,VLOOKUP($A124,'District Level ADM'!$A$5:$W$52,5,FALSE)="Prior Year"),AK124,IF(AND($A$2=4,VLOOKUP($A124,'District Level ADM'!$A$5:$W$52,5,FALSE)="3-Year Avg."),W124,IF($A$2=2,AK124,IF($A$2=3,W124,IF(($AG124&gt;$AU124),W124,AK124)))))</f>
        <v>0</v>
      </c>
      <c r="J124" s="317">
        <f>IF(AND($A$2=4,VLOOKUP($A124,'District Level ADM'!$A$5:$W$52,5,FALSE)="Prior Year"),AL124,IF(AND($A$2=4,VLOOKUP($A124,'District Level ADM'!$A$5:$W$52,5,FALSE)="3-Year Avg."),X124,IF($A$2=2,AL124,IF($A$2=3,X124,IF(($AG124&gt;$AU124),X124,AL124)))))</f>
        <v>0</v>
      </c>
      <c r="K124" s="317">
        <f>IF(AND($A$2=4,VLOOKUP($A124,'District Level ADM'!$A$5:$W$52,5,FALSE)="Prior Year"),AM124,IF(AND($A$2=4,VLOOKUP($A124,'District Level ADM'!$A$5:$W$52,5,FALSE)="3-Year Avg."),Y124,IF($A$2=2,AM124,IF($A$2=3,Y124,IF(($AG124&gt;$AU124),Y124,AM124)))))</f>
        <v>0</v>
      </c>
      <c r="L124" s="317">
        <f>IF(AND($A$2=4,VLOOKUP($A124,'District Level ADM'!$A$5:$W$52,5,FALSE)="Prior Year"),AN124,IF(AND($A$2=4,VLOOKUP($A124,'District Level ADM'!$A$5:$W$52,5,FALSE)="3-Year Avg."),Z124,IF($A$2=2,AN124,IF($A$2=3,Z124,IF(($AG124&gt;$AU124),Z124,AN124)))))</f>
        <v>0</v>
      </c>
      <c r="M124" s="317">
        <f>IF(AND($A$2=4,VLOOKUP($A124,'District Level ADM'!$A$5:$W$52,5,FALSE)="Prior Year"),AO124,IF(AND($A$2=4,VLOOKUP($A124,'District Level ADM'!$A$5:$W$52,5,FALSE)="3-Year Avg."),AA124,IF($A$2=2,AO124,IF($A$2=3,AA124,IF(($AG124&gt;$AU124),AA124,AO124)))))</f>
        <v>0</v>
      </c>
      <c r="N124" s="317">
        <f>IF(AND($A$2=4,VLOOKUP($A124,'District Level ADM'!$A$5:$W$52,5,FALSE)="Prior Year"),AP124,IF(AND($A$2=4,VLOOKUP($A124,'District Level ADM'!$A$5:$W$52,5,FALSE)="3-Year Avg."),AB124,IF($A$2=2,AP124,IF($A$2=3,AB124,IF(($AG124&gt;$AU124),AB124,AP124)))))</f>
        <v>0</v>
      </c>
      <c r="O124" s="317">
        <f>IF(AND($A$2=4,VLOOKUP($A124,'District Level ADM'!$A$5:$W$52,5,FALSE)="Prior Year"),AQ124,IF(AND($A$2=4,VLOOKUP($A124,'District Level ADM'!$A$5:$W$52,5,FALSE)="3-Year Avg."),AC124,IF($A$2=2,AQ124,IF($A$2=3,AC124,IF(($AG124&gt;$AU124),AC124,AQ124)))))</f>
        <v>21.67</v>
      </c>
      <c r="P124" s="317">
        <f>IF(AND($A$2=4,VLOOKUP($A124,'District Level ADM'!$A$5:$W$52,5,FALSE)="Prior Year"),AR124,IF(AND($A$2=4,VLOOKUP($A124,'District Level ADM'!$A$5:$W$52,5,FALSE)="3-Year Avg."),AD124,IF($A$2=2,AR124,IF($A$2=3,AD124,IF(($AG124&gt;$AU124),AD124,AR124)))))</f>
        <v>5.91</v>
      </c>
      <c r="Q124" s="317">
        <f>IF(AND($A$2=4,VLOOKUP($A124,'District Level ADM'!$A$5:$W$52,5,FALSE)="Prior Year"),AS124,IF(AND($A$2=4,VLOOKUP($A124,'District Level ADM'!$A$5:$W$52,5,FALSE)="3-Year Avg."),AE124,IF($A$2=2,AS124,IF($A$2=3,AE124,IF(($AG124&gt;$AU124),AE124,AS124)))))</f>
        <v>3.94</v>
      </c>
      <c r="R124" s="317">
        <f>IF(AND($A$2=4,VLOOKUP($A124,'District Level ADM'!$A$5:$W$52,5,FALSE)="Prior Year"),AT124,IF(AND($A$2=4,VLOOKUP($A124,'District Level ADM'!$A$5:$W$52,5,FALSE)="3-Year Avg."),AF124,IF($A$2=2,AT124,IF($A$2=3,AF124,IF(($AG124&gt;$AU124),AF124,AT124)))))</f>
        <v>3.94</v>
      </c>
      <c r="S124" s="317">
        <f t="shared" si="13"/>
        <v>35.46</v>
      </c>
      <c r="T124" s="317">
        <f t="shared" si="20"/>
        <v>0</v>
      </c>
      <c r="U124" s="317">
        <f t="shared" si="20"/>
        <v>0</v>
      </c>
      <c r="V124" s="317">
        <f t="shared" si="20"/>
        <v>0</v>
      </c>
      <c r="W124" s="317">
        <f t="shared" si="20"/>
        <v>0</v>
      </c>
      <c r="X124" s="317">
        <f t="shared" si="20"/>
        <v>0</v>
      </c>
      <c r="Y124" s="317">
        <f t="shared" si="20"/>
        <v>0</v>
      </c>
      <c r="Z124" s="317">
        <f t="shared" si="23"/>
        <v>0</v>
      </c>
      <c r="AA124" s="317">
        <f t="shared" si="23"/>
        <v>0</v>
      </c>
      <c r="AB124" s="317">
        <f t="shared" si="23"/>
        <v>0</v>
      </c>
      <c r="AC124" s="317">
        <f t="shared" si="18"/>
        <v>13.871</v>
      </c>
      <c r="AD124" s="317">
        <f t="shared" si="18"/>
        <v>5.069</v>
      </c>
      <c r="AE124" s="317">
        <f t="shared" si="18"/>
        <v>4.3626666666666667</v>
      </c>
      <c r="AF124" s="317">
        <f t="shared" si="18"/>
        <v>3.7226666666666666</v>
      </c>
      <c r="AG124" s="317">
        <f t="shared" si="14"/>
        <v>27.025333333333332</v>
      </c>
      <c r="AH124" s="318">
        <v>0</v>
      </c>
      <c r="AI124" s="318">
        <v>0</v>
      </c>
      <c r="AJ124" s="318">
        <v>0</v>
      </c>
      <c r="AK124" s="318">
        <v>0</v>
      </c>
      <c r="AL124" s="318">
        <v>0</v>
      </c>
      <c r="AM124" s="318">
        <v>0</v>
      </c>
      <c r="AN124" s="318">
        <v>0</v>
      </c>
      <c r="AO124" s="318">
        <v>0</v>
      </c>
      <c r="AP124" s="318">
        <v>0</v>
      </c>
      <c r="AQ124" s="318">
        <v>21.67</v>
      </c>
      <c r="AR124" s="318">
        <v>5.91</v>
      </c>
      <c r="AS124" s="318">
        <v>3.94</v>
      </c>
      <c r="AT124" s="318">
        <v>3.94</v>
      </c>
      <c r="AU124" s="317">
        <f t="shared" si="15"/>
        <v>35.46</v>
      </c>
      <c r="AV124" s="319">
        <v>0</v>
      </c>
      <c r="AW124" s="319">
        <v>0</v>
      </c>
      <c r="AX124" s="319">
        <v>0</v>
      </c>
      <c r="AY124" s="319">
        <v>0</v>
      </c>
      <c r="AZ124" s="319">
        <v>0</v>
      </c>
      <c r="BA124" s="319">
        <v>0</v>
      </c>
      <c r="BB124" s="319">
        <v>0</v>
      </c>
      <c r="BC124" s="319">
        <v>0</v>
      </c>
      <c r="BD124" s="319">
        <v>0</v>
      </c>
      <c r="BE124" s="319">
        <v>10.743</v>
      </c>
      <c r="BF124" s="319">
        <v>3.4460000000000002</v>
      </c>
      <c r="BG124" s="319">
        <v>3.931</v>
      </c>
      <c r="BH124" s="319">
        <v>1.6339999999999999</v>
      </c>
      <c r="BI124" s="317">
        <f t="shared" si="16"/>
        <v>19.754000000000001</v>
      </c>
      <c r="BJ124" s="316">
        <v>0</v>
      </c>
      <c r="BK124" s="316">
        <v>0</v>
      </c>
      <c r="BL124" s="316">
        <v>0</v>
      </c>
      <c r="BM124" s="316">
        <v>0</v>
      </c>
      <c r="BN124" s="316">
        <v>0</v>
      </c>
      <c r="BO124" s="316">
        <v>0</v>
      </c>
      <c r="BP124" s="316">
        <v>0</v>
      </c>
      <c r="BQ124" s="316">
        <v>0</v>
      </c>
      <c r="BR124" s="316">
        <v>0</v>
      </c>
      <c r="BS124" s="316">
        <v>9.1999999999999993</v>
      </c>
      <c r="BT124" s="316">
        <v>5.851</v>
      </c>
      <c r="BU124" s="316">
        <v>5.2169999999999996</v>
      </c>
      <c r="BV124" s="316">
        <v>5.5940000000000003</v>
      </c>
      <c r="BW124" s="317">
        <f t="shared" si="17"/>
        <v>25.861999999999998</v>
      </c>
    </row>
    <row r="125" spans="1:734" x14ac:dyDescent="0.2">
      <c r="A125" s="20" t="str">
        <f>'School Level Inst. Resources'!A125</f>
        <v>0801000</v>
      </c>
      <c r="B125" s="20" t="str">
        <f>'School Level Inst. Resources'!B125</f>
        <v>Goshen #1</v>
      </c>
      <c r="C125" s="20" t="str">
        <f>'School Level Inst. Resources'!C125</f>
        <v>0801002</v>
      </c>
      <c r="D125" s="20" t="str">
        <f>'School Level Inst. Resources'!D125</f>
        <v>Southeast Elementary</v>
      </c>
      <c r="E125" s="138" t="str">
        <f>'School Level Inst. Resources'!E125</f>
        <v>K-6</v>
      </c>
      <c r="F125" s="317">
        <f>IF(AND($A$2=4,VLOOKUP($A125,'District Level ADM'!$A$5:$W$52,5,FALSE)="Prior Year"),AH125,IF(AND($A$2=4,VLOOKUP($A125,'District Level ADM'!$A$5:$W$52,5,FALSE)="3-Year Avg."),T125,IF($A$2=2,AH125,IF($A$2=3,T125,IF(($AG125&gt;$AU125),T125,AH125)))))</f>
        <v>13.251666666666667</v>
      </c>
      <c r="G125" s="317">
        <f>IF(AND($A$2=4,VLOOKUP($A125,'District Level ADM'!$A$5:$W$52,5,FALSE)="Prior Year"),AI125,IF(AND($A$2=4,VLOOKUP($A125,'District Level ADM'!$A$5:$W$52,5,FALSE)="3-Year Avg."),U125,IF($A$2=2,AI125,IF($A$2=3,U125,IF(($AG125&gt;$AU125),U125,AI125)))))</f>
        <v>15.315666666666667</v>
      </c>
      <c r="H125" s="317">
        <f>IF(AND($A$2=4,VLOOKUP($A125,'District Level ADM'!$A$5:$W$52,5,FALSE)="Prior Year"),AJ125,IF(AND($A$2=4,VLOOKUP($A125,'District Level ADM'!$A$5:$W$52,5,FALSE)="3-Year Avg."),V125,IF($A$2=2,AJ125,IF($A$2=3,V125,IF(($AG125&gt;$AU125),V125,AJ125)))))</f>
        <v>15.325999999999999</v>
      </c>
      <c r="I125" s="317">
        <f>IF(AND($A$2=4,VLOOKUP($A125,'District Level ADM'!$A$5:$W$52,5,FALSE)="Prior Year"),AK125,IF(AND($A$2=4,VLOOKUP($A125,'District Level ADM'!$A$5:$W$52,5,FALSE)="3-Year Avg."),W125,IF($A$2=2,AK125,IF($A$2=3,W125,IF(($AG125&gt;$AU125),W125,AK125)))))</f>
        <v>18.233333333333334</v>
      </c>
      <c r="J125" s="317">
        <f>IF(AND($A$2=4,VLOOKUP($A125,'District Level ADM'!$A$5:$W$52,5,FALSE)="Prior Year"),AL125,IF(AND($A$2=4,VLOOKUP($A125,'District Level ADM'!$A$5:$W$52,5,FALSE)="3-Year Avg."),X125,IF($A$2=2,AL125,IF($A$2=3,X125,IF(($AG125&gt;$AU125),X125,AL125)))))</f>
        <v>17.68</v>
      </c>
      <c r="K125" s="317">
        <f>IF(AND($A$2=4,VLOOKUP($A125,'District Level ADM'!$A$5:$W$52,5,FALSE)="Prior Year"),AM125,IF(AND($A$2=4,VLOOKUP($A125,'District Level ADM'!$A$5:$W$52,5,FALSE)="3-Year Avg."),Y125,IF($A$2=2,AM125,IF($A$2=3,Y125,IF(($AG125&gt;$AU125),Y125,AM125)))))</f>
        <v>19.397666666666669</v>
      </c>
      <c r="L125" s="317">
        <f>IF(AND($A$2=4,VLOOKUP($A125,'District Level ADM'!$A$5:$W$52,5,FALSE)="Prior Year"),AN125,IF(AND($A$2=4,VLOOKUP($A125,'District Level ADM'!$A$5:$W$52,5,FALSE)="3-Year Avg."),Z125,IF($A$2=2,AN125,IF($A$2=3,Z125,IF(($AG125&gt;$AU125),Z125,AN125)))))</f>
        <v>17.303000000000001</v>
      </c>
      <c r="M125" s="317">
        <f>IF(AND($A$2=4,VLOOKUP($A125,'District Level ADM'!$A$5:$W$52,5,FALSE)="Prior Year"),AO125,IF(AND($A$2=4,VLOOKUP($A125,'District Level ADM'!$A$5:$W$52,5,FALSE)="3-Year Avg."),AA125,IF($A$2=2,AO125,IF($A$2=3,AA125,IF(($AG125&gt;$AU125),AA125,AO125)))))</f>
        <v>0</v>
      </c>
      <c r="N125" s="317">
        <f>IF(AND($A$2=4,VLOOKUP($A125,'District Level ADM'!$A$5:$W$52,5,FALSE)="Prior Year"),AP125,IF(AND($A$2=4,VLOOKUP($A125,'District Level ADM'!$A$5:$W$52,5,FALSE)="3-Year Avg."),AB125,IF($A$2=2,AP125,IF($A$2=3,AB125,IF(($AG125&gt;$AU125),AB125,AP125)))))</f>
        <v>0</v>
      </c>
      <c r="O125" s="317">
        <f>IF(AND($A$2=4,VLOOKUP($A125,'District Level ADM'!$A$5:$W$52,5,FALSE)="Prior Year"),AQ125,IF(AND($A$2=4,VLOOKUP($A125,'District Level ADM'!$A$5:$W$52,5,FALSE)="3-Year Avg."),AC125,IF($A$2=2,AQ125,IF($A$2=3,AC125,IF(($AG125&gt;$AU125),AC125,AQ125)))))</f>
        <v>0</v>
      </c>
      <c r="P125" s="317">
        <f>IF(AND($A$2=4,VLOOKUP($A125,'District Level ADM'!$A$5:$W$52,5,FALSE)="Prior Year"),AR125,IF(AND($A$2=4,VLOOKUP($A125,'District Level ADM'!$A$5:$W$52,5,FALSE)="3-Year Avg."),AD125,IF($A$2=2,AR125,IF($A$2=3,AD125,IF(($AG125&gt;$AU125),AD125,AR125)))))</f>
        <v>0</v>
      </c>
      <c r="Q125" s="317">
        <f>IF(AND($A$2=4,VLOOKUP($A125,'District Level ADM'!$A$5:$W$52,5,FALSE)="Prior Year"),AS125,IF(AND($A$2=4,VLOOKUP($A125,'District Level ADM'!$A$5:$W$52,5,FALSE)="3-Year Avg."),AE125,IF($A$2=2,AS125,IF($A$2=3,AE125,IF(($AG125&gt;$AU125),AE125,AS125)))))</f>
        <v>0</v>
      </c>
      <c r="R125" s="317">
        <f>IF(AND($A$2=4,VLOOKUP($A125,'District Level ADM'!$A$5:$W$52,5,FALSE)="Prior Year"),AT125,IF(AND($A$2=4,VLOOKUP($A125,'District Level ADM'!$A$5:$W$52,5,FALSE)="3-Year Avg."),AF125,IF($A$2=2,AT125,IF($A$2=3,AF125,IF(($AG125&gt;$AU125),AF125,AT125)))))</f>
        <v>0</v>
      </c>
      <c r="S125" s="317">
        <f t="shared" si="13"/>
        <v>116.50733333333334</v>
      </c>
      <c r="T125" s="317">
        <f t="shared" si="20"/>
        <v>13.251666666666667</v>
      </c>
      <c r="U125" s="317">
        <f t="shared" si="20"/>
        <v>15.315666666666667</v>
      </c>
      <c r="V125" s="317">
        <f t="shared" si="20"/>
        <v>15.325999999999999</v>
      </c>
      <c r="W125" s="317">
        <f t="shared" si="20"/>
        <v>18.233333333333334</v>
      </c>
      <c r="X125" s="317">
        <f t="shared" si="20"/>
        <v>17.68</v>
      </c>
      <c r="Y125" s="317">
        <f t="shared" si="20"/>
        <v>19.397666666666669</v>
      </c>
      <c r="Z125" s="317">
        <f t="shared" si="23"/>
        <v>17.303000000000001</v>
      </c>
      <c r="AA125" s="317">
        <f t="shared" si="23"/>
        <v>0</v>
      </c>
      <c r="AB125" s="317">
        <f t="shared" si="23"/>
        <v>0</v>
      </c>
      <c r="AC125" s="317">
        <f t="shared" si="18"/>
        <v>0</v>
      </c>
      <c r="AD125" s="317">
        <f t="shared" si="18"/>
        <v>0</v>
      </c>
      <c r="AE125" s="317">
        <f t="shared" si="18"/>
        <v>0</v>
      </c>
      <c r="AF125" s="317">
        <f t="shared" si="18"/>
        <v>0</v>
      </c>
      <c r="AG125" s="317">
        <f t="shared" si="14"/>
        <v>116.50733333333334</v>
      </c>
      <c r="AH125" s="318">
        <v>14.775</v>
      </c>
      <c r="AI125" s="318">
        <v>17.73</v>
      </c>
      <c r="AJ125" s="318">
        <v>10.835000000000001</v>
      </c>
      <c r="AK125" s="318">
        <v>19.7</v>
      </c>
      <c r="AL125" s="318">
        <v>15.76</v>
      </c>
      <c r="AM125" s="318">
        <v>17.73</v>
      </c>
      <c r="AN125" s="318">
        <v>18.715</v>
      </c>
      <c r="AO125" s="318">
        <v>0</v>
      </c>
      <c r="AP125" s="318">
        <v>0</v>
      </c>
      <c r="AQ125" s="318">
        <v>0</v>
      </c>
      <c r="AR125" s="318">
        <v>0</v>
      </c>
      <c r="AS125" s="318">
        <v>0</v>
      </c>
      <c r="AT125" s="318">
        <v>0</v>
      </c>
      <c r="AU125" s="317">
        <f t="shared" si="15"/>
        <v>115.24500000000002</v>
      </c>
      <c r="AV125" s="319">
        <v>17.98</v>
      </c>
      <c r="AW125" s="319">
        <v>7.5259999999999998</v>
      </c>
      <c r="AX125" s="319">
        <v>19.056999999999999</v>
      </c>
      <c r="AY125" s="319">
        <v>17</v>
      </c>
      <c r="AZ125" s="319">
        <v>19</v>
      </c>
      <c r="BA125" s="319">
        <v>20.646000000000001</v>
      </c>
      <c r="BB125" s="319">
        <v>17.193999999999999</v>
      </c>
      <c r="BC125" s="319">
        <v>0</v>
      </c>
      <c r="BD125" s="319">
        <v>0</v>
      </c>
      <c r="BE125" s="319">
        <v>0</v>
      </c>
      <c r="BF125" s="319">
        <v>0</v>
      </c>
      <c r="BG125" s="319">
        <v>0</v>
      </c>
      <c r="BH125" s="319">
        <v>0</v>
      </c>
      <c r="BI125" s="317">
        <f t="shared" si="16"/>
        <v>118.40300000000001</v>
      </c>
      <c r="BJ125" s="316">
        <v>7</v>
      </c>
      <c r="BK125" s="316">
        <v>20.690999999999999</v>
      </c>
      <c r="BL125" s="316">
        <v>16.085999999999999</v>
      </c>
      <c r="BM125" s="316">
        <v>18</v>
      </c>
      <c r="BN125" s="316">
        <v>18.28</v>
      </c>
      <c r="BO125" s="316">
        <v>19.817</v>
      </c>
      <c r="BP125" s="316">
        <v>16</v>
      </c>
      <c r="BQ125" s="316">
        <v>0</v>
      </c>
      <c r="BR125" s="316">
        <v>0</v>
      </c>
      <c r="BS125" s="316">
        <v>0</v>
      </c>
      <c r="BT125" s="316">
        <v>0</v>
      </c>
      <c r="BU125" s="316">
        <v>0</v>
      </c>
      <c r="BV125" s="316">
        <v>0</v>
      </c>
      <c r="BW125" s="317">
        <f t="shared" si="17"/>
        <v>115.874</v>
      </c>
    </row>
    <row r="126" spans="1:734" x14ac:dyDescent="0.2">
      <c r="A126" s="20" t="str">
        <f>'School Level Inst. Resources'!A126</f>
        <v>0801000</v>
      </c>
      <c r="B126" s="20" t="str">
        <f>'School Level Inst. Resources'!B126</f>
        <v>Goshen #1</v>
      </c>
      <c r="C126" s="20" t="str">
        <f>'School Level Inst. Resources'!C126</f>
        <v>0801004</v>
      </c>
      <c r="D126" s="20" t="str">
        <f>'School Level Inst. Resources'!D126</f>
        <v>La Grange Elementary</v>
      </c>
      <c r="E126" s="138" t="str">
        <f>'School Level Inst. Resources'!E126</f>
        <v>K-6</v>
      </c>
      <c r="F126" s="317">
        <f>IF(AND($A$2=4,VLOOKUP($A126,'District Level ADM'!$A$5:$W$52,5,FALSE)="Prior Year"),AH126,IF(AND($A$2=4,VLOOKUP($A126,'District Level ADM'!$A$5:$W$52,5,FALSE)="3-Year Avg."),T126,IF($A$2=2,AH126,IF($A$2=3,T126,IF(($AG126&gt;$AU126),T126,AH126)))))</f>
        <v>2.9633333333333334</v>
      </c>
      <c r="G126" s="317">
        <f>IF(AND($A$2=4,VLOOKUP($A126,'District Level ADM'!$A$5:$W$52,5,FALSE)="Prior Year"),AI126,IF(AND($A$2=4,VLOOKUP($A126,'District Level ADM'!$A$5:$W$52,5,FALSE)="3-Year Avg."),U126,IF($A$2=2,AI126,IF($A$2=3,U126,IF(($AG126&gt;$AU126),U126,AI126)))))</f>
        <v>3.6366666666666667</v>
      </c>
      <c r="H126" s="317">
        <f>IF(AND($A$2=4,VLOOKUP($A126,'District Level ADM'!$A$5:$W$52,5,FALSE)="Prior Year"),AJ126,IF(AND($A$2=4,VLOOKUP($A126,'District Level ADM'!$A$5:$W$52,5,FALSE)="3-Year Avg."),V126,IF($A$2=2,AJ126,IF($A$2=3,V126,IF(($AG126&gt;$AU126),V126,AJ126)))))</f>
        <v>3.0749999999999997</v>
      </c>
      <c r="I126" s="317">
        <f>IF(AND($A$2=4,VLOOKUP($A126,'District Level ADM'!$A$5:$W$52,5,FALSE)="Prior Year"),AK126,IF(AND($A$2=4,VLOOKUP($A126,'District Level ADM'!$A$5:$W$52,5,FALSE)="3-Year Avg."),W126,IF($A$2=2,AK126,IF($A$2=3,W126,IF(($AG126&gt;$AU126),W126,AK126)))))</f>
        <v>4.6416666666666666</v>
      </c>
      <c r="J126" s="317">
        <f>IF(AND($A$2=4,VLOOKUP($A126,'District Level ADM'!$A$5:$W$52,5,FALSE)="Prior Year"),AL126,IF(AND($A$2=4,VLOOKUP($A126,'District Level ADM'!$A$5:$W$52,5,FALSE)="3-Year Avg."),X126,IF($A$2=2,AL126,IF($A$2=3,X126,IF(($AG126&gt;$AU126),X126,AL126)))))</f>
        <v>3.6416666666666671</v>
      </c>
      <c r="K126" s="317">
        <f>IF(AND($A$2=4,VLOOKUP($A126,'District Level ADM'!$A$5:$W$52,5,FALSE)="Prior Year"),AM126,IF(AND($A$2=4,VLOOKUP($A126,'District Level ADM'!$A$5:$W$52,5,FALSE)="3-Year Avg."),Y126,IF($A$2=2,AM126,IF($A$2=3,Y126,IF(($AG126&gt;$AU126),Y126,AM126)))))</f>
        <v>2.3233333333333333</v>
      </c>
      <c r="L126" s="317">
        <f>IF(AND($A$2=4,VLOOKUP($A126,'District Level ADM'!$A$5:$W$52,5,FALSE)="Prior Year"),AN126,IF(AND($A$2=4,VLOOKUP($A126,'District Level ADM'!$A$5:$W$52,5,FALSE)="3-Year Avg."),Z126,IF($A$2=2,AN126,IF($A$2=3,Z126,IF(($AG126&gt;$AU126),Z126,AN126)))))</f>
        <v>2.4436666666666667</v>
      </c>
      <c r="M126" s="317">
        <f>IF(AND($A$2=4,VLOOKUP($A126,'District Level ADM'!$A$5:$W$52,5,FALSE)="Prior Year"),AO126,IF(AND($A$2=4,VLOOKUP($A126,'District Level ADM'!$A$5:$W$52,5,FALSE)="3-Year Avg."),AA126,IF($A$2=2,AO126,IF($A$2=3,AA126,IF(($AG126&gt;$AU126),AA126,AO126)))))</f>
        <v>0</v>
      </c>
      <c r="N126" s="317">
        <f>IF(AND($A$2=4,VLOOKUP($A126,'District Level ADM'!$A$5:$W$52,5,FALSE)="Prior Year"),AP126,IF(AND($A$2=4,VLOOKUP($A126,'District Level ADM'!$A$5:$W$52,5,FALSE)="3-Year Avg."),AB126,IF($A$2=2,AP126,IF($A$2=3,AB126,IF(($AG126&gt;$AU126),AB126,AP126)))))</f>
        <v>0</v>
      </c>
      <c r="O126" s="317">
        <f>IF(AND($A$2=4,VLOOKUP($A126,'District Level ADM'!$A$5:$W$52,5,FALSE)="Prior Year"),AQ126,IF(AND($A$2=4,VLOOKUP($A126,'District Level ADM'!$A$5:$W$52,5,FALSE)="3-Year Avg."),AC126,IF($A$2=2,AQ126,IF($A$2=3,AC126,IF(($AG126&gt;$AU126),AC126,AQ126)))))</f>
        <v>0</v>
      </c>
      <c r="P126" s="317">
        <f>IF(AND($A$2=4,VLOOKUP($A126,'District Level ADM'!$A$5:$W$52,5,FALSE)="Prior Year"),AR126,IF(AND($A$2=4,VLOOKUP($A126,'District Level ADM'!$A$5:$W$52,5,FALSE)="3-Year Avg."),AD126,IF($A$2=2,AR126,IF($A$2=3,AD126,IF(($AG126&gt;$AU126),AD126,AR126)))))</f>
        <v>0</v>
      </c>
      <c r="Q126" s="317">
        <f>IF(AND($A$2=4,VLOOKUP($A126,'District Level ADM'!$A$5:$W$52,5,FALSE)="Prior Year"),AS126,IF(AND($A$2=4,VLOOKUP($A126,'District Level ADM'!$A$5:$W$52,5,FALSE)="3-Year Avg."),AE126,IF($A$2=2,AS126,IF($A$2=3,AE126,IF(($AG126&gt;$AU126),AE126,AS126)))))</f>
        <v>0</v>
      </c>
      <c r="R126" s="317">
        <f>IF(AND($A$2=4,VLOOKUP($A126,'District Level ADM'!$A$5:$W$52,5,FALSE)="Prior Year"),AT126,IF(AND($A$2=4,VLOOKUP($A126,'District Level ADM'!$A$5:$W$52,5,FALSE)="3-Year Avg."),AF126,IF($A$2=2,AT126,IF($A$2=3,AF126,IF(($AG126&gt;$AU126),AF126,AT126)))))</f>
        <v>0</v>
      </c>
      <c r="S126" s="317">
        <f t="shared" si="13"/>
        <v>22.725333333333332</v>
      </c>
      <c r="T126" s="317">
        <f t="shared" si="20"/>
        <v>2.9633333333333334</v>
      </c>
      <c r="U126" s="317">
        <f t="shared" si="20"/>
        <v>3.6366666666666667</v>
      </c>
      <c r="V126" s="317">
        <f t="shared" si="20"/>
        <v>3.0749999999999997</v>
      </c>
      <c r="W126" s="317">
        <f t="shared" si="20"/>
        <v>4.6416666666666666</v>
      </c>
      <c r="X126" s="317">
        <f t="shared" si="20"/>
        <v>3.6416666666666671</v>
      </c>
      <c r="Y126" s="317">
        <f t="shared" si="20"/>
        <v>2.3233333333333333</v>
      </c>
      <c r="Z126" s="317">
        <f t="shared" si="23"/>
        <v>2.4436666666666667</v>
      </c>
      <c r="AA126" s="317">
        <f t="shared" si="23"/>
        <v>0</v>
      </c>
      <c r="AB126" s="317">
        <f t="shared" si="23"/>
        <v>0</v>
      </c>
      <c r="AC126" s="317">
        <f t="shared" si="18"/>
        <v>0</v>
      </c>
      <c r="AD126" s="317">
        <f t="shared" si="18"/>
        <v>0</v>
      </c>
      <c r="AE126" s="317">
        <f t="shared" si="18"/>
        <v>0</v>
      </c>
      <c r="AF126" s="317">
        <f t="shared" si="18"/>
        <v>0</v>
      </c>
      <c r="AG126" s="317">
        <f t="shared" si="14"/>
        <v>22.725333333333332</v>
      </c>
      <c r="AH126" s="318">
        <v>1.97</v>
      </c>
      <c r="AI126" s="318">
        <v>5.91</v>
      </c>
      <c r="AJ126" s="318">
        <v>0.98499999999999999</v>
      </c>
      <c r="AK126" s="318">
        <v>4.9249999999999998</v>
      </c>
      <c r="AL126" s="318">
        <v>4.9249999999999998</v>
      </c>
      <c r="AM126" s="318">
        <v>1.97</v>
      </c>
      <c r="AN126" s="318">
        <v>4.9249999999999998</v>
      </c>
      <c r="AO126" s="318">
        <v>0</v>
      </c>
      <c r="AP126" s="318">
        <v>0</v>
      </c>
      <c r="AQ126" s="318">
        <v>0</v>
      </c>
      <c r="AR126" s="318">
        <v>0</v>
      </c>
      <c r="AS126" s="318">
        <v>0</v>
      </c>
      <c r="AT126" s="318">
        <v>0</v>
      </c>
      <c r="AU126" s="317">
        <f t="shared" si="15"/>
        <v>25.61</v>
      </c>
      <c r="AV126" s="319">
        <v>4.92</v>
      </c>
      <c r="AW126" s="319">
        <v>1</v>
      </c>
      <c r="AX126" s="319">
        <v>3.8340000000000001</v>
      </c>
      <c r="AY126" s="319">
        <v>4</v>
      </c>
      <c r="AZ126" s="319">
        <v>4</v>
      </c>
      <c r="BA126" s="319">
        <v>5</v>
      </c>
      <c r="BB126" s="319">
        <v>2</v>
      </c>
      <c r="BC126" s="319">
        <v>0</v>
      </c>
      <c r="BD126" s="319">
        <v>0</v>
      </c>
      <c r="BE126" s="319">
        <v>0</v>
      </c>
      <c r="BF126" s="319">
        <v>0</v>
      </c>
      <c r="BG126" s="319">
        <v>0</v>
      </c>
      <c r="BH126" s="319">
        <v>0</v>
      </c>
      <c r="BI126" s="317">
        <f t="shared" si="16"/>
        <v>24.753999999999998</v>
      </c>
      <c r="BJ126" s="316">
        <v>2</v>
      </c>
      <c r="BK126" s="316">
        <v>4</v>
      </c>
      <c r="BL126" s="316">
        <v>4.4059999999999997</v>
      </c>
      <c r="BM126" s="316">
        <v>5</v>
      </c>
      <c r="BN126" s="316">
        <v>2</v>
      </c>
      <c r="BO126" s="316">
        <v>0</v>
      </c>
      <c r="BP126" s="316">
        <v>0.40600000000000003</v>
      </c>
      <c r="BQ126" s="316">
        <v>0</v>
      </c>
      <c r="BR126" s="316">
        <v>0</v>
      </c>
      <c r="BS126" s="316">
        <v>0</v>
      </c>
      <c r="BT126" s="316">
        <v>0</v>
      </c>
      <c r="BU126" s="316">
        <v>0</v>
      </c>
      <c r="BV126" s="316">
        <v>0</v>
      </c>
      <c r="BW126" s="317">
        <f t="shared" si="17"/>
        <v>17.811999999999998</v>
      </c>
    </row>
    <row r="127" spans="1:734" x14ac:dyDescent="0.2">
      <c r="A127" s="20" t="str">
        <f>'School Level Inst. Resources'!A127</f>
        <v>0801000</v>
      </c>
      <c r="B127" s="20" t="str">
        <f>'School Level Inst. Resources'!B127</f>
        <v>Goshen #1</v>
      </c>
      <c r="C127" s="20" t="str">
        <f>'School Level Inst. Resources'!C127</f>
        <v>0801005</v>
      </c>
      <c r="D127" s="20" t="str">
        <f>'School Level Inst. Resources'!D127</f>
        <v>Lingle-Ft. Laramie Elementary</v>
      </c>
      <c r="E127" s="138" t="str">
        <f>'School Level Inst. Resources'!E127</f>
        <v>K-5</v>
      </c>
      <c r="F127" s="317">
        <f>IF(AND($A$2=4,VLOOKUP($A127,'District Level ADM'!$A$5:$W$52,5,FALSE)="Prior Year"),AH127,IF(AND($A$2=4,VLOOKUP($A127,'District Level ADM'!$A$5:$W$52,5,FALSE)="3-Year Avg."),T127,IF($A$2=2,AH127,IF($A$2=3,T127,IF(($AG127&gt;$AU127),T127,AH127)))))</f>
        <v>18.765000000000001</v>
      </c>
      <c r="G127" s="317">
        <f>IF(AND($A$2=4,VLOOKUP($A127,'District Level ADM'!$A$5:$W$52,5,FALSE)="Prior Year"),AI127,IF(AND($A$2=4,VLOOKUP($A127,'District Level ADM'!$A$5:$W$52,5,FALSE)="3-Year Avg."),U127,IF($A$2=2,AI127,IF($A$2=3,U127,IF(($AG127&gt;$AU127),U127,AI127)))))</f>
        <v>19.346</v>
      </c>
      <c r="H127" s="317">
        <f>IF(AND($A$2=4,VLOOKUP($A127,'District Level ADM'!$A$5:$W$52,5,FALSE)="Prior Year"),AJ127,IF(AND($A$2=4,VLOOKUP($A127,'District Level ADM'!$A$5:$W$52,5,FALSE)="3-Year Avg."),V127,IF($A$2=2,AJ127,IF($A$2=3,V127,IF(($AG127&gt;$AU127),V127,AJ127)))))</f>
        <v>19.89</v>
      </c>
      <c r="I127" s="317">
        <f>IF(AND($A$2=4,VLOOKUP($A127,'District Level ADM'!$A$5:$W$52,5,FALSE)="Prior Year"),AK127,IF(AND($A$2=4,VLOOKUP($A127,'District Level ADM'!$A$5:$W$52,5,FALSE)="3-Year Avg."),W127,IF($A$2=2,AK127,IF($A$2=3,W127,IF(($AG127&gt;$AU127),W127,AK127)))))</f>
        <v>26.110000000000003</v>
      </c>
      <c r="J127" s="317">
        <f>IF(AND($A$2=4,VLOOKUP($A127,'District Level ADM'!$A$5:$W$52,5,FALSE)="Prior Year"),AL127,IF(AND($A$2=4,VLOOKUP($A127,'District Level ADM'!$A$5:$W$52,5,FALSE)="3-Year Avg."),X127,IF($A$2=2,AL127,IF($A$2=3,X127,IF(($AG127&gt;$AU127),X127,AL127)))))</f>
        <v>25.451999999999998</v>
      </c>
      <c r="K127" s="317">
        <f>IF(AND($A$2=4,VLOOKUP($A127,'District Level ADM'!$A$5:$W$52,5,FALSE)="Prior Year"),AM127,IF(AND($A$2=4,VLOOKUP($A127,'District Level ADM'!$A$5:$W$52,5,FALSE)="3-Year Avg."),Y127,IF($A$2=2,AM127,IF($A$2=3,Y127,IF(($AG127&gt;$AU127),Y127,AM127)))))</f>
        <v>22.310666666666666</v>
      </c>
      <c r="L127" s="317">
        <f>IF(AND($A$2=4,VLOOKUP($A127,'District Level ADM'!$A$5:$W$52,5,FALSE)="Prior Year"),AN127,IF(AND($A$2=4,VLOOKUP($A127,'District Level ADM'!$A$5:$W$52,5,FALSE)="3-Year Avg."),Z127,IF($A$2=2,AN127,IF($A$2=3,Z127,IF(($AG127&gt;$AU127),Z127,AN127)))))</f>
        <v>0</v>
      </c>
      <c r="M127" s="317">
        <f>IF(AND($A$2=4,VLOOKUP($A127,'District Level ADM'!$A$5:$W$52,5,FALSE)="Prior Year"),AO127,IF(AND($A$2=4,VLOOKUP($A127,'District Level ADM'!$A$5:$W$52,5,FALSE)="3-Year Avg."),AA127,IF($A$2=2,AO127,IF($A$2=3,AA127,IF(($AG127&gt;$AU127),AA127,AO127)))))</f>
        <v>0</v>
      </c>
      <c r="N127" s="317">
        <f>IF(AND($A$2=4,VLOOKUP($A127,'District Level ADM'!$A$5:$W$52,5,FALSE)="Prior Year"),AP127,IF(AND($A$2=4,VLOOKUP($A127,'District Level ADM'!$A$5:$W$52,5,FALSE)="3-Year Avg."),AB127,IF($A$2=2,AP127,IF($A$2=3,AB127,IF(($AG127&gt;$AU127),AB127,AP127)))))</f>
        <v>0</v>
      </c>
      <c r="O127" s="317">
        <f>IF(AND($A$2=4,VLOOKUP($A127,'District Level ADM'!$A$5:$W$52,5,FALSE)="Prior Year"),AQ127,IF(AND($A$2=4,VLOOKUP($A127,'District Level ADM'!$A$5:$W$52,5,FALSE)="3-Year Avg."),AC127,IF($A$2=2,AQ127,IF($A$2=3,AC127,IF(($AG127&gt;$AU127),AC127,AQ127)))))</f>
        <v>0</v>
      </c>
      <c r="P127" s="317">
        <f>IF(AND($A$2=4,VLOOKUP($A127,'District Level ADM'!$A$5:$W$52,5,FALSE)="Prior Year"),AR127,IF(AND($A$2=4,VLOOKUP($A127,'District Level ADM'!$A$5:$W$52,5,FALSE)="3-Year Avg."),AD127,IF($A$2=2,AR127,IF($A$2=3,AD127,IF(($AG127&gt;$AU127),AD127,AR127)))))</f>
        <v>0</v>
      </c>
      <c r="Q127" s="317">
        <f>IF(AND($A$2=4,VLOOKUP($A127,'District Level ADM'!$A$5:$W$52,5,FALSE)="Prior Year"),AS127,IF(AND($A$2=4,VLOOKUP($A127,'District Level ADM'!$A$5:$W$52,5,FALSE)="3-Year Avg."),AE127,IF($A$2=2,AS127,IF($A$2=3,AE127,IF(($AG127&gt;$AU127),AE127,AS127)))))</f>
        <v>0</v>
      </c>
      <c r="R127" s="317">
        <f>IF(AND($A$2=4,VLOOKUP($A127,'District Level ADM'!$A$5:$W$52,5,FALSE)="Prior Year"),AT127,IF(AND($A$2=4,VLOOKUP($A127,'District Level ADM'!$A$5:$W$52,5,FALSE)="3-Year Avg."),AF127,IF($A$2=2,AT127,IF($A$2=3,AF127,IF(($AG127&gt;$AU127),AF127,AT127)))))</f>
        <v>0</v>
      </c>
      <c r="S127" s="317">
        <f t="shared" si="13"/>
        <v>131.87366666666668</v>
      </c>
      <c r="T127" s="317">
        <f t="shared" si="20"/>
        <v>18.765000000000001</v>
      </c>
      <c r="U127" s="317">
        <f t="shared" si="20"/>
        <v>19.346</v>
      </c>
      <c r="V127" s="317">
        <f t="shared" si="20"/>
        <v>19.89</v>
      </c>
      <c r="W127" s="317">
        <f t="shared" si="20"/>
        <v>26.110000000000003</v>
      </c>
      <c r="X127" s="317">
        <f t="shared" si="20"/>
        <v>25.451999999999998</v>
      </c>
      <c r="Y127" s="317">
        <f t="shared" si="20"/>
        <v>22.310666666666666</v>
      </c>
      <c r="Z127" s="317">
        <f t="shared" si="23"/>
        <v>0</v>
      </c>
      <c r="AA127" s="317">
        <f t="shared" si="23"/>
        <v>0</v>
      </c>
      <c r="AB127" s="317">
        <f t="shared" si="23"/>
        <v>0</v>
      </c>
      <c r="AC127" s="317">
        <f t="shared" si="18"/>
        <v>0</v>
      </c>
      <c r="AD127" s="317">
        <f t="shared" si="18"/>
        <v>0</v>
      </c>
      <c r="AE127" s="317">
        <f t="shared" si="18"/>
        <v>0</v>
      </c>
      <c r="AF127" s="317">
        <f t="shared" si="18"/>
        <v>0</v>
      </c>
      <c r="AG127" s="317">
        <f t="shared" si="14"/>
        <v>131.87366666666668</v>
      </c>
      <c r="AH127" s="318">
        <v>14.775</v>
      </c>
      <c r="AI127" s="318">
        <v>14.775</v>
      </c>
      <c r="AJ127" s="318">
        <v>21.67</v>
      </c>
      <c r="AK127" s="318">
        <v>17.73</v>
      </c>
      <c r="AL127" s="318">
        <v>24.625</v>
      </c>
      <c r="AM127" s="318">
        <v>34.475000000000001</v>
      </c>
      <c r="AN127" s="318">
        <v>0</v>
      </c>
      <c r="AO127" s="318">
        <v>0</v>
      </c>
      <c r="AP127" s="318">
        <v>0</v>
      </c>
      <c r="AQ127" s="318">
        <v>0</v>
      </c>
      <c r="AR127" s="318">
        <v>0</v>
      </c>
      <c r="AS127" s="318">
        <v>0</v>
      </c>
      <c r="AT127" s="318">
        <v>0</v>
      </c>
      <c r="AU127" s="317">
        <f t="shared" si="15"/>
        <v>128.05000000000001</v>
      </c>
      <c r="AV127" s="319">
        <v>17.428999999999998</v>
      </c>
      <c r="AW127" s="319">
        <v>24</v>
      </c>
      <c r="AX127" s="319">
        <v>18</v>
      </c>
      <c r="AY127" s="319">
        <v>25.789000000000001</v>
      </c>
      <c r="AZ127" s="319">
        <v>33.497</v>
      </c>
      <c r="BA127" s="319">
        <v>18.457000000000001</v>
      </c>
      <c r="BB127" s="319">
        <v>0</v>
      </c>
      <c r="BC127" s="319">
        <v>0</v>
      </c>
      <c r="BD127" s="319">
        <v>0</v>
      </c>
      <c r="BE127" s="319">
        <v>0</v>
      </c>
      <c r="BF127" s="319">
        <v>0</v>
      </c>
      <c r="BG127" s="319">
        <v>0</v>
      </c>
      <c r="BH127" s="319">
        <v>0</v>
      </c>
      <c r="BI127" s="317">
        <f t="shared" si="16"/>
        <v>137.172</v>
      </c>
      <c r="BJ127" s="316">
        <v>24.091000000000001</v>
      </c>
      <c r="BK127" s="316">
        <v>19.263000000000002</v>
      </c>
      <c r="BL127" s="316">
        <v>20</v>
      </c>
      <c r="BM127" s="316">
        <v>34.811</v>
      </c>
      <c r="BN127" s="316">
        <v>18.234000000000002</v>
      </c>
      <c r="BO127" s="316">
        <v>14</v>
      </c>
      <c r="BP127" s="316">
        <v>0</v>
      </c>
      <c r="BQ127" s="316">
        <v>0</v>
      </c>
      <c r="BR127" s="316">
        <v>0</v>
      </c>
      <c r="BS127" s="316">
        <v>0</v>
      </c>
      <c r="BT127" s="316">
        <v>0</v>
      </c>
      <c r="BU127" s="316">
        <v>0</v>
      </c>
      <c r="BV127" s="316">
        <v>0</v>
      </c>
      <c r="BW127" s="317">
        <f t="shared" si="17"/>
        <v>130.399</v>
      </c>
    </row>
    <row r="128" spans="1:734" x14ac:dyDescent="0.2">
      <c r="A128" s="20" t="str">
        <f>'School Level Inst. Resources'!A128</f>
        <v>0801000</v>
      </c>
      <c r="B128" s="20" t="str">
        <f>'School Level Inst. Resources'!B128</f>
        <v>Goshen #1</v>
      </c>
      <c r="C128" s="20" t="str">
        <f>'School Level Inst. Resources'!C128</f>
        <v>0801006</v>
      </c>
      <c r="D128" s="20" t="str">
        <f>'School Level Inst. Resources'!D128</f>
        <v>Trail Elementary</v>
      </c>
      <c r="E128" s="138" t="str">
        <f>'School Level Inst. Resources'!E128</f>
        <v>3-5</v>
      </c>
      <c r="F128" s="317">
        <f>IF(AND($A$2=4,VLOOKUP($A128,'District Level ADM'!$A$5:$W$52,5,FALSE)="Prior Year"),AH128,IF(AND($A$2=4,VLOOKUP($A128,'District Level ADM'!$A$5:$W$52,5,FALSE)="3-Year Avg."),T128,IF($A$2=2,AH128,IF($A$2=3,T128,IF(($AG128&gt;$AU128),T128,AH128)))))</f>
        <v>0</v>
      </c>
      <c r="G128" s="317">
        <f>IF(AND($A$2=4,VLOOKUP($A128,'District Level ADM'!$A$5:$W$52,5,FALSE)="Prior Year"),AI128,IF(AND($A$2=4,VLOOKUP($A128,'District Level ADM'!$A$5:$W$52,5,FALSE)="3-Year Avg."),U128,IF($A$2=2,AI128,IF($A$2=3,U128,IF(($AG128&gt;$AU128),U128,AI128)))))</f>
        <v>0</v>
      </c>
      <c r="H128" s="317">
        <f>IF(AND($A$2=4,VLOOKUP($A128,'District Level ADM'!$A$5:$W$52,5,FALSE)="Prior Year"),AJ128,IF(AND($A$2=4,VLOOKUP($A128,'District Level ADM'!$A$5:$W$52,5,FALSE)="3-Year Avg."),V128,IF($A$2=2,AJ128,IF($A$2=3,V128,IF(($AG128&gt;$AU128),V128,AJ128)))))</f>
        <v>0</v>
      </c>
      <c r="I128" s="317">
        <f>IF(AND($A$2=4,VLOOKUP($A128,'District Level ADM'!$A$5:$W$52,5,FALSE)="Prior Year"),AK128,IF(AND($A$2=4,VLOOKUP($A128,'District Level ADM'!$A$5:$W$52,5,FALSE)="3-Year Avg."),W128,IF($A$2=2,AK128,IF($A$2=3,W128,IF(($AG128&gt;$AU128),W128,AK128)))))</f>
        <v>93.352000000000018</v>
      </c>
      <c r="J128" s="317">
        <f>IF(AND($A$2=4,VLOOKUP($A128,'District Level ADM'!$A$5:$W$52,5,FALSE)="Prior Year"),AL128,IF(AND($A$2=4,VLOOKUP($A128,'District Level ADM'!$A$5:$W$52,5,FALSE)="3-Year Avg."),X128,IF($A$2=2,AL128,IF($A$2=3,X128,IF(($AG128&gt;$AU128),X128,AL128)))))</f>
        <v>84.878</v>
      </c>
      <c r="K128" s="317">
        <f>IF(AND($A$2=4,VLOOKUP($A128,'District Level ADM'!$A$5:$W$52,5,FALSE)="Prior Year"),AM128,IF(AND($A$2=4,VLOOKUP($A128,'District Level ADM'!$A$5:$W$52,5,FALSE)="3-Year Avg."),Y128,IF($A$2=2,AM128,IF($A$2=3,Y128,IF(($AG128&gt;$AU128),Y128,AM128)))))</f>
        <v>85.500666666666675</v>
      </c>
      <c r="L128" s="317">
        <f>IF(AND($A$2=4,VLOOKUP($A128,'District Level ADM'!$A$5:$W$52,5,FALSE)="Prior Year"),AN128,IF(AND($A$2=4,VLOOKUP($A128,'District Level ADM'!$A$5:$W$52,5,FALSE)="3-Year Avg."),Z128,IF($A$2=2,AN128,IF($A$2=3,Z128,IF(($AG128&gt;$AU128),Z128,AN128)))))</f>
        <v>0</v>
      </c>
      <c r="M128" s="317">
        <f>IF(AND($A$2=4,VLOOKUP($A128,'District Level ADM'!$A$5:$W$52,5,FALSE)="Prior Year"),AO128,IF(AND($A$2=4,VLOOKUP($A128,'District Level ADM'!$A$5:$W$52,5,FALSE)="3-Year Avg."),AA128,IF($A$2=2,AO128,IF($A$2=3,AA128,IF(($AG128&gt;$AU128),AA128,AO128)))))</f>
        <v>0</v>
      </c>
      <c r="N128" s="317">
        <f>IF(AND($A$2=4,VLOOKUP($A128,'District Level ADM'!$A$5:$W$52,5,FALSE)="Prior Year"),AP128,IF(AND($A$2=4,VLOOKUP($A128,'District Level ADM'!$A$5:$W$52,5,FALSE)="3-Year Avg."),AB128,IF($A$2=2,AP128,IF($A$2=3,AB128,IF(($AG128&gt;$AU128),AB128,AP128)))))</f>
        <v>0</v>
      </c>
      <c r="O128" s="317">
        <f>IF(AND($A$2=4,VLOOKUP($A128,'District Level ADM'!$A$5:$W$52,5,FALSE)="Prior Year"),AQ128,IF(AND($A$2=4,VLOOKUP($A128,'District Level ADM'!$A$5:$W$52,5,FALSE)="3-Year Avg."),AC128,IF($A$2=2,AQ128,IF($A$2=3,AC128,IF(($AG128&gt;$AU128),AC128,AQ128)))))</f>
        <v>0</v>
      </c>
      <c r="P128" s="317">
        <f>IF(AND($A$2=4,VLOOKUP($A128,'District Level ADM'!$A$5:$W$52,5,FALSE)="Prior Year"),AR128,IF(AND($A$2=4,VLOOKUP($A128,'District Level ADM'!$A$5:$W$52,5,FALSE)="3-Year Avg."),AD128,IF($A$2=2,AR128,IF($A$2=3,AD128,IF(($AG128&gt;$AU128),AD128,AR128)))))</f>
        <v>0</v>
      </c>
      <c r="Q128" s="317">
        <f>IF(AND($A$2=4,VLOOKUP($A128,'District Level ADM'!$A$5:$W$52,5,FALSE)="Prior Year"),AS128,IF(AND($A$2=4,VLOOKUP($A128,'District Level ADM'!$A$5:$W$52,5,FALSE)="3-Year Avg."),AE128,IF($A$2=2,AS128,IF($A$2=3,AE128,IF(($AG128&gt;$AU128),AE128,AS128)))))</f>
        <v>0</v>
      </c>
      <c r="R128" s="317">
        <f>IF(AND($A$2=4,VLOOKUP($A128,'District Level ADM'!$A$5:$W$52,5,FALSE)="Prior Year"),AT128,IF(AND($A$2=4,VLOOKUP($A128,'District Level ADM'!$A$5:$W$52,5,FALSE)="3-Year Avg."),AF128,IF($A$2=2,AT128,IF($A$2=3,AF128,IF(($AG128&gt;$AU128),AF128,AT128)))))</f>
        <v>0</v>
      </c>
      <c r="S128" s="317">
        <f t="shared" si="13"/>
        <v>263.73066666666671</v>
      </c>
      <c r="T128" s="317">
        <f t="shared" si="20"/>
        <v>0</v>
      </c>
      <c r="U128" s="317">
        <f t="shared" si="20"/>
        <v>0</v>
      </c>
      <c r="V128" s="317">
        <f t="shared" si="20"/>
        <v>0</v>
      </c>
      <c r="W128" s="317">
        <f t="shared" si="20"/>
        <v>93.352000000000018</v>
      </c>
      <c r="X128" s="317">
        <f t="shared" si="20"/>
        <v>84.878</v>
      </c>
      <c r="Y128" s="317">
        <f t="shared" si="20"/>
        <v>85.500666666666675</v>
      </c>
      <c r="Z128" s="317">
        <f t="shared" si="23"/>
        <v>0</v>
      </c>
      <c r="AA128" s="317">
        <f t="shared" si="23"/>
        <v>0</v>
      </c>
      <c r="AB128" s="317">
        <f t="shared" si="23"/>
        <v>0</v>
      </c>
      <c r="AC128" s="317">
        <f t="shared" si="18"/>
        <v>0</v>
      </c>
      <c r="AD128" s="317">
        <f t="shared" si="18"/>
        <v>0</v>
      </c>
      <c r="AE128" s="317">
        <f t="shared" si="18"/>
        <v>0</v>
      </c>
      <c r="AF128" s="317">
        <f t="shared" si="18"/>
        <v>0</v>
      </c>
      <c r="AG128" s="317">
        <f t="shared" si="14"/>
        <v>263.73066666666671</v>
      </c>
      <c r="AH128" s="318">
        <v>0</v>
      </c>
      <c r="AI128" s="318">
        <v>0</v>
      </c>
      <c r="AJ128" s="318">
        <v>0</v>
      </c>
      <c r="AK128" s="318">
        <v>88.65</v>
      </c>
      <c r="AL128" s="318">
        <v>83.724999999999994</v>
      </c>
      <c r="AM128" s="318">
        <v>99.484999999999999</v>
      </c>
      <c r="AN128" s="318">
        <v>0</v>
      </c>
      <c r="AO128" s="318">
        <v>0</v>
      </c>
      <c r="AP128" s="318">
        <v>0</v>
      </c>
      <c r="AQ128" s="318">
        <v>0</v>
      </c>
      <c r="AR128" s="318">
        <v>0</v>
      </c>
      <c r="AS128" s="318">
        <v>0</v>
      </c>
      <c r="AT128" s="318">
        <v>0</v>
      </c>
      <c r="AU128" s="317">
        <f t="shared" si="15"/>
        <v>271.86</v>
      </c>
      <c r="AV128" s="319">
        <v>0</v>
      </c>
      <c r="AW128" s="319">
        <v>0</v>
      </c>
      <c r="AX128" s="319">
        <v>0</v>
      </c>
      <c r="AY128" s="319">
        <v>88.549000000000007</v>
      </c>
      <c r="AZ128" s="319">
        <v>98.04</v>
      </c>
      <c r="BA128" s="319">
        <v>77.977000000000004</v>
      </c>
      <c r="BB128" s="319">
        <v>0</v>
      </c>
      <c r="BC128" s="319">
        <v>0</v>
      </c>
      <c r="BD128" s="319">
        <v>0</v>
      </c>
      <c r="BE128" s="319">
        <v>0</v>
      </c>
      <c r="BF128" s="319">
        <v>0</v>
      </c>
      <c r="BG128" s="319">
        <v>0</v>
      </c>
      <c r="BH128" s="319">
        <v>0</v>
      </c>
      <c r="BI128" s="317">
        <f t="shared" si="16"/>
        <v>264.56600000000003</v>
      </c>
      <c r="BJ128" s="316">
        <v>0</v>
      </c>
      <c r="BK128" s="316">
        <v>0</v>
      </c>
      <c r="BL128" s="316">
        <v>0</v>
      </c>
      <c r="BM128" s="316">
        <v>102.857</v>
      </c>
      <c r="BN128" s="316">
        <v>72.869</v>
      </c>
      <c r="BO128" s="316">
        <v>79.040000000000006</v>
      </c>
      <c r="BP128" s="316">
        <v>0</v>
      </c>
      <c r="BQ128" s="316">
        <v>0</v>
      </c>
      <c r="BR128" s="316">
        <v>0</v>
      </c>
      <c r="BS128" s="316">
        <v>0</v>
      </c>
      <c r="BT128" s="316">
        <v>0</v>
      </c>
      <c r="BU128" s="316">
        <v>0</v>
      </c>
      <c r="BV128" s="316">
        <v>0</v>
      </c>
      <c r="BW128" s="317">
        <f t="shared" si="17"/>
        <v>254.76600000000002</v>
      </c>
    </row>
    <row r="129" spans="1:75" x14ac:dyDescent="0.2">
      <c r="A129" s="20" t="str">
        <f>'School Level Inst. Resources'!A129</f>
        <v>0801000</v>
      </c>
      <c r="B129" s="20" t="str">
        <f>'School Level Inst. Resources'!B129</f>
        <v>Goshen #1</v>
      </c>
      <c r="C129" s="20" t="str">
        <f>'School Level Inst. Resources'!C129</f>
        <v>0801007</v>
      </c>
      <c r="D129" s="20" t="str">
        <f>'School Level Inst. Resources'!D129</f>
        <v>Lincoln Elementary</v>
      </c>
      <c r="E129" s="138" t="str">
        <f>'School Level Inst. Resources'!E129</f>
        <v>K-2</v>
      </c>
      <c r="F129" s="317">
        <f>IF(AND($A$2=4,VLOOKUP($A129,'District Level ADM'!$A$5:$W$52,5,FALSE)="Prior Year"),AH129,IF(AND($A$2=4,VLOOKUP($A129,'District Level ADM'!$A$5:$W$52,5,FALSE)="3-Year Avg."),T129,IF($A$2=2,AH129,IF($A$2=3,T129,IF(($AG129&gt;$AU129),T129,AH129)))))</f>
        <v>87.852999999999994</v>
      </c>
      <c r="G129" s="317">
        <f>IF(AND($A$2=4,VLOOKUP($A129,'District Level ADM'!$A$5:$W$52,5,FALSE)="Prior Year"),AI129,IF(AND($A$2=4,VLOOKUP($A129,'District Level ADM'!$A$5:$W$52,5,FALSE)="3-Year Avg."),U129,IF($A$2=2,AI129,IF($A$2=3,U129,IF(($AG129&gt;$AU129),U129,AI129)))))</f>
        <v>88.855000000000004</v>
      </c>
      <c r="H129" s="317">
        <f>IF(AND($A$2=4,VLOOKUP($A129,'District Level ADM'!$A$5:$W$52,5,FALSE)="Prior Year"),AJ129,IF(AND($A$2=4,VLOOKUP($A129,'District Level ADM'!$A$5:$W$52,5,FALSE)="3-Year Avg."),V129,IF($A$2=2,AJ129,IF($A$2=3,V129,IF(($AG129&gt;$AU129),V129,AJ129)))))</f>
        <v>85.737000000000009</v>
      </c>
      <c r="I129" s="317">
        <f>IF(AND($A$2=4,VLOOKUP($A129,'District Level ADM'!$A$5:$W$52,5,FALSE)="Prior Year"),AK129,IF(AND($A$2=4,VLOOKUP($A129,'District Level ADM'!$A$5:$W$52,5,FALSE)="3-Year Avg."),W129,IF($A$2=2,AK129,IF($A$2=3,W129,IF(($AG129&gt;$AU129),W129,AK129)))))</f>
        <v>0</v>
      </c>
      <c r="J129" s="317">
        <f>IF(AND($A$2=4,VLOOKUP($A129,'District Level ADM'!$A$5:$W$52,5,FALSE)="Prior Year"),AL129,IF(AND($A$2=4,VLOOKUP($A129,'District Level ADM'!$A$5:$W$52,5,FALSE)="3-Year Avg."),X129,IF($A$2=2,AL129,IF($A$2=3,X129,IF(($AG129&gt;$AU129),X129,AL129)))))</f>
        <v>0</v>
      </c>
      <c r="K129" s="317">
        <f>IF(AND($A$2=4,VLOOKUP($A129,'District Level ADM'!$A$5:$W$52,5,FALSE)="Prior Year"),AM129,IF(AND($A$2=4,VLOOKUP($A129,'District Level ADM'!$A$5:$W$52,5,FALSE)="3-Year Avg."),Y129,IF($A$2=2,AM129,IF($A$2=3,Y129,IF(($AG129&gt;$AU129),Y129,AM129)))))</f>
        <v>0</v>
      </c>
      <c r="L129" s="317">
        <f>IF(AND($A$2=4,VLOOKUP($A129,'District Level ADM'!$A$5:$W$52,5,FALSE)="Prior Year"),AN129,IF(AND($A$2=4,VLOOKUP($A129,'District Level ADM'!$A$5:$W$52,5,FALSE)="3-Year Avg."),Z129,IF($A$2=2,AN129,IF($A$2=3,Z129,IF(($AG129&gt;$AU129),Z129,AN129)))))</f>
        <v>0</v>
      </c>
      <c r="M129" s="317">
        <f>IF(AND($A$2=4,VLOOKUP($A129,'District Level ADM'!$A$5:$W$52,5,FALSE)="Prior Year"),AO129,IF(AND($A$2=4,VLOOKUP($A129,'District Level ADM'!$A$5:$W$52,5,FALSE)="3-Year Avg."),AA129,IF($A$2=2,AO129,IF($A$2=3,AA129,IF(($AG129&gt;$AU129),AA129,AO129)))))</f>
        <v>0</v>
      </c>
      <c r="N129" s="317">
        <f>IF(AND($A$2=4,VLOOKUP($A129,'District Level ADM'!$A$5:$W$52,5,FALSE)="Prior Year"),AP129,IF(AND($A$2=4,VLOOKUP($A129,'District Level ADM'!$A$5:$W$52,5,FALSE)="3-Year Avg."),AB129,IF($A$2=2,AP129,IF($A$2=3,AB129,IF(($AG129&gt;$AU129),AB129,AP129)))))</f>
        <v>0</v>
      </c>
      <c r="O129" s="317">
        <f>IF(AND($A$2=4,VLOOKUP($A129,'District Level ADM'!$A$5:$W$52,5,FALSE)="Prior Year"),AQ129,IF(AND($A$2=4,VLOOKUP($A129,'District Level ADM'!$A$5:$W$52,5,FALSE)="3-Year Avg."),AC129,IF($A$2=2,AQ129,IF($A$2=3,AC129,IF(($AG129&gt;$AU129),AC129,AQ129)))))</f>
        <v>0</v>
      </c>
      <c r="P129" s="317">
        <f>IF(AND($A$2=4,VLOOKUP($A129,'District Level ADM'!$A$5:$W$52,5,FALSE)="Prior Year"),AR129,IF(AND($A$2=4,VLOOKUP($A129,'District Level ADM'!$A$5:$W$52,5,FALSE)="3-Year Avg."),AD129,IF($A$2=2,AR129,IF($A$2=3,AD129,IF(($AG129&gt;$AU129),AD129,AR129)))))</f>
        <v>0</v>
      </c>
      <c r="Q129" s="317">
        <f>IF(AND($A$2=4,VLOOKUP($A129,'District Level ADM'!$A$5:$W$52,5,FALSE)="Prior Year"),AS129,IF(AND($A$2=4,VLOOKUP($A129,'District Level ADM'!$A$5:$W$52,5,FALSE)="3-Year Avg."),AE129,IF($A$2=2,AS129,IF($A$2=3,AE129,IF(($AG129&gt;$AU129),AE129,AS129)))))</f>
        <v>0</v>
      </c>
      <c r="R129" s="317">
        <f>IF(AND($A$2=4,VLOOKUP($A129,'District Level ADM'!$A$5:$W$52,5,FALSE)="Prior Year"),AT129,IF(AND($A$2=4,VLOOKUP($A129,'District Level ADM'!$A$5:$W$52,5,FALSE)="3-Year Avg."),AF129,IF($A$2=2,AT129,IF($A$2=3,AF129,IF(($AG129&gt;$AU129),AF129,AT129)))))</f>
        <v>0</v>
      </c>
      <c r="S129" s="317">
        <f t="shared" si="13"/>
        <v>262.44499999999999</v>
      </c>
      <c r="T129" s="317">
        <f t="shared" si="20"/>
        <v>87.852999999999994</v>
      </c>
      <c r="U129" s="317">
        <f t="shared" si="20"/>
        <v>88.855000000000004</v>
      </c>
      <c r="V129" s="317">
        <f t="shared" si="20"/>
        <v>85.737000000000009</v>
      </c>
      <c r="W129" s="317">
        <f t="shared" si="20"/>
        <v>0</v>
      </c>
      <c r="X129" s="317">
        <f t="shared" si="20"/>
        <v>0</v>
      </c>
      <c r="Y129" s="317">
        <f t="shared" si="20"/>
        <v>0</v>
      </c>
      <c r="Z129" s="317">
        <f t="shared" si="23"/>
        <v>0</v>
      </c>
      <c r="AA129" s="317">
        <f t="shared" si="23"/>
        <v>0</v>
      </c>
      <c r="AB129" s="317">
        <f t="shared" si="23"/>
        <v>0</v>
      </c>
      <c r="AC129" s="317">
        <f t="shared" si="18"/>
        <v>0</v>
      </c>
      <c r="AD129" s="317">
        <f t="shared" si="18"/>
        <v>0</v>
      </c>
      <c r="AE129" s="317">
        <f t="shared" si="18"/>
        <v>0</v>
      </c>
      <c r="AF129" s="317">
        <f t="shared" si="18"/>
        <v>0</v>
      </c>
      <c r="AG129" s="317">
        <f t="shared" si="14"/>
        <v>262.44499999999999</v>
      </c>
      <c r="AH129" s="318">
        <v>83.724999999999994</v>
      </c>
      <c r="AI129" s="318">
        <v>96.53</v>
      </c>
      <c r="AJ129" s="318">
        <v>78.8</v>
      </c>
      <c r="AK129" s="318">
        <v>0</v>
      </c>
      <c r="AL129" s="318">
        <v>0</v>
      </c>
      <c r="AM129" s="318">
        <v>0</v>
      </c>
      <c r="AN129" s="318">
        <v>0</v>
      </c>
      <c r="AO129" s="318">
        <v>0</v>
      </c>
      <c r="AP129" s="318">
        <v>0</v>
      </c>
      <c r="AQ129" s="318">
        <v>0</v>
      </c>
      <c r="AR129" s="318">
        <v>0</v>
      </c>
      <c r="AS129" s="318">
        <v>0</v>
      </c>
      <c r="AT129" s="318">
        <v>0</v>
      </c>
      <c r="AU129" s="317">
        <f t="shared" si="15"/>
        <v>259.05500000000001</v>
      </c>
      <c r="AV129" s="319">
        <v>94.153999999999996</v>
      </c>
      <c r="AW129" s="319">
        <v>81.468999999999994</v>
      </c>
      <c r="AX129" s="319">
        <v>88.593999999999994</v>
      </c>
      <c r="AY129" s="319">
        <v>0</v>
      </c>
      <c r="AZ129" s="319">
        <v>0</v>
      </c>
      <c r="BA129" s="319">
        <v>0</v>
      </c>
      <c r="BB129" s="319">
        <v>0</v>
      </c>
      <c r="BC129" s="319">
        <v>0</v>
      </c>
      <c r="BD129" s="319">
        <v>0</v>
      </c>
      <c r="BE129" s="319">
        <v>0</v>
      </c>
      <c r="BF129" s="319">
        <v>0</v>
      </c>
      <c r="BG129" s="319">
        <v>0</v>
      </c>
      <c r="BH129" s="319">
        <v>0</v>
      </c>
      <c r="BI129" s="317">
        <f t="shared" si="16"/>
        <v>264.21699999999998</v>
      </c>
      <c r="BJ129" s="316">
        <v>85.68</v>
      </c>
      <c r="BK129" s="316">
        <v>88.566000000000003</v>
      </c>
      <c r="BL129" s="316">
        <v>89.816999999999993</v>
      </c>
      <c r="BM129" s="316">
        <v>0</v>
      </c>
      <c r="BN129" s="316">
        <v>0</v>
      </c>
      <c r="BO129" s="316">
        <v>0</v>
      </c>
      <c r="BP129" s="316">
        <v>0</v>
      </c>
      <c r="BQ129" s="316">
        <v>0</v>
      </c>
      <c r="BR129" s="316">
        <v>0</v>
      </c>
      <c r="BS129" s="316">
        <v>0</v>
      </c>
      <c r="BT129" s="316">
        <v>0</v>
      </c>
      <c r="BU129" s="316">
        <v>0</v>
      </c>
      <c r="BV129" s="316">
        <v>0</v>
      </c>
      <c r="BW129" s="317">
        <f t="shared" si="17"/>
        <v>264.06299999999999</v>
      </c>
    </row>
    <row r="130" spans="1:75" x14ac:dyDescent="0.2">
      <c r="A130" s="20" t="str">
        <f>'School Level Inst. Resources'!A130</f>
        <v>0801000</v>
      </c>
      <c r="B130" s="20" t="str">
        <f>'School Level Inst. Resources'!B130</f>
        <v>Goshen #1</v>
      </c>
      <c r="C130" s="20" t="str">
        <f>'School Level Inst. Resources'!C130</f>
        <v>0801050</v>
      </c>
      <c r="D130" s="20" t="str">
        <f>'School Level Inst. Resources'!D130</f>
        <v>Lingle-Ft. Laramie Middle School</v>
      </c>
      <c r="E130" s="138" t="str">
        <f>'School Level Inst. Resources'!E130</f>
        <v>6-8</v>
      </c>
      <c r="F130" s="317">
        <f>IF(AND($A$2=4,VLOOKUP($A130,'District Level ADM'!$A$5:$W$52,5,FALSE)="Prior Year"),AH130,IF(AND($A$2=4,VLOOKUP($A130,'District Level ADM'!$A$5:$W$52,5,FALSE)="3-Year Avg."),T130,IF($A$2=2,AH130,IF($A$2=3,T130,IF(($AG130&gt;$AU130),T130,AH130)))))</f>
        <v>0</v>
      </c>
      <c r="G130" s="317">
        <f>IF(AND($A$2=4,VLOOKUP($A130,'District Level ADM'!$A$5:$W$52,5,FALSE)="Prior Year"),AI130,IF(AND($A$2=4,VLOOKUP($A130,'District Level ADM'!$A$5:$W$52,5,FALSE)="3-Year Avg."),U130,IF($A$2=2,AI130,IF($A$2=3,U130,IF(($AG130&gt;$AU130),U130,AI130)))))</f>
        <v>0</v>
      </c>
      <c r="H130" s="317">
        <f>IF(AND($A$2=4,VLOOKUP($A130,'District Level ADM'!$A$5:$W$52,5,FALSE)="Prior Year"),AJ130,IF(AND($A$2=4,VLOOKUP($A130,'District Level ADM'!$A$5:$W$52,5,FALSE)="3-Year Avg."),V130,IF($A$2=2,AJ130,IF($A$2=3,V130,IF(($AG130&gt;$AU130),V130,AJ130)))))</f>
        <v>0</v>
      </c>
      <c r="I130" s="317">
        <f>IF(AND($A$2=4,VLOOKUP($A130,'District Level ADM'!$A$5:$W$52,5,FALSE)="Prior Year"),AK130,IF(AND($A$2=4,VLOOKUP($A130,'District Level ADM'!$A$5:$W$52,5,FALSE)="3-Year Avg."),W130,IF($A$2=2,AK130,IF($A$2=3,W130,IF(($AG130&gt;$AU130),W130,AK130)))))</f>
        <v>0</v>
      </c>
      <c r="J130" s="317">
        <f>IF(AND($A$2=4,VLOOKUP($A130,'District Level ADM'!$A$5:$W$52,5,FALSE)="Prior Year"),AL130,IF(AND($A$2=4,VLOOKUP($A130,'District Level ADM'!$A$5:$W$52,5,FALSE)="3-Year Avg."),X130,IF($A$2=2,AL130,IF($A$2=3,X130,IF(($AG130&gt;$AU130),X130,AL130)))))</f>
        <v>0</v>
      </c>
      <c r="K130" s="317">
        <f>IF(AND($A$2=4,VLOOKUP($A130,'District Level ADM'!$A$5:$W$52,5,FALSE)="Prior Year"),AM130,IF(AND($A$2=4,VLOOKUP($A130,'District Level ADM'!$A$5:$W$52,5,FALSE)="3-Year Avg."),Y130,IF($A$2=2,AM130,IF($A$2=3,Y130,IF(($AG130&gt;$AU130),Y130,AM130)))))</f>
        <v>0</v>
      </c>
      <c r="L130" s="317">
        <f>IF(AND($A$2=4,VLOOKUP($A130,'District Level ADM'!$A$5:$W$52,5,FALSE)="Prior Year"),AN130,IF(AND($A$2=4,VLOOKUP($A130,'District Level ADM'!$A$5:$W$52,5,FALSE)="3-Year Avg."),Z130,IF($A$2=2,AN130,IF($A$2=3,Z130,IF(($AG130&gt;$AU130),Z130,AN130)))))</f>
        <v>16.657</v>
      </c>
      <c r="M130" s="317">
        <f>IF(AND($A$2=4,VLOOKUP($A130,'District Level ADM'!$A$5:$W$52,5,FALSE)="Prior Year"),AO130,IF(AND($A$2=4,VLOOKUP($A130,'District Level ADM'!$A$5:$W$52,5,FALSE)="3-Year Avg."),AA130,IF($A$2=2,AO130,IF($A$2=3,AA130,IF(($AG130&gt;$AU130),AA130,AO130)))))</f>
        <v>16.162000000000003</v>
      </c>
      <c r="N130" s="317">
        <f>IF(AND($A$2=4,VLOOKUP($A130,'District Level ADM'!$A$5:$W$52,5,FALSE)="Prior Year"),AP130,IF(AND($A$2=4,VLOOKUP($A130,'District Level ADM'!$A$5:$W$52,5,FALSE)="3-Year Avg."),AB130,IF($A$2=2,AP130,IF($A$2=3,AB130,IF(($AG130&gt;$AU130),AB130,AP130)))))</f>
        <v>18.300666666666668</v>
      </c>
      <c r="O130" s="317">
        <f>IF(AND($A$2=4,VLOOKUP($A130,'District Level ADM'!$A$5:$W$52,5,FALSE)="Prior Year"),AQ130,IF(AND($A$2=4,VLOOKUP($A130,'District Level ADM'!$A$5:$W$52,5,FALSE)="3-Year Avg."),AC130,IF($A$2=2,AQ130,IF($A$2=3,AC130,IF(($AG130&gt;$AU130),AC130,AQ130)))))</f>
        <v>0</v>
      </c>
      <c r="P130" s="317">
        <f>IF(AND($A$2=4,VLOOKUP($A130,'District Level ADM'!$A$5:$W$52,5,FALSE)="Prior Year"),AR130,IF(AND($A$2=4,VLOOKUP($A130,'District Level ADM'!$A$5:$W$52,5,FALSE)="3-Year Avg."),AD130,IF($A$2=2,AR130,IF($A$2=3,AD130,IF(($AG130&gt;$AU130),AD130,AR130)))))</f>
        <v>0</v>
      </c>
      <c r="Q130" s="317">
        <f>IF(AND($A$2=4,VLOOKUP($A130,'District Level ADM'!$A$5:$W$52,5,FALSE)="Prior Year"),AS130,IF(AND($A$2=4,VLOOKUP($A130,'District Level ADM'!$A$5:$W$52,5,FALSE)="3-Year Avg."),AE130,IF($A$2=2,AS130,IF($A$2=3,AE130,IF(($AG130&gt;$AU130),AE130,AS130)))))</f>
        <v>0</v>
      </c>
      <c r="R130" s="317">
        <f>IF(AND($A$2=4,VLOOKUP($A130,'District Level ADM'!$A$5:$W$52,5,FALSE)="Prior Year"),AT130,IF(AND($A$2=4,VLOOKUP($A130,'District Level ADM'!$A$5:$W$52,5,FALSE)="3-Year Avg."),AF130,IF($A$2=2,AT130,IF($A$2=3,AF130,IF(($AG130&gt;$AU130),AF130,AT130)))))</f>
        <v>0</v>
      </c>
      <c r="S130" s="317">
        <f t="shared" si="13"/>
        <v>51.119666666666674</v>
      </c>
      <c r="T130" s="317">
        <f t="shared" si="20"/>
        <v>0</v>
      </c>
      <c r="U130" s="317">
        <f t="shared" si="20"/>
        <v>0</v>
      </c>
      <c r="V130" s="317">
        <f t="shared" si="20"/>
        <v>0</v>
      </c>
      <c r="W130" s="317">
        <f t="shared" si="20"/>
        <v>0</v>
      </c>
      <c r="X130" s="317">
        <f t="shared" si="20"/>
        <v>0</v>
      </c>
      <c r="Y130" s="317">
        <f t="shared" si="20"/>
        <v>0</v>
      </c>
      <c r="Z130" s="317">
        <f t="shared" si="23"/>
        <v>16.657</v>
      </c>
      <c r="AA130" s="317">
        <f t="shared" si="23"/>
        <v>16.162000000000003</v>
      </c>
      <c r="AB130" s="317">
        <f t="shared" si="23"/>
        <v>18.300666666666668</v>
      </c>
      <c r="AC130" s="317">
        <f t="shared" si="18"/>
        <v>0</v>
      </c>
      <c r="AD130" s="317">
        <f t="shared" si="18"/>
        <v>0</v>
      </c>
      <c r="AE130" s="317">
        <f t="shared" si="18"/>
        <v>0</v>
      </c>
      <c r="AF130" s="317">
        <f t="shared" si="18"/>
        <v>0</v>
      </c>
      <c r="AG130" s="317">
        <f t="shared" si="14"/>
        <v>51.119666666666674</v>
      </c>
      <c r="AH130" s="318">
        <v>0</v>
      </c>
      <c r="AI130" s="318">
        <v>0</v>
      </c>
      <c r="AJ130" s="318">
        <v>0</v>
      </c>
      <c r="AK130" s="318">
        <v>0</v>
      </c>
      <c r="AL130" s="318">
        <v>0</v>
      </c>
      <c r="AM130" s="318">
        <v>0</v>
      </c>
      <c r="AN130" s="318">
        <v>16.745000000000001</v>
      </c>
      <c r="AO130" s="318">
        <v>18.715</v>
      </c>
      <c r="AP130" s="318">
        <v>17.73</v>
      </c>
      <c r="AQ130" s="318">
        <v>0</v>
      </c>
      <c r="AR130" s="318">
        <v>0</v>
      </c>
      <c r="AS130" s="318">
        <v>0</v>
      </c>
      <c r="AT130" s="318">
        <v>0</v>
      </c>
      <c r="AU130" s="317">
        <f t="shared" si="15"/>
        <v>53.19</v>
      </c>
      <c r="AV130" s="319">
        <v>0</v>
      </c>
      <c r="AW130" s="319">
        <v>0</v>
      </c>
      <c r="AX130" s="319">
        <v>0</v>
      </c>
      <c r="AY130" s="319">
        <v>0</v>
      </c>
      <c r="AZ130" s="319">
        <v>0</v>
      </c>
      <c r="BA130" s="319">
        <v>0</v>
      </c>
      <c r="BB130" s="319">
        <v>17</v>
      </c>
      <c r="BC130" s="319">
        <v>16.434000000000001</v>
      </c>
      <c r="BD130" s="319">
        <v>14.406000000000001</v>
      </c>
      <c r="BE130" s="319">
        <v>0</v>
      </c>
      <c r="BF130" s="319">
        <v>0</v>
      </c>
      <c r="BG130" s="319">
        <v>0</v>
      </c>
      <c r="BH130" s="319">
        <v>0</v>
      </c>
      <c r="BI130" s="317">
        <f t="shared" si="16"/>
        <v>47.839999999999996</v>
      </c>
      <c r="BJ130" s="316">
        <v>0</v>
      </c>
      <c r="BK130" s="316">
        <v>0</v>
      </c>
      <c r="BL130" s="316">
        <v>0</v>
      </c>
      <c r="BM130" s="316">
        <v>0</v>
      </c>
      <c r="BN130" s="316">
        <v>0</v>
      </c>
      <c r="BO130" s="316">
        <v>0</v>
      </c>
      <c r="BP130" s="316">
        <v>16.225999999999999</v>
      </c>
      <c r="BQ130" s="316">
        <v>13.337</v>
      </c>
      <c r="BR130" s="316">
        <v>22.765999999999998</v>
      </c>
      <c r="BS130" s="316">
        <v>0</v>
      </c>
      <c r="BT130" s="316">
        <v>0</v>
      </c>
      <c r="BU130" s="316">
        <v>0</v>
      </c>
      <c r="BV130" s="316">
        <v>0</v>
      </c>
      <c r="BW130" s="317">
        <f t="shared" si="17"/>
        <v>52.328999999999994</v>
      </c>
    </row>
    <row r="131" spans="1:75" x14ac:dyDescent="0.2">
      <c r="A131" s="20" t="str">
        <f>'School Level Inst. Resources'!A131</f>
        <v>0801000</v>
      </c>
      <c r="B131" s="20" t="str">
        <f>'School Level Inst. Resources'!B131</f>
        <v>Goshen #1</v>
      </c>
      <c r="C131" s="20" t="str">
        <f>'School Level Inst. Resources'!C131</f>
        <v>0801051</v>
      </c>
      <c r="D131" s="20" t="str">
        <f>'School Level Inst. Resources'!D131</f>
        <v>Southeast Junior High School</v>
      </c>
      <c r="E131" s="138" t="str">
        <f>'School Level Inst. Resources'!E131</f>
        <v>7-8</v>
      </c>
      <c r="F131" s="317">
        <f>IF(AND($A$2=4,VLOOKUP($A131,'District Level ADM'!$A$5:$W$52,5,FALSE)="Prior Year"),AH131,IF(AND($A$2=4,VLOOKUP($A131,'District Level ADM'!$A$5:$W$52,5,FALSE)="3-Year Avg."),T131,IF($A$2=2,AH131,IF($A$2=3,T131,IF(($AG131&gt;$AU131),T131,AH131)))))</f>
        <v>0</v>
      </c>
      <c r="G131" s="317">
        <f>IF(AND($A$2=4,VLOOKUP($A131,'District Level ADM'!$A$5:$W$52,5,FALSE)="Prior Year"),AI131,IF(AND($A$2=4,VLOOKUP($A131,'District Level ADM'!$A$5:$W$52,5,FALSE)="3-Year Avg."),U131,IF($A$2=2,AI131,IF($A$2=3,U131,IF(($AG131&gt;$AU131),U131,AI131)))))</f>
        <v>0</v>
      </c>
      <c r="H131" s="317">
        <f>IF(AND($A$2=4,VLOOKUP($A131,'District Level ADM'!$A$5:$W$52,5,FALSE)="Prior Year"),AJ131,IF(AND($A$2=4,VLOOKUP($A131,'District Level ADM'!$A$5:$W$52,5,FALSE)="3-Year Avg."),V131,IF($A$2=2,AJ131,IF($A$2=3,V131,IF(($AG131&gt;$AU131),V131,AJ131)))))</f>
        <v>0</v>
      </c>
      <c r="I131" s="317">
        <f>IF(AND($A$2=4,VLOOKUP($A131,'District Level ADM'!$A$5:$W$52,5,FALSE)="Prior Year"),AK131,IF(AND($A$2=4,VLOOKUP($A131,'District Level ADM'!$A$5:$W$52,5,FALSE)="3-Year Avg."),W131,IF($A$2=2,AK131,IF($A$2=3,W131,IF(($AG131&gt;$AU131),W131,AK131)))))</f>
        <v>0</v>
      </c>
      <c r="J131" s="317">
        <f>IF(AND($A$2=4,VLOOKUP($A131,'District Level ADM'!$A$5:$W$52,5,FALSE)="Prior Year"),AL131,IF(AND($A$2=4,VLOOKUP($A131,'District Level ADM'!$A$5:$W$52,5,FALSE)="3-Year Avg."),X131,IF($A$2=2,AL131,IF($A$2=3,X131,IF(($AG131&gt;$AU131),X131,AL131)))))</f>
        <v>0</v>
      </c>
      <c r="K131" s="317">
        <f>IF(AND($A$2=4,VLOOKUP($A131,'District Level ADM'!$A$5:$W$52,5,FALSE)="Prior Year"),AM131,IF(AND($A$2=4,VLOOKUP($A131,'District Level ADM'!$A$5:$W$52,5,FALSE)="3-Year Avg."),Y131,IF($A$2=2,AM131,IF($A$2=3,Y131,IF(($AG131&gt;$AU131),Y131,AM131)))))</f>
        <v>0</v>
      </c>
      <c r="L131" s="317">
        <f>IF(AND($A$2=4,VLOOKUP($A131,'District Level ADM'!$A$5:$W$52,5,FALSE)="Prior Year"),AN131,IF(AND($A$2=4,VLOOKUP($A131,'District Level ADM'!$A$5:$W$52,5,FALSE)="3-Year Avg."),Z131,IF($A$2=2,AN131,IF($A$2=3,Z131,IF(($AG131&gt;$AU131),Z131,AN131)))))</f>
        <v>0</v>
      </c>
      <c r="M131" s="317">
        <f>IF(AND($A$2=4,VLOOKUP($A131,'District Level ADM'!$A$5:$W$52,5,FALSE)="Prior Year"),AO131,IF(AND($A$2=4,VLOOKUP($A131,'District Level ADM'!$A$5:$W$52,5,FALSE)="3-Year Avg."),AA131,IF($A$2=2,AO131,IF($A$2=3,AA131,IF(($AG131&gt;$AU131),AA131,AO131)))))</f>
        <v>21.243333333333336</v>
      </c>
      <c r="N131" s="317">
        <f>IF(AND($A$2=4,VLOOKUP($A131,'District Level ADM'!$A$5:$W$52,5,FALSE)="Prior Year"),AP131,IF(AND($A$2=4,VLOOKUP($A131,'District Level ADM'!$A$5:$W$52,5,FALSE)="3-Year Avg."),AB131,IF($A$2=2,AP131,IF($A$2=3,AB131,IF(($AG131&gt;$AU131),AB131,AP131)))))</f>
        <v>22.268333333333334</v>
      </c>
      <c r="O131" s="317">
        <f>IF(AND($A$2=4,VLOOKUP($A131,'District Level ADM'!$A$5:$W$52,5,FALSE)="Prior Year"),AQ131,IF(AND($A$2=4,VLOOKUP($A131,'District Level ADM'!$A$5:$W$52,5,FALSE)="3-Year Avg."),AC131,IF($A$2=2,AQ131,IF($A$2=3,AC131,IF(($AG131&gt;$AU131),AC131,AQ131)))))</f>
        <v>0</v>
      </c>
      <c r="P131" s="317">
        <f>IF(AND($A$2=4,VLOOKUP($A131,'District Level ADM'!$A$5:$W$52,5,FALSE)="Prior Year"),AR131,IF(AND($A$2=4,VLOOKUP($A131,'District Level ADM'!$A$5:$W$52,5,FALSE)="3-Year Avg."),AD131,IF($A$2=2,AR131,IF($A$2=3,AD131,IF(($AG131&gt;$AU131),AD131,AR131)))))</f>
        <v>0</v>
      </c>
      <c r="Q131" s="317">
        <f>IF(AND($A$2=4,VLOOKUP($A131,'District Level ADM'!$A$5:$W$52,5,FALSE)="Prior Year"),AS131,IF(AND($A$2=4,VLOOKUP($A131,'District Level ADM'!$A$5:$W$52,5,FALSE)="3-Year Avg."),AE131,IF($A$2=2,AS131,IF($A$2=3,AE131,IF(($AG131&gt;$AU131),AE131,AS131)))))</f>
        <v>0</v>
      </c>
      <c r="R131" s="317">
        <f>IF(AND($A$2=4,VLOOKUP($A131,'District Level ADM'!$A$5:$W$52,5,FALSE)="Prior Year"),AT131,IF(AND($A$2=4,VLOOKUP($A131,'District Level ADM'!$A$5:$W$52,5,FALSE)="3-Year Avg."),AF131,IF($A$2=2,AT131,IF($A$2=3,AF131,IF(($AG131&gt;$AU131),AF131,AT131)))))</f>
        <v>0</v>
      </c>
      <c r="S131" s="317">
        <f t="shared" si="13"/>
        <v>43.51166666666667</v>
      </c>
      <c r="T131" s="317">
        <f t="shared" si="20"/>
        <v>0</v>
      </c>
      <c r="U131" s="317">
        <f t="shared" si="20"/>
        <v>0</v>
      </c>
      <c r="V131" s="317">
        <f t="shared" si="20"/>
        <v>0</v>
      </c>
      <c r="W131" s="317">
        <f t="shared" si="20"/>
        <v>0</v>
      </c>
      <c r="X131" s="317">
        <f t="shared" si="20"/>
        <v>0</v>
      </c>
      <c r="Y131" s="317">
        <f t="shared" si="20"/>
        <v>0</v>
      </c>
      <c r="Z131" s="317">
        <f t="shared" si="23"/>
        <v>0</v>
      </c>
      <c r="AA131" s="317">
        <f t="shared" si="23"/>
        <v>21.243333333333336</v>
      </c>
      <c r="AB131" s="317">
        <f t="shared" si="23"/>
        <v>22.268333333333334</v>
      </c>
      <c r="AC131" s="317">
        <f t="shared" si="18"/>
        <v>0</v>
      </c>
      <c r="AD131" s="317">
        <f t="shared" si="18"/>
        <v>0</v>
      </c>
      <c r="AE131" s="317">
        <f t="shared" si="18"/>
        <v>0</v>
      </c>
      <c r="AF131" s="317">
        <f t="shared" si="18"/>
        <v>0</v>
      </c>
      <c r="AG131" s="317">
        <f t="shared" si="14"/>
        <v>43.51166666666667</v>
      </c>
      <c r="AH131" s="318">
        <v>0</v>
      </c>
      <c r="AI131" s="318">
        <v>0</v>
      </c>
      <c r="AJ131" s="318">
        <v>0</v>
      </c>
      <c r="AK131" s="318">
        <v>0</v>
      </c>
      <c r="AL131" s="318">
        <v>0</v>
      </c>
      <c r="AM131" s="318">
        <v>0</v>
      </c>
      <c r="AN131" s="318">
        <v>0</v>
      </c>
      <c r="AO131" s="318">
        <v>17.73</v>
      </c>
      <c r="AP131" s="318">
        <v>12.805</v>
      </c>
      <c r="AQ131" s="318">
        <v>0</v>
      </c>
      <c r="AR131" s="318">
        <v>0</v>
      </c>
      <c r="AS131" s="318">
        <v>0</v>
      </c>
      <c r="AT131" s="318">
        <v>0</v>
      </c>
      <c r="AU131" s="317">
        <f t="shared" si="15"/>
        <v>30.535</v>
      </c>
      <c r="AV131" s="319">
        <v>0</v>
      </c>
      <c r="AW131" s="319">
        <v>0</v>
      </c>
      <c r="AX131" s="319">
        <v>0</v>
      </c>
      <c r="AY131" s="319">
        <v>0</v>
      </c>
      <c r="AZ131" s="319">
        <v>0</v>
      </c>
      <c r="BA131" s="319">
        <v>0</v>
      </c>
      <c r="BB131" s="319">
        <v>0</v>
      </c>
      <c r="BC131" s="319">
        <v>17</v>
      </c>
      <c r="BD131" s="319">
        <v>30</v>
      </c>
      <c r="BE131" s="319">
        <v>0</v>
      </c>
      <c r="BF131" s="319">
        <v>0</v>
      </c>
      <c r="BG131" s="319">
        <v>0</v>
      </c>
      <c r="BH131" s="319">
        <v>0</v>
      </c>
      <c r="BI131" s="317">
        <f t="shared" si="16"/>
        <v>47</v>
      </c>
      <c r="BJ131" s="316">
        <v>0</v>
      </c>
      <c r="BK131" s="316">
        <v>0</v>
      </c>
      <c r="BL131" s="316">
        <v>0</v>
      </c>
      <c r="BM131" s="316">
        <v>0</v>
      </c>
      <c r="BN131" s="316">
        <v>0</v>
      </c>
      <c r="BO131" s="316">
        <v>0</v>
      </c>
      <c r="BP131" s="316">
        <v>0</v>
      </c>
      <c r="BQ131" s="316">
        <v>29</v>
      </c>
      <c r="BR131" s="316">
        <v>24</v>
      </c>
      <c r="BS131" s="316">
        <v>0</v>
      </c>
      <c r="BT131" s="316">
        <v>0</v>
      </c>
      <c r="BU131" s="316">
        <v>0</v>
      </c>
      <c r="BV131" s="316">
        <v>0</v>
      </c>
      <c r="BW131" s="317">
        <f t="shared" si="17"/>
        <v>53</v>
      </c>
    </row>
    <row r="132" spans="1:75" x14ac:dyDescent="0.2">
      <c r="A132" s="20" t="str">
        <f>'School Level Inst. Resources'!A132</f>
        <v>0801000</v>
      </c>
      <c r="B132" s="20" t="str">
        <f>'School Level Inst. Resources'!B132</f>
        <v>Goshen #1</v>
      </c>
      <c r="C132" s="20" t="str">
        <f>'School Level Inst. Resources'!C132</f>
        <v>0801052</v>
      </c>
      <c r="D132" s="20" t="str">
        <f>'School Level Inst. Resources'!D132</f>
        <v>Torrington Middle School</v>
      </c>
      <c r="E132" s="138" t="str">
        <f>'School Level Inst. Resources'!E132</f>
        <v>6-8</v>
      </c>
      <c r="F132" s="317">
        <f>IF(AND($A$2=4,VLOOKUP($A132,'District Level ADM'!$A$5:$W$52,5,FALSE)="Prior Year"),AH132,IF(AND($A$2=4,VLOOKUP($A132,'District Level ADM'!$A$5:$W$52,5,FALSE)="3-Year Avg."),T132,IF($A$2=2,AH132,IF($A$2=3,T132,IF(($AG132&gt;$AU132),T132,AH132)))))</f>
        <v>0</v>
      </c>
      <c r="G132" s="317">
        <f>IF(AND($A$2=4,VLOOKUP($A132,'District Level ADM'!$A$5:$W$52,5,FALSE)="Prior Year"),AI132,IF(AND($A$2=4,VLOOKUP($A132,'District Level ADM'!$A$5:$W$52,5,FALSE)="3-Year Avg."),U132,IF($A$2=2,AI132,IF($A$2=3,U132,IF(($AG132&gt;$AU132),U132,AI132)))))</f>
        <v>0</v>
      </c>
      <c r="H132" s="317">
        <f>IF(AND($A$2=4,VLOOKUP($A132,'District Level ADM'!$A$5:$W$52,5,FALSE)="Prior Year"),AJ132,IF(AND($A$2=4,VLOOKUP($A132,'District Level ADM'!$A$5:$W$52,5,FALSE)="3-Year Avg."),V132,IF($A$2=2,AJ132,IF($A$2=3,V132,IF(($AG132&gt;$AU132),V132,AJ132)))))</f>
        <v>0</v>
      </c>
      <c r="I132" s="317">
        <f>IF(AND($A$2=4,VLOOKUP($A132,'District Level ADM'!$A$5:$W$52,5,FALSE)="Prior Year"),AK132,IF(AND($A$2=4,VLOOKUP($A132,'District Level ADM'!$A$5:$W$52,5,FALSE)="3-Year Avg."),W132,IF($A$2=2,AK132,IF($A$2=3,W132,IF(($AG132&gt;$AU132),W132,AK132)))))</f>
        <v>0</v>
      </c>
      <c r="J132" s="317">
        <f>IF(AND($A$2=4,VLOOKUP($A132,'District Level ADM'!$A$5:$W$52,5,FALSE)="Prior Year"),AL132,IF(AND($A$2=4,VLOOKUP($A132,'District Level ADM'!$A$5:$W$52,5,FALSE)="3-Year Avg."),X132,IF($A$2=2,AL132,IF($A$2=3,X132,IF(($AG132&gt;$AU132),X132,AL132)))))</f>
        <v>0</v>
      </c>
      <c r="K132" s="317">
        <f>IF(AND($A$2=4,VLOOKUP($A132,'District Level ADM'!$A$5:$W$52,5,FALSE)="Prior Year"),AM132,IF(AND($A$2=4,VLOOKUP($A132,'District Level ADM'!$A$5:$W$52,5,FALSE)="3-Year Avg."),Y132,IF($A$2=2,AM132,IF($A$2=3,Y132,IF(($AG132&gt;$AU132),Y132,AM132)))))</f>
        <v>0</v>
      </c>
      <c r="L132" s="317">
        <f>IF(AND($A$2=4,VLOOKUP($A132,'District Level ADM'!$A$5:$W$52,5,FALSE)="Prior Year"),AN132,IF(AND($A$2=4,VLOOKUP($A132,'District Level ADM'!$A$5:$W$52,5,FALSE)="3-Year Avg."),Z132,IF($A$2=2,AN132,IF($A$2=3,Z132,IF(($AG132&gt;$AU132),Z132,AN132)))))</f>
        <v>86.166999999999987</v>
      </c>
      <c r="M132" s="317">
        <f>IF(AND($A$2=4,VLOOKUP($A132,'District Level ADM'!$A$5:$W$52,5,FALSE)="Prior Year"),AO132,IF(AND($A$2=4,VLOOKUP($A132,'District Level ADM'!$A$5:$W$52,5,FALSE)="3-Year Avg."),AA132,IF($A$2=2,AO132,IF($A$2=3,AA132,IF(($AG132&gt;$AU132),AA132,AO132)))))</f>
        <v>87.855333333333348</v>
      </c>
      <c r="N132" s="317">
        <f>IF(AND($A$2=4,VLOOKUP($A132,'District Level ADM'!$A$5:$W$52,5,FALSE)="Prior Year"),AP132,IF(AND($A$2=4,VLOOKUP($A132,'District Level ADM'!$A$5:$W$52,5,FALSE)="3-Year Avg."),AB132,IF($A$2=2,AP132,IF($A$2=3,AB132,IF(($AG132&gt;$AU132),AB132,AP132)))))</f>
        <v>92.252666666666656</v>
      </c>
      <c r="O132" s="317">
        <f>IF(AND($A$2=4,VLOOKUP($A132,'District Level ADM'!$A$5:$W$52,5,FALSE)="Prior Year"),AQ132,IF(AND($A$2=4,VLOOKUP($A132,'District Level ADM'!$A$5:$W$52,5,FALSE)="3-Year Avg."),AC132,IF($A$2=2,AQ132,IF($A$2=3,AC132,IF(($AG132&gt;$AU132),AC132,AQ132)))))</f>
        <v>0</v>
      </c>
      <c r="P132" s="317">
        <f>IF(AND($A$2=4,VLOOKUP($A132,'District Level ADM'!$A$5:$W$52,5,FALSE)="Prior Year"),AR132,IF(AND($A$2=4,VLOOKUP($A132,'District Level ADM'!$A$5:$W$52,5,FALSE)="3-Year Avg."),AD132,IF($A$2=2,AR132,IF($A$2=3,AD132,IF(($AG132&gt;$AU132),AD132,AR132)))))</f>
        <v>0</v>
      </c>
      <c r="Q132" s="317">
        <f>IF(AND($A$2=4,VLOOKUP($A132,'District Level ADM'!$A$5:$W$52,5,FALSE)="Prior Year"),AS132,IF(AND($A$2=4,VLOOKUP($A132,'District Level ADM'!$A$5:$W$52,5,FALSE)="3-Year Avg."),AE132,IF($A$2=2,AS132,IF($A$2=3,AE132,IF(($AG132&gt;$AU132),AE132,AS132)))))</f>
        <v>0</v>
      </c>
      <c r="R132" s="317">
        <f>IF(AND($A$2=4,VLOOKUP($A132,'District Level ADM'!$A$5:$W$52,5,FALSE)="Prior Year"),AT132,IF(AND($A$2=4,VLOOKUP($A132,'District Level ADM'!$A$5:$W$52,5,FALSE)="3-Year Avg."),AF132,IF($A$2=2,AT132,IF($A$2=3,AF132,IF(($AG132&gt;$AU132),AF132,AT132)))))</f>
        <v>0</v>
      </c>
      <c r="S132" s="317">
        <f t="shared" si="13"/>
        <v>266.27499999999998</v>
      </c>
      <c r="T132" s="317">
        <f t="shared" si="20"/>
        <v>0</v>
      </c>
      <c r="U132" s="317">
        <f t="shared" si="20"/>
        <v>0</v>
      </c>
      <c r="V132" s="317">
        <f t="shared" si="20"/>
        <v>0</v>
      </c>
      <c r="W132" s="317">
        <f t="shared" si="20"/>
        <v>0</v>
      </c>
      <c r="X132" s="317">
        <f t="shared" si="20"/>
        <v>0</v>
      </c>
      <c r="Y132" s="317">
        <f t="shared" si="20"/>
        <v>0</v>
      </c>
      <c r="Z132" s="317">
        <f t="shared" si="23"/>
        <v>86.166999999999987</v>
      </c>
      <c r="AA132" s="317">
        <f t="shared" si="23"/>
        <v>87.855333333333348</v>
      </c>
      <c r="AB132" s="317">
        <f t="shared" si="23"/>
        <v>92.252666666666656</v>
      </c>
      <c r="AC132" s="317">
        <f t="shared" si="18"/>
        <v>0</v>
      </c>
      <c r="AD132" s="317">
        <f t="shared" si="18"/>
        <v>0</v>
      </c>
      <c r="AE132" s="317">
        <f t="shared" si="18"/>
        <v>0</v>
      </c>
      <c r="AF132" s="317">
        <f t="shared" si="18"/>
        <v>0</v>
      </c>
      <c r="AG132" s="317">
        <f t="shared" si="14"/>
        <v>266.27499999999998</v>
      </c>
      <c r="AH132" s="318">
        <v>0</v>
      </c>
      <c r="AI132" s="318">
        <v>0</v>
      </c>
      <c r="AJ132" s="318">
        <v>0</v>
      </c>
      <c r="AK132" s="318">
        <v>0</v>
      </c>
      <c r="AL132" s="318">
        <v>0</v>
      </c>
      <c r="AM132" s="318">
        <v>0</v>
      </c>
      <c r="AN132" s="318">
        <v>79.784999999999997</v>
      </c>
      <c r="AO132" s="318">
        <v>73.875</v>
      </c>
      <c r="AP132" s="318">
        <v>96.53</v>
      </c>
      <c r="AQ132" s="318">
        <v>0</v>
      </c>
      <c r="AR132" s="318">
        <v>0</v>
      </c>
      <c r="AS132" s="318">
        <v>0</v>
      </c>
      <c r="AT132" s="318">
        <v>0</v>
      </c>
      <c r="AU132" s="317">
        <f t="shared" si="15"/>
        <v>250.19</v>
      </c>
      <c r="AV132" s="319">
        <v>0</v>
      </c>
      <c r="AW132" s="319">
        <v>0</v>
      </c>
      <c r="AX132" s="319">
        <v>0</v>
      </c>
      <c r="AY132" s="319">
        <v>0</v>
      </c>
      <c r="AZ132" s="319">
        <v>0</v>
      </c>
      <c r="BA132" s="319">
        <v>0</v>
      </c>
      <c r="BB132" s="319">
        <v>76.557000000000002</v>
      </c>
      <c r="BC132" s="319">
        <v>97.650999999999996</v>
      </c>
      <c r="BD132" s="319">
        <v>91.766000000000005</v>
      </c>
      <c r="BE132" s="319">
        <v>0</v>
      </c>
      <c r="BF132" s="319">
        <v>0</v>
      </c>
      <c r="BG132" s="319">
        <v>0</v>
      </c>
      <c r="BH132" s="319">
        <v>0</v>
      </c>
      <c r="BI132" s="317">
        <f t="shared" si="16"/>
        <v>265.97399999999999</v>
      </c>
      <c r="BJ132" s="316">
        <v>0</v>
      </c>
      <c r="BK132" s="316">
        <v>0</v>
      </c>
      <c r="BL132" s="316">
        <v>0</v>
      </c>
      <c r="BM132" s="316">
        <v>0</v>
      </c>
      <c r="BN132" s="316">
        <v>0</v>
      </c>
      <c r="BO132" s="316">
        <v>0</v>
      </c>
      <c r="BP132" s="316">
        <v>102.15900000000001</v>
      </c>
      <c r="BQ132" s="316">
        <v>92.04</v>
      </c>
      <c r="BR132" s="316">
        <v>88.462000000000003</v>
      </c>
      <c r="BS132" s="316">
        <v>0</v>
      </c>
      <c r="BT132" s="316">
        <v>0</v>
      </c>
      <c r="BU132" s="316">
        <v>0</v>
      </c>
      <c r="BV132" s="316">
        <v>0</v>
      </c>
      <c r="BW132" s="317">
        <f t="shared" si="17"/>
        <v>282.661</v>
      </c>
    </row>
    <row r="133" spans="1:75" x14ac:dyDescent="0.2">
      <c r="A133" s="20" t="str">
        <f>'School Level Inst. Resources'!A133</f>
        <v>0801000</v>
      </c>
      <c r="B133" s="20" t="str">
        <f>'School Level Inst. Resources'!B133</f>
        <v>Goshen #1</v>
      </c>
      <c r="C133" s="20" t="str">
        <f>'School Level Inst. Resources'!C133</f>
        <v>0801055</v>
      </c>
      <c r="D133" s="20" t="str">
        <f>'School Level Inst. Resources'!D133</f>
        <v>Southeast High School</v>
      </c>
      <c r="E133" s="138" t="str">
        <f>'School Level Inst. Resources'!E133</f>
        <v>9-12</v>
      </c>
      <c r="F133" s="317">
        <f>IF(AND($A$2=4,VLOOKUP($A133,'District Level ADM'!$A$5:$W$52,5,FALSE)="Prior Year"),AH133,IF(AND($A$2=4,VLOOKUP($A133,'District Level ADM'!$A$5:$W$52,5,FALSE)="3-Year Avg."),T133,IF($A$2=2,AH133,IF($A$2=3,T133,IF(($AG133&gt;$AU133),T133,AH133)))))</f>
        <v>0</v>
      </c>
      <c r="G133" s="317">
        <f>IF(AND($A$2=4,VLOOKUP($A133,'District Level ADM'!$A$5:$W$52,5,FALSE)="Prior Year"),AI133,IF(AND($A$2=4,VLOOKUP($A133,'District Level ADM'!$A$5:$W$52,5,FALSE)="3-Year Avg."),U133,IF($A$2=2,AI133,IF($A$2=3,U133,IF(($AG133&gt;$AU133),U133,AI133)))))</f>
        <v>0</v>
      </c>
      <c r="H133" s="317">
        <f>IF(AND($A$2=4,VLOOKUP($A133,'District Level ADM'!$A$5:$W$52,5,FALSE)="Prior Year"),AJ133,IF(AND($A$2=4,VLOOKUP($A133,'District Level ADM'!$A$5:$W$52,5,FALSE)="3-Year Avg."),V133,IF($A$2=2,AJ133,IF($A$2=3,V133,IF(($AG133&gt;$AU133),V133,AJ133)))))</f>
        <v>0</v>
      </c>
      <c r="I133" s="317">
        <f>IF(AND($A$2=4,VLOOKUP($A133,'District Level ADM'!$A$5:$W$52,5,FALSE)="Prior Year"),AK133,IF(AND($A$2=4,VLOOKUP($A133,'District Level ADM'!$A$5:$W$52,5,FALSE)="3-Year Avg."),W133,IF($A$2=2,AK133,IF($A$2=3,W133,IF(($AG133&gt;$AU133),W133,AK133)))))</f>
        <v>0</v>
      </c>
      <c r="J133" s="317">
        <f>IF(AND($A$2=4,VLOOKUP($A133,'District Level ADM'!$A$5:$W$52,5,FALSE)="Prior Year"),AL133,IF(AND($A$2=4,VLOOKUP($A133,'District Level ADM'!$A$5:$W$52,5,FALSE)="3-Year Avg."),X133,IF($A$2=2,AL133,IF($A$2=3,X133,IF(($AG133&gt;$AU133),X133,AL133)))))</f>
        <v>0</v>
      </c>
      <c r="K133" s="317">
        <f>IF(AND($A$2=4,VLOOKUP($A133,'District Level ADM'!$A$5:$W$52,5,FALSE)="Prior Year"),AM133,IF(AND($A$2=4,VLOOKUP($A133,'District Level ADM'!$A$5:$W$52,5,FALSE)="3-Year Avg."),Y133,IF($A$2=2,AM133,IF($A$2=3,Y133,IF(($AG133&gt;$AU133),Y133,AM133)))))</f>
        <v>0</v>
      </c>
      <c r="L133" s="317">
        <f>IF(AND($A$2=4,VLOOKUP($A133,'District Level ADM'!$A$5:$W$52,5,FALSE)="Prior Year"),AN133,IF(AND($A$2=4,VLOOKUP($A133,'District Level ADM'!$A$5:$W$52,5,FALSE)="3-Year Avg."),Z133,IF($A$2=2,AN133,IF($A$2=3,Z133,IF(($AG133&gt;$AU133),Z133,AN133)))))</f>
        <v>0</v>
      </c>
      <c r="M133" s="317">
        <f>IF(AND($A$2=4,VLOOKUP($A133,'District Level ADM'!$A$5:$W$52,5,FALSE)="Prior Year"),AO133,IF(AND($A$2=4,VLOOKUP($A133,'District Level ADM'!$A$5:$W$52,5,FALSE)="3-Year Avg."),AA133,IF($A$2=2,AO133,IF($A$2=3,AA133,IF(($AG133&gt;$AU133),AA133,AO133)))))</f>
        <v>0</v>
      </c>
      <c r="N133" s="317">
        <f>IF(AND($A$2=4,VLOOKUP($A133,'District Level ADM'!$A$5:$W$52,5,FALSE)="Prior Year"),AP133,IF(AND($A$2=4,VLOOKUP($A133,'District Level ADM'!$A$5:$W$52,5,FALSE)="3-Year Avg."),AB133,IF($A$2=2,AP133,IF($A$2=3,AB133,IF(($AG133&gt;$AU133),AB133,AP133)))))</f>
        <v>0</v>
      </c>
      <c r="O133" s="317">
        <f>IF(AND($A$2=4,VLOOKUP($A133,'District Level ADM'!$A$5:$W$52,5,FALSE)="Prior Year"),AQ133,IF(AND($A$2=4,VLOOKUP($A133,'District Level ADM'!$A$5:$W$52,5,FALSE)="3-Year Avg."),AC133,IF($A$2=2,AQ133,IF($A$2=3,AC133,IF(($AG133&gt;$AU133),AC133,AQ133)))))</f>
        <v>27.428333333333331</v>
      </c>
      <c r="P133" s="317">
        <f>IF(AND($A$2=4,VLOOKUP($A133,'District Level ADM'!$A$5:$W$52,5,FALSE)="Prior Year"),AR133,IF(AND($A$2=4,VLOOKUP($A133,'District Level ADM'!$A$5:$W$52,5,FALSE)="3-Year Avg."),AD133,IF($A$2=2,AR133,IF($A$2=3,AD133,IF(($AG133&gt;$AU133),AD133,AR133)))))</f>
        <v>25.074000000000002</v>
      </c>
      <c r="Q133" s="317">
        <f>IF(AND($A$2=4,VLOOKUP($A133,'District Level ADM'!$A$5:$W$52,5,FALSE)="Prior Year"),AS133,IF(AND($A$2=4,VLOOKUP($A133,'District Level ADM'!$A$5:$W$52,5,FALSE)="3-Year Avg."),AE133,IF($A$2=2,AS133,IF($A$2=3,AE133,IF(($AG133&gt;$AU133),AE133,AS133)))))</f>
        <v>25.899666666666665</v>
      </c>
      <c r="R133" s="317">
        <f>IF(AND($A$2=4,VLOOKUP($A133,'District Level ADM'!$A$5:$W$52,5,FALSE)="Prior Year"),AT133,IF(AND($A$2=4,VLOOKUP($A133,'District Level ADM'!$A$5:$W$52,5,FALSE)="3-Year Avg."),AF133,IF($A$2=2,AT133,IF($A$2=3,AF133,IF(($AG133&gt;$AU133),AF133,AT133)))))</f>
        <v>23.757333333333332</v>
      </c>
      <c r="S133" s="317">
        <f t="shared" si="13"/>
        <v>102.15933333333334</v>
      </c>
      <c r="T133" s="317">
        <f t="shared" si="20"/>
        <v>0</v>
      </c>
      <c r="U133" s="317">
        <f t="shared" si="20"/>
        <v>0</v>
      </c>
      <c r="V133" s="317">
        <f t="shared" si="20"/>
        <v>0</v>
      </c>
      <c r="W133" s="317">
        <f t="shared" si="20"/>
        <v>0</v>
      </c>
      <c r="X133" s="317">
        <f t="shared" si="20"/>
        <v>0</v>
      </c>
      <c r="Y133" s="317">
        <f t="shared" si="20"/>
        <v>0</v>
      </c>
      <c r="Z133" s="317">
        <f t="shared" si="23"/>
        <v>0</v>
      </c>
      <c r="AA133" s="317">
        <f t="shared" si="23"/>
        <v>0</v>
      </c>
      <c r="AB133" s="317">
        <f t="shared" si="23"/>
        <v>0</v>
      </c>
      <c r="AC133" s="317">
        <f t="shared" si="18"/>
        <v>27.428333333333331</v>
      </c>
      <c r="AD133" s="317">
        <f t="shared" si="18"/>
        <v>25.074000000000002</v>
      </c>
      <c r="AE133" s="317">
        <f t="shared" si="18"/>
        <v>25.899666666666665</v>
      </c>
      <c r="AF133" s="317">
        <f t="shared" si="18"/>
        <v>23.757333333333332</v>
      </c>
      <c r="AG133" s="317">
        <f t="shared" si="14"/>
        <v>102.15933333333334</v>
      </c>
      <c r="AH133" s="318">
        <v>0</v>
      </c>
      <c r="AI133" s="318">
        <v>0</v>
      </c>
      <c r="AJ133" s="318">
        <v>0</v>
      </c>
      <c r="AK133" s="318">
        <v>0</v>
      </c>
      <c r="AL133" s="318">
        <v>0</v>
      </c>
      <c r="AM133" s="318">
        <v>0</v>
      </c>
      <c r="AN133" s="318">
        <v>0</v>
      </c>
      <c r="AO133" s="318">
        <v>0</v>
      </c>
      <c r="AP133" s="318">
        <v>0</v>
      </c>
      <c r="AQ133" s="318">
        <v>28.565000000000001</v>
      </c>
      <c r="AR133" s="318">
        <v>20.684999999999999</v>
      </c>
      <c r="AS133" s="318">
        <v>29.55</v>
      </c>
      <c r="AT133" s="318">
        <v>23.64</v>
      </c>
      <c r="AU133" s="317">
        <f t="shared" si="15"/>
        <v>102.44</v>
      </c>
      <c r="AV133" s="319">
        <v>0</v>
      </c>
      <c r="AW133" s="319">
        <v>0</v>
      </c>
      <c r="AX133" s="319">
        <v>0</v>
      </c>
      <c r="AY133" s="319">
        <v>0</v>
      </c>
      <c r="AZ133" s="319">
        <v>0</v>
      </c>
      <c r="BA133" s="319">
        <v>0</v>
      </c>
      <c r="BB133" s="319">
        <v>0</v>
      </c>
      <c r="BC133" s="319">
        <v>0</v>
      </c>
      <c r="BD133" s="319">
        <v>0</v>
      </c>
      <c r="BE133" s="319">
        <v>22.713999999999999</v>
      </c>
      <c r="BF133" s="319">
        <v>29.634</v>
      </c>
      <c r="BG133" s="319">
        <v>21.983000000000001</v>
      </c>
      <c r="BH133" s="319">
        <v>25.004999999999999</v>
      </c>
      <c r="BI133" s="317">
        <f t="shared" si="16"/>
        <v>99.335999999999999</v>
      </c>
      <c r="BJ133" s="316">
        <v>0</v>
      </c>
      <c r="BK133" s="316">
        <v>0</v>
      </c>
      <c r="BL133" s="316">
        <v>0</v>
      </c>
      <c r="BM133" s="316">
        <v>0</v>
      </c>
      <c r="BN133" s="316">
        <v>0</v>
      </c>
      <c r="BO133" s="316">
        <v>0</v>
      </c>
      <c r="BP133" s="316">
        <v>0</v>
      </c>
      <c r="BQ133" s="316">
        <v>0</v>
      </c>
      <c r="BR133" s="316">
        <v>0</v>
      </c>
      <c r="BS133" s="316">
        <v>31.006</v>
      </c>
      <c r="BT133" s="316">
        <v>24.902999999999999</v>
      </c>
      <c r="BU133" s="316">
        <v>26.166</v>
      </c>
      <c r="BV133" s="316">
        <v>22.626999999999999</v>
      </c>
      <c r="BW133" s="317">
        <f t="shared" ref="BW133:BW198" si="24">SUM(BJ133:BV133)</f>
        <v>104.702</v>
      </c>
    </row>
    <row r="134" spans="1:75" x14ac:dyDescent="0.2">
      <c r="A134" s="20" t="str">
        <f>'School Level Inst. Resources'!A134</f>
        <v>0801000</v>
      </c>
      <c r="B134" s="20" t="str">
        <f>'School Level Inst. Resources'!B134</f>
        <v>Goshen #1</v>
      </c>
      <c r="C134" s="20" t="str">
        <f>'School Level Inst. Resources'!C134</f>
        <v>0801058</v>
      </c>
      <c r="D134" s="20" t="str">
        <f>'School Level Inst. Resources'!D134</f>
        <v>Lingle-Ft. Laramie High School</v>
      </c>
      <c r="E134" s="138" t="str">
        <f>'School Level Inst. Resources'!E134</f>
        <v>9-12</v>
      </c>
      <c r="F134" s="317">
        <f>IF(AND($A$2=4,VLOOKUP($A134,'District Level ADM'!$A$5:$W$52,5,FALSE)="Prior Year"),AH134,IF(AND($A$2=4,VLOOKUP($A134,'District Level ADM'!$A$5:$W$52,5,FALSE)="3-Year Avg."),T134,IF($A$2=2,AH134,IF($A$2=3,T134,IF(($AG134&gt;$AU134),T134,AH134)))))</f>
        <v>0</v>
      </c>
      <c r="G134" s="317">
        <f>IF(AND($A$2=4,VLOOKUP($A134,'District Level ADM'!$A$5:$W$52,5,FALSE)="Prior Year"),AI134,IF(AND($A$2=4,VLOOKUP($A134,'District Level ADM'!$A$5:$W$52,5,FALSE)="3-Year Avg."),U134,IF($A$2=2,AI134,IF($A$2=3,U134,IF(($AG134&gt;$AU134),U134,AI134)))))</f>
        <v>0</v>
      </c>
      <c r="H134" s="317">
        <f>IF(AND($A$2=4,VLOOKUP($A134,'District Level ADM'!$A$5:$W$52,5,FALSE)="Prior Year"),AJ134,IF(AND($A$2=4,VLOOKUP($A134,'District Level ADM'!$A$5:$W$52,5,FALSE)="3-Year Avg."),V134,IF($A$2=2,AJ134,IF($A$2=3,V134,IF(($AG134&gt;$AU134),V134,AJ134)))))</f>
        <v>0</v>
      </c>
      <c r="I134" s="317">
        <f>IF(AND($A$2=4,VLOOKUP($A134,'District Level ADM'!$A$5:$W$52,5,FALSE)="Prior Year"),AK134,IF(AND($A$2=4,VLOOKUP($A134,'District Level ADM'!$A$5:$W$52,5,FALSE)="3-Year Avg."),W134,IF($A$2=2,AK134,IF($A$2=3,W134,IF(($AG134&gt;$AU134),W134,AK134)))))</f>
        <v>0</v>
      </c>
      <c r="J134" s="317">
        <f>IF(AND($A$2=4,VLOOKUP($A134,'District Level ADM'!$A$5:$W$52,5,FALSE)="Prior Year"),AL134,IF(AND($A$2=4,VLOOKUP($A134,'District Level ADM'!$A$5:$W$52,5,FALSE)="3-Year Avg."),X134,IF($A$2=2,AL134,IF($A$2=3,X134,IF(($AG134&gt;$AU134),X134,AL134)))))</f>
        <v>0</v>
      </c>
      <c r="K134" s="317">
        <f>IF(AND($A$2=4,VLOOKUP($A134,'District Level ADM'!$A$5:$W$52,5,FALSE)="Prior Year"),AM134,IF(AND($A$2=4,VLOOKUP($A134,'District Level ADM'!$A$5:$W$52,5,FALSE)="3-Year Avg."),Y134,IF($A$2=2,AM134,IF($A$2=3,Y134,IF(($AG134&gt;$AU134),Y134,AM134)))))</f>
        <v>0</v>
      </c>
      <c r="L134" s="317">
        <f>IF(AND($A$2=4,VLOOKUP($A134,'District Level ADM'!$A$5:$W$52,5,FALSE)="Prior Year"),AN134,IF(AND($A$2=4,VLOOKUP($A134,'District Level ADM'!$A$5:$W$52,5,FALSE)="3-Year Avg."),Z134,IF($A$2=2,AN134,IF($A$2=3,Z134,IF(($AG134&gt;$AU134),Z134,AN134)))))</f>
        <v>0</v>
      </c>
      <c r="M134" s="317">
        <f>IF(AND($A$2=4,VLOOKUP($A134,'District Level ADM'!$A$5:$W$52,5,FALSE)="Prior Year"),AO134,IF(AND($A$2=4,VLOOKUP($A134,'District Level ADM'!$A$5:$W$52,5,FALSE)="3-Year Avg."),AA134,IF($A$2=2,AO134,IF($A$2=3,AA134,IF(($AG134&gt;$AU134),AA134,AO134)))))</f>
        <v>0</v>
      </c>
      <c r="N134" s="317">
        <f>IF(AND($A$2=4,VLOOKUP($A134,'District Level ADM'!$A$5:$W$52,5,FALSE)="Prior Year"),AP134,IF(AND($A$2=4,VLOOKUP($A134,'District Level ADM'!$A$5:$W$52,5,FALSE)="3-Year Avg."),AB134,IF($A$2=2,AP134,IF($A$2=3,AB134,IF(($AG134&gt;$AU134),AB134,AP134)))))</f>
        <v>0</v>
      </c>
      <c r="O134" s="317">
        <f>IF(AND($A$2=4,VLOOKUP($A134,'District Level ADM'!$A$5:$W$52,5,FALSE)="Prior Year"),AQ134,IF(AND($A$2=4,VLOOKUP($A134,'District Level ADM'!$A$5:$W$52,5,FALSE)="3-Year Avg."),AC134,IF($A$2=2,AQ134,IF($A$2=3,AC134,IF(($AG134&gt;$AU134),AC134,AQ134)))))</f>
        <v>18.756666666666664</v>
      </c>
      <c r="P134" s="317">
        <f>IF(AND($A$2=4,VLOOKUP($A134,'District Level ADM'!$A$5:$W$52,5,FALSE)="Prior Year"),AR134,IF(AND($A$2=4,VLOOKUP($A134,'District Level ADM'!$A$5:$W$52,5,FALSE)="3-Year Avg."),AD134,IF($A$2=2,AR134,IF($A$2=3,AD134,IF(($AG134&gt;$AU134),AD134,AR134)))))</f>
        <v>21.607333333333333</v>
      </c>
      <c r="Q134" s="317">
        <f>IF(AND($A$2=4,VLOOKUP($A134,'District Level ADM'!$A$5:$W$52,5,FALSE)="Prior Year"),AS134,IF(AND($A$2=4,VLOOKUP($A134,'District Level ADM'!$A$5:$W$52,5,FALSE)="3-Year Avg."),AE134,IF($A$2=2,AS134,IF($A$2=3,AE134,IF(($AG134&gt;$AU134),AE134,AS134)))))</f>
        <v>23.018666666666665</v>
      </c>
      <c r="R134" s="317">
        <f>IF(AND($A$2=4,VLOOKUP($A134,'District Level ADM'!$A$5:$W$52,5,FALSE)="Prior Year"),AT134,IF(AND($A$2=4,VLOOKUP($A134,'District Level ADM'!$A$5:$W$52,5,FALSE)="3-Year Avg."),AF134,IF($A$2=2,AT134,IF($A$2=3,AF134,IF(($AG134&gt;$AU134),AF134,AT134)))))</f>
        <v>23.578666666666667</v>
      </c>
      <c r="S134" s="317">
        <f t="shared" ref="S134:S197" si="25">SUM(F134:R134)</f>
        <v>86.961333333333329</v>
      </c>
      <c r="T134" s="317">
        <f t="shared" si="20"/>
        <v>0</v>
      </c>
      <c r="U134" s="317">
        <f t="shared" si="20"/>
        <v>0</v>
      </c>
      <c r="V134" s="317">
        <f t="shared" si="20"/>
        <v>0</v>
      </c>
      <c r="W134" s="317">
        <f t="shared" si="20"/>
        <v>0</v>
      </c>
      <c r="X134" s="317">
        <f t="shared" si="20"/>
        <v>0</v>
      </c>
      <c r="Y134" s="317">
        <f t="shared" si="20"/>
        <v>0</v>
      </c>
      <c r="Z134" s="317">
        <f t="shared" si="23"/>
        <v>0</v>
      </c>
      <c r="AA134" s="317">
        <f t="shared" si="23"/>
        <v>0</v>
      </c>
      <c r="AB134" s="317">
        <f t="shared" si="23"/>
        <v>0</v>
      </c>
      <c r="AC134" s="317">
        <f t="shared" si="18"/>
        <v>18.756666666666664</v>
      </c>
      <c r="AD134" s="317">
        <f t="shared" si="18"/>
        <v>21.607333333333333</v>
      </c>
      <c r="AE134" s="317">
        <f t="shared" si="18"/>
        <v>23.018666666666665</v>
      </c>
      <c r="AF134" s="317">
        <f t="shared" si="18"/>
        <v>23.578666666666667</v>
      </c>
      <c r="AG134" s="317">
        <f t="shared" ref="AG134:AG197" si="26">SUM(T134:AF134)</f>
        <v>86.961333333333329</v>
      </c>
      <c r="AH134" s="318">
        <v>0</v>
      </c>
      <c r="AI134" s="318">
        <v>0</v>
      </c>
      <c r="AJ134" s="318">
        <v>0</v>
      </c>
      <c r="AK134" s="318">
        <v>0</v>
      </c>
      <c r="AL134" s="318">
        <v>0</v>
      </c>
      <c r="AM134" s="318">
        <v>0</v>
      </c>
      <c r="AN134" s="318">
        <v>0</v>
      </c>
      <c r="AO134" s="318">
        <v>0</v>
      </c>
      <c r="AP134" s="318">
        <v>0</v>
      </c>
      <c r="AQ134" s="318">
        <v>13.79</v>
      </c>
      <c r="AR134" s="318">
        <v>20.684999999999999</v>
      </c>
      <c r="AS134" s="318">
        <v>20.684999999999999</v>
      </c>
      <c r="AT134" s="318">
        <v>22.655000000000001</v>
      </c>
      <c r="AU134" s="317">
        <f t="shared" ref="AU134:AU197" si="27">SUM(AH134:AT134)</f>
        <v>77.814999999999998</v>
      </c>
      <c r="AV134" s="319">
        <v>0</v>
      </c>
      <c r="AW134" s="319">
        <v>0</v>
      </c>
      <c r="AX134" s="319">
        <v>0</v>
      </c>
      <c r="AY134" s="319">
        <v>0</v>
      </c>
      <c r="AZ134" s="319">
        <v>0</v>
      </c>
      <c r="BA134" s="319">
        <v>0</v>
      </c>
      <c r="BB134" s="319">
        <v>0</v>
      </c>
      <c r="BC134" s="319">
        <v>0</v>
      </c>
      <c r="BD134" s="319">
        <v>0</v>
      </c>
      <c r="BE134" s="319">
        <v>24.869</v>
      </c>
      <c r="BF134" s="319">
        <v>18.513999999999999</v>
      </c>
      <c r="BG134" s="319">
        <v>24.634</v>
      </c>
      <c r="BH134" s="319">
        <v>21.751000000000001</v>
      </c>
      <c r="BI134" s="317">
        <f t="shared" si="16"/>
        <v>89.768000000000001</v>
      </c>
      <c r="BJ134" s="316">
        <v>0</v>
      </c>
      <c r="BK134" s="316">
        <v>0</v>
      </c>
      <c r="BL134" s="316">
        <v>0</v>
      </c>
      <c r="BM134" s="316">
        <v>0</v>
      </c>
      <c r="BN134" s="316">
        <v>0</v>
      </c>
      <c r="BO134" s="316">
        <v>0</v>
      </c>
      <c r="BP134" s="316">
        <v>0</v>
      </c>
      <c r="BQ134" s="316">
        <v>0</v>
      </c>
      <c r="BR134" s="316">
        <v>0</v>
      </c>
      <c r="BS134" s="316">
        <v>17.611000000000001</v>
      </c>
      <c r="BT134" s="316">
        <v>25.623000000000001</v>
      </c>
      <c r="BU134" s="316">
        <v>23.736999999999998</v>
      </c>
      <c r="BV134" s="316">
        <v>26.33</v>
      </c>
      <c r="BW134" s="317">
        <f t="shared" si="24"/>
        <v>93.301000000000002</v>
      </c>
    </row>
    <row r="135" spans="1:75" x14ac:dyDescent="0.2">
      <c r="A135" s="20" t="str">
        <f>'School Level Inst. Resources'!A135</f>
        <v>0801000</v>
      </c>
      <c r="B135" s="20" t="str">
        <f>'School Level Inst. Resources'!B135</f>
        <v>Goshen #1</v>
      </c>
      <c r="C135" s="20" t="str">
        <f>'School Level Inst. Resources'!C135</f>
        <v>0801059</v>
      </c>
      <c r="D135" s="20" t="str">
        <f>'School Level Inst. Resources'!D135</f>
        <v>Torrington High School</v>
      </c>
      <c r="E135" s="138" t="str">
        <f>'School Level Inst. Resources'!E135</f>
        <v>9-12</v>
      </c>
      <c r="F135" s="317">
        <f>IF(AND($A$2=4,VLOOKUP($A135,'District Level ADM'!$A$5:$W$52,5,FALSE)="Prior Year"),AH135,IF(AND($A$2=4,VLOOKUP($A135,'District Level ADM'!$A$5:$W$52,5,FALSE)="3-Year Avg."),T135,IF($A$2=2,AH135,IF($A$2=3,T135,IF(($AG135&gt;$AU135),T135,AH135)))))</f>
        <v>0</v>
      </c>
      <c r="G135" s="317">
        <f>IF(AND($A$2=4,VLOOKUP($A135,'District Level ADM'!$A$5:$W$52,5,FALSE)="Prior Year"),AI135,IF(AND($A$2=4,VLOOKUP($A135,'District Level ADM'!$A$5:$W$52,5,FALSE)="3-Year Avg."),U135,IF($A$2=2,AI135,IF($A$2=3,U135,IF(($AG135&gt;$AU135),U135,AI135)))))</f>
        <v>0</v>
      </c>
      <c r="H135" s="317">
        <f>IF(AND($A$2=4,VLOOKUP($A135,'District Level ADM'!$A$5:$W$52,5,FALSE)="Prior Year"),AJ135,IF(AND($A$2=4,VLOOKUP($A135,'District Level ADM'!$A$5:$W$52,5,FALSE)="3-Year Avg."),V135,IF($A$2=2,AJ135,IF($A$2=3,V135,IF(($AG135&gt;$AU135),V135,AJ135)))))</f>
        <v>0</v>
      </c>
      <c r="I135" s="317">
        <f>IF(AND($A$2=4,VLOOKUP($A135,'District Level ADM'!$A$5:$W$52,5,FALSE)="Prior Year"),AK135,IF(AND($A$2=4,VLOOKUP($A135,'District Level ADM'!$A$5:$W$52,5,FALSE)="3-Year Avg."),W135,IF($A$2=2,AK135,IF($A$2=3,W135,IF(($AG135&gt;$AU135),W135,AK135)))))</f>
        <v>0</v>
      </c>
      <c r="J135" s="317">
        <f>IF(AND($A$2=4,VLOOKUP($A135,'District Level ADM'!$A$5:$W$52,5,FALSE)="Prior Year"),AL135,IF(AND($A$2=4,VLOOKUP($A135,'District Level ADM'!$A$5:$W$52,5,FALSE)="3-Year Avg."),X135,IF($A$2=2,AL135,IF($A$2=3,X135,IF(($AG135&gt;$AU135),X135,AL135)))))</f>
        <v>0</v>
      </c>
      <c r="K135" s="317">
        <f>IF(AND($A$2=4,VLOOKUP($A135,'District Level ADM'!$A$5:$W$52,5,FALSE)="Prior Year"),AM135,IF(AND($A$2=4,VLOOKUP($A135,'District Level ADM'!$A$5:$W$52,5,FALSE)="3-Year Avg."),Y135,IF($A$2=2,AM135,IF($A$2=3,Y135,IF(($AG135&gt;$AU135),Y135,AM135)))))</f>
        <v>0</v>
      </c>
      <c r="L135" s="317">
        <f>IF(AND($A$2=4,VLOOKUP($A135,'District Level ADM'!$A$5:$W$52,5,FALSE)="Prior Year"),AN135,IF(AND($A$2=4,VLOOKUP($A135,'District Level ADM'!$A$5:$W$52,5,FALSE)="3-Year Avg."),Z135,IF($A$2=2,AN135,IF($A$2=3,Z135,IF(($AG135&gt;$AU135),Z135,AN135)))))</f>
        <v>0</v>
      </c>
      <c r="M135" s="317">
        <f>IF(AND($A$2=4,VLOOKUP($A135,'District Level ADM'!$A$5:$W$52,5,FALSE)="Prior Year"),AO135,IF(AND($A$2=4,VLOOKUP($A135,'District Level ADM'!$A$5:$W$52,5,FALSE)="3-Year Avg."),AA135,IF($A$2=2,AO135,IF($A$2=3,AA135,IF(($AG135&gt;$AU135),AA135,AO135)))))</f>
        <v>0</v>
      </c>
      <c r="N135" s="317">
        <f>IF(AND($A$2=4,VLOOKUP($A135,'District Level ADM'!$A$5:$W$52,5,FALSE)="Prior Year"),AP135,IF(AND($A$2=4,VLOOKUP($A135,'District Level ADM'!$A$5:$W$52,5,FALSE)="3-Year Avg."),AB135,IF($A$2=2,AP135,IF($A$2=3,AB135,IF(($AG135&gt;$AU135),AB135,AP135)))))</f>
        <v>0</v>
      </c>
      <c r="O135" s="317">
        <f>IF(AND($A$2=4,VLOOKUP($A135,'District Level ADM'!$A$5:$W$52,5,FALSE)="Prior Year"),AQ135,IF(AND($A$2=4,VLOOKUP($A135,'District Level ADM'!$A$5:$W$52,5,FALSE)="3-Year Avg."),AC135,IF($A$2=2,AQ135,IF($A$2=3,AC135,IF(($AG135&gt;$AU135),AC135,AQ135)))))</f>
        <v>93.161333333333332</v>
      </c>
      <c r="P135" s="317">
        <f>IF(AND($A$2=4,VLOOKUP($A135,'District Level ADM'!$A$5:$W$52,5,FALSE)="Prior Year"),AR135,IF(AND($A$2=4,VLOOKUP($A135,'District Level ADM'!$A$5:$W$52,5,FALSE)="3-Year Avg."),AD135,IF($A$2=2,AR135,IF($A$2=3,AD135,IF(($AG135&gt;$AU135),AD135,AR135)))))</f>
        <v>88.37733333333334</v>
      </c>
      <c r="Q135" s="317">
        <f>IF(AND($A$2=4,VLOOKUP($A135,'District Level ADM'!$A$5:$W$52,5,FALSE)="Prior Year"),AS135,IF(AND($A$2=4,VLOOKUP($A135,'District Level ADM'!$A$5:$W$52,5,FALSE)="3-Year Avg."),AE135,IF($A$2=2,AS135,IF($A$2=3,AE135,IF(($AG135&gt;$AU135),AE135,AS135)))))</f>
        <v>86.768000000000015</v>
      </c>
      <c r="R135" s="317">
        <f>IF(AND($A$2=4,VLOOKUP($A135,'District Level ADM'!$A$5:$W$52,5,FALSE)="Prior Year"),AT135,IF(AND($A$2=4,VLOOKUP($A135,'District Level ADM'!$A$5:$W$52,5,FALSE)="3-Year Avg."),AF135,IF($A$2=2,AT135,IF($A$2=3,AF135,IF(($AG135&gt;$AU135),AF135,AT135)))))</f>
        <v>87.929333333333318</v>
      </c>
      <c r="S135" s="317">
        <f t="shared" si="25"/>
        <v>356.23599999999999</v>
      </c>
      <c r="T135" s="317">
        <f t="shared" si="20"/>
        <v>0</v>
      </c>
      <c r="U135" s="317">
        <f t="shared" si="20"/>
        <v>0</v>
      </c>
      <c r="V135" s="317">
        <f t="shared" si="20"/>
        <v>0</v>
      </c>
      <c r="W135" s="317">
        <f t="shared" si="20"/>
        <v>0</v>
      </c>
      <c r="X135" s="317">
        <f t="shared" si="20"/>
        <v>0</v>
      </c>
      <c r="Y135" s="317">
        <f t="shared" si="20"/>
        <v>0</v>
      </c>
      <c r="Z135" s="317">
        <f t="shared" si="23"/>
        <v>0</v>
      </c>
      <c r="AA135" s="317">
        <f t="shared" si="23"/>
        <v>0</v>
      </c>
      <c r="AB135" s="317">
        <f t="shared" si="23"/>
        <v>0</v>
      </c>
      <c r="AC135" s="317">
        <f t="shared" si="18"/>
        <v>93.161333333333332</v>
      </c>
      <c r="AD135" s="317">
        <f t="shared" si="18"/>
        <v>88.37733333333334</v>
      </c>
      <c r="AE135" s="317">
        <f t="shared" si="18"/>
        <v>86.768000000000015</v>
      </c>
      <c r="AF135" s="317">
        <f t="shared" si="18"/>
        <v>87.929333333333318</v>
      </c>
      <c r="AG135" s="317">
        <f t="shared" si="26"/>
        <v>356.23599999999999</v>
      </c>
      <c r="AH135" s="318">
        <v>0</v>
      </c>
      <c r="AI135" s="318">
        <v>0</v>
      </c>
      <c r="AJ135" s="318">
        <v>0</v>
      </c>
      <c r="AK135" s="318">
        <v>0</v>
      </c>
      <c r="AL135" s="318">
        <v>0</v>
      </c>
      <c r="AM135" s="318">
        <v>0</v>
      </c>
      <c r="AN135" s="318">
        <v>0</v>
      </c>
      <c r="AO135" s="318">
        <v>0</v>
      </c>
      <c r="AP135" s="318">
        <v>0</v>
      </c>
      <c r="AQ135" s="318">
        <v>102.44</v>
      </c>
      <c r="AR135" s="318">
        <v>80.77</v>
      </c>
      <c r="AS135" s="318">
        <v>87.665000000000006</v>
      </c>
      <c r="AT135" s="318">
        <v>85.694999999999993</v>
      </c>
      <c r="AU135" s="317">
        <f t="shared" si="27"/>
        <v>356.57</v>
      </c>
      <c r="AV135" s="319">
        <v>0</v>
      </c>
      <c r="AW135" s="319">
        <v>0</v>
      </c>
      <c r="AX135" s="319">
        <v>0</v>
      </c>
      <c r="AY135" s="319">
        <v>0</v>
      </c>
      <c r="AZ135" s="319">
        <v>0</v>
      </c>
      <c r="BA135" s="319">
        <v>0</v>
      </c>
      <c r="BB135" s="319">
        <v>0</v>
      </c>
      <c r="BC135" s="319">
        <v>0</v>
      </c>
      <c r="BD135" s="319">
        <v>0</v>
      </c>
      <c r="BE135" s="319">
        <v>85.983999999999995</v>
      </c>
      <c r="BF135" s="319">
        <v>87.924999999999997</v>
      </c>
      <c r="BG135" s="319">
        <v>92.409000000000006</v>
      </c>
      <c r="BH135" s="319">
        <v>77.572999999999993</v>
      </c>
      <c r="BI135" s="317">
        <f t="shared" ref="BI135:BI200" si="28">SUM(AV135:BH135)</f>
        <v>343.89099999999996</v>
      </c>
      <c r="BJ135" s="316">
        <v>0</v>
      </c>
      <c r="BK135" s="316">
        <v>0</v>
      </c>
      <c r="BL135" s="316">
        <v>0</v>
      </c>
      <c r="BM135" s="316">
        <v>0</v>
      </c>
      <c r="BN135" s="316">
        <v>0</v>
      </c>
      <c r="BO135" s="316">
        <v>0</v>
      </c>
      <c r="BP135" s="316">
        <v>0</v>
      </c>
      <c r="BQ135" s="316">
        <v>0</v>
      </c>
      <c r="BR135" s="316">
        <v>0</v>
      </c>
      <c r="BS135" s="316">
        <v>91.06</v>
      </c>
      <c r="BT135" s="316">
        <v>96.436999999999998</v>
      </c>
      <c r="BU135" s="316">
        <v>80.23</v>
      </c>
      <c r="BV135" s="316">
        <v>100.52</v>
      </c>
      <c r="BW135" s="317">
        <f t="shared" si="24"/>
        <v>368.24700000000001</v>
      </c>
    </row>
    <row r="136" spans="1:75" x14ac:dyDescent="0.2">
      <c r="A136" s="20" t="str">
        <f>'School Level Inst. Resources'!A136</f>
        <v>0901000</v>
      </c>
      <c r="B136" s="20" t="str">
        <f>'School Level Inst. Resources'!B136</f>
        <v>Hot Springs #1</v>
      </c>
      <c r="C136" s="20" t="str">
        <f>'School Level Inst. Resources'!C136</f>
        <v>0901004</v>
      </c>
      <c r="D136" s="20" t="str">
        <f>'School Level Inst. Resources'!D136</f>
        <v>Ralph Witters Elementary</v>
      </c>
      <c r="E136" s="138" t="str">
        <f>'School Level Inst. Resources'!E136</f>
        <v>P-4</v>
      </c>
      <c r="F136" s="317">
        <f>IF(AND($A$2=4,VLOOKUP($A136,'District Level ADM'!$A$5:$W$52,5,FALSE)="Prior Year"),AH136,IF(AND($A$2=4,VLOOKUP($A136,'District Level ADM'!$A$5:$W$52,5,FALSE)="3-Year Avg."),T136,IF($A$2=2,AH136,IF($A$2=3,T136,IF(($AG136&gt;$AU136),T136,AH136)))))</f>
        <v>66.97999999999999</v>
      </c>
      <c r="G136" s="317">
        <f>IF(AND($A$2=4,VLOOKUP($A136,'District Level ADM'!$A$5:$W$52,5,FALSE)="Prior Year"),AI136,IF(AND($A$2=4,VLOOKUP($A136,'District Level ADM'!$A$5:$W$52,5,FALSE)="3-Year Avg."),U136,IF($A$2=2,AI136,IF($A$2=3,U136,IF(($AG136&gt;$AU136),U136,AI136)))))</f>
        <v>38.414999999999999</v>
      </c>
      <c r="H136" s="317">
        <f>IF(AND($A$2=4,VLOOKUP($A136,'District Level ADM'!$A$5:$W$52,5,FALSE)="Prior Year"),AJ136,IF(AND($A$2=4,VLOOKUP($A136,'District Level ADM'!$A$5:$W$52,5,FALSE)="3-Year Avg."),V136,IF($A$2=2,AJ136,IF($A$2=3,V136,IF(($AG136&gt;$AU136),V136,AJ136)))))</f>
        <v>41.37</v>
      </c>
      <c r="I136" s="317">
        <f>IF(AND($A$2=4,VLOOKUP($A136,'District Level ADM'!$A$5:$W$52,5,FALSE)="Prior Year"),AK136,IF(AND($A$2=4,VLOOKUP($A136,'District Level ADM'!$A$5:$W$52,5,FALSE)="3-Year Avg."),W136,IF($A$2=2,AK136,IF($A$2=3,W136,IF(($AG136&gt;$AU136),W136,AK136)))))</f>
        <v>54.174999999999997</v>
      </c>
      <c r="J136" s="317">
        <f>IF(AND($A$2=4,VLOOKUP($A136,'District Level ADM'!$A$5:$W$52,5,FALSE)="Prior Year"),AL136,IF(AND($A$2=4,VLOOKUP($A136,'District Level ADM'!$A$5:$W$52,5,FALSE)="3-Year Avg."),X136,IF($A$2=2,AL136,IF($A$2=3,X136,IF(($AG136&gt;$AU136),X136,AL136)))))</f>
        <v>46.295000000000002</v>
      </c>
      <c r="K136" s="317">
        <f>IF(AND($A$2=4,VLOOKUP($A136,'District Level ADM'!$A$5:$W$52,5,FALSE)="Prior Year"),AM136,IF(AND($A$2=4,VLOOKUP($A136,'District Level ADM'!$A$5:$W$52,5,FALSE)="3-Year Avg."),Y136,IF($A$2=2,AM136,IF($A$2=3,Y136,IF(($AG136&gt;$AU136),Y136,AM136)))))</f>
        <v>0</v>
      </c>
      <c r="L136" s="317">
        <f>IF(AND($A$2=4,VLOOKUP($A136,'District Level ADM'!$A$5:$W$52,5,FALSE)="Prior Year"),AN136,IF(AND($A$2=4,VLOOKUP($A136,'District Level ADM'!$A$5:$W$52,5,FALSE)="3-Year Avg."),Z136,IF($A$2=2,AN136,IF($A$2=3,Z136,IF(($AG136&gt;$AU136),Z136,AN136)))))</f>
        <v>0</v>
      </c>
      <c r="M136" s="317">
        <f>IF(AND($A$2=4,VLOOKUP($A136,'District Level ADM'!$A$5:$W$52,5,FALSE)="Prior Year"),AO136,IF(AND($A$2=4,VLOOKUP($A136,'District Level ADM'!$A$5:$W$52,5,FALSE)="3-Year Avg."),AA136,IF($A$2=2,AO136,IF($A$2=3,AA136,IF(($AG136&gt;$AU136),AA136,AO136)))))</f>
        <v>0</v>
      </c>
      <c r="N136" s="317">
        <f>IF(AND($A$2=4,VLOOKUP($A136,'District Level ADM'!$A$5:$W$52,5,FALSE)="Prior Year"),AP136,IF(AND($A$2=4,VLOOKUP($A136,'District Level ADM'!$A$5:$W$52,5,FALSE)="3-Year Avg."),AB136,IF($A$2=2,AP136,IF($A$2=3,AB136,IF(($AG136&gt;$AU136),AB136,AP136)))))</f>
        <v>0</v>
      </c>
      <c r="O136" s="317">
        <f>IF(AND($A$2=4,VLOOKUP($A136,'District Level ADM'!$A$5:$W$52,5,FALSE)="Prior Year"),AQ136,IF(AND($A$2=4,VLOOKUP($A136,'District Level ADM'!$A$5:$W$52,5,FALSE)="3-Year Avg."),AC136,IF($A$2=2,AQ136,IF($A$2=3,AC136,IF(($AG136&gt;$AU136),AC136,AQ136)))))</f>
        <v>0</v>
      </c>
      <c r="P136" s="317">
        <f>IF(AND($A$2=4,VLOOKUP($A136,'District Level ADM'!$A$5:$W$52,5,FALSE)="Prior Year"),AR136,IF(AND($A$2=4,VLOOKUP($A136,'District Level ADM'!$A$5:$W$52,5,FALSE)="3-Year Avg."),AD136,IF($A$2=2,AR136,IF($A$2=3,AD136,IF(($AG136&gt;$AU136),AD136,AR136)))))</f>
        <v>0</v>
      </c>
      <c r="Q136" s="317">
        <f>IF(AND($A$2=4,VLOOKUP($A136,'District Level ADM'!$A$5:$W$52,5,FALSE)="Prior Year"),AS136,IF(AND($A$2=4,VLOOKUP($A136,'District Level ADM'!$A$5:$W$52,5,FALSE)="3-Year Avg."),AE136,IF($A$2=2,AS136,IF($A$2=3,AE136,IF(($AG136&gt;$AU136),AE136,AS136)))))</f>
        <v>0</v>
      </c>
      <c r="R136" s="317">
        <f>IF(AND($A$2=4,VLOOKUP($A136,'District Level ADM'!$A$5:$W$52,5,FALSE)="Prior Year"),AT136,IF(AND($A$2=4,VLOOKUP($A136,'District Level ADM'!$A$5:$W$52,5,FALSE)="3-Year Avg."),AF136,IF($A$2=2,AT136,IF($A$2=3,AF136,IF(($AG136&gt;$AU136),AF136,AT136)))))</f>
        <v>0</v>
      </c>
      <c r="S136" s="317">
        <f t="shared" si="25"/>
        <v>247.23500000000001</v>
      </c>
      <c r="T136" s="317">
        <f t="shared" si="20"/>
        <v>52.592999999999996</v>
      </c>
      <c r="U136" s="317">
        <f t="shared" si="20"/>
        <v>44.811</v>
      </c>
      <c r="V136" s="317">
        <f t="shared" si="20"/>
        <v>42.926333333333332</v>
      </c>
      <c r="W136" s="317">
        <f t="shared" si="20"/>
        <v>50.072000000000003</v>
      </c>
      <c r="X136" s="317">
        <f t="shared" si="20"/>
        <v>51.330000000000005</v>
      </c>
      <c r="Y136" s="317">
        <f t="shared" si="20"/>
        <v>0</v>
      </c>
      <c r="Z136" s="317">
        <f t="shared" si="23"/>
        <v>0</v>
      </c>
      <c r="AA136" s="317">
        <f t="shared" si="23"/>
        <v>0</v>
      </c>
      <c r="AB136" s="317">
        <f t="shared" si="23"/>
        <v>0</v>
      </c>
      <c r="AC136" s="317">
        <f t="shared" si="18"/>
        <v>0</v>
      </c>
      <c r="AD136" s="317">
        <f t="shared" si="18"/>
        <v>0</v>
      </c>
      <c r="AE136" s="317">
        <f t="shared" si="18"/>
        <v>0</v>
      </c>
      <c r="AF136" s="317">
        <f t="shared" si="18"/>
        <v>0</v>
      </c>
      <c r="AG136" s="317">
        <f t="shared" si="26"/>
        <v>241.73233333333334</v>
      </c>
      <c r="AH136" s="318">
        <v>66.97999999999999</v>
      </c>
      <c r="AI136" s="318">
        <v>38.414999999999999</v>
      </c>
      <c r="AJ136" s="318">
        <v>41.37</v>
      </c>
      <c r="AK136" s="318">
        <v>54.174999999999997</v>
      </c>
      <c r="AL136" s="318">
        <v>46.295000000000002</v>
      </c>
      <c r="AM136" s="318">
        <v>0</v>
      </c>
      <c r="AN136" s="318">
        <v>0</v>
      </c>
      <c r="AO136" s="318">
        <v>0</v>
      </c>
      <c r="AP136" s="318">
        <v>0</v>
      </c>
      <c r="AQ136" s="318">
        <v>0</v>
      </c>
      <c r="AR136" s="318">
        <v>0</v>
      </c>
      <c r="AS136" s="318">
        <v>0</v>
      </c>
      <c r="AT136" s="318">
        <v>0</v>
      </c>
      <c r="AU136" s="317">
        <f t="shared" si="27"/>
        <v>247.23500000000001</v>
      </c>
      <c r="AV136" s="319">
        <v>46.741999999999997</v>
      </c>
      <c r="AW136" s="319">
        <v>47.085999999999999</v>
      </c>
      <c r="AX136" s="319">
        <v>45.829000000000001</v>
      </c>
      <c r="AY136" s="319">
        <v>45.109000000000002</v>
      </c>
      <c r="AZ136" s="319">
        <v>55.302999999999997</v>
      </c>
      <c r="BA136" s="319">
        <v>0</v>
      </c>
      <c r="BB136" s="319">
        <v>0</v>
      </c>
      <c r="BC136" s="319">
        <v>0</v>
      </c>
      <c r="BD136" s="319">
        <v>0</v>
      </c>
      <c r="BE136" s="319">
        <v>0</v>
      </c>
      <c r="BF136" s="319">
        <v>0</v>
      </c>
      <c r="BG136" s="319">
        <v>0</v>
      </c>
      <c r="BH136" s="319">
        <v>0</v>
      </c>
      <c r="BI136" s="317">
        <f t="shared" si="28"/>
        <v>240.06900000000002</v>
      </c>
      <c r="BJ136" s="316">
        <v>44.057000000000002</v>
      </c>
      <c r="BK136" s="316">
        <v>48.932000000000002</v>
      </c>
      <c r="BL136" s="316">
        <v>41.58</v>
      </c>
      <c r="BM136" s="316">
        <v>50.932000000000002</v>
      </c>
      <c r="BN136" s="316">
        <v>52.392000000000003</v>
      </c>
      <c r="BO136" s="316">
        <v>0</v>
      </c>
      <c r="BP136" s="316">
        <v>0</v>
      </c>
      <c r="BQ136" s="316">
        <v>0</v>
      </c>
      <c r="BR136" s="316">
        <v>0</v>
      </c>
      <c r="BS136" s="316">
        <v>0</v>
      </c>
      <c r="BT136" s="316">
        <v>0</v>
      </c>
      <c r="BU136" s="316">
        <v>0</v>
      </c>
      <c r="BV136" s="316">
        <v>0</v>
      </c>
      <c r="BW136" s="317">
        <f t="shared" si="24"/>
        <v>237.89300000000003</v>
      </c>
    </row>
    <row r="137" spans="1:75" x14ac:dyDescent="0.2">
      <c r="A137" s="20" t="str">
        <f>'School Level Inst. Resources'!A137</f>
        <v>0901000</v>
      </c>
      <c r="B137" s="20" t="str">
        <f>'School Level Inst. Resources'!B137</f>
        <v>Hot Springs #1</v>
      </c>
      <c r="C137" s="20" t="str">
        <f>'School Level Inst. Resources'!C137</f>
        <v>0901050</v>
      </c>
      <c r="D137" s="20" t="str">
        <f>'School Level Inst. Resources'!D137</f>
        <v>Thermopolis Middle School</v>
      </c>
      <c r="E137" s="138" t="str">
        <f>'School Level Inst. Resources'!E137</f>
        <v>5-8</v>
      </c>
      <c r="F137" s="317">
        <f>IF(AND($A$2=4,VLOOKUP($A137,'District Level ADM'!$A$5:$W$52,5,FALSE)="Prior Year"),AH137,IF(AND($A$2=4,VLOOKUP($A137,'District Level ADM'!$A$5:$W$52,5,FALSE)="3-Year Avg."),T137,IF($A$2=2,AH137,IF($A$2=3,T137,IF(($AG137&gt;$AU137),T137,AH137)))))</f>
        <v>0</v>
      </c>
      <c r="G137" s="317">
        <f>IF(AND($A$2=4,VLOOKUP($A137,'District Level ADM'!$A$5:$W$52,5,FALSE)="Prior Year"),AI137,IF(AND($A$2=4,VLOOKUP($A137,'District Level ADM'!$A$5:$W$52,5,FALSE)="3-Year Avg."),U137,IF($A$2=2,AI137,IF($A$2=3,U137,IF(($AG137&gt;$AU137),U137,AI137)))))</f>
        <v>0</v>
      </c>
      <c r="H137" s="317">
        <f>IF(AND($A$2=4,VLOOKUP($A137,'District Level ADM'!$A$5:$W$52,5,FALSE)="Prior Year"),AJ137,IF(AND($A$2=4,VLOOKUP($A137,'District Level ADM'!$A$5:$W$52,5,FALSE)="3-Year Avg."),V137,IF($A$2=2,AJ137,IF($A$2=3,V137,IF(($AG137&gt;$AU137),V137,AJ137)))))</f>
        <v>0</v>
      </c>
      <c r="I137" s="317">
        <f>IF(AND($A$2=4,VLOOKUP($A137,'District Level ADM'!$A$5:$W$52,5,FALSE)="Prior Year"),AK137,IF(AND($A$2=4,VLOOKUP($A137,'District Level ADM'!$A$5:$W$52,5,FALSE)="3-Year Avg."),W137,IF($A$2=2,AK137,IF($A$2=3,W137,IF(($AG137&gt;$AU137),W137,AK137)))))</f>
        <v>0</v>
      </c>
      <c r="J137" s="317">
        <f>IF(AND($A$2=4,VLOOKUP($A137,'District Level ADM'!$A$5:$W$52,5,FALSE)="Prior Year"),AL137,IF(AND($A$2=4,VLOOKUP($A137,'District Level ADM'!$A$5:$W$52,5,FALSE)="3-Year Avg."),X137,IF($A$2=2,AL137,IF($A$2=3,X137,IF(($AG137&gt;$AU137),X137,AL137)))))</f>
        <v>0</v>
      </c>
      <c r="K137" s="317">
        <f>IF(AND($A$2=4,VLOOKUP($A137,'District Level ADM'!$A$5:$W$52,5,FALSE)="Prior Year"),AM137,IF(AND($A$2=4,VLOOKUP($A137,'District Level ADM'!$A$5:$W$52,5,FALSE)="3-Year Avg."),Y137,IF($A$2=2,AM137,IF($A$2=3,Y137,IF(($AG137&gt;$AU137),Y137,AM137)))))</f>
        <v>55.16</v>
      </c>
      <c r="L137" s="317">
        <f>IF(AND($A$2=4,VLOOKUP($A137,'District Level ADM'!$A$5:$W$52,5,FALSE)="Prior Year"),AN137,IF(AND($A$2=4,VLOOKUP($A137,'District Level ADM'!$A$5:$W$52,5,FALSE)="3-Year Avg."),Z137,IF($A$2=2,AN137,IF($A$2=3,Z137,IF(($AG137&gt;$AU137),Z137,AN137)))))</f>
        <v>55.16</v>
      </c>
      <c r="M137" s="317">
        <f>IF(AND($A$2=4,VLOOKUP($A137,'District Level ADM'!$A$5:$W$52,5,FALSE)="Prior Year"),AO137,IF(AND($A$2=4,VLOOKUP($A137,'District Level ADM'!$A$5:$W$52,5,FALSE)="3-Year Avg."),AA137,IF($A$2=2,AO137,IF($A$2=3,AA137,IF(($AG137&gt;$AU137),AA137,AO137)))))</f>
        <v>51.22</v>
      </c>
      <c r="N137" s="317">
        <f>IF(AND($A$2=4,VLOOKUP($A137,'District Level ADM'!$A$5:$W$52,5,FALSE)="Prior Year"),AP137,IF(AND($A$2=4,VLOOKUP($A137,'District Level ADM'!$A$5:$W$52,5,FALSE)="3-Year Avg."),AB137,IF($A$2=2,AP137,IF($A$2=3,AB137,IF(($AG137&gt;$AU137),AB137,AP137)))))</f>
        <v>52.204999999999998</v>
      </c>
      <c r="O137" s="317">
        <f>IF(AND($A$2=4,VLOOKUP($A137,'District Level ADM'!$A$5:$W$52,5,FALSE)="Prior Year"),AQ137,IF(AND($A$2=4,VLOOKUP($A137,'District Level ADM'!$A$5:$W$52,5,FALSE)="3-Year Avg."),AC137,IF($A$2=2,AQ137,IF($A$2=3,AC137,IF(($AG137&gt;$AU137),AC137,AQ137)))))</f>
        <v>0</v>
      </c>
      <c r="P137" s="317">
        <f>IF(AND($A$2=4,VLOOKUP($A137,'District Level ADM'!$A$5:$W$52,5,FALSE)="Prior Year"),AR137,IF(AND($A$2=4,VLOOKUP($A137,'District Level ADM'!$A$5:$W$52,5,FALSE)="3-Year Avg."),AD137,IF($A$2=2,AR137,IF($A$2=3,AD137,IF(($AG137&gt;$AU137),AD137,AR137)))))</f>
        <v>0</v>
      </c>
      <c r="Q137" s="317">
        <f>IF(AND($A$2=4,VLOOKUP($A137,'District Level ADM'!$A$5:$W$52,5,FALSE)="Prior Year"),AS137,IF(AND($A$2=4,VLOOKUP($A137,'District Level ADM'!$A$5:$W$52,5,FALSE)="3-Year Avg."),AE137,IF($A$2=2,AS137,IF($A$2=3,AE137,IF(($AG137&gt;$AU137),AE137,AS137)))))</f>
        <v>0</v>
      </c>
      <c r="R137" s="317">
        <f>IF(AND($A$2=4,VLOOKUP($A137,'District Level ADM'!$A$5:$W$52,5,FALSE)="Prior Year"),AT137,IF(AND($A$2=4,VLOOKUP($A137,'District Level ADM'!$A$5:$W$52,5,FALSE)="3-Year Avg."),AF137,IF($A$2=2,AT137,IF($A$2=3,AF137,IF(($AG137&gt;$AU137),AF137,AT137)))))</f>
        <v>0</v>
      </c>
      <c r="S137" s="317">
        <f t="shared" si="25"/>
        <v>213.745</v>
      </c>
      <c r="T137" s="317">
        <f t="shared" si="20"/>
        <v>0</v>
      </c>
      <c r="U137" s="317">
        <f t="shared" si="20"/>
        <v>0</v>
      </c>
      <c r="V137" s="317">
        <f t="shared" si="20"/>
        <v>0</v>
      </c>
      <c r="W137" s="317">
        <f t="shared" si="20"/>
        <v>0</v>
      </c>
      <c r="X137" s="317">
        <f t="shared" si="20"/>
        <v>0</v>
      </c>
      <c r="Y137" s="317">
        <f t="shared" si="20"/>
        <v>50.340333333333326</v>
      </c>
      <c r="Z137" s="317">
        <f t="shared" si="23"/>
        <v>49.831333333333333</v>
      </c>
      <c r="AA137" s="317">
        <f t="shared" si="23"/>
        <v>49.932999999999993</v>
      </c>
      <c r="AB137" s="317">
        <f t="shared" si="23"/>
        <v>54.429333333333339</v>
      </c>
      <c r="AC137" s="317">
        <f t="shared" si="18"/>
        <v>0</v>
      </c>
      <c r="AD137" s="317">
        <f t="shared" si="18"/>
        <v>0</v>
      </c>
      <c r="AE137" s="317">
        <f t="shared" si="18"/>
        <v>0</v>
      </c>
      <c r="AF137" s="317">
        <f t="shared" si="18"/>
        <v>0</v>
      </c>
      <c r="AG137" s="317">
        <f t="shared" si="26"/>
        <v>204.53399999999999</v>
      </c>
      <c r="AH137" s="318">
        <v>0</v>
      </c>
      <c r="AI137" s="318">
        <v>0</v>
      </c>
      <c r="AJ137" s="318">
        <v>0</v>
      </c>
      <c r="AK137" s="318">
        <v>0</v>
      </c>
      <c r="AL137" s="318">
        <v>0</v>
      </c>
      <c r="AM137" s="318">
        <v>55.16</v>
      </c>
      <c r="AN137" s="318">
        <v>55.16</v>
      </c>
      <c r="AO137" s="318">
        <v>51.22</v>
      </c>
      <c r="AP137" s="318">
        <v>52.204999999999998</v>
      </c>
      <c r="AQ137" s="318">
        <v>0</v>
      </c>
      <c r="AR137" s="318">
        <v>0</v>
      </c>
      <c r="AS137" s="318">
        <v>0</v>
      </c>
      <c r="AT137" s="318">
        <v>0</v>
      </c>
      <c r="AU137" s="317">
        <f t="shared" si="27"/>
        <v>213.745</v>
      </c>
      <c r="AV137" s="319">
        <v>0</v>
      </c>
      <c r="AW137" s="319">
        <v>0</v>
      </c>
      <c r="AX137" s="319">
        <v>0</v>
      </c>
      <c r="AY137" s="319">
        <v>0</v>
      </c>
      <c r="AZ137" s="319">
        <v>0</v>
      </c>
      <c r="BA137" s="319">
        <v>51.6</v>
      </c>
      <c r="BB137" s="319">
        <v>47.789000000000001</v>
      </c>
      <c r="BC137" s="319">
        <v>51.88</v>
      </c>
      <c r="BD137" s="319">
        <v>45.68</v>
      </c>
      <c r="BE137" s="319">
        <v>0</v>
      </c>
      <c r="BF137" s="319">
        <v>0</v>
      </c>
      <c r="BG137" s="319">
        <v>0</v>
      </c>
      <c r="BH137" s="319">
        <v>0</v>
      </c>
      <c r="BI137" s="317">
        <f t="shared" si="28"/>
        <v>196.94900000000001</v>
      </c>
      <c r="BJ137" s="316">
        <v>0</v>
      </c>
      <c r="BK137" s="316">
        <v>0</v>
      </c>
      <c r="BL137" s="316">
        <v>0</v>
      </c>
      <c r="BM137" s="316">
        <v>0</v>
      </c>
      <c r="BN137" s="316">
        <v>0</v>
      </c>
      <c r="BO137" s="316">
        <v>44.261000000000003</v>
      </c>
      <c r="BP137" s="316">
        <v>46.545000000000002</v>
      </c>
      <c r="BQ137" s="316">
        <v>46.698999999999998</v>
      </c>
      <c r="BR137" s="316">
        <v>65.403000000000006</v>
      </c>
      <c r="BS137" s="316">
        <v>0</v>
      </c>
      <c r="BT137" s="316">
        <v>0</v>
      </c>
      <c r="BU137" s="316">
        <v>0</v>
      </c>
      <c r="BV137" s="316">
        <v>0</v>
      </c>
      <c r="BW137" s="317">
        <f t="shared" si="24"/>
        <v>202.90800000000002</v>
      </c>
    </row>
    <row r="138" spans="1:75" x14ac:dyDescent="0.2">
      <c r="A138" s="20" t="str">
        <f>'School Level Inst. Resources'!A138</f>
        <v>0901000</v>
      </c>
      <c r="B138" s="20" t="str">
        <f>'School Level Inst. Resources'!B138</f>
        <v>Hot Springs #1</v>
      </c>
      <c r="C138" s="20" t="str">
        <f>'School Level Inst. Resources'!C138</f>
        <v>0901055</v>
      </c>
      <c r="D138" s="20" t="str">
        <f>'School Level Inst. Resources'!D138</f>
        <v>Hot Springs County High School</v>
      </c>
      <c r="E138" s="138" t="str">
        <f>'School Level Inst. Resources'!E138</f>
        <v>9-12</v>
      </c>
      <c r="F138" s="317">
        <f>IF(AND($A$2=4,VLOOKUP($A138,'District Level ADM'!$A$5:$W$52,5,FALSE)="Prior Year"),AH138,IF(AND($A$2=4,VLOOKUP($A138,'District Level ADM'!$A$5:$W$52,5,FALSE)="3-Year Avg."),T138,IF($A$2=2,AH138,IF($A$2=3,T138,IF(($AG138&gt;$AU138),T138,AH138)))))</f>
        <v>0</v>
      </c>
      <c r="G138" s="317">
        <f>IF(AND($A$2=4,VLOOKUP($A138,'District Level ADM'!$A$5:$W$52,5,FALSE)="Prior Year"),AI138,IF(AND($A$2=4,VLOOKUP($A138,'District Level ADM'!$A$5:$W$52,5,FALSE)="3-Year Avg."),U138,IF($A$2=2,AI138,IF($A$2=3,U138,IF(($AG138&gt;$AU138),U138,AI138)))))</f>
        <v>0</v>
      </c>
      <c r="H138" s="317">
        <f>IF(AND($A$2=4,VLOOKUP($A138,'District Level ADM'!$A$5:$W$52,5,FALSE)="Prior Year"),AJ138,IF(AND($A$2=4,VLOOKUP($A138,'District Level ADM'!$A$5:$W$52,5,FALSE)="3-Year Avg."),V138,IF($A$2=2,AJ138,IF($A$2=3,V138,IF(($AG138&gt;$AU138),V138,AJ138)))))</f>
        <v>0</v>
      </c>
      <c r="I138" s="317">
        <f>IF(AND($A$2=4,VLOOKUP($A138,'District Level ADM'!$A$5:$W$52,5,FALSE)="Prior Year"),AK138,IF(AND($A$2=4,VLOOKUP($A138,'District Level ADM'!$A$5:$W$52,5,FALSE)="3-Year Avg."),W138,IF($A$2=2,AK138,IF($A$2=3,W138,IF(($AG138&gt;$AU138),W138,AK138)))))</f>
        <v>0</v>
      </c>
      <c r="J138" s="317">
        <f>IF(AND($A$2=4,VLOOKUP($A138,'District Level ADM'!$A$5:$W$52,5,FALSE)="Prior Year"),AL138,IF(AND($A$2=4,VLOOKUP($A138,'District Level ADM'!$A$5:$W$52,5,FALSE)="3-Year Avg."),X138,IF($A$2=2,AL138,IF($A$2=3,X138,IF(($AG138&gt;$AU138),X138,AL138)))))</f>
        <v>0</v>
      </c>
      <c r="K138" s="317">
        <f>IF(AND($A$2=4,VLOOKUP($A138,'District Level ADM'!$A$5:$W$52,5,FALSE)="Prior Year"),AM138,IF(AND($A$2=4,VLOOKUP($A138,'District Level ADM'!$A$5:$W$52,5,FALSE)="3-Year Avg."),Y138,IF($A$2=2,AM138,IF($A$2=3,Y138,IF(($AG138&gt;$AU138),Y138,AM138)))))</f>
        <v>0</v>
      </c>
      <c r="L138" s="317">
        <f>IF(AND($A$2=4,VLOOKUP($A138,'District Level ADM'!$A$5:$W$52,5,FALSE)="Prior Year"),AN138,IF(AND($A$2=4,VLOOKUP($A138,'District Level ADM'!$A$5:$W$52,5,FALSE)="3-Year Avg."),Z138,IF($A$2=2,AN138,IF($A$2=3,Z138,IF(($AG138&gt;$AU138),Z138,AN138)))))</f>
        <v>0</v>
      </c>
      <c r="M138" s="317">
        <f>IF(AND($A$2=4,VLOOKUP($A138,'District Level ADM'!$A$5:$W$52,5,FALSE)="Prior Year"),AO138,IF(AND($A$2=4,VLOOKUP($A138,'District Level ADM'!$A$5:$W$52,5,FALSE)="3-Year Avg."),AA138,IF($A$2=2,AO138,IF($A$2=3,AA138,IF(($AG138&gt;$AU138),AA138,AO138)))))</f>
        <v>0</v>
      </c>
      <c r="N138" s="317">
        <f>IF(AND($A$2=4,VLOOKUP($A138,'District Level ADM'!$A$5:$W$52,5,FALSE)="Prior Year"),AP138,IF(AND($A$2=4,VLOOKUP($A138,'District Level ADM'!$A$5:$W$52,5,FALSE)="3-Year Avg."),AB138,IF($A$2=2,AP138,IF($A$2=3,AB138,IF(($AG138&gt;$AU138),AB138,AP138)))))</f>
        <v>0</v>
      </c>
      <c r="O138" s="317">
        <f>IF(AND($A$2=4,VLOOKUP($A138,'District Level ADM'!$A$5:$W$52,5,FALSE)="Prior Year"),AQ138,IF(AND($A$2=4,VLOOKUP($A138,'District Level ADM'!$A$5:$W$52,5,FALSE)="3-Year Avg."),AC138,IF($A$2=2,AQ138,IF($A$2=3,AC138,IF(($AG138&gt;$AU138),AC138,AQ138)))))</f>
        <v>45.31</v>
      </c>
      <c r="P138" s="317">
        <f>IF(AND($A$2=4,VLOOKUP($A138,'District Level ADM'!$A$5:$W$52,5,FALSE)="Prior Year"),AR138,IF(AND($A$2=4,VLOOKUP($A138,'District Level ADM'!$A$5:$W$52,5,FALSE)="3-Year Avg."),AD138,IF($A$2=2,AR138,IF($A$2=3,AD138,IF(($AG138&gt;$AU138),AD138,AR138)))))</f>
        <v>59.1</v>
      </c>
      <c r="Q138" s="317">
        <f>IF(AND($A$2=4,VLOOKUP($A138,'District Level ADM'!$A$5:$W$52,5,FALSE)="Prior Year"),AS138,IF(AND($A$2=4,VLOOKUP($A138,'District Level ADM'!$A$5:$W$52,5,FALSE)="3-Year Avg."),AE138,IF($A$2=2,AS138,IF($A$2=3,AE138,IF(($AG138&gt;$AU138),AE138,AS138)))))</f>
        <v>50.234999999999999</v>
      </c>
      <c r="R138" s="317">
        <f>IF(AND($A$2=4,VLOOKUP($A138,'District Level ADM'!$A$5:$W$52,5,FALSE)="Prior Year"),AT138,IF(AND($A$2=4,VLOOKUP($A138,'District Level ADM'!$A$5:$W$52,5,FALSE)="3-Year Avg."),AF138,IF($A$2=2,AT138,IF($A$2=3,AF138,IF(($AG138&gt;$AU138),AF138,AT138)))))</f>
        <v>47.28</v>
      </c>
      <c r="S138" s="317">
        <f t="shared" si="25"/>
        <v>201.92499999999998</v>
      </c>
      <c r="T138" s="317">
        <f t="shared" si="20"/>
        <v>0</v>
      </c>
      <c r="U138" s="317">
        <f t="shared" si="20"/>
        <v>0</v>
      </c>
      <c r="V138" s="317">
        <f t="shared" si="20"/>
        <v>0</v>
      </c>
      <c r="W138" s="317">
        <f t="shared" si="20"/>
        <v>0</v>
      </c>
      <c r="X138" s="317">
        <f t="shared" si="20"/>
        <v>0</v>
      </c>
      <c r="Y138" s="317">
        <f t="shared" si="20"/>
        <v>0</v>
      </c>
      <c r="Z138" s="317">
        <f t="shared" si="23"/>
        <v>0</v>
      </c>
      <c r="AA138" s="317">
        <f t="shared" si="23"/>
        <v>0</v>
      </c>
      <c r="AB138" s="317">
        <f t="shared" si="23"/>
        <v>0</v>
      </c>
      <c r="AC138" s="317">
        <f t="shared" si="23"/>
        <v>57.403666666666673</v>
      </c>
      <c r="AD138" s="317">
        <f t="shared" si="23"/>
        <v>56.946666666666658</v>
      </c>
      <c r="AE138" s="317">
        <f t="shared" si="23"/>
        <v>50.295999999999999</v>
      </c>
      <c r="AF138" s="317">
        <f t="shared" si="23"/>
        <v>48.99733333333333</v>
      </c>
      <c r="AG138" s="317">
        <f t="shared" si="26"/>
        <v>213.64366666666666</v>
      </c>
      <c r="AH138" s="318">
        <v>0</v>
      </c>
      <c r="AI138" s="318">
        <v>0</v>
      </c>
      <c r="AJ138" s="318">
        <v>0</v>
      </c>
      <c r="AK138" s="318">
        <v>0</v>
      </c>
      <c r="AL138" s="318">
        <v>0</v>
      </c>
      <c r="AM138" s="318">
        <v>0</v>
      </c>
      <c r="AN138" s="318">
        <v>0</v>
      </c>
      <c r="AO138" s="318">
        <v>0</v>
      </c>
      <c r="AP138" s="318">
        <v>0</v>
      </c>
      <c r="AQ138" s="318">
        <v>45.31</v>
      </c>
      <c r="AR138" s="318">
        <v>59.1</v>
      </c>
      <c r="AS138" s="318">
        <v>50.234999999999999</v>
      </c>
      <c r="AT138" s="318">
        <v>47.28</v>
      </c>
      <c r="AU138" s="317">
        <f t="shared" si="27"/>
        <v>201.92499999999998</v>
      </c>
      <c r="AV138" s="319">
        <v>0</v>
      </c>
      <c r="AW138" s="319">
        <v>0</v>
      </c>
      <c r="AX138" s="319">
        <v>0</v>
      </c>
      <c r="AY138" s="319">
        <v>0</v>
      </c>
      <c r="AZ138" s="319">
        <v>0</v>
      </c>
      <c r="BA138" s="319">
        <v>0</v>
      </c>
      <c r="BB138" s="319">
        <v>0</v>
      </c>
      <c r="BC138" s="319">
        <v>0</v>
      </c>
      <c r="BD138" s="319">
        <v>0</v>
      </c>
      <c r="BE138" s="319">
        <v>64.656999999999996</v>
      </c>
      <c r="BF138" s="319">
        <v>60.296999999999997</v>
      </c>
      <c r="BG138" s="319">
        <v>47.869</v>
      </c>
      <c r="BH138" s="319">
        <v>52.32</v>
      </c>
      <c r="BI138" s="317">
        <f t="shared" si="28"/>
        <v>225.14299999999997</v>
      </c>
      <c r="BJ138" s="316">
        <v>0</v>
      </c>
      <c r="BK138" s="316">
        <v>0</v>
      </c>
      <c r="BL138" s="316">
        <v>0</v>
      </c>
      <c r="BM138" s="316">
        <v>0</v>
      </c>
      <c r="BN138" s="316">
        <v>0</v>
      </c>
      <c r="BO138" s="316">
        <v>0</v>
      </c>
      <c r="BP138" s="316">
        <v>0</v>
      </c>
      <c r="BQ138" s="316">
        <v>0</v>
      </c>
      <c r="BR138" s="316">
        <v>0</v>
      </c>
      <c r="BS138" s="316">
        <v>62.244</v>
      </c>
      <c r="BT138" s="316">
        <v>51.442999999999998</v>
      </c>
      <c r="BU138" s="316">
        <v>52.783999999999999</v>
      </c>
      <c r="BV138" s="316">
        <v>47.392000000000003</v>
      </c>
      <c r="BW138" s="317">
        <f t="shared" si="24"/>
        <v>213.863</v>
      </c>
    </row>
    <row r="139" spans="1:75" x14ac:dyDescent="0.2">
      <c r="A139" s="20" t="str">
        <f>'School Level Inst. Resources'!A139</f>
        <v>1001000</v>
      </c>
      <c r="B139" s="20" t="str">
        <f>'School Level Inst. Resources'!B139</f>
        <v>Johnson #1</v>
      </c>
      <c r="C139" s="20" t="str">
        <f>'School Level Inst. Resources'!C139</f>
        <v>1001002</v>
      </c>
      <c r="D139" s="20" t="str">
        <f>'School Level Inst. Resources'!D139</f>
        <v>Cloud Peak Elementary</v>
      </c>
      <c r="E139" s="138" t="str">
        <f>'School Level Inst. Resources'!E139</f>
        <v>3-5</v>
      </c>
      <c r="F139" s="317">
        <f>IF(AND($A$2=4,VLOOKUP($A139,'District Level ADM'!$A$5:$W$52,5,FALSE)="Prior Year"),AH139,IF(AND($A$2=4,VLOOKUP($A139,'District Level ADM'!$A$5:$W$52,5,FALSE)="3-Year Avg."),T139,IF($A$2=2,AH139,IF($A$2=3,T139,IF(($AG139&gt;$AU139),T139,AH139)))))</f>
        <v>0</v>
      </c>
      <c r="G139" s="317">
        <f>IF(AND($A$2=4,VLOOKUP($A139,'District Level ADM'!$A$5:$W$52,5,FALSE)="Prior Year"),AI139,IF(AND($A$2=4,VLOOKUP($A139,'District Level ADM'!$A$5:$W$52,5,FALSE)="3-Year Avg."),U139,IF($A$2=2,AI139,IF($A$2=3,U139,IF(($AG139&gt;$AU139),U139,AI139)))))</f>
        <v>0</v>
      </c>
      <c r="H139" s="317">
        <f>IF(AND($A$2=4,VLOOKUP($A139,'District Level ADM'!$A$5:$W$52,5,FALSE)="Prior Year"),AJ139,IF(AND($A$2=4,VLOOKUP($A139,'District Level ADM'!$A$5:$W$52,5,FALSE)="3-Year Avg."),V139,IF($A$2=2,AJ139,IF($A$2=3,V139,IF(($AG139&gt;$AU139),V139,AJ139)))))</f>
        <v>0</v>
      </c>
      <c r="I139" s="317">
        <f>IF(AND($A$2=4,VLOOKUP($A139,'District Level ADM'!$A$5:$W$52,5,FALSE)="Prior Year"),AK139,IF(AND($A$2=4,VLOOKUP($A139,'District Level ADM'!$A$5:$W$52,5,FALSE)="3-Year Avg."),W139,IF($A$2=2,AK139,IF($A$2=3,W139,IF(($AG139&gt;$AU139),W139,AK139)))))</f>
        <v>88.65</v>
      </c>
      <c r="J139" s="317">
        <f>IF(AND($A$2=4,VLOOKUP($A139,'District Level ADM'!$A$5:$W$52,5,FALSE)="Prior Year"),AL139,IF(AND($A$2=4,VLOOKUP($A139,'District Level ADM'!$A$5:$W$52,5,FALSE)="3-Year Avg."),X139,IF($A$2=2,AL139,IF($A$2=3,X139,IF(($AG139&gt;$AU139),X139,AL139)))))</f>
        <v>87.665000000000006</v>
      </c>
      <c r="K139" s="317">
        <f>IF(AND($A$2=4,VLOOKUP($A139,'District Level ADM'!$A$5:$W$52,5,FALSE)="Prior Year"),AM139,IF(AND($A$2=4,VLOOKUP($A139,'District Level ADM'!$A$5:$W$52,5,FALSE)="3-Year Avg."),Y139,IF($A$2=2,AM139,IF($A$2=3,Y139,IF(($AG139&gt;$AU139),Y139,AM139)))))</f>
        <v>103.425</v>
      </c>
      <c r="L139" s="317">
        <f>IF(AND($A$2=4,VLOOKUP($A139,'District Level ADM'!$A$5:$W$52,5,FALSE)="Prior Year"),AN139,IF(AND($A$2=4,VLOOKUP($A139,'District Level ADM'!$A$5:$W$52,5,FALSE)="3-Year Avg."),Z139,IF($A$2=2,AN139,IF($A$2=3,Z139,IF(($AG139&gt;$AU139),Z139,AN139)))))</f>
        <v>0</v>
      </c>
      <c r="M139" s="317">
        <f>IF(AND($A$2=4,VLOOKUP($A139,'District Level ADM'!$A$5:$W$52,5,FALSE)="Prior Year"),AO139,IF(AND($A$2=4,VLOOKUP($A139,'District Level ADM'!$A$5:$W$52,5,FALSE)="3-Year Avg."),AA139,IF($A$2=2,AO139,IF($A$2=3,AA139,IF(($AG139&gt;$AU139),AA139,AO139)))))</f>
        <v>0</v>
      </c>
      <c r="N139" s="317">
        <f>IF(AND($A$2=4,VLOOKUP($A139,'District Level ADM'!$A$5:$W$52,5,FALSE)="Prior Year"),AP139,IF(AND($A$2=4,VLOOKUP($A139,'District Level ADM'!$A$5:$W$52,5,FALSE)="3-Year Avg."),AB139,IF($A$2=2,AP139,IF($A$2=3,AB139,IF(($AG139&gt;$AU139),AB139,AP139)))))</f>
        <v>0</v>
      </c>
      <c r="O139" s="317">
        <f>IF(AND($A$2=4,VLOOKUP($A139,'District Level ADM'!$A$5:$W$52,5,FALSE)="Prior Year"),AQ139,IF(AND($A$2=4,VLOOKUP($A139,'District Level ADM'!$A$5:$W$52,5,FALSE)="3-Year Avg."),AC139,IF($A$2=2,AQ139,IF($A$2=3,AC139,IF(($AG139&gt;$AU139),AC139,AQ139)))))</f>
        <v>0</v>
      </c>
      <c r="P139" s="317">
        <f>IF(AND($A$2=4,VLOOKUP($A139,'District Level ADM'!$A$5:$W$52,5,FALSE)="Prior Year"),AR139,IF(AND($A$2=4,VLOOKUP($A139,'District Level ADM'!$A$5:$W$52,5,FALSE)="3-Year Avg."),AD139,IF($A$2=2,AR139,IF($A$2=3,AD139,IF(($AG139&gt;$AU139),AD139,AR139)))))</f>
        <v>0</v>
      </c>
      <c r="Q139" s="317">
        <f>IF(AND($A$2=4,VLOOKUP($A139,'District Level ADM'!$A$5:$W$52,5,FALSE)="Prior Year"),AS139,IF(AND($A$2=4,VLOOKUP($A139,'District Level ADM'!$A$5:$W$52,5,FALSE)="3-Year Avg."),AE139,IF($A$2=2,AS139,IF($A$2=3,AE139,IF(($AG139&gt;$AU139),AE139,AS139)))))</f>
        <v>0</v>
      </c>
      <c r="R139" s="317">
        <f>IF(AND($A$2=4,VLOOKUP($A139,'District Level ADM'!$A$5:$W$52,5,FALSE)="Prior Year"),AT139,IF(AND($A$2=4,VLOOKUP($A139,'District Level ADM'!$A$5:$W$52,5,FALSE)="3-Year Avg."),AF139,IF($A$2=2,AT139,IF($A$2=3,AF139,IF(($AG139&gt;$AU139),AF139,AT139)))))</f>
        <v>0</v>
      </c>
      <c r="S139" s="317">
        <f t="shared" si="25"/>
        <v>279.74</v>
      </c>
      <c r="T139" s="317">
        <f t="shared" si="20"/>
        <v>0</v>
      </c>
      <c r="U139" s="317">
        <f t="shared" si="20"/>
        <v>0</v>
      </c>
      <c r="V139" s="317">
        <f t="shared" si="20"/>
        <v>0</v>
      </c>
      <c r="W139" s="317">
        <f t="shared" si="20"/>
        <v>93.647000000000006</v>
      </c>
      <c r="X139" s="317">
        <f t="shared" si="20"/>
        <v>94.524000000000001</v>
      </c>
      <c r="Y139" s="317">
        <f t="shared" si="20"/>
        <v>92.23266666666666</v>
      </c>
      <c r="Z139" s="317">
        <f t="shared" si="23"/>
        <v>0</v>
      </c>
      <c r="AA139" s="317">
        <f t="shared" si="23"/>
        <v>0</v>
      </c>
      <c r="AB139" s="317">
        <f t="shared" si="23"/>
        <v>0</v>
      </c>
      <c r="AC139" s="317">
        <f t="shared" si="23"/>
        <v>0</v>
      </c>
      <c r="AD139" s="317">
        <f t="shared" si="23"/>
        <v>0</v>
      </c>
      <c r="AE139" s="317">
        <f t="shared" si="23"/>
        <v>0</v>
      </c>
      <c r="AF139" s="317">
        <f t="shared" si="23"/>
        <v>0</v>
      </c>
      <c r="AG139" s="317">
        <f t="shared" si="26"/>
        <v>280.40366666666665</v>
      </c>
      <c r="AH139" s="318">
        <v>0</v>
      </c>
      <c r="AI139" s="318">
        <v>0</v>
      </c>
      <c r="AJ139" s="318">
        <v>0</v>
      </c>
      <c r="AK139" s="318">
        <v>88.65</v>
      </c>
      <c r="AL139" s="318">
        <v>87.665000000000006</v>
      </c>
      <c r="AM139" s="318">
        <v>103.425</v>
      </c>
      <c r="AN139" s="318">
        <v>0</v>
      </c>
      <c r="AO139" s="318">
        <v>0</v>
      </c>
      <c r="AP139" s="318">
        <v>0</v>
      </c>
      <c r="AQ139" s="318">
        <v>0</v>
      </c>
      <c r="AR139" s="318">
        <v>0</v>
      </c>
      <c r="AS139" s="318">
        <v>0</v>
      </c>
      <c r="AT139" s="318">
        <v>0</v>
      </c>
      <c r="AU139" s="317">
        <f t="shared" si="27"/>
        <v>279.74</v>
      </c>
      <c r="AV139" s="319">
        <v>0</v>
      </c>
      <c r="AW139" s="319">
        <v>0</v>
      </c>
      <c r="AX139" s="319">
        <v>0</v>
      </c>
      <c r="AY139" s="319">
        <v>86.977000000000004</v>
      </c>
      <c r="AZ139" s="319">
        <v>104.623</v>
      </c>
      <c r="BA139" s="319">
        <v>91.245999999999995</v>
      </c>
      <c r="BB139" s="319">
        <v>0</v>
      </c>
      <c r="BC139" s="319">
        <v>0</v>
      </c>
      <c r="BD139" s="319">
        <v>0</v>
      </c>
      <c r="BE139" s="319">
        <v>0</v>
      </c>
      <c r="BF139" s="319">
        <v>0</v>
      </c>
      <c r="BG139" s="319">
        <v>0</v>
      </c>
      <c r="BH139" s="319">
        <v>0</v>
      </c>
      <c r="BI139" s="317">
        <f t="shared" si="28"/>
        <v>282.846</v>
      </c>
      <c r="BJ139" s="316">
        <v>0</v>
      </c>
      <c r="BK139" s="316">
        <v>0</v>
      </c>
      <c r="BL139" s="316">
        <v>0</v>
      </c>
      <c r="BM139" s="316">
        <v>105.31399999999999</v>
      </c>
      <c r="BN139" s="316">
        <v>91.284000000000006</v>
      </c>
      <c r="BO139" s="316">
        <v>82.027000000000001</v>
      </c>
      <c r="BP139" s="316">
        <v>0</v>
      </c>
      <c r="BQ139" s="316">
        <v>0</v>
      </c>
      <c r="BR139" s="316">
        <v>0</v>
      </c>
      <c r="BS139" s="316">
        <v>0</v>
      </c>
      <c r="BT139" s="316">
        <v>0</v>
      </c>
      <c r="BU139" s="316">
        <v>0</v>
      </c>
      <c r="BV139" s="316">
        <v>0</v>
      </c>
      <c r="BW139" s="317">
        <f t="shared" si="24"/>
        <v>278.625</v>
      </c>
    </row>
    <row r="140" spans="1:75" x14ac:dyDescent="0.2">
      <c r="A140" s="20" t="str">
        <f>'School Level Inst. Resources'!A140</f>
        <v>1001000</v>
      </c>
      <c r="B140" s="20" t="str">
        <f>'School Level Inst. Resources'!B140</f>
        <v>Johnson #1</v>
      </c>
      <c r="C140" s="20" t="str">
        <f>'School Level Inst. Resources'!C140</f>
        <v>1001006</v>
      </c>
      <c r="D140" s="20" t="str">
        <f>'School Level Inst. Resources'!D140</f>
        <v>Meadowlark Elementary</v>
      </c>
      <c r="E140" s="138" t="str">
        <f>'School Level Inst. Resources'!E140</f>
        <v>K-2</v>
      </c>
      <c r="F140" s="317">
        <f>IF(AND($A$2=4,VLOOKUP($A140,'District Level ADM'!$A$5:$W$52,5,FALSE)="Prior Year"),AH140,IF(AND($A$2=4,VLOOKUP($A140,'District Level ADM'!$A$5:$W$52,5,FALSE)="3-Year Avg."),T140,IF($A$2=2,AH140,IF($A$2=3,T140,IF(($AG140&gt;$AU140),T140,AH140)))))</f>
        <v>81.754999999999995</v>
      </c>
      <c r="G140" s="317">
        <f>IF(AND($A$2=4,VLOOKUP($A140,'District Level ADM'!$A$5:$W$52,5,FALSE)="Prior Year"),AI140,IF(AND($A$2=4,VLOOKUP($A140,'District Level ADM'!$A$5:$W$52,5,FALSE)="3-Year Avg."),U140,IF($A$2=2,AI140,IF($A$2=3,U140,IF(($AG140&gt;$AU140),U140,AI140)))))</f>
        <v>90.62</v>
      </c>
      <c r="H140" s="317">
        <f>IF(AND($A$2=4,VLOOKUP($A140,'District Level ADM'!$A$5:$W$52,5,FALSE)="Prior Year"),AJ140,IF(AND($A$2=4,VLOOKUP($A140,'District Level ADM'!$A$5:$W$52,5,FALSE)="3-Year Avg."),V140,IF($A$2=2,AJ140,IF($A$2=3,V140,IF(($AG140&gt;$AU140),V140,AJ140)))))</f>
        <v>88.65</v>
      </c>
      <c r="I140" s="317">
        <f>IF(AND($A$2=4,VLOOKUP($A140,'District Level ADM'!$A$5:$W$52,5,FALSE)="Prior Year"),AK140,IF(AND($A$2=4,VLOOKUP($A140,'District Level ADM'!$A$5:$W$52,5,FALSE)="3-Year Avg."),W140,IF($A$2=2,AK140,IF($A$2=3,W140,IF(($AG140&gt;$AU140),W140,AK140)))))</f>
        <v>0</v>
      </c>
      <c r="J140" s="317">
        <f>IF(AND($A$2=4,VLOOKUP($A140,'District Level ADM'!$A$5:$W$52,5,FALSE)="Prior Year"),AL140,IF(AND($A$2=4,VLOOKUP($A140,'District Level ADM'!$A$5:$W$52,5,FALSE)="3-Year Avg."),X140,IF($A$2=2,AL140,IF($A$2=3,X140,IF(($AG140&gt;$AU140),X140,AL140)))))</f>
        <v>0</v>
      </c>
      <c r="K140" s="317">
        <f>IF(AND($A$2=4,VLOOKUP($A140,'District Level ADM'!$A$5:$W$52,5,FALSE)="Prior Year"),AM140,IF(AND($A$2=4,VLOOKUP($A140,'District Level ADM'!$A$5:$W$52,5,FALSE)="3-Year Avg."),Y140,IF($A$2=2,AM140,IF($A$2=3,Y140,IF(($AG140&gt;$AU140),Y140,AM140)))))</f>
        <v>0</v>
      </c>
      <c r="L140" s="317">
        <f>IF(AND($A$2=4,VLOOKUP($A140,'District Level ADM'!$A$5:$W$52,5,FALSE)="Prior Year"),AN140,IF(AND($A$2=4,VLOOKUP($A140,'District Level ADM'!$A$5:$W$52,5,FALSE)="3-Year Avg."),Z140,IF($A$2=2,AN140,IF($A$2=3,Z140,IF(($AG140&gt;$AU140),Z140,AN140)))))</f>
        <v>0</v>
      </c>
      <c r="M140" s="317">
        <f>IF(AND($A$2=4,VLOOKUP($A140,'District Level ADM'!$A$5:$W$52,5,FALSE)="Prior Year"),AO140,IF(AND($A$2=4,VLOOKUP($A140,'District Level ADM'!$A$5:$W$52,5,FALSE)="3-Year Avg."),AA140,IF($A$2=2,AO140,IF($A$2=3,AA140,IF(($AG140&gt;$AU140),AA140,AO140)))))</f>
        <v>0</v>
      </c>
      <c r="N140" s="317">
        <f>IF(AND($A$2=4,VLOOKUP($A140,'District Level ADM'!$A$5:$W$52,5,FALSE)="Prior Year"),AP140,IF(AND($A$2=4,VLOOKUP($A140,'District Level ADM'!$A$5:$W$52,5,FALSE)="3-Year Avg."),AB140,IF($A$2=2,AP140,IF($A$2=3,AB140,IF(($AG140&gt;$AU140),AB140,AP140)))))</f>
        <v>0</v>
      </c>
      <c r="O140" s="317">
        <f>IF(AND($A$2=4,VLOOKUP($A140,'District Level ADM'!$A$5:$W$52,5,FALSE)="Prior Year"),AQ140,IF(AND($A$2=4,VLOOKUP($A140,'District Level ADM'!$A$5:$W$52,5,FALSE)="3-Year Avg."),AC140,IF($A$2=2,AQ140,IF($A$2=3,AC140,IF(($AG140&gt;$AU140),AC140,AQ140)))))</f>
        <v>0</v>
      </c>
      <c r="P140" s="317">
        <f>IF(AND($A$2=4,VLOOKUP($A140,'District Level ADM'!$A$5:$W$52,5,FALSE)="Prior Year"),AR140,IF(AND($A$2=4,VLOOKUP($A140,'District Level ADM'!$A$5:$W$52,5,FALSE)="3-Year Avg."),AD140,IF($A$2=2,AR140,IF($A$2=3,AD140,IF(($AG140&gt;$AU140),AD140,AR140)))))</f>
        <v>0</v>
      </c>
      <c r="Q140" s="317">
        <f>IF(AND($A$2=4,VLOOKUP($A140,'District Level ADM'!$A$5:$W$52,5,FALSE)="Prior Year"),AS140,IF(AND($A$2=4,VLOOKUP($A140,'District Level ADM'!$A$5:$W$52,5,FALSE)="3-Year Avg."),AE140,IF($A$2=2,AS140,IF($A$2=3,AE140,IF(($AG140&gt;$AU140),AE140,AS140)))))</f>
        <v>0</v>
      </c>
      <c r="R140" s="317">
        <f>IF(AND($A$2=4,VLOOKUP($A140,'District Level ADM'!$A$5:$W$52,5,FALSE)="Prior Year"),AT140,IF(AND($A$2=4,VLOOKUP($A140,'District Level ADM'!$A$5:$W$52,5,FALSE)="3-Year Avg."),AF140,IF($A$2=2,AT140,IF($A$2=3,AF140,IF(($AG140&gt;$AU140),AF140,AT140)))))</f>
        <v>0</v>
      </c>
      <c r="S140" s="317">
        <f t="shared" si="25"/>
        <v>261.02499999999998</v>
      </c>
      <c r="T140" s="317">
        <f t="shared" si="20"/>
        <v>89.74133333333333</v>
      </c>
      <c r="U140" s="317">
        <f t="shared" si="20"/>
        <v>88.786666666666676</v>
      </c>
      <c r="V140" s="317">
        <f t="shared" si="20"/>
        <v>89.250999999999991</v>
      </c>
      <c r="W140" s="317">
        <f t="shared" si="20"/>
        <v>0</v>
      </c>
      <c r="X140" s="317">
        <f t="shared" si="20"/>
        <v>0</v>
      </c>
      <c r="Y140" s="317">
        <f t="shared" si="20"/>
        <v>0</v>
      </c>
      <c r="Z140" s="317">
        <f t="shared" si="23"/>
        <v>0</v>
      </c>
      <c r="AA140" s="317">
        <f t="shared" si="23"/>
        <v>0</v>
      </c>
      <c r="AB140" s="317">
        <f t="shared" si="23"/>
        <v>0</v>
      </c>
      <c r="AC140" s="317">
        <f t="shared" si="23"/>
        <v>0</v>
      </c>
      <c r="AD140" s="317">
        <f t="shared" si="23"/>
        <v>0</v>
      </c>
      <c r="AE140" s="317">
        <f t="shared" si="23"/>
        <v>0</v>
      </c>
      <c r="AF140" s="317">
        <f t="shared" si="23"/>
        <v>0</v>
      </c>
      <c r="AG140" s="317">
        <f t="shared" si="26"/>
        <v>267.779</v>
      </c>
      <c r="AH140" s="318">
        <v>81.754999999999995</v>
      </c>
      <c r="AI140" s="318">
        <v>90.62</v>
      </c>
      <c r="AJ140" s="318">
        <v>88.65</v>
      </c>
      <c r="AK140" s="318">
        <v>0</v>
      </c>
      <c r="AL140" s="318">
        <v>0</v>
      </c>
      <c r="AM140" s="318">
        <v>0</v>
      </c>
      <c r="AN140" s="318">
        <v>0</v>
      </c>
      <c r="AO140" s="318">
        <v>0</v>
      </c>
      <c r="AP140" s="318">
        <v>0</v>
      </c>
      <c r="AQ140" s="318">
        <v>0</v>
      </c>
      <c r="AR140" s="318">
        <v>0</v>
      </c>
      <c r="AS140" s="318">
        <v>0</v>
      </c>
      <c r="AT140" s="318">
        <v>0</v>
      </c>
      <c r="AU140" s="317">
        <f t="shared" si="27"/>
        <v>261.02499999999998</v>
      </c>
      <c r="AV140" s="319">
        <v>99.926000000000002</v>
      </c>
      <c r="AW140" s="319">
        <v>86.433999999999997</v>
      </c>
      <c r="AX140" s="319">
        <v>92.194000000000003</v>
      </c>
      <c r="AY140" s="319">
        <v>0</v>
      </c>
      <c r="AZ140" s="319">
        <v>0</v>
      </c>
      <c r="BA140" s="319">
        <v>0</v>
      </c>
      <c r="BB140" s="319">
        <v>0</v>
      </c>
      <c r="BC140" s="319">
        <v>0</v>
      </c>
      <c r="BD140" s="319">
        <v>0</v>
      </c>
      <c r="BE140" s="319">
        <v>0</v>
      </c>
      <c r="BF140" s="319">
        <v>0</v>
      </c>
      <c r="BG140" s="319">
        <v>0</v>
      </c>
      <c r="BH140" s="319">
        <v>0</v>
      </c>
      <c r="BI140" s="317">
        <f t="shared" si="28"/>
        <v>278.55400000000003</v>
      </c>
      <c r="BJ140" s="316">
        <v>87.543000000000006</v>
      </c>
      <c r="BK140" s="316">
        <v>89.305999999999997</v>
      </c>
      <c r="BL140" s="316">
        <v>86.909000000000006</v>
      </c>
      <c r="BM140" s="316">
        <v>0</v>
      </c>
      <c r="BN140" s="316">
        <v>0</v>
      </c>
      <c r="BO140" s="316">
        <v>0</v>
      </c>
      <c r="BP140" s="316">
        <v>0</v>
      </c>
      <c r="BQ140" s="316">
        <v>0</v>
      </c>
      <c r="BR140" s="316">
        <v>0</v>
      </c>
      <c r="BS140" s="316">
        <v>0</v>
      </c>
      <c r="BT140" s="316">
        <v>0</v>
      </c>
      <c r="BU140" s="316">
        <v>0</v>
      </c>
      <c r="BV140" s="316">
        <v>0</v>
      </c>
      <c r="BW140" s="317">
        <f t="shared" si="24"/>
        <v>263.75799999999998</v>
      </c>
    </row>
    <row r="141" spans="1:75" x14ac:dyDescent="0.2">
      <c r="A141" s="20" t="str">
        <f>'School Level Inst. Resources'!A141</f>
        <v>1001000</v>
      </c>
      <c r="B141" s="20" t="str">
        <f>'School Level Inst. Resources'!B141</f>
        <v>Johnson #1</v>
      </c>
      <c r="C141" s="20" t="str">
        <f>'School Level Inst. Resources'!C141</f>
        <v>1001049</v>
      </c>
      <c r="D141" s="20" t="str">
        <f>'School Level Inst. Resources'!D141</f>
        <v>Kaycee School</v>
      </c>
      <c r="E141" s="138" t="str">
        <f>'School Level Inst. Resources'!E141</f>
        <v>K-12</v>
      </c>
      <c r="F141" s="317">
        <f>IF(AND($A$2=4,VLOOKUP($A141,'District Level ADM'!$A$5:$W$52,5,FALSE)="Prior Year"),AH141,IF(AND($A$2=4,VLOOKUP($A141,'District Level ADM'!$A$5:$W$52,5,FALSE)="3-Year Avg."),T141,IF($A$2=2,AH141,IF($A$2=3,T141,IF(($AG141&gt;$AU141),T141,AH141)))))</f>
        <v>8.8650000000000002</v>
      </c>
      <c r="G141" s="317">
        <f>IF(AND($A$2=4,VLOOKUP($A141,'District Level ADM'!$A$5:$W$52,5,FALSE)="Prior Year"),AI141,IF(AND($A$2=4,VLOOKUP($A141,'District Level ADM'!$A$5:$W$52,5,FALSE)="3-Year Avg."),U141,IF($A$2=2,AI141,IF($A$2=3,U141,IF(($AG141&gt;$AU141),U141,AI141)))))</f>
        <v>8.8650000000000002</v>
      </c>
      <c r="H141" s="317">
        <f>IF(AND($A$2=4,VLOOKUP($A141,'District Level ADM'!$A$5:$W$52,5,FALSE)="Prior Year"),AJ141,IF(AND($A$2=4,VLOOKUP($A141,'District Level ADM'!$A$5:$W$52,5,FALSE)="3-Year Avg."),V141,IF($A$2=2,AJ141,IF($A$2=3,V141,IF(($AG141&gt;$AU141),V141,AJ141)))))</f>
        <v>5.91</v>
      </c>
      <c r="I141" s="317">
        <f>IF(AND($A$2=4,VLOOKUP($A141,'District Level ADM'!$A$5:$W$52,5,FALSE)="Prior Year"),AK141,IF(AND($A$2=4,VLOOKUP($A141,'District Level ADM'!$A$5:$W$52,5,FALSE)="3-Year Avg."),W141,IF($A$2=2,AK141,IF($A$2=3,W141,IF(($AG141&gt;$AU141),W141,AK141)))))</f>
        <v>12.805</v>
      </c>
      <c r="J141" s="317">
        <f>IF(AND($A$2=4,VLOOKUP($A141,'District Level ADM'!$A$5:$W$52,5,FALSE)="Prior Year"),AL141,IF(AND($A$2=4,VLOOKUP($A141,'District Level ADM'!$A$5:$W$52,5,FALSE)="3-Year Avg."),X141,IF($A$2=2,AL141,IF($A$2=3,X141,IF(($AG141&gt;$AU141),X141,AL141)))))</f>
        <v>7.88</v>
      </c>
      <c r="K141" s="317">
        <f>IF(AND($A$2=4,VLOOKUP($A141,'District Level ADM'!$A$5:$W$52,5,FALSE)="Prior Year"),AM141,IF(AND($A$2=4,VLOOKUP($A141,'District Level ADM'!$A$5:$W$52,5,FALSE)="3-Year Avg."),Y141,IF($A$2=2,AM141,IF($A$2=3,Y141,IF(($AG141&gt;$AU141),Y141,AM141)))))</f>
        <v>12.805</v>
      </c>
      <c r="L141" s="317">
        <f>IF(AND($A$2=4,VLOOKUP($A141,'District Level ADM'!$A$5:$W$52,5,FALSE)="Prior Year"),AN141,IF(AND($A$2=4,VLOOKUP($A141,'District Level ADM'!$A$5:$W$52,5,FALSE)="3-Year Avg."),Z141,IF($A$2=2,AN141,IF($A$2=3,Z141,IF(($AG141&gt;$AU141),Z141,AN141)))))</f>
        <v>14.775</v>
      </c>
      <c r="M141" s="317">
        <f>IF(AND($A$2=4,VLOOKUP($A141,'District Level ADM'!$A$5:$W$52,5,FALSE)="Prior Year"),AO141,IF(AND($A$2=4,VLOOKUP($A141,'District Level ADM'!$A$5:$W$52,5,FALSE)="3-Year Avg."),AA141,IF($A$2=2,AO141,IF($A$2=3,AA141,IF(($AG141&gt;$AU141),AA141,AO141)))))</f>
        <v>12.805</v>
      </c>
      <c r="N141" s="317">
        <f>IF(AND($A$2=4,VLOOKUP($A141,'District Level ADM'!$A$5:$W$52,5,FALSE)="Prior Year"),AP141,IF(AND($A$2=4,VLOOKUP($A141,'District Level ADM'!$A$5:$W$52,5,FALSE)="3-Year Avg."),AB141,IF($A$2=2,AP141,IF($A$2=3,AB141,IF(($AG141&gt;$AU141),AB141,AP141)))))</f>
        <v>13.79</v>
      </c>
      <c r="O141" s="317">
        <f>IF(AND($A$2=4,VLOOKUP($A141,'District Level ADM'!$A$5:$W$52,5,FALSE)="Prior Year"),AQ141,IF(AND($A$2=4,VLOOKUP($A141,'District Level ADM'!$A$5:$W$52,5,FALSE)="3-Year Avg."),AC141,IF($A$2=2,AQ141,IF($A$2=3,AC141,IF(($AG141&gt;$AU141),AC141,AQ141)))))</f>
        <v>11.82</v>
      </c>
      <c r="P141" s="317">
        <f>IF(AND($A$2=4,VLOOKUP($A141,'District Level ADM'!$A$5:$W$52,5,FALSE)="Prior Year"),AR141,IF(AND($A$2=4,VLOOKUP($A141,'District Level ADM'!$A$5:$W$52,5,FALSE)="3-Year Avg."),AD141,IF($A$2=2,AR141,IF($A$2=3,AD141,IF(($AG141&gt;$AU141),AD141,AR141)))))</f>
        <v>8.8650000000000002</v>
      </c>
      <c r="Q141" s="317">
        <f>IF(AND($A$2=4,VLOOKUP($A141,'District Level ADM'!$A$5:$W$52,5,FALSE)="Prior Year"),AS141,IF(AND($A$2=4,VLOOKUP($A141,'District Level ADM'!$A$5:$W$52,5,FALSE)="3-Year Avg."),AE141,IF($A$2=2,AS141,IF($A$2=3,AE141,IF(($AG141&gt;$AU141),AE141,AS141)))))</f>
        <v>16.745000000000001</v>
      </c>
      <c r="R141" s="317">
        <f>IF(AND($A$2=4,VLOOKUP($A141,'District Level ADM'!$A$5:$W$52,5,FALSE)="Prior Year"),AT141,IF(AND($A$2=4,VLOOKUP($A141,'District Level ADM'!$A$5:$W$52,5,FALSE)="3-Year Avg."),AF141,IF($A$2=2,AT141,IF($A$2=3,AF141,IF(($AG141&gt;$AU141),AF141,AT141)))))</f>
        <v>13.79</v>
      </c>
      <c r="S141" s="317">
        <f t="shared" si="25"/>
        <v>149.71999999999997</v>
      </c>
      <c r="T141" s="317">
        <f t="shared" si="20"/>
        <v>6.6976666666666667</v>
      </c>
      <c r="U141" s="317">
        <f t="shared" si="20"/>
        <v>8.3756666666666675</v>
      </c>
      <c r="V141" s="317">
        <f t="shared" si="20"/>
        <v>9.6566666666666663</v>
      </c>
      <c r="W141" s="317">
        <f t="shared" si="20"/>
        <v>10.702333333333334</v>
      </c>
      <c r="X141" s="317">
        <f t="shared" si="20"/>
        <v>11.268666666666666</v>
      </c>
      <c r="Y141" s="317">
        <f t="shared" si="20"/>
        <v>13.082666666666666</v>
      </c>
      <c r="Z141" s="317">
        <f t="shared" si="23"/>
        <v>14.126333333333333</v>
      </c>
      <c r="AA141" s="317">
        <f t="shared" si="23"/>
        <v>13.172333333333333</v>
      </c>
      <c r="AB141" s="317">
        <f t="shared" si="23"/>
        <v>12.741</v>
      </c>
      <c r="AC141" s="317">
        <f t="shared" si="23"/>
        <v>12.234</v>
      </c>
      <c r="AD141" s="317">
        <f t="shared" si="23"/>
        <v>13.866666666666667</v>
      </c>
      <c r="AE141" s="317">
        <f t="shared" si="23"/>
        <v>12.360666666666667</v>
      </c>
      <c r="AF141" s="317">
        <f t="shared" si="23"/>
        <v>10.283333333333333</v>
      </c>
      <c r="AG141" s="317">
        <f t="shared" si="26"/>
        <v>148.56799999999998</v>
      </c>
      <c r="AH141" s="318">
        <v>8.8650000000000002</v>
      </c>
      <c r="AI141" s="318">
        <v>8.8650000000000002</v>
      </c>
      <c r="AJ141" s="318">
        <v>5.91</v>
      </c>
      <c r="AK141" s="318">
        <v>12.805</v>
      </c>
      <c r="AL141" s="318">
        <v>7.88</v>
      </c>
      <c r="AM141" s="318">
        <v>12.805</v>
      </c>
      <c r="AN141" s="318">
        <v>14.775</v>
      </c>
      <c r="AO141" s="318">
        <v>12.805</v>
      </c>
      <c r="AP141" s="318">
        <v>13.79</v>
      </c>
      <c r="AQ141" s="318">
        <v>11.82</v>
      </c>
      <c r="AR141" s="318">
        <v>8.8650000000000002</v>
      </c>
      <c r="AS141" s="318">
        <v>16.745000000000001</v>
      </c>
      <c r="AT141" s="318">
        <v>13.79</v>
      </c>
      <c r="AU141" s="317">
        <f t="shared" si="27"/>
        <v>149.71999999999997</v>
      </c>
      <c r="AV141" s="319">
        <v>6.1879999999999997</v>
      </c>
      <c r="AW141" s="319">
        <v>5</v>
      </c>
      <c r="AX141" s="319">
        <v>13.416</v>
      </c>
      <c r="AY141" s="319">
        <v>8</v>
      </c>
      <c r="AZ141" s="319">
        <v>11</v>
      </c>
      <c r="BA141" s="319">
        <v>14.409000000000001</v>
      </c>
      <c r="BB141" s="319">
        <v>12.811999999999999</v>
      </c>
      <c r="BC141" s="319">
        <v>14.234999999999999</v>
      </c>
      <c r="BD141" s="319">
        <v>13.631</v>
      </c>
      <c r="BE141" s="319">
        <v>10.664</v>
      </c>
      <c r="BF141" s="319">
        <v>17.544</v>
      </c>
      <c r="BG141" s="319">
        <v>13.75</v>
      </c>
      <c r="BH141" s="319">
        <v>6.5</v>
      </c>
      <c r="BI141" s="317">
        <f t="shared" si="28"/>
        <v>147.149</v>
      </c>
      <c r="BJ141" s="316">
        <v>5.04</v>
      </c>
      <c r="BK141" s="316">
        <v>11.262</v>
      </c>
      <c r="BL141" s="316">
        <v>9.6440000000000001</v>
      </c>
      <c r="BM141" s="316">
        <v>11.302</v>
      </c>
      <c r="BN141" s="316">
        <v>14.926</v>
      </c>
      <c r="BO141" s="316">
        <v>12.034000000000001</v>
      </c>
      <c r="BP141" s="316">
        <v>14.792</v>
      </c>
      <c r="BQ141" s="316">
        <v>12.477</v>
      </c>
      <c r="BR141" s="316">
        <v>10.802</v>
      </c>
      <c r="BS141" s="316">
        <v>14.218</v>
      </c>
      <c r="BT141" s="316">
        <v>15.191000000000001</v>
      </c>
      <c r="BU141" s="316">
        <v>6.5869999999999997</v>
      </c>
      <c r="BV141" s="316">
        <v>10.56</v>
      </c>
      <c r="BW141" s="317">
        <f t="shared" si="24"/>
        <v>148.83499999999998</v>
      </c>
    </row>
    <row r="142" spans="1:75" x14ac:dyDescent="0.2">
      <c r="A142" s="20" t="str">
        <f>'School Level Inst. Resources'!A142</f>
        <v>1001000</v>
      </c>
      <c r="B142" s="20" t="str">
        <f>'School Level Inst. Resources'!B142</f>
        <v>Johnson #1</v>
      </c>
      <c r="C142" s="20" t="str">
        <f>'School Level Inst. Resources'!C142</f>
        <v>1001050</v>
      </c>
      <c r="D142" s="20" t="str">
        <f>'School Level Inst. Resources'!D142</f>
        <v>Clear Creek Middle School</v>
      </c>
      <c r="E142" s="138" t="str">
        <f>'School Level Inst. Resources'!E142</f>
        <v>6-8</v>
      </c>
      <c r="F142" s="317">
        <f>IF(AND($A$2=4,VLOOKUP($A142,'District Level ADM'!$A$5:$W$52,5,FALSE)="Prior Year"),AH142,IF(AND($A$2=4,VLOOKUP($A142,'District Level ADM'!$A$5:$W$52,5,FALSE)="3-Year Avg."),T142,IF($A$2=2,AH142,IF($A$2=3,T142,IF(($AG142&gt;$AU142),T142,AH142)))))</f>
        <v>0</v>
      </c>
      <c r="G142" s="317">
        <f>IF(AND($A$2=4,VLOOKUP($A142,'District Level ADM'!$A$5:$W$52,5,FALSE)="Prior Year"),AI142,IF(AND($A$2=4,VLOOKUP($A142,'District Level ADM'!$A$5:$W$52,5,FALSE)="3-Year Avg."),U142,IF($A$2=2,AI142,IF($A$2=3,U142,IF(($AG142&gt;$AU142),U142,AI142)))))</f>
        <v>0</v>
      </c>
      <c r="H142" s="317">
        <f>IF(AND($A$2=4,VLOOKUP($A142,'District Level ADM'!$A$5:$W$52,5,FALSE)="Prior Year"),AJ142,IF(AND($A$2=4,VLOOKUP($A142,'District Level ADM'!$A$5:$W$52,5,FALSE)="3-Year Avg."),V142,IF($A$2=2,AJ142,IF($A$2=3,V142,IF(($AG142&gt;$AU142),V142,AJ142)))))</f>
        <v>0</v>
      </c>
      <c r="I142" s="317">
        <f>IF(AND($A$2=4,VLOOKUP($A142,'District Level ADM'!$A$5:$W$52,5,FALSE)="Prior Year"),AK142,IF(AND($A$2=4,VLOOKUP($A142,'District Level ADM'!$A$5:$W$52,5,FALSE)="3-Year Avg."),W142,IF($A$2=2,AK142,IF($A$2=3,W142,IF(($AG142&gt;$AU142),W142,AK142)))))</f>
        <v>0</v>
      </c>
      <c r="J142" s="317">
        <f>IF(AND($A$2=4,VLOOKUP($A142,'District Level ADM'!$A$5:$W$52,5,FALSE)="Prior Year"),AL142,IF(AND($A$2=4,VLOOKUP($A142,'District Level ADM'!$A$5:$W$52,5,FALSE)="3-Year Avg."),X142,IF($A$2=2,AL142,IF($A$2=3,X142,IF(($AG142&gt;$AU142),X142,AL142)))))</f>
        <v>0</v>
      </c>
      <c r="K142" s="317">
        <f>IF(AND($A$2=4,VLOOKUP($A142,'District Level ADM'!$A$5:$W$52,5,FALSE)="Prior Year"),AM142,IF(AND($A$2=4,VLOOKUP($A142,'District Level ADM'!$A$5:$W$52,5,FALSE)="3-Year Avg."),Y142,IF($A$2=2,AM142,IF($A$2=3,Y142,IF(($AG142&gt;$AU142),Y142,AM142)))))</f>
        <v>0</v>
      </c>
      <c r="L142" s="317">
        <f>IF(AND($A$2=4,VLOOKUP($A142,'District Level ADM'!$A$5:$W$52,5,FALSE)="Prior Year"),AN142,IF(AND($A$2=4,VLOOKUP($A142,'District Level ADM'!$A$5:$W$52,5,FALSE)="3-Year Avg."),Z142,IF($A$2=2,AN142,IF($A$2=3,Z142,IF(($AG142&gt;$AU142),Z142,AN142)))))</f>
        <v>89.635000000000005</v>
      </c>
      <c r="M142" s="317">
        <f>IF(AND($A$2=4,VLOOKUP($A142,'District Level ADM'!$A$5:$W$52,5,FALSE)="Prior Year"),AO142,IF(AND($A$2=4,VLOOKUP($A142,'District Level ADM'!$A$5:$W$52,5,FALSE)="3-Year Avg."),AA142,IF($A$2=2,AO142,IF($A$2=3,AA142,IF(($AG142&gt;$AU142),AA142,AO142)))))</f>
        <v>84.71</v>
      </c>
      <c r="N142" s="317">
        <f>IF(AND($A$2=4,VLOOKUP($A142,'District Level ADM'!$A$5:$W$52,5,FALSE)="Prior Year"),AP142,IF(AND($A$2=4,VLOOKUP($A142,'District Level ADM'!$A$5:$W$52,5,FALSE)="3-Year Avg."),AB142,IF($A$2=2,AP142,IF($A$2=3,AB142,IF(($AG142&gt;$AU142),AB142,AP142)))))</f>
        <v>96.53</v>
      </c>
      <c r="O142" s="317">
        <f>IF(AND($A$2=4,VLOOKUP($A142,'District Level ADM'!$A$5:$W$52,5,FALSE)="Prior Year"),AQ142,IF(AND($A$2=4,VLOOKUP($A142,'District Level ADM'!$A$5:$W$52,5,FALSE)="3-Year Avg."),AC142,IF($A$2=2,AQ142,IF($A$2=3,AC142,IF(($AG142&gt;$AU142),AC142,AQ142)))))</f>
        <v>0</v>
      </c>
      <c r="P142" s="317">
        <f>IF(AND($A$2=4,VLOOKUP($A142,'District Level ADM'!$A$5:$W$52,5,FALSE)="Prior Year"),AR142,IF(AND($A$2=4,VLOOKUP($A142,'District Level ADM'!$A$5:$W$52,5,FALSE)="3-Year Avg."),AD142,IF($A$2=2,AR142,IF($A$2=3,AD142,IF(($AG142&gt;$AU142),AD142,AR142)))))</f>
        <v>0</v>
      </c>
      <c r="Q142" s="317">
        <f>IF(AND($A$2=4,VLOOKUP($A142,'District Level ADM'!$A$5:$W$52,5,FALSE)="Prior Year"),AS142,IF(AND($A$2=4,VLOOKUP($A142,'District Level ADM'!$A$5:$W$52,5,FALSE)="3-Year Avg."),AE142,IF($A$2=2,AS142,IF($A$2=3,AE142,IF(($AG142&gt;$AU142),AE142,AS142)))))</f>
        <v>0</v>
      </c>
      <c r="R142" s="317">
        <f>IF(AND($A$2=4,VLOOKUP($A142,'District Level ADM'!$A$5:$W$52,5,FALSE)="Prior Year"),AT142,IF(AND($A$2=4,VLOOKUP($A142,'District Level ADM'!$A$5:$W$52,5,FALSE)="3-Year Avg."),AF142,IF($A$2=2,AT142,IF($A$2=3,AF142,IF(($AG142&gt;$AU142),AF142,AT142)))))</f>
        <v>0</v>
      </c>
      <c r="S142" s="317">
        <f t="shared" si="25"/>
        <v>270.875</v>
      </c>
      <c r="T142" s="317">
        <f t="shared" si="20"/>
        <v>0</v>
      </c>
      <c r="U142" s="317">
        <f t="shared" si="20"/>
        <v>0</v>
      </c>
      <c r="V142" s="317">
        <f t="shared" si="20"/>
        <v>0</v>
      </c>
      <c r="W142" s="317">
        <f t="shared" si="20"/>
        <v>0</v>
      </c>
      <c r="X142" s="317">
        <f t="shared" si="20"/>
        <v>0</v>
      </c>
      <c r="Y142" s="317">
        <f t="shared" si="20"/>
        <v>0</v>
      </c>
      <c r="Z142" s="317">
        <f t="shared" si="23"/>
        <v>90.014666666666656</v>
      </c>
      <c r="AA142" s="317">
        <f t="shared" si="23"/>
        <v>85.893666666666661</v>
      </c>
      <c r="AB142" s="317">
        <f t="shared" si="23"/>
        <v>85.305333333333337</v>
      </c>
      <c r="AC142" s="317">
        <f t="shared" si="23"/>
        <v>0</v>
      </c>
      <c r="AD142" s="317">
        <f t="shared" si="23"/>
        <v>0</v>
      </c>
      <c r="AE142" s="317">
        <f t="shared" si="23"/>
        <v>0</v>
      </c>
      <c r="AF142" s="317">
        <f t="shared" si="23"/>
        <v>0</v>
      </c>
      <c r="AG142" s="317">
        <f t="shared" si="26"/>
        <v>261.21366666666665</v>
      </c>
      <c r="AH142" s="318">
        <v>0</v>
      </c>
      <c r="AI142" s="318">
        <v>0</v>
      </c>
      <c r="AJ142" s="318">
        <v>0</v>
      </c>
      <c r="AK142" s="318">
        <v>0</v>
      </c>
      <c r="AL142" s="318">
        <v>0</v>
      </c>
      <c r="AM142" s="318">
        <v>0</v>
      </c>
      <c r="AN142" s="318">
        <v>89.635000000000005</v>
      </c>
      <c r="AO142" s="318">
        <v>84.71</v>
      </c>
      <c r="AP142" s="318">
        <v>96.53</v>
      </c>
      <c r="AQ142" s="318">
        <v>0</v>
      </c>
      <c r="AR142" s="318">
        <v>0</v>
      </c>
      <c r="AS142" s="318">
        <v>0</v>
      </c>
      <c r="AT142" s="318">
        <v>0</v>
      </c>
      <c r="AU142" s="317">
        <f t="shared" si="27"/>
        <v>270.875</v>
      </c>
      <c r="AV142" s="319">
        <v>0</v>
      </c>
      <c r="AW142" s="319">
        <v>0</v>
      </c>
      <c r="AX142" s="319">
        <v>0</v>
      </c>
      <c r="AY142" s="319">
        <v>0</v>
      </c>
      <c r="AZ142" s="319">
        <v>0</v>
      </c>
      <c r="BA142" s="319">
        <v>0</v>
      </c>
      <c r="BB142" s="319">
        <v>84.963999999999999</v>
      </c>
      <c r="BC142" s="319">
        <v>93.646000000000001</v>
      </c>
      <c r="BD142" s="319">
        <v>72.655000000000001</v>
      </c>
      <c r="BE142" s="319">
        <v>0</v>
      </c>
      <c r="BF142" s="319">
        <v>0</v>
      </c>
      <c r="BG142" s="319">
        <v>0</v>
      </c>
      <c r="BH142" s="319">
        <v>0</v>
      </c>
      <c r="BI142" s="317">
        <f t="shared" si="28"/>
        <v>251.26500000000001</v>
      </c>
      <c r="BJ142" s="316">
        <v>0</v>
      </c>
      <c r="BK142" s="316">
        <v>0</v>
      </c>
      <c r="BL142" s="316">
        <v>0</v>
      </c>
      <c r="BM142" s="316">
        <v>0</v>
      </c>
      <c r="BN142" s="316">
        <v>0</v>
      </c>
      <c r="BO142" s="316">
        <v>0</v>
      </c>
      <c r="BP142" s="316">
        <v>95.444999999999993</v>
      </c>
      <c r="BQ142" s="316">
        <v>79.325000000000003</v>
      </c>
      <c r="BR142" s="316">
        <v>86.730999999999995</v>
      </c>
      <c r="BS142" s="316">
        <v>0</v>
      </c>
      <c r="BT142" s="316">
        <v>0</v>
      </c>
      <c r="BU142" s="316">
        <v>0</v>
      </c>
      <c r="BV142" s="316">
        <v>0</v>
      </c>
      <c r="BW142" s="317">
        <f t="shared" si="24"/>
        <v>261.50099999999998</v>
      </c>
    </row>
    <row r="143" spans="1:75" x14ac:dyDescent="0.2">
      <c r="A143" s="20" t="str">
        <f>'School Level Inst. Resources'!A143</f>
        <v>1001000</v>
      </c>
      <c r="B143" s="20" t="str">
        <f>'School Level Inst. Resources'!B143</f>
        <v>Johnson #1</v>
      </c>
      <c r="C143" s="20" t="str">
        <f>'School Level Inst. Resources'!C143</f>
        <v>1001055</v>
      </c>
      <c r="D143" s="20" t="str">
        <f>'School Level Inst. Resources'!D143</f>
        <v>Buffalo High School</v>
      </c>
      <c r="E143" s="138" t="str">
        <f>'School Level Inst. Resources'!E143</f>
        <v>9-12</v>
      </c>
      <c r="F143" s="317">
        <f>IF(AND($A$2=4,VLOOKUP($A143,'District Level ADM'!$A$5:$W$52,5,FALSE)="Prior Year"),AH143,IF(AND($A$2=4,VLOOKUP($A143,'District Level ADM'!$A$5:$W$52,5,FALSE)="3-Year Avg."),T143,IF($A$2=2,AH143,IF($A$2=3,T143,IF(($AG143&gt;$AU143),T143,AH143)))))</f>
        <v>0</v>
      </c>
      <c r="G143" s="317">
        <f>IF(AND($A$2=4,VLOOKUP($A143,'District Level ADM'!$A$5:$W$52,5,FALSE)="Prior Year"),AI143,IF(AND($A$2=4,VLOOKUP($A143,'District Level ADM'!$A$5:$W$52,5,FALSE)="3-Year Avg."),U143,IF($A$2=2,AI143,IF($A$2=3,U143,IF(($AG143&gt;$AU143),U143,AI143)))))</f>
        <v>0</v>
      </c>
      <c r="H143" s="317">
        <f>IF(AND($A$2=4,VLOOKUP($A143,'District Level ADM'!$A$5:$W$52,5,FALSE)="Prior Year"),AJ143,IF(AND($A$2=4,VLOOKUP($A143,'District Level ADM'!$A$5:$W$52,5,FALSE)="3-Year Avg."),V143,IF($A$2=2,AJ143,IF($A$2=3,V143,IF(($AG143&gt;$AU143),V143,AJ143)))))</f>
        <v>0</v>
      </c>
      <c r="I143" s="317">
        <f>IF(AND($A$2=4,VLOOKUP($A143,'District Level ADM'!$A$5:$W$52,5,FALSE)="Prior Year"),AK143,IF(AND($A$2=4,VLOOKUP($A143,'District Level ADM'!$A$5:$W$52,5,FALSE)="3-Year Avg."),W143,IF($A$2=2,AK143,IF($A$2=3,W143,IF(($AG143&gt;$AU143),W143,AK143)))))</f>
        <v>0</v>
      </c>
      <c r="J143" s="317">
        <f>IF(AND($A$2=4,VLOOKUP($A143,'District Level ADM'!$A$5:$W$52,5,FALSE)="Prior Year"),AL143,IF(AND($A$2=4,VLOOKUP($A143,'District Level ADM'!$A$5:$W$52,5,FALSE)="3-Year Avg."),X143,IF($A$2=2,AL143,IF($A$2=3,X143,IF(($AG143&gt;$AU143),X143,AL143)))))</f>
        <v>0</v>
      </c>
      <c r="K143" s="317">
        <f>IF(AND($A$2=4,VLOOKUP($A143,'District Level ADM'!$A$5:$W$52,5,FALSE)="Prior Year"),AM143,IF(AND($A$2=4,VLOOKUP($A143,'District Level ADM'!$A$5:$W$52,5,FALSE)="3-Year Avg."),Y143,IF($A$2=2,AM143,IF($A$2=3,Y143,IF(($AG143&gt;$AU143),Y143,AM143)))))</f>
        <v>0</v>
      </c>
      <c r="L143" s="317">
        <f>IF(AND($A$2=4,VLOOKUP($A143,'District Level ADM'!$A$5:$W$52,5,FALSE)="Prior Year"),AN143,IF(AND($A$2=4,VLOOKUP($A143,'District Level ADM'!$A$5:$W$52,5,FALSE)="3-Year Avg."),Z143,IF($A$2=2,AN143,IF($A$2=3,Z143,IF(($AG143&gt;$AU143),Z143,AN143)))))</f>
        <v>0</v>
      </c>
      <c r="M143" s="317">
        <f>IF(AND($A$2=4,VLOOKUP($A143,'District Level ADM'!$A$5:$W$52,5,FALSE)="Prior Year"),AO143,IF(AND($A$2=4,VLOOKUP($A143,'District Level ADM'!$A$5:$W$52,5,FALSE)="3-Year Avg."),AA143,IF($A$2=2,AO143,IF($A$2=3,AA143,IF(($AG143&gt;$AU143),AA143,AO143)))))</f>
        <v>0</v>
      </c>
      <c r="N143" s="317">
        <f>IF(AND($A$2=4,VLOOKUP($A143,'District Level ADM'!$A$5:$W$52,5,FALSE)="Prior Year"),AP143,IF(AND($A$2=4,VLOOKUP($A143,'District Level ADM'!$A$5:$W$52,5,FALSE)="3-Year Avg."),AB143,IF($A$2=2,AP143,IF($A$2=3,AB143,IF(($AG143&gt;$AU143),AB143,AP143)))))</f>
        <v>0</v>
      </c>
      <c r="O143" s="317">
        <f>IF(AND($A$2=4,VLOOKUP($A143,'District Level ADM'!$A$5:$W$52,5,FALSE)="Prior Year"),AQ143,IF(AND($A$2=4,VLOOKUP($A143,'District Level ADM'!$A$5:$W$52,5,FALSE)="3-Year Avg."),AC143,IF($A$2=2,AQ143,IF($A$2=3,AC143,IF(($AG143&gt;$AU143),AC143,AQ143)))))</f>
        <v>77.814999999999998</v>
      </c>
      <c r="P143" s="317">
        <f>IF(AND($A$2=4,VLOOKUP($A143,'District Level ADM'!$A$5:$W$52,5,FALSE)="Prior Year"),AR143,IF(AND($A$2=4,VLOOKUP($A143,'District Level ADM'!$A$5:$W$52,5,FALSE)="3-Year Avg."),AD143,IF($A$2=2,AR143,IF($A$2=3,AD143,IF(($AG143&gt;$AU143),AD143,AR143)))))</f>
        <v>88.65</v>
      </c>
      <c r="Q143" s="317">
        <f>IF(AND($A$2=4,VLOOKUP($A143,'District Level ADM'!$A$5:$W$52,5,FALSE)="Prior Year"),AS143,IF(AND($A$2=4,VLOOKUP($A143,'District Level ADM'!$A$5:$W$52,5,FALSE)="3-Year Avg."),AE143,IF($A$2=2,AS143,IF($A$2=3,AE143,IF(($AG143&gt;$AU143),AE143,AS143)))))</f>
        <v>71.905000000000001</v>
      </c>
      <c r="R143" s="317">
        <f>IF(AND($A$2=4,VLOOKUP($A143,'District Level ADM'!$A$5:$W$52,5,FALSE)="Prior Year"),AT143,IF(AND($A$2=4,VLOOKUP($A143,'District Level ADM'!$A$5:$W$52,5,FALSE)="3-Year Avg."),AF143,IF($A$2=2,AT143,IF($A$2=3,AF143,IF(($AG143&gt;$AU143),AF143,AT143)))))</f>
        <v>69.935000000000002</v>
      </c>
      <c r="S143" s="317">
        <f t="shared" si="25"/>
        <v>308.30500000000001</v>
      </c>
      <c r="T143" s="317">
        <f t="shared" si="20"/>
        <v>0</v>
      </c>
      <c r="U143" s="317">
        <f t="shared" si="20"/>
        <v>0</v>
      </c>
      <c r="V143" s="317">
        <f t="shared" si="20"/>
        <v>0</v>
      </c>
      <c r="W143" s="317">
        <f t="shared" si="20"/>
        <v>0</v>
      </c>
      <c r="X143" s="317">
        <f t="shared" si="20"/>
        <v>0</v>
      </c>
      <c r="Y143" s="317">
        <f t="shared" si="20"/>
        <v>0</v>
      </c>
      <c r="Z143" s="317">
        <f t="shared" si="23"/>
        <v>0</v>
      </c>
      <c r="AA143" s="317">
        <f t="shared" si="23"/>
        <v>0</v>
      </c>
      <c r="AB143" s="317">
        <f t="shared" si="23"/>
        <v>0</v>
      </c>
      <c r="AC143" s="317">
        <f t="shared" si="23"/>
        <v>83.463666666666668</v>
      </c>
      <c r="AD143" s="317">
        <f t="shared" si="23"/>
        <v>80.937333333333342</v>
      </c>
      <c r="AE143" s="317">
        <f t="shared" si="23"/>
        <v>72.071666666666673</v>
      </c>
      <c r="AF143" s="317">
        <f t="shared" si="23"/>
        <v>70.867333333333335</v>
      </c>
      <c r="AG143" s="317">
        <f t="shared" si="26"/>
        <v>307.34000000000003</v>
      </c>
      <c r="AH143" s="318">
        <v>0</v>
      </c>
      <c r="AI143" s="318">
        <v>0</v>
      </c>
      <c r="AJ143" s="318">
        <v>0</v>
      </c>
      <c r="AK143" s="318">
        <v>0</v>
      </c>
      <c r="AL143" s="318">
        <v>0</v>
      </c>
      <c r="AM143" s="318">
        <v>0</v>
      </c>
      <c r="AN143" s="318">
        <v>0</v>
      </c>
      <c r="AO143" s="318">
        <v>0</v>
      </c>
      <c r="AP143" s="318">
        <v>0</v>
      </c>
      <c r="AQ143" s="318">
        <v>77.814999999999998</v>
      </c>
      <c r="AR143" s="318">
        <v>88.65</v>
      </c>
      <c r="AS143" s="318">
        <v>71.905000000000001</v>
      </c>
      <c r="AT143" s="318">
        <v>69.935000000000002</v>
      </c>
      <c r="AU143" s="317">
        <f t="shared" si="27"/>
        <v>308.30500000000001</v>
      </c>
      <c r="AV143" s="319">
        <v>0</v>
      </c>
      <c r="AW143" s="319">
        <v>0</v>
      </c>
      <c r="AX143" s="319">
        <v>0</v>
      </c>
      <c r="AY143" s="319">
        <v>0</v>
      </c>
      <c r="AZ143" s="319">
        <v>0</v>
      </c>
      <c r="BA143" s="319">
        <v>0</v>
      </c>
      <c r="BB143" s="319">
        <v>0</v>
      </c>
      <c r="BC143" s="319">
        <v>0</v>
      </c>
      <c r="BD143" s="319">
        <v>0</v>
      </c>
      <c r="BE143" s="319">
        <v>92.921999999999997</v>
      </c>
      <c r="BF143" s="319">
        <v>74.171000000000006</v>
      </c>
      <c r="BG143" s="319">
        <v>73.501000000000005</v>
      </c>
      <c r="BH143" s="319">
        <v>60.448</v>
      </c>
      <c r="BI143" s="317">
        <f t="shared" si="28"/>
        <v>301.04200000000003</v>
      </c>
      <c r="BJ143" s="316">
        <v>0</v>
      </c>
      <c r="BK143" s="316">
        <v>0</v>
      </c>
      <c r="BL143" s="316">
        <v>0</v>
      </c>
      <c r="BM143" s="316">
        <v>0</v>
      </c>
      <c r="BN143" s="316">
        <v>0</v>
      </c>
      <c r="BO143" s="316">
        <v>0</v>
      </c>
      <c r="BP143" s="316">
        <v>0</v>
      </c>
      <c r="BQ143" s="316">
        <v>0</v>
      </c>
      <c r="BR143" s="316">
        <v>0</v>
      </c>
      <c r="BS143" s="316">
        <v>79.653999999999996</v>
      </c>
      <c r="BT143" s="316">
        <v>79.991</v>
      </c>
      <c r="BU143" s="316">
        <v>70.808999999999997</v>
      </c>
      <c r="BV143" s="316">
        <v>82.218999999999994</v>
      </c>
      <c r="BW143" s="317">
        <f t="shared" si="24"/>
        <v>312.673</v>
      </c>
    </row>
    <row r="144" spans="1:75" x14ac:dyDescent="0.2">
      <c r="A144" s="20" t="str">
        <f>'School Level Inst. Resources'!A144</f>
        <v>1101000</v>
      </c>
      <c r="B144" s="20" t="str">
        <f>'School Level Inst. Resources'!B144</f>
        <v>Laramie #1</v>
      </c>
      <c r="C144" s="20" t="str">
        <f>'School Level Inst. Resources'!C144</f>
        <v>1101001</v>
      </c>
      <c r="D144" s="20" t="str">
        <f>'School Level Inst. Resources'!D144</f>
        <v>Alta Vista Elementary</v>
      </c>
      <c r="E144" s="138" t="str">
        <f>'School Level Inst. Resources'!E144</f>
        <v>P-6</v>
      </c>
      <c r="F144" s="317">
        <f>IF(AND($A$2=4,VLOOKUP($A144,'District Level ADM'!$A$5:$W$52,5,FALSE)="Prior Year"),AH144,IF(AND($A$2=4,VLOOKUP($A144,'District Level ADM'!$A$5:$W$52,5,FALSE)="3-Year Avg."),T144,IF($A$2=2,AH144,IF($A$2=3,T144,IF(($AG144&gt;$AU144),T144,AH144)))))</f>
        <v>28.565000000000001</v>
      </c>
      <c r="G144" s="317">
        <f>IF(AND($A$2=4,VLOOKUP($A144,'District Level ADM'!$A$5:$W$52,5,FALSE)="Prior Year"),AI144,IF(AND($A$2=4,VLOOKUP($A144,'District Level ADM'!$A$5:$W$52,5,FALSE)="3-Year Avg."),U144,IF($A$2=2,AI144,IF($A$2=3,U144,IF(($AG144&gt;$AU144),U144,AI144)))))</f>
        <v>28.565000000000001</v>
      </c>
      <c r="H144" s="317">
        <f>IF(AND($A$2=4,VLOOKUP($A144,'District Level ADM'!$A$5:$W$52,5,FALSE)="Prior Year"),AJ144,IF(AND($A$2=4,VLOOKUP($A144,'District Level ADM'!$A$5:$W$52,5,FALSE)="3-Year Avg."),V144,IF($A$2=2,AJ144,IF($A$2=3,V144,IF(($AG144&gt;$AU144),V144,AJ144)))))</f>
        <v>37.43</v>
      </c>
      <c r="I144" s="317">
        <f>IF(AND($A$2=4,VLOOKUP($A144,'District Level ADM'!$A$5:$W$52,5,FALSE)="Prior Year"),AK144,IF(AND($A$2=4,VLOOKUP($A144,'District Level ADM'!$A$5:$W$52,5,FALSE)="3-Year Avg."),W144,IF($A$2=2,AK144,IF($A$2=3,W144,IF(($AG144&gt;$AU144),W144,AK144)))))</f>
        <v>41.37</v>
      </c>
      <c r="J144" s="317">
        <f>IF(AND($A$2=4,VLOOKUP($A144,'District Level ADM'!$A$5:$W$52,5,FALSE)="Prior Year"),AL144,IF(AND($A$2=4,VLOOKUP($A144,'District Level ADM'!$A$5:$W$52,5,FALSE)="3-Year Avg."),X144,IF($A$2=2,AL144,IF($A$2=3,X144,IF(($AG144&gt;$AU144),X144,AL144)))))</f>
        <v>43.34</v>
      </c>
      <c r="K144" s="317">
        <f>IF(AND($A$2=4,VLOOKUP($A144,'District Level ADM'!$A$5:$W$52,5,FALSE)="Prior Year"),AM144,IF(AND($A$2=4,VLOOKUP($A144,'District Level ADM'!$A$5:$W$52,5,FALSE)="3-Year Avg."),Y144,IF($A$2=2,AM144,IF($A$2=3,Y144,IF(($AG144&gt;$AU144),Y144,AM144)))))</f>
        <v>41.37</v>
      </c>
      <c r="L144" s="317">
        <f>IF(AND($A$2=4,VLOOKUP($A144,'District Level ADM'!$A$5:$W$52,5,FALSE)="Prior Year"),AN144,IF(AND($A$2=4,VLOOKUP($A144,'District Level ADM'!$A$5:$W$52,5,FALSE)="3-Year Avg."),Z144,IF($A$2=2,AN144,IF($A$2=3,Z144,IF(($AG144&gt;$AU144),Z144,AN144)))))</f>
        <v>48.265000000000001</v>
      </c>
      <c r="M144" s="317">
        <f>IF(AND($A$2=4,VLOOKUP($A144,'District Level ADM'!$A$5:$W$52,5,FALSE)="Prior Year"),AO144,IF(AND($A$2=4,VLOOKUP($A144,'District Level ADM'!$A$5:$W$52,5,FALSE)="3-Year Avg."),AA144,IF($A$2=2,AO144,IF($A$2=3,AA144,IF(($AG144&gt;$AU144),AA144,AO144)))))</f>
        <v>0</v>
      </c>
      <c r="N144" s="317">
        <f>IF(AND($A$2=4,VLOOKUP($A144,'District Level ADM'!$A$5:$W$52,5,FALSE)="Prior Year"),AP144,IF(AND($A$2=4,VLOOKUP($A144,'District Level ADM'!$A$5:$W$52,5,FALSE)="3-Year Avg."),AB144,IF($A$2=2,AP144,IF($A$2=3,AB144,IF(($AG144&gt;$AU144),AB144,AP144)))))</f>
        <v>0</v>
      </c>
      <c r="O144" s="317">
        <f>IF(AND($A$2=4,VLOOKUP($A144,'District Level ADM'!$A$5:$W$52,5,FALSE)="Prior Year"),AQ144,IF(AND($A$2=4,VLOOKUP($A144,'District Level ADM'!$A$5:$W$52,5,FALSE)="3-Year Avg."),AC144,IF($A$2=2,AQ144,IF($A$2=3,AC144,IF(($AG144&gt;$AU144),AC144,AQ144)))))</f>
        <v>0</v>
      </c>
      <c r="P144" s="317">
        <f>IF(AND($A$2=4,VLOOKUP($A144,'District Level ADM'!$A$5:$W$52,5,FALSE)="Prior Year"),AR144,IF(AND($A$2=4,VLOOKUP($A144,'District Level ADM'!$A$5:$W$52,5,FALSE)="3-Year Avg."),AD144,IF($A$2=2,AR144,IF($A$2=3,AD144,IF(($AG144&gt;$AU144),AD144,AR144)))))</f>
        <v>0</v>
      </c>
      <c r="Q144" s="317">
        <f>IF(AND($A$2=4,VLOOKUP($A144,'District Level ADM'!$A$5:$W$52,5,FALSE)="Prior Year"),AS144,IF(AND($A$2=4,VLOOKUP($A144,'District Level ADM'!$A$5:$W$52,5,FALSE)="3-Year Avg."),AE144,IF($A$2=2,AS144,IF($A$2=3,AE144,IF(($AG144&gt;$AU144),AE144,AS144)))))</f>
        <v>0</v>
      </c>
      <c r="R144" s="317">
        <f>IF(AND($A$2=4,VLOOKUP($A144,'District Level ADM'!$A$5:$W$52,5,FALSE)="Prior Year"),AT144,IF(AND($A$2=4,VLOOKUP($A144,'District Level ADM'!$A$5:$W$52,5,FALSE)="3-Year Avg."),AF144,IF($A$2=2,AT144,IF($A$2=3,AF144,IF(($AG144&gt;$AU144),AF144,AT144)))))</f>
        <v>0</v>
      </c>
      <c r="S144" s="317">
        <f t="shared" si="25"/>
        <v>268.90500000000003</v>
      </c>
      <c r="T144" s="317">
        <f t="shared" ref="T144:AC179" si="29">AVERAGE(AH144,AV144,BJ144)</f>
        <v>34.113666666666667</v>
      </c>
      <c r="U144" s="317">
        <f t="shared" si="29"/>
        <v>39.259</v>
      </c>
      <c r="V144" s="317">
        <f t="shared" si="29"/>
        <v>37.816666666666663</v>
      </c>
      <c r="W144" s="317">
        <f t="shared" si="29"/>
        <v>38.68333333333333</v>
      </c>
      <c r="X144" s="317">
        <f t="shared" si="29"/>
        <v>41.039333333333332</v>
      </c>
      <c r="Y144" s="317">
        <f t="shared" si="29"/>
        <v>44.988666666666667</v>
      </c>
      <c r="Z144" s="317">
        <f t="shared" si="23"/>
        <v>46.074000000000005</v>
      </c>
      <c r="AA144" s="317">
        <f t="shared" si="23"/>
        <v>0</v>
      </c>
      <c r="AB144" s="317">
        <f t="shared" si="23"/>
        <v>0</v>
      </c>
      <c r="AC144" s="317">
        <f t="shared" si="23"/>
        <v>0</v>
      </c>
      <c r="AD144" s="317">
        <f t="shared" si="23"/>
        <v>0</v>
      </c>
      <c r="AE144" s="317">
        <f t="shared" si="23"/>
        <v>0</v>
      </c>
      <c r="AF144" s="317">
        <f t="shared" si="23"/>
        <v>0</v>
      </c>
      <c r="AG144" s="317">
        <f t="shared" si="26"/>
        <v>281.97466666666668</v>
      </c>
      <c r="AH144" s="318">
        <v>28.565000000000001</v>
      </c>
      <c r="AI144" s="318">
        <v>28.565000000000001</v>
      </c>
      <c r="AJ144" s="318">
        <v>37.43</v>
      </c>
      <c r="AK144" s="318">
        <v>41.37</v>
      </c>
      <c r="AL144" s="318">
        <v>43.34</v>
      </c>
      <c r="AM144" s="318">
        <v>41.37</v>
      </c>
      <c r="AN144" s="318">
        <v>48.265000000000001</v>
      </c>
      <c r="AO144" s="318">
        <v>0</v>
      </c>
      <c r="AP144" s="318">
        <v>0</v>
      </c>
      <c r="AQ144" s="318">
        <v>0</v>
      </c>
      <c r="AR144" s="318">
        <v>0</v>
      </c>
      <c r="AS144" s="318">
        <v>0</v>
      </c>
      <c r="AT144" s="318">
        <v>0</v>
      </c>
      <c r="AU144" s="317">
        <f t="shared" si="27"/>
        <v>268.90500000000003</v>
      </c>
      <c r="AV144" s="319">
        <v>31.102</v>
      </c>
      <c r="AW144" s="319">
        <v>40.932000000000002</v>
      </c>
      <c r="AX144" s="319">
        <v>35.563000000000002</v>
      </c>
      <c r="AY144" s="319">
        <v>37.942999999999998</v>
      </c>
      <c r="AZ144" s="319">
        <v>36.783999999999999</v>
      </c>
      <c r="BA144" s="319">
        <v>48.75</v>
      </c>
      <c r="BB144" s="319">
        <v>40.573999999999998</v>
      </c>
      <c r="BC144" s="319">
        <v>0</v>
      </c>
      <c r="BD144" s="319">
        <v>0</v>
      </c>
      <c r="BE144" s="319">
        <v>0</v>
      </c>
      <c r="BF144" s="319">
        <v>0</v>
      </c>
      <c r="BG144" s="319">
        <v>0</v>
      </c>
      <c r="BH144" s="319">
        <v>0</v>
      </c>
      <c r="BI144" s="317">
        <f t="shared" si="28"/>
        <v>271.64800000000002</v>
      </c>
      <c r="BJ144" s="316">
        <v>42.673999999999999</v>
      </c>
      <c r="BK144" s="316">
        <v>48.28</v>
      </c>
      <c r="BL144" s="316">
        <v>40.457000000000001</v>
      </c>
      <c r="BM144" s="316">
        <v>36.737000000000002</v>
      </c>
      <c r="BN144" s="316">
        <v>42.994</v>
      </c>
      <c r="BO144" s="316">
        <v>44.845999999999997</v>
      </c>
      <c r="BP144" s="316">
        <v>49.383000000000003</v>
      </c>
      <c r="BQ144" s="316">
        <v>0</v>
      </c>
      <c r="BR144" s="316">
        <v>0</v>
      </c>
      <c r="BS144" s="316">
        <v>0</v>
      </c>
      <c r="BT144" s="316">
        <v>0</v>
      </c>
      <c r="BU144" s="316">
        <v>0</v>
      </c>
      <c r="BV144" s="316">
        <v>0</v>
      </c>
      <c r="BW144" s="317">
        <f t="shared" si="24"/>
        <v>305.37099999999998</v>
      </c>
    </row>
    <row r="145" spans="1:75" x14ac:dyDescent="0.2">
      <c r="A145" s="20" t="str">
        <f>'School Level Inst. Resources'!A145</f>
        <v>1101000</v>
      </c>
      <c r="B145" s="20" t="str">
        <f>'School Level Inst. Resources'!B145</f>
        <v>Laramie #1</v>
      </c>
      <c r="C145" s="20" t="str">
        <f>'School Level Inst. Resources'!C145</f>
        <v>1101002</v>
      </c>
      <c r="D145" s="20" t="str">
        <f>'School Level Inst. Resources'!D145</f>
        <v>Arp Elementary</v>
      </c>
      <c r="E145" s="138" t="str">
        <f>'School Level Inst. Resources'!E145</f>
        <v>P-6</v>
      </c>
      <c r="F145" s="317">
        <f>IF(AND($A$2=4,VLOOKUP($A145,'District Level ADM'!$A$5:$W$52,5,FALSE)="Prior Year"),AH145,IF(AND($A$2=4,VLOOKUP($A145,'District Level ADM'!$A$5:$W$52,5,FALSE)="3-Year Avg."),T145,IF($A$2=2,AH145,IF($A$2=3,T145,IF(($AG145&gt;$AU145),T145,AH145)))))</f>
        <v>47.28</v>
      </c>
      <c r="G145" s="317">
        <f>IF(AND($A$2=4,VLOOKUP($A145,'District Level ADM'!$A$5:$W$52,5,FALSE)="Prior Year"),AI145,IF(AND($A$2=4,VLOOKUP($A145,'District Level ADM'!$A$5:$W$52,5,FALSE)="3-Year Avg."),U145,IF($A$2=2,AI145,IF($A$2=3,U145,IF(($AG145&gt;$AU145),U145,AI145)))))</f>
        <v>39.4</v>
      </c>
      <c r="H145" s="317">
        <f>IF(AND($A$2=4,VLOOKUP($A145,'District Level ADM'!$A$5:$W$52,5,FALSE)="Prior Year"),AJ145,IF(AND($A$2=4,VLOOKUP($A145,'District Level ADM'!$A$5:$W$52,5,FALSE)="3-Year Avg."),V145,IF($A$2=2,AJ145,IF($A$2=3,V145,IF(($AG145&gt;$AU145),V145,AJ145)))))</f>
        <v>50.234999999999999</v>
      </c>
      <c r="I145" s="317">
        <f>IF(AND($A$2=4,VLOOKUP($A145,'District Level ADM'!$A$5:$W$52,5,FALSE)="Prior Year"),AK145,IF(AND($A$2=4,VLOOKUP($A145,'District Level ADM'!$A$5:$W$52,5,FALSE)="3-Year Avg."),W145,IF($A$2=2,AK145,IF($A$2=3,W145,IF(($AG145&gt;$AU145),W145,AK145)))))</f>
        <v>47.28</v>
      </c>
      <c r="J145" s="317">
        <f>IF(AND($A$2=4,VLOOKUP($A145,'District Level ADM'!$A$5:$W$52,5,FALSE)="Prior Year"),AL145,IF(AND($A$2=4,VLOOKUP($A145,'District Level ADM'!$A$5:$W$52,5,FALSE)="3-Year Avg."),X145,IF($A$2=2,AL145,IF($A$2=3,X145,IF(($AG145&gt;$AU145),X145,AL145)))))</f>
        <v>49.25</v>
      </c>
      <c r="K145" s="317">
        <f>IF(AND($A$2=4,VLOOKUP($A145,'District Level ADM'!$A$5:$W$52,5,FALSE)="Prior Year"),AM145,IF(AND($A$2=4,VLOOKUP($A145,'District Level ADM'!$A$5:$W$52,5,FALSE)="3-Year Avg."),Y145,IF($A$2=2,AM145,IF($A$2=3,Y145,IF(($AG145&gt;$AU145),Y145,AM145)))))</f>
        <v>44.325000000000003</v>
      </c>
      <c r="L145" s="317">
        <f>IF(AND($A$2=4,VLOOKUP($A145,'District Level ADM'!$A$5:$W$52,5,FALSE)="Prior Year"),AN145,IF(AND($A$2=4,VLOOKUP($A145,'District Level ADM'!$A$5:$W$52,5,FALSE)="3-Year Avg."),Z145,IF($A$2=2,AN145,IF($A$2=3,Z145,IF(($AG145&gt;$AU145),Z145,AN145)))))</f>
        <v>62.055</v>
      </c>
      <c r="M145" s="317">
        <f>IF(AND($A$2=4,VLOOKUP($A145,'District Level ADM'!$A$5:$W$52,5,FALSE)="Prior Year"),AO145,IF(AND($A$2=4,VLOOKUP($A145,'District Level ADM'!$A$5:$W$52,5,FALSE)="3-Year Avg."),AA145,IF($A$2=2,AO145,IF($A$2=3,AA145,IF(($AG145&gt;$AU145),AA145,AO145)))))</f>
        <v>0</v>
      </c>
      <c r="N145" s="317">
        <f>IF(AND($A$2=4,VLOOKUP($A145,'District Level ADM'!$A$5:$W$52,5,FALSE)="Prior Year"),AP145,IF(AND($A$2=4,VLOOKUP($A145,'District Level ADM'!$A$5:$W$52,5,FALSE)="3-Year Avg."),AB145,IF($A$2=2,AP145,IF($A$2=3,AB145,IF(($AG145&gt;$AU145),AB145,AP145)))))</f>
        <v>0</v>
      </c>
      <c r="O145" s="317">
        <f>IF(AND($A$2=4,VLOOKUP($A145,'District Level ADM'!$A$5:$W$52,5,FALSE)="Prior Year"),AQ145,IF(AND($A$2=4,VLOOKUP($A145,'District Level ADM'!$A$5:$W$52,5,FALSE)="3-Year Avg."),AC145,IF($A$2=2,AQ145,IF($A$2=3,AC145,IF(($AG145&gt;$AU145),AC145,AQ145)))))</f>
        <v>0</v>
      </c>
      <c r="P145" s="317">
        <f>IF(AND($A$2=4,VLOOKUP($A145,'District Level ADM'!$A$5:$W$52,5,FALSE)="Prior Year"),AR145,IF(AND($A$2=4,VLOOKUP($A145,'District Level ADM'!$A$5:$W$52,5,FALSE)="3-Year Avg."),AD145,IF($A$2=2,AR145,IF($A$2=3,AD145,IF(($AG145&gt;$AU145),AD145,AR145)))))</f>
        <v>0</v>
      </c>
      <c r="Q145" s="317">
        <f>IF(AND($A$2=4,VLOOKUP($A145,'District Level ADM'!$A$5:$W$52,5,FALSE)="Prior Year"),AS145,IF(AND($A$2=4,VLOOKUP($A145,'District Level ADM'!$A$5:$W$52,5,FALSE)="3-Year Avg."),AE145,IF($A$2=2,AS145,IF($A$2=3,AE145,IF(($AG145&gt;$AU145),AE145,AS145)))))</f>
        <v>0</v>
      </c>
      <c r="R145" s="317">
        <f>IF(AND($A$2=4,VLOOKUP($A145,'District Level ADM'!$A$5:$W$52,5,FALSE)="Prior Year"),AT145,IF(AND($A$2=4,VLOOKUP($A145,'District Level ADM'!$A$5:$W$52,5,FALSE)="3-Year Avg."),AF145,IF($A$2=2,AT145,IF($A$2=3,AF145,IF(($AG145&gt;$AU145),AF145,AT145)))))</f>
        <v>0</v>
      </c>
      <c r="S145" s="317">
        <f t="shared" si="25"/>
        <v>339.82500000000005</v>
      </c>
      <c r="T145" s="317">
        <f t="shared" si="29"/>
        <v>49.103000000000002</v>
      </c>
      <c r="U145" s="317">
        <f t="shared" si="29"/>
        <v>48.741666666666667</v>
      </c>
      <c r="V145" s="317">
        <f t="shared" si="29"/>
        <v>51.041000000000004</v>
      </c>
      <c r="W145" s="317">
        <f t="shared" si="29"/>
        <v>50.022999999999996</v>
      </c>
      <c r="X145" s="317">
        <f t="shared" si="29"/>
        <v>54.018666666666661</v>
      </c>
      <c r="Y145" s="317">
        <f t="shared" si="29"/>
        <v>50.519333333333343</v>
      </c>
      <c r="Z145" s="317">
        <f t="shared" si="23"/>
        <v>53.146333333333331</v>
      </c>
      <c r="AA145" s="317">
        <f t="shared" si="23"/>
        <v>0</v>
      </c>
      <c r="AB145" s="317">
        <f t="shared" si="23"/>
        <v>0</v>
      </c>
      <c r="AC145" s="317">
        <f t="shared" si="23"/>
        <v>0</v>
      </c>
      <c r="AD145" s="317">
        <f t="shared" si="23"/>
        <v>0</v>
      </c>
      <c r="AE145" s="317">
        <f t="shared" si="23"/>
        <v>0</v>
      </c>
      <c r="AF145" s="317">
        <f t="shared" si="23"/>
        <v>0</v>
      </c>
      <c r="AG145" s="317">
        <f t="shared" si="26"/>
        <v>356.59299999999996</v>
      </c>
      <c r="AH145" s="318">
        <v>47.28</v>
      </c>
      <c r="AI145" s="318">
        <v>39.4</v>
      </c>
      <c r="AJ145" s="318">
        <v>50.234999999999999</v>
      </c>
      <c r="AK145" s="318">
        <v>47.28</v>
      </c>
      <c r="AL145" s="318">
        <v>49.25</v>
      </c>
      <c r="AM145" s="318">
        <v>44.325000000000003</v>
      </c>
      <c r="AN145" s="318">
        <v>62.055</v>
      </c>
      <c r="AO145" s="318">
        <v>0</v>
      </c>
      <c r="AP145" s="318">
        <v>0</v>
      </c>
      <c r="AQ145" s="318">
        <v>0</v>
      </c>
      <c r="AR145" s="318">
        <v>0</v>
      </c>
      <c r="AS145" s="318">
        <v>0</v>
      </c>
      <c r="AT145" s="318">
        <v>0</v>
      </c>
      <c r="AU145" s="317">
        <f t="shared" si="27"/>
        <v>339.82500000000005</v>
      </c>
      <c r="AV145" s="319">
        <v>46.92</v>
      </c>
      <c r="AW145" s="319">
        <v>51.551000000000002</v>
      </c>
      <c r="AX145" s="319">
        <v>51.642000000000003</v>
      </c>
      <c r="AY145" s="319">
        <v>52.908999999999999</v>
      </c>
      <c r="AZ145" s="319">
        <v>48.063000000000002</v>
      </c>
      <c r="BA145" s="319">
        <v>60.136000000000003</v>
      </c>
      <c r="BB145" s="319">
        <v>47.813000000000002</v>
      </c>
      <c r="BC145" s="319">
        <v>0</v>
      </c>
      <c r="BD145" s="319">
        <v>0</v>
      </c>
      <c r="BE145" s="319">
        <v>0</v>
      </c>
      <c r="BF145" s="319">
        <v>0</v>
      </c>
      <c r="BG145" s="319">
        <v>0</v>
      </c>
      <c r="BH145" s="319">
        <v>0</v>
      </c>
      <c r="BI145" s="317">
        <f t="shared" si="28"/>
        <v>359.03399999999999</v>
      </c>
      <c r="BJ145" s="316">
        <v>53.109000000000002</v>
      </c>
      <c r="BK145" s="316">
        <v>55.274000000000001</v>
      </c>
      <c r="BL145" s="316">
        <v>51.246000000000002</v>
      </c>
      <c r="BM145" s="316">
        <v>49.88</v>
      </c>
      <c r="BN145" s="316">
        <v>64.742999999999995</v>
      </c>
      <c r="BO145" s="316">
        <v>47.097000000000001</v>
      </c>
      <c r="BP145" s="316">
        <v>49.570999999999998</v>
      </c>
      <c r="BQ145" s="316">
        <v>0</v>
      </c>
      <c r="BR145" s="316">
        <v>0</v>
      </c>
      <c r="BS145" s="316">
        <v>0</v>
      </c>
      <c r="BT145" s="316">
        <v>0</v>
      </c>
      <c r="BU145" s="316">
        <v>0</v>
      </c>
      <c r="BV145" s="316">
        <v>0</v>
      </c>
      <c r="BW145" s="317">
        <f t="shared" si="24"/>
        <v>370.91999999999996</v>
      </c>
    </row>
    <row r="146" spans="1:75" x14ac:dyDescent="0.2">
      <c r="A146" s="20" t="str">
        <f>'School Level Inst. Resources'!A146</f>
        <v>1101000</v>
      </c>
      <c r="B146" s="20" t="str">
        <f>'School Level Inst. Resources'!B146</f>
        <v>Laramie #1</v>
      </c>
      <c r="C146" s="20" t="str">
        <f>'School Level Inst. Resources'!C146</f>
        <v>1101003</v>
      </c>
      <c r="D146" s="20" t="str">
        <f>'School Level Inst. Resources'!D146</f>
        <v>Baggs Elementary</v>
      </c>
      <c r="E146" s="138" t="str">
        <f>'School Level Inst. Resources'!E146</f>
        <v>K-6</v>
      </c>
      <c r="F146" s="317">
        <f>IF(AND($A$2=4,VLOOKUP($A146,'District Level ADM'!$A$5:$W$52,5,FALSE)="Prior Year"),AH146,IF(AND($A$2=4,VLOOKUP($A146,'District Level ADM'!$A$5:$W$52,5,FALSE)="3-Year Avg."),T146,IF($A$2=2,AH146,IF($A$2=3,T146,IF(($AG146&gt;$AU146),T146,AH146)))))</f>
        <v>44.325000000000003</v>
      </c>
      <c r="G146" s="317">
        <f>IF(AND($A$2=4,VLOOKUP($A146,'District Level ADM'!$A$5:$W$52,5,FALSE)="Prior Year"),AI146,IF(AND($A$2=4,VLOOKUP($A146,'District Level ADM'!$A$5:$W$52,5,FALSE)="3-Year Avg."),U146,IF($A$2=2,AI146,IF($A$2=3,U146,IF(($AG146&gt;$AU146),U146,AI146)))))</f>
        <v>47.28</v>
      </c>
      <c r="H146" s="317">
        <f>IF(AND($A$2=4,VLOOKUP($A146,'District Level ADM'!$A$5:$W$52,5,FALSE)="Prior Year"),AJ146,IF(AND($A$2=4,VLOOKUP($A146,'District Level ADM'!$A$5:$W$52,5,FALSE)="3-Year Avg."),V146,IF($A$2=2,AJ146,IF($A$2=3,V146,IF(($AG146&gt;$AU146),V146,AJ146)))))</f>
        <v>46.295000000000002</v>
      </c>
      <c r="I146" s="317">
        <f>IF(AND($A$2=4,VLOOKUP($A146,'District Level ADM'!$A$5:$W$52,5,FALSE)="Prior Year"),AK146,IF(AND($A$2=4,VLOOKUP($A146,'District Level ADM'!$A$5:$W$52,5,FALSE)="3-Year Avg."),W146,IF($A$2=2,AK146,IF($A$2=3,W146,IF(($AG146&gt;$AU146),W146,AK146)))))</f>
        <v>41.37</v>
      </c>
      <c r="J146" s="317">
        <f>IF(AND($A$2=4,VLOOKUP($A146,'District Level ADM'!$A$5:$W$52,5,FALSE)="Prior Year"),AL146,IF(AND($A$2=4,VLOOKUP($A146,'District Level ADM'!$A$5:$W$52,5,FALSE)="3-Year Avg."),X146,IF($A$2=2,AL146,IF($A$2=3,X146,IF(($AG146&gt;$AU146),X146,AL146)))))</f>
        <v>46.295000000000002</v>
      </c>
      <c r="K146" s="317">
        <f>IF(AND($A$2=4,VLOOKUP($A146,'District Level ADM'!$A$5:$W$52,5,FALSE)="Prior Year"),AM146,IF(AND($A$2=4,VLOOKUP($A146,'District Level ADM'!$A$5:$W$52,5,FALSE)="3-Year Avg."),Y146,IF($A$2=2,AM146,IF($A$2=3,Y146,IF(($AG146&gt;$AU146),Y146,AM146)))))</f>
        <v>39.4</v>
      </c>
      <c r="L146" s="317">
        <f>IF(AND($A$2=4,VLOOKUP($A146,'District Level ADM'!$A$5:$W$52,5,FALSE)="Prior Year"),AN146,IF(AND($A$2=4,VLOOKUP($A146,'District Level ADM'!$A$5:$W$52,5,FALSE)="3-Year Avg."),Z146,IF($A$2=2,AN146,IF($A$2=3,Z146,IF(($AG146&gt;$AU146),Z146,AN146)))))</f>
        <v>41.37</v>
      </c>
      <c r="M146" s="317">
        <f>IF(AND($A$2=4,VLOOKUP($A146,'District Level ADM'!$A$5:$W$52,5,FALSE)="Prior Year"),AO146,IF(AND($A$2=4,VLOOKUP($A146,'District Level ADM'!$A$5:$W$52,5,FALSE)="3-Year Avg."),AA146,IF($A$2=2,AO146,IF($A$2=3,AA146,IF(($AG146&gt;$AU146),AA146,AO146)))))</f>
        <v>0</v>
      </c>
      <c r="N146" s="317">
        <f>IF(AND($A$2=4,VLOOKUP($A146,'District Level ADM'!$A$5:$W$52,5,FALSE)="Prior Year"),AP146,IF(AND($A$2=4,VLOOKUP($A146,'District Level ADM'!$A$5:$W$52,5,FALSE)="3-Year Avg."),AB146,IF($A$2=2,AP146,IF($A$2=3,AB146,IF(($AG146&gt;$AU146),AB146,AP146)))))</f>
        <v>0</v>
      </c>
      <c r="O146" s="317">
        <f>IF(AND($A$2=4,VLOOKUP($A146,'District Level ADM'!$A$5:$W$52,5,FALSE)="Prior Year"),AQ146,IF(AND($A$2=4,VLOOKUP($A146,'District Level ADM'!$A$5:$W$52,5,FALSE)="3-Year Avg."),AC146,IF($A$2=2,AQ146,IF($A$2=3,AC146,IF(($AG146&gt;$AU146),AC146,AQ146)))))</f>
        <v>0</v>
      </c>
      <c r="P146" s="317">
        <f>IF(AND($A$2=4,VLOOKUP($A146,'District Level ADM'!$A$5:$W$52,5,FALSE)="Prior Year"),AR146,IF(AND($A$2=4,VLOOKUP($A146,'District Level ADM'!$A$5:$W$52,5,FALSE)="3-Year Avg."),AD146,IF($A$2=2,AR146,IF($A$2=3,AD146,IF(($AG146&gt;$AU146),AD146,AR146)))))</f>
        <v>0</v>
      </c>
      <c r="Q146" s="317">
        <f>IF(AND($A$2=4,VLOOKUP($A146,'District Level ADM'!$A$5:$W$52,5,FALSE)="Prior Year"),AS146,IF(AND($A$2=4,VLOOKUP($A146,'District Level ADM'!$A$5:$W$52,5,FALSE)="3-Year Avg."),AE146,IF($A$2=2,AS146,IF($A$2=3,AE146,IF(($AG146&gt;$AU146),AE146,AS146)))))</f>
        <v>0</v>
      </c>
      <c r="R146" s="317">
        <f>IF(AND($A$2=4,VLOOKUP($A146,'District Level ADM'!$A$5:$W$52,5,FALSE)="Prior Year"),AT146,IF(AND($A$2=4,VLOOKUP($A146,'District Level ADM'!$A$5:$W$52,5,FALSE)="3-Year Avg."),AF146,IF($A$2=2,AT146,IF($A$2=3,AF146,IF(($AG146&gt;$AU146),AF146,AT146)))))</f>
        <v>0</v>
      </c>
      <c r="S146" s="317">
        <f t="shared" si="25"/>
        <v>306.33499999999998</v>
      </c>
      <c r="T146" s="317">
        <f t="shared" si="29"/>
        <v>48.414333333333339</v>
      </c>
      <c r="U146" s="317">
        <f t="shared" si="29"/>
        <v>47.320333333333338</v>
      </c>
      <c r="V146" s="317">
        <f t="shared" si="29"/>
        <v>48.309666666666665</v>
      </c>
      <c r="W146" s="317">
        <f t="shared" si="29"/>
        <v>48.902333333333331</v>
      </c>
      <c r="X146" s="317">
        <f t="shared" si="29"/>
        <v>47.45066666666667</v>
      </c>
      <c r="Y146" s="317">
        <f t="shared" si="29"/>
        <v>40.946999999999996</v>
      </c>
      <c r="Z146" s="317">
        <f t="shared" si="23"/>
        <v>39.863999999999997</v>
      </c>
      <c r="AA146" s="317">
        <f t="shared" si="23"/>
        <v>0</v>
      </c>
      <c r="AB146" s="317">
        <f t="shared" si="23"/>
        <v>0</v>
      </c>
      <c r="AC146" s="317">
        <f t="shared" si="23"/>
        <v>0</v>
      </c>
      <c r="AD146" s="317">
        <f t="shared" si="23"/>
        <v>0</v>
      </c>
      <c r="AE146" s="317">
        <f t="shared" si="23"/>
        <v>0</v>
      </c>
      <c r="AF146" s="317">
        <f t="shared" si="23"/>
        <v>0</v>
      </c>
      <c r="AG146" s="317">
        <f t="shared" si="26"/>
        <v>321.20833333333331</v>
      </c>
      <c r="AH146" s="318">
        <v>44.325000000000003</v>
      </c>
      <c r="AI146" s="318">
        <v>47.28</v>
      </c>
      <c r="AJ146" s="318">
        <v>46.295000000000002</v>
      </c>
      <c r="AK146" s="318">
        <v>41.37</v>
      </c>
      <c r="AL146" s="318">
        <v>46.295000000000002</v>
      </c>
      <c r="AM146" s="318">
        <v>39.4</v>
      </c>
      <c r="AN146" s="318">
        <v>41.37</v>
      </c>
      <c r="AO146" s="318">
        <v>0</v>
      </c>
      <c r="AP146" s="318">
        <v>0</v>
      </c>
      <c r="AQ146" s="318">
        <v>0</v>
      </c>
      <c r="AR146" s="318">
        <v>0</v>
      </c>
      <c r="AS146" s="318">
        <v>0</v>
      </c>
      <c r="AT146" s="318">
        <v>0</v>
      </c>
      <c r="AU146" s="317">
        <f t="shared" si="27"/>
        <v>306.33499999999998</v>
      </c>
      <c r="AV146" s="319">
        <v>53.392000000000003</v>
      </c>
      <c r="AW146" s="319">
        <v>47.898000000000003</v>
      </c>
      <c r="AX146" s="319">
        <v>46.067999999999998</v>
      </c>
      <c r="AY146" s="319">
        <v>52.148000000000003</v>
      </c>
      <c r="AZ146" s="319">
        <v>49.886000000000003</v>
      </c>
      <c r="BA146" s="319">
        <v>47.801000000000002</v>
      </c>
      <c r="BB146" s="319">
        <v>38.011000000000003</v>
      </c>
      <c r="BC146" s="319">
        <v>0</v>
      </c>
      <c r="BD146" s="319">
        <v>0</v>
      </c>
      <c r="BE146" s="319">
        <v>0</v>
      </c>
      <c r="BF146" s="319">
        <v>0</v>
      </c>
      <c r="BG146" s="319">
        <v>0</v>
      </c>
      <c r="BH146" s="319">
        <v>0</v>
      </c>
      <c r="BI146" s="317">
        <f t="shared" si="28"/>
        <v>335.20400000000001</v>
      </c>
      <c r="BJ146" s="316">
        <v>47.526000000000003</v>
      </c>
      <c r="BK146" s="316">
        <v>46.783000000000001</v>
      </c>
      <c r="BL146" s="316">
        <v>52.566000000000003</v>
      </c>
      <c r="BM146" s="316">
        <v>53.189</v>
      </c>
      <c r="BN146" s="316">
        <v>46.170999999999999</v>
      </c>
      <c r="BO146" s="316">
        <v>35.64</v>
      </c>
      <c r="BP146" s="316">
        <v>40.210999999999999</v>
      </c>
      <c r="BQ146" s="316">
        <v>0</v>
      </c>
      <c r="BR146" s="316">
        <v>0</v>
      </c>
      <c r="BS146" s="316">
        <v>0</v>
      </c>
      <c r="BT146" s="316">
        <v>0</v>
      </c>
      <c r="BU146" s="316">
        <v>0</v>
      </c>
      <c r="BV146" s="316">
        <v>0</v>
      </c>
      <c r="BW146" s="317">
        <f t="shared" si="24"/>
        <v>322.08600000000001</v>
      </c>
    </row>
    <row r="147" spans="1:75" x14ac:dyDescent="0.2">
      <c r="A147" s="20" t="str">
        <f>'School Level Inst. Resources'!A147</f>
        <v>1101000</v>
      </c>
      <c r="B147" s="20" t="str">
        <f>'School Level Inst. Resources'!B147</f>
        <v>Laramie #1</v>
      </c>
      <c r="C147" s="20" t="str">
        <f>'School Level Inst. Resources'!C147</f>
        <v>1101004</v>
      </c>
      <c r="D147" s="20" t="str">
        <f>'School Level Inst. Resources'!D147</f>
        <v>Bain Elementary</v>
      </c>
      <c r="E147" s="138" t="str">
        <f>'School Level Inst. Resources'!E147</f>
        <v>K-6</v>
      </c>
      <c r="F147" s="317">
        <f>IF(AND($A$2=4,VLOOKUP($A147,'District Level ADM'!$A$5:$W$52,5,FALSE)="Prior Year"),AH147,IF(AND($A$2=4,VLOOKUP($A147,'District Level ADM'!$A$5:$W$52,5,FALSE)="3-Year Avg."),T147,IF($A$2=2,AH147,IF($A$2=3,T147,IF(($AG147&gt;$AU147),T147,AH147)))))</f>
        <v>45.31</v>
      </c>
      <c r="G147" s="317">
        <f>IF(AND($A$2=4,VLOOKUP($A147,'District Level ADM'!$A$5:$W$52,5,FALSE)="Prior Year"),AI147,IF(AND($A$2=4,VLOOKUP($A147,'District Level ADM'!$A$5:$W$52,5,FALSE)="3-Year Avg."),U147,IF($A$2=2,AI147,IF($A$2=3,U147,IF(($AG147&gt;$AU147),U147,AI147)))))</f>
        <v>38.414999999999999</v>
      </c>
      <c r="H147" s="317">
        <f>IF(AND($A$2=4,VLOOKUP($A147,'District Level ADM'!$A$5:$W$52,5,FALSE)="Prior Year"),AJ147,IF(AND($A$2=4,VLOOKUP($A147,'District Level ADM'!$A$5:$W$52,5,FALSE)="3-Year Avg."),V147,IF($A$2=2,AJ147,IF($A$2=3,V147,IF(($AG147&gt;$AU147),V147,AJ147)))))</f>
        <v>47.28</v>
      </c>
      <c r="I147" s="317">
        <f>IF(AND($A$2=4,VLOOKUP($A147,'District Level ADM'!$A$5:$W$52,5,FALSE)="Prior Year"),AK147,IF(AND($A$2=4,VLOOKUP($A147,'District Level ADM'!$A$5:$W$52,5,FALSE)="3-Year Avg."),W147,IF($A$2=2,AK147,IF($A$2=3,W147,IF(($AG147&gt;$AU147),W147,AK147)))))</f>
        <v>41.37</v>
      </c>
      <c r="J147" s="317">
        <f>IF(AND($A$2=4,VLOOKUP($A147,'District Level ADM'!$A$5:$W$52,5,FALSE)="Prior Year"),AL147,IF(AND($A$2=4,VLOOKUP($A147,'District Level ADM'!$A$5:$W$52,5,FALSE)="3-Year Avg."),X147,IF($A$2=2,AL147,IF($A$2=3,X147,IF(($AG147&gt;$AU147),X147,AL147)))))</f>
        <v>44.325000000000003</v>
      </c>
      <c r="K147" s="317">
        <f>IF(AND($A$2=4,VLOOKUP($A147,'District Level ADM'!$A$5:$W$52,5,FALSE)="Prior Year"),AM147,IF(AND($A$2=4,VLOOKUP($A147,'District Level ADM'!$A$5:$W$52,5,FALSE)="3-Year Avg."),Y147,IF($A$2=2,AM147,IF($A$2=3,Y147,IF(($AG147&gt;$AU147),Y147,AM147)))))</f>
        <v>33.49</v>
      </c>
      <c r="L147" s="317">
        <f>IF(AND($A$2=4,VLOOKUP($A147,'District Level ADM'!$A$5:$W$52,5,FALSE)="Prior Year"),AN147,IF(AND($A$2=4,VLOOKUP($A147,'District Level ADM'!$A$5:$W$52,5,FALSE)="3-Year Avg."),Z147,IF($A$2=2,AN147,IF($A$2=3,Z147,IF(($AG147&gt;$AU147),Z147,AN147)))))</f>
        <v>52.204999999999998</v>
      </c>
      <c r="M147" s="317">
        <f>IF(AND($A$2=4,VLOOKUP($A147,'District Level ADM'!$A$5:$W$52,5,FALSE)="Prior Year"),AO147,IF(AND($A$2=4,VLOOKUP($A147,'District Level ADM'!$A$5:$W$52,5,FALSE)="3-Year Avg."),AA147,IF($A$2=2,AO147,IF($A$2=3,AA147,IF(($AG147&gt;$AU147),AA147,AO147)))))</f>
        <v>0</v>
      </c>
      <c r="N147" s="317">
        <f>IF(AND($A$2=4,VLOOKUP($A147,'District Level ADM'!$A$5:$W$52,5,FALSE)="Prior Year"),AP147,IF(AND($A$2=4,VLOOKUP($A147,'District Level ADM'!$A$5:$W$52,5,FALSE)="3-Year Avg."),AB147,IF($A$2=2,AP147,IF($A$2=3,AB147,IF(($AG147&gt;$AU147),AB147,AP147)))))</f>
        <v>0</v>
      </c>
      <c r="O147" s="317">
        <f>IF(AND($A$2=4,VLOOKUP($A147,'District Level ADM'!$A$5:$W$52,5,FALSE)="Prior Year"),AQ147,IF(AND($A$2=4,VLOOKUP($A147,'District Level ADM'!$A$5:$W$52,5,FALSE)="3-Year Avg."),AC147,IF($A$2=2,AQ147,IF($A$2=3,AC147,IF(($AG147&gt;$AU147),AC147,AQ147)))))</f>
        <v>0</v>
      </c>
      <c r="P147" s="317">
        <f>IF(AND($A$2=4,VLOOKUP($A147,'District Level ADM'!$A$5:$W$52,5,FALSE)="Prior Year"),AR147,IF(AND($A$2=4,VLOOKUP($A147,'District Level ADM'!$A$5:$W$52,5,FALSE)="3-Year Avg."),AD147,IF($A$2=2,AR147,IF($A$2=3,AD147,IF(($AG147&gt;$AU147),AD147,AR147)))))</f>
        <v>0</v>
      </c>
      <c r="Q147" s="317">
        <f>IF(AND($A$2=4,VLOOKUP($A147,'District Level ADM'!$A$5:$W$52,5,FALSE)="Prior Year"),AS147,IF(AND($A$2=4,VLOOKUP($A147,'District Level ADM'!$A$5:$W$52,5,FALSE)="3-Year Avg."),AE147,IF($A$2=2,AS147,IF($A$2=3,AE147,IF(($AG147&gt;$AU147),AE147,AS147)))))</f>
        <v>0</v>
      </c>
      <c r="R147" s="317">
        <f>IF(AND($A$2=4,VLOOKUP($A147,'District Level ADM'!$A$5:$W$52,5,FALSE)="Prior Year"),AT147,IF(AND($A$2=4,VLOOKUP($A147,'District Level ADM'!$A$5:$W$52,5,FALSE)="3-Year Avg."),AF147,IF($A$2=2,AT147,IF($A$2=3,AF147,IF(($AG147&gt;$AU147),AF147,AT147)))))</f>
        <v>0</v>
      </c>
      <c r="S147" s="317">
        <f t="shared" si="25"/>
        <v>302.39499999999998</v>
      </c>
      <c r="T147" s="317">
        <f t="shared" si="29"/>
        <v>43.129333333333328</v>
      </c>
      <c r="U147" s="317">
        <f t="shared" si="29"/>
        <v>45.430666666666667</v>
      </c>
      <c r="V147" s="317">
        <f t="shared" si="29"/>
        <v>49.722000000000001</v>
      </c>
      <c r="W147" s="317">
        <f t="shared" si="29"/>
        <v>42.120333333333335</v>
      </c>
      <c r="X147" s="317">
        <f t="shared" si="29"/>
        <v>44.744333333333337</v>
      </c>
      <c r="Y147" s="317">
        <f t="shared" si="29"/>
        <v>43.277999999999999</v>
      </c>
      <c r="Z147" s="317">
        <f t="shared" si="23"/>
        <v>48.209000000000003</v>
      </c>
      <c r="AA147" s="317">
        <f t="shared" si="23"/>
        <v>0</v>
      </c>
      <c r="AB147" s="317">
        <f t="shared" si="23"/>
        <v>0</v>
      </c>
      <c r="AC147" s="317">
        <f t="shared" si="23"/>
        <v>0</v>
      </c>
      <c r="AD147" s="317">
        <f t="shared" si="23"/>
        <v>0</v>
      </c>
      <c r="AE147" s="317">
        <f t="shared" si="23"/>
        <v>0</v>
      </c>
      <c r="AF147" s="317">
        <f t="shared" si="23"/>
        <v>0</v>
      </c>
      <c r="AG147" s="317">
        <f t="shared" si="26"/>
        <v>316.63366666666667</v>
      </c>
      <c r="AH147" s="318">
        <v>45.31</v>
      </c>
      <c r="AI147" s="318">
        <v>38.414999999999999</v>
      </c>
      <c r="AJ147" s="318">
        <v>47.28</v>
      </c>
      <c r="AK147" s="318">
        <v>41.37</v>
      </c>
      <c r="AL147" s="318">
        <v>44.325000000000003</v>
      </c>
      <c r="AM147" s="318">
        <v>33.49</v>
      </c>
      <c r="AN147" s="318">
        <v>52.204999999999998</v>
      </c>
      <c r="AO147" s="318">
        <v>0</v>
      </c>
      <c r="AP147" s="318">
        <v>0</v>
      </c>
      <c r="AQ147" s="318">
        <v>0</v>
      </c>
      <c r="AR147" s="318">
        <v>0</v>
      </c>
      <c r="AS147" s="318">
        <v>0</v>
      </c>
      <c r="AT147" s="318">
        <v>0</v>
      </c>
      <c r="AU147" s="317">
        <f t="shared" si="27"/>
        <v>302.39499999999998</v>
      </c>
      <c r="AV147" s="319">
        <v>42.414999999999999</v>
      </c>
      <c r="AW147" s="319">
        <v>43.54</v>
      </c>
      <c r="AX147" s="319">
        <v>48.988999999999997</v>
      </c>
      <c r="AY147" s="319">
        <v>47.631</v>
      </c>
      <c r="AZ147" s="319">
        <v>36.125</v>
      </c>
      <c r="BA147" s="319">
        <v>50.83</v>
      </c>
      <c r="BB147" s="319">
        <v>45.136000000000003</v>
      </c>
      <c r="BC147" s="319">
        <v>0</v>
      </c>
      <c r="BD147" s="319">
        <v>0</v>
      </c>
      <c r="BE147" s="319">
        <v>0</v>
      </c>
      <c r="BF147" s="319">
        <v>0</v>
      </c>
      <c r="BG147" s="319">
        <v>0</v>
      </c>
      <c r="BH147" s="319">
        <v>0</v>
      </c>
      <c r="BI147" s="317">
        <f t="shared" si="28"/>
        <v>314.666</v>
      </c>
      <c r="BJ147" s="316">
        <v>41.662999999999997</v>
      </c>
      <c r="BK147" s="316">
        <v>54.337000000000003</v>
      </c>
      <c r="BL147" s="316">
        <v>52.896999999999998</v>
      </c>
      <c r="BM147" s="316">
        <v>37.36</v>
      </c>
      <c r="BN147" s="316">
        <v>53.783000000000001</v>
      </c>
      <c r="BO147" s="316">
        <v>45.514000000000003</v>
      </c>
      <c r="BP147" s="316">
        <v>47.286000000000001</v>
      </c>
      <c r="BQ147" s="316">
        <v>0</v>
      </c>
      <c r="BR147" s="316">
        <v>0</v>
      </c>
      <c r="BS147" s="316">
        <v>0</v>
      </c>
      <c r="BT147" s="316">
        <v>0</v>
      </c>
      <c r="BU147" s="316">
        <v>0</v>
      </c>
      <c r="BV147" s="316">
        <v>0</v>
      </c>
      <c r="BW147" s="317">
        <f t="shared" si="24"/>
        <v>332.84000000000003</v>
      </c>
    </row>
    <row r="148" spans="1:75" x14ac:dyDescent="0.2">
      <c r="A148" s="20" t="str">
        <f>'School Level Inst. Resources'!A148</f>
        <v>1101000</v>
      </c>
      <c r="B148" s="20" t="str">
        <f>'School Level Inst. Resources'!B148</f>
        <v>Laramie #1</v>
      </c>
      <c r="C148" s="20" t="str">
        <f>'School Level Inst. Resources'!C148</f>
        <v>1101005</v>
      </c>
      <c r="D148" s="20" t="str">
        <f>'School Level Inst. Resources'!D148</f>
        <v>Buffalo Ridge Elementary</v>
      </c>
      <c r="E148" s="138" t="str">
        <f>'School Level Inst. Resources'!E148</f>
        <v>K-4</v>
      </c>
      <c r="F148" s="317">
        <f>IF(AND($A$2=4,VLOOKUP($A148,'District Level ADM'!$A$5:$W$52,5,FALSE)="Prior Year"),AH148,IF(AND($A$2=4,VLOOKUP($A148,'District Level ADM'!$A$5:$W$52,5,FALSE)="3-Year Avg."),T148,IF($A$2=2,AH148,IF($A$2=3,T148,IF(($AG148&gt;$AU148),T148,AH148)))))</f>
        <v>28.565000000000001</v>
      </c>
      <c r="G148" s="317">
        <f>IF(AND($A$2=4,VLOOKUP($A148,'District Level ADM'!$A$5:$W$52,5,FALSE)="Prior Year"),AI148,IF(AND($A$2=4,VLOOKUP($A148,'District Level ADM'!$A$5:$W$52,5,FALSE)="3-Year Avg."),U148,IF($A$2=2,AI148,IF($A$2=3,U148,IF(($AG148&gt;$AU148),U148,AI148)))))</f>
        <v>32.505000000000003</v>
      </c>
      <c r="H148" s="317">
        <f>IF(AND($A$2=4,VLOOKUP($A148,'District Level ADM'!$A$5:$W$52,5,FALSE)="Prior Year"),AJ148,IF(AND($A$2=4,VLOOKUP($A148,'District Level ADM'!$A$5:$W$52,5,FALSE)="3-Year Avg."),V148,IF($A$2=2,AJ148,IF($A$2=3,V148,IF(($AG148&gt;$AU148),V148,AJ148)))))</f>
        <v>45.31</v>
      </c>
      <c r="I148" s="317">
        <f>IF(AND($A$2=4,VLOOKUP($A148,'District Level ADM'!$A$5:$W$52,5,FALSE)="Prior Year"),AK148,IF(AND($A$2=4,VLOOKUP($A148,'District Level ADM'!$A$5:$W$52,5,FALSE)="3-Year Avg."),W148,IF($A$2=2,AK148,IF($A$2=3,W148,IF(($AG148&gt;$AU148),W148,AK148)))))</f>
        <v>38.414999999999999</v>
      </c>
      <c r="J148" s="317">
        <f>IF(AND($A$2=4,VLOOKUP($A148,'District Level ADM'!$A$5:$W$52,5,FALSE)="Prior Year"),AL148,IF(AND($A$2=4,VLOOKUP($A148,'District Level ADM'!$A$5:$W$52,5,FALSE)="3-Year Avg."),X148,IF($A$2=2,AL148,IF($A$2=3,X148,IF(($AG148&gt;$AU148),X148,AL148)))))</f>
        <v>33.49</v>
      </c>
      <c r="K148" s="317">
        <f>IF(AND($A$2=4,VLOOKUP($A148,'District Level ADM'!$A$5:$W$52,5,FALSE)="Prior Year"),AM148,IF(AND($A$2=4,VLOOKUP($A148,'District Level ADM'!$A$5:$W$52,5,FALSE)="3-Year Avg."),Y148,IF($A$2=2,AM148,IF($A$2=3,Y148,IF(($AG148&gt;$AU148),Y148,AM148)))))</f>
        <v>0</v>
      </c>
      <c r="L148" s="317">
        <f>IF(AND($A$2=4,VLOOKUP($A148,'District Level ADM'!$A$5:$W$52,5,FALSE)="Prior Year"),AN148,IF(AND($A$2=4,VLOOKUP($A148,'District Level ADM'!$A$5:$W$52,5,FALSE)="3-Year Avg."),Z148,IF($A$2=2,AN148,IF($A$2=3,Z148,IF(($AG148&gt;$AU148),Z148,AN148)))))</f>
        <v>0</v>
      </c>
      <c r="M148" s="317">
        <f>IF(AND($A$2=4,VLOOKUP($A148,'District Level ADM'!$A$5:$W$52,5,FALSE)="Prior Year"),AO148,IF(AND($A$2=4,VLOOKUP($A148,'District Level ADM'!$A$5:$W$52,5,FALSE)="3-Year Avg."),AA148,IF($A$2=2,AO148,IF($A$2=3,AA148,IF(($AG148&gt;$AU148),AA148,AO148)))))</f>
        <v>0</v>
      </c>
      <c r="N148" s="317">
        <f>IF(AND($A$2=4,VLOOKUP($A148,'District Level ADM'!$A$5:$W$52,5,FALSE)="Prior Year"),AP148,IF(AND($A$2=4,VLOOKUP($A148,'District Level ADM'!$A$5:$W$52,5,FALSE)="3-Year Avg."),AB148,IF($A$2=2,AP148,IF($A$2=3,AB148,IF(($AG148&gt;$AU148),AB148,AP148)))))</f>
        <v>0</v>
      </c>
      <c r="O148" s="317">
        <f>IF(AND($A$2=4,VLOOKUP($A148,'District Level ADM'!$A$5:$W$52,5,FALSE)="Prior Year"),AQ148,IF(AND($A$2=4,VLOOKUP($A148,'District Level ADM'!$A$5:$W$52,5,FALSE)="3-Year Avg."),AC148,IF($A$2=2,AQ148,IF($A$2=3,AC148,IF(($AG148&gt;$AU148),AC148,AQ148)))))</f>
        <v>0</v>
      </c>
      <c r="P148" s="317">
        <f>IF(AND($A$2=4,VLOOKUP($A148,'District Level ADM'!$A$5:$W$52,5,FALSE)="Prior Year"),AR148,IF(AND($A$2=4,VLOOKUP($A148,'District Level ADM'!$A$5:$W$52,5,FALSE)="3-Year Avg."),AD148,IF($A$2=2,AR148,IF($A$2=3,AD148,IF(($AG148&gt;$AU148),AD148,AR148)))))</f>
        <v>0</v>
      </c>
      <c r="Q148" s="317">
        <f>IF(AND($A$2=4,VLOOKUP($A148,'District Level ADM'!$A$5:$W$52,5,FALSE)="Prior Year"),AS148,IF(AND($A$2=4,VLOOKUP($A148,'District Level ADM'!$A$5:$W$52,5,FALSE)="3-Year Avg."),AE148,IF($A$2=2,AS148,IF($A$2=3,AE148,IF(($AG148&gt;$AU148),AE148,AS148)))))</f>
        <v>0</v>
      </c>
      <c r="R148" s="317">
        <f>IF(AND($A$2=4,VLOOKUP($A148,'District Level ADM'!$A$5:$W$52,5,FALSE)="Prior Year"),AT148,IF(AND($A$2=4,VLOOKUP($A148,'District Level ADM'!$A$5:$W$52,5,FALSE)="3-Year Avg."),AF148,IF($A$2=2,AT148,IF($A$2=3,AF148,IF(($AG148&gt;$AU148),AF148,AT148)))))</f>
        <v>0</v>
      </c>
      <c r="S148" s="317">
        <f t="shared" si="25"/>
        <v>178.28500000000003</v>
      </c>
      <c r="T148" s="317">
        <f t="shared" si="29"/>
        <v>35.779333333333334</v>
      </c>
      <c r="U148" s="317">
        <f t="shared" si="29"/>
        <v>38.374666666666663</v>
      </c>
      <c r="V148" s="317">
        <f t="shared" si="29"/>
        <v>39.382333333333335</v>
      </c>
      <c r="W148" s="317">
        <f t="shared" si="29"/>
        <v>36.723333333333329</v>
      </c>
      <c r="X148" s="317">
        <f t="shared" si="29"/>
        <v>39.036333333333339</v>
      </c>
      <c r="Y148" s="317">
        <f t="shared" si="29"/>
        <v>0</v>
      </c>
      <c r="Z148" s="317">
        <f t="shared" si="23"/>
        <v>0</v>
      </c>
      <c r="AA148" s="317">
        <f t="shared" si="23"/>
        <v>0</v>
      </c>
      <c r="AB148" s="317">
        <f t="shared" si="23"/>
        <v>0</v>
      </c>
      <c r="AC148" s="317">
        <f t="shared" si="23"/>
        <v>0</v>
      </c>
      <c r="AD148" s="317">
        <f t="shared" si="23"/>
        <v>0</v>
      </c>
      <c r="AE148" s="317">
        <f t="shared" si="23"/>
        <v>0</v>
      </c>
      <c r="AF148" s="317">
        <f t="shared" si="23"/>
        <v>0</v>
      </c>
      <c r="AG148" s="317">
        <f t="shared" si="26"/>
        <v>189.29599999999999</v>
      </c>
      <c r="AH148" s="318">
        <v>28.565000000000001</v>
      </c>
      <c r="AI148" s="318">
        <v>32.505000000000003</v>
      </c>
      <c r="AJ148" s="318">
        <v>45.31</v>
      </c>
      <c r="AK148" s="318">
        <v>38.414999999999999</v>
      </c>
      <c r="AL148" s="318">
        <v>33.49</v>
      </c>
      <c r="AM148" s="318">
        <v>0</v>
      </c>
      <c r="AN148" s="318">
        <v>0</v>
      </c>
      <c r="AO148" s="318">
        <v>0</v>
      </c>
      <c r="AP148" s="318">
        <v>0</v>
      </c>
      <c r="AQ148" s="318">
        <v>0</v>
      </c>
      <c r="AR148" s="318">
        <v>0</v>
      </c>
      <c r="AS148" s="318">
        <v>0</v>
      </c>
      <c r="AT148" s="318">
        <v>0</v>
      </c>
      <c r="AU148" s="317">
        <f t="shared" si="27"/>
        <v>178.28500000000003</v>
      </c>
      <c r="AV148" s="319">
        <v>32.817999999999998</v>
      </c>
      <c r="AW148" s="319">
        <v>42.607999999999997</v>
      </c>
      <c r="AX148" s="319">
        <v>35.551000000000002</v>
      </c>
      <c r="AY148" s="319">
        <v>30.869</v>
      </c>
      <c r="AZ148" s="319">
        <v>44.619</v>
      </c>
      <c r="BA148" s="319">
        <v>0</v>
      </c>
      <c r="BB148" s="319">
        <v>0</v>
      </c>
      <c r="BC148" s="319">
        <v>0</v>
      </c>
      <c r="BD148" s="319">
        <v>0</v>
      </c>
      <c r="BE148" s="319">
        <v>0</v>
      </c>
      <c r="BF148" s="319">
        <v>0</v>
      </c>
      <c r="BG148" s="319">
        <v>0</v>
      </c>
      <c r="BH148" s="319">
        <v>0</v>
      </c>
      <c r="BI148" s="317">
        <f t="shared" si="28"/>
        <v>186.465</v>
      </c>
      <c r="BJ148" s="316">
        <v>45.954999999999998</v>
      </c>
      <c r="BK148" s="316">
        <v>40.011000000000003</v>
      </c>
      <c r="BL148" s="316">
        <v>37.286000000000001</v>
      </c>
      <c r="BM148" s="316">
        <v>40.886000000000003</v>
      </c>
      <c r="BN148" s="316">
        <v>39</v>
      </c>
      <c r="BO148" s="316">
        <v>0</v>
      </c>
      <c r="BP148" s="316">
        <v>0</v>
      </c>
      <c r="BQ148" s="316">
        <v>0</v>
      </c>
      <c r="BR148" s="316">
        <v>0</v>
      </c>
      <c r="BS148" s="316">
        <v>0</v>
      </c>
      <c r="BT148" s="316">
        <v>0</v>
      </c>
      <c r="BU148" s="316">
        <v>0</v>
      </c>
      <c r="BV148" s="316">
        <v>0</v>
      </c>
      <c r="BW148" s="317">
        <f t="shared" si="24"/>
        <v>203.13800000000001</v>
      </c>
    </row>
    <row r="149" spans="1:75" x14ac:dyDescent="0.2">
      <c r="A149" s="20" t="str">
        <f>'School Level Inst. Resources'!A149</f>
        <v>1101000</v>
      </c>
      <c r="B149" s="20" t="str">
        <f>'School Level Inst. Resources'!B149</f>
        <v>Laramie #1</v>
      </c>
      <c r="C149" s="20" t="str">
        <f>'School Level Inst. Resources'!C149</f>
        <v>1101007</v>
      </c>
      <c r="D149" s="20" t="str">
        <f>'School Level Inst. Resources'!D149</f>
        <v>Cole Elementary</v>
      </c>
      <c r="E149" s="138" t="str">
        <f>'School Level Inst. Resources'!E149</f>
        <v>P-6</v>
      </c>
      <c r="F149" s="317">
        <f>IF(AND($A$2=4,VLOOKUP($A149,'District Level ADM'!$A$5:$W$52,5,FALSE)="Prior Year"),AH149,IF(AND($A$2=4,VLOOKUP($A149,'District Level ADM'!$A$5:$W$52,5,FALSE)="3-Year Avg."),T149,IF($A$2=2,AH149,IF($A$2=3,T149,IF(($AG149&gt;$AU149),T149,AH149)))))</f>
        <v>20.684999999999999</v>
      </c>
      <c r="G149" s="317">
        <f>IF(AND($A$2=4,VLOOKUP($A149,'District Level ADM'!$A$5:$W$52,5,FALSE)="Prior Year"),AI149,IF(AND($A$2=4,VLOOKUP($A149,'District Level ADM'!$A$5:$W$52,5,FALSE)="3-Year Avg."),U149,IF($A$2=2,AI149,IF($A$2=3,U149,IF(($AG149&gt;$AU149),U149,AI149)))))</f>
        <v>38.414999999999999</v>
      </c>
      <c r="H149" s="317">
        <f>IF(AND($A$2=4,VLOOKUP($A149,'District Level ADM'!$A$5:$W$52,5,FALSE)="Prior Year"),AJ149,IF(AND($A$2=4,VLOOKUP($A149,'District Level ADM'!$A$5:$W$52,5,FALSE)="3-Year Avg."),V149,IF($A$2=2,AJ149,IF($A$2=3,V149,IF(($AG149&gt;$AU149),V149,AJ149)))))</f>
        <v>27.58</v>
      </c>
      <c r="I149" s="317">
        <f>IF(AND($A$2=4,VLOOKUP($A149,'District Level ADM'!$A$5:$W$52,5,FALSE)="Prior Year"),AK149,IF(AND($A$2=4,VLOOKUP($A149,'District Level ADM'!$A$5:$W$52,5,FALSE)="3-Year Avg."),W149,IF($A$2=2,AK149,IF($A$2=3,W149,IF(($AG149&gt;$AU149),W149,AK149)))))</f>
        <v>24.625</v>
      </c>
      <c r="J149" s="317">
        <f>IF(AND($A$2=4,VLOOKUP($A149,'District Level ADM'!$A$5:$W$52,5,FALSE)="Prior Year"),AL149,IF(AND($A$2=4,VLOOKUP($A149,'District Level ADM'!$A$5:$W$52,5,FALSE)="3-Year Avg."),X149,IF($A$2=2,AL149,IF($A$2=3,X149,IF(($AG149&gt;$AU149),X149,AL149)))))</f>
        <v>38.414999999999999</v>
      </c>
      <c r="K149" s="317">
        <f>IF(AND($A$2=4,VLOOKUP($A149,'District Level ADM'!$A$5:$W$52,5,FALSE)="Prior Year"),AM149,IF(AND($A$2=4,VLOOKUP($A149,'District Level ADM'!$A$5:$W$52,5,FALSE)="3-Year Avg."),Y149,IF($A$2=2,AM149,IF($A$2=3,Y149,IF(($AG149&gt;$AU149),Y149,AM149)))))</f>
        <v>23.64</v>
      </c>
      <c r="L149" s="317">
        <f>IF(AND($A$2=4,VLOOKUP($A149,'District Level ADM'!$A$5:$W$52,5,FALSE)="Prior Year"),AN149,IF(AND($A$2=4,VLOOKUP($A149,'District Level ADM'!$A$5:$W$52,5,FALSE)="3-Year Avg."),Z149,IF($A$2=2,AN149,IF($A$2=3,Z149,IF(($AG149&gt;$AU149),Z149,AN149)))))</f>
        <v>27.58</v>
      </c>
      <c r="M149" s="317">
        <f>IF(AND($A$2=4,VLOOKUP($A149,'District Level ADM'!$A$5:$W$52,5,FALSE)="Prior Year"),AO149,IF(AND($A$2=4,VLOOKUP($A149,'District Level ADM'!$A$5:$W$52,5,FALSE)="3-Year Avg."),AA149,IF($A$2=2,AO149,IF($A$2=3,AA149,IF(($AG149&gt;$AU149),AA149,AO149)))))</f>
        <v>0</v>
      </c>
      <c r="N149" s="317">
        <f>IF(AND($A$2=4,VLOOKUP($A149,'District Level ADM'!$A$5:$W$52,5,FALSE)="Prior Year"),AP149,IF(AND($A$2=4,VLOOKUP($A149,'District Level ADM'!$A$5:$W$52,5,FALSE)="3-Year Avg."),AB149,IF($A$2=2,AP149,IF($A$2=3,AB149,IF(($AG149&gt;$AU149),AB149,AP149)))))</f>
        <v>0</v>
      </c>
      <c r="O149" s="317">
        <f>IF(AND($A$2=4,VLOOKUP($A149,'District Level ADM'!$A$5:$W$52,5,FALSE)="Prior Year"),AQ149,IF(AND($A$2=4,VLOOKUP($A149,'District Level ADM'!$A$5:$W$52,5,FALSE)="3-Year Avg."),AC149,IF($A$2=2,AQ149,IF($A$2=3,AC149,IF(($AG149&gt;$AU149),AC149,AQ149)))))</f>
        <v>0</v>
      </c>
      <c r="P149" s="317">
        <f>IF(AND($A$2=4,VLOOKUP($A149,'District Level ADM'!$A$5:$W$52,5,FALSE)="Prior Year"),AR149,IF(AND($A$2=4,VLOOKUP($A149,'District Level ADM'!$A$5:$W$52,5,FALSE)="3-Year Avg."),AD149,IF($A$2=2,AR149,IF($A$2=3,AD149,IF(($AG149&gt;$AU149),AD149,AR149)))))</f>
        <v>0</v>
      </c>
      <c r="Q149" s="317">
        <f>IF(AND($A$2=4,VLOOKUP($A149,'District Level ADM'!$A$5:$W$52,5,FALSE)="Prior Year"),AS149,IF(AND($A$2=4,VLOOKUP($A149,'District Level ADM'!$A$5:$W$52,5,FALSE)="3-Year Avg."),AE149,IF($A$2=2,AS149,IF($A$2=3,AE149,IF(($AG149&gt;$AU149),AE149,AS149)))))</f>
        <v>0</v>
      </c>
      <c r="R149" s="317">
        <f>IF(AND($A$2=4,VLOOKUP($A149,'District Level ADM'!$A$5:$W$52,5,FALSE)="Prior Year"),AT149,IF(AND($A$2=4,VLOOKUP($A149,'District Level ADM'!$A$5:$W$52,5,FALSE)="3-Year Avg."),AF149,IF($A$2=2,AT149,IF($A$2=3,AF149,IF(($AG149&gt;$AU149),AF149,AT149)))))</f>
        <v>0</v>
      </c>
      <c r="S149" s="317">
        <f t="shared" si="25"/>
        <v>200.94</v>
      </c>
      <c r="T149" s="317">
        <f t="shared" si="29"/>
        <v>35.08</v>
      </c>
      <c r="U149" s="317">
        <f t="shared" si="29"/>
        <v>32.43266666666667</v>
      </c>
      <c r="V149" s="317">
        <f t="shared" si="29"/>
        <v>30.422666666666668</v>
      </c>
      <c r="W149" s="317">
        <f t="shared" si="29"/>
        <v>25.680333333333333</v>
      </c>
      <c r="X149" s="317">
        <f t="shared" si="29"/>
        <v>33.963000000000001</v>
      </c>
      <c r="Y149" s="317">
        <f t="shared" si="29"/>
        <v>27.399666666666665</v>
      </c>
      <c r="Z149" s="317">
        <f t="shared" si="23"/>
        <v>23.413666666666668</v>
      </c>
      <c r="AA149" s="317">
        <f t="shared" si="23"/>
        <v>0</v>
      </c>
      <c r="AB149" s="317">
        <f t="shared" si="23"/>
        <v>0</v>
      </c>
      <c r="AC149" s="317">
        <f t="shared" si="23"/>
        <v>0</v>
      </c>
      <c r="AD149" s="317">
        <f t="shared" si="23"/>
        <v>0</v>
      </c>
      <c r="AE149" s="317">
        <f t="shared" si="23"/>
        <v>0</v>
      </c>
      <c r="AF149" s="317">
        <f t="shared" si="23"/>
        <v>0</v>
      </c>
      <c r="AG149" s="317">
        <f t="shared" si="26"/>
        <v>208.392</v>
      </c>
      <c r="AH149" s="318">
        <v>20.684999999999999</v>
      </c>
      <c r="AI149" s="318">
        <v>38.414999999999999</v>
      </c>
      <c r="AJ149" s="318">
        <v>27.58</v>
      </c>
      <c r="AK149" s="318">
        <v>24.625</v>
      </c>
      <c r="AL149" s="318">
        <v>38.414999999999999</v>
      </c>
      <c r="AM149" s="318">
        <v>23.64</v>
      </c>
      <c r="AN149" s="318">
        <v>27.58</v>
      </c>
      <c r="AO149" s="318">
        <v>0</v>
      </c>
      <c r="AP149" s="318">
        <v>0</v>
      </c>
      <c r="AQ149" s="318">
        <v>0</v>
      </c>
      <c r="AR149" s="318">
        <v>0</v>
      </c>
      <c r="AS149" s="318">
        <v>0</v>
      </c>
      <c r="AT149" s="318">
        <v>0</v>
      </c>
      <c r="AU149" s="317">
        <f t="shared" si="27"/>
        <v>200.94</v>
      </c>
      <c r="AV149" s="319">
        <v>40.835000000000001</v>
      </c>
      <c r="AW149" s="319">
        <v>30.385999999999999</v>
      </c>
      <c r="AX149" s="319">
        <v>26.648</v>
      </c>
      <c r="AY149" s="319">
        <v>35.238999999999997</v>
      </c>
      <c r="AZ149" s="319">
        <v>25.943000000000001</v>
      </c>
      <c r="BA149" s="319">
        <v>37.152999999999999</v>
      </c>
      <c r="BB149" s="319">
        <v>19.29</v>
      </c>
      <c r="BC149" s="319">
        <v>0</v>
      </c>
      <c r="BD149" s="319">
        <v>0</v>
      </c>
      <c r="BE149" s="319">
        <v>0</v>
      </c>
      <c r="BF149" s="319">
        <v>0</v>
      </c>
      <c r="BG149" s="319">
        <v>0</v>
      </c>
      <c r="BH149" s="319">
        <v>0</v>
      </c>
      <c r="BI149" s="317">
        <f t="shared" si="28"/>
        <v>215.494</v>
      </c>
      <c r="BJ149" s="316">
        <v>43.72</v>
      </c>
      <c r="BK149" s="316">
        <v>28.497</v>
      </c>
      <c r="BL149" s="316">
        <v>37.04</v>
      </c>
      <c r="BM149" s="316">
        <v>17.177</v>
      </c>
      <c r="BN149" s="316">
        <v>37.530999999999999</v>
      </c>
      <c r="BO149" s="316">
        <v>21.405999999999999</v>
      </c>
      <c r="BP149" s="316">
        <v>23.370999999999999</v>
      </c>
      <c r="BQ149" s="316">
        <v>0</v>
      </c>
      <c r="BR149" s="316">
        <v>0</v>
      </c>
      <c r="BS149" s="316">
        <v>0</v>
      </c>
      <c r="BT149" s="316">
        <v>0</v>
      </c>
      <c r="BU149" s="316">
        <v>0</v>
      </c>
      <c r="BV149" s="316">
        <v>0</v>
      </c>
      <c r="BW149" s="317">
        <f t="shared" si="24"/>
        <v>208.74200000000002</v>
      </c>
    </row>
    <row r="150" spans="1:75" x14ac:dyDescent="0.2">
      <c r="A150" s="20" t="str">
        <f>'School Level Inst. Resources'!A150</f>
        <v>1101000</v>
      </c>
      <c r="B150" s="20" t="str">
        <f>'School Level Inst. Resources'!B150</f>
        <v>Laramie #1</v>
      </c>
      <c r="C150" s="20" t="str">
        <f>'School Level Inst. Resources'!C150</f>
        <v>1101009</v>
      </c>
      <c r="D150" s="20" t="str">
        <f>'School Level Inst. Resources'!D150</f>
        <v>Davis Elementary</v>
      </c>
      <c r="E150" s="138" t="str">
        <f>'School Level Inst. Resources'!E150</f>
        <v>K-6</v>
      </c>
      <c r="F150" s="317">
        <f>IF(AND($A$2=4,VLOOKUP($A150,'District Level ADM'!$A$5:$W$52,5,FALSE)="Prior Year"),AH150,IF(AND($A$2=4,VLOOKUP($A150,'District Level ADM'!$A$5:$W$52,5,FALSE)="3-Year Avg."),T150,IF($A$2=2,AH150,IF($A$2=3,T150,IF(($AG150&gt;$AU150),T150,AH150)))))</f>
        <v>55.16</v>
      </c>
      <c r="G150" s="317">
        <f>IF(AND($A$2=4,VLOOKUP($A150,'District Level ADM'!$A$5:$W$52,5,FALSE)="Prior Year"),AI150,IF(AND($A$2=4,VLOOKUP($A150,'District Level ADM'!$A$5:$W$52,5,FALSE)="3-Year Avg."),U150,IF($A$2=2,AI150,IF($A$2=3,U150,IF(($AG150&gt;$AU150),U150,AI150)))))</f>
        <v>45.31</v>
      </c>
      <c r="H150" s="317">
        <f>IF(AND($A$2=4,VLOOKUP($A150,'District Level ADM'!$A$5:$W$52,5,FALSE)="Prior Year"),AJ150,IF(AND($A$2=4,VLOOKUP($A150,'District Level ADM'!$A$5:$W$52,5,FALSE)="3-Year Avg."),V150,IF($A$2=2,AJ150,IF($A$2=3,V150,IF(($AG150&gt;$AU150),V150,AJ150)))))</f>
        <v>54.174999999999997</v>
      </c>
      <c r="I150" s="317">
        <f>IF(AND($A$2=4,VLOOKUP($A150,'District Level ADM'!$A$5:$W$52,5,FALSE)="Prior Year"),AK150,IF(AND($A$2=4,VLOOKUP($A150,'District Level ADM'!$A$5:$W$52,5,FALSE)="3-Year Avg."),W150,IF($A$2=2,AK150,IF($A$2=3,W150,IF(($AG150&gt;$AU150),W150,AK150)))))</f>
        <v>47.28</v>
      </c>
      <c r="J150" s="317">
        <f>IF(AND($A$2=4,VLOOKUP($A150,'District Level ADM'!$A$5:$W$52,5,FALSE)="Prior Year"),AL150,IF(AND($A$2=4,VLOOKUP($A150,'District Level ADM'!$A$5:$W$52,5,FALSE)="3-Year Avg."),X150,IF($A$2=2,AL150,IF($A$2=3,X150,IF(($AG150&gt;$AU150),X150,AL150)))))</f>
        <v>48.265000000000001</v>
      </c>
      <c r="K150" s="317">
        <f>IF(AND($A$2=4,VLOOKUP($A150,'District Level ADM'!$A$5:$W$52,5,FALSE)="Prior Year"),AM150,IF(AND($A$2=4,VLOOKUP($A150,'District Level ADM'!$A$5:$W$52,5,FALSE)="3-Year Avg."),Y150,IF($A$2=2,AM150,IF($A$2=3,Y150,IF(($AG150&gt;$AU150),Y150,AM150)))))</f>
        <v>52.204999999999998</v>
      </c>
      <c r="L150" s="317">
        <f>IF(AND($A$2=4,VLOOKUP($A150,'District Level ADM'!$A$5:$W$52,5,FALSE)="Prior Year"),AN150,IF(AND($A$2=4,VLOOKUP($A150,'District Level ADM'!$A$5:$W$52,5,FALSE)="3-Year Avg."),Z150,IF($A$2=2,AN150,IF($A$2=3,Z150,IF(($AG150&gt;$AU150),Z150,AN150)))))</f>
        <v>51.22</v>
      </c>
      <c r="M150" s="317">
        <f>IF(AND($A$2=4,VLOOKUP($A150,'District Level ADM'!$A$5:$W$52,5,FALSE)="Prior Year"),AO150,IF(AND($A$2=4,VLOOKUP($A150,'District Level ADM'!$A$5:$W$52,5,FALSE)="3-Year Avg."),AA150,IF($A$2=2,AO150,IF($A$2=3,AA150,IF(($AG150&gt;$AU150),AA150,AO150)))))</f>
        <v>0</v>
      </c>
      <c r="N150" s="317">
        <f>IF(AND($A$2=4,VLOOKUP($A150,'District Level ADM'!$A$5:$W$52,5,FALSE)="Prior Year"),AP150,IF(AND($A$2=4,VLOOKUP($A150,'District Level ADM'!$A$5:$W$52,5,FALSE)="3-Year Avg."),AB150,IF($A$2=2,AP150,IF($A$2=3,AB150,IF(($AG150&gt;$AU150),AB150,AP150)))))</f>
        <v>0</v>
      </c>
      <c r="O150" s="317">
        <f>IF(AND($A$2=4,VLOOKUP($A150,'District Level ADM'!$A$5:$W$52,5,FALSE)="Prior Year"),AQ150,IF(AND($A$2=4,VLOOKUP($A150,'District Level ADM'!$A$5:$W$52,5,FALSE)="3-Year Avg."),AC150,IF($A$2=2,AQ150,IF($A$2=3,AC150,IF(($AG150&gt;$AU150),AC150,AQ150)))))</f>
        <v>0</v>
      </c>
      <c r="P150" s="317">
        <f>IF(AND($A$2=4,VLOOKUP($A150,'District Level ADM'!$A$5:$W$52,5,FALSE)="Prior Year"),AR150,IF(AND($A$2=4,VLOOKUP($A150,'District Level ADM'!$A$5:$W$52,5,FALSE)="3-Year Avg."),AD150,IF($A$2=2,AR150,IF($A$2=3,AD150,IF(($AG150&gt;$AU150),AD150,AR150)))))</f>
        <v>0</v>
      </c>
      <c r="Q150" s="317">
        <f>IF(AND($A$2=4,VLOOKUP($A150,'District Level ADM'!$A$5:$W$52,5,FALSE)="Prior Year"),AS150,IF(AND($A$2=4,VLOOKUP($A150,'District Level ADM'!$A$5:$W$52,5,FALSE)="3-Year Avg."),AE150,IF($A$2=2,AS150,IF($A$2=3,AE150,IF(($AG150&gt;$AU150),AE150,AS150)))))</f>
        <v>0</v>
      </c>
      <c r="R150" s="317">
        <f>IF(AND($A$2=4,VLOOKUP($A150,'District Level ADM'!$A$5:$W$52,5,FALSE)="Prior Year"),AT150,IF(AND($A$2=4,VLOOKUP($A150,'District Level ADM'!$A$5:$W$52,5,FALSE)="3-Year Avg."),AF150,IF($A$2=2,AT150,IF($A$2=3,AF150,IF(($AG150&gt;$AU150),AF150,AT150)))))</f>
        <v>0</v>
      </c>
      <c r="S150" s="317">
        <f t="shared" si="25"/>
        <v>353.61500000000001</v>
      </c>
      <c r="T150" s="317">
        <f t="shared" si="29"/>
        <v>49.320333333333338</v>
      </c>
      <c r="U150" s="317">
        <f t="shared" si="29"/>
        <v>40.704666666666668</v>
      </c>
      <c r="V150" s="317">
        <f t="shared" si="29"/>
        <v>41.032000000000004</v>
      </c>
      <c r="W150" s="317">
        <f t="shared" si="29"/>
        <v>41.642333333333333</v>
      </c>
      <c r="X150" s="317">
        <f t="shared" si="29"/>
        <v>45.838999999999999</v>
      </c>
      <c r="Y150" s="317">
        <f t="shared" si="29"/>
        <v>49.259666666666668</v>
      </c>
      <c r="Z150" s="317">
        <f t="shared" si="23"/>
        <v>44.932333333333332</v>
      </c>
      <c r="AA150" s="317">
        <f t="shared" si="23"/>
        <v>0</v>
      </c>
      <c r="AB150" s="317">
        <f t="shared" si="23"/>
        <v>0</v>
      </c>
      <c r="AC150" s="317">
        <f t="shared" si="23"/>
        <v>0</v>
      </c>
      <c r="AD150" s="317">
        <f t="shared" si="23"/>
        <v>0</v>
      </c>
      <c r="AE150" s="317">
        <f t="shared" si="23"/>
        <v>0</v>
      </c>
      <c r="AF150" s="317">
        <f t="shared" si="23"/>
        <v>0</v>
      </c>
      <c r="AG150" s="317">
        <f t="shared" si="26"/>
        <v>312.73033333333331</v>
      </c>
      <c r="AH150" s="318">
        <v>55.16</v>
      </c>
      <c r="AI150" s="318">
        <v>45.31</v>
      </c>
      <c r="AJ150" s="318">
        <v>54.174999999999997</v>
      </c>
      <c r="AK150" s="318">
        <v>47.28</v>
      </c>
      <c r="AL150" s="318">
        <v>48.265000000000001</v>
      </c>
      <c r="AM150" s="318">
        <v>52.204999999999998</v>
      </c>
      <c r="AN150" s="318">
        <v>51.22</v>
      </c>
      <c r="AO150" s="318">
        <v>0</v>
      </c>
      <c r="AP150" s="318">
        <v>0</v>
      </c>
      <c r="AQ150" s="318">
        <v>0</v>
      </c>
      <c r="AR150" s="318">
        <v>0</v>
      </c>
      <c r="AS150" s="318">
        <v>0</v>
      </c>
      <c r="AT150" s="318">
        <v>0</v>
      </c>
      <c r="AU150" s="317">
        <f t="shared" si="27"/>
        <v>353.61500000000001</v>
      </c>
      <c r="AV150" s="319">
        <v>46.744</v>
      </c>
      <c r="AW150" s="319">
        <v>41.381</v>
      </c>
      <c r="AX150" s="319">
        <v>37.79</v>
      </c>
      <c r="AY150" s="319">
        <v>35.71</v>
      </c>
      <c r="AZ150" s="319">
        <v>41.886000000000003</v>
      </c>
      <c r="BA150" s="319">
        <v>48.46</v>
      </c>
      <c r="BB150" s="319">
        <v>49.107999999999997</v>
      </c>
      <c r="BC150" s="319">
        <v>0</v>
      </c>
      <c r="BD150" s="319">
        <v>0</v>
      </c>
      <c r="BE150" s="319">
        <v>0</v>
      </c>
      <c r="BF150" s="319">
        <v>0</v>
      </c>
      <c r="BG150" s="319">
        <v>0</v>
      </c>
      <c r="BH150" s="319">
        <v>0</v>
      </c>
      <c r="BI150" s="317">
        <f t="shared" si="28"/>
        <v>301.07900000000001</v>
      </c>
      <c r="BJ150" s="316">
        <v>46.057000000000002</v>
      </c>
      <c r="BK150" s="316">
        <v>35.423000000000002</v>
      </c>
      <c r="BL150" s="316">
        <v>31.131</v>
      </c>
      <c r="BM150" s="316">
        <v>41.936999999999998</v>
      </c>
      <c r="BN150" s="316">
        <v>47.366</v>
      </c>
      <c r="BO150" s="316">
        <v>47.113999999999997</v>
      </c>
      <c r="BP150" s="316">
        <v>34.469000000000001</v>
      </c>
      <c r="BQ150" s="316">
        <v>0</v>
      </c>
      <c r="BR150" s="316">
        <v>0</v>
      </c>
      <c r="BS150" s="316">
        <v>0</v>
      </c>
      <c r="BT150" s="316">
        <v>0</v>
      </c>
      <c r="BU150" s="316">
        <v>0</v>
      </c>
      <c r="BV150" s="316">
        <v>0</v>
      </c>
      <c r="BW150" s="317">
        <f t="shared" si="24"/>
        <v>283.49700000000001</v>
      </c>
    </row>
    <row r="151" spans="1:75" x14ac:dyDescent="0.2">
      <c r="A151" s="20" t="str">
        <f>'School Level Inst. Resources'!A151</f>
        <v>1101000</v>
      </c>
      <c r="B151" s="20" t="str">
        <f>'School Level Inst. Resources'!B151</f>
        <v>Laramie #1</v>
      </c>
      <c r="C151" s="20" t="str">
        <f>'School Level Inst. Resources'!C151</f>
        <v>1101010</v>
      </c>
      <c r="D151" s="20" t="str">
        <f>'School Level Inst. Resources'!D151</f>
        <v>Deming Elementary</v>
      </c>
      <c r="E151" s="138" t="str">
        <f>'School Level Inst. Resources'!E151</f>
        <v>K-3</v>
      </c>
      <c r="F151" s="317">
        <f>IF(AND($A$2=4,VLOOKUP($A151,'District Level ADM'!$A$5:$W$52,5,FALSE)="Prior Year"),AH151,IF(AND($A$2=4,VLOOKUP($A151,'District Level ADM'!$A$5:$W$52,5,FALSE)="3-Year Avg."),T151,IF($A$2=2,AH151,IF($A$2=3,T151,IF(($AG151&gt;$AU151),T151,AH151)))))</f>
        <v>24.625</v>
      </c>
      <c r="G151" s="317">
        <f>IF(AND($A$2=4,VLOOKUP($A151,'District Level ADM'!$A$5:$W$52,5,FALSE)="Prior Year"),AI151,IF(AND($A$2=4,VLOOKUP($A151,'District Level ADM'!$A$5:$W$52,5,FALSE)="3-Year Avg."),U151,IF($A$2=2,AI151,IF($A$2=3,U151,IF(($AG151&gt;$AU151),U151,AI151)))))</f>
        <v>25.61</v>
      </c>
      <c r="H151" s="317">
        <f>IF(AND($A$2=4,VLOOKUP($A151,'District Level ADM'!$A$5:$W$52,5,FALSE)="Prior Year"),AJ151,IF(AND($A$2=4,VLOOKUP($A151,'District Level ADM'!$A$5:$W$52,5,FALSE)="3-Year Avg."),V151,IF($A$2=2,AJ151,IF($A$2=3,V151,IF(($AG151&gt;$AU151),V151,AJ151)))))</f>
        <v>21.67</v>
      </c>
      <c r="I151" s="317">
        <f>IF(AND($A$2=4,VLOOKUP($A151,'District Level ADM'!$A$5:$W$52,5,FALSE)="Prior Year"),AK151,IF(AND($A$2=4,VLOOKUP($A151,'District Level ADM'!$A$5:$W$52,5,FALSE)="3-Year Avg."),W151,IF($A$2=2,AK151,IF($A$2=3,W151,IF(($AG151&gt;$AU151),W151,AK151)))))</f>
        <v>33.49</v>
      </c>
      <c r="J151" s="317">
        <f>IF(AND($A$2=4,VLOOKUP($A151,'District Level ADM'!$A$5:$W$52,5,FALSE)="Prior Year"),AL151,IF(AND($A$2=4,VLOOKUP($A151,'District Level ADM'!$A$5:$W$52,5,FALSE)="3-Year Avg."),X151,IF($A$2=2,AL151,IF($A$2=3,X151,IF(($AG151&gt;$AU151),X151,AL151)))))</f>
        <v>0</v>
      </c>
      <c r="K151" s="317">
        <f>IF(AND($A$2=4,VLOOKUP($A151,'District Level ADM'!$A$5:$W$52,5,FALSE)="Prior Year"),AM151,IF(AND($A$2=4,VLOOKUP($A151,'District Level ADM'!$A$5:$W$52,5,FALSE)="3-Year Avg."),Y151,IF($A$2=2,AM151,IF($A$2=3,Y151,IF(($AG151&gt;$AU151),Y151,AM151)))))</f>
        <v>0</v>
      </c>
      <c r="L151" s="317">
        <f>IF(AND($A$2=4,VLOOKUP($A151,'District Level ADM'!$A$5:$W$52,5,FALSE)="Prior Year"),AN151,IF(AND($A$2=4,VLOOKUP($A151,'District Level ADM'!$A$5:$W$52,5,FALSE)="3-Year Avg."),Z151,IF($A$2=2,AN151,IF($A$2=3,Z151,IF(($AG151&gt;$AU151),Z151,AN151)))))</f>
        <v>0</v>
      </c>
      <c r="M151" s="317">
        <f>IF(AND($A$2=4,VLOOKUP($A151,'District Level ADM'!$A$5:$W$52,5,FALSE)="Prior Year"),AO151,IF(AND($A$2=4,VLOOKUP($A151,'District Level ADM'!$A$5:$W$52,5,FALSE)="3-Year Avg."),AA151,IF($A$2=2,AO151,IF($A$2=3,AA151,IF(($AG151&gt;$AU151),AA151,AO151)))))</f>
        <v>0</v>
      </c>
      <c r="N151" s="317">
        <f>IF(AND($A$2=4,VLOOKUP($A151,'District Level ADM'!$A$5:$W$52,5,FALSE)="Prior Year"),AP151,IF(AND($A$2=4,VLOOKUP($A151,'District Level ADM'!$A$5:$W$52,5,FALSE)="3-Year Avg."),AB151,IF($A$2=2,AP151,IF($A$2=3,AB151,IF(($AG151&gt;$AU151),AB151,AP151)))))</f>
        <v>0</v>
      </c>
      <c r="O151" s="317">
        <f>IF(AND($A$2=4,VLOOKUP($A151,'District Level ADM'!$A$5:$W$52,5,FALSE)="Prior Year"),AQ151,IF(AND($A$2=4,VLOOKUP($A151,'District Level ADM'!$A$5:$W$52,5,FALSE)="3-Year Avg."),AC151,IF($A$2=2,AQ151,IF($A$2=3,AC151,IF(($AG151&gt;$AU151),AC151,AQ151)))))</f>
        <v>0</v>
      </c>
      <c r="P151" s="317">
        <f>IF(AND($A$2=4,VLOOKUP($A151,'District Level ADM'!$A$5:$W$52,5,FALSE)="Prior Year"),AR151,IF(AND($A$2=4,VLOOKUP($A151,'District Level ADM'!$A$5:$W$52,5,FALSE)="3-Year Avg."),AD151,IF($A$2=2,AR151,IF($A$2=3,AD151,IF(($AG151&gt;$AU151),AD151,AR151)))))</f>
        <v>0</v>
      </c>
      <c r="Q151" s="317">
        <f>IF(AND($A$2=4,VLOOKUP($A151,'District Level ADM'!$A$5:$W$52,5,FALSE)="Prior Year"),AS151,IF(AND($A$2=4,VLOOKUP($A151,'District Level ADM'!$A$5:$W$52,5,FALSE)="3-Year Avg."),AE151,IF($A$2=2,AS151,IF($A$2=3,AE151,IF(($AG151&gt;$AU151),AE151,AS151)))))</f>
        <v>0</v>
      </c>
      <c r="R151" s="317">
        <f>IF(AND($A$2=4,VLOOKUP($A151,'District Level ADM'!$A$5:$W$52,5,FALSE)="Prior Year"),AT151,IF(AND($A$2=4,VLOOKUP($A151,'District Level ADM'!$A$5:$W$52,5,FALSE)="3-Year Avg."),AF151,IF($A$2=2,AT151,IF($A$2=3,AF151,IF(($AG151&gt;$AU151),AF151,AT151)))))</f>
        <v>0</v>
      </c>
      <c r="S151" s="317">
        <f t="shared" si="25"/>
        <v>105.39500000000001</v>
      </c>
      <c r="T151" s="317">
        <f t="shared" si="29"/>
        <v>26.096</v>
      </c>
      <c r="U151" s="317">
        <f t="shared" si="29"/>
        <v>26.939666666666668</v>
      </c>
      <c r="V151" s="317">
        <f t="shared" si="29"/>
        <v>27.627333333333336</v>
      </c>
      <c r="W151" s="317">
        <f t="shared" si="29"/>
        <v>31.606666666666666</v>
      </c>
      <c r="X151" s="317">
        <f t="shared" si="29"/>
        <v>0</v>
      </c>
      <c r="Y151" s="317">
        <f t="shared" si="29"/>
        <v>0</v>
      </c>
      <c r="Z151" s="317">
        <f t="shared" si="23"/>
        <v>0</v>
      </c>
      <c r="AA151" s="317">
        <f t="shared" si="23"/>
        <v>0</v>
      </c>
      <c r="AB151" s="317">
        <f t="shared" si="23"/>
        <v>0</v>
      </c>
      <c r="AC151" s="317">
        <f t="shared" si="23"/>
        <v>0</v>
      </c>
      <c r="AD151" s="317">
        <f t="shared" si="23"/>
        <v>0</v>
      </c>
      <c r="AE151" s="317">
        <f t="shared" si="23"/>
        <v>0</v>
      </c>
      <c r="AF151" s="317">
        <f t="shared" si="23"/>
        <v>0</v>
      </c>
      <c r="AG151" s="317">
        <f t="shared" si="26"/>
        <v>112.26966666666668</v>
      </c>
      <c r="AH151" s="318">
        <v>24.625</v>
      </c>
      <c r="AI151" s="318">
        <v>25.61</v>
      </c>
      <c r="AJ151" s="318">
        <v>21.67</v>
      </c>
      <c r="AK151" s="318">
        <v>33.49</v>
      </c>
      <c r="AL151" s="318">
        <v>0</v>
      </c>
      <c r="AM151" s="318">
        <v>0</v>
      </c>
      <c r="AN151" s="318">
        <v>0</v>
      </c>
      <c r="AO151" s="318">
        <v>0</v>
      </c>
      <c r="AP151" s="318">
        <v>0</v>
      </c>
      <c r="AQ151" s="318">
        <v>0</v>
      </c>
      <c r="AR151" s="318">
        <v>0</v>
      </c>
      <c r="AS151" s="318">
        <v>0</v>
      </c>
      <c r="AT151" s="318">
        <v>0</v>
      </c>
      <c r="AU151" s="317">
        <f t="shared" si="27"/>
        <v>105.39500000000001</v>
      </c>
      <c r="AV151" s="319">
        <v>28.885999999999999</v>
      </c>
      <c r="AW151" s="319">
        <v>23.54</v>
      </c>
      <c r="AX151" s="319">
        <v>31.777999999999999</v>
      </c>
      <c r="AY151" s="319">
        <v>31.29</v>
      </c>
      <c r="AZ151" s="319">
        <v>0</v>
      </c>
      <c r="BA151" s="319">
        <v>0</v>
      </c>
      <c r="BB151" s="319">
        <v>0</v>
      </c>
      <c r="BC151" s="319">
        <v>0</v>
      </c>
      <c r="BD151" s="319">
        <v>0</v>
      </c>
      <c r="BE151" s="319">
        <v>0</v>
      </c>
      <c r="BF151" s="319">
        <v>0</v>
      </c>
      <c r="BG151" s="319">
        <v>0</v>
      </c>
      <c r="BH151" s="319">
        <v>0</v>
      </c>
      <c r="BI151" s="317">
        <f t="shared" si="28"/>
        <v>115.494</v>
      </c>
      <c r="BJ151" s="316">
        <v>24.777000000000001</v>
      </c>
      <c r="BK151" s="316">
        <v>31.669</v>
      </c>
      <c r="BL151" s="316">
        <v>29.434000000000001</v>
      </c>
      <c r="BM151" s="316">
        <v>30.04</v>
      </c>
      <c r="BN151" s="316">
        <v>0</v>
      </c>
      <c r="BO151" s="316">
        <v>0</v>
      </c>
      <c r="BP151" s="316">
        <v>0</v>
      </c>
      <c r="BQ151" s="316">
        <v>0</v>
      </c>
      <c r="BR151" s="316">
        <v>0</v>
      </c>
      <c r="BS151" s="316">
        <v>0</v>
      </c>
      <c r="BT151" s="316">
        <v>0</v>
      </c>
      <c r="BU151" s="316">
        <v>0</v>
      </c>
      <c r="BV151" s="316">
        <v>0</v>
      </c>
      <c r="BW151" s="317">
        <f t="shared" si="24"/>
        <v>115.91999999999999</v>
      </c>
    </row>
    <row r="152" spans="1:75" x14ac:dyDescent="0.2">
      <c r="A152" s="20" t="str">
        <f>'School Level Inst. Resources'!A152</f>
        <v>1101000</v>
      </c>
      <c r="B152" s="20" t="str">
        <f>'School Level Inst. Resources'!B152</f>
        <v>Laramie #1</v>
      </c>
      <c r="C152" s="20" t="str">
        <f>'School Level Inst. Resources'!C152</f>
        <v>1101011</v>
      </c>
      <c r="D152" s="20" t="str">
        <f>'School Level Inst. Resources'!D152</f>
        <v>Dildine Elementary</v>
      </c>
      <c r="E152" s="138" t="str">
        <f>'School Level Inst. Resources'!E152</f>
        <v>K-4</v>
      </c>
      <c r="F152" s="317">
        <f>IF(AND($A$2=4,VLOOKUP($A152,'District Level ADM'!$A$5:$W$52,5,FALSE)="Prior Year"),AH152,IF(AND($A$2=4,VLOOKUP($A152,'District Level ADM'!$A$5:$W$52,5,FALSE)="3-Year Avg."),T152,IF($A$2=2,AH152,IF($A$2=3,T152,IF(($AG152&gt;$AU152),T152,AH152)))))</f>
        <v>63.04</v>
      </c>
      <c r="G152" s="317">
        <f>IF(AND($A$2=4,VLOOKUP($A152,'District Level ADM'!$A$5:$W$52,5,FALSE)="Prior Year"),AI152,IF(AND($A$2=4,VLOOKUP($A152,'District Level ADM'!$A$5:$W$52,5,FALSE)="3-Year Avg."),U152,IF($A$2=2,AI152,IF($A$2=3,U152,IF(($AG152&gt;$AU152),U152,AI152)))))</f>
        <v>65.995000000000005</v>
      </c>
      <c r="H152" s="317">
        <f>IF(AND($A$2=4,VLOOKUP($A152,'District Level ADM'!$A$5:$W$52,5,FALSE)="Prior Year"),AJ152,IF(AND($A$2=4,VLOOKUP($A152,'District Level ADM'!$A$5:$W$52,5,FALSE)="3-Year Avg."),V152,IF($A$2=2,AJ152,IF($A$2=3,V152,IF(($AG152&gt;$AU152),V152,AJ152)))))</f>
        <v>61.07</v>
      </c>
      <c r="I152" s="317">
        <f>IF(AND($A$2=4,VLOOKUP($A152,'District Level ADM'!$A$5:$W$52,5,FALSE)="Prior Year"),AK152,IF(AND($A$2=4,VLOOKUP($A152,'District Level ADM'!$A$5:$W$52,5,FALSE)="3-Year Avg."),W152,IF($A$2=2,AK152,IF($A$2=3,W152,IF(($AG152&gt;$AU152),W152,AK152)))))</f>
        <v>65.995000000000005</v>
      </c>
      <c r="J152" s="317">
        <f>IF(AND($A$2=4,VLOOKUP($A152,'District Level ADM'!$A$5:$W$52,5,FALSE)="Prior Year"),AL152,IF(AND($A$2=4,VLOOKUP($A152,'District Level ADM'!$A$5:$W$52,5,FALSE)="3-Year Avg."),X152,IF($A$2=2,AL152,IF($A$2=3,X152,IF(($AG152&gt;$AU152),X152,AL152)))))</f>
        <v>62.055</v>
      </c>
      <c r="K152" s="317">
        <f>IF(AND($A$2=4,VLOOKUP($A152,'District Level ADM'!$A$5:$W$52,5,FALSE)="Prior Year"),AM152,IF(AND($A$2=4,VLOOKUP($A152,'District Level ADM'!$A$5:$W$52,5,FALSE)="3-Year Avg."),Y152,IF($A$2=2,AM152,IF($A$2=3,Y152,IF(($AG152&gt;$AU152),Y152,AM152)))))</f>
        <v>0</v>
      </c>
      <c r="L152" s="317">
        <f>IF(AND($A$2=4,VLOOKUP($A152,'District Level ADM'!$A$5:$W$52,5,FALSE)="Prior Year"),AN152,IF(AND($A$2=4,VLOOKUP($A152,'District Level ADM'!$A$5:$W$52,5,FALSE)="3-Year Avg."),Z152,IF($A$2=2,AN152,IF($A$2=3,Z152,IF(($AG152&gt;$AU152),Z152,AN152)))))</f>
        <v>0</v>
      </c>
      <c r="M152" s="317">
        <f>IF(AND($A$2=4,VLOOKUP($A152,'District Level ADM'!$A$5:$W$52,5,FALSE)="Prior Year"),AO152,IF(AND($A$2=4,VLOOKUP($A152,'District Level ADM'!$A$5:$W$52,5,FALSE)="3-Year Avg."),AA152,IF($A$2=2,AO152,IF($A$2=3,AA152,IF(($AG152&gt;$AU152),AA152,AO152)))))</f>
        <v>0</v>
      </c>
      <c r="N152" s="317">
        <f>IF(AND($A$2=4,VLOOKUP($A152,'District Level ADM'!$A$5:$W$52,5,FALSE)="Prior Year"),AP152,IF(AND($A$2=4,VLOOKUP($A152,'District Level ADM'!$A$5:$W$52,5,FALSE)="3-Year Avg."),AB152,IF($A$2=2,AP152,IF($A$2=3,AB152,IF(($AG152&gt;$AU152),AB152,AP152)))))</f>
        <v>0</v>
      </c>
      <c r="O152" s="317">
        <f>IF(AND($A$2=4,VLOOKUP($A152,'District Level ADM'!$A$5:$W$52,5,FALSE)="Prior Year"),AQ152,IF(AND($A$2=4,VLOOKUP($A152,'District Level ADM'!$A$5:$W$52,5,FALSE)="3-Year Avg."),AC152,IF($A$2=2,AQ152,IF($A$2=3,AC152,IF(($AG152&gt;$AU152),AC152,AQ152)))))</f>
        <v>0</v>
      </c>
      <c r="P152" s="317">
        <f>IF(AND($A$2=4,VLOOKUP($A152,'District Level ADM'!$A$5:$W$52,5,FALSE)="Prior Year"),AR152,IF(AND($A$2=4,VLOOKUP($A152,'District Level ADM'!$A$5:$W$52,5,FALSE)="3-Year Avg."),AD152,IF($A$2=2,AR152,IF($A$2=3,AD152,IF(($AG152&gt;$AU152),AD152,AR152)))))</f>
        <v>0</v>
      </c>
      <c r="Q152" s="317">
        <f>IF(AND($A$2=4,VLOOKUP($A152,'District Level ADM'!$A$5:$W$52,5,FALSE)="Prior Year"),AS152,IF(AND($A$2=4,VLOOKUP($A152,'District Level ADM'!$A$5:$W$52,5,FALSE)="3-Year Avg."),AE152,IF($A$2=2,AS152,IF($A$2=3,AE152,IF(($AG152&gt;$AU152),AE152,AS152)))))</f>
        <v>0</v>
      </c>
      <c r="R152" s="317">
        <f>IF(AND($A$2=4,VLOOKUP($A152,'District Level ADM'!$A$5:$W$52,5,FALSE)="Prior Year"),AT152,IF(AND($A$2=4,VLOOKUP($A152,'District Level ADM'!$A$5:$W$52,5,FALSE)="3-Year Avg."),AF152,IF($A$2=2,AT152,IF($A$2=3,AF152,IF(($AG152&gt;$AU152),AF152,AT152)))))</f>
        <v>0</v>
      </c>
      <c r="S152" s="317">
        <f t="shared" si="25"/>
        <v>318.15500000000003</v>
      </c>
      <c r="T152" s="317">
        <f t="shared" si="29"/>
        <v>66.545333333333332</v>
      </c>
      <c r="U152" s="317">
        <f t="shared" si="29"/>
        <v>65.771000000000001</v>
      </c>
      <c r="V152" s="317">
        <f t="shared" si="29"/>
        <v>67.481333333333339</v>
      </c>
      <c r="W152" s="317">
        <f t="shared" si="29"/>
        <v>70.557000000000002</v>
      </c>
      <c r="X152" s="317">
        <f t="shared" si="29"/>
        <v>68.683999999999997</v>
      </c>
      <c r="Y152" s="317">
        <f t="shared" si="29"/>
        <v>0</v>
      </c>
      <c r="Z152" s="317">
        <f t="shared" si="23"/>
        <v>0</v>
      </c>
      <c r="AA152" s="317">
        <f t="shared" si="23"/>
        <v>0</v>
      </c>
      <c r="AB152" s="317">
        <f t="shared" si="23"/>
        <v>0</v>
      </c>
      <c r="AC152" s="317">
        <f t="shared" si="23"/>
        <v>0</v>
      </c>
      <c r="AD152" s="317">
        <f t="shared" si="23"/>
        <v>0</v>
      </c>
      <c r="AE152" s="317">
        <f t="shared" si="23"/>
        <v>0</v>
      </c>
      <c r="AF152" s="317">
        <f t="shared" si="23"/>
        <v>0</v>
      </c>
      <c r="AG152" s="317">
        <f t="shared" si="26"/>
        <v>339.0386666666667</v>
      </c>
      <c r="AH152" s="318">
        <v>63.04</v>
      </c>
      <c r="AI152" s="318">
        <v>65.995000000000005</v>
      </c>
      <c r="AJ152" s="318">
        <v>61.07</v>
      </c>
      <c r="AK152" s="318">
        <v>65.995000000000005</v>
      </c>
      <c r="AL152" s="318">
        <v>62.055</v>
      </c>
      <c r="AM152" s="318">
        <v>0</v>
      </c>
      <c r="AN152" s="318">
        <v>0</v>
      </c>
      <c r="AO152" s="318">
        <v>0</v>
      </c>
      <c r="AP152" s="318">
        <v>0</v>
      </c>
      <c r="AQ152" s="318">
        <v>0</v>
      </c>
      <c r="AR152" s="318">
        <v>0</v>
      </c>
      <c r="AS152" s="318">
        <v>0</v>
      </c>
      <c r="AT152" s="318">
        <v>0</v>
      </c>
      <c r="AU152" s="317">
        <f t="shared" si="27"/>
        <v>318.15500000000003</v>
      </c>
      <c r="AV152" s="319">
        <v>69.846999999999994</v>
      </c>
      <c r="AW152" s="319">
        <v>64.358000000000004</v>
      </c>
      <c r="AX152" s="319">
        <v>72.403000000000006</v>
      </c>
      <c r="AY152" s="319">
        <v>69.83</v>
      </c>
      <c r="AZ152" s="319">
        <v>74.465999999999994</v>
      </c>
      <c r="BA152" s="319">
        <v>0</v>
      </c>
      <c r="BB152" s="319">
        <v>0</v>
      </c>
      <c r="BC152" s="319">
        <v>0</v>
      </c>
      <c r="BD152" s="319">
        <v>0</v>
      </c>
      <c r="BE152" s="319">
        <v>0</v>
      </c>
      <c r="BF152" s="319">
        <v>0</v>
      </c>
      <c r="BG152" s="319">
        <v>0</v>
      </c>
      <c r="BH152" s="319">
        <v>0</v>
      </c>
      <c r="BI152" s="317">
        <f t="shared" si="28"/>
        <v>350.904</v>
      </c>
      <c r="BJ152" s="316">
        <v>66.748999999999995</v>
      </c>
      <c r="BK152" s="316">
        <v>66.959999999999994</v>
      </c>
      <c r="BL152" s="316">
        <v>68.971000000000004</v>
      </c>
      <c r="BM152" s="316">
        <v>75.846000000000004</v>
      </c>
      <c r="BN152" s="316">
        <v>69.531000000000006</v>
      </c>
      <c r="BO152" s="316">
        <v>0</v>
      </c>
      <c r="BP152" s="316">
        <v>0</v>
      </c>
      <c r="BQ152" s="316">
        <v>0</v>
      </c>
      <c r="BR152" s="316">
        <v>0</v>
      </c>
      <c r="BS152" s="316">
        <v>0</v>
      </c>
      <c r="BT152" s="316">
        <v>0</v>
      </c>
      <c r="BU152" s="316">
        <v>0</v>
      </c>
      <c r="BV152" s="316">
        <v>0</v>
      </c>
      <c r="BW152" s="317">
        <f t="shared" si="24"/>
        <v>348.05700000000002</v>
      </c>
    </row>
    <row r="153" spans="1:75" x14ac:dyDescent="0.2">
      <c r="A153" s="20" t="str">
        <f>'School Level Inst. Resources'!A153</f>
        <v>1101000</v>
      </c>
      <c r="B153" s="20" t="str">
        <f>'School Level Inst. Resources'!B153</f>
        <v>Laramie #1</v>
      </c>
      <c r="C153" s="20" t="str">
        <f>'School Level Inst. Resources'!C153</f>
        <v>1101013</v>
      </c>
      <c r="D153" s="20" t="str">
        <f>'School Level Inst. Resources'!D153</f>
        <v>Fairview Elementary</v>
      </c>
      <c r="E153" s="138" t="str">
        <f>'School Level Inst. Resources'!E153</f>
        <v>3-6</v>
      </c>
      <c r="F153" s="317">
        <f>IF(AND($A$2=4,VLOOKUP($A153,'District Level ADM'!$A$5:$W$52,5,FALSE)="Prior Year"),AH153,IF(AND($A$2=4,VLOOKUP($A153,'District Level ADM'!$A$5:$W$52,5,FALSE)="3-Year Avg."),T153,IF($A$2=2,AH153,IF($A$2=3,T153,IF(($AG153&gt;$AU153),T153,AH153)))))</f>
        <v>0</v>
      </c>
      <c r="G153" s="317">
        <f>IF(AND($A$2=4,VLOOKUP($A153,'District Level ADM'!$A$5:$W$52,5,FALSE)="Prior Year"),AI153,IF(AND($A$2=4,VLOOKUP($A153,'District Level ADM'!$A$5:$W$52,5,FALSE)="3-Year Avg."),U153,IF($A$2=2,AI153,IF($A$2=3,U153,IF(($AG153&gt;$AU153),U153,AI153)))))</f>
        <v>0</v>
      </c>
      <c r="H153" s="317">
        <f>IF(AND($A$2=4,VLOOKUP($A153,'District Level ADM'!$A$5:$W$52,5,FALSE)="Prior Year"),AJ153,IF(AND($A$2=4,VLOOKUP($A153,'District Level ADM'!$A$5:$W$52,5,FALSE)="3-Year Avg."),V153,IF($A$2=2,AJ153,IF($A$2=3,V153,IF(($AG153&gt;$AU153),V153,AJ153)))))</f>
        <v>0</v>
      </c>
      <c r="I153" s="317">
        <f>IF(AND($A$2=4,VLOOKUP($A153,'District Level ADM'!$A$5:$W$52,5,FALSE)="Prior Year"),AK153,IF(AND($A$2=4,VLOOKUP($A153,'District Level ADM'!$A$5:$W$52,5,FALSE)="3-Year Avg."),W153,IF($A$2=2,AK153,IF($A$2=3,W153,IF(($AG153&gt;$AU153),W153,AK153)))))</f>
        <v>30.535</v>
      </c>
      <c r="J153" s="317">
        <f>IF(AND($A$2=4,VLOOKUP($A153,'District Level ADM'!$A$5:$W$52,5,FALSE)="Prior Year"),AL153,IF(AND($A$2=4,VLOOKUP($A153,'District Level ADM'!$A$5:$W$52,5,FALSE)="3-Year Avg."),X153,IF($A$2=2,AL153,IF($A$2=3,X153,IF(($AG153&gt;$AU153),X153,AL153)))))</f>
        <v>24.625</v>
      </c>
      <c r="K153" s="317">
        <f>IF(AND($A$2=4,VLOOKUP($A153,'District Level ADM'!$A$5:$W$52,5,FALSE)="Prior Year"),AM153,IF(AND($A$2=4,VLOOKUP($A153,'District Level ADM'!$A$5:$W$52,5,FALSE)="3-Year Avg."),Y153,IF($A$2=2,AM153,IF($A$2=3,Y153,IF(($AG153&gt;$AU153),Y153,AM153)))))</f>
        <v>35.46</v>
      </c>
      <c r="L153" s="317">
        <f>IF(AND($A$2=4,VLOOKUP($A153,'District Level ADM'!$A$5:$W$52,5,FALSE)="Prior Year"),AN153,IF(AND($A$2=4,VLOOKUP($A153,'District Level ADM'!$A$5:$W$52,5,FALSE)="3-Year Avg."),Z153,IF($A$2=2,AN153,IF($A$2=3,Z153,IF(($AG153&gt;$AU153),Z153,AN153)))))</f>
        <v>38.414999999999999</v>
      </c>
      <c r="M153" s="317">
        <f>IF(AND($A$2=4,VLOOKUP($A153,'District Level ADM'!$A$5:$W$52,5,FALSE)="Prior Year"),AO153,IF(AND($A$2=4,VLOOKUP($A153,'District Level ADM'!$A$5:$W$52,5,FALSE)="3-Year Avg."),AA153,IF($A$2=2,AO153,IF($A$2=3,AA153,IF(($AG153&gt;$AU153),AA153,AO153)))))</f>
        <v>0</v>
      </c>
      <c r="N153" s="317">
        <f>IF(AND($A$2=4,VLOOKUP($A153,'District Level ADM'!$A$5:$W$52,5,FALSE)="Prior Year"),AP153,IF(AND($A$2=4,VLOOKUP($A153,'District Level ADM'!$A$5:$W$52,5,FALSE)="3-Year Avg."),AB153,IF($A$2=2,AP153,IF($A$2=3,AB153,IF(($AG153&gt;$AU153),AB153,AP153)))))</f>
        <v>0</v>
      </c>
      <c r="O153" s="317">
        <f>IF(AND($A$2=4,VLOOKUP($A153,'District Level ADM'!$A$5:$W$52,5,FALSE)="Prior Year"),AQ153,IF(AND($A$2=4,VLOOKUP($A153,'District Level ADM'!$A$5:$W$52,5,FALSE)="3-Year Avg."),AC153,IF($A$2=2,AQ153,IF($A$2=3,AC153,IF(($AG153&gt;$AU153),AC153,AQ153)))))</f>
        <v>0</v>
      </c>
      <c r="P153" s="317">
        <f>IF(AND($A$2=4,VLOOKUP($A153,'District Level ADM'!$A$5:$W$52,5,FALSE)="Prior Year"),AR153,IF(AND($A$2=4,VLOOKUP($A153,'District Level ADM'!$A$5:$W$52,5,FALSE)="3-Year Avg."),AD153,IF($A$2=2,AR153,IF($A$2=3,AD153,IF(($AG153&gt;$AU153),AD153,AR153)))))</f>
        <v>0</v>
      </c>
      <c r="Q153" s="317">
        <f>IF(AND($A$2=4,VLOOKUP($A153,'District Level ADM'!$A$5:$W$52,5,FALSE)="Prior Year"),AS153,IF(AND($A$2=4,VLOOKUP($A153,'District Level ADM'!$A$5:$W$52,5,FALSE)="3-Year Avg."),AE153,IF($A$2=2,AS153,IF($A$2=3,AE153,IF(($AG153&gt;$AU153),AE153,AS153)))))</f>
        <v>0</v>
      </c>
      <c r="R153" s="317">
        <f>IF(AND($A$2=4,VLOOKUP($A153,'District Level ADM'!$A$5:$W$52,5,FALSE)="Prior Year"),AT153,IF(AND($A$2=4,VLOOKUP($A153,'District Level ADM'!$A$5:$W$52,5,FALSE)="3-Year Avg."),AF153,IF($A$2=2,AT153,IF($A$2=3,AF153,IF(($AG153&gt;$AU153),AF153,AT153)))))</f>
        <v>0</v>
      </c>
      <c r="S153" s="317">
        <f t="shared" si="25"/>
        <v>129.035</v>
      </c>
      <c r="T153" s="317">
        <f t="shared" si="29"/>
        <v>0</v>
      </c>
      <c r="U153" s="317">
        <f t="shared" si="29"/>
        <v>0</v>
      </c>
      <c r="V153" s="317">
        <f t="shared" si="29"/>
        <v>0</v>
      </c>
      <c r="W153" s="317">
        <f t="shared" si="29"/>
        <v>32.280333333333338</v>
      </c>
      <c r="X153" s="317">
        <f t="shared" si="29"/>
        <v>32.332000000000001</v>
      </c>
      <c r="Y153" s="317">
        <f t="shared" si="29"/>
        <v>36.205000000000005</v>
      </c>
      <c r="Z153" s="317">
        <f t="shared" si="23"/>
        <v>33.792000000000002</v>
      </c>
      <c r="AA153" s="317">
        <f t="shared" si="23"/>
        <v>0</v>
      </c>
      <c r="AB153" s="317">
        <f t="shared" si="23"/>
        <v>0</v>
      </c>
      <c r="AC153" s="317">
        <f t="shared" si="23"/>
        <v>0</v>
      </c>
      <c r="AD153" s="317">
        <f t="shared" si="23"/>
        <v>0</v>
      </c>
      <c r="AE153" s="317">
        <f t="shared" si="23"/>
        <v>0</v>
      </c>
      <c r="AF153" s="317">
        <f t="shared" si="23"/>
        <v>0</v>
      </c>
      <c r="AG153" s="317">
        <f t="shared" si="26"/>
        <v>134.60933333333335</v>
      </c>
      <c r="AH153" s="318">
        <v>0</v>
      </c>
      <c r="AI153" s="318">
        <v>0</v>
      </c>
      <c r="AJ153" s="318">
        <v>0</v>
      </c>
      <c r="AK153" s="318">
        <v>30.535</v>
      </c>
      <c r="AL153" s="318">
        <v>24.625</v>
      </c>
      <c r="AM153" s="318">
        <v>35.46</v>
      </c>
      <c r="AN153" s="318">
        <v>38.414999999999999</v>
      </c>
      <c r="AO153" s="318">
        <v>0</v>
      </c>
      <c r="AP153" s="318">
        <v>0</v>
      </c>
      <c r="AQ153" s="318">
        <v>0</v>
      </c>
      <c r="AR153" s="318">
        <v>0</v>
      </c>
      <c r="AS153" s="318">
        <v>0</v>
      </c>
      <c r="AT153" s="318">
        <v>0</v>
      </c>
      <c r="AU153" s="317">
        <f t="shared" si="27"/>
        <v>129.035</v>
      </c>
      <c r="AV153" s="319">
        <v>0</v>
      </c>
      <c r="AW153" s="319">
        <v>0</v>
      </c>
      <c r="AX153" s="319">
        <v>0</v>
      </c>
      <c r="AY153" s="319">
        <v>28.408999999999999</v>
      </c>
      <c r="AZ153" s="319">
        <v>36.125</v>
      </c>
      <c r="BA153" s="319">
        <v>37.892000000000003</v>
      </c>
      <c r="BB153" s="319">
        <v>38.767000000000003</v>
      </c>
      <c r="BC153" s="319">
        <v>0</v>
      </c>
      <c r="BD153" s="319">
        <v>0</v>
      </c>
      <c r="BE153" s="319">
        <v>0</v>
      </c>
      <c r="BF153" s="319">
        <v>0</v>
      </c>
      <c r="BG153" s="319">
        <v>0</v>
      </c>
      <c r="BH153" s="319">
        <v>0</v>
      </c>
      <c r="BI153" s="317">
        <f t="shared" si="28"/>
        <v>141.19299999999998</v>
      </c>
      <c r="BJ153" s="316">
        <v>0</v>
      </c>
      <c r="BK153" s="316">
        <v>0</v>
      </c>
      <c r="BL153" s="316">
        <v>0</v>
      </c>
      <c r="BM153" s="316">
        <v>37.896999999999998</v>
      </c>
      <c r="BN153" s="316">
        <v>36.246000000000002</v>
      </c>
      <c r="BO153" s="316">
        <v>35.262999999999998</v>
      </c>
      <c r="BP153" s="316">
        <v>24.193999999999999</v>
      </c>
      <c r="BQ153" s="316">
        <v>0</v>
      </c>
      <c r="BR153" s="316">
        <v>0</v>
      </c>
      <c r="BS153" s="316">
        <v>0</v>
      </c>
      <c r="BT153" s="316">
        <v>0</v>
      </c>
      <c r="BU153" s="316">
        <v>0</v>
      </c>
      <c r="BV153" s="316">
        <v>0</v>
      </c>
      <c r="BW153" s="317">
        <f t="shared" si="24"/>
        <v>133.6</v>
      </c>
    </row>
    <row r="154" spans="1:75" x14ac:dyDescent="0.2">
      <c r="A154" s="20" t="str">
        <f>'School Level Inst. Resources'!A154</f>
        <v>1101000</v>
      </c>
      <c r="B154" s="20" t="str">
        <f>'School Level Inst. Resources'!B154</f>
        <v>Laramie #1</v>
      </c>
      <c r="C154" s="20" t="str">
        <f>'School Level Inst. Resources'!C154</f>
        <v>1101014</v>
      </c>
      <c r="D154" s="20" t="str">
        <f>'School Level Inst. Resources'!D154</f>
        <v>Gilchrist Elementary</v>
      </c>
      <c r="E154" s="138" t="str">
        <f>'School Level Inst. Resources'!E154</f>
        <v>K-6</v>
      </c>
      <c r="F154" s="317">
        <f>IF(AND($A$2=4,VLOOKUP($A154,'District Level ADM'!$A$5:$W$52,5,FALSE)="Prior Year"),AH154,IF(AND($A$2=4,VLOOKUP($A154,'District Level ADM'!$A$5:$W$52,5,FALSE)="3-Year Avg."),T154,IF($A$2=2,AH154,IF($A$2=3,T154,IF(($AG154&gt;$AU154),T154,AH154)))))</f>
        <v>13.79</v>
      </c>
      <c r="G154" s="317">
        <f>IF(AND($A$2=4,VLOOKUP($A154,'District Level ADM'!$A$5:$W$52,5,FALSE)="Prior Year"),AI154,IF(AND($A$2=4,VLOOKUP($A154,'District Level ADM'!$A$5:$W$52,5,FALSE)="3-Year Avg."),U154,IF($A$2=2,AI154,IF($A$2=3,U154,IF(($AG154&gt;$AU154),U154,AI154)))))</f>
        <v>13.79</v>
      </c>
      <c r="H154" s="317">
        <f>IF(AND($A$2=4,VLOOKUP($A154,'District Level ADM'!$A$5:$W$52,5,FALSE)="Prior Year"),AJ154,IF(AND($A$2=4,VLOOKUP($A154,'District Level ADM'!$A$5:$W$52,5,FALSE)="3-Year Avg."),V154,IF($A$2=2,AJ154,IF($A$2=3,V154,IF(($AG154&gt;$AU154),V154,AJ154)))))</f>
        <v>17.73</v>
      </c>
      <c r="I154" s="317">
        <f>IF(AND($A$2=4,VLOOKUP($A154,'District Level ADM'!$A$5:$W$52,5,FALSE)="Prior Year"),AK154,IF(AND($A$2=4,VLOOKUP($A154,'District Level ADM'!$A$5:$W$52,5,FALSE)="3-Year Avg."),W154,IF($A$2=2,AK154,IF($A$2=3,W154,IF(($AG154&gt;$AU154),W154,AK154)))))</f>
        <v>13.79</v>
      </c>
      <c r="J154" s="317">
        <f>IF(AND($A$2=4,VLOOKUP($A154,'District Level ADM'!$A$5:$W$52,5,FALSE)="Prior Year"),AL154,IF(AND($A$2=4,VLOOKUP($A154,'District Level ADM'!$A$5:$W$52,5,FALSE)="3-Year Avg."),X154,IF($A$2=2,AL154,IF($A$2=3,X154,IF(($AG154&gt;$AU154),X154,AL154)))))</f>
        <v>8.8650000000000002</v>
      </c>
      <c r="K154" s="317">
        <f>IF(AND($A$2=4,VLOOKUP($A154,'District Level ADM'!$A$5:$W$52,5,FALSE)="Prior Year"),AM154,IF(AND($A$2=4,VLOOKUP($A154,'District Level ADM'!$A$5:$W$52,5,FALSE)="3-Year Avg."),Y154,IF($A$2=2,AM154,IF($A$2=3,Y154,IF(($AG154&gt;$AU154),Y154,AM154)))))</f>
        <v>13.79</v>
      </c>
      <c r="L154" s="317">
        <f>IF(AND($A$2=4,VLOOKUP($A154,'District Level ADM'!$A$5:$W$52,5,FALSE)="Prior Year"),AN154,IF(AND($A$2=4,VLOOKUP($A154,'District Level ADM'!$A$5:$W$52,5,FALSE)="3-Year Avg."),Z154,IF($A$2=2,AN154,IF($A$2=3,Z154,IF(($AG154&gt;$AU154),Z154,AN154)))))</f>
        <v>14.775</v>
      </c>
      <c r="M154" s="317">
        <f>IF(AND($A$2=4,VLOOKUP($A154,'District Level ADM'!$A$5:$W$52,5,FALSE)="Prior Year"),AO154,IF(AND($A$2=4,VLOOKUP($A154,'District Level ADM'!$A$5:$W$52,5,FALSE)="3-Year Avg."),AA154,IF($A$2=2,AO154,IF($A$2=3,AA154,IF(($AG154&gt;$AU154),AA154,AO154)))))</f>
        <v>0</v>
      </c>
      <c r="N154" s="317">
        <f>IF(AND($A$2=4,VLOOKUP($A154,'District Level ADM'!$A$5:$W$52,5,FALSE)="Prior Year"),AP154,IF(AND($A$2=4,VLOOKUP($A154,'District Level ADM'!$A$5:$W$52,5,FALSE)="3-Year Avg."),AB154,IF($A$2=2,AP154,IF($A$2=3,AB154,IF(($AG154&gt;$AU154),AB154,AP154)))))</f>
        <v>0</v>
      </c>
      <c r="O154" s="317">
        <f>IF(AND($A$2=4,VLOOKUP($A154,'District Level ADM'!$A$5:$W$52,5,FALSE)="Prior Year"),AQ154,IF(AND($A$2=4,VLOOKUP($A154,'District Level ADM'!$A$5:$W$52,5,FALSE)="3-Year Avg."),AC154,IF($A$2=2,AQ154,IF($A$2=3,AC154,IF(($AG154&gt;$AU154),AC154,AQ154)))))</f>
        <v>0</v>
      </c>
      <c r="P154" s="317">
        <f>IF(AND($A$2=4,VLOOKUP($A154,'District Level ADM'!$A$5:$W$52,5,FALSE)="Prior Year"),AR154,IF(AND($A$2=4,VLOOKUP($A154,'District Level ADM'!$A$5:$W$52,5,FALSE)="3-Year Avg."),AD154,IF($A$2=2,AR154,IF($A$2=3,AD154,IF(($AG154&gt;$AU154),AD154,AR154)))))</f>
        <v>0</v>
      </c>
      <c r="Q154" s="317">
        <f>IF(AND($A$2=4,VLOOKUP($A154,'District Level ADM'!$A$5:$W$52,5,FALSE)="Prior Year"),AS154,IF(AND($A$2=4,VLOOKUP($A154,'District Level ADM'!$A$5:$W$52,5,FALSE)="3-Year Avg."),AE154,IF($A$2=2,AS154,IF($A$2=3,AE154,IF(($AG154&gt;$AU154),AE154,AS154)))))</f>
        <v>0</v>
      </c>
      <c r="R154" s="317">
        <f>IF(AND($A$2=4,VLOOKUP($A154,'District Level ADM'!$A$5:$W$52,5,FALSE)="Prior Year"),AT154,IF(AND($A$2=4,VLOOKUP($A154,'District Level ADM'!$A$5:$W$52,5,FALSE)="3-Year Avg."),AF154,IF($A$2=2,AT154,IF($A$2=3,AF154,IF(($AG154&gt;$AU154),AF154,AT154)))))</f>
        <v>0</v>
      </c>
      <c r="S154" s="317">
        <f t="shared" si="25"/>
        <v>96.53</v>
      </c>
      <c r="T154" s="317">
        <f t="shared" si="29"/>
        <v>15.078666666666669</v>
      </c>
      <c r="U154" s="317">
        <f t="shared" si="29"/>
        <v>16.77</v>
      </c>
      <c r="V154" s="317">
        <f t="shared" si="29"/>
        <v>15.15</v>
      </c>
      <c r="W154" s="317">
        <f t="shared" si="29"/>
        <v>13.110999999999999</v>
      </c>
      <c r="X154" s="317">
        <f t="shared" si="29"/>
        <v>12.954666666666666</v>
      </c>
      <c r="Y154" s="317">
        <f t="shared" si="29"/>
        <v>13.859</v>
      </c>
      <c r="Z154" s="317">
        <f t="shared" si="23"/>
        <v>16.174666666666667</v>
      </c>
      <c r="AA154" s="317">
        <f t="shared" si="23"/>
        <v>0</v>
      </c>
      <c r="AB154" s="317">
        <f t="shared" si="23"/>
        <v>0</v>
      </c>
      <c r="AC154" s="317">
        <f t="shared" si="23"/>
        <v>0</v>
      </c>
      <c r="AD154" s="317">
        <f t="shared" si="23"/>
        <v>0</v>
      </c>
      <c r="AE154" s="317">
        <f t="shared" si="23"/>
        <v>0</v>
      </c>
      <c r="AF154" s="317">
        <f t="shared" si="23"/>
        <v>0</v>
      </c>
      <c r="AG154" s="317">
        <f t="shared" si="26"/>
        <v>103.09799999999998</v>
      </c>
      <c r="AH154" s="318">
        <v>13.79</v>
      </c>
      <c r="AI154" s="318">
        <v>13.79</v>
      </c>
      <c r="AJ154" s="318">
        <v>17.73</v>
      </c>
      <c r="AK154" s="318">
        <v>13.79</v>
      </c>
      <c r="AL154" s="318">
        <v>8.8650000000000002</v>
      </c>
      <c r="AM154" s="318">
        <v>13.79</v>
      </c>
      <c r="AN154" s="318">
        <v>14.775</v>
      </c>
      <c r="AO154" s="318">
        <v>0</v>
      </c>
      <c r="AP154" s="318">
        <v>0</v>
      </c>
      <c r="AQ154" s="318">
        <v>0</v>
      </c>
      <c r="AR154" s="318">
        <v>0</v>
      </c>
      <c r="AS154" s="318">
        <v>0</v>
      </c>
      <c r="AT154" s="318">
        <v>0</v>
      </c>
      <c r="AU154" s="317">
        <f t="shared" si="27"/>
        <v>96.53</v>
      </c>
      <c r="AV154" s="319">
        <v>16.577000000000002</v>
      </c>
      <c r="AW154" s="319">
        <v>18.52</v>
      </c>
      <c r="AX154" s="319">
        <v>15.903</v>
      </c>
      <c r="AY154" s="319">
        <v>9.5429999999999993</v>
      </c>
      <c r="AZ154" s="319">
        <v>14.632999999999999</v>
      </c>
      <c r="BA154" s="319">
        <v>15.792999999999999</v>
      </c>
      <c r="BB154" s="319">
        <v>13</v>
      </c>
      <c r="BC154" s="319">
        <v>0</v>
      </c>
      <c r="BD154" s="319">
        <v>0</v>
      </c>
      <c r="BE154" s="319">
        <v>0</v>
      </c>
      <c r="BF154" s="319">
        <v>0</v>
      </c>
      <c r="BG154" s="319">
        <v>0</v>
      </c>
      <c r="BH154" s="319">
        <v>0</v>
      </c>
      <c r="BI154" s="317">
        <f t="shared" si="28"/>
        <v>103.96899999999999</v>
      </c>
      <c r="BJ154" s="316">
        <v>14.869</v>
      </c>
      <c r="BK154" s="316">
        <v>18</v>
      </c>
      <c r="BL154" s="316">
        <v>11.817</v>
      </c>
      <c r="BM154" s="316">
        <v>16</v>
      </c>
      <c r="BN154" s="316">
        <v>15.366</v>
      </c>
      <c r="BO154" s="316">
        <v>11.994</v>
      </c>
      <c r="BP154" s="316">
        <v>20.748999999999999</v>
      </c>
      <c r="BQ154" s="316">
        <v>0</v>
      </c>
      <c r="BR154" s="316">
        <v>0</v>
      </c>
      <c r="BS154" s="316">
        <v>0</v>
      </c>
      <c r="BT154" s="316">
        <v>0</v>
      </c>
      <c r="BU154" s="316">
        <v>0</v>
      </c>
      <c r="BV154" s="316">
        <v>0</v>
      </c>
      <c r="BW154" s="317">
        <f t="shared" si="24"/>
        <v>108.79499999999999</v>
      </c>
    </row>
    <row r="155" spans="1:75" x14ac:dyDescent="0.2">
      <c r="A155" s="20" t="str">
        <f>'School Level Inst. Resources'!A155</f>
        <v>1101000</v>
      </c>
      <c r="B155" s="20" t="str">
        <f>'School Level Inst. Resources'!B155</f>
        <v>Laramie #1</v>
      </c>
      <c r="C155" s="20" t="str">
        <f>'School Level Inst. Resources'!C155</f>
        <v>1101015</v>
      </c>
      <c r="D155" s="20" t="str">
        <f>'School Level Inst. Resources'!D155</f>
        <v>Goins Elementary</v>
      </c>
      <c r="E155" s="138" t="str">
        <f>'School Level Inst. Resources'!E155</f>
        <v>P-6</v>
      </c>
      <c r="F155" s="317">
        <f>IF(AND($A$2=4,VLOOKUP($A155,'District Level ADM'!$A$5:$W$52,5,FALSE)="Prior Year"),AH155,IF(AND($A$2=4,VLOOKUP($A155,'District Level ADM'!$A$5:$W$52,5,FALSE)="3-Year Avg."),T155,IF($A$2=2,AH155,IF($A$2=3,T155,IF(($AG155&gt;$AU155),T155,AH155)))))</f>
        <v>56.145000000000003</v>
      </c>
      <c r="G155" s="317">
        <f>IF(AND($A$2=4,VLOOKUP($A155,'District Level ADM'!$A$5:$W$52,5,FALSE)="Prior Year"),AI155,IF(AND($A$2=4,VLOOKUP($A155,'District Level ADM'!$A$5:$W$52,5,FALSE)="3-Year Avg."),U155,IF($A$2=2,AI155,IF($A$2=3,U155,IF(($AG155&gt;$AU155),U155,AI155)))))</f>
        <v>51.22</v>
      </c>
      <c r="H155" s="317">
        <f>IF(AND($A$2=4,VLOOKUP($A155,'District Level ADM'!$A$5:$W$52,5,FALSE)="Prior Year"),AJ155,IF(AND($A$2=4,VLOOKUP($A155,'District Level ADM'!$A$5:$W$52,5,FALSE)="3-Year Avg."),V155,IF($A$2=2,AJ155,IF($A$2=3,V155,IF(($AG155&gt;$AU155),V155,AJ155)))))</f>
        <v>44.325000000000003</v>
      </c>
      <c r="I155" s="317">
        <f>IF(AND($A$2=4,VLOOKUP($A155,'District Level ADM'!$A$5:$W$52,5,FALSE)="Prior Year"),AK155,IF(AND($A$2=4,VLOOKUP($A155,'District Level ADM'!$A$5:$W$52,5,FALSE)="3-Year Avg."),W155,IF($A$2=2,AK155,IF($A$2=3,W155,IF(($AG155&gt;$AU155),W155,AK155)))))</f>
        <v>31.52</v>
      </c>
      <c r="J155" s="317">
        <f>IF(AND($A$2=4,VLOOKUP($A155,'District Level ADM'!$A$5:$W$52,5,FALSE)="Prior Year"),AL155,IF(AND($A$2=4,VLOOKUP($A155,'District Level ADM'!$A$5:$W$52,5,FALSE)="3-Year Avg."),X155,IF($A$2=2,AL155,IF($A$2=3,X155,IF(($AG155&gt;$AU155),X155,AL155)))))</f>
        <v>48.265000000000001</v>
      </c>
      <c r="K155" s="317">
        <f>IF(AND($A$2=4,VLOOKUP($A155,'District Level ADM'!$A$5:$W$52,5,FALSE)="Prior Year"),AM155,IF(AND($A$2=4,VLOOKUP($A155,'District Level ADM'!$A$5:$W$52,5,FALSE)="3-Year Avg."),Y155,IF($A$2=2,AM155,IF($A$2=3,Y155,IF(($AG155&gt;$AU155),Y155,AM155)))))</f>
        <v>46.295000000000002</v>
      </c>
      <c r="L155" s="317">
        <f>IF(AND($A$2=4,VLOOKUP($A155,'District Level ADM'!$A$5:$W$52,5,FALSE)="Prior Year"),AN155,IF(AND($A$2=4,VLOOKUP($A155,'District Level ADM'!$A$5:$W$52,5,FALSE)="3-Year Avg."),Z155,IF($A$2=2,AN155,IF($A$2=3,Z155,IF(($AG155&gt;$AU155),Z155,AN155)))))</f>
        <v>52.204999999999998</v>
      </c>
      <c r="M155" s="317">
        <f>IF(AND($A$2=4,VLOOKUP($A155,'District Level ADM'!$A$5:$W$52,5,FALSE)="Prior Year"),AO155,IF(AND($A$2=4,VLOOKUP($A155,'District Level ADM'!$A$5:$W$52,5,FALSE)="3-Year Avg."),AA155,IF($A$2=2,AO155,IF($A$2=3,AA155,IF(($AG155&gt;$AU155),AA155,AO155)))))</f>
        <v>0</v>
      </c>
      <c r="N155" s="317">
        <f>IF(AND($A$2=4,VLOOKUP($A155,'District Level ADM'!$A$5:$W$52,5,FALSE)="Prior Year"),AP155,IF(AND($A$2=4,VLOOKUP($A155,'District Level ADM'!$A$5:$W$52,5,FALSE)="3-Year Avg."),AB155,IF($A$2=2,AP155,IF($A$2=3,AB155,IF(($AG155&gt;$AU155),AB155,AP155)))))</f>
        <v>0</v>
      </c>
      <c r="O155" s="317">
        <f>IF(AND($A$2=4,VLOOKUP($A155,'District Level ADM'!$A$5:$W$52,5,FALSE)="Prior Year"),AQ155,IF(AND($A$2=4,VLOOKUP($A155,'District Level ADM'!$A$5:$W$52,5,FALSE)="3-Year Avg."),AC155,IF($A$2=2,AQ155,IF($A$2=3,AC155,IF(($AG155&gt;$AU155),AC155,AQ155)))))</f>
        <v>0</v>
      </c>
      <c r="P155" s="317">
        <f>IF(AND($A$2=4,VLOOKUP($A155,'District Level ADM'!$A$5:$W$52,5,FALSE)="Prior Year"),AR155,IF(AND($A$2=4,VLOOKUP($A155,'District Level ADM'!$A$5:$W$52,5,FALSE)="3-Year Avg."),AD155,IF($A$2=2,AR155,IF($A$2=3,AD155,IF(($AG155&gt;$AU155),AD155,AR155)))))</f>
        <v>0</v>
      </c>
      <c r="Q155" s="317">
        <f>IF(AND($A$2=4,VLOOKUP($A155,'District Level ADM'!$A$5:$W$52,5,FALSE)="Prior Year"),AS155,IF(AND($A$2=4,VLOOKUP($A155,'District Level ADM'!$A$5:$W$52,5,FALSE)="3-Year Avg."),AE155,IF($A$2=2,AS155,IF($A$2=3,AE155,IF(($AG155&gt;$AU155),AE155,AS155)))))</f>
        <v>0</v>
      </c>
      <c r="R155" s="317">
        <f>IF(AND($A$2=4,VLOOKUP($A155,'District Level ADM'!$A$5:$W$52,5,FALSE)="Prior Year"),AT155,IF(AND($A$2=4,VLOOKUP($A155,'District Level ADM'!$A$5:$W$52,5,FALSE)="3-Year Avg."),AF155,IF($A$2=2,AT155,IF($A$2=3,AF155,IF(($AG155&gt;$AU155),AF155,AT155)))))</f>
        <v>0</v>
      </c>
      <c r="S155" s="317">
        <f t="shared" si="25"/>
        <v>329.97500000000002</v>
      </c>
      <c r="T155" s="317">
        <f t="shared" si="29"/>
        <v>51.554333333333339</v>
      </c>
      <c r="U155" s="317">
        <f t="shared" si="29"/>
        <v>47.041666666666664</v>
      </c>
      <c r="V155" s="317">
        <f t="shared" si="29"/>
        <v>48.082000000000001</v>
      </c>
      <c r="W155" s="317">
        <f t="shared" si="29"/>
        <v>44.262333333333338</v>
      </c>
      <c r="X155" s="317">
        <f t="shared" si="29"/>
        <v>50.889000000000003</v>
      </c>
      <c r="Y155" s="317">
        <f t="shared" si="29"/>
        <v>50.146000000000008</v>
      </c>
      <c r="Z155" s="317">
        <f t="shared" si="23"/>
        <v>53.004666666666672</v>
      </c>
      <c r="AA155" s="317">
        <f t="shared" si="23"/>
        <v>0</v>
      </c>
      <c r="AB155" s="317">
        <f t="shared" si="23"/>
        <v>0</v>
      </c>
      <c r="AC155" s="317">
        <f t="shared" si="23"/>
        <v>0</v>
      </c>
      <c r="AD155" s="317">
        <f t="shared" si="23"/>
        <v>0</v>
      </c>
      <c r="AE155" s="317">
        <f t="shared" si="23"/>
        <v>0</v>
      </c>
      <c r="AF155" s="317">
        <f t="shared" si="23"/>
        <v>0</v>
      </c>
      <c r="AG155" s="317">
        <f t="shared" si="26"/>
        <v>344.98</v>
      </c>
      <c r="AH155" s="318">
        <v>56.145000000000003</v>
      </c>
      <c r="AI155" s="318">
        <v>51.22</v>
      </c>
      <c r="AJ155" s="318">
        <v>44.325000000000003</v>
      </c>
      <c r="AK155" s="318">
        <v>31.52</v>
      </c>
      <c r="AL155" s="318">
        <v>48.265000000000001</v>
      </c>
      <c r="AM155" s="318">
        <v>46.295000000000002</v>
      </c>
      <c r="AN155" s="318">
        <v>52.204999999999998</v>
      </c>
      <c r="AO155" s="318">
        <v>0</v>
      </c>
      <c r="AP155" s="318">
        <v>0</v>
      </c>
      <c r="AQ155" s="318">
        <v>0</v>
      </c>
      <c r="AR155" s="318">
        <v>0</v>
      </c>
      <c r="AS155" s="318">
        <v>0</v>
      </c>
      <c r="AT155" s="318">
        <v>0</v>
      </c>
      <c r="AU155" s="317">
        <f t="shared" si="27"/>
        <v>329.97500000000002</v>
      </c>
      <c r="AV155" s="319">
        <v>50.414999999999999</v>
      </c>
      <c r="AW155" s="319">
        <v>46.591000000000001</v>
      </c>
      <c r="AX155" s="319">
        <v>40.441000000000003</v>
      </c>
      <c r="AY155" s="319">
        <v>50.21</v>
      </c>
      <c r="AZ155" s="319">
        <v>52.231000000000002</v>
      </c>
      <c r="BA155" s="319">
        <v>52.902999999999999</v>
      </c>
      <c r="BB155" s="319">
        <v>53.317999999999998</v>
      </c>
      <c r="BC155" s="319">
        <v>0</v>
      </c>
      <c r="BD155" s="319">
        <v>0</v>
      </c>
      <c r="BE155" s="319">
        <v>0</v>
      </c>
      <c r="BF155" s="319">
        <v>0</v>
      </c>
      <c r="BG155" s="319">
        <v>0</v>
      </c>
      <c r="BH155" s="319">
        <v>0</v>
      </c>
      <c r="BI155" s="317">
        <f t="shared" si="28"/>
        <v>346.10899999999998</v>
      </c>
      <c r="BJ155" s="316">
        <v>48.103000000000002</v>
      </c>
      <c r="BK155" s="316">
        <v>43.314</v>
      </c>
      <c r="BL155" s="316">
        <v>59.48</v>
      </c>
      <c r="BM155" s="316">
        <v>51.057000000000002</v>
      </c>
      <c r="BN155" s="316">
        <v>52.170999999999999</v>
      </c>
      <c r="BO155" s="316">
        <v>51.24</v>
      </c>
      <c r="BP155" s="316">
        <v>53.491</v>
      </c>
      <c r="BQ155" s="316">
        <v>0</v>
      </c>
      <c r="BR155" s="316">
        <v>0</v>
      </c>
      <c r="BS155" s="316">
        <v>0</v>
      </c>
      <c r="BT155" s="316">
        <v>0</v>
      </c>
      <c r="BU155" s="316">
        <v>0</v>
      </c>
      <c r="BV155" s="316">
        <v>0</v>
      </c>
      <c r="BW155" s="317">
        <f t="shared" si="24"/>
        <v>358.85599999999999</v>
      </c>
    </row>
    <row r="156" spans="1:75" x14ac:dyDescent="0.2">
      <c r="A156" s="20" t="str">
        <f>'School Level Inst. Resources'!A156</f>
        <v>1101000</v>
      </c>
      <c r="B156" s="20" t="str">
        <f>'School Level Inst. Resources'!B156</f>
        <v>Laramie #1</v>
      </c>
      <c r="C156" s="20" t="str">
        <f>'School Level Inst. Resources'!C156</f>
        <v>1101016</v>
      </c>
      <c r="D156" s="20" t="str">
        <f>'School Level Inst. Resources'!D156</f>
        <v>Hebard Elementary</v>
      </c>
      <c r="E156" s="138" t="str">
        <f>'School Level Inst. Resources'!E156</f>
        <v>P-6</v>
      </c>
      <c r="F156" s="317">
        <f>IF(AND($A$2=4,VLOOKUP($A156,'District Level ADM'!$A$5:$W$52,5,FALSE)="Prior Year"),AH156,IF(AND($A$2=4,VLOOKUP($A156,'District Level ADM'!$A$5:$W$52,5,FALSE)="3-Year Avg."),T156,IF($A$2=2,AH156,IF($A$2=3,T156,IF(($AG156&gt;$AU156),T156,AH156)))))</f>
        <v>18.715</v>
      </c>
      <c r="G156" s="317">
        <f>IF(AND($A$2=4,VLOOKUP($A156,'District Level ADM'!$A$5:$W$52,5,FALSE)="Prior Year"),AI156,IF(AND($A$2=4,VLOOKUP($A156,'District Level ADM'!$A$5:$W$52,5,FALSE)="3-Year Avg."),U156,IF($A$2=2,AI156,IF($A$2=3,U156,IF(($AG156&gt;$AU156),U156,AI156)))))</f>
        <v>19.7</v>
      </c>
      <c r="H156" s="317">
        <f>IF(AND($A$2=4,VLOOKUP($A156,'District Level ADM'!$A$5:$W$52,5,FALSE)="Prior Year"),AJ156,IF(AND($A$2=4,VLOOKUP($A156,'District Level ADM'!$A$5:$W$52,5,FALSE)="3-Year Avg."),V156,IF($A$2=2,AJ156,IF($A$2=3,V156,IF(($AG156&gt;$AU156),V156,AJ156)))))</f>
        <v>14.775</v>
      </c>
      <c r="I156" s="317">
        <f>IF(AND($A$2=4,VLOOKUP($A156,'District Level ADM'!$A$5:$W$52,5,FALSE)="Prior Year"),AK156,IF(AND($A$2=4,VLOOKUP($A156,'District Level ADM'!$A$5:$W$52,5,FALSE)="3-Year Avg."),W156,IF($A$2=2,AK156,IF($A$2=3,W156,IF(($AG156&gt;$AU156),W156,AK156)))))</f>
        <v>18.715</v>
      </c>
      <c r="J156" s="317">
        <f>IF(AND($A$2=4,VLOOKUP($A156,'District Level ADM'!$A$5:$W$52,5,FALSE)="Prior Year"),AL156,IF(AND($A$2=4,VLOOKUP($A156,'District Level ADM'!$A$5:$W$52,5,FALSE)="3-Year Avg."),X156,IF($A$2=2,AL156,IF($A$2=3,X156,IF(($AG156&gt;$AU156),X156,AL156)))))</f>
        <v>23.64</v>
      </c>
      <c r="K156" s="317">
        <f>IF(AND($A$2=4,VLOOKUP($A156,'District Level ADM'!$A$5:$W$52,5,FALSE)="Prior Year"),AM156,IF(AND($A$2=4,VLOOKUP($A156,'District Level ADM'!$A$5:$W$52,5,FALSE)="3-Year Avg."),Y156,IF($A$2=2,AM156,IF($A$2=3,Y156,IF(($AG156&gt;$AU156),Y156,AM156)))))</f>
        <v>21.67</v>
      </c>
      <c r="L156" s="317">
        <f>IF(AND($A$2=4,VLOOKUP($A156,'District Level ADM'!$A$5:$W$52,5,FALSE)="Prior Year"),AN156,IF(AND($A$2=4,VLOOKUP($A156,'District Level ADM'!$A$5:$W$52,5,FALSE)="3-Year Avg."),Z156,IF($A$2=2,AN156,IF($A$2=3,Z156,IF(($AG156&gt;$AU156),Z156,AN156)))))</f>
        <v>24.625</v>
      </c>
      <c r="M156" s="317">
        <f>IF(AND($A$2=4,VLOOKUP($A156,'District Level ADM'!$A$5:$W$52,5,FALSE)="Prior Year"),AO156,IF(AND($A$2=4,VLOOKUP($A156,'District Level ADM'!$A$5:$W$52,5,FALSE)="3-Year Avg."),AA156,IF($A$2=2,AO156,IF($A$2=3,AA156,IF(($AG156&gt;$AU156),AA156,AO156)))))</f>
        <v>0</v>
      </c>
      <c r="N156" s="317">
        <f>IF(AND($A$2=4,VLOOKUP($A156,'District Level ADM'!$A$5:$W$52,5,FALSE)="Prior Year"),AP156,IF(AND($A$2=4,VLOOKUP($A156,'District Level ADM'!$A$5:$W$52,5,FALSE)="3-Year Avg."),AB156,IF($A$2=2,AP156,IF($A$2=3,AB156,IF(($AG156&gt;$AU156),AB156,AP156)))))</f>
        <v>0</v>
      </c>
      <c r="O156" s="317">
        <f>IF(AND($A$2=4,VLOOKUP($A156,'District Level ADM'!$A$5:$W$52,5,FALSE)="Prior Year"),AQ156,IF(AND($A$2=4,VLOOKUP($A156,'District Level ADM'!$A$5:$W$52,5,FALSE)="3-Year Avg."),AC156,IF($A$2=2,AQ156,IF($A$2=3,AC156,IF(($AG156&gt;$AU156),AC156,AQ156)))))</f>
        <v>0</v>
      </c>
      <c r="P156" s="317">
        <f>IF(AND($A$2=4,VLOOKUP($A156,'District Level ADM'!$A$5:$W$52,5,FALSE)="Prior Year"),AR156,IF(AND($A$2=4,VLOOKUP($A156,'District Level ADM'!$A$5:$W$52,5,FALSE)="3-Year Avg."),AD156,IF($A$2=2,AR156,IF($A$2=3,AD156,IF(($AG156&gt;$AU156),AD156,AR156)))))</f>
        <v>0</v>
      </c>
      <c r="Q156" s="317">
        <f>IF(AND($A$2=4,VLOOKUP($A156,'District Level ADM'!$A$5:$W$52,5,FALSE)="Prior Year"),AS156,IF(AND($A$2=4,VLOOKUP($A156,'District Level ADM'!$A$5:$W$52,5,FALSE)="3-Year Avg."),AE156,IF($A$2=2,AS156,IF($A$2=3,AE156,IF(($AG156&gt;$AU156),AE156,AS156)))))</f>
        <v>0</v>
      </c>
      <c r="R156" s="317">
        <f>IF(AND($A$2=4,VLOOKUP($A156,'District Level ADM'!$A$5:$W$52,5,FALSE)="Prior Year"),AT156,IF(AND($A$2=4,VLOOKUP($A156,'District Level ADM'!$A$5:$W$52,5,FALSE)="3-Year Avg."),AF156,IF($A$2=2,AT156,IF($A$2=3,AF156,IF(($AG156&gt;$AU156),AF156,AT156)))))</f>
        <v>0</v>
      </c>
      <c r="S156" s="317">
        <f t="shared" si="25"/>
        <v>141.84</v>
      </c>
      <c r="T156" s="317">
        <f t="shared" si="29"/>
        <v>19.739333333333335</v>
      </c>
      <c r="U156" s="317">
        <f t="shared" si="29"/>
        <v>20.946333333333332</v>
      </c>
      <c r="V156" s="317">
        <f t="shared" si="29"/>
        <v>19.364000000000001</v>
      </c>
      <c r="W156" s="317">
        <f t="shared" si="29"/>
        <v>22.175333333333331</v>
      </c>
      <c r="X156" s="317">
        <f t="shared" si="29"/>
        <v>28.540666666666667</v>
      </c>
      <c r="Y156" s="317">
        <f t="shared" si="29"/>
        <v>25.49666666666667</v>
      </c>
      <c r="Z156" s="317">
        <f t="shared" si="23"/>
        <v>23.554666666666666</v>
      </c>
      <c r="AA156" s="317">
        <f t="shared" si="23"/>
        <v>0</v>
      </c>
      <c r="AB156" s="317">
        <f t="shared" si="23"/>
        <v>0</v>
      </c>
      <c r="AC156" s="317">
        <f t="shared" si="23"/>
        <v>0</v>
      </c>
      <c r="AD156" s="317">
        <f t="shared" si="23"/>
        <v>0</v>
      </c>
      <c r="AE156" s="317">
        <f t="shared" si="23"/>
        <v>0</v>
      </c>
      <c r="AF156" s="317">
        <f t="shared" si="23"/>
        <v>0</v>
      </c>
      <c r="AG156" s="317">
        <f t="shared" si="26"/>
        <v>159.81700000000001</v>
      </c>
      <c r="AH156" s="318">
        <v>18.715</v>
      </c>
      <c r="AI156" s="318">
        <v>19.7</v>
      </c>
      <c r="AJ156" s="318">
        <v>14.775</v>
      </c>
      <c r="AK156" s="318">
        <v>18.715</v>
      </c>
      <c r="AL156" s="318">
        <v>23.64</v>
      </c>
      <c r="AM156" s="318">
        <v>21.67</v>
      </c>
      <c r="AN156" s="318">
        <v>24.625</v>
      </c>
      <c r="AO156" s="318">
        <v>0</v>
      </c>
      <c r="AP156" s="318">
        <v>0</v>
      </c>
      <c r="AQ156" s="318">
        <v>0</v>
      </c>
      <c r="AR156" s="318">
        <v>0</v>
      </c>
      <c r="AS156" s="318">
        <v>0</v>
      </c>
      <c r="AT156" s="318">
        <v>0</v>
      </c>
      <c r="AU156" s="317">
        <f t="shared" si="27"/>
        <v>141.84</v>
      </c>
      <c r="AV156" s="319">
        <v>20.869</v>
      </c>
      <c r="AW156" s="319">
        <v>20.675999999999998</v>
      </c>
      <c r="AX156" s="319">
        <v>21.385999999999999</v>
      </c>
      <c r="AY156" s="319">
        <v>28.96</v>
      </c>
      <c r="AZ156" s="319">
        <v>26.256</v>
      </c>
      <c r="BA156" s="319">
        <v>32.386000000000003</v>
      </c>
      <c r="BB156" s="319">
        <v>20.170000000000002</v>
      </c>
      <c r="BC156" s="319">
        <v>0</v>
      </c>
      <c r="BD156" s="319">
        <v>0</v>
      </c>
      <c r="BE156" s="319">
        <v>0</v>
      </c>
      <c r="BF156" s="319">
        <v>0</v>
      </c>
      <c r="BG156" s="319">
        <v>0</v>
      </c>
      <c r="BH156" s="319">
        <v>0</v>
      </c>
      <c r="BI156" s="317">
        <f t="shared" si="28"/>
        <v>170.70299999999997</v>
      </c>
      <c r="BJ156" s="316">
        <v>19.634</v>
      </c>
      <c r="BK156" s="316">
        <v>22.463000000000001</v>
      </c>
      <c r="BL156" s="316">
        <v>21.931000000000001</v>
      </c>
      <c r="BM156" s="316">
        <v>18.850999999999999</v>
      </c>
      <c r="BN156" s="316">
        <v>35.725999999999999</v>
      </c>
      <c r="BO156" s="316">
        <v>22.434000000000001</v>
      </c>
      <c r="BP156" s="316">
        <v>25.869</v>
      </c>
      <c r="BQ156" s="316">
        <v>0</v>
      </c>
      <c r="BR156" s="316">
        <v>0</v>
      </c>
      <c r="BS156" s="316">
        <v>0</v>
      </c>
      <c r="BT156" s="316">
        <v>0</v>
      </c>
      <c r="BU156" s="316">
        <v>0</v>
      </c>
      <c r="BV156" s="316">
        <v>0</v>
      </c>
      <c r="BW156" s="317">
        <f t="shared" si="24"/>
        <v>166.90800000000002</v>
      </c>
    </row>
    <row r="157" spans="1:75" x14ac:dyDescent="0.2">
      <c r="A157" s="20" t="str">
        <f>'School Level Inst. Resources'!A157</f>
        <v>1101000</v>
      </c>
      <c r="B157" s="20" t="str">
        <f>'School Level Inst. Resources'!B157</f>
        <v>Laramie #1</v>
      </c>
      <c r="C157" s="20" t="str">
        <f>'School Level Inst. Resources'!C157</f>
        <v>1101017</v>
      </c>
      <c r="D157" s="20" t="str">
        <f>'School Level Inst. Resources'!D157</f>
        <v>Henderson Elementary</v>
      </c>
      <c r="E157" s="138" t="str">
        <f>'School Level Inst. Resources'!E157</f>
        <v>K-6</v>
      </c>
      <c r="F157" s="317">
        <f>IF(AND($A$2=4,VLOOKUP($A157,'District Level ADM'!$A$5:$W$52,5,FALSE)="Prior Year"),AH157,IF(AND($A$2=4,VLOOKUP($A157,'District Level ADM'!$A$5:$W$52,5,FALSE)="3-Year Avg."),T157,IF($A$2=2,AH157,IF($A$2=3,T157,IF(($AG157&gt;$AU157),T157,AH157)))))</f>
        <v>40.384999999999998</v>
      </c>
      <c r="G157" s="317">
        <f>IF(AND($A$2=4,VLOOKUP($A157,'District Level ADM'!$A$5:$W$52,5,FALSE)="Prior Year"),AI157,IF(AND($A$2=4,VLOOKUP($A157,'District Level ADM'!$A$5:$W$52,5,FALSE)="3-Year Avg."),U157,IF($A$2=2,AI157,IF($A$2=3,U157,IF(($AG157&gt;$AU157),U157,AI157)))))</f>
        <v>38.414999999999999</v>
      </c>
      <c r="H157" s="317">
        <f>IF(AND($A$2=4,VLOOKUP($A157,'District Level ADM'!$A$5:$W$52,5,FALSE)="Prior Year"),AJ157,IF(AND($A$2=4,VLOOKUP($A157,'District Level ADM'!$A$5:$W$52,5,FALSE)="3-Year Avg."),V157,IF($A$2=2,AJ157,IF($A$2=3,V157,IF(($AG157&gt;$AU157),V157,AJ157)))))</f>
        <v>38.414999999999999</v>
      </c>
      <c r="I157" s="317">
        <f>IF(AND($A$2=4,VLOOKUP($A157,'District Level ADM'!$A$5:$W$52,5,FALSE)="Prior Year"),AK157,IF(AND($A$2=4,VLOOKUP($A157,'District Level ADM'!$A$5:$W$52,5,FALSE)="3-Year Avg."),W157,IF($A$2=2,AK157,IF($A$2=3,W157,IF(($AG157&gt;$AU157),W157,AK157)))))</f>
        <v>47.28</v>
      </c>
      <c r="J157" s="317">
        <f>IF(AND($A$2=4,VLOOKUP($A157,'District Level ADM'!$A$5:$W$52,5,FALSE)="Prior Year"),AL157,IF(AND($A$2=4,VLOOKUP($A157,'District Level ADM'!$A$5:$W$52,5,FALSE)="3-Year Avg."),X157,IF($A$2=2,AL157,IF($A$2=3,X157,IF(($AG157&gt;$AU157),X157,AL157)))))</f>
        <v>44.325000000000003</v>
      </c>
      <c r="K157" s="317">
        <f>IF(AND($A$2=4,VLOOKUP($A157,'District Level ADM'!$A$5:$W$52,5,FALSE)="Prior Year"),AM157,IF(AND($A$2=4,VLOOKUP($A157,'District Level ADM'!$A$5:$W$52,5,FALSE)="3-Year Avg."),Y157,IF($A$2=2,AM157,IF($A$2=3,Y157,IF(($AG157&gt;$AU157),Y157,AM157)))))</f>
        <v>37.43</v>
      </c>
      <c r="L157" s="317">
        <f>IF(AND($A$2=4,VLOOKUP($A157,'District Level ADM'!$A$5:$W$52,5,FALSE)="Prior Year"),AN157,IF(AND($A$2=4,VLOOKUP($A157,'District Level ADM'!$A$5:$W$52,5,FALSE)="3-Year Avg."),Z157,IF($A$2=2,AN157,IF($A$2=3,Z157,IF(($AG157&gt;$AU157),Z157,AN157)))))</f>
        <v>33.49</v>
      </c>
      <c r="M157" s="317">
        <f>IF(AND($A$2=4,VLOOKUP($A157,'District Level ADM'!$A$5:$W$52,5,FALSE)="Prior Year"),AO157,IF(AND($A$2=4,VLOOKUP($A157,'District Level ADM'!$A$5:$W$52,5,FALSE)="3-Year Avg."),AA157,IF($A$2=2,AO157,IF($A$2=3,AA157,IF(($AG157&gt;$AU157),AA157,AO157)))))</f>
        <v>0</v>
      </c>
      <c r="N157" s="317">
        <f>IF(AND($A$2=4,VLOOKUP($A157,'District Level ADM'!$A$5:$W$52,5,FALSE)="Prior Year"),AP157,IF(AND($A$2=4,VLOOKUP($A157,'District Level ADM'!$A$5:$W$52,5,FALSE)="3-Year Avg."),AB157,IF($A$2=2,AP157,IF($A$2=3,AB157,IF(($AG157&gt;$AU157),AB157,AP157)))))</f>
        <v>0</v>
      </c>
      <c r="O157" s="317">
        <f>IF(AND($A$2=4,VLOOKUP($A157,'District Level ADM'!$A$5:$W$52,5,FALSE)="Prior Year"),AQ157,IF(AND($A$2=4,VLOOKUP($A157,'District Level ADM'!$A$5:$W$52,5,FALSE)="3-Year Avg."),AC157,IF($A$2=2,AQ157,IF($A$2=3,AC157,IF(($AG157&gt;$AU157),AC157,AQ157)))))</f>
        <v>0</v>
      </c>
      <c r="P157" s="317">
        <f>IF(AND($A$2=4,VLOOKUP($A157,'District Level ADM'!$A$5:$W$52,5,FALSE)="Prior Year"),AR157,IF(AND($A$2=4,VLOOKUP($A157,'District Level ADM'!$A$5:$W$52,5,FALSE)="3-Year Avg."),AD157,IF($A$2=2,AR157,IF($A$2=3,AD157,IF(($AG157&gt;$AU157),AD157,AR157)))))</f>
        <v>0</v>
      </c>
      <c r="Q157" s="317">
        <f>IF(AND($A$2=4,VLOOKUP($A157,'District Level ADM'!$A$5:$W$52,5,FALSE)="Prior Year"),AS157,IF(AND($A$2=4,VLOOKUP($A157,'District Level ADM'!$A$5:$W$52,5,FALSE)="3-Year Avg."),AE157,IF($A$2=2,AS157,IF($A$2=3,AE157,IF(($AG157&gt;$AU157),AE157,AS157)))))</f>
        <v>0</v>
      </c>
      <c r="R157" s="317">
        <f>IF(AND($A$2=4,VLOOKUP($A157,'District Level ADM'!$A$5:$W$52,5,FALSE)="Prior Year"),AT157,IF(AND($A$2=4,VLOOKUP($A157,'District Level ADM'!$A$5:$W$52,5,FALSE)="3-Year Avg."),AF157,IF($A$2=2,AT157,IF($A$2=3,AF157,IF(($AG157&gt;$AU157),AF157,AT157)))))</f>
        <v>0</v>
      </c>
      <c r="S157" s="317">
        <f t="shared" si="25"/>
        <v>279.74</v>
      </c>
      <c r="T157" s="317">
        <f t="shared" si="29"/>
        <v>40.896333333333331</v>
      </c>
      <c r="U157" s="317">
        <f t="shared" si="29"/>
        <v>41.576000000000001</v>
      </c>
      <c r="V157" s="317">
        <f t="shared" si="29"/>
        <v>46.208333333333336</v>
      </c>
      <c r="W157" s="317">
        <f t="shared" si="29"/>
        <v>46.25866666666667</v>
      </c>
      <c r="X157" s="317">
        <f t="shared" si="29"/>
        <v>43.62433333333334</v>
      </c>
      <c r="Y157" s="317">
        <f t="shared" si="29"/>
        <v>38.47</v>
      </c>
      <c r="Z157" s="317">
        <f t="shared" si="23"/>
        <v>38.5</v>
      </c>
      <c r="AA157" s="317">
        <f t="shared" si="23"/>
        <v>0</v>
      </c>
      <c r="AB157" s="317">
        <f t="shared" si="23"/>
        <v>0</v>
      </c>
      <c r="AC157" s="317">
        <f t="shared" si="23"/>
        <v>0</v>
      </c>
      <c r="AD157" s="317">
        <f t="shared" si="23"/>
        <v>0</v>
      </c>
      <c r="AE157" s="317">
        <f t="shared" si="23"/>
        <v>0</v>
      </c>
      <c r="AF157" s="317">
        <f t="shared" si="23"/>
        <v>0</v>
      </c>
      <c r="AG157" s="317">
        <f t="shared" si="26"/>
        <v>295.5336666666667</v>
      </c>
      <c r="AH157" s="318">
        <v>40.384999999999998</v>
      </c>
      <c r="AI157" s="318">
        <v>38.414999999999999</v>
      </c>
      <c r="AJ157" s="318">
        <v>38.414999999999999</v>
      </c>
      <c r="AK157" s="318">
        <v>47.28</v>
      </c>
      <c r="AL157" s="318">
        <v>44.325000000000003</v>
      </c>
      <c r="AM157" s="318">
        <v>37.43</v>
      </c>
      <c r="AN157" s="318">
        <v>33.49</v>
      </c>
      <c r="AO157" s="318">
        <v>0</v>
      </c>
      <c r="AP157" s="318">
        <v>0</v>
      </c>
      <c r="AQ157" s="318">
        <v>0</v>
      </c>
      <c r="AR157" s="318">
        <v>0</v>
      </c>
      <c r="AS157" s="318">
        <v>0</v>
      </c>
      <c r="AT157" s="318">
        <v>0</v>
      </c>
      <c r="AU157" s="317">
        <f t="shared" si="27"/>
        <v>279.74</v>
      </c>
      <c r="AV157" s="319">
        <v>36.881</v>
      </c>
      <c r="AW157" s="319">
        <v>39.947000000000003</v>
      </c>
      <c r="AX157" s="319">
        <v>49.341000000000001</v>
      </c>
      <c r="AY157" s="319">
        <v>45.222000000000001</v>
      </c>
      <c r="AZ157" s="319">
        <v>41.027999999999999</v>
      </c>
      <c r="BA157" s="319">
        <v>41.597000000000001</v>
      </c>
      <c r="BB157" s="319">
        <v>37.216000000000001</v>
      </c>
      <c r="BC157" s="319">
        <v>0</v>
      </c>
      <c r="BD157" s="319">
        <v>0</v>
      </c>
      <c r="BE157" s="319">
        <v>0</v>
      </c>
      <c r="BF157" s="319">
        <v>0</v>
      </c>
      <c r="BG157" s="319">
        <v>0</v>
      </c>
      <c r="BH157" s="319">
        <v>0</v>
      </c>
      <c r="BI157" s="317">
        <f t="shared" si="28"/>
        <v>291.23200000000003</v>
      </c>
      <c r="BJ157" s="316">
        <v>45.423000000000002</v>
      </c>
      <c r="BK157" s="316">
        <v>46.366</v>
      </c>
      <c r="BL157" s="316">
        <v>50.869</v>
      </c>
      <c r="BM157" s="316">
        <v>46.274000000000001</v>
      </c>
      <c r="BN157" s="316">
        <v>45.52</v>
      </c>
      <c r="BO157" s="316">
        <v>36.383000000000003</v>
      </c>
      <c r="BP157" s="316">
        <v>44.793999999999997</v>
      </c>
      <c r="BQ157" s="316">
        <v>0</v>
      </c>
      <c r="BR157" s="316">
        <v>0</v>
      </c>
      <c r="BS157" s="316">
        <v>0</v>
      </c>
      <c r="BT157" s="316">
        <v>0</v>
      </c>
      <c r="BU157" s="316">
        <v>0</v>
      </c>
      <c r="BV157" s="316">
        <v>0</v>
      </c>
      <c r="BW157" s="317">
        <f t="shared" si="24"/>
        <v>315.62900000000002</v>
      </c>
    </row>
    <row r="158" spans="1:75" x14ac:dyDescent="0.2">
      <c r="A158" s="20" t="str">
        <f>'School Level Inst. Resources'!A158</f>
        <v>1101000</v>
      </c>
      <c r="B158" s="20" t="str">
        <f>'School Level Inst. Resources'!B158</f>
        <v>Laramie #1</v>
      </c>
      <c r="C158" s="20" t="str">
        <f>'School Level Inst. Resources'!C158</f>
        <v>1101018</v>
      </c>
      <c r="D158" s="20" t="str">
        <f>'School Level Inst. Resources'!D158</f>
        <v>Hobbs Elementary</v>
      </c>
      <c r="E158" s="138" t="str">
        <f>'School Level Inst. Resources'!E158</f>
        <v>K-6</v>
      </c>
      <c r="F158" s="317">
        <f>IF(AND($A$2=4,VLOOKUP($A158,'District Level ADM'!$A$5:$W$52,5,FALSE)="Prior Year"),AH158,IF(AND($A$2=4,VLOOKUP($A158,'District Level ADM'!$A$5:$W$52,5,FALSE)="3-Year Avg."),T158,IF($A$2=2,AH158,IF($A$2=3,T158,IF(($AG158&gt;$AU158),T158,AH158)))))</f>
        <v>49.25</v>
      </c>
      <c r="G158" s="317">
        <f>IF(AND($A$2=4,VLOOKUP($A158,'District Level ADM'!$A$5:$W$52,5,FALSE)="Prior Year"),AI158,IF(AND($A$2=4,VLOOKUP($A158,'District Level ADM'!$A$5:$W$52,5,FALSE)="3-Year Avg."),U158,IF($A$2=2,AI158,IF($A$2=3,U158,IF(($AG158&gt;$AU158),U158,AI158)))))</f>
        <v>36.445</v>
      </c>
      <c r="H158" s="317">
        <f>IF(AND($A$2=4,VLOOKUP($A158,'District Level ADM'!$A$5:$W$52,5,FALSE)="Prior Year"),AJ158,IF(AND($A$2=4,VLOOKUP($A158,'District Level ADM'!$A$5:$W$52,5,FALSE)="3-Year Avg."),V158,IF($A$2=2,AJ158,IF($A$2=3,V158,IF(($AG158&gt;$AU158),V158,AJ158)))))</f>
        <v>55.16</v>
      </c>
      <c r="I158" s="317">
        <f>IF(AND($A$2=4,VLOOKUP($A158,'District Level ADM'!$A$5:$W$52,5,FALSE)="Prior Year"),AK158,IF(AND($A$2=4,VLOOKUP($A158,'District Level ADM'!$A$5:$W$52,5,FALSE)="3-Year Avg."),W158,IF($A$2=2,AK158,IF($A$2=3,W158,IF(($AG158&gt;$AU158),W158,AK158)))))</f>
        <v>61.07</v>
      </c>
      <c r="J158" s="317">
        <f>IF(AND($A$2=4,VLOOKUP($A158,'District Level ADM'!$A$5:$W$52,5,FALSE)="Prior Year"),AL158,IF(AND($A$2=4,VLOOKUP($A158,'District Level ADM'!$A$5:$W$52,5,FALSE)="3-Year Avg."),X158,IF($A$2=2,AL158,IF($A$2=3,X158,IF(($AG158&gt;$AU158),X158,AL158)))))</f>
        <v>59.1</v>
      </c>
      <c r="K158" s="317">
        <f>IF(AND($A$2=4,VLOOKUP($A158,'District Level ADM'!$A$5:$W$52,5,FALSE)="Prior Year"),AM158,IF(AND($A$2=4,VLOOKUP($A158,'District Level ADM'!$A$5:$W$52,5,FALSE)="3-Year Avg."),Y158,IF($A$2=2,AM158,IF($A$2=3,Y158,IF(($AG158&gt;$AU158),Y158,AM158)))))</f>
        <v>42.354999999999997</v>
      </c>
      <c r="L158" s="317">
        <f>IF(AND($A$2=4,VLOOKUP($A158,'District Level ADM'!$A$5:$W$52,5,FALSE)="Prior Year"),AN158,IF(AND($A$2=4,VLOOKUP($A158,'District Level ADM'!$A$5:$W$52,5,FALSE)="3-Year Avg."),Z158,IF($A$2=2,AN158,IF($A$2=3,Z158,IF(($AG158&gt;$AU158),Z158,AN158)))))</f>
        <v>66.98</v>
      </c>
      <c r="M158" s="317">
        <f>IF(AND($A$2=4,VLOOKUP($A158,'District Level ADM'!$A$5:$W$52,5,FALSE)="Prior Year"),AO158,IF(AND($A$2=4,VLOOKUP($A158,'District Level ADM'!$A$5:$W$52,5,FALSE)="3-Year Avg."),AA158,IF($A$2=2,AO158,IF($A$2=3,AA158,IF(($AG158&gt;$AU158),AA158,AO158)))))</f>
        <v>0</v>
      </c>
      <c r="N158" s="317">
        <f>IF(AND($A$2=4,VLOOKUP($A158,'District Level ADM'!$A$5:$W$52,5,FALSE)="Prior Year"),AP158,IF(AND($A$2=4,VLOOKUP($A158,'District Level ADM'!$A$5:$W$52,5,FALSE)="3-Year Avg."),AB158,IF($A$2=2,AP158,IF($A$2=3,AB158,IF(($AG158&gt;$AU158),AB158,AP158)))))</f>
        <v>0</v>
      </c>
      <c r="O158" s="317">
        <f>IF(AND($A$2=4,VLOOKUP($A158,'District Level ADM'!$A$5:$W$52,5,FALSE)="Prior Year"),AQ158,IF(AND($A$2=4,VLOOKUP($A158,'District Level ADM'!$A$5:$W$52,5,FALSE)="3-Year Avg."),AC158,IF($A$2=2,AQ158,IF($A$2=3,AC158,IF(($AG158&gt;$AU158),AC158,AQ158)))))</f>
        <v>0</v>
      </c>
      <c r="P158" s="317">
        <f>IF(AND($A$2=4,VLOOKUP($A158,'District Level ADM'!$A$5:$W$52,5,FALSE)="Prior Year"),AR158,IF(AND($A$2=4,VLOOKUP($A158,'District Level ADM'!$A$5:$W$52,5,FALSE)="3-Year Avg."),AD158,IF($A$2=2,AR158,IF($A$2=3,AD158,IF(($AG158&gt;$AU158),AD158,AR158)))))</f>
        <v>0</v>
      </c>
      <c r="Q158" s="317">
        <f>IF(AND($A$2=4,VLOOKUP($A158,'District Level ADM'!$A$5:$W$52,5,FALSE)="Prior Year"),AS158,IF(AND($A$2=4,VLOOKUP($A158,'District Level ADM'!$A$5:$W$52,5,FALSE)="3-Year Avg."),AE158,IF($A$2=2,AS158,IF($A$2=3,AE158,IF(($AG158&gt;$AU158),AE158,AS158)))))</f>
        <v>0</v>
      </c>
      <c r="R158" s="317">
        <f>IF(AND($A$2=4,VLOOKUP($A158,'District Level ADM'!$A$5:$W$52,5,FALSE)="Prior Year"),AT158,IF(AND($A$2=4,VLOOKUP($A158,'District Level ADM'!$A$5:$W$52,5,FALSE)="3-Year Avg."),AF158,IF($A$2=2,AT158,IF($A$2=3,AF158,IF(($AG158&gt;$AU158),AF158,AT158)))))</f>
        <v>0</v>
      </c>
      <c r="S158" s="317">
        <f t="shared" si="25"/>
        <v>370.36</v>
      </c>
      <c r="T158" s="317">
        <f t="shared" si="29"/>
        <v>50.314999999999998</v>
      </c>
      <c r="U158" s="317">
        <f t="shared" si="29"/>
        <v>56.492999999999995</v>
      </c>
      <c r="V158" s="317">
        <f t="shared" si="29"/>
        <v>65.660666666666671</v>
      </c>
      <c r="W158" s="317">
        <f t="shared" si="29"/>
        <v>55.978999999999992</v>
      </c>
      <c r="X158" s="317">
        <f t="shared" si="29"/>
        <v>57.317</v>
      </c>
      <c r="Y158" s="317">
        <f t="shared" si="29"/>
        <v>57.160333333333334</v>
      </c>
      <c r="Z158" s="317">
        <f t="shared" si="23"/>
        <v>65.75833333333334</v>
      </c>
      <c r="AA158" s="317">
        <f t="shared" si="23"/>
        <v>0</v>
      </c>
      <c r="AB158" s="317">
        <f t="shared" si="23"/>
        <v>0</v>
      </c>
      <c r="AC158" s="317">
        <f t="shared" si="23"/>
        <v>0</v>
      </c>
      <c r="AD158" s="317">
        <f t="shared" si="23"/>
        <v>0</v>
      </c>
      <c r="AE158" s="317">
        <f t="shared" si="23"/>
        <v>0</v>
      </c>
      <c r="AF158" s="317">
        <f t="shared" si="23"/>
        <v>0</v>
      </c>
      <c r="AG158" s="317">
        <f t="shared" si="26"/>
        <v>408.68333333333328</v>
      </c>
      <c r="AH158" s="318">
        <v>49.25</v>
      </c>
      <c r="AI158" s="318">
        <v>36.445</v>
      </c>
      <c r="AJ158" s="318">
        <v>55.16</v>
      </c>
      <c r="AK158" s="318">
        <v>61.07</v>
      </c>
      <c r="AL158" s="318">
        <v>59.1</v>
      </c>
      <c r="AM158" s="318">
        <v>42.354999999999997</v>
      </c>
      <c r="AN158" s="318">
        <v>66.98</v>
      </c>
      <c r="AO158" s="318">
        <v>0</v>
      </c>
      <c r="AP158" s="318">
        <v>0</v>
      </c>
      <c r="AQ158" s="318">
        <v>0</v>
      </c>
      <c r="AR158" s="318">
        <v>0</v>
      </c>
      <c r="AS158" s="318">
        <v>0</v>
      </c>
      <c r="AT158" s="318">
        <v>0</v>
      </c>
      <c r="AU158" s="317">
        <f t="shared" si="27"/>
        <v>370.36</v>
      </c>
      <c r="AV158" s="319">
        <v>42.341000000000001</v>
      </c>
      <c r="AW158" s="319">
        <v>58</v>
      </c>
      <c r="AX158" s="319">
        <v>73.141999999999996</v>
      </c>
      <c r="AY158" s="319">
        <v>61.244</v>
      </c>
      <c r="AZ158" s="319">
        <v>48.033999999999999</v>
      </c>
      <c r="BA158" s="319">
        <v>63.795000000000002</v>
      </c>
      <c r="BB158" s="319">
        <v>63.426000000000002</v>
      </c>
      <c r="BC158" s="319">
        <v>0</v>
      </c>
      <c r="BD158" s="319">
        <v>0</v>
      </c>
      <c r="BE158" s="319">
        <v>0</v>
      </c>
      <c r="BF158" s="319">
        <v>0</v>
      </c>
      <c r="BG158" s="319">
        <v>0</v>
      </c>
      <c r="BH158" s="319">
        <v>0</v>
      </c>
      <c r="BI158" s="317">
        <f t="shared" si="28"/>
        <v>409.98200000000003</v>
      </c>
      <c r="BJ158" s="316">
        <v>59.353999999999999</v>
      </c>
      <c r="BK158" s="316">
        <v>75.034000000000006</v>
      </c>
      <c r="BL158" s="316">
        <v>68.680000000000007</v>
      </c>
      <c r="BM158" s="316">
        <v>45.622999999999998</v>
      </c>
      <c r="BN158" s="316">
        <v>64.816999999999993</v>
      </c>
      <c r="BO158" s="316">
        <v>65.331000000000003</v>
      </c>
      <c r="BP158" s="316">
        <v>66.869</v>
      </c>
      <c r="BQ158" s="316">
        <v>0</v>
      </c>
      <c r="BR158" s="316">
        <v>0</v>
      </c>
      <c r="BS158" s="316">
        <v>0</v>
      </c>
      <c r="BT158" s="316">
        <v>0</v>
      </c>
      <c r="BU158" s="316">
        <v>0</v>
      </c>
      <c r="BV158" s="316">
        <v>0</v>
      </c>
      <c r="BW158" s="317">
        <f t="shared" si="24"/>
        <v>445.70799999999997</v>
      </c>
    </row>
    <row r="159" spans="1:75" x14ac:dyDescent="0.2">
      <c r="A159" s="20" t="str">
        <f>'School Level Inst. Resources'!A159</f>
        <v>1101000</v>
      </c>
      <c r="B159" s="20" t="str">
        <f>'School Level Inst. Resources'!B159</f>
        <v>Laramie #1</v>
      </c>
      <c r="C159" s="20" t="str">
        <f>'School Level Inst. Resources'!C159</f>
        <v>1101019</v>
      </c>
      <c r="D159" s="20" t="str">
        <f>'School Level Inst. Resources'!D159</f>
        <v>Clawson Elementary</v>
      </c>
      <c r="E159" s="138" t="str">
        <f>'School Level Inst. Resources'!E159</f>
        <v>K-6</v>
      </c>
      <c r="F159" s="317">
        <f>IF(AND($A$2=4,VLOOKUP($A159,'District Level ADM'!$A$5:$W$52,5,FALSE)="Prior Year"),AH159,IF(AND($A$2=4,VLOOKUP($A159,'District Level ADM'!$A$5:$W$52,5,FALSE)="3-Year Avg."),T159,IF($A$2=2,AH159,IF($A$2=3,T159,IF(($AG159&gt;$AU159),T159,AH159)))))</f>
        <v>0.98499999999999999</v>
      </c>
      <c r="G159" s="317">
        <f>IF(AND($A$2=4,VLOOKUP($A159,'District Level ADM'!$A$5:$W$52,5,FALSE)="Prior Year"),AI159,IF(AND($A$2=4,VLOOKUP($A159,'District Level ADM'!$A$5:$W$52,5,FALSE)="3-Year Avg."),U159,IF($A$2=2,AI159,IF($A$2=3,U159,IF(($AG159&gt;$AU159),U159,AI159)))))</f>
        <v>1.97</v>
      </c>
      <c r="H159" s="317">
        <f>IF(AND($A$2=4,VLOOKUP($A159,'District Level ADM'!$A$5:$W$52,5,FALSE)="Prior Year"),AJ159,IF(AND($A$2=4,VLOOKUP($A159,'District Level ADM'!$A$5:$W$52,5,FALSE)="3-Year Avg."),V159,IF($A$2=2,AJ159,IF($A$2=3,V159,IF(($AG159&gt;$AU159),V159,AJ159)))))</f>
        <v>0.98499999999999999</v>
      </c>
      <c r="I159" s="317">
        <f>IF(AND($A$2=4,VLOOKUP($A159,'District Level ADM'!$A$5:$W$52,5,FALSE)="Prior Year"),AK159,IF(AND($A$2=4,VLOOKUP($A159,'District Level ADM'!$A$5:$W$52,5,FALSE)="3-Year Avg."),W159,IF($A$2=2,AK159,IF($A$2=3,W159,IF(($AG159&gt;$AU159),W159,AK159)))))</f>
        <v>2.9550000000000001</v>
      </c>
      <c r="J159" s="317">
        <f>IF(AND($A$2=4,VLOOKUP($A159,'District Level ADM'!$A$5:$W$52,5,FALSE)="Prior Year"),AL159,IF(AND($A$2=4,VLOOKUP($A159,'District Level ADM'!$A$5:$W$52,5,FALSE)="3-Year Avg."),X159,IF($A$2=2,AL159,IF($A$2=3,X159,IF(($AG159&gt;$AU159),X159,AL159)))))</f>
        <v>0</v>
      </c>
      <c r="K159" s="317">
        <f>IF(AND($A$2=4,VLOOKUP($A159,'District Level ADM'!$A$5:$W$52,5,FALSE)="Prior Year"),AM159,IF(AND($A$2=4,VLOOKUP($A159,'District Level ADM'!$A$5:$W$52,5,FALSE)="3-Year Avg."),Y159,IF($A$2=2,AM159,IF($A$2=3,Y159,IF(($AG159&gt;$AU159),Y159,AM159)))))</f>
        <v>3.94</v>
      </c>
      <c r="L159" s="317">
        <f>IF(AND($A$2=4,VLOOKUP($A159,'District Level ADM'!$A$5:$W$52,5,FALSE)="Prior Year"),AN159,IF(AND($A$2=4,VLOOKUP($A159,'District Level ADM'!$A$5:$W$52,5,FALSE)="3-Year Avg."),Z159,IF($A$2=2,AN159,IF($A$2=3,Z159,IF(($AG159&gt;$AU159),Z159,AN159)))))</f>
        <v>0</v>
      </c>
      <c r="M159" s="317">
        <f>IF(AND($A$2=4,VLOOKUP($A159,'District Level ADM'!$A$5:$W$52,5,FALSE)="Prior Year"),AO159,IF(AND($A$2=4,VLOOKUP($A159,'District Level ADM'!$A$5:$W$52,5,FALSE)="3-Year Avg."),AA159,IF($A$2=2,AO159,IF($A$2=3,AA159,IF(($AG159&gt;$AU159),AA159,AO159)))))</f>
        <v>0</v>
      </c>
      <c r="N159" s="317">
        <f>IF(AND($A$2=4,VLOOKUP($A159,'District Level ADM'!$A$5:$W$52,5,FALSE)="Prior Year"),AP159,IF(AND($A$2=4,VLOOKUP($A159,'District Level ADM'!$A$5:$W$52,5,FALSE)="3-Year Avg."),AB159,IF($A$2=2,AP159,IF($A$2=3,AB159,IF(($AG159&gt;$AU159),AB159,AP159)))))</f>
        <v>0</v>
      </c>
      <c r="O159" s="317">
        <f>IF(AND($A$2=4,VLOOKUP($A159,'District Level ADM'!$A$5:$W$52,5,FALSE)="Prior Year"),AQ159,IF(AND($A$2=4,VLOOKUP($A159,'District Level ADM'!$A$5:$W$52,5,FALSE)="3-Year Avg."),AC159,IF($A$2=2,AQ159,IF($A$2=3,AC159,IF(($AG159&gt;$AU159),AC159,AQ159)))))</f>
        <v>0</v>
      </c>
      <c r="P159" s="317">
        <f>IF(AND($A$2=4,VLOOKUP($A159,'District Level ADM'!$A$5:$W$52,5,FALSE)="Prior Year"),AR159,IF(AND($A$2=4,VLOOKUP($A159,'District Level ADM'!$A$5:$W$52,5,FALSE)="3-Year Avg."),AD159,IF($A$2=2,AR159,IF($A$2=3,AD159,IF(($AG159&gt;$AU159),AD159,AR159)))))</f>
        <v>0</v>
      </c>
      <c r="Q159" s="317">
        <f>IF(AND($A$2=4,VLOOKUP($A159,'District Level ADM'!$A$5:$W$52,5,FALSE)="Prior Year"),AS159,IF(AND($A$2=4,VLOOKUP($A159,'District Level ADM'!$A$5:$W$52,5,FALSE)="3-Year Avg."),AE159,IF($A$2=2,AS159,IF($A$2=3,AE159,IF(($AG159&gt;$AU159),AE159,AS159)))))</f>
        <v>0</v>
      </c>
      <c r="R159" s="317">
        <f>IF(AND($A$2=4,VLOOKUP($A159,'District Level ADM'!$A$5:$W$52,5,FALSE)="Prior Year"),AT159,IF(AND($A$2=4,VLOOKUP($A159,'District Level ADM'!$A$5:$W$52,5,FALSE)="3-Year Avg."),AF159,IF($A$2=2,AT159,IF($A$2=3,AF159,IF(($AG159&gt;$AU159),AF159,AT159)))))</f>
        <v>0</v>
      </c>
      <c r="S159" s="317">
        <f t="shared" si="25"/>
        <v>10.834999999999999</v>
      </c>
      <c r="T159" s="317">
        <f t="shared" si="29"/>
        <v>1.5759999999999998</v>
      </c>
      <c r="U159" s="317">
        <f t="shared" si="29"/>
        <v>1.5803333333333331</v>
      </c>
      <c r="V159" s="317">
        <f t="shared" si="29"/>
        <v>0.66166666666666663</v>
      </c>
      <c r="W159" s="317">
        <f t="shared" si="29"/>
        <v>2.1183333333333336</v>
      </c>
      <c r="X159" s="317">
        <f t="shared" si="29"/>
        <v>1.2569999999999999</v>
      </c>
      <c r="Y159" s="317">
        <f t="shared" si="29"/>
        <v>1.6466666666666665</v>
      </c>
      <c r="Z159" s="317">
        <f t="shared" si="23"/>
        <v>0.33333333333333331</v>
      </c>
      <c r="AA159" s="317">
        <f t="shared" si="23"/>
        <v>0</v>
      </c>
      <c r="AB159" s="317">
        <f t="shared" si="23"/>
        <v>0</v>
      </c>
      <c r="AC159" s="317">
        <f t="shared" si="23"/>
        <v>0</v>
      </c>
      <c r="AD159" s="317">
        <f t="shared" si="23"/>
        <v>0</v>
      </c>
      <c r="AE159" s="317">
        <f t="shared" si="23"/>
        <v>0</v>
      </c>
      <c r="AF159" s="317">
        <f t="shared" si="23"/>
        <v>0</v>
      </c>
      <c r="AG159" s="317">
        <f t="shared" si="26"/>
        <v>9.1733333333333338</v>
      </c>
      <c r="AH159" s="318">
        <v>0.98499999999999999</v>
      </c>
      <c r="AI159" s="318">
        <v>1.97</v>
      </c>
      <c r="AJ159" s="318">
        <v>0.98499999999999999</v>
      </c>
      <c r="AK159" s="318">
        <v>2.9550000000000001</v>
      </c>
      <c r="AL159" s="318">
        <v>0</v>
      </c>
      <c r="AM159" s="318">
        <v>3.94</v>
      </c>
      <c r="AN159" s="318">
        <v>0</v>
      </c>
      <c r="AO159" s="318">
        <v>0</v>
      </c>
      <c r="AP159" s="318">
        <v>0</v>
      </c>
      <c r="AQ159" s="318">
        <v>0</v>
      </c>
      <c r="AR159" s="318">
        <v>0</v>
      </c>
      <c r="AS159" s="318">
        <v>0</v>
      </c>
      <c r="AT159" s="318">
        <v>0</v>
      </c>
      <c r="AU159" s="317">
        <f t="shared" si="27"/>
        <v>10.834999999999999</v>
      </c>
      <c r="AV159" s="319">
        <v>2</v>
      </c>
      <c r="AW159" s="319">
        <v>1.7709999999999999</v>
      </c>
      <c r="AX159" s="319">
        <v>1</v>
      </c>
      <c r="AY159" s="319">
        <v>0</v>
      </c>
      <c r="AZ159" s="319">
        <v>3.7709999999999999</v>
      </c>
      <c r="BA159" s="319">
        <v>0</v>
      </c>
      <c r="BB159" s="319">
        <v>1</v>
      </c>
      <c r="BC159" s="319">
        <v>0</v>
      </c>
      <c r="BD159" s="319">
        <v>0</v>
      </c>
      <c r="BE159" s="319">
        <v>0</v>
      </c>
      <c r="BF159" s="319">
        <v>0</v>
      </c>
      <c r="BG159" s="319">
        <v>0</v>
      </c>
      <c r="BH159" s="319">
        <v>0</v>
      </c>
      <c r="BI159" s="317">
        <f t="shared" si="28"/>
        <v>9.5419999999999998</v>
      </c>
      <c r="BJ159" s="316">
        <v>1.7430000000000001</v>
      </c>
      <c r="BK159" s="316">
        <v>1</v>
      </c>
      <c r="BL159" s="316">
        <v>0</v>
      </c>
      <c r="BM159" s="316">
        <v>3.4</v>
      </c>
      <c r="BN159" s="316">
        <v>0</v>
      </c>
      <c r="BO159" s="316">
        <v>1</v>
      </c>
      <c r="BP159" s="316">
        <v>0</v>
      </c>
      <c r="BQ159" s="316">
        <v>0</v>
      </c>
      <c r="BR159" s="316">
        <v>0</v>
      </c>
      <c r="BS159" s="316">
        <v>0</v>
      </c>
      <c r="BT159" s="316">
        <v>0</v>
      </c>
      <c r="BU159" s="316">
        <v>0</v>
      </c>
      <c r="BV159" s="316">
        <v>0</v>
      </c>
      <c r="BW159" s="317">
        <f t="shared" si="24"/>
        <v>7.1430000000000007</v>
      </c>
    </row>
    <row r="160" spans="1:75" x14ac:dyDescent="0.2">
      <c r="A160" s="20" t="str">
        <f>'School Level Inst. Resources'!A160</f>
        <v>1101000</v>
      </c>
      <c r="B160" s="20" t="str">
        <f>'School Level Inst. Resources'!B160</f>
        <v>Laramie #1</v>
      </c>
      <c r="C160" s="20" t="str">
        <f>'School Level Inst. Resources'!C160</f>
        <v>1101020</v>
      </c>
      <c r="D160" s="20" t="str">
        <f>'School Level Inst. Resources'!D160</f>
        <v>Jessup Elementary</v>
      </c>
      <c r="E160" s="138" t="str">
        <f>'School Level Inst. Resources'!E160</f>
        <v>K-6</v>
      </c>
      <c r="F160" s="317">
        <f>IF(AND($A$2=4,VLOOKUP($A160,'District Level ADM'!$A$5:$W$52,5,FALSE)="Prior Year"),AH160,IF(AND($A$2=4,VLOOKUP($A160,'District Level ADM'!$A$5:$W$52,5,FALSE)="3-Year Avg."),T160,IF($A$2=2,AH160,IF($A$2=3,T160,IF(($AG160&gt;$AU160),T160,AH160)))))</f>
        <v>42.354999999999997</v>
      </c>
      <c r="G160" s="317">
        <f>IF(AND($A$2=4,VLOOKUP($A160,'District Level ADM'!$A$5:$W$52,5,FALSE)="Prior Year"),AI160,IF(AND($A$2=4,VLOOKUP($A160,'District Level ADM'!$A$5:$W$52,5,FALSE)="3-Year Avg."),U160,IF($A$2=2,AI160,IF($A$2=3,U160,IF(($AG160&gt;$AU160),U160,AI160)))))</f>
        <v>45.31</v>
      </c>
      <c r="H160" s="317">
        <f>IF(AND($A$2=4,VLOOKUP($A160,'District Level ADM'!$A$5:$W$52,5,FALSE)="Prior Year"),AJ160,IF(AND($A$2=4,VLOOKUP($A160,'District Level ADM'!$A$5:$W$52,5,FALSE)="3-Year Avg."),V160,IF($A$2=2,AJ160,IF($A$2=3,V160,IF(($AG160&gt;$AU160),V160,AJ160)))))</f>
        <v>36.445</v>
      </c>
      <c r="I160" s="317">
        <f>IF(AND($A$2=4,VLOOKUP($A160,'District Level ADM'!$A$5:$W$52,5,FALSE)="Prior Year"),AK160,IF(AND($A$2=4,VLOOKUP($A160,'District Level ADM'!$A$5:$W$52,5,FALSE)="3-Year Avg."),W160,IF($A$2=2,AK160,IF($A$2=3,W160,IF(($AG160&gt;$AU160),W160,AK160)))))</f>
        <v>37.43</v>
      </c>
      <c r="J160" s="317">
        <f>IF(AND($A$2=4,VLOOKUP($A160,'District Level ADM'!$A$5:$W$52,5,FALSE)="Prior Year"),AL160,IF(AND($A$2=4,VLOOKUP($A160,'District Level ADM'!$A$5:$W$52,5,FALSE)="3-Year Avg."),X160,IF($A$2=2,AL160,IF($A$2=3,X160,IF(($AG160&gt;$AU160),X160,AL160)))))</f>
        <v>42.354999999999997</v>
      </c>
      <c r="K160" s="317">
        <f>IF(AND($A$2=4,VLOOKUP($A160,'District Level ADM'!$A$5:$W$52,5,FALSE)="Prior Year"),AM160,IF(AND($A$2=4,VLOOKUP($A160,'District Level ADM'!$A$5:$W$52,5,FALSE)="3-Year Avg."),Y160,IF($A$2=2,AM160,IF($A$2=3,Y160,IF(($AG160&gt;$AU160),Y160,AM160)))))</f>
        <v>34.475000000000001</v>
      </c>
      <c r="L160" s="317">
        <f>IF(AND($A$2=4,VLOOKUP($A160,'District Level ADM'!$A$5:$W$52,5,FALSE)="Prior Year"),AN160,IF(AND($A$2=4,VLOOKUP($A160,'District Level ADM'!$A$5:$W$52,5,FALSE)="3-Year Avg."),Z160,IF($A$2=2,AN160,IF($A$2=3,Z160,IF(($AG160&gt;$AU160),Z160,AN160)))))</f>
        <v>35.46</v>
      </c>
      <c r="M160" s="317">
        <f>IF(AND($A$2=4,VLOOKUP($A160,'District Level ADM'!$A$5:$W$52,5,FALSE)="Prior Year"),AO160,IF(AND($A$2=4,VLOOKUP($A160,'District Level ADM'!$A$5:$W$52,5,FALSE)="3-Year Avg."),AA160,IF($A$2=2,AO160,IF($A$2=3,AA160,IF(($AG160&gt;$AU160),AA160,AO160)))))</f>
        <v>0</v>
      </c>
      <c r="N160" s="317">
        <f>IF(AND($A$2=4,VLOOKUP($A160,'District Level ADM'!$A$5:$W$52,5,FALSE)="Prior Year"),AP160,IF(AND($A$2=4,VLOOKUP($A160,'District Level ADM'!$A$5:$W$52,5,FALSE)="3-Year Avg."),AB160,IF($A$2=2,AP160,IF($A$2=3,AB160,IF(($AG160&gt;$AU160),AB160,AP160)))))</f>
        <v>0</v>
      </c>
      <c r="O160" s="317">
        <f>IF(AND($A$2=4,VLOOKUP($A160,'District Level ADM'!$A$5:$W$52,5,FALSE)="Prior Year"),AQ160,IF(AND($A$2=4,VLOOKUP($A160,'District Level ADM'!$A$5:$W$52,5,FALSE)="3-Year Avg."),AC160,IF($A$2=2,AQ160,IF($A$2=3,AC160,IF(($AG160&gt;$AU160),AC160,AQ160)))))</f>
        <v>0</v>
      </c>
      <c r="P160" s="317">
        <f>IF(AND($A$2=4,VLOOKUP($A160,'District Level ADM'!$A$5:$W$52,5,FALSE)="Prior Year"),AR160,IF(AND($A$2=4,VLOOKUP($A160,'District Level ADM'!$A$5:$W$52,5,FALSE)="3-Year Avg."),AD160,IF($A$2=2,AR160,IF($A$2=3,AD160,IF(($AG160&gt;$AU160),AD160,AR160)))))</f>
        <v>0</v>
      </c>
      <c r="Q160" s="317">
        <f>IF(AND($A$2=4,VLOOKUP($A160,'District Level ADM'!$A$5:$W$52,5,FALSE)="Prior Year"),AS160,IF(AND($A$2=4,VLOOKUP($A160,'District Level ADM'!$A$5:$W$52,5,FALSE)="3-Year Avg."),AE160,IF($A$2=2,AS160,IF($A$2=3,AE160,IF(($AG160&gt;$AU160),AE160,AS160)))))</f>
        <v>0</v>
      </c>
      <c r="R160" s="317">
        <f>IF(AND($A$2=4,VLOOKUP($A160,'District Level ADM'!$A$5:$W$52,5,FALSE)="Prior Year"),AT160,IF(AND($A$2=4,VLOOKUP($A160,'District Level ADM'!$A$5:$W$52,5,FALSE)="3-Year Avg."),AF160,IF($A$2=2,AT160,IF($A$2=3,AF160,IF(($AG160&gt;$AU160),AF160,AT160)))))</f>
        <v>0</v>
      </c>
      <c r="S160" s="317">
        <f t="shared" si="25"/>
        <v>273.83</v>
      </c>
      <c r="T160" s="317">
        <f t="shared" si="29"/>
        <v>37.366666666666667</v>
      </c>
      <c r="U160" s="317">
        <f t="shared" si="29"/>
        <v>37.592333333333336</v>
      </c>
      <c r="V160" s="317">
        <f t="shared" si="29"/>
        <v>36.010999999999996</v>
      </c>
      <c r="W160" s="317">
        <f t="shared" si="29"/>
        <v>36.827999999999996</v>
      </c>
      <c r="X160" s="317">
        <f t="shared" si="29"/>
        <v>37.881</v>
      </c>
      <c r="Y160" s="317">
        <f t="shared" si="29"/>
        <v>38.780333333333331</v>
      </c>
      <c r="Z160" s="317">
        <f t="shared" si="23"/>
        <v>37.378666666666668</v>
      </c>
      <c r="AA160" s="317">
        <f t="shared" si="23"/>
        <v>0</v>
      </c>
      <c r="AB160" s="317">
        <f t="shared" si="23"/>
        <v>0</v>
      </c>
      <c r="AC160" s="317">
        <f t="shared" si="23"/>
        <v>0</v>
      </c>
      <c r="AD160" s="317">
        <f t="shared" si="23"/>
        <v>0</v>
      </c>
      <c r="AE160" s="317">
        <f t="shared" si="23"/>
        <v>0</v>
      </c>
      <c r="AF160" s="317">
        <f t="shared" si="23"/>
        <v>0</v>
      </c>
      <c r="AG160" s="317">
        <f t="shared" si="26"/>
        <v>261.83800000000002</v>
      </c>
      <c r="AH160" s="318">
        <v>42.354999999999997</v>
      </c>
      <c r="AI160" s="318">
        <v>45.31</v>
      </c>
      <c r="AJ160" s="318">
        <v>36.445</v>
      </c>
      <c r="AK160" s="318">
        <v>37.43</v>
      </c>
      <c r="AL160" s="318">
        <v>42.354999999999997</v>
      </c>
      <c r="AM160" s="318">
        <v>34.475000000000001</v>
      </c>
      <c r="AN160" s="318">
        <v>35.46</v>
      </c>
      <c r="AO160" s="318">
        <v>0</v>
      </c>
      <c r="AP160" s="318">
        <v>0</v>
      </c>
      <c r="AQ160" s="318">
        <v>0</v>
      </c>
      <c r="AR160" s="318">
        <v>0</v>
      </c>
      <c r="AS160" s="318">
        <v>0</v>
      </c>
      <c r="AT160" s="318">
        <v>0</v>
      </c>
      <c r="AU160" s="317">
        <f t="shared" si="27"/>
        <v>273.83</v>
      </c>
      <c r="AV160" s="319">
        <v>36.756</v>
      </c>
      <c r="AW160" s="319">
        <v>34.323999999999998</v>
      </c>
      <c r="AX160" s="319">
        <v>31.108000000000001</v>
      </c>
      <c r="AY160" s="319">
        <v>37.476999999999997</v>
      </c>
      <c r="AZ160" s="319">
        <v>35.688000000000002</v>
      </c>
      <c r="BA160" s="319">
        <v>37.369</v>
      </c>
      <c r="BB160" s="319">
        <v>38.726999999999997</v>
      </c>
      <c r="BC160" s="319">
        <v>0</v>
      </c>
      <c r="BD160" s="319">
        <v>0</v>
      </c>
      <c r="BE160" s="319">
        <v>0</v>
      </c>
      <c r="BF160" s="319">
        <v>0</v>
      </c>
      <c r="BG160" s="319">
        <v>0</v>
      </c>
      <c r="BH160" s="319">
        <v>0</v>
      </c>
      <c r="BI160" s="317">
        <f t="shared" si="28"/>
        <v>251.44900000000001</v>
      </c>
      <c r="BJ160" s="316">
        <v>32.988999999999997</v>
      </c>
      <c r="BK160" s="316">
        <v>33.143000000000001</v>
      </c>
      <c r="BL160" s="316">
        <v>40.479999999999997</v>
      </c>
      <c r="BM160" s="316">
        <v>35.576999999999998</v>
      </c>
      <c r="BN160" s="316">
        <v>35.6</v>
      </c>
      <c r="BO160" s="316">
        <v>44.497</v>
      </c>
      <c r="BP160" s="316">
        <v>37.948999999999998</v>
      </c>
      <c r="BQ160" s="316">
        <v>0</v>
      </c>
      <c r="BR160" s="316">
        <v>0</v>
      </c>
      <c r="BS160" s="316">
        <v>0</v>
      </c>
      <c r="BT160" s="316">
        <v>0</v>
      </c>
      <c r="BU160" s="316">
        <v>0</v>
      </c>
      <c r="BV160" s="316">
        <v>0</v>
      </c>
      <c r="BW160" s="317">
        <f t="shared" si="24"/>
        <v>260.23500000000001</v>
      </c>
    </row>
    <row r="161" spans="1:734" x14ac:dyDescent="0.2">
      <c r="A161" s="20" t="str">
        <f>'School Level Inst. Resources'!A161</f>
        <v>1101000</v>
      </c>
      <c r="B161" s="20" t="str">
        <f>'School Level Inst. Resources'!B161</f>
        <v>Laramie #1</v>
      </c>
      <c r="C161" s="20" t="str">
        <f>'School Level Inst. Resources'!C161</f>
        <v>1101021</v>
      </c>
      <c r="D161" s="20" t="str">
        <f>'School Level Inst. Resources'!D161</f>
        <v>Lebhart Elementary</v>
      </c>
      <c r="E161" s="138" t="str">
        <f>'School Level Inst. Resources'!E161</f>
        <v>K-2</v>
      </c>
      <c r="F161" s="317">
        <f>IF(AND($A$2=4,VLOOKUP($A161,'District Level ADM'!$A$5:$W$52,5,FALSE)="Prior Year"),AH161,IF(AND($A$2=4,VLOOKUP($A161,'District Level ADM'!$A$5:$W$52,5,FALSE)="3-Year Avg."),T161,IF($A$2=2,AH161,IF($A$2=3,T161,IF(($AG161&gt;$AU161),T161,AH161)))))</f>
        <v>35.46</v>
      </c>
      <c r="G161" s="317">
        <f>IF(AND($A$2=4,VLOOKUP($A161,'District Level ADM'!$A$5:$W$52,5,FALSE)="Prior Year"),AI161,IF(AND($A$2=4,VLOOKUP($A161,'District Level ADM'!$A$5:$W$52,5,FALSE)="3-Year Avg."),U161,IF($A$2=2,AI161,IF($A$2=3,U161,IF(($AG161&gt;$AU161),U161,AI161)))))</f>
        <v>30.535</v>
      </c>
      <c r="H161" s="317">
        <f>IF(AND($A$2=4,VLOOKUP($A161,'District Level ADM'!$A$5:$W$52,5,FALSE)="Prior Year"),AJ161,IF(AND($A$2=4,VLOOKUP($A161,'District Level ADM'!$A$5:$W$52,5,FALSE)="3-Year Avg."),V161,IF($A$2=2,AJ161,IF($A$2=3,V161,IF(($AG161&gt;$AU161),V161,AJ161)))))</f>
        <v>30.535</v>
      </c>
      <c r="I161" s="317">
        <f>IF(AND($A$2=4,VLOOKUP($A161,'District Level ADM'!$A$5:$W$52,5,FALSE)="Prior Year"),AK161,IF(AND($A$2=4,VLOOKUP($A161,'District Level ADM'!$A$5:$W$52,5,FALSE)="3-Year Avg."),W161,IF($A$2=2,AK161,IF($A$2=3,W161,IF(($AG161&gt;$AU161),W161,AK161)))))</f>
        <v>0</v>
      </c>
      <c r="J161" s="317">
        <f>IF(AND($A$2=4,VLOOKUP($A161,'District Level ADM'!$A$5:$W$52,5,FALSE)="Prior Year"),AL161,IF(AND($A$2=4,VLOOKUP($A161,'District Level ADM'!$A$5:$W$52,5,FALSE)="3-Year Avg."),X161,IF($A$2=2,AL161,IF($A$2=3,X161,IF(($AG161&gt;$AU161),X161,AL161)))))</f>
        <v>0</v>
      </c>
      <c r="K161" s="317">
        <f>IF(AND($A$2=4,VLOOKUP($A161,'District Level ADM'!$A$5:$W$52,5,FALSE)="Prior Year"),AM161,IF(AND($A$2=4,VLOOKUP($A161,'District Level ADM'!$A$5:$W$52,5,FALSE)="3-Year Avg."),Y161,IF($A$2=2,AM161,IF($A$2=3,Y161,IF(($AG161&gt;$AU161),Y161,AM161)))))</f>
        <v>0</v>
      </c>
      <c r="L161" s="317">
        <f>IF(AND($A$2=4,VLOOKUP($A161,'District Level ADM'!$A$5:$W$52,5,FALSE)="Prior Year"),AN161,IF(AND($A$2=4,VLOOKUP($A161,'District Level ADM'!$A$5:$W$52,5,FALSE)="3-Year Avg."),Z161,IF($A$2=2,AN161,IF($A$2=3,Z161,IF(($AG161&gt;$AU161),Z161,AN161)))))</f>
        <v>0</v>
      </c>
      <c r="M161" s="317">
        <f>IF(AND($A$2=4,VLOOKUP($A161,'District Level ADM'!$A$5:$W$52,5,FALSE)="Prior Year"),AO161,IF(AND($A$2=4,VLOOKUP($A161,'District Level ADM'!$A$5:$W$52,5,FALSE)="3-Year Avg."),AA161,IF($A$2=2,AO161,IF($A$2=3,AA161,IF(($AG161&gt;$AU161),AA161,AO161)))))</f>
        <v>0</v>
      </c>
      <c r="N161" s="317">
        <f>IF(AND($A$2=4,VLOOKUP($A161,'District Level ADM'!$A$5:$W$52,5,FALSE)="Prior Year"),AP161,IF(AND($A$2=4,VLOOKUP($A161,'District Level ADM'!$A$5:$W$52,5,FALSE)="3-Year Avg."),AB161,IF($A$2=2,AP161,IF($A$2=3,AB161,IF(($AG161&gt;$AU161),AB161,AP161)))))</f>
        <v>0</v>
      </c>
      <c r="O161" s="317">
        <f>IF(AND($A$2=4,VLOOKUP($A161,'District Level ADM'!$A$5:$W$52,5,FALSE)="Prior Year"),AQ161,IF(AND($A$2=4,VLOOKUP($A161,'District Level ADM'!$A$5:$W$52,5,FALSE)="3-Year Avg."),AC161,IF($A$2=2,AQ161,IF($A$2=3,AC161,IF(($AG161&gt;$AU161),AC161,AQ161)))))</f>
        <v>0</v>
      </c>
      <c r="P161" s="317">
        <f>IF(AND($A$2=4,VLOOKUP($A161,'District Level ADM'!$A$5:$W$52,5,FALSE)="Prior Year"),AR161,IF(AND($A$2=4,VLOOKUP($A161,'District Level ADM'!$A$5:$W$52,5,FALSE)="3-Year Avg."),AD161,IF($A$2=2,AR161,IF($A$2=3,AD161,IF(($AG161&gt;$AU161),AD161,AR161)))))</f>
        <v>0</v>
      </c>
      <c r="Q161" s="317">
        <f>IF(AND($A$2=4,VLOOKUP($A161,'District Level ADM'!$A$5:$W$52,5,FALSE)="Prior Year"),AS161,IF(AND($A$2=4,VLOOKUP($A161,'District Level ADM'!$A$5:$W$52,5,FALSE)="3-Year Avg."),AE161,IF($A$2=2,AS161,IF($A$2=3,AE161,IF(($AG161&gt;$AU161),AE161,AS161)))))</f>
        <v>0</v>
      </c>
      <c r="R161" s="317">
        <f>IF(AND($A$2=4,VLOOKUP($A161,'District Level ADM'!$A$5:$W$52,5,FALSE)="Prior Year"),AT161,IF(AND($A$2=4,VLOOKUP($A161,'District Level ADM'!$A$5:$W$52,5,FALSE)="3-Year Avg."),AF161,IF($A$2=2,AT161,IF($A$2=3,AF161,IF(($AG161&gt;$AU161),AF161,AT161)))))</f>
        <v>0</v>
      </c>
      <c r="S161" s="317">
        <f t="shared" si="25"/>
        <v>96.53</v>
      </c>
      <c r="T161" s="317">
        <f t="shared" si="29"/>
        <v>36.537666666666667</v>
      </c>
      <c r="U161" s="317">
        <f t="shared" si="29"/>
        <v>32.56</v>
      </c>
      <c r="V161" s="317">
        <f t="shared" si="29"/>
        <v>32.487000000000002</v>
      </c>
      <c r="W161" s="317">
        <f t="shared" si="29"/>
        <v>0</v>
      </c>
      <c r="X161" s="317">
        <f t="shared" si="29"/>
        <v>0</v>
      </c>
      <c r="Y161" s="317">
        <f t="shared" si="29"/>
        <v>0</v>
      </c>
      <c r="Z161" s="317">
        <f t="shared" si="23"/>
        <v>0</v>
      </c>
      <c r="AA161" s="317">
        <f t="shared" si="23"/>
        <v>0</v>
      </c>
      <c r="AB161" s="317">
        <f t="shared" si="23"/>
        <v>0</v>
      </c>
      <c r="AC161" s="317">
        <f t="shared" si="23"/>
        <v>0</v>
      </c>
      <c r="AD161" s="317">
        <f t="shared" si="23"/>
        <v>0</v>
      </c>
      <c r="AE161" s="317">
        <f t="shared" si="23"/>
        <v>0</v>
      </c>
      <c r="AF161" s="317">
        <f t="shared" si="23"/>
        <v>0</v>
      </c>
      <c r="AG161" s="317">
        <f t="shared" si="26"/>
        <v>101.58466666666666</v>
      </c>
      <c r="AH161" s="318">
        <v>35.46</v>
      </c>
      <c r="AI161" s="318">
        <v>30.535</v>
      </c>
      <c r="AJ161" s="318">
        <v>30.535</v>
      </c>
      <c r="AK161" s="318">
        <v>0</v>
      </c>
      <c r="AL161" s="318">
        <v>0</v>
      </c>
      <c r="AM161" s="318">
        <v>0</v>
      </c>
      <c r="AN161" s="318">
        <v>0</v>
      </c>
      <c r="AO161" s="318">
        <v>0</v>
      </c>
      <c r="AP161" s="318">
        <v>0</v>
      </c>
      <c r="AQ161" s="318">
        <v>0</v>
      </c>
      <c r="AR161" s="318">
        <v>0</v>
      </c>
      <c r="AS161" s="318">
        <v>0</v>
      </c>
      <c r="AT161" s="318">
        <v>0</v>
      </c>
      <c r="AU161" s="317">
        <f t="shared" si="27"/>
        <v>96.53</v>
      </c>
      <c r="AV161" s="319">
        <v>38.101999999999997</v>
      </c>
      <c r="AW161" s="319">
        <v>31.625</v>
      </c>
      <c r="AX161" s="319">
        <v>35.902999999999999</v>
      </c>
      <c r="AY161" s="319">
        <v>0</v>
      </c>
      <c r="AZ161" s="319">
        <v>0</v>
      </c>
      <c r="BA161" s="319">
        <v>0</v>
      </c>
      <c r="BB161" s="319">
        <v>0</v>
      </c>
      <c r="BC161" s="319">
        <v>0</v>
      </c>
      <c r="BD161" s="319">
        <v>0</v>
      </c>
      <c r="BE161" s="319">
        <v>0</v>
      </c>
      <c r="BF161" s="319">
        <v>0</v>
      </c>
      <c r="BG161" s="319">
        <v>0</v>
      </c>
      <c r="BH161" s="319">
        <v>0</v>
      </c>
      <c r="BI161" s="317">
        <f t="shared" si="28"/>
        <v>105.63</v>
      </c>
      <c r="BJ161" s="316">
        <v>36.051000000000002</v>
      </c>
      <c r="BK161" s="316">
        <v>35.520000000000003</v>
      </c>
      <c r="BL161" s="316">
        <v>31.023</v>
      </c>
      <c r="BM161" s="316">
        <v>0</v>
      </c>
      <c r="BN161" s="316">
        <v>0</v>
      </c>
      <c r="BO161" s="316">
        <v>0</v>
      </c>
      <c r="BP161" s="316">
        <v>0</v>
      </c>
      <c r="BQ161" s="316">
        <v>0</v>
      </c>
      <c r="BR161" s="316">
        <v>0</v>
      </c>
      <c r="BS161" s="316">
        <v>0</v>
      </c>
      <c r="BT161" s="316">
        <v>0</v>
      </c>
      <c r="BU161" s="316">
        <v>0</v>
      </c>
      <c r="BV161" s="316">
        <v>0</v>
      </c>
      <c r="BW161" s="317">
        <f t="shared" si="24"/>
        <v>102.59399999999999</v>
      </c>
    </row>
    <row r="162" spans="1:734" x14ac:dyDescent="0.2">
      <c r="A162" s="20" t="str">
        <f>'School Level Inst. Resources'!A162</f>
        <v>1101000</v>
      </c>
      <c r="B162" s="20" t="str">
        <f>'School Level Inst. Resources'!B162</f>
        <v>Laramie #1</v>
      </c>
      <c r="C162" s="20" t="str">
        <f>'School Level Inst. Resources'!C162</f>
        <v>1101022</v>
      </c>
      <c r="D162" s="20" t="str">
        <f>'School Level Inst. Resources'!D162</f>
        <v>Miller Elementary</v>
      </c>
      <c r="E162" s="138" t="str">
        <f>'School Level Inst. Resources'!E162</f>
        <v>4-6</v>
      </c>
      <c r="F162" s="317">
        <f>IF(AND($A$2=4,VLOOKUP($A162,'District Level ADM'!$A$5:$W$52,5,FALSE)="Prior Year"),AH162,IF(AND($A$2=4,VLOOKUP($A162,'District Level ADM'!$A$5:$W$52,5,FALSE)="3-Year Avg."),T162,IF($A$2=2,AH162,IF($A$2=3,T162,IF(($AG162&gt;$AU162),T162,AH162)))))</f>
        <v>0</v>
      </c>
      <c r="G162" s="317">
        <f>IF(AND($A$2=4,VLOOKUP($A162,'District Level ADM'!$A$5:$W$52,5,FALSE)="Prior Year"),AI162,IF(AND($A$2=4,VLOOKUP($A162,'District Level ADM'!$A$5:$W$52,5,FALSE)="3-Year Avg."),U162,IF($A$2=2,AI162,IF($A$2=3,U162,IF(($AG162&gt;$AU162),U162,AI162)))))</f>
        <v>0</v>
      </c>
      <c r="H162" s="317">
        <f>IF(AND($A$2=4,VLOOKUP($A162,'District Level ADM'!$A$5:$W$52,5,FALSE)="Prior Year"),AJ162,IF(AND($A$2=4,VLOOKUP($A162,'District Level ADM'!$A$5:$W$52,5,FALSE)="3-Year Avg."),V162,IF($A$2=2,AJ162,IF($A$2=3,V162,IF(($AG162&gt;$AU162),V162,AJ162)))))</f>
        <v>0</v>
      </c>
      <c r="I162" s="317">
        <f>IF(AND($A$2=4,VLOOKUP($A162,'District Level ADM'!$A$5:$W$52,5,FALSE)="Prior Year"),AK162,IF(AND($A$2=4,VLOOKUP($A162,'District Level ADM'!$A$5:$W$52,5,FALSE)="3-Year Avg."),W162,IF($A$2=2,AK162,IF($A$2=3,W162,IF(($AG162&gt;$AU162),W162,AK162)))))</f>
        <v>0</v>
      </c>
      <c r="J162" s="317">
        <f>IF(AND($A$2=4,VLOOKUP($A162,'District Level ADM'!$A$5:$W$52,5,FALSE)="Prior Year"),AL162,IF(AND($A$2=4,VLOOKUP($A162,'District Level ADM'!$A$5:$W$52,5,FALSE)="3-Year Avg."),X162,IF($A$2=2,AL162,IF($A$2=3,X162,IF(($AG162&gt;$AU162),X162,AL162)))))</f>
        <v>30.535</v>
      </c>
      <c r="K162" s="317">
        <f>IF(AND($A$2=4,VLOOKUP($A162,'District Level ADM'!$A$5:$W$52,5,FALSE)="Prior Year"),AM162,IF(AND($A$2=4,VLOOKUP($A162,'District Level ADM'!$A$5:$W$52,5,FALSE)="3-Year Avg."),Y162,IF($A$2=2,AM162,IF($A$2=3,Y162,IF(($AG162&gt;$AU162),Y162,AM162)))))</f>
        <v>27.58</v>
      </c>
      <c r="L162" s="317">
        <f>IF(AND($A$2=4,VLOOKUP($A162,'District Level ADM'!$A$5:$W$52,5,FALSE)="Prior Year"),AN162,IF(AND($A$2=4,VLOOKUP($A162,'District Level ADM'!$A$5:$W$52,5,FALSE)="3-Year Avg."),Z162,IF($A$2=2,AN162,IF($A$2=3,Z162,IF(($AG162&gt;$AU162),Z162,AN162)))))</f>
        <v>27.58</v>
      </c>
      <c r="M162" s="317">
        <f>IF(AND($A$2=4,VLOOKUP($A162,'District Level ADM'!$A$5:$W$52,5,FALSE)="Prior Year"),AO162,IF(AND($A$2=4,VLOOKUP($A162,'District Level ADM'!$A$5:$W$52,5,FALSE)="3-Year Avg."),AA162,IF($A$2=2,AO162,IF($A$2=3,AA162,IF(($AG162&gt;$AU162),AA162,AO162)))))</f>
        <v>0</v>
      </c>
      <c r="N162" s="317">
        <f>IF(AND($A$2=4,VLOOKUP($A162,'District Level ADM'!$A$5:$W$52,5,FALSE)="Prior Year"),AP162,IF(AND($A$2=4,VLOOKUP($A162,'District Level ADM'!$A$5:$W$52,5,FALSE)="3-Year Avg."),AB162,IF($A$2=2,AP162,IF($A$2=3,AB162,IF(($AG162&gt;$AU162),AB162,AP162)))))</f>
        <v>0</v>
      </c>
      <c r="O162" s="317">
        <f>IF(AND($A$2=4,VLOOKUP($A162,'District Level ADM'!$A$5:$W$52,5,FALSE)="Prior Year"),AQ162,IF(AND($A$2=4,VLOOKUP($A162,'District Level ADM'!$A$5:$W$52,5,FALSE)="3-Year Avg."),AC162,IF($A$2=2,AQ162,IF($A$2=3,AC162,IF(($AG162&gt;$AU162),AC162,AQ162)))))</f>
        <v>0</v>
      </c>
      <c r="P162" s="317">
        <f>IF(AND($A$2=4,VLOOKUP($A162,'District Level ADM'!$A$5:$W$52,5,FALSE)="Prior Year"),AR162,IF(AND($A$2=4,VLOOKUP($A162,'District Level ADM'!$A$5:$W$52,5,FALSE)="3-Year Avg."),AD162,IF($A$2=2,AR162,IF($A$2=3,AD162,IF(($AG162&gt;$AU162),AD162,AR162)))))</f>
        <v>0</v>
      </c>
      <c r="Q162" s="317">
        <f>IF(AND($A$2=4,VLOOKUP($A162,'District Level ADM'!$A$5:$W$52,5,FALSE)="Prior Year"),AS162,IF(AND($A$2=4,VLOOKUP($A162,'District Level ADM'!$A$5:$W$52,5,FALSE)="3-Year Avg."),AE162,IF($A$2=2,AS162,IF($A$2=3,AE162,IF(($AG162&gt;$AU162),AE162,AS162)))))</f>
        <v>0</v>
      </c>
      <c r="R162" s="317">
        <f>IF(AND($A$2=4,VLOOKUP($A162,'District Level ADM'!$A$5:$W$52,5,FALSE)="Prior Year"),AT162,IF(AND($A$2=4,VLOOKUP($A162,'District Level ADM'!$A$5:$W$52,5,FALSE)="3-Year Avg."),AF162,IF($A$2=2,AT162,IF($A$2=3,AF162,IF(($AG162&gt;$AU162),AF162,AT162)))))</f>
        <v>0</v>
      </c>
      <c r="S162" s="317">
        <f t="shared" si="25"/>
        <v>85.694999999999993</v>
      </c>
      <c r="T162" s="317">
        <f t="shared" si="29"/>
        <v>0</v>
      </c>
      <c r="U162" s="317">
        <f t="shared" si="29"/>
        <v>0</v>
      </c>
      <c r="V162" s="317">
        <f t="shared" si="29"/>
        <v>0</v>
      </c>
      <c r="W162" s="317">
        <f t="shared" si="29"/>
        <v>0</v>
      </c>
      <c r="X162" s="317">
        <f t="shared" si="29"/>
        <v>29.182333333333332</v>
      </c>
      <c r="Y162" s="317">
        <f t="shared" si="29"/>
        <v>28.948666666666668</v>
      </c>
      <c r="Z162" s="317">
        <f t="shared" si="23"/>
        <v>29.284000000000002</v>
      </c>
      <c r="AA162" s="317">
        <f t="shared" si="23"/>
        <v>0</v>
      </c>
      <c r="AB162" s="317">
        <f t="shared" si="23"/>
        <v>0</v>
      </c>
      <c r="AC162" s="317">
        <f t="shared" si="23"/>
        <v>0</v>
      </c>
      <c r="AD162" s="317">
        <f t="shared" si="23"/>
        <v>0</v>
      </c>
      <c r="AE162" s="317">
        <f t="shared" si="23"/>
        <v>0</v>
      </c>
      <c r="AF162" s="317">
        <f t="shared" si="23"/>
        <v>0</v>
      </c>
      <c r="AG162" s="317">
        <f t="shared" si="26"/>
        <v>87.415000000000006</v>
      </c>
      <c r="AH162" s="318">
        <v>0</v>
      </c>
      <c r="AI162" s="318">
        <v>0</v>
      </c>
      <c r="AJ162" s="318">
        <v>0</v>
      </c>
      <c r="AK162" s="318">
        <v>0</v>
      </c>
      <c r="AL162" s="318">
        <v>30.535</v>
      </c>
      <c r="AM162" s="318">
        <v>27.58</v>
      </c>
      <c r="AN162" s="318">
        <v>27.58</v>
      </c>
      <c r="AO162" s="318">
        <v>0</v>
      </c>
      <c r="AP162" s="318">
        <v>0</v>
      </c>
      <c r="AQ162" s="318">
        <v>0</v>
      </c>
      <c r="AR162" s="318">
        <v>0</v>
      </c>
      <c r="AS162" s="318">
        <v>0</v>
      </c>
      <c r="AT162" s="318">
        <v>0</v>
      </c>
      <c r="AU162" s="317">
        <f t="shared" si="27"/>
        <v>85.694999999999993</v>
      </c>
      <c r="AV162" s="319">
        <v>0</v>
      </c>
      <c r="AW162" s="319">
        <v>0</v>
      </c>
      <c r="AX162" s="319">
        <v>0</v>
      </c>
      <c r="AY162" s="319">
        <v>0</v>
      </c>
      <c r="AZ162" s="319">
        <v>25.908999999999999</v>
      </c>
      <c r="BA162" s="319">
        <v>31.449000000000002</v>
      </c>
      <c r="BB162" s="319">
        <v>26.449000000000002</v>
      </c>
      <c r="BC162" s="319">
        <v>0</v>
      </c>
      <c r="BD162" s="319">
        <v>0</v>
      </c>
      <c r="BE162" s="319">
        <v>0</v>
      </c>
      <c r="BF162" s="319">
        <v>0</v>
      </c>
      <c r="BG162" s="319">
        <v>0</v>
      </c>
      <c r="BH162" s="319">
        <v>0</v>
      </c>
      <c r="BI162" s="317">
        <f t="shared" si="28"/>
        <v>83.807000000000002</v>
      </c>
      <c r="BJ162" s="316">
        <v>0</v>
      </c>
      <c r="BK162" s="316">
        <v>0</v>
      </c>
      <c r="BL162" s="316">
        <v>0</v>
      </c>
      <c r="BM162" s="316">
        <v>0</v>
      </c>
      <c r="BN162" s="316">
        <v>31.103000000000002</v>
      </c>
      <c r="BO162" s="316">
        <v>27.817</v>
      </c>
      <c r="BP162" s="316">
        <v>33.823</v>
      </c>
      <c r="BQ162" s="316">
        <v>0</v>
      </c>
      <c r="BR162" s="316">
        <v>0</v>
      </c>
      <c r="BS162" s="316">
        <v>0</v>
      </c>
      <c r="BT162" s="316">
        <v>0</v>
      </c>
      <c r="BU162" s="316">
        <v>0</v>
      </c>
      <c r="BV162" s="316">
        <v>0</v>
      </c>
      <c r="BW162" s="317">
        <f t="shared" si="24"/>
        <v>92.742999999999995</v>
      </c>
    </row>
    <row r="163" spans="1:734" x14ac:dyDescent="0.2">
      <c r="A163" s="20" t="str">
        <f>'School Level Inst. Resources'!A163</f>
        <v>1101000</v>
      </c>
      <c r="B163" s="20" t="str">
        <f>'School Level Inst. Resources'!B163</f>
        <v>Laramie #1</v>
      </c>
      <c r="C163" s="20" t="str">
        <f>'School Level Inst. Resources'!C163</f>
        <v>1101023</v>
      </c>
      <c r="D163" s="20" t="str">
        <f>'School Level Inst. Resources'!D163</f>
        <v>Pioneer Park Elementary</v>
      </c>
      <c r="E163" s="138" t="str">
        <f>'School Level Inst. Resources'!E163</f>
        <v>K-6</v>
      </c>
      <c r="F163" s="317">
        <f>IF(AND($A$2=4,VLOOKUP($A163,'District Level ADM'!$A$5:$W$52,5,FALSE)="Prior Year"),AH163,IF(AND($A$2=4,VLOOKUP($A163,'District Level ADM'!$A$5:$W$52,5,FALSE)="3-Year Avg."),T163,IF($A$2=2,AH163,IF($A$2=3,T163,IF(($AG163&gt;$AU163),T163,AH163)))))</f>
        <v>48.265000000000001</v>
      </c>
      <c r="G163" s="317">
        <f>IF(AND($A$2=4,VLOOKUP($A163,'District Level ADM'!$A$5:$W$52,5,FALSE)="Prior Year"),AI163,IF(AND($A$2=4,VLOOKUP($A163,'District Level ADM'!$A$5:$W$52,5,FALSE)="3-Year Avg."),U163,IF($A$2=2,AI163,IF($A$2=3,U163,IF(($AG163&gt;$AU163),U163,AI163)))))</f>
        <v>50.234999999999999</v>
      </c>
      <c r="H163" s="317">
        <f>IF(AND($A$2=4,VLOOKUP($A163,'District Level ADM'!$A$5:$W$52,5,FALSE)="Prior Year"),AJ163,IF(AND($A$2=4,VLOOKUP($A163,'District Level ADM'!$A$5:$W$52,5,FALSE)="3-Year Avg."),V163,IF($A$2=2,AJ163,IF($A$2=3,V163,IF(($AG163&gt;$AU163),V163,AJ163)))))</f>
        <v>49.25</v>
      </c>
      <c r="I163" s="317">
        <f>IF(AND($A$2=4,VLOOKUP($A163,'District Level ADM'!$A$5:$W$52,5,FALSE)="Prior Year"),AK163,IF(AND($A$2=4,VLOOKUP($A163,'District Level ADM'!$A$5:$W$52,5,FALSE)="3-Year Avg."),W163,IF($A$2=2,AK163,IF($A$2=3,W163,IF(($AG163&gt;$AU163),W163,AK163)))))</f>
        <v>54.174999999999997</v>
      </c>
      <c r="J163" s="317">
        <f>IF(AND($A$2=4,VLOOKUP($A163,'District Level ADM'!$A$5:$W$52,5,FALSE)="Prior Year"),AL163,IF(AND($A$2=4,VLOOKUP($A163,'District Level ADM'!$A$5:$W$52,5,FALSE)="3-Year Avg."),X163,IF($A$2=2,AL163,IF($A$2=3,X163,IF(($AG163&gt;$AU163),X163,AL163)))))</f>
        <v>50.234999999999999</v>
      </c>
      <c r="K163" s="317">
        <f>IF(AND($A$2=4,VLOOKUP($A163,'District Level ADM'!$A$5:$W$52,5,FALSE)="Prior Year"),AM163,IF(AND($A$2=4,VLOOKUP($A163,'District Level ADM'!$A$5:$W$52,5,FALSE)="3-Year Avg."),Y163,IF($A$2=2,AM163,IF($A$2=3,Y163,IF(($AG163&gt;$AU163),Y163,AM163)))))</f>
        <v>49.25</v>
      </c>
      <c r="L163" s="317">
        <f>IF(AND($A$2=4,VLOOKUP($A163,'District Level ADM'!$A$5:$W$52,5,FALSE)="Prior Year"),AN163,IF(AND($A$2=4,VLOOKUP($A163,'District Level ADM'!$A$5:$W$52,5,FALSE)="3-Year Avg."),Z163,IF($A$2=2,AN163,IF($A$2=3,Z163,IF(($AG163&gt;$AU163),Z163,AN163)))))</f>
        <v>38.414999999999999</v>
      </c>
      <c r="M163" s="317">
        <f>IF(AND($A$2=4,VLOOKUP($A163,'District Level ADM'!$A$5:$W$52,5,FALSE)="Prior Year"),AO163,IF(AND($A$2=4,VLOOKUP($A163,'District Level ADM'!$A$5:$W$52,5,FALSE)="3-Year Avg."),AA163,IF($A$2=2,AO163,IF($A$2=3,AA163,IF(($AG163&gt;$AU163),AA163,AO163)))))</f>
        <v>0</v>
      </c>
      <c r="N163" s="317">
        <f>IF(AND($A$2=4,VLOOKUP($A163,'District Level ADM'!$A$5:$W$52,5,FALSE)="Prior Year"),AP163,IF(AND($A$2=4,VLOOKUP($A163,'District Level ADM'!$A$5:$W$52,5,FALSE)="3-Year Avg."),AB163,IF($A$2=2,AP163,IF($A$2=3,AB163,IF(($AG163&gt;$AU163),AB163,AP163)))))</f>
        <v>0</v>
      </c>
      <c r="O163" s="317">
        <f>IF(AND($A$2=4,VLOOKUP($A163,'District Level ADM'!$A$5:$W$52,5,FALSE)="Prior Year"),AQ163,IF(AND($A$2=4,VLOOKUP($A163,'District Level ADM'!$A$5:$W$52,5,FALSE)="3-Year Avg."),AC163,IF($A$2=2,AQ163,IF($A$2=3,AC163,IF(($AG163&gt;$AU163),AC163,AQ163)))))</f>
        <v>0</v>
      </c>
      <c r="P163" s="317">
        <f>IF(AND($A$2=4,VLOOKUP($A163,'District Level ADM'!$A$5:$W$52,5,FALSE)="Prior Year"),AR163,IF(AND($A$2=4,VLOOKUP($A163,'District Level ADM'!$A$5:$W$52,5,FALSE)="3-Year Avg."),AD163,IF($A$2=2,AR163,IF($A$2=3,AD163,IF(($AG163&gt;$AU163),AD163,AR163)))))</f>
        <v>0</v>
      </c>
      <c r="Q163" s="317">
        <f>IF(AND($A$2=4,VLOOKUP($A163,'District Level ADM'!$A$5:$W$52,5,FALSE)="Prior Year"),AS163,IF(AND($A$2=4,VLOOKUP($A163,'District Level ADM'!$A$5:$W$52,5,FALSE)="3-Year Avg."),AE163,IF($A$2=2,AS163,IF($A$2=3,AE163,IF(($AG163&gt;$AU163),AE163,AS163)))))</f>
        <v>0</v>
      </c>
      <c r="R163" s="317">
        <f>IF(AND($A$2=4,VLOOKUP($A163,'District Level ADM'!$A$5:$W$52,5,FALSE)="Prior Year"),AT163,IF(AND($A$2=4,VLOOKUP($A163,'District Level ADM'!$A$5:$W$52,5,FALSE)="3-Year Avg."),AF163,IF($A$2=2,AT163,IF($A$2=3,AF163,IF(($AG163&gt;$AU163),AF163,AT163)))))</f>
        <v>0</v>
      </c>
      <c r="S163" s="317">
        <f t="shared" si="25"/>
        <v>339.82500000000005</v>
      </c>
      <c r="T163" s="317">
        <f t="shared" si="29"/>
        <v>40.97</v>
      </c>
      <c r="U163" s="317">
        <f t="shared" si="29"/>
        <v>43.699666666666666</v>
      </c>
      <c r="V163" s="317">
        <f t="shared" si="29"/>
        <v>47.653666666666673</v>
      </c>
      <c r="W163" s="317">
        <f t="shared" si="29"/>
        <v>49.38033333333334</v>
      </c>
      <c r="X163" s="317">
        <f t="shared" si="29"/>
        <v>45.025999999999989</v>
      </c>
      <c r="Y163" s="317">
        <f t="shared" si="29"/>
        <v>40.483333333333334</v>
      </c>
      <c r="Z163" s="317">
        <f t="shared" si="23"/>
        <v>39.244333333333337</v>
      </c>
      <c r="AA163" s="317">
        <f t="shared" si="23"/>
        <v>0</v>
      </c>
      <c r="AB163" s="317">
        <f t="shared" si="23"/>
        <v>0</v>
      </c>
      <c r="AC163" s="317">
        <f t="shared" si="23"/>
        <v>0</v>
      </c>
      <c r="AD163" s="317">
        <f t="shared" si="23"/>
        <v>0</v>
      </c>
      <c r="AE163" s="317">
        <f t="shared" si="23"/>
        <v>0</v>
      </c>
      <c r="AF163" s="317">
        <f t="shared" si="23"/>
        <v>0</v>
      </c>
      <c r="AG163" s="317">
        <f t="shared" si="26"/>
        <v>306.45733333333334</v>
      </c>
      <c r="AH163" s="318">
        <v>48.265000000000001</v>
      </c>
      <c r="AI163" s="318">
        <v>50.234999999999999</v>
      </c>
      <c r="AJ163" s="318">
        <v>49.25</v>
      </c>
      <c r="AK163" s="318">
        <v>54.174999999999997</v>
      </c>
      <c r="AL163" s="318">
        <v>50.234999999999999</v>
      </c>
      <c r="AM163" s="318">
        <v>49.25</v>
      </c>
      <c r="AN163" s="318">
        <v>38.414999999999999</v>
      </c>
      <c r="AO163" s="318">
        <v>0</v>
      </c>
      <c r="AP163" s="318">
        <v>0</v>
      </c>
      <c r="AQ163" s="318">
        <v>0</v>
      </c>
      <c r="AR163" s="318">
        <v>0</v>
      </c>
      <c r="AS163" s="318">
        <v>0</v>
      </c>
      <c r="AT163" s="318">
        <v>0</v>
      </c>
      <c r="AU163" s="317">
        <f t="shared" si="27"/>
        <v>339.82500000000005</v>
      </c>
      <c r="AV163" s="319">
        <v>41.027999999999999</v>
      </c>
      <c r="AW163" s="319">
        <v>35.847000000000001</v>
      </c>
      <c r="AX163" s="319">
        <v>46.625</v>
      </c>
      <c r="AY163" s="319">
        <v>48.908999999999999</v>
      </c>
      <c r="AZ163" s="319">
        <v>39.351999999999997</v>
      </c>
      <c r="BA163" s="319">
        <v>35.988999999999997</v>
      </c>
      <c r="BB163" s="319">
        <v>35.392000000000003</v>
      </c>
      <c r="BC163" s="319">
        <v>0</v>
      </c>
      <c r="BD163" s="319">
        <v>0</v>
      </c>
      <c r="BE163" s="319">
        <v>0</v>
      </c>
      <c r="BF163" s="319">
        <v>0</v>
      </c>
      <c r="BG163" s="319">
        <v>0</v>
      </c>
      <c r="BH163" s="319">
        <v>0</v>
      </c>
      <c r="BI163" s="317">
        <f t="shared" si="28"/>
        <v>283.142</v>
      </c>
      <c r="BJ163" s="316">
        <v>33.616999999999997</v>
      </c>
      <c r="BK163" s="316">
        <v>45.017000000000003</v>
      </c>
      <c r="BL163" s="316">
        <v>47.085999999999999</v>
      </c>
      <c r="BM163" s="316">
        <v>45.057000000000002</v>
      </c>
      <c r="BN163" s="316">
        <v>45.491</v>
      </c>
      <c r="BO163" s="316">
        <v>36.210999999999999</v>
      </c>
      <c r="BP163" s="316">
        <v>43.926000000000002</v>
      </c>
      <c r="BQ163" s="316">
        <v>0</v>
      </c>
      <c r="BR163" s="316">
        <v>0</v>
      </c>
      <c r="BS163" s="316">
        <v>0</v>
      </c>
      <c r="BT163" s="316">
        <v>0</v>
      </c>
      <c r="BU163" s="316">
        <v>0</v>
      </c>
      <c r="BV163" s="316">
        <v>0</v>
      </c>
      <c r="BW163" s="317">
        <f t="shared" si="24"/>
        <v>296.40499999999997</v>
      </c>
    </row>
    <row r="164" spans="1:734" x14ac:dyDescent="0.2">
      <c r="A164" s="20" t="str">
        <f>'School Level Inst. Resources'!A164</f>
        <v>1101000</v>
      </c>
      <c r="B164" s="20" t="str">
        <f>'School Level Inst. Resources'!B164</f>
        <v>Laramie #1</v>
      </c>
      <c r="C164" s="20" t="str">
        <f>'School Level Inst. Resources'!C164</f>
        <v>1101024</v>
      </c>
      <c r="D164" s="20" t="str">
        <f>'School Level Inst. Resources'!D164</f>
        <v>Rossman Elementary</v>
      </c>
      <c r="E164" s="138" t="str">
        <f>'School Level Inst. Resources'!E164</f>
        <v>K-6</v>
      </c>
      <c r="F164" s="317">
        <f>IF(AND($A$2=4,VLOOKUP($A164,'District Level ADM'!$A$5:$W$52,5,FALSE)="Prior Year"),AH164,IF(AND($A$2=4,VLOOKUP($A164,'District Level ADM'!$A$5:$W$52,5,FALSE)="3-Year Avg."),T164,IF($A$2=2,AH164,IF($A$2=3,T164,IF(($AG164&gt;$AU164),T164,AH164)))))</f>
        <v>56.145000000000003</v>
      </c>
      <c r="G164" s="317">
        <f>IF(AND($A$2=4,VLOOKUP($A164,'District Level ADM'!$A$5:$W$52,5,FALSE)="Prior Year"),AI164,IF(AND($A$2=4,VLOOKUP($A164,'District Level ADM'!$A$5:$W$52,5,FALSE)="3-Year Avg."),U164,IF($A$2=2,AI164,IF($A$2=3,U164,IF(($AG164&gt;$AU164),U164,AI164)))))</f>
        <v>44.325000000000003</v>
      </c>
      <c r="H164" s="317">
        <f>IF(AND($A$2=4,VLOOKUP($A164,'District Level ADM'!$A$5:$W$52,5,FALSE)="Prior Year"),AJ164,IF(AND($A$2=4,VLOOKUP($A164,'District Level ADM'!$A$5:$W$52,5,FALSE)="3-Year Avg."),V164,IF($A$2=2,AJ164,IF($A$2=3,V164,IF(($AG164&gt;$AU164),V164,AJ164)))))</f>
        <v>58.115000000000002</v>
      </c>
      <c r="I164" s="317">
        <f>IF(AND($A$2=4,VLOOKUP($A164,'District Level ADM'!$A$5:$W$52,5,FALSE)="Prior Year"),AK164,IF(AND($A$2=4,VLOOKUP($A164,'District Level ADM'!$A$5:$W$52,5,FALSE)="3-Year Avg."),W164,IF($A$2=2,AK164,IF($A$2=3,W164,IF(($AG164&gt;$AU164),W164,AK164)))))</f>
        <v>51.22</v>
      </c>
      <c r="J164" s="317">
        <f>IF(AND($A$2=4,VLOOKUP($A164,'District Level ADM'!$A$5:$W$52,5,FALSE)="Prior Year"),AL164,IF(AND($A$2=4,VLOOKUP($A164,'District Level ADM'!$A$5:$W$52,5,FALSE)="3-Year Avg."),X164,IF($A$2=2,AL164,IF($A$2=3,X164,IF(($AG164&gt;$AU164),X164,AL164)))))</f>
        <v>51.22</v>
      </c>
      <c r="K164" s="317">
        <f>IF(AND($A$2=4,VLOOKUP($A164,'District Level ADM'!$A$5:$W$52,5,FALSE)="Prior Year"),AM164,IF(AND($A$2=4,VLOOKUP($A164,'District Level ADM'!$A$5:$W$52,5,FALSE)="3-Year Avg."),Y164,IF($A$2=2,AM164,IF($A$2=3,Y164,IF(($AG164&gt;$AU164),Y164,AM164)))))</f>
        <v>48.265000000000001</v>
      </c>
      <c r="L164" s="317">
        <f>IF(AND($A$2=4,VLOOKUP($A164,'District Level ADM'!$A$5:$W$52,5,FALSE)="Prior Year"),AN164,IF(AND($A$2=4,VLOOKUP($A164,'District Level ADM'!$A$5:$W$52,5,FALSE)="3-Year Avg."),Z164,IF($A$2=2,AN164,IF($A$2=3,Z164,IF(($AG164&gt;$AU164),Z164,AN164)))))</f>
        <v>47.28</v>
      </c>
      <c r="M164" s="317">
        <f>IF(AND($A$2=4,VLOOKUP($A164,'District Level ADM'!$A$5:$W$52,5,FALSE)="Prior Year"),AO164,IF(AND($A$2=4,VLOOKUP($A164,'District Level ADM'!$A$5:$W$52,5,FALSE)="3-Year Avg."),AA164,IF($A$2=2,AO164,IF($A$2=3,AA164,IF(($AG164&gt;$AU164),AA164,AO164)))))</f>
        <v>0</v>
      </c>
      <c r="N164" s="317">
        <f>IF(AND($A$2=4,VLOOKUP($A164,'District Level ADM'!$A$5:$W$52,5,FALSE)="Prior Year"),AP164,IF(AND($A$2=4,VLOOKUP($A164,'District Level ADM'!$A$5:$W$52,5,FALSE)="3-Year Avg."),AB164,IF($A$2=2,AP164,IF($A$2=3,AB164,IF(($AG164&gt;$AU164),AB164,AP164)))))</f>
        <v>0</v>
      </c>
      <c r="O164" s="317">
        <f>IF(AND($A$2=4,VLOOKUP($A164,'District Level ADM'!$A$5:$W$52,5,FALSE)="Prior Year"),AQ164,IF(AND($A$2=4,VLOOKUP($A164,'District Level ADM'!$A$5:$W$52,5,FALSE)="3-Year Avg."),AC164,IF($A$2=2,AQ164,IF($A$2=3,AC164,IF(($AG164&gt;$AU164),AC164,AQ164)))))</f>
        <v>0</v>
      </c>
      <c r="P164" s="317">
        <f>IF(AND($A$2=4,VLOOKUP($A164,'District Level ADM'!$A$5:$W$52,5,FALSE)="Prior Year"),AR164,IF(AND($A$2=4,VLOOKUP($A164,'District Level ADM'!$A$5:$W$52,5,FALSE)="3-Year Avg."),AD164,IF($A$2=2,AR164,IF($A$2=3,AD164,IF(($AG164&gt;$AU164),AD164,AR164)))))</f>
        <v>0</v>
      </c>
      <c r="Q164" s="317">
        <f>IF(AND($A$2=4,VLOOKUP($A164,'District Level ADM'!$A$5:$W$52,5,FALSE)="Prior Year"),AS164,IF(AND($A$2=4,VLOOKUP($A164,'District Level ADM'!$A$5:$W$52,5,FALSE)="3-Year Avg."),AE164,IF($A$2=2,AS164,IF($A$2=3,AE164,IF(($AG164&gt;$AU164),AE164,AS164)))))</f>
        <v>0</v>
      </c>
      <c r="R164" s="317">
        <f>IF(AND($A$2=4,VLOOKUP($A164,'District Level ADM'!$A$5:$W$52,5,FALSE)="Prior Year"),AT164,IF(AND($A$2=4,VLOOKUP($A164,'District Level ADM'!$A$5:$W$52,5,FALSE)="3-Year Avg."),AF164,IF($A$2=2,AT164,IF($A$2=3,AF164,IF(($AG164&gt;$AU164),AF164,AT164)))))</f>
        <v>0</v>
      </c>
      <c r="S164" s="317">
        <f t="shared" si="25"/>
        <v>356.56999999999994</v>
      </c>
      <c r="T164" s="317">
        <f t="shared" si="29"/>
        <v>51.525333333333343</v>
      </c>
      <c r="U164" s="317">
        <f t="shared" si="29"/>
        <v>46.717666666666673</v>
      </c>
      <c r="V164" s="317">
        <f t="shared" si="29"/>
        <v>53.931666666666672</v>
      </c>
      <c r="W164" s="317">
        <f t="shared" si="29"/>
        <v>50.512999999999998</v>
      </c>
      <c r="X164" s="317">
        <f t="shared" si="29"/>
        <v>50.141999999999996</v>
      </c>
      <c r="Y164" s="317">
        <f t="shared" si="29"/>
        <v>48.467999999999996</v>
      </c>
      <c r="Z164" s="317">
        <f t="shared" si="23"/>
        <v>46.002999999999993</v>
      </c>
      <c r="AA164" s="317">
        <f t="shared" si="23"/>
        <v>0</v>
      </c>
      <c r="AB164" s="317">
        <f t="shared" si="23"/>
        <v>0</v>
      </c>
      <c r="AC164" s="317">
        <f t="shared" si="23"/>
        <v>0</v>
      </c>
      <c r="AD164" s="317">
        <f t="shared" si="23"/>
        <v>0</v>
      </c>
      <c r="AE164" s="317">
        <f t="shared" si="23"/>
        <v>0</v>
      </c>
      <c r="AF164" s="317">
        <f t="shared" si="23"/>
        <v>0</v>
      </c>
      <c r="AG164" s="317">
        <f t="shared" si="26"/>
        <v>347.3006666666667</v>
      </c>
      <c r="AH164" s="318">
        <v>56.145000000000003</v>
      </c>
      <c r="AI164" s="318">
        <v>44.325000000000003</v>
      </c>
      <c r="AJ164" s="318">
        <v>58.115000000000002</v>
      </c>
      <c r="AK164" s="318">
        <v>51.22</v>
      </c>
      <c r="AL164" s="318">
        <v>51.22</v>
      </c>
      <c r="AM164" s="318">
        <v>48.265000000000001</v>
      </c>
      <c r="AN164" s="318">
        <v>47.28</v>
      </c>
      <c r="AO164" s="318">
        <v>0</v>
      </c>
      <c r="AP164" s="318">
        <v>0</v>
      </c>
      <c r="AQ164" s="318">
        <v>0</v>
      </c>
      <c r="AR164" s="318">
        <v>0</v>
      </c>
      <c r="AS164" s="318">
        <v>0</v>
      </c>
      <c r="AT164" s="318">
        <v>0</v>
      </c>
      <c r="AU164" s="317">
        <f t="shared" si="27"/>
        <v>356.56999999999994</v>
      </c>
      <c r="AV164" s="319">
        <v>41.5</v>
      </c>
      <c r="AW164" s="319">
        <v>56.148000000000003</v>
      </c>
      <c r="AX164" s="319">
        <v>50.006</v>
      </c>
      <c r="AY164" s="319">
        <v>53.164999999999999</v>
      </c>
      <c r="AZ164" s="319">
        <v>49.914999999999999</v>
      </c>
      <c r="BA164" s="319">
        <v>51.545000000000002</v>
      </c>
      <c r="BB164" s="319">
        <v>46.414999999999999</v>
      </c>
      <c r="BC164" s="319">
        <v>0</v>
      </c>
      <c r="BD164" s="319">
        <v>0</v>
      </c>
      <c r="BE164" s="319">
        <v>0</v>
      </c>
      <c r="BF164" s="319">
        <v>0</v>
      </c>
      <c r="BG164" s="319">
        <v>0</v>
      </c>
      <c r="BH164" s="319">
        <v>0</v>
      </c>
      <c r="BI164" s="317">
        <f t="shared" si="28"/>
        <v>348.69400000000002</v>
      </c>
      <c r="BJ164" s="316">
        <v>56.930999999999997</v>
      </c>
      <c r="BK164" s="316">
        <v>39.68</v>
      </c>
      <c r="BL164" s="316">
        <v>53.673999999999999</v>
      </c>
      <c r="BM164" s="316">
        <v>47.154000000000003</v>
      </c>
      <c r="BN164" s="316">
        <v>49.290999999999997</v>
      </c>
      <c r="BO164" s="316">
        <v>45.594000000000001</v>
      </c>
      <c r="BP164" s="316">
        <v>44.314</v>
      </c>
      <c r="BQ164" s="316">
        <v>0</v>
      </c>
      <c r="BR164" s="316">
        <v>0</v>
      </c>
      <c r="BS164" s="316">
        <v>0</v>
      </c>
      <c r="BT164" s="316">
        <v>0</v>
      </c>
      <c r="BU164" s="316">
        <v>0</v>
      </c>
      <c r="BV164" s="316">
        <v>0</v>
      </c>
      <c r="BW164" s="317">
        <f t="shared" si="24"/>
        <v>336.63800000000003</v>
      </c>
    </row>
    <row r="165" spans="1:734" x14ac:dyDescent="0.2">
      <c r="A165" s="20" t="str">
        <f>'School Level Inst. Resources'!A165</f>
        <v>1101000</v>
      </c>
      <c r="B165" s="20" t="str">
        <f>'School Level Inst. Resources'!B165</f>
        <v>Laramie #1</v>
      </c>
      <c r="C165" s="20" t="str">
        <f>'School Level Inst. Resources'!C165</f>
        <v>1101025</v>
      </c>
      <c r="D165" s="20" t="str">
        <f>'School Level Inst. Resources'!D165</f>
        <v>Willadsen Elementary</v>
      </c>
      <c r="E165" s="138" t="str">
        <f>'School Level Inst. Resources'!E165</f>
        <v>K-6</v>
      </c>
      <c r="F165" s="317">
        <f>IF(AND($A$2=4,VLOOKUP($A165,'District Level ADM'!$A$5:$W$52,5,FALSE)="Prior Year"),AH165,IF(AND($A$2=4,VLOOKUP($A165,'District Level ADM'!$A$5:$W$52,5,FALSE)="3-Year Avg."),T165,IF($A$2=2,AH165,IF($A$2=3,T165,IF(($AG165&gt;$AU165),T165,AH165)))))</f>
        <v>0</v>
      </c>
      <c r="G165" s="317">
        <f>IF(AND($A$2=4,VLOOKUP($A165,'District Level ADM'!$A$5:$W$52,5,FALSE)="Prior Year"),AI165,IF(AND($A$2=4,VLOOKUP($A165,'District Level ADM'!$A$5:$W$52,5,FALSE)="3-Year Avg."),U165,IF($A$2=2,AI165,IF($A$2=3,U165,IF(($AG165&gt;$AU165),U165,AI165)))))</f>
        <v>0.98499999999999999</v>
      </c>
      <c r="H165" s="317">
        <f>IF(AND($A$2=4,VLOOKUP($A165,'District Level ADM'!$A$5:$W$52,5,FALSE)="Prior Year"),AJ165,IF(AND($A$2=4,VLOOKUP($A165,'District Level ADM'!$A$5:$W$52,5,FALSE)="3-Year Avg."),V165,IF($A$2=2,AJ165,IF($A$2=3,V165,IF(($AG165&gt;$AU165),V165,AJ165)))))</f>
        <v>0</v>
      </c>
      <c r="I165" s="317">
        <f>IF(AND($A$2=4,VLOOKUP($A165,'District Level ADM'!$A$5:$W$52,5,FALSE)="Prior Year"),AK165,IF(AND($A$2=4,VLOOKUP($A165,'District Level ADM'!$A$5:$W$52,5,FALSE)="3-Year Avg."),W165,IF($A$2=2,AK165,IF($A$2=3,W165,IF(($AG165&gt;$AU165),W165,AK165)))))</f>
        <v>0</v>
      </c>
      <c r="J165" s="317">
        <f>IF(AND($A$2=4,VLOOKUP($A165,'District Level ADM'!$A$5:$W$52,5,FALSE)="Prior Year"),AL165,IF(AND($A$2=4,VLOOKUP($A165,'District Level ADM'!$A$5:$W$52,5,FALSE)="3-Year Avg."),X165,IF($A$2=2,AL165,IF($A$2=3,X165,IF(($AG165&gt;$AU165),X165,AL165)))))</f>
        <v>0</v>
      </c>
      <c r="K165" s="317">
        <f>IF(AND($A$2=4,VLOOKUP($A165,'District Level ADM'!$A$5:$W$52,5,FALSE)="Prior Year"),AM165,IF(AND($A$2=4,VLOOKUP($A165,'District Level ADM'!$A$5:$W$52,5,FALSE)="3-Year Avg."),Y165,IF($A$2=2,AM165,IF($A$2=3,Y165,IF(($AG165&gt;$AU165),Y165,AM165)))))</f>
        <v>0</v>
      </c>
      <c r="L165" s="317">
        <f>IF(AND($A$2=4,VLOOKUP($A165,'District Level ADM'!$A$5:$W$52,5,FALSE)="Prior Year"),AN165,IF(AND($A$2=4,VLOOKUP($A165,'District Level ADM'!$A$5:$W$52,5,FALSE)="3-Year Avg."),Z165,IF($A$2=2,AN165,IF($A$2=3,Z165,IF(($AG165&gt;$AU165),Z165,AN165)))))</f>
        <v>0.98499999999999999</v>
      </c>
      <c r="M165" s="317">
        <f>IF(AND($A$2=4,VLOOKUP($A165,'District Level ADM'!$A$5:$W$52,5,FALSE)="Prior Year"),AO165,IF(AND($A$2=4,VLOOKUP($A165,'District Level ADM'!$A$5:$W$52,5,FALSE)="3-Year Avg."),AA165,IF($A$2=2,AO165,IF($A$2=3,AA165,IF(($AG165&gt;$AU165),AA165,AO165)))))</f>
        <v>0</v>
      </c>
      <c r="N165" s="317">
        <f>IF(AND($A$2=4,VLOOKUP($A165,'District Level ADM'!$A$5:$W$52,5,FALSE)="Prior Year"),AP165,IF(AND($A$2=4,VLOOKUP($A165,'District Level ADM'!$A$5:$W$52,5,FALSE)="3-Year Avg."),AB165,IF($A$2=2,AP165,IF($A$2=3,AB165,IF(($AG165&gt;$AU165),AB165,AP165)))))</f>
        <v>0</v>
      </c>
      <c r="O165" s="317">
        <f>IF(AND($A$2=4,VLOOKUP($A165,'District Level ADM'!$A$5:$W$52,5,FALSE)="Prior Year"),AQ165,IF(AND($A$2=4,VLOOKUP($A165,'District Level ADM'!$A$5:$W$52,5,FALSE)="3-Year Avg."),AC165,IF($A$2=2,AQ165,IF($A$2=3,AC165,IF(($AG165&gt;$AU165),AC165,AQ165)))))</f>
        <v>0</v>
      </c>
      <c r="P165" s="317">
        <f>IF(AND($A$2=4,VLOOKUP($A165,'District Level ADM'!$A$5:$W$52,5,FALSE)="Prior Year"),AR165,IF(AND($A$2=4,VLOOKUP($A165,'District Level ADM'!$A$5:$W$52,5,FALSE)="3-Year Avg."),AD165,IF($A$2=2,AR165,IF($A$2=3,AD165,IF(($AG165&gt;$AU165),AD165,AR165)))))</f>
        <v>0</v>
      </c>
      <c r="Q165" s="317">
        <f>IF(AND($A$2=4,VLOOKUP($A165,'District Level ADM'!$A$5:$W$52,5,FALSE)="Prior Year"),AS165,IF(AND($A$2=4,VLOOKUP($A165,'District Level ADM'!$A$5:$W$52,5,FALSE)="3-Year Avg."),AE165,IF($A$2=2,AS165,IF($A$2=3,AE165,IF(($AG165&gt;$AU165),AE165,AS165)))))</f>
        <v>0</v>
      </c>
      <c r="R165" s="317">
        <f>IF(AND($A$2=4,VLOOKUP($A165,'District Level ADM'!$A$5:$W$52,5,FALSE)="Prior Year"),AT165,IF(AND($A$2=4,VLOOKUP($A165,'District Level ADM'!$A$5:$W$52,5,FALSE)="3-Year Avg."),AF165,IF($A$2=2,AT165,IF($A$2=3,AF165,IF(($AG165&gt;$AU165),AF165,AT165)))))</f>
        <v>0</v>
      </c>
      <c r="S165" s="317">
        <f t="shared" si="25"/>
        <v>1.97</v>
      </c>
      <c r="T165" s="317">
        <f t="shared" si="29"/>
        <v>0.66666666666666663</v>
      </c>
      <c r="U165" s="317">
        <f t="shared" si="29"/>
        <v>0.66166666666666663</v>
      </c>
      <c r="V165" s="317">
        <f t="shared" si="29"/>
        <v>3.2000000000000001E-2</v>
      </c>
      <c r="W165" s="317">
        <f t="shared" si="29"/>
        <v>3.2000000000000001E-2</v>
      </c>
      <c r="X165" s="317">
        <f t="shared" si="29"/>
        <v>0.128</v>
      </c>
      <c r="Y165" s="317">
        <f t="shared" si="29"/>
        <v>0.33333333333333331</v>
      </c>
      <c r="Z165" s="317">
        <f t="shared" si="23"/>
        <v>0.45633333333333331</v>
      </c>
      <c r="AA165" s="317">
        <f t="shared" si="23"/>
        <v>0</v>
      </c>
      <c r="AB165" s="317">
        <f t="shared" si="23"/>
        <v>0</v>
      </c>
      <c r="AC165" s="317">
        <f t="shared" si="23"/>
        <v>0</v>
      </c>
      <c r="AD165" s="317">
        <f t="shared" si="23"/>
        <v>0</v>
      </c>
      <c r="AE165" s="317">
        <f t="shared" si="23"/>
        <v>0</v>
      </c>
      <c r="AF165" s="317">
        <f t="shared" si="23"/>
        <v>0</v>
      </c>
      <c r="AG165" s="317">
        <f t="shared" si="26"/>
        <v>2.31</v>
      </c>
      <c r="AH165" s="318">
        <v>0</v>
      </c>
      <c r="AI165" s="318">
        <v>0.98499999999999999</v>
      </c>
      <c r="AJ165" s="318">
        <v>0</v>
      </c>
      <c r="AK165" s="318">
        <v>0</v>
      </c>
      <c r="AL165" s="318">
        <v>0</v>
      </c>
      <c r="AM165" s="318">
        <v>0</v>
      </c>
      <c r="AN165" s="318">
        <v>0.98499999999999999</v>
      </c>
      <c r="AO165" s="318">
        <v>0</v>
      </c>
      <c r="AP165" s="318">
        <v>0</v>
      </c>
      <c r="AQ165" s="318">
        <v>0</v>
      </c>
      <c r="AR165" s="318">
        <v>0</v>
      </c>
      <c r="AS165" s="318">
        <v>0</v>
      </c>
      <c r="AT165" s="318">
        <v>0</v>
      </c>
      <c r="AU165" s="317">
        <f t="shared" si="27"/>
        <v>1.97</v>
      </c>
      <c r="AV165" s="319">
        <v>1</v>
      </c>
      <c r="AW165" s="319">
        <v>1</v>
      </c>
      <c r="AX165" s="319">
        <v>0</v>
      </c>
      <c r="AY165" s="319">
        <v>0</v>
      </c>
      <c r="AZ165" s="319">
        <v>0</v>
      </c>
      <c r="BA165" s="319">
        <v>1</v>
      </c>
      <c r="BB165" s="319">
        <v>0</v>
      </c>
      <c r="BC165" s="319">
        <v>0</v>
      </c>
      <c r="BD165" s="319">
        <v>0</v>
      </c>
      <c r="BE165" s="319">
        <v>0</v>
      </c>
      <c r="BF165" s="319">
        <v>0</v>
      </c>
      <c r="BG165" s="319">
        <v>0</v>
      </c>
      <c r="BH165" s="319">
        <v>0</v>
      </c>
      <c r="BI165" s="317">
        <f t="shared" si="28"/>
        <v>3</v>
      </c>
      <c r="BJ165" s="316">
        <v>1</v>
      </c>
      <c r="BK165" s="316">
        <v>0</v>
      </c>
      <c r="BL165" s="316">
        <v>9.6000000000000002E-2</v>
      </c>
      <c r="BM165" s="316">
        <v>9.6000000000000002E-2</v>
      </c>
      <c r="BN165" s="316">
        <v>0.38400000000000001</v>
      </c>
      <c r="BO165" s="316">
        <v>0</v>
      </c>
      <c r="BP165" s="316">
        <v>0.38400000000000001</v>
      </c>
      <c r="BQ165" s="316">
        <v>0</v>
      </c>
      <c r="BR165" s="316">
        <v>0</v>
      </c>
      <c r="BS165" s="316">
        <v>0</v>
      </c>
      <c r="BT165" s="316">
        <v>0</v>
      </c>
      <c r="BU165" s="316">
        <v>0</v>
      </c>
      <c r="BV165" s="316">
        <v>0</v>
      </c>
      <c r="BW165" s="317">
        <f t="shared" si="24"/>
        <v>1.96</v>
      </c>
    </row>
    <row r="166" spans="1:734" x14ac:dyDescent="0.2">
      <c r="A166" s="20" t="str">
        <f>'School Level Inst. Resources'!A166</f>
        <v>1101000</v>
      </c>
      <c r="B166" s="20" t="str">
        <f>'School Level Inst. Resources'!B166</f>
        <v>Laramie #1</v>
      </c>
      <c r="C166" s="20" t="str">
        <f>'School Level Inst. Resources'!C166</f>
        <v>1101026</v>
      </c>
      <c r="D166" s="20" t="str">
        <f>'School Level Inst. Resources'!D166</f>
        <v>Anderson Elementary</v>
      </c>
      <c r="E166" s="138" t="str">
        <f>'School Level Inst. Resources'!E166</f>
        <v>K-4</v>
      </c>
      <c r="F166" s="317">
        <f>IF(AND($A$2=4,VLOOKUP($A166,'District Level ADM'!$A$5:$W$52,5,FALSE)="Prior Year"),AH166,IF(AND($A$2=4,VLOOKUP($A166,'District Level ADM'!$A$5:$W$52,5,FALSE)="3-Year Avg."),T166,IF($A$2=2,AH166,IF($A$2=3,T166,IF(($AG166&gt;$AU166),T166,AH166)))))</f>
        <v>62.055</v>
      </c>
      <c r="G166" s="317">
        <f>IF(AND($A$2=4,VLOOKUP($A166,'District Level ADM'!$A$5:$W$52,5,FALSE)="Prior Year"),AI166,IF(AND($A$2=4,VLOOKUP($A166,'District Level ADM'!$A$5:$W$52,5,FALSE)="3-Year Avg."),U166,IF($A$2=2,AI166,IF($A$2=3,U166,IF(($AG166&gt;$AU166),U166,AI166)))))</f>
        <v>58.115000000000002</v>
      </c>
      <c r="H166" s="317">
        <f>IF(AND($A$2=4,VLOOKUP($A166,'District Level ADM'!$A$5:$W$52,5,FALSE)="Prior Year"),AJ166,IF(AND($A$2=4,VLOOKUP($A166,'District Level ADM'!$A$5:$W$52,5,FALSE)="3-Year Avg."),V166,IF($A$2=2,AJ166,IF($A$2=3,V166,IF(($AG166&gt;$AU166),V166,AJ166)))))</f>
        <v>64.025000000000006</v>
      </c>
      <c r="I166" s="317">
        <f>IF(AND($A$2=4,VLOOKUP($A166,'District Level ADM'!$A$5:$W$52,5,FALSE)="Prior Year"),AK166,IF(AND($A$2=4,VLOOKUP($A166,'District Level ADM'!$A$5:$W$52,5,FALSE)="3-Year Avg."),W166,IF($A$2=2,AK166,IF($A$2=3,W166,IF(($AG166&gt;$AU166),W166,AK166)))))</f>
        <v>76.83</v>
      </c>
      <c r="J166" s="317">
        <f>IF(AND($A$2=4,VLOOKUP($A166,'District Level ADM'!$A$5:$W$52,5,FALSE)="Prior Year"),AL166,IF(AND($A$2=4,VLOOKUP($A166,'District Level ADM'!$A$5:$W$52,5,FALSE)="3-Year Avg."),X166,IF($A$2=2,AL166,IF($A$2=3,X166,IF(($AG166&gt;$AU166),X166,AL166)))))</f>
        <v>67.965000000000003</v>
      </c>
      <c r="K166" s="317">
        <f>IF(AND($A$2=4,VLOOKUP($A166,'District Level ADM'!$A$5:$W$52,5,FALSE)="Prior Year"),AM166,IF(AND($A$2=4,VLOOKUP($A166,'District Level ADM'!$A$5:$W$52,5,FALSE)="3-Year Avg."),Y166,IF($A$2=2,AM166,IF($A$2=3,Y166,IF(($AG166&gt;$AU166),Y166,AM166)))))</f>
        <v>0</v>
      </c>
      <c r="L166" s="317">
        <f>IF(AND($A$2=4,VLOOKUP($A166,'District Level ADM'!$A$5:$W$52,5,FALSE)="Prior Year"),AN166,IF(AND($A$2=4,VLOOKUP($A166,'District Level ADM'!$A$5:$W$52,5,FALSE)="3-Year Avg."),Z166,IF($A$2=2,AN166,IF($A$2=3,Z166,IF(($AG166&gt;$AU166),Z166,AN166)))))</f>
        <v>0</v>
      </c>
      <c r="M166" s="317">
        <f>IF(AND($A$2=4,VLOOKUP($A166,'District Level ADM'!$A$5:$W$52,5,FALSE)="Prior Year"),AO166,IF(AND($A$2=4,VLOOKUP($A166,'District Level ADM'!$A$5:$W$52,5,FALSE)="3-Year Avg."),AA166,IF($A$2=2,AO166,IF($A$2=3,AA166,IF(($AG166&gt;$AU166),AA166,AO166)))))</f>
        <v>0</v>
      </c>
      <c r="N166" s="317">
        <f>IF(AND($A$2=4,VLOOKUP($A166,'District Level ADM'!$A$5:$W$52,5,FALSE)="Prior Year"),AP166,IF(AND($A$2=4,VLOOKUP($A166,'District Level ADM'!$A$5:$W$52,5,FALSE)="3-Year Avg."),AB166,IF($A$2=2,AP166,IF($A$2=3,AB166,IF(($AG166&gt;$AU166),AB166,AP166)))))</f>
        <v>0</v>
      </c>
      <c r="O166" s="317">
        <f>IF(AND($A$2=4,VLOOKUP($A166,'District Level ADM'!$A$5:$W$52,5,FALSE)="Prior Year"),AQ166,IF(AND($A$2=4,VLOOKUP($A166,'District Level ADM'!$A$5:$W$52,5,FALSE)="3-Year Avg."),AC166,IF($A$2=2,AQ166,IF($A$2=3,AC166,IF(($AG166&gt;$AU166),AC166,AQ166)))))</f>
        <v>0</v>
      </c>
      <c r="P166" s="317">
        <f>IF(AND($A$2=4,VLOOKUP($A166,'District Level ADM'!$A$5:$W$52,5,FALSE)="Prior Year"),AR166,IF(AND($A$2=4,VLOOKUP($A166,'District Level ADM'!$A$5:$W$52,5,FALSE)="3-Year Avg."),AD166,IF($A$2=2,AR166,IF($A$2=3,AD166,IF(($AG166&gt;$AU166),AD166,AR166)))))</f>
        <v>0</v>
      </c>
      <c r="Q166" s="317">
        <f>IF(AND($A$2=4,VLOOKUP($A166,'District Level ADM'!$A$5:$W$52,5,FALSE)="Prior Year"),AS166,IF(AND($A$2=4,VLOOKUP($A166,'District Level ADM'!$A$5:$W$52,5,FALSE)="3-Year Avg."),AE166,IF($A$2=2,AS166,IF($A$2=3,AE166,IF(($AG166&gt;$AU166),AE166,AS166)))))</f>
        <v>0</v>
      </c>
      <c r="R166" s="317">
        <f>IF(AND($A$2=4,VLOOKUP($A166,'District Level ADM'!$A$5:$W$52,5,FALSE)="Prior Year"),AT166,IF(AND($A$2=4,VLOOKUP($A166,'District Level ADM'!$A$5:$W$52,5,FALSE)="3-Year Avg."),AF166,IF($A$2=2,AT166,IF($A$2=3,AF166,IF(($AG166&gt;$AU166),AF166,AT166)))))</f>
        <v>0</v>
      </c>
      <c r="S166" s="317">
        <f t="shared" si="25"/>
        <v>328.99</v>
      </c>
      <c r="T166" s="317">
        <f t="shared" si="29"/>
        <v>52.657333333333334</v>
      </c>
      <c r="U166" s="317">
        <f t="shared" si="29"/>
        <v>53.67433333333333</v>
      </c>
      <c r="V166" s="317">
        <f t="shared" si="29"/>
        <v>56.908333333333331</v>
      </c>
      <c r="W166" s="317">
        <f t="shared" si="29"/>
        <v>67.430666666666667</v>
      </c>
      <c r="X166" s="317">
        <f t="shared" si="29"/>
        <v>64.282333333333341</v>
      </c>
      <c r="Y166" s="317">
        <f t="shared" si="29"/>
        <v>0</v>
      </c>
      <c r="Z166" s="317">
        <f t="shared" si="23"/>
        <v>0</v>
      </c>
      <c r="AA166" s="317">
        <f t="shared" si="23"/>
        <v>0</v>
      </c>
      <c r="AB166" s="317">
        <f t="shared" si="23"/>
        <v>0</v>
      </c>
      <c r="AC166" s="317">
        <f t="shared" si="23"/>
        <v>0</v>
      </c>
      <c r="AD166" s="317">
        <f t="shared" si="23"/>
        <v>0</v>
      </c>
      <c r="AE166" s="317">
        <f t="shared" si="23"/>
        <v>0</v>
      </c>
      <c r="AF166" s="317">
        <f t="shared" si="23"/>
        <v>0</v>
      </c>
      <c r="AG166" s="317">
        <f t="shared" si="26"/>
        <v>294.95300000000003</v>
      </c>
      <c r="AH166" s="318">
        <v>62.055</v>
      </c>
      <c r="AI166" s="318">
        <v>58.115000000000002</v>
      </c>
      <c r="AJ166" s="318">
        <v>64.025000000000006</v>
      </c>
      <c r="AK166" s="318">
        <v>76.83</v>
      </c>
      <c r="AL166" s="318">
        <v>67.965000000000003</v>
      </c>
      <c r="AM166" s="318">
        <v>0</v>
      </c>
      <c r="AN166" s="318">
        <v>0</v>
      </c>
      <c r="AO166" s="318">
        <v>0</v>
      </c>
      <c r="AP166" s="318">
        <v>0</v>
      </c>
      <c r="AQ166" s="318">
        <v>0</v>
      </c>
      <c r="AR166" s="318">
        <v>0</v>
      </c>
      <c r="AS166" s="318">
        <v>0</v>
      </c>
      <c r="AT166" s="318">
        <v>0</v>
      </c>
      <c r="AU166" s="317">
        <f t="shared" si="27"/>
        <v>328.99</v>
      </c>
      <c r="AV166" s="319">
        <v>45.506</v>
      </c>
      <c r="AW166" s="319">
        <v>50.027999999999999</v>
      </c>
      <c r="AX166" s="319">
        <v>56.573999999999998</v>
      </c>
      <c r="AY166" s="319">
        <v>57.273000000000003</v>
      </c>
      <c r="AZ166" s="319">
        <v>74.704999999999998</v>
      </c>
      <c r="BA166" s="319">
        <v>0</v>
      </c>
      <c r="BB166" s="319">
        <v>0</v>
      </c>
      <c r="BC166" s="319">
        <v>0</v>
      </c>
      <c r="BD166" s="319">
        <v>0</v>
      </c>
      <c r="BE166" s="319">
        <v>0</v>
      </c>
      <c r="BF166" s="319">
        <v>0</v>
      </c>
      <c r="BG166" s="319">
        <v>0</v>
      </c>
      <c r="BH166" s="319">
        <v>0</v>
      </c>
      <c r="BI166" s="317">
        <f t="shared" si="28"/>
        <v>284.08600000000001</v>
      </c>
      <c r="BJ166" s="316">
        <v>50.411000000000001</v>
      </c>
      <c r="BK166" s="316">
        <v>52.88</v>
      </c>
      <c r="BL166" s="316">
        <v>50.125999999999998</v>
      </c>
      <c r="BM166" s="316">
        <v>68.188999999999993</v>
      </c>
      <c r="BN166" s="316">
        <v>50.177</v>
      </c>
      <c r="BO166" s="316">
        <v>0</v>
      </c>
      <c r="BP166" s="316">
        <v>0</v>
      </c>
      <c r="BQ166" s="316">
        <v>0</v>
      </c>
      <c r="BR166" s="316">
        <v>0</v>
      </c>
      <c r="BS166" s="316">
        <v>0</v>
      </c>
      <c r="BT166" s="316">
        <v>0</v>
      </c>
      <c r="BU166" s="316">
        <v>0</v>
      </c>
      <c r="BV166" s="316">
        <v>0</v>
      </c>
      <c r="BW166" s="317">
        <f t="shared" si="24"/>
        <v>271.78300000000002</v>
      </c>
    </row>
    <row r="167" spans="1:734" x14ac:dyDescent="0.2">
      <c r="A167" s="20" t="str">
        <f>'School Level Inst. Resources'!A167</f>
        <v>1101000</v>
      </c>
      <c r="B167" s="20" t="str">
        <f>'School Level Inst. Resources'!B167</f>
        <v>Laramie #1</v>
      </c>
      <c r="C167" s="20" t="str">
        <f>'School Level Inst. Resources'!C167</f>
        <v>1101027</v>
      </c>
      <c r="D167" s="20" t="str">
        <f>'School Level Inst. Resources'!D167</f>
        <v>Afflerbach Elementary</v>
      </c>
      <c r="E167" s="138" t="str">
        <f>'School Level Inst. Resources'!E167</f>
        <v>K-6</v>
      </c>
      <c r="F167" s="317">
        <f>IF(AND($A$2=4,VLOOKUP($A167,'District Level ADM'!$A$5:$W$52,5,FALSE)="Prior Year"),AH167,IF(AND($A$2=4,VLOOKUP($A167,'District Level ADM'!$A$5:$W$52,5,FALSE)="3-Year Avg."),T167,IF($A$2=2,AH167,IF($A$2=3,T167,IF(($AG167&gt;$AU167),T167,AH167)))))</f>
        <v>53.19</v>
      </c>
      <c r="G167" s="317">
        <f>IF(AND($A$2=4,VLOOKUP($A167,'District Level ADM'!$A$5:$W$52,5,FALSE)="Prior Year"),AI167,IF(AND($A$2=4,VLOOKUP($A167,'District Level ADM'!$A$5:$W$52,5,FALSE)="3-Year Avg."),U167,IF($A$2=2,AI167,IF($A$2=3,U167,IF(($AG167&gt;$AU167),U167,AI167)))))</f>
        <v>56.145000000000003</v>
      </c>
      <c r="H167" s="317">
        <f>IF(AND($A$2=4,VLOOKUP($A167,'District Level ADM'!$A$5:$W$52,5,FALSE)="Prior Year"),AJ167,IF(AND($A$2=4,VLOOKUP($A167,'District Level ADM'!$A$5:$W$52,5,FALSE)="3-Year Avg."),V167,IF($A$2=2,AJ167,IF($A$2=3,V167,IF(($AG167&gt;$AU167),V167,AJ167)))))</f>
        <v>54.174999999999997</v>
      </c>
      <c r="I167" s="317">
        <f>IF(AND($A$2=4,VLOOKUP($A167,'District Level ADM'!$A$5:$W$52,5,FALSE)="Prior Year"),AK167,IF(AND($A$2=4,VLOOKUP($A167,'District Level ADM'!$A$5:$W$52,5,FALSE)="3-Year Avg."),W167,IF($A$2=2,AK167,IF($A$2=3,W167,IF(($AG167&gt;$AU167),W167,AK167)))))</f>
        <v>49.25</v>
      </c>
      <c r="J167" s="317">
        <f>IF(AND($A$2=4,VLOOKUP($A167,'District Level ADM'!$A$5:$W$52,5,FALSE)="Prior Year"),AL167,IF(AND($A$2=4,VLOOKUP($A167,'District Level ADM'!$A$5:$W$52,5,FALSE)="3-Year Avg."),X167,IF($A$2=2,AL167,IF($A$2=3,X167,IF(($AG167&gt;$AU167),X167,AL167)))))</f>
        <v>59.1</v>
      </c>
      <c r="K167" s="317">
        <f>IF(AND($A$2=4,VLOOKUP($A167,'District Level ADM'!$A$5:$W$52,5,FALSE)="Prior Year"),AM167,IF(AND($A$2=4,VLOOKUP($A167,'District Level ADM'!$A$5:$W$52,5,FALSE)="3-Year Avg."),Y167,IF($A$2=2,AM167,IF($A$2=3,Y167,IF(($AG167&gt;$AU167),Y167,AM167)))))</f>
        <v>57.13</v>
      </c>
      <c r="L167" s="317">
        <f>IF(AND($A$2=4,VLOOKUP($A167,'District Level ADM'!$A$5:$W$52,5,FALSE)="Prior Year"),AN167,IF(AND($A$2=4,VLOOKUP($A167,'District Level ADM'!$A$5:$W$52,5,FALSE)="3-Year Avg."),Z167,IF($A$2=2,AN167,IF($A$2=3,Z167,IF(($AG167&gt;$AU167),Z167,AN167)))))</f>
        <v>59.1</v>
      </c>
      <c r="M167" s="317">
        <f>IF(AND($A$2=4,VLOOKUP($A167,'District Level ADM'!$A$5:$W$52,5,FALSE)="Prior Year"),AO167,IF(AND($A$2=4,VLOOKUP($A167,'District Level ADM'!$A$5:$W$52,5,FALSE)="3-Year Avg."),AA167,IF($A$2=2,AO167,IF($A$2=3,AA167,IF(($AG167&gt;$AU167),AA167,AO167)))))</f>
        <v>0</v>
      </c>
      <c r="N167" s="317">
        <f>IF(AND($A$2=4,VLOOKUP($A167,'District Level ADM'!$A$5:$W$52,5,FALSE)="Prior Year"),AP167,IF(AND($A$2=4,VLOOKUP($A167,'District Level ADM'!$A$5:$W$52,5,FALSE)="3-Year Avg."),AB167,IF($A$2=2,AP167,IF($A$2=3,AB167,IF(($AG167&gt;$AU167),AB167,AP167)))))</f>
        <v>0</v>
      </c>
      <c r="O167" s="317">
        <f>IF(AND($A$2=4,VLOOKUP($A167,'District Level ADM'!$A$5:$W$52,5,FALSE)="Prior Year"),AQ167,IF(AND($A$2=4,VLOOKUP($A167,'District Level ADM'!$A$5:$W$52,5,FALSE)="3-Year Avg."),AC167,IF($A$2=2,AQ167,IF($A$2=3,AC167,IF(($AG167&gt;$AU167),AC167,AQ167)))))</f>
        <v>0</v>
      </c>
      <c r="P167" s="317">
        <f>IF(AND($A$2=4,VLOOKUP($A167,'District Level ADM'!$A$5:$W$52,5,FALSE)="Prior Year"),AR167,IF(AND($A$2=4,VLOOKUP($A167,'District Level ADM'!$A$5:$W$52,5,FALSE)="3-Year Avg."),AD167,IF($A$2=2,AR167,IF($A$2=3,AD167,IF(($AG167&gt;$AU167),AD167,AR167)))))</f>
        <v>0</v>
      </c>
      <c r="Q167" s="317">
        <f>IF(AND($A$2=4,VLOOKUP($A167,'District Level ADM'!$A$5:$W$52,5,FALSE)="Prior Year"),AS167,IF(AND($A$2=4,VLOOKUP($A167,'District Level ADM'!$A$5:$W$52,5,FALSE)="3-Year Avg."),AE167,IF($A$2=2,AS167,IF($A$2=3,AE167,IF(($AG167&gt;$AU167),AE167,AS167)))))</f>
        <v>0</v>
      </c>
      <c r="R167" s="317">
        <f>IF(AND($A$2=4,VLOOKUP($A167,'District Level ADM'!$A$5:$W$52,5,FALSE)="Prior Year"),AT167,IF(AND($A$2=4,VLOOKUP($A167,'District Level ADM'!$A$5:$W$52,5,FALSE)="3-Year Avg."),AF167,IF($A$2=2,AT167,IF($A$2=3,AF167,IF(($AG167&gt;$AU167),AF167,AT167)))))</f>
        <v>0</v>
      </c>
      <c r="S167" s="317">
        <f t="shared" si="25"/>
        <v>388.09000000000003</v>
      </c>
      <c r="T167" s="317">
        <f t="shared" si="29"/>
        <v>57.848666666666666</v>
      </c>
      <c r="U167" s="317">
        <f t="shared" si="29"/>
        <v>62.073</v>
      </c>
      <c r="V167" s="317">
        <f t="shared" si="29"/>
        <v>63.698999999999991</v>
      </c>
      <c r="W167" s="317">
        <f t="shared" si="29"/>
        <v>65.430000000000007</v>
      </c>
      <c r="X167" s="317">
        <f t="shared" si="29"/>
        <v>61.540666666666674</v>
      </c>
      <c r="Y167" s="317">
        <f t="shared" si="29"/>
        <v>59.865000000000002</v>
      </c>
      <c r="Z167" s="317">
        <f t="shared" si="23"/>
        <v>60.468999999999994</v>
      </c>
      <c r="AA167" s="317">
        <f t="shared" si="23"/>
        <v>0</v>
      </c>
      <c r="AB167" s="317">
        <f t="shared" si="23"/>
        <v>0</v>
      </c>
      <c r="AC167" s="317">
        <f t="shared" si="23"/>
        <v>0</v>
      </c>
      <c r="AD167" s="317">
        <f t="shared" ref="AD167:AF230" si="30">AVERAGE(AR167,BF167,BT167)</f>
        <v>0</v>
      </c>
      <c r="AE167" s="317">
        <f t="shared" si="30"/>
        <v>0</v>
      </c>
      <c r="AF167" s="317">
        <f t="shared" si="30"/>
        <v>0</v>
      </c>
      <c r="AG167" s="317">
        <f t="shared" si="26"/>
        <v>430.92533333333336</v>
      </c>
      <c r="AH167" s="318">
        <v>53.19</v>
      </c>
      <c r="AI167" s="318">
        <v>56.145000000000003</v>
      </c>
      <c r="AJ167" s="318">
        <v>54.174999999999997</v>
      </c>
      <c r="AK167" s="318">
        <v>49.25</v>
      </c>
      <c r="AL167" s="318">
        <v>59.1</v>
      </c>
      <c r="AM167" s="318">
        <v>57.13</v>
      </c>
      <c r="AN167" s="318">
        <v>59.1</v>
      </c>
      <c r="AO167" s="318">
        <v>0</v>
      </c>
      <c r="AP167" s="318">
        <v>0</v>
      </c>
      <c r="AQ167" s="318">
        <v>0</v>
      </c>
      <c r="AR167" s="318">
        <v>0</v>
      </c>
      <c r="AS167" s="318">
        <v>0</v>
      </c>
      <c r="AT167" s="318">
        <v>0</v>
      </c>
      <c r="AU167" s="317">
        <f t="shared" si="27"/>
        <v>388.09000000000003</v>
      </c>
      <c r="AV167" s="319">
        <v>62.619</v>
      </c>
      <c r="AW167" s="319">
        <v>65.010999999999996</v>
      </c>
      <c r="AX167" s="319">
        <v>65.625</v>
      </c>
      <c r="AY167" s="319">
        <v>67.92</v>
      </c>
      <c r="AZ167" s="319">
        <v>65.692999999999998</v>
      </c>
      <c r="BA167" s="319">
        <v>59.585000000000001</v>
      </c>
      <c r="BB167" s="319">
        <v>64.272999999999996</v>
      </c>
      <c r="BC167" s="319">
        <v>0</v>
      </c>
      <c r="BD167" s="319">
        <v>0</v>
      </c>
      <c r="BE167" s="319">
        <v>0</v>
      </c>
      <c r="BF167" s="319">
        <v>0</v>
      </c>
      <c r="BG167" s="319">
        <v>0</v>
      </c>
      <c r="BH167" s="319">
        <v>0</v>
      </c>
      <c r="BI167" s="317">
        <f t="shared" si="28"/>
        <v>450.726</v>
      </c>
      <c r="BJ167" s="316">
        <v>57.737000000000002</v>
      </c>
      <c r="BK167" s="316">
        <v>65.063000000000002</v>
      </c>
      <c r="BL167" s="316">
        <v>71.296999999999997</v>
      </c>
      <c r="BM167" s="316">
        <v>79.12</v>
      </c>
      <c r="BN167" s="316">
        <v>59.829000000000001</v>
      </c>
      <c r="BO167" s="316">
        <v>62.88</v>
      </c>
      <c r="BP167" s="316">
        <v>58.033999999999999</v>
      </c>
      <c r="BQ167" s="316">
        <v>0</v>
      </c>
      <c r="BR167" s="316">
        <v>0</v>
      </c>
      <c r="BS167" s="316">
        <v>0</v>
      </c>
      <c r="BT167" s="316">
        <v>0</v>
      </c>
      <c r="BU167" s="316">
        <v>0</v>
      </c>
      <c r="BV167" s="316">
        <v>0</v>
      </c>
      <c r="BW167" s="317">
        <f t="shared" si="24"/>
        <v>453.96</v>
      </c>
    </row>
    <row r="168" spans="1:734" x14ac:dyDescent="0.2">
      <c r="A168" s="20" t="str">
        <f>'School Level Inst. Resources'!A168</f>
        <v>1101000</v>
      </c>
      <c r="B168" s="20" t="str">
        <f>'School Level Inst. Resources'!B168</f>
        <v>Laramie #1</v>
      </c>
      <c r="C168" s="20" t="str">
        <f>'School Level Inst. Resources'!C168</f>
        <v>1101028</v>
      </c>
      <c r="D168" s="20" t="str">
        <f>'School Level Inst. Resources'!D168</f>
        <v>Freedom Elementary</v>
      </c>
      <c r="E168" s="138" t="str">
        <f>'School Level Inst. Resources'!E168</f>
        <v>K-6</v>
      </c>
      <c r="F168" s="317">
        <f>IF(AND($A$2=4,VLOOKUP($A168,'District Level ADM'!$A$5:$W$52,5,FALSE)="Prior Year"),AH168,IF(AND($A$2=4,VLOOKUP($A168,'District Level ADM'!$A$5:$W$52,5,FALSE)="3-Year Avg."),T168,IF($A$2=2,AH168,IF($A$2=3,T168,IF(($AG168&gt;$AU168),T168,AH168)))))</f>
        <v>63.04</v>
      </c>
      <c r="G168" s="317">
        <f>IF(AND($A$2=4,VLOOKUP($A168,'District Level ADM'!$A$5:$W$52,5,FALSE)="Prior Year"),AI168,IF(AND($A$2=4,VLOOKUP($A168,'District Level ADM'!$A$5:$W$52,5,FALSE)="3-Year Avg."),U168,IF($A$2=2,AI168,IF($A$2=3,U168,IF(($AG168&gt;$AU168),U168,AI168)))))</f>
        <v>53.19</v>
      </c>
      <c r="H168" s="317">
        <f>IF(AND($A$2=4,VLOOKUP($A168,'District Level ADM'!$A$5:$W$52,5,FALSE)="Prior Year"),AJ168,IF(AND($A$2=4,VLOOKUP($A168,'District Level ADM'!$A$5:$W$52,5,FALSE)="3-Year Avg."),V168,IF($A$2=2,AJ168,IF($A$2=3,V168,IF(($AG168&gt;$AU168),V168,AJ168)))))</f>
        <v>52.204999999999998</v>
      </c>
      <c r="I168" s="317">
        <f>IF(AND($A$2=4,VLOOKUP($A168,'District Level ADM'!$A$5:$W$52,5,FALSE)="Prior Year"),AK168,IF(AND($A$2=4,VLOOKUP($A168,'District Level ADM'!$A$5:$W$52,5,FALSE)="3-Year Avg."),W168,IF($A$2=2,AK168,IF($A$2=3,W168,IF(($AG168&gt;$AU168),W168,AK168)))))</f>
        <v>44.325000000000003</v>
      </c>
      <c r="J168" s="317">
        <f>IF(AND($A$2=4,VLOOKUP($A168,'District Level ADM'!$A$5:$W$52,5,FALSE)="Prior Year"),AL168,IF(AND($A$2=4,VLOOKUP($A168,'District Level ADM'!$A$5:$W$52,5,FALSE)="3-Year Avg."),X168,IF($A$2=2,AL168,IF($A$2=3,X168,IF(($AG168&gt;$AU168),X168,AL168)))))</f>
        <v>47.28</v>
      </c>
      <c r="K168" s="317">
        <f>IF(AND($A$2=4,VLOOKUP($A168,'District Level ADM'!$A$5:$W$52,5,FALSE)="Prior Year"),AM168,IF(AND($A$2=4,VLOOKUP($A168,'District Level ADM'!$A$5:$W$52,5,FALSE)="3-Year Avg."),Y168,IF($A$2=2,AM168,IF($A$2=3,Y168,IF(($AG168&gt;$AU168),Y168,AM168)))))</f>
        <v>37.43</v>
      </c>
      <c r="L168" s="317">
        <f>IF(AND($A$2=4,VLOOKUP($A168,'District Level ADM'!$A$5:$W$52,5,FALSE)="Prior Year"),AN168,IF(AND($A$2=4,VLOOKUP($A168,'District Level ADM'!$A$5:$W$52,5,FALSE)="3-Year Avg."),Z168,IF($A$2=2,AN168,IF($A$2=3,Z168,IF(($AG168&gt;$AU168),Z168,AN168)))))</f>
        <v>36.445</v>
      </c>
      <c r="M168" s="317">
        <f>IF(AND($A$2=4,VLOOKUP($A168,'District Level ADM'!$A$5:$W$52,5,FALSE)="Prior Year"),AO168,IF(AND($A$2=4,VLOOKUP($A168,'District Level ADM'!$A$5:$W$52,5,FALSE)="3-Year Avg."),AA168,IF($A$2=2,AO168,IF($A$2=3,AA168,IF(($AG168&gt;$AU168),AA168,AO168)))))</f>
        <v>0</v>
      </c>
      <c r="N168" s="317">
        <f>IF(AND($A$2=4,VLOOKUP($A168,'District Level ADM'!$A$5:$W$52,5,FALSE)="Prior Year"),AP168,IF(AND($A$2=4,VLOOKUP($A168,'District Level ADM'!$A$5:$W$52,5,FALSE)="3-Year Avg."),AB168,IF($A$2=2,AP168,IF($A$2=3,AB168,IF(($AG168&gt;$AU168),AB168,AP168)))))</f>
        <v>0</v>
      </c>
      <c r="O168" s="317">
        <f>IF(AND($A$2=4,VLOOKUP($A168,'District Level ADM'!$A$5:$W$52,5,FALSE)="Prior Year"),AQ168,IF(AND($A$2=4,VLOOKUP($A168,'District Level ADM'!$A$5:$W$52,5,FALSE)="3-Year Avg."),AC168,IF($A$2=2,AQ168,IF($A$2=3,AC168,IF(($AG168&gt;$AU168),AC168,AQ168)))))</f>
        <v>0</v>
      </c>
      <c r="P168" s="317">
        <f>IF(AND($A$2=4,VLOOKUP($A168,'District Level ADM'!$A$5:$W$52,5,FALSE)="Prior Year"),AR168,IF(AND($A$2=4,VLOOKUP($A168,'District Level ADM'!$A$5:$W$52,5,FALSE)="3-Year Avg."),AD168,IF($A$2=2,AR168,IF($A$2=3,AD168,IF(($AG168&gt;$AU168),AD168,AR168)))))</f>
        <v>0</v>
      </c>
      <c r="Q168" s="317">
        <f>IF(AND($A$2=4,VLOOKUP($A168,'District Level ADM'!$A$5:$W$52,5,FALSE)="Prior Year"),AS168,IF(AND($A$2=4,VLOOKUP($A168,'District Level ADM'!$A$5:$W$52,5,FALSE)="3-Year Avg."),AE168,IF($A$2=2,AS168,IF($A$2=3,AE168,IF(($AG168&gt;$AU168),AE168,AS168)))))</f>
        <v>0</v>
      </c>
      <c r="R168" s="317">
        <f>IF(AND($A$2=4,VLOOKUP($A168,'District Level ADM'!$A$5:$W$52,5,FALSE)="Prior Year"),AT168,IF(AND($A$2=4,VLOOKUP($A168,'District Level ADM'!$A$5:$W$52,5,FALSE)="3-Year Avg."),AF168,IF($A$2=2,AT168,IF($A$2=3,AF168,IF(($AG168&gt;$AU168),AF168,AT168)))))</f>
        <v>0</v>
      </c>
      <c r="S168" s="317">
        <f t="shared" si="25"/>
        <v>333.91499999999996</v>
      </c>
      <c r="T168" s="317">
        <f t="shared" si="29"/>
        <v>58.055</v>
      </c>
      <c r="U168" s="317">
        <f t="shared" si="29"/>
        <v>51.05266666666666</v>
      </c>
      <c r="V168" s="317">
        <f t="shared" si="29"/>
        <v>48.930666666666667</v>
      </c>
      <c r="W168" s="317">
        <f t="shared" si="29"/>
        <v>46.342333333333329</v>
      </c>
      <c r="X168" s="317">
        <f t="shared" si="29"/>
        <v>45.354999999999997</v>
      </c>
      <c r="Y168" s="317">
        <f t="shared" si="29"/>
        <v>39.594666666666662</v>
      </c>
      <c r="Z168" s="317">
        <f t="shared" si="29"/>
        <v>37.764000000000003</v>
      </c>
      <c r="AA168" s="317">
        <f t="shared" si="29"/>
        <v>0</v>
      </c>
      <c r="AB168" s="317">
        <f t="shared" si="29"/>
        <v>0</v>
      </c>
      <c r="AC168" s="317">
        <f t="shared" si="29"/>
        <v>0</v>
      </c>
      <c r="AD168" s="317">
        <f t="shared" si="30"/>
        <v>0</v>
      </c>
      <c r="AE168" s="317">
        <f t="shared" si="30"/>
        <v>0</v>
      </c>
      <c r="AF168" s="317">
        <f t="shared" si="30"/>
        <v>0</v>
      </c>
      <c r="AG168" s="317">
        <f t="shared" si="26"/>
        <v>327.09433333333334</v>
      </c>
      <c r="AH168" s="318">
        <v>63.04</v>
      </c>
      <c r="AI168" s="318">
        <v>53.19</v>
      </c>
      <c r="AJ168" s="318">
        <v>52.204999999999998</v>
      </c>
      <c r="AK168" s="318">
        <v>44.325000000000003</v>
      </c>
      <c r="AL168" s="318">
        <v>47.28</v>
      </c>
      <c r="AM168" s="318">
        <v>37.43</v>
      </c>
      <c r="AN168" s="318">
        <v>36.445</v>
      </c>
      <c r="AO168" s="318">
        <v>0</v>
      </c>
      <c r="AP168" s="318">
        <v>0</v>
      </c>
      <c r="AQ168" s="318">
        <v>0</v>
      </c>
      <c r="AR168" s="318">
        <v>0</v>
      </c>
      <c r="AS168" s="318">
        <v>0</v>
      </c>
      <c r="AT168" s="318">
        <v>0</v>
      </c>
      <c r="AU168" s="317">
        <f t="shared" si="27"/>
        <v>333.91499999999996</v>
      </c>
      <c r="AV168" s="319">
        <v>50.216000000000001</v>
      </c>
      <c r="AW168" s="319">
        <v>51.658999999999999</v>
      </c>
      <c r="AX168" s="319">
        <v>45.192999999999998</v>
      </c>
      <c r="AY168" s="319">
        <v>50.238999999999997</v>
      </c>
      <c r="AZ168" s="319">
        <v>42.585000000000001</v>
      </c>
      <c r="BA168" s="319">
        <v>44.097000000000001</v>
      </c>
      <c r="BB168" s="319">
        <v>33.83</v>
      </c>
      <c r="BC168" s="319">
        <v>0</v>
      </c>
      <c r="BD168" s="319">
        <v>0</v>
      </c>
      <c r="BE168" s="319">
        <v>0</v>
      </c>
      <c r="BF168" s="319">
        <v>0</v>
      </c>
      <c r="BG168" s="319">
        <v>0</v>
      </c>
      <c r="BH168" s="319">
        <v>0</v>
      </c>
      <c r="BI168" s="317">
        <f t="shared" si="28"/>
        <v>317.81899999999996</v>
      </c>
      <c r="BJ168" s="316">
        <v>60.908999999999999</v>
      </c>
      <c r="BK168" s="316">
        <v>48.308999999999997</v>
      </c>
      <c r="BL168" s="316">
        <v>49.393999999999998</v>
      </c>
      <c r="BM168" s="316">
        <v>44.463000000000001</v>
      </c>
      <c r="BN168" s="316">
        <v>46.2</v>
      </c>
      <c r="BO168" s="316">
        <v>37.256999999999998</v>
      </c>
      <c r="BP168" s="316">
        <v>43.017000000000003</v>
      </c>
      <c r="BQ168" s="316">
        <v>0</v>
      </c>
      <c r="BR168" s="316">
        <v>0</v>
      </c>
      <c r="BS168" s="316">
        <v>0</v>
      </c>
      <c r="BT168" s="316">
        <v>0</v>
      </c>
      <c r="BU168" s="316">
        <v>0</v>
      </c>
      <c r="BV168" s="316">
        <v>0</v>
      </c>
      <c r="BW168" s="317">
        <f t="shared" si="24"/>
        <v>329.54899999999998</v>
      </c>
    </row>
    <row r="169" spans="1:734" x14ac:dyDescent="0.2">
      <c r="A169" s="20" t="str">
        <f>'School Level Inst. Resources'!A169</f>
        <v>1101000</v>
      </c>
      <c r="B169" s="20" t="str">
        <f>'School Level Inst. Resources'!B169</f>
        <v>Laramie #1</v>
      </c>
      <c r="C169" s="20" t="str">
        <f>'School Level Inst. Resources'!C169</f>
        <v>1101029</v>
      </c>
      <c r="D169" s="20" t="str">
        <f>'School Level Inst. Resources'!D169</f>
        <v>Sunrise Elementary</v>
      </c>
      <c r="E169" s="138" t="str">
        <f>'School Level Inst. Resources'!E169</f>
        <v>K-6</v>
      </c>
      <c r="F169" s="317">
        <f>IF(AND($A$2=4,VLOOKUP($A169,'District Level ADM'!$A$5:$W$52,5,FALSE)="Prior Year"),AH169,IF(AND($A$2=4,VLOOKUP($A169,'District Level ADM'!$A$5:$W$52,5,FALSE)="3-Year Avg."),T169,IF($A$2=2,AH169,IF($A$2=3,T169,IF(($AG169&gt;$AU169),T169,AH169)))))</f>
        <v>51.22</v>
      </c>
      <c r="G169" s="317">
        <f>IF(AND($A$2=4,VLOOKUP($A169,'District Level ADM'!$A$5:$W$52,5,FALSE)="Prior Year"),AI169,IF(AND($A$2=4,VLOOKUP($A169,'District Level ADM'!$A$5:$W$52,5,FALSE)="3-Year Avg."),U169,IF($A$2=2,AI169,IF($A$2=3,U169,IF(($AG169&gt;$AU169),U169,AI169)))))</f>
        <v>53.19</v>
      </c>
      <c r="H169" s="317">
        <f>IF(AND($A$2=4,VLOOKUP($A169,'District Level ADM'!$A$5:$W$52,5,FALSE)="Prior Year"),AJ169,IF(AND($A$2=4,VLOOKUP($A169,'District Level ADM'!$A$5:$W$52,5,FALSE)="3-Year Avg."),V169,IF($A$2=2,AJ169,IF($A$2=3,V169,IF(($AG169&gt;$AU169),V169,AJ169)))))</f>
        <v>63.04</v>
      </c>
      <c r="I169" s="317">
        <f>IF(AND($A$2=4,VLOOKUP($A169,'District Level ADM'!$A$5:$W$52,5,FALSE)="Prior Year"),AK169,IF(AND($A$2=4,VLOOKUP($A169,'District Level ADM'!$A$5:$W$52,5,FALSE)="3-Year Avg."),W169,IF($A$2=2,AK169,IF($A$2=3,W169,IF(($AG169&gt;$AU169),W169,AK169)))))</f>
        <v>37.43</v>
      </c>
      <c r="J169" s="317">
        <f>IF(AND($A$2=4,VLOOKUP($A169,'District Level ADM'!$A$5:$W$52,5,FALSE)="Prior Year"),AL169,IF(AND($A$2=4,VLOOKUP($A169,'District Level ADM'!$A$5:$W$52,5,FALSE)="3-Year Avg."),X169,IF($A$2=2,AL169,IF($A$2=3,X169,IF(($AG169&gt;$AU169),X169,AL169)))))</f>
        <v>57.13</v>
      </c>
      <c r="K169" s="317">
        <f>IF(AND($A$2=4,VLOOKUP($A169,'District Level ADM'!$A$5:$W$52,5,FALSE)="Prior Year"),AM169,IF(AND($A$2=4,VLOOKUP($A169,'District Level ADM'!$A$5:$W$52,5,FALSE)="3-Year Avg."),Y169,IF($A$2=2,AM169,IF($A$2=3,Y169,IF(($AG169&gt;$AU169),Y169,AM169)))))</f>
        <v>50.234999999999999</v>
      </c>
      <c r="L169" s="317">
        <f>IF(AND($A$2=4,VLOOKUP($A169,'District Level ADM'!$A$5:$W$52,5,FALSE)="Prior Year"),AN169,IF(AND($A$2=4,VLOOKUP($A169,'District Level ADM'!$A$5:$W$52,5,FALSE)="3-Year Avg."),Z169,IF($A$2=2,AN169,IF($A$2=3,Z169,IF(($AG169&gt;$AU169),Z169,AN169)))))</f>
        <v>41.37</v>
      </c>
      <c r="M169" s="317">
        <f>IF(AND($A$2=4,VLOOKUP($A169,'District Level ADM'!$A$5:$W$52,5,FALSE)="Prior Year"),AO169,IF(AND($A$2=4,VLOOKUP($A169,'District Level ADM'!$A$5:$W$52,5,FALSE)="3-Year Avg."),AA169,IF($A$2=2,AO169,IF($A$2=3,AA169,IF(($AG169&gt;$AU169),AA169,AO169)))))</f>
        <v>0</v>
      </c>
      <c r="N169" s="317">
        <f>IF(AND($A$2=4,VLOOKUP($A169,'District Level ADM'!$A$5:$W$52,5,FALSE)="Prior Year"),AP169,IF(AND($A$2=4,VLOOKUP($A169,'District Level ADM'!$A$5:$W$52,5,FALSE)="3-Year Avg."),AB169,IF($A$2=2,AP169,IF($A$2=3,AB169,IF(($AG169&gt;$AU169),AB169,AP169)))))</f>
        <v>0</v>
      </c>
      <c r="O169" s="317">
        <f>IF(AND($A$2=4,VLOOKUP($A169,'District Level ADM'!$A$5:$W$52,5,FALSE)="Prior Year"),AQ169,IF(AND($A$2=4,VLOOKUP($A169,'District Level ADM'!$A$5:$W$52,5,FALSE)="3-Year Avg."),AC169,IF($A$2=2,AQ169,IF($A$2=3,AC169,IF(($AG169&gt;$AU169),AC169,AQ169)))))</f>
        <v>0</v>
      </c>
      <c r="P169" s="317">
        <f>IF(AND($A$2=4,VLOOKUP($A169,'District Level ADM'!$A$5:$W$52,5,FALSE)="Prior Year"),AR169,IF(AND($A$2=4,VLOOKUP($A169,'District Level ADM'!$A$5:$W$52,5,FALSE)="3-Year Avg."),AD169,IF($A$2=2,AR169,IF($A$2=3,AD169,IF(($AG169&gt;$AU169),AD169,AR169)))))</f>
        <v>0</v>
      </c>
      <c r="Q169" s="317">
        <f>IF(AND($A$2=4,VLOOKUP($A169,'District Level ADM'!$A$5:$W$52,5,FALSE)="Prior Year"),AS169,IF(AND($A$2=4,VLOOKUP($A169,'District Level ADM'!$A$5:$W$52,5,FALSE)="3-Year Avg."),AE169,IF($A$2=2,AS169,IF($A$2=3,AE169,IF(($AG169&gt;$AU169),AE169,AS169)))))</f>
        <v>0</v>
      </c>
      <c r="R169" s="317">
        <f>IF(AND($A$2=4,VLOOKUP($A169,'District Level ADM'!$A$5:$W$52,5,FALSE)="Prior Year"),AT169,IF(AND($A$2=4,VLOOKUP($A169,'District Level ADM'!$A$5:$W$52,5,FALSE)="3-Year Avg."),AF169,IF($A$2=2,AT169,IF($A$2=3,AF169,IF(($AG169&gt;$AU169),AF169,AT169)))))</f>
        <v>0</v>
      </c>
      <c r="S169" s="317">
        <f t="shared" si="25"/>
        <v>353.61500000000001</v>
      </c>
      <c r="T169" s="317">
        <f t="shared" si="29"/>
        <v>59.347666666666669</v>
      </c>
      <c r="U169" s="317">
        <f t="shared" si="29"/>
        <v>58.410333333333334</v>
      </c>
      <c r="V169" s="317">
        <f t="shared" si="29"/>
        <v>55.970666666666666</v>
      </c>
      <c r="W169" s="317">
        <f t="shared" si="29"/>
        <v>52.015000000000008</v>
      </c>
      <c r="X169" s="317">
        <f t="shared" si="29"/>
        <v>52.381666666666668</v>
      </c>
      <c r="Y169" s="317">
        <f t="shared" si="29"/>
        <v>41.81900000000001</v>
      </c>
      <c r="Z169" s="317">
        <f t="shared" si="29"/>
        <v>42.243666666666662</v>
      </c>
      <c r="AA169" s="317">
        <f t="shared" si="29"/>
        <v>0</v>
      </c>
      <c r="AB169" s="317">
        <f t="shared" si="29"/>
        <v>0</v>
      </c>
      <c r="AC169" s="317">
        <f t="shared" si="29"/>
        <v>0</v>
      </c>
      <c r="AD169" s="317">
        <f t="shared" si="30"/>
        <v>0</v>
      </c>
      <c r="AE169" s="317">
        <f t="shared" si="30"/>
        <v>0</v>
      </c>
      <c r="AF169" s="317">
        <f t="shared" si="30"/>
        <v>0</v>
      </c>
      <c r="AG169" s="317">
        <f t="shared" si="26"/>
        <v>362.18800000000005</v>
      </c>
      <c r="AH169" s="318">
        <v>51.22</v>
      </c>
      <c r="AI169" s="318">
        <v>53.19</v>
      </c>
      <c r="AJ169" s="318">
        <v>63.04</v>
      </c>
      <c r="AK169" s="318">
        <v>37.43</v>
      </c>
      <c r="AL169" s="318">
        <v>57.13</v>
      </c>
      <c r="AM169" s="318">
        <v>50.234999999999999</v>
      </c>
      <c r="AN169" s="318">
        <v>41.37</v>
      </c>
      <c r="AO169" s="318">
        <v>0</v>
      </c>
      <c r="AP169" s="318">
        <v>0</v>
      </c>
      <c r="AQ169" s="318">
        <v>0</v>
      </c>
      <c r="AR169" s="318">
        <v>0</v>
      </c>
      <c r="AS169" s="318">
        <v>0</v>
      </c>
      <c r="AT169" s="318">
        <v>0</v>
      </c>
      <c r="AU169" s="317">
        <f t="shared" si="27"/>
        <v>353.61500000000001</v>
      </c>
      <c r="AV169" s="319">
        <v>63</v>
      </c>
      <c r="AW169" s="319">
        <v>67.67</v>
      </c>
      <c r="AX169" s="319">
        <v>48.357999999999997</v>
      </c>
      <c r="AY169" s="319">
        <v>62.261000000000003</v>
      </c>
      <c r="AZ169" s="319">
        <v>57.301000000000002</v>
      </c>
      <c r="BA169" s="319">
        <v>41.142000000000003</v>
      </c>
      <c r="BB169" s="319">
        <v>26.806999999999999</v>
      </c>
      <c r="BC169" s="319">
        <v>0</v>
      </c>
      <c r="BD169" s="319">
        <v>0</v>
      </c>
      <c r="BE169" s="319">
        <v>0</v>
      </c>
      <c r="BF169" s="319">
        <v>0</v>
      </c>
      <c r="BG169" s="319">
        <v>0</v>
      </c>
      <c r="BH169" s="319">
        <v>0</v>
      </c>
      <c r="BI169" s="317">
        <f t="shared" si="28"/>
        <v>366.53900000000004</v>
      </c>
      <c r="BJ169" s="316">
        <v>63.823</v>
      </c>
      <c r="BK169" s="316">
        <v>54.371000000000002</v>
      </c>
      <c r="BL169" s="316">
        <v>56.514000000000003</v>
      </c>
      <c r="BM169" s="316">
        <v>56.353999999999999</v>
      </c>
      <c r="BN169" s="316">
        <v>42.713999999999999</v>
      </c>
      <c r="BO169" s="316">
        <v>34.080000000000005</v>
      </c>
      <c r="BP169" s="316">
        <v>58.554000000000002</v>
      </c>
      <c r="BQ169" s="316">
        <v>0</v>
      </c>
      <c r="BR169" s="316">
        <v>0</v>
      </c>
      <c r="BS169" s="316">
        <v>0</v>
      </c>
      <c r="BT169" s="316">
        <v>0</v>
      </c>
      <c r="BU169" s="316">
        <v>0</v>
      </c>
      <c r="BV169" s="316">
        <v>0</v>
      </c>
      <c r="BW169" s="317">
        <f t="shared" si="24"/>
        <v>366.40999999999997</v>
      </c>
    </row>
    <row r="170" spans="1:734" x14ac:dyDescent="0.2">
      <c r="A170" s="20" t="str">
        <f>'School Level Inst. Resources'!A170</f>
        <v>1101000</v>
      </c>
      <c r="B170" s="20" t="str">
        <f>'School Level Inst. Resources'!B170</f>
        <v>Laramie #1</v>
      </c>
      <c r="C170" s="20" t="str">
        <f>'School Level Inst. Resources'!C170</f>
        <v>1101030</v>
      </c>
      <c r="D170" s="20" t="str">
        <f>'School Level Inst. Resources'!D170</f>
        <v>Saddle Ridge Elementary</v>
      </c>
      <c r="E170" s="138" t="str">
        <f>'School Level Inst. Resources'!E170</f>
        <v>K-6</v>
      </c>
      <c r="F170" s="317">
        <f>IF(AND($A$2=4,VLOOKUP($A170,'District Level ADM'!$A$5:$W$52,5,FALSE)="Prior Year"),AH170,IF(AND($A$2=4,VLOOKUP($A170,'District Level ADM'!$A$5:$W$52,5,FALSE)="3-Year Avg."),T170,IF($A$2=2,AH170,IF($A$2=3,T170,IF(($AG170&gt;$AU170),T170,AH170)))))</f>
        <v>46.295000000000002</v>
      </c>
      <c r="G170" s="317">
        <f>IF(AND($A$2=4,VLOOKUP($A170,'District Level ADM'!$A$5:$W$52,5,FALSE)="Prior Year"),AI170,IF(AND($A$2=4,VLOOKUP($A170,'District Level ADM'!$A$5:$W$52,5,FALSE)="3-Year Avg."),U170,IF($A$2=2,AI170,IF($A$2=3,U170,IF(($AG170&gt;$AU170),U170,AI170)))))</f>
        <v>85.694999999999993</v>
      </c>
      <c r="H170" s="317">
        <f>IF(AND($A$2=4,VLOOKUP($A170,'District Level ADM'!$A$5:$W$52,5,FALSE)="Prior Year"),AJ170,IF(AND($A$2=4,VLOOKUP($A170,'District Level ADM'!$A$5:$W$52,5,FALSE)="3-Year Avg."),V170,IF($A$2=2,AJ170,IF($A$2=3,V170,IF(($AG170&gt;$AU170),V170,AJ170)))))</f>
        <v>69.935000000000002</v>
      </c>
      <c r="I170" s="317">
        <f>IF(AND($A$2=4,VLOOKUP($A170,'District Level ADM'!$A$5:$W$52,5,FALSE)="Prior Year"),AK170,IF(AND($A$2=4,VLOOKUP($A170,'District Level ADM'!$A$5:$W$52,5,FALSE)="3-Year Avg."),W170,IF($A$2=2,AK170,IF($A$2=3,W170,IF(($AG170&gt;$AU170),W170,AK170)))))</f>
        <v>72.89</v>
      </c>
      <c r="J170" s="317">
        <f>IF(AND($A$2=4,VLOOKUP($A170,'District Level ADM'!$A$5:$W$52,5,FALSE)="Prior Year"),AL170,IF(AND($A$2=4,VLOOKUP($A170,'District Level ADM'!$A$5:$W$52,5,FALSE)="3-Year Avg."),X170,IF($A$2=2,AL170,IF($A$2=3,X170,IF(($AG170&gt;$AU170),X170,AL170)))))</f>
        <v>82.74</v>
      </c>
      <c r="K170" s="317">
        <f>IF(AND($A$2=4,VLOOKUP($A170,'District Level ADM'!$A$5:$W$52,5,FALSE)="Prior Year"),AM170,IF(AND($A$2=4,VLOOKUP($A170,'District Level ADM'!$A$5:$W$52,5,FALSE)="3-Year Avg."),Y170,IF($A$2=2,AM170,IF($A$2=3,Y170,IF(($AG170&gt;$AU170),Y170,AM170)))))</f>
        <v>3.94</v>
      </c>
      <c r="L170" s="317">
        <f>IF(AND($A$2=4,VLOOKUP($A170,'District Level ADM'!$A$5:$W$52,5,FALSE)="Prior Year"),AN170,IF(AND($A$2=4,VLOOKUP($A170,'District Level ADM'!$A$5:$W$52,5,FALSE)="3-Year Avg."),Z170,IF($A$2=2,AN170,IF($A$2=3,Z170,IF(($AG170&gt;$AU170),Z170,AN170)))))</f>
        <v>0</v>
      </c>
      <c r="M170" s="317">
        <f>IF(AND($A$2=4,VLOOKUP($A170,'District Level ADM'!$A$5:$W$52,5,FALSE)="Prior Year"),AO170,IF(AND($A$2=4,VLOOKUP($A170,'District Level ADM'!$A$5:$W$52,5,FALSE)="3-Year Avg."),AA170,IF($A$2=2,AO170,IF($A$2=3,AA170,IF(($AG170&gt;$AU170),AA170,AO170)))))</f>
        <v>0</v>
      </c>
      <c r="N170" s="317">
        <f>IF(AND($A$2=4,VLOOKUP($A170,'District Level ADM'!$A$5:$W$52,5,FALSE)="Prior Year"),AP170,IF(AND($A$2=4,VLOOKUP($A170,'District Level ADM'!$A$5:$W$52,5,FALSE)="3-Year Avg."),AB170,IF($A$2=2,AP170,IF($A$2=3,AB170,IF(($AG170&gt;$AU170),AB170,AP170)))))</f>
        <v>0</v>
      </c>
      <c r="O170" s="317">
        <f>IF(AND($A$2=4,VLOOKUP($A170,'District Level ADM'!$A$5:$W$52,5,FALSE)="Prior Year"),AQ170,IF(AND($A$2=4,VLOOKUP($A170,'District Level ADM'!$A$5:$W$52,5,FALSE)="3-Year Avg."),AC170,IF($A$2=2,AQ170,IF($A$2=3,AC170,IF(($AG170&gt;$AU170),AC170,AQ170)))))</f>
        <v>0</v>
      </c>
      <c r="P170" s="317">
        <f>IF(AND($A$2=4,VLOOKUP($A170,'District Level ADM'!$A$5:$W$52,5,FALSE)="Prior Year"),AR170,IF(AND($A$2=4,VLOOKUP($A170,'District Level ADM'!$A$5:$W$52,5,FALSE)="3-Year Avg."),AD170,IF($A$2=2,AR170,IF($A$2=3,AD170,IF(($AG170&gt;$AU170),AD170,AR170)))))</f>
        <v>0</v>
      </c>
      <c r="Q170" s="317">
        <f>IF(AND($A$2=4,VLOOKUP($A170,'District Level ADM'!$A$5:$W$52,5,FALSE)="Prior Year"),AS170,IF(AND($A$2=4,VLOOKUP($A170,'District Level ADM'!$A$5:$W$52,5,FALSE)="3-Year Avg."),AE170,IF($A$2=2,AS170,IF($A$2=3,AE170,IF(($AG170&gt;$AU170),AE170,AS170)))))</f>
        <v>0</v>
      </c>
      <c r="R170" s="317">
        <f>IF(AND($A$2=4,VLOOKUP($A170,'District Level ADM'!$A$5:$W$52,5,FALSE)="Prior Year"),AT170,IF(AND($A$2=4,VLOOKUP($A170,'District Level ADM'!$A$5:$W$52,5,FALSE)="3-Year Avg."),AF170,IF($A$2=2,AT170,IF($A$2=3,AF170,IF(($AG170&gt;$AU170),AF170,AT170)))))</f>
        <v>0</v>
      </c>
      <c r="S170" s="317">
        <f t="shared" si="25"/>
        <v>361.495</v>
      </c>
      <c r="T170" s="317">
        <f t="shared" si="29"/>
        <v>64.36666666666666</v>
      </c>
      <c r="U170" s="317">
        <f t="shared" si="29"/>
        <v>79.080333333333328</v>
      </c>
      <c r="V170" s="317">
        <f t="shared" si="29"/>
        <v>71.567333333333337</v>
      </c>
      <c r="W170" s="317">
        <f t="shared" si="29"/>
        <v>75.170333333333332</v>
      </c>
      <c r="X170" s="317">
        <f t="shared" si="29"/>
        <v>77.146333333333345</v>
      </c>
      <c r="Y170" s="317">
        <f t="shared" si="29"/>
        <v>1.4383333333333332</v>
      </c>
      <c r="Z170" s="317">
        <f t="shared" si="29"/>
        <v>0</v>
      </c>
      <c r="AA170" s="317">
        <f t="shared" si="29"/>
        <v>0</v>
      </c>
      <c r="AB170" s="317">
        <f t="shared" si="29"/>
        <v>0</v>
      </c>
      <c r="AC170" s="317">
        <f t="shared" si="29"/>
        <v>0</v>
      </c>
      <c r="AD170" s="317">
        <f t="shared" si="30"/>
        <v>0</v>
      </c>
      <c r="AE170" s="317">
        <f t="shared" si="30"/>
        <v>0</v>
      </c>
      <c r="AF170" s="317">
        <f t="shared" si="30"/>
        <v>0</v>
      </c>
      <c r="AG170" s="317">
        <f t="shared" si="26"/>
        <v>368.76933333333335</v>
      </c>
      <c r="AH170" s="318">
        <v>46.295000000000002</v>
      </c>
      <c r="AI170" s="318">
        <v>85.694999999999993</v>
      </c>
      <c r="AJ170" s="318">
        <v>69.935000000000002</v>
      </c>
      <c r="AK170" s="318">
        <v>72.89</v>
      </c>
      <c r="AL170" s="318">
        <v>82.74</v>
      </c>
      <c r="AM170" s="318">
        <v>3.94</v>
      </c>
      <c r="AN170" s="318">
        <v>0</v>
      </c>
      <c r="AO170" s="318">
        <v>0</v>
      </c>
      <c r="AP170" s="318">
        <v>0</v>
      </c>
      <c r="AQ170" s="318">
        <v>0</v>
      </c>
      <c r="AR170" s="318">
        <v>0</v>
      </c>
      <c r="AS170" s="318">
        <v>0</v>
      </c>
      <c r="AT170" s="318">
        <v>0</v>
      </c>
      <c r="AU170" s="317">
        <f t="shared" si="27"/>
        <v>361.495</v>
      </c>
      <c r="AV170" s="319">
        <v>85.182000000000002</v>
      </c>
      <c r="AW170" s="319">
        <v>74.454999999999998</v>
      </c>
      <c r="AX170" s="319">
        <v>76.766999999999996</v>
      </c>
      <c r="AY170" s="319">
        <v>88.432000000000002</v>
      </c>
      <c r="AZ170" s="319">
        <v>77.608000000000004</v>
      </c>
      <c r="BA170" s="319">
        <v>0.375</v>
      </c>
      <c r="BB170" s="319">
        <v>0</v>
      </c>
      <c r="BC170" s="319">
        <v>0</v>
      </c>
      <c r="BD170" s="319">
        <v>0</v>
      </c>
      <c r="BE170" s="319">
        <v>0</v>
      </c>
      <c r="BF170" s="319">
        <v>0</v>
      </c>
      <c r="BG170" s="319">
        <v>0</v>
      </c>
      <c r="BH170" s="319">
        <v>0</v>
      </c>
      <c r="BI170" s="317">
        <f t="shared" si="28"/>
        <v>402.81900000000002</v>
      </c>
      <c r="BJ170" s="316">
        <v>61.622999999999998</v>
      </c>
      <c r="BK170" s="316">
        <v>77.090999999999994</v>
      </c>
      <c r="BL170" s="316">
        <v>68</v>
      </c>
      <c r="BM170" s="316">
        <v>64.188999999999993</v>
      </c>
      <c r="BN170" s="316">
        <v>71.090999999999994</v>
      </c>
      <c r="BO170" s="316">
        <v>0</v>
      </c>
      <c r="BP170" s="316">
        <v>0</v>
      </c>
      <c r="BQ170" s="316">
        <v>0</v>
      </c>
      <c r="BR170" s="316">
        <v>0</v>
      </c>
      <c r="BS170" s="316">
        <v>0</v>
      </c>
      <c r="BT170" s="316">
        <v>0</v>
      </c>
      <c r="BU170" s="316">
        <v>0</v>
      </c>
      <c r="BV170" s="316">
        <v>0</v>
      </c>
      <c r="BW170" s="317">
        <f t="shared" si="24"/>
        <v>341.99400000000003</v>
      </c>
    </row>
    <row r="171" spans="1:734" s="320" customFormat="1" x14ac:dyDescent="0.2">
      <c r="A171" s="20" t="str">
        <f>'School Level Inst. Resources'!A171</f>
        <v>1101000</v>
      </c>
      <c r="B171" s="20" t="str">
        <f>'School Level Inst. Resources'!B171</f>
        <v>Laramie #1</v>
      </c>
      <c r="C171" s="20" t="str">
        <f>'School Level Inst. Resources'!C171</f>
        <v>1101031</v>
      </c>
      <c r="D171" s="20" t="str">
        <f>'School Level Inst. Resources'!D171</f>
        <v>Prairie Wind Elementary</v>
      </c>
      <c r="E171" s="138" t="str">
        <f>'School Level Inst. Resources'!E171</f>
        <v>K-6</v>
      </c>
      <c r="F171" s="317">
        <f>IF(AND($A$2=4,VLOOKUP($A171,'District Level ADM'!$A$5:$W$52,5,FALSE)="Prior Year"),AH171,IF(AND($A$2=4,VLOOKUP($A171,'District Level ADM'!$A$5:$W$52,5,FALSE)="3-Year Avg."),T171,IF($A$2=2,AH171,IF($A$2=3,T171,IF(($AG171&gt;$AU171),T171,AH171)))))</f>
        <v>48.265000000000001</v>
      </c>
      <c r="G171" s="317">
        <f>IF(AND($A$2=4,VLOOKUP($A171,'District Level ADM'!$A$5:$W$52,5,FALSE)="Prior Year"),AI171,IF(AND($A$2=4,VLOOKUP($A171,'District Level ADM'!$A$5:$W$52,5,FALSE)="3-Year Avg."),U171,IF($A$2=2,AI171,IF($A$2=3,U171,IF(($AG171&gt;$AU171),U171,AI171)))))</f>
        <v>55.16</v>
      </c>
      <c r="H171" s="317">
        <f>IF(AND($A$2=4,VLOOKUP($A171,'District Level ADM'!$A$5:$W$52,5,FALSE)="Prior Year"),AJ171,IF(AND($A$2=4,VLOOKUP($A171,'District Level ADM'!$A$5:$W$52,5,FALSE)="3-Year Avg."),V171,IF($A$2=2,AJ171,IF($A$2=3,V171,IF(($AG171&gt;$AU171),V171,AJ171)))))</f>
        <v>55.16</v>
      </c>
      <c r="I171" s="317">
        <f>IF(AND($A$2=4,VLOOKUP($A171,'District Level ADM'!$A$5:$W$52,5,FALSE)="Prior Year"),AK171,IF(AND($A$2=4,VLOOKUP($A171,'District Level ADM'!$A$5:$W$52,5,FALSE)="3-Year Avg."),W171,IF($A$2=2,AK171,IF($A$2=3,W171,IF(($AG171&gt;$AU171),W171,AK171)))))</f>
        <v>74.86</v>
      </c>
      <c r="J171" s="317">
        <f>IF(AND($A$2=4,VLOOKUP($A171,'District Level ADM'!$A$5:$W$52,5,FALSE)="Prior Year"),AL171,IF(AND($A$2=4,VLOOKUP($A171,'District Level ADM'!$A$5:$W$52,5,FALSE)="3-Year Avg."),X171,IF($A$2=2,AL171,IF($A$2=3,X171,IF(($AG171&gt;$AU171),X171,AL171)))))</f>
        <v>67.965000000000003</v>
      </c>
      <c r="K171" s="317">
        <f>IF(AND($A$2=4,VLOOKUP($A171,'District Level ADM'!$A$5:$W$52,5,FALSE)="Prior Year"),AM171,IF(AND($A$2=4,VLOOKUP($A171,'District Level ADM'!$A$5:$W$52,5,FALSE)="3-Year Avg."),Y171,IF($A$2=2,AM171,IF($A$2=3,Y171,IF(($AG171&gt;$AU171),Y171,AM171)))))</f>
        <v>68.95</v>
      </c>
      <c r="L171" s="317">
        <f>IF(AND($A$2=4,VLOOKUP($A171,'District Level ADM'!$A$5:$W$52,5,FALSE)="Prior Year"),AN171,IF(AND($A$2=4,VLOOKUP($A171,'District Level ADM'!$A$5:$W$52,5,FALSE)="3-Year Avg."),Z171,IF($A$2=2,AN171,IF($A$2=3,Z171,IF(($AG171&gt;$AU171),Z171,AN171)))))</f>
        <v>79.784999999999997</v>
      </c>
      <c r="M171" s="317">
        <f>IF(AND($A$2=4,VLOOKUP($A171,'District Level ADM'!$A$5:$W$52,5,FALSE)="Prior Year"),AO171,IF(AND($A$2=4,VLOOKUP($A171,'District Level ADM'!$A$5:$W$52,5,FALSE)="3-Year Avg."),AA171,IF($A$2=2,AO171,IF($A$2=3,AA171,IF(($AG171&gt;$AU171),AA171,AO171)))))</f>
        <v>0</v>
      </c>
      <c r="N171" s="317">
        <f>IF(AND($A$2=4,VLOOKUP($A171,'District Level ADM'!$A$5:$W$52,5,FALSE)="Prior Year"),AP171,IF(AND($A$2=4,VLOOKUP($A171,'District Level ADM'!$A$5:$W$52,5,FALSE)="3-Year Avg."),AB171,IF($A$2=2,AP171,IF($A$2=3,AB171,IF(($AG171&gt;$AU171),AB171,AP171)))))</f>
        <v>0</v>
      </c>
      <c r="O171" s="317">
        <f>IF(AND($A$2=4,VLOOKUP($A171,'District Level ADM'!$A$5:$W$52,5,FALSE)="Prior Year"),AQ171,IF(AND($A$2=4,VLOOKUP($A171,'District Level ADM'!$A$5:$W$52,5,FALSE)="3-Year Avg."),AC171,IF($A$2=2,AQ171,IF($A$2=3,AC171,IF(($AG171&gt;$AU171),AC171,AQ171)))))</f>
        <v>0</v>
      </c>
      <c r="P171" s="317">
        <f>IF(AND($A$2=4,VLOOKUP($A171,'District Level ADM'!$A$5:$W$52,5,FALSE)="Prior Year"),AR171,IF(AND($A$2=4,VLOOKUP($A171,'District Level ADM'!$A$5:$W$52,5,FALSE)="3-Year Avg."),AD171,IF($A$2=2,AR171,IF($A$2=3,AD171,IF(($AG171&gt;$AU171),AD171,AR171)))))</f>
        <v>0</v>
      </c>
      <c r="Q171" s="317">
        <f>IF(AND($A$2=4,VLOOKUP($A171,'District Level ADM'!$A$5:$W$52,5,FALSE)="Prior Year"),AS171,IF(AND($A$2=4,VLOOKUP($A171,'District Level ADM'!$A$5:$W$52,5,FALSE)="3-Year Avg."),AE171,IF($A$2=2,AS171,IF($A$2=3,AE171,IF(($AG171&gt;$AU171),AE171,AS171)))))</f>
        <v>0</v>
      </c>
      <c r="R171" s="317">
        <f>IF(AND($A$2=4,VLOOKUP($A171,'District Level ADM'!$A$5:$W$52,5,FALSE)="Prior Year"),AT171,IF(AND($A$2=4,VLOOKUP($A171,'District Level ADM'!$A$5:$W$52,5,FALSE)="3-Year Avg."),AF171,IF($A$2=2,AT171,IF($A$2=3,AF171,IF(($AG171&gt;$AU171),AF171,AT171)))))</f>
        <v>0</v>
      </c>
      <c r="S171" s="317">
        <f t="shared" si="25"/>
        <v>450.14499999999998</v>
      </c>
      <c r="T171" s="317">
        <f t="shared" si="29"/>
        <v>47.256666666666661</v>
      </c>
      <c r="U171" s="317">
        <f t="shared" si="29"/>
        <v>57.109666666666669</v>
      </c>
      <c r="V171" s="317">
        <f t="shared" si="29"/>
        <v>60.754333333333335</v>
      </c>
      <c r="W171" s="317">
        <f t="shared" si="29"/>
        <v>66.335333333333338</v>
      </c>
      <c r="X171" s="317">
        <f t="shared" si="29"/>
        <v>67.279666666666671</v>
      </c>
      <c r="Y171" s="317">
        <f t="shared" si="29"/>
        <v>69.37</v>
      </c>
      <c r="Z171" s="317">
        <f t="shared" si="29"/>
        <v>71.708333333333329</v>
      </c>
      <c r="AA171" s="317">
        <f t="shared" si="29"/>
        <v>0</v>
      </c>
      <c r="AB171" s="317">
        <f t="shared" si="29"/>
        <v>0</v>
      </c>
      <c r="AC171" s="317">
        <f t="shared" si="29"/>
        <v>0</v>
      </c>
      <c r="AD171" s="317">
        <f t="shared" si="30"/>
        <v>0</v>
      </c>
      <c r="AE171" s="317">
        <f t="shared" si="30"/>
        <v>0</v>
      </c>
      <c r="AF171" s="317">
        <f t="shared" si="30"/>
        <v>0</v>
      </c>
      <c r="AG171" s="317">
        <f t="shared" si="26"/>
        <v>439.81400000000002</v>
      </c>
      <c r="AH171" s="318">
        <v>48.265000000000001</v>
      </c>
      <c r="AI171" s="318">
        <v>55.16</v>
      </c>
      <c r="AJ171" s="318">
        <v>55.16</v>
      </c>
      <c r="AK171" s="318">
        <v>74.86</v>
      </c>
      <c r="AL171" s="318">
        <v>67.965000000000003</v>
      </c>
      <c r="AM171" s="318">
        <v>68.95</v>
      </c>
      <c r="AN171" s="318">
        <v>79.784999999999997</v>
      </c>
      <c r="AO171" s="318">
        <v>0</v>
      </c>
      <c r="AP171" s="318">
        <v>0</v>
      </c>
      <c r="AQ171" s="318">
        <v>0</v>
      </c>
      <c r="AR171" s="318">
        <v>0</v>
      </c>
      <c r="AS171" s="318">
        <v>0</v>
      </c>
      <c r="AT171" s="318">
        <v>0</v>
      </c>
      <c r="AU171" s="317">
        <f t="shared" si="27"/>
        <v>450.14499999999998</v>
      </c>
      <c r="AV171" s="319">
        <v>47.601999999999997</v>
      </c>
      <c r="AW171" s="319">
        <v>53.375</v>
      </c>
      <c r="AX171" s="319">
        <v>67.852000000000004</v>
      </c>
      <c r="AY171" s="319">
        <v>65.540000000000006</v>
      </c>
      <c r="AZ171" s="319">
        <v>65.045000000000002</v>
      </c>
      <c r="BA171" s="319">
        <v>75.063000000000002</v>
      </c>
      <c r="BB171" s="319">
        <v>68.557000000000002</v>
      </c>
      <c r="BC171" s="319">
        <v>0</v>
      </c>
      <c r="BD171" s="319">
        <v>0</v>
      </c>
      <c r="BE171" s="319">
        <v>0</v>
      </c>
      <c r="BF171" s="319">
        <v>0</v>
      </c>
      <c r="BG171" s="319">
        <v>0</v>
      </c>
      <c r="BH171" s="319">
        <v>0</v>
      </c>
      <c r="BI171" s="317">
        <f t="shared" si="28"/>
        <v>443.03400000000005</v>
      </c>
      <c r="BJ171" s="316">
        <v>45.902999999999999</v>
      </c>
      <c r="BK171" s="316">
        <v>62.793999999999997</v>
      </c>
      <c r="BL171" s="316">
        <v>59.250999999999998</v>
      </c>
      <c r="BM171" s="316">
        <v>58.606000000000002</v>
      </c>
      <c r="BN171" s="316">
        <v>68.828999999999994</v>
      </c>
      <c r="BO171" s="316">
        <v>64.096999999999994</v>
      </c>
      <c r="BP171" s="316">
        <v>66.783000000000001</v>
      </c>
      <c r="BQ171" s="316">
        <v>0</v>
      </c>
      <c r="BR171" s="316">
        <v>0</v>
      </c>
      <c r="BS171" s="316">
        <v>0</v>
      </c>
      <c r="BT171" s="316">
        <v>0</v>
      </c>
      <c r="BU171" s="316">
        <v>0</v>
      </c>
      <c r="BV171" s="316">
        <v>0</v>
      </c>
      <c r="BW171" s="317">
        <f t="shared" si="24"/>
        <v>426.26299999999998</v>
      </c>
      <c r="BX171" s="40"/>
      <c r="BY171" s="40"/>
      <c r="BZ171" s="40"/>
      <c r="CA171" s="40"/>
      <c r="CB171" s="40"/>
      <c r="CC171" s="40"/>
      <c r="CD171" s="40"/>
      <c r="CE171" s="40"/>
      <c r="CF171" s="40"/>
      <c r="CG171" s="40"/>
      <c r="CH171" s="40"/>
      <c r="CI171" s="40"/>
      <c r="CJ171" s="40"/>
      <c r="CK171" s="40"/>
      <c r="CL171" s="40"/>
      <c r="CM171" s="40"/>
      <c r="CN171" s="40"/>
      <c r="CO171" s="40"/>
      <c r="CP171" s="40"/>
      <c r="CQ171" s="40"/>
      <c r="CR171" s="40"/>
      <c r="CS171" s="40"/>
      <c r="CT171" s="40"/>
      <c r="CU171" s="40"/>
      <c r="CV171" s="40"/>
      <c r="CW171" s="40"/>
      <c r="CX171" s="40"/>
      <c r="CY171" s="40"/>
      <c r="CZ171" s="40"/>
      <c r="DA171" s="40"/>
      <c r="DB171" s="40"/>
      <c r="DC171" s="40"/>
      <c r="DD171" s="40"/>
      <c r="DE171" s="40"/>
      <c r="DF171" s="40"/>
      <c r="DG171" s="40"/>
      <c r="DH171" s="40"/>
      <c r="DI171" s="40"/>
      <c r="DJ171" s="40"/>
      <c r="DK171" s="40"/>
      <c r="DL171" s="40"/>
      <c r="DM171" s="40"/>
      <c r="DN171" s="40"/>
      <c r="DO171" s="40"/>
      <c r="DP171" s="40"/>
      <c r="DQ171" s="40"/>
      <c r="DR171" s="40"/>
      <c r="DS171" s="40"/>
      <c r="DT171" s="40"/>
      <c r="DU171" s="40"/>
      <c r="DV171" s="40"/>
      <c r="DW171" s="40"/>
      <c r="DX171" s="40"/>
      <c r="DY171" s="40"/>
      <c r="DZ171" s="40"/>
      <c r="EA171" s="40"/>
      <c r="EB171" s="40"/>
      <c r="EC171" s="40"/>
      <c r="ED171" s="40"/>
      <c r="EE171" s="40"/>
      <c r="EF171" s="40"/>
      <c r="EG171" s="40"/>
      <c r="EH171" s="40"/>
      <c r="EI171" s="40"/>
      <c r="EJ171" s="40"/>
      <c r="EK171" s="40"/>
      <c r="EL171" s="40"/>
      <c r="EM171" s="40"/>
      <c r="EN171" s="40"/>
      <c r="EO171" s="40"/>
      <c r="EP171" s="40"/>
      <c r="EQ171" s="40"/>
      <c r="ER171" s="40"/>
      <c r="ES171" s="40"/>
      <c r="ET171" s="40"/>
      <c r="EU171" s="40"/>
      <c r="EV171" s="40"/>
      <c r="EW171" s="40"/>
      <c r="EX171" s="40"/>
      <c r="EY171" s="40"/>
      <c r="EZ171" s="40"/>
      <c r="FA171" s="40"/>
      <c r="FB171" s="40"/>
      <c r="FC171" s="40"/>
      <c r="FD171" s="40"/>
      <c r="FE171" s="40"/>
      <c r="FF171" s="40"/>
      <c r="FG171" s="40"/>
      <c r="FH171" s="40"/>
      <c r="FI171" s="40"/>
      <c r="FJ171" s="40"/>
      <c r="FK171" s="40"/>
      <c r="FL171" s="40"/>
      <c r="FM171" s="40"/>
      <c r="FN171" s="40"/>
      <c r="FO171" s="40"/>
      <c r="FP171" s="40"/>
      <c r="FQ171" s="40"/>
      <c r="FR171" s="40"/>
      <c r="FS171" s="40"/>
      <c r="FT171" s="40"/>
      <c r="FU171" s="40"/>
      <c r="FV171" s="40"/>
      <c r="FW171" s="40"/>
      <c r="FX171" s="40"/>
      <c r="FY171" s="40"/>
      <c r="FZ171" s="40"/>
      <c r="GA171" s="40"/>
      <c r="GB171" s="40"/>
      <c r="GC171" s="40"/>
      <c r="GD171" s="40"/>
      <c r="GE171" s="40"/>
      <c r="GF171" s="40"/>
      <c r="GG171" s="40"/>
      <c r="GH171" s="40"/>
      <c r="GI171" s="40"/>
      <c r="GJ171" s="40"/>
      <c r="GK171" s="40"/>
      <c r="GL171" s="40"/>
      <c r="GM171" s="40"/>
      <c r="GN171" s="40"/>
      <c r="GO171" s="40"/>
      <c r="GP171" s="40"/>
      <c r="GQ171" s="40"/>
      <c r="GR171" s="40"/>
      <c r="GS171" s="40"/>
      <c r="GT171" s="40"/>
      <c r="GU171" s="40"/>
      <c r="GV171" s="40"/>
      <c r="GW171" s="40"/>
      <c r="GX171" s="40"/>
      <c r="GY171" s="40"/>
      <c r="GZ171" s="40"/>
      <c r="HA171" s="40"/>
      <c r="HB171" s="40"/>
      <c r="HC171" s="40"/>
      <c r="HD171" s="40"/>
      <c r="HE171" s="40"/>
      <c r="HF171" s="40"/>
      <c r="HG171" s="40"/>
      <c r="HH171" s="40"/>
      <c r="HI171" s="40"/>
      <c r="HJ171" s="40"/>
      <c r="HK171" s="40"/>
      <c r="HL171" s="40"/>
      <c r="HM171" s="40"/>
      <c r="HN171" s="40"/>
      <c r="HO171" s="40"/>
      <c r="HP171" s="40"/>
      <c r="HQ171" s="40"/>
      <c r="HR171" s="40"/>
      <c r="HS171" s="40"/>
      <c r="HT171" s="40"/>
      <c r="HU171" s="40"/>
      <c r="HV171" s="40"/>
      <c r="HW171" s="40"/>
      <c r="HX171" s="40"/>
      <c r="HY171" s="40"/>
      <c r="HZ171" s="40"/>
      <c r="IA171" s="40"/>
      <c r="IB171" s="40"/>
      <c r="IC171" s="40"/>
      <c r="ID171" s="40"/>
      <c r="IE171" s="40"/>
      <c r="IF171" s="40"/>
      <c r="IG171" s="40"/>
      <c r="IH171" s="40"/>
      <c r="II171" s="40"/>
      <c r="IJ171" s="40"/>
      <c r="IK171" s="40"/>
      <c r="IL171" s="40"/>
      <c r="IM171" s="40"/>
      <c r="IN171" s="40"/>
      <c r="IO171" s="40"/>
      <c r="IP171" s="40"/>
      <c r="IQ171" s="40"/>
      <c r="IR171" s="40"/>
      <c r="IS171" s="40"/>
      <c r="IT171" s="40"/>
      <c r="IU171" s="40"/>
      <c r="IV171" s="40"/>
      <c r="IW171" s="40"/>
      <c r="IX171" s="40"/>
      <c r="IY171" s="40"/>
      <c r="IZ171" s="40"/>
      <c r="JA171" s="40"/>
      <c r="JB171" s="40"/>
      <c r="JC171" s="40"/>
      <c r="JD171" s="40"/>
      <c r="JE171" s="40"/>
      <c r="JF171" s="40"/>
      <c r="JG171" s="40"/>
      <c r="JH171" s="40"/>
      <c r="JI171" s="40"/>
      <c r="JJ171" s="40"/>
      <c r="JK171" s="40"/>
      <c r="JL171" s="40"/>
      <c r="JM171" s="40"/>
      <c r="JN171" s="40"/>
      <c r="JO171" s="40"/>
      <c r="JP171" s="40"/>
      <c r="JQ171" s="40"/>
      <c r="JR171" s="40"/>
      <c r="JS171" s="40"/>
      <c r="JT171" s="40"/>
      <c r="JU171" s="40"/>
      <c r="JV171" s="40"/>
      <c r="JW171" s="40"/>
      <c r="JX171" s="40"/>
      <c r="JY171" s="40"/>
      <c r="JZ171" s="40"/>
      <c r="KA171" s="40"/>
      <c r="KB171" s="40"/>
      <c r="KC171" s="40"/>
      <c r="KD171" s="40"/>
      <c r="KE171" s="40"/>
      <c r="KF171" s="40"/>
      <c r="KG171" s="40"/>
      <c r="KH171" s="40"/>
      <c r="KI171" s="40"/>
      <c r="KJ171" s="40"/>
      <c r="KK171" s="40"/>
      <c r="KL171" s="40"/>
      <c r="KM171" s="40"/>
      <c r="KN171" s="40"/>
      <c r="KO171" s="40"/>
      <c r="KP171" s="40"/>
      <c r="KQ171" s="40"/>
      <c r="KR171" s="40"/>
      <c r="KS171" s="40"/>
      <c r="KT171" s="40"/>
      <c r="KU171" s="40"/>
      <c r="KV171" s="40"/>
      <c r="KW171" s="40"/>
      <c r="KX171" s="40"/>
      <c r="KY171" s="40"/>
      <c r="KZ171" s="40"/>
      <c r="LA171" s="40"/>
      <c r="LB171" s="40"/>
      <c r="LC171" s="40"/>
      <c r="LD171" s="40"/>
      <c r="LE171" s="40"/>
      <c r="LF171" s="40"/>
      <c r="LG171" s="40"/>
      <c r="LH171" s="40"/>
      <c r="LI171" s="40"/>
      <c r="LJ171" s="40"/>
      <c r="LK171" s="40"/>
      <c r="LL171" s="40"/>
      <c r="LM171" s="40"/>
      <c r="LN171" s="40"/>
      <c r="LO171" s="40"/>
      <c r="LP171" s="40"/>
      <c r="LQ171" s="40"/>
      <c r="LR171" s="40"/>
      <c r="LS171" s="40"/>
      <c r="LT171" s="40"/>
      <c r="LU171" s="40"/>
      <c r="LV171" s="40"/>
      <c r="LW171" s="40"/>
      <c r="LX171" s="40"/>
      <c r="LY171" s="40"/>
      <c r="LZ171" s="40"/>
      <c r="MA171" s="40"/>
      <c r="MB171" s="40"/>
      <c r="MC171" s="40"/>
      <c r="MD171" s="40"/>
      <c r="ME171" s="40"/>
      <c r="MF171" s="40"/>
      <c r="MG171" s="40"/>
      <c r="MH171" s="40"/>
      <c r="MI171" s="40"/>
      <c r="MJ171" s="40"/>
      <c r="MK171" s="40"/>
      <c r="ML171" s="40"/>
      <c r="MM171" s="40"/>
      <c r="MN171" s="40"/>
      <c r="MO171" s="40"/>
      <c r="MP171" s="40"/>
      <c r="MQ171" s="40"/>
      <c r="MR171" s="40"/>
      <c r="MS171" s="40"/>
      <c r="MT171" s="40"/>
      <c r="MU171" s="40"/>
      <c r="MV171" s="40"/>
      <c r="MW171" s="40"/>
      <c r="MX171" s="40"/>
      <c r="MY171" s="40"/>
      <c r="MZ171" s="40"/>
      <c r="NA171" s="40"/>
      <c r="NB171" s="40"/>
      <c r="NC171" s="40"/>
      <c r="ND171" s="40"/>
      <c r="NE171" s="40"/>
      <c r="NF171" s="40"/>
      <c r="NG171" s="40"/>
      <c r="NH171" s="40"/>
      <c r="NI171" s="40"/>
      <c r="NJ171" s="40"/>
      <c r="NK171" s="40"/>
      <c r="NL171" s="40"/>
      <c r="NM171" s="40"/>
      <c r="NN171" s="40"/>
      <c r="NO171" s="40"/>
      <c r="NP171" s="40"/>
      <c r="NQ171" s="40"/>
      <c r="NR171" s="40"/>
      <c r="NS171" s="40"/>
      <c r="NT171" s="40"/>
      <c r="NU171" s="40"/>
      <c r="NV171" s="40"/>
      <c r="NW171" s="40"/>
      <c r="NX171" s="40"/>
      <c r="NY171" s="40"/>
      <c r="NZ171" s="40"/>
      <c r="OA171" s="40"/>
      <c r="OB171" s="40"/>
      <c r="OC171" s="40"/>
      <c r="OD171" s="40"/>
      <c r="OE171" s="40"/>
      <c r="OF171" s="40"/>
      <c r="OG171" s="40"/>
      <c r="OH171" s="40"/>
      <c r="OI171" s="40"/>
      <c r="OJ171" s="40"/>
      <c r="OK171" s="40"/>
      <c r="OL171" s="40"/>
      <c r="OM171" s="40"/>
      <c r="ON171" s="40"/>
      <c r="OO171" s="40"/>
      <c r="OP171" s="40"/>
      <c r="OQ171" s="40"/>
      <c r="OR171" s="40"/>
      <c r="OS171" s="40"/>
      <c r="OT171" s="40"/>
      <c r="OU171" s="40"/>
      <c r="OV171" s="40"/>
      <c r="OW171" s="40"/>
      <c r="OX171" s="40"/>
      <c r="OY171" s="40"/>
      <c r="OZ171" s="40"/>
      <c r="PA171" s="40"/>
      <c r="PB171" s="40"/>
      <c r="PC171" s="40"/>
      <c r="PD171" s="40"/>
      <c r="PE171" s="40"/>
      <c r="PF171" s="40"/>
      <c r="PG171" s="40"/>
      <c r="PH171" s="40"/>
      <c r="PI171" s="40"/>
      <c r="PJ171" s="40"/>
      <c r="PK171" s="40"/>
      <c r="PL171" s="40"/>
      <c r="PM171" s="40"/>
      <c r="PN171" s="40"/>
      <c r="PO171" s="40"/>
      <c r="PP171" s="40"/>
      <c r="PQ171" s="40"/>
      <c r="PR171" s="40"/>
      <c r="PS171" s="40"/>
      <c r="PT171" s="40"/>
      <c r="PU171" s="40"/>
      <c r="PV171" s="40"/>
      <c r="PW171" s="40"/>
      <c r="PX171" s="40"/>
      <c r="PY171" s="40"/>
      <c r="PZ171" s="40"/>
      <c r="QA171" s="40"/>
      <c r="QB171" s="40"/>
      <c r="QC171" s="40"/>
      <c r="QD171" s="40"/>
      <c r="QE171" s="40"/>
      <c r="QF171" s="40"/>
      <c r="QG171" s="40"/>
      <c r="QH171" s="40"/>
      <c r="QI171" s="40"/>
      <c r="QJ171" s="40"/>
      <c r="QK171" s="40"/>
      <c r="QL171" s="40"/>
      <c r="QM171" s="40"/>
      <c r="QN171" s="40"/>
      <c r="QO171" s="40"/>
      <c r="QP171" s="40"/>
      <c r="QQ171" s="40"/>
      <c r="QR171" s="40"/>
      <c r="QS171" s="40"/>
      <c r="QT171" s="40"/>
      <c r="QU171" s="40"/>
      <c r="QV171" s="40"/>
      <c r="QW171" s="40"/>
      <c r="QX171" s="40"/>
      <c r="QY171" s="40"/>
      <c r="QZ171" s="40"/>
      <c r="RA171" s="40"/>
      <c r="RB171" s="40"/>
      <c r="RC171" s="40"/>
      <c r="RD171" s="40"/>
      <c r="RE171" s="40"/>
      <c r="RF171" s="40"/>
      <c r="RG171" s="40"/>
      <c r="RH171" s="40"/>
      <c r="RI171" s="40"/>
      <c r="RJ171" s="40"/>
      <c r="RK171" s="40"/>
      <c r="RL171" s="40"/>
      <c r="RM171" s="40"/>
      <c r="RN171" s="40"/>
      <c r="RO171" s="40"/>
      <c r="RP171" s="40"/>
      <c r="RQ171" s="40"/>
      <c r="RR171" s="40"/>
      <c r="RS171" s="40"/>
      <c r="RT171" s="40"/>
      <c r="RU171" s="40"/>
      <c r="RV171" s="40"/>
      <c r="RW171" s="40"/>
      <c r="RX171" s="40"/>
      <c r="RY171" s="40"/>
      <c r="RZ171" s="40"/>
      <c r="SA171" s="40"/>
      <c r="SB171" s="40"/>
      <c r="SC171" s="40"/>
      <c r="SD171" s="40"/>
      <c r="SE171" s="40"/>
      <c r="SF171" s="40"/>
      <c r="SG171" s="40"/>
      <c r="SH171" s="40"/>
      <c r="SI171" s="40"/>
      <c r="SJ171" s="40"/>
      <c r="SK171" s="40"/>
      <c r="SL171" s="40"/>
      <c r="SM171" s="40"/>
      <c r="SN171" s="40"/>
      <c r="SO171" s="40"/>
      <c r="SP171" s="40"/>
      <c r="SQ171" s="40"/>
      <c r="SR171" s="40"/>
      <c r="SS171" s="40"/>
      <c r="ST171" s="40"/>
      <c r="SU171" s="40"/>
      <c r="SV171" s="40"/>
      <c r="SW171" s="40"/>
      <c r="SX171" s="40"/>
      <c r="SY171" s="40"/>
      <c r="SZ171" s="40"/>
      <c r="TA171" s="40"/>
      <c r="TB171" s="40"/>
      <c r="TC171" s="40"/>
      <c r="TD171" s="40"/>
      <c r="TE171" s="40"/>
      <c r="TF171" s="40"/>
      <c r="TG171" s="40"/>
      <c r="TH171" s="40"/>
      <c r="TI171" s="40"/>
      <c r="TJ171" s="40"/>
      <c r="TK171" s="40"/>
      <c r="TL171" s="40"/>
      <c r="TM171" s="40"/>
      <c r="TN171" s="40"/>
      <c r="TO171" s="40"/>
      <c r="TP171" s="40"/>
      <c r="TQ171" s="40"/>
      <c r="TR171" s="40"/>
      <c r="TS171" s="40"/>
      <c r="TT171" s="40"/>
      <c r="TU171" s="40"/>
      <c r="TV171" s="40"/>
      <c r="TW171" s="40"/>
      <c r="TX171" s="40"/>
      <c r="TY171" s="40"/>
      <c r="TZ171" s="40"/>
      <c r="UA171" s="40"/>
      <c r="UB171" s="40"/>
      <c r="UC171" s="40"/>
      <c r="UD171" s="40"/>
      <c r="UE171" s="40"/>
      <c r="UF171" s="40"/>
      <c r="UG171" s="40"/>
      <c r="UH171" s="40"/>
      <c r="UI171" s="40"/>
      <c r="UJ171" s="40"/>
      <c r="UK171" s="40"/>
      <c r="UL171" s="40"/>
      <c r="UM171" s="40"/>
      <c r="UN171" s="40"/>
      <c r="UO171" s="40"/>
      <c r="UP171" s="40"/>
      <c r="UQ171" s="40"/>
      <c r="UR171" s="40"/>
      <c r="US171" s="40"/>
      <c r="UT171" s="40"/>
      <c r="UU171" s="40"/>
      <c r="UV171" s="40"/>
      <c r="UW171" s="40"/>
      <c r="UX171" s="40"/>
      <c r="UY171" s="40"/>
      <c r="UZ171" s="40"/>
      <c r="VA171" s="40"/>
      <c r="VB171" s="40"/>
      <c r="VC171" s="40"/>
      <c r="VD171" s="40"/>
      <c r="VE171" s="40"/>
      <c r="VF171" s="40"/>
      <c r="VG171" s="40"/>
      <c r="VH171" s="40"/>
      <c r="VI171" s="40"/>
      <c r="VJ171" s="40"/>
      <c r="VK171" s="40"/>
      <c r="VL171" s="40"/>
      <c r="VM171" s="40"/>
      <c r="VN171" s="40"/>
      <c r="VO171" s="40"/>
      <c r="VP171" s="40"/>
      <c r="VQ171" s="40"/>
      <c r="VR171" s="40"/>
      <c r="VS171" s="40"/>
      <c r="VT171" s="40"/>
      <c r="VU171" s="40"/>
      <c r="VV171" s="40"/>
      <c r="VW171" s="40"/>
      <c r="VX171" s="40"/>
      <c r="VY171" s="40"/>
      <c r="VZ171" s="40"/>
      <c r="WA171" s="40"/>
      <c r="WB171" s="40"/>
      <c r="WC171" s="40"/>
      <c r="WD171" s="40"/>
      <c r="WE171" s="40"/>
      <c r="WF171" s="40"/>
      <c r="WG171" s="40"/>
      <c r="WH171" s="40"/>
      <c r="WI171" s="40"/>
      <c r="WJ171" s="40"/>
      <c r="WK171" s="40"/>
      <c r="WL171" s="40"/>
      <c r="WM171" s="40"/>
      <c r="WN171" s="40"/>
      <c r="WO171" s="40"/>
      <c r="WP171" s="40"/>
      <c r="WQ171" s="40"/>
      <c r="WR171" s="40"/>
      <c r="WS171" s="40"/>
      <c r="WT171" s="40"/>
      <c r="WU171" s="40"/>
      <c r="WV171" s="40"/>
      <c r="WW171" s="40"/>
      <c r="WX171" s="40"/>
      <c r="WY171" s="40"/>
      <c r="WZ171" s="40"/>
      <c r="XA171" s="40"/>
      <c r="XB171" s="40"/>
      <c r="XC171" s="40"/>
      <c r="XD171" s="40"/>
      <c r="XE171" s="40"/>
      <c r="XF171" s="40"/>
      <c r="XG171" s="40"/>
      <c r="XH171" s="40"/>
      <c r="XI171" s="40"/>
      <c r="XJ171" s="40"/>
      <c r="XK171" s="40"/>
      <c r="XL171" s="40"/>
      <c r="XM171" s="40"/>
      <c r="XN171" s="40"/>
      <c r="XO171" s="40"/>
      <c r="XP171" s="40"/>
      <c r="XQ171" s="40"/>
      <c r="XR171" s="40"/>
      <c r="XS171" s="40"/>
      <c r="XT171" s="40"/>
      <c r="XU171" s="40"/>
      <c r="XV171" s="40"/>
      <c r="XW171" s="40"/>
      <c r="XX171" s="40"/>
      <c r="XY171" s="40"/>
      <c r="XZ171" s="40"/>
      <c r="YA171" s="40"/>
      <c r="YB171" s="40"/>
      <c r="YC171" s="40"/>
      <c r="YD171" s="40"/>
      <c r="YE171" s="40"/>
      <c r="YF171" s="40"/>
      <c r="YG171" s="40"/>
      <c r="YH171" s="40"/>
      <c r="YI171" s="40"/>
      <c r="YJ171" s="40"/>
      <c r="YK171" s="40"/>
      <c r="YL171" s="40"/>
      <c r="YM171" s="40"/>
      <c r="YN171" s="40"/>
      <c r="YO171" s="40"/>
      <c r="YP171" s="40"/>
      <c r="YQ171" s="40"/>
      <c r="YR171" s="40"/>
      <c r="YS171" s="40"/>
      <c r="YT171" s="40"/>
      <c r="YU171" s="40"/>
      <c r="YV171" s="40"/>
      <c r="YW171" s="40"/>
      <c r="YX171" s="40"/>
      <c r="YY171" s="40"/>
      <c r="YZ171" s="40"/>
      <c r="ZA171" s="40"/>
      <c r="ZB171" s="40"/>
      <c r="ZC171" s="40"/>
      <c r="ZD171" s="40"/>
      <c r="ZE171" s="40"/>
      <c r="ZF171" s="40"/>
      <c r="ZG171" s="40"/>
      <c r="ZH171" s="40"/>
      <c r="ZI171" s="40"/>
      <c r="ZJ171" s="40"/>
      <c r="ZK171" s="40"/>
      <c r="ZL171" s="40"/>
      <c r="ZM171" s="40"/>
      <c r="ZN171" s="40"/>
      <c r="ZO171" s="40"/>
      <c r="ZP171" s="40"/>
      <c r="ZQ171" s="40"/>
      <c r="ZR171" s="40"/>
      <c r="ZS171" s="40"/>
      <c r="ZT171" s="40"/>
      <c r="ZU171" s="40"/>
      <c r="ZV171" s="40"/>
      <c r="ZW171" s="40"/>
      <c r="ZX171" s="40"/>
      <c r="ZY171" s="40"/>
      <c r="ZZ171" s="40"/>
      <c r="AAA171" s="40"/>
      <c r="AAB171" s="40"/>
      <c r="AAC171" s="40"/>
      <c r="AAD171" s="40"/>
      <c r="AAE171" s="40"/>
      <c r="AAF171" s="40"/>
      <c r="AAG171" s="40"/>
      <c r="AAH171" s="40"/>
      <c r="AAI171" s="40"/>
      <c r="AAJ171" s="40"/>
      <c r="AAK171" s="40"/>
      <c r="AAL171" s="40"/>
      <c r="AAM171" s="40"/>
      <c r="AAN171" s="40"/>
      <c r="AAO171" s="40"/>
      <c r="AAP171" s="40"/>
      <c r="AAQ171" s="40"/>
      <c r="AAR171" s="40"/>
      <c r="AAS171" s="40"/>
      <c r="AAT171" s="40"/>
      <c r="AAU171" s="40"/>
      <c r="AAV171" s="40"/>
      <c r="AAW171" s="40"/>
      <c r="AAX171" s="40"/>
      <c r="AAY171" s="40"/>
      <c r="AAZ171" s="40"/>
      <c r="ABA171" s="40"/>
      <c r="ABB171" s="40"/>
      <c r="ABC171" s="40"/>
      <c r="ABD171" s="40"/>
      <c r="ABE171" s="40"/>
      <c r="ABF171" s="40"/>
    </row>
    <row r="172" spans="1:734" s="320" customFormat="1" x14ac:dyDescent="0.2">
      <c r="A172" s="20" t="str">
        <f>'School Level Inst. Resources'!A172</f>
        <v>1101000</v>
      </c>
      <c r="B172" s="20" t="str">
        <f>'School Level Inst. Resources'!B172</f>
        <v>Laramie #1</v>
      </c>
      <c r="C172" s="20" t="str">
        <f>'School Level Inst. Resources'!C172</f>
        <v>1101032</v>
      </c>
      <c r="D172" s="20" t="str">
        <f>'School Level Inst. Resources'!D172</f>
        <v>Meadowlark Elementary</v>
      </c>
      <c r="E172" s="138" t="str">
        <f>'School Level Inst. Resources'!E172</f>
        <v>5-6</v>
      </c>
      <c r="F172" s="317">
        <f>IF(AND($A$2=4,VLOOKUP($A172,'District Level ADM'!$A$5:$W$52,5,FALSE)="Prior Year"),AH172,IF(AND($A$2=4,VLOOKUP($A172,'District Level ADM'!$A$5:$W$52,5,FALSE)="3-Year Avg."),T172,IF($A$2=2,AH172,IF($A$2=3,T172,IF(($AG172&gt;$AU172),T172,AH172)))))</f>
        <v>0</v>
      </c>
      <c r="G172" s="317">
        <f>IF(AND($A$2=4,VLOOKUP($A172,'District Level ADM'!$A$5:$W$52,5,FALSE)="Prior Year"),AI172,IF(AND($A$2=4,VLOOKUP($A172,'District Level ADM'!$A$5:$W$52,5,FALSE)="3-Year Avg."),U172,IF($A$2=2,AI172,IF($A$2=3,U172,IF(($AG172&gt;$AU172),U172,AI172)))))</f>
        <v>0</v>
      </c>
      <c r="H172" s="317">
        <f>IF(AND($A$2=4,VLOOKUP($A172,'District Level ADM'!$A$5:$W$52,5,FALSE)="Prior Year"),AJ172,IF(AND($A$2=4,VLOOKUP($A172,'District Level ADM'!$A$5:$W$52,5,FALSE)="3-Year Avg."),V172,IF($A$2=2,AJ172,IF($A$2=3,V172,IF(($AG172&gt;$AU172),V172,AJ172)))))</f>
        <v>0</v>
      </c>
      <c r="I172" s="317">
        <f>IF(AND($A$2=4,VLOOKUP($A172,'District Level ADM'!$A$5:$W$52,5,FALSE)="Prior Year"),AK172,IF(AND($A$2=4,VLOOKUP($A172,'District Level ADM'!$A$5:$W$52,5,FALSE)="3-Year Avg."),W172,IF($A$2=2,AK172,IF($A$2=3,W172,IF(($AG172&gt;$AU172),W172,AK172)))))</f>
        <v>0</v>
      </c>
      <c r="J172" s="317">
        <f>IF(AND($A$2=4,VLOOKUP($A172,'District Level ADM'!$A$5:$W$52,5,FALSE)="Prior Year"),AL172,IF(AND($A$2=4,VLOOKUP($A172,'District Level ADM'!$A$5:$W$52,5,FALSE)="3-Year Avg."),X172,IF($A$2=2,AL172,IF($A$2=3,X172,IF(($AG172&gt;$AU172),X172,AL172)))))</f>
        <v>0</v>
      </c>
      <c r="K172" s="317">
        <f>IF(AND($A$2=4,VLOOKUP($A172,'District Level ADM'!$A$5:$W$52,5,FALSE)="Prior Year"),AM172,IF(AND($A$2=4,VLOOKUP($A172,'District Level ADM'!$A$5:$W$52,5,FALSE)="3-Year Avg."),Y172,IF($A$2=2,AM172,IF($A$2=3,Y172,IF(($AG172&gt;$AU172),Y172,AM172)))))</f>
        <v>264.96499999999997</v>
      </c>
      <c r="L172" s="317">
        <f>IF(AND($A$2=4,VLOOKUP($A172,'District Level ADM'!$A$5:$W$52,5,FALSE)="Prior Year"),AN172,IF(AND($A$2=4,VLOOKUP($A172,'District Level ADM'!$A$5:$W$52,5,FALSE)="3-Year Avg."),Z172,IF($A$2=2,AN172,IF($A$2=3,Z172,IF(($AG172&gt;$AU172),Z172,AN172)))))</f>
        <v>256.10000000000002</v>
      </c>
      <c r="M172" s="317">
        <f>IF(AND($A$2=4,VLOOKUP($A172,'District Level ADM'!$A$5:$W$52,5,FALSE)="Prior Year"),AO172,IF(AND($A$2=4,VLOOKUP($A172,'District Level ADM'!$A$5:$W$52,5,FALSE)="3-Year Avg."),AA172,IF($A$2=2,AO172,IF($A$2=3,AA172,IF(($AG172&gt;$AU172),AA172,AO172)))))</f>
        <v>0</v>
      </c>
      <c r="N172" s="317">
        <f>IF(AND($A$2=4,VLOOKUP($A172,'District Level ADM'!$A$5:$W$52,5,FALSE)="Prior Year"),AP172,IF(AND($A$2=4,VLOOKUP($A172,'District Level ADM'!$A$5:$W$52,5,FALSE)="3-Year Avg."),AB172,IF($A$2=2,AP172,IF($A$2=3,AB172,IF(($AG172&gt;$AU172),AB172,AP172)))))</f>
        <v>0</v>
      </c>
      <c r="O172" s="317">
        <f>IF(AND($A$2=4,VLOOKUP($A172,'District Level ADM'!$A$5:$W$52,5,FALSE)="Prior Year"),AQ172,IF(AND($A$2=4,VLOOKUP($A172,'District Level ADM'!$A$5:$W$52,5,FALSE)="3-Year Avg."),AC172,IF($A$2=2,AQ172,IF($A$2=3,AC172,IF(($AG172&gt;$AU172),AC172,AQ172)))))</f>
        <v>0</v>
      </c>
      <c r="P172" s="317">
        <f>IF(AND($A$2=4,VLOOKUP($A172,'District Level ADM'!$A$5:$W$52,5,FALSE)="Prior Year"),AR172,IF(AND($A$2=4,VLOOKUP($A172,'District Level ADM'!$A$5:$W$52,5,FALSE)="3-Year Avg."),AD172,IF($A$2=2,AR172,IF($A$2=3,AD172,IF(($AG172&gt;$AU172),AD172,AR172)))))</f>
        <v>0</v>
      </c>
      <c r="Q172" s="317">
        <f>IF(AND($A$2=4,VLOOKUP($A172,'District Level ADM'!$A$5:$W$52,5,FALSE)="Prior Year"),AS172,IF(AND($A$2=4,VLOOKUP($A172,'District Level ADM'!$A$5:$W$52,5,FALSE)="3-Year Avg."),AE172,IF($A$2=2,AS172,IF($A$2=3,AE172,IF(($AG172&gt;$AU172),AE172,AS172)))))</f>
        <v>0</v>
      </c>
      <c r="R172" s="317">
        <f>IF(AND($A$2=4,VLOOKUP($A172,'District Level ADM'!$A$5:$W$52,5,FALSE)="Prior Year"),AT172,IF(AND($A$2=4,VLOOKUP($A172,'District Level ADM'!$A$5:$W$52,5,FALSE)="3-Year Avg."),AF172,IF($A$2=2,AT172,IF($A$2=3,AF172,IF(($AG172&gt;$AU172),AF172,AT172)))))</f>
        <v>0</v>
      </c>
      <c r="S172" s="317">
        <f t="shared" si="25"/>
        <v>521.06500000000005</v>
      </c>
      <c r="T172" s="317">
        <f t="shared" si="29"/>
        <v>0</v>
      </c>
      <c r="U172" s="317">
        <f t="shared" si="29"/>
        <v>0</v>
      </c>
      <c r="V172" s="317">
        <f t="shared" si="29"/>
        <v>0</v>
      </c>
      <c r="W172" s="317">
        <f t="shared" si="29"/>
        <v>0</v>
      </c>
      <c r="X172" s="317">
        <f t="shared" si="29"/>
        <v>0</v>
      </c>
      <c r="Y172" s="317">
        <f t="shared" si="29"/>
        <v>241.52866666666668</v>
      </c>
      <c r="Z172" s="317">
        <f t="shared" si="29"/>
        <v>232.18366666666665</v>
      </c>
      <c r="AA172" s="317">
        <f t="shared" si="29"/>
        <v>0</v>
      </c>
      <c r="AB172" s="317">
        <f t="shared" si="29"/>
        <v>0</v>
      </c>
      <c r="AC172" s="317">
        <f t="shared" si="29"/>
        <v>0</v>
      </c>
      <c r="AD172" s="317">
        <f t="shared" si="30"/>
        <v>0</v>
      </c>
      <c r="AE172" s="317">
        <f t="shared" si="30"/>
        <v>0</v>
      </c>
      <c r="AF172" s="317">
        <f t="shared" si="30"/>
        <v>0</v>
      </c>
      <c r="AG172" s="317">
        <f t="shared" si="26"/>
        <v>473.71233333333333</v>
      </c>
      <c r="AH172" s="318">
        <v>0</v>
      </c>
      <c r="AI172" s="318">
        <v>0</v>
      </c>
      <c r="AJ172" s="318">
        <v>0</v>
      </c>
      <c r="AK172" s="318">
        <v>0</v>
      </c>
      <c r="AL172" s="318">
        <v>0</v>
      </c>
      <c r="AM172" s="318">
        <v>264.96499999999997</v>
      </c>
      <c r="AN172" s="318">
        <v>256.10000000000002</v>
      </c>
      <c r="AO172" s="318">
        <v>0</v>
      </c>
      <c r="AP172" s="318">
        <v>0</v>
      </c>
      <c r="AQ172" s="318">
        <v>0</v>
      </c>
      <c r="AR172" s="318">
        <v>0</v>
      </c>
      <c r="AS172" s="318">
        <v>0</v>
      </c>
      <c r="AT172" s="318">
        <v>0</v>
      </c>
      <c r="AU172" s="317">
        <f t="shared" si="27"/>
        <v>521.06500000000005</v>
      </c>
      <c r="AV172" s="319">
        <v>0</v>
      </c>
      <c r="AW172" s="319">
        <v>0</v>
      </c>
      <c r="AX172" s="319">
        <v>0</v>
      </c>
      <c r="AY172" s="319">
        <v>0</v>
      </c>
      <c r="AZ172" s="319">
        <v>0</v>
      </c>
      <c r="BA172" s="319">
        <v>239.614</v>
      </c>
      <c r="BB172" s="319">
        <v>216.05699999999996</v>
      </c>
      <c r="BC172" s="319">
        <v>0</v>
      </c>
      <c r="BD172" s="319">
        <v>0</v>
      </c>
      <c r="BE172" s="319">
        <v>0</v>
      </c>
      <c r="BF172" s="319">
        <v>0</v>
      </c>
      <c r="BG172" s="319">
        <v>0</v>
      </c>
      <c r="BH172" s="319">
        <v>0</v>
      </c>
      <c r="BI172" s="317">
        <f t="shared" si="28"/>
        <v>455.67099999999994</v>
      </c>
      <c r="BJ172" s="316">
        <v>0</v>
      </c>
      <c r="BK172" s="316">
        <v>0</v>
      </c>
      <c r="BL172" s="316">
        <v>0</v>
      </c>
      <c r="BM172" s="316">
        <v>0</v>
      </c>
      <c r="BN172" s="316">
        <v>0</v>
      </c>
      <c r="BO172" s="316">
        <v>220.00700000000001</v>
      </c>
      <c r="BP172" s="316">
        <v>224.39400000000001</v>
      </c>
      <c r="BQ172" s="316">
        <v>0</v>
      </c>
      <c r="BR172" s="316">
        <v>0</v>
      </c>
      <c r="BS172" s="316">
        <v>0</v>
      </c>
      <c r="BT172" s="316">
        <v>0</v>
      </c>
      <c r="BU172" s="316">
        <v>0</v>
      </c>
      <c r="BV172" s="316">
        <v>0</v>
      </c>
      <c r="BW172" s="317">
        <f t="shared" ref="BW172" si="31">SUM(BJ172:BV172)</f>
        <v>444.40100000000001</v>
      </c>
      <c r="BX172" s="40"/>
      <c r="BY172" s="40"/>
      <c r="BZ172" s="40"/>
      <c r="CA172" s="40"/>
      <c r="CB172" s="40"/>
      <c r="CC172" s="40"/>
      <c r="CD172" s="40"/>
      <c r="CE172" s="40"/>
      <c r="CF172" s="40"/>
      <c r="CG172" s="40"/>
      <c r="CH172" s="40"/>
      <c r="CI172" s="40"/>
      <c r="CJ172" s="40"/>
      <c r="CK172" s="40"/>
      <c r="CL172" s="40"/>
      <c r="CM172" s="40"/>
      <c r="CN172" s="40"/>
      <c r="CO172" s="40"/>
      <c r="CP172" s="40"/>
      <c r="CQ172" s="40"/>
      <c r="CR172" s="40"/>
      <c r="CS172" s="40"/>
      <c r="CT172" s="40"/>
      <c r="CU172" s="40"/>
      <c r="CV172" s="40"/>
      <c r="CW172" s="40"/>
      <c r="CX172" s="40"/>
      <c r="CY172" s="40"/>
      <c r="CZ172" s="40"/>
      <c r="DA172" s="40"/>
      <c r="DB172" s="40"/>
      <c r="DC172" s="40"/>
      <c r="DD172" s="40"/>
      <c r="DE172" s="40"/>
      <c r="DF172" s="40"/>
      <c r="DG172" s="40"/>
      <c r="DH172" s="40"/>
      <c r="DI172" s="40"/>
      <c r="DJ172" s="40"/>
      <c r="DK172" s="40"/>
      <c r="DL172" s="40"/>
      <c r="DM172" s="40"/>
      <c r="DN172" s="40"/>
      <c r="DO172" s="40"/>
      <c r="DP172" s="40"/>
      <c r="DQ172" s="40"/>
      <c r="DR172" s="40"/>
      <c r="DS172" s="40"/>
      <c r="DT172" s="40"/>
      <c r="DU172" s="40"/>
      <c r="DV172" s="40"/>
      <c r="DW172" s="40"/>
      <c r="DX172" s="40"/>
      <c r="DY172" s="40"/>
      <c r="DZ172" s="40"/>
      <c r="EA172" s="40"/>
      <c r="EB172" s="40"/>
      <c r="EC172" s="40"/>
      <c r="ED172" s="40"/>
      <c r="EE172" s="40"/>
      <c r="EF172" s="40"/>
      <c r="EG172" s="40"/>
      <c r="EH172" s="40"/>
      <c r="EI172" s="40"/>
      <c r="EJ172" s="40"/>
      <c r="EK172" s="40"/>
      <c r="EL172" s="40"/>
      <c r="EM172" s="40"/>
      <c r="EN172" s="40"/>
      <c r="EO172" s="40"/>
      <c r="EP172" s="40"/>
      <c r="EQ172" s="40"/>
      <c r="ER172" s="40"/>
      <c r="ES172" s="40"/>
      <c r="ET172" s="40"/>
      <c r="EU172" s="40"/>
      <c r="EV172" s="40"/>
      <c r="EW172" s="40"/>
      <c r="EX172" s="40"/>
      <c r="EY172" s="40"/>
      <c r="EZ172" s="40"/>
      <c r="FA172" s="40"/>
      <c r="FB172" s="40"/>
      <c r="FC172" s="40"/>
      <c r="FD172" s="40"/>
      <c r="FE172" s="40"/>
      <c r="FF172" s="40"/>
      <c r="FG172" s="40"/>
      <c r="FH172" s="40"/>
      <c r="FI172" s="40"/>
      <c r="FJ172" s="40"/>
      <c r="FK172" s="40"/>
      <c r="FL172" s="40"/>
      <c r="FM172" s="40"/>
      <c r="FN172" s="40"/>
      <c r="FO172" s="40"/>
      <c r="FP172" s="40"/>
      <c r="FQ172" s="40"/>
      <c r="FR172" s="40"/>
      <c r="FS172" s="40"/>
      <c r="FT172" s="40"/>
      <c r="FU172" s="40"/>
      <c r="FV172" s="40"/>
      <c r="FW172" s="40"/>
      <c r="FX172" s="40"/>
      <c r="FY172" s="40"/>
      <c r="FZ172" s="40"/>
      <c r="GA172" s="40"/>
      <c r="GB172" s="40"/>
      <c r="GC172" s="40"/>
      <c r="GD172" s="40"/>
      <c r="GE172" s="40"/>
      <c r="GF172" s="40"/>
      <c r="GG172" s="40"/>
      <c r="GH172" s="40"/>
      <c r="GI172" s="40"/>
      <c r="GJ172" s="40"/>
      <c r="GK172" s="40"/>
      <c r="GL172" s="40"/>
      <c r="GM172" s="40"/>
      <c r="GN172" s="40"/>
      <c r="GO172" s="40"/>
      <c r="GP172" s="40"/>
      <c r="GQ172" s="40"/>
      <c r="GR172" s="40"/>
      <c r="GS172" s="40"/>
      <c r="GT172" s="40"/>
      <c r="GU172" s="40"/>
      <c r="GV172" s="40"/>
      <c r="GW172" s="40"/>
      <c r="GX172" s="40"/>
      <c r="GY172" s="40"/>
      <c r="GZ172" s="40"/>
      <c r="HA172" s="40"/>
      <c r="HB172" s="40"/>
      <c r="HC172" s="40"/>
      <c r="HD172" s="40"/>
      <c r="HE172" s="40"/>
      <c r="HF172" s="40"/>
      <c r="HG172" s="40"/>
      <c r="HH172" s="40"/>
      <c r="HI172" s="40"/>
      <c r="HJ172" s="40"/>
      <c r="HK172" s="40"/>
      <c r="HL172" s="40"/>
      <c r="HM172" s="40"/>
      <c r="HN172" s="40"/>
      <c r="HO172" s="40"/>
      <c r="HP172" s="40"/>
      <c r="HQ172" s="40"/>
      <c r="HR172" s="40"/>
      <c r="HS172" s="40"/>
      <c r="HT172" s="40"/>
      <c r="HU172" s="40"/>
      <c r="HV172" s="40"/>
      <c r="HW172" s="40"/>
      <c r="HX172" s="40"/>
      <c r="HY172" s="40"/>
      <c r="HZ172" s="40"/>
      <c r="IA172" s="40"/>
      <c r="IB172" s="40"/>
      <c r="IC172" s="40"/>
      <c r="ID172" s="40"/>
      <c r="IE172" s="40"/>
      <c r="IF172" s="40"/>
      <c r="IG172" s="40"/>
      <c r="IH172" s="40"/>
      <c r="II172" s="40"/>
      <c r="IJ172" s="40"/>
      <c r="IK172" s="40"/>
      <c r="IL172" s="40"/>
      <c r="IM172" s="40"/>
      <c r="IN172" s="40"/>
      <c r="IO172" s="40"/>
      <c r="IP172" s="40"/>
      <c r="IQ172" s="40"/>
      <c r="IR172" s="40"/>
      <c r="IS172" s="40"/>
      <c r="IT172" s="40"/>
      <c r="IU172" s="40"/>
      <c r="IV172" s="40"/>
      <c r="IW172" s="40"/>
      <c r="IX172" s="40"/>
      <c r="IY172" s="40"/>
      <c r="IZ172" s="40"/>
      <c r="JA172" s="40"/>
      <c r="JB172" s="40"/>
      <c r="JC172" s="40"/>
      <c r="JD172" s="40"/>
      <c r="JE172" s="40"/>
      <c r="JF172" s="40"/>
      <c r="JG172" s="40"/>
      <c r="JH172" s="40"/>
      <c r="JI172" s="40"/>
      <c r="JJ172" s="40"/>
      <c r="JK172" s="40"/>
      <c r="JL172" s="40"/>
      <c r="JM172" s="40"/>
      <c r="JN172" s="40"/>
      <c r="JO172" s="40"/>
      <c r="JP172" s="40"/>
      <c r="JQ172" s="40"/>
      <c r="JR172" s="40"/>
      <c r="JS172" s="40"/>
      <c r="JT172" s="40"/>
      <c r="JU172" s="40"/>
      <c r="JV172" s="40"/>
      <c r="JW172" s="40"/>
      <c r="JX172" s="40"/>
      <c r="JY172" s="40"/>
      <c r="JZ172" s="40"/>
      <c r="KA172" s="40"/>
      <c r="KB172" s="40"/>
      <c r="KC172" s="40"/>
      <c r="KD172" s="40"/>
      <c r="KE172" s="40"/>
      <c r="KF172" s="40"/>
      <c r="KG172" s="40"/>
      <c r="KH172" s="40"/>
      <c r="KI172" s="40"/>
      <c r="KJ172" s="40"/>
      <c r="KK172" s="40"/>
      <c r="KL172" s="40"/>
      <c r="KM172" s="40"/>
      <c r="KN172" s="40"/>
      <c r="KO172" s="40"/>
      <c r="KP172" s="40"/>
      <c r="KQ172" s="40"/>
      <c r="KR172" s="40"/>
      <c r="KS172" s="40"/>
      <c r="KT172" s="40"/>
      <c r="KU172" s="40"/>
      <c r="KV172" s="40"/>
      <c r="KW172" s="40"/>
      <c r="KX172" s="40"/>
      <c r="KY172" s="40"/>
      <c r="KZ172" s="40"/>
      <c r="LA172" s="40"/>
      <c r="LB172" s="40"/>
      <c r="LC172" s="40"/>
      <c r="LD172" s="40"/>
      <c r="LE172" s="40"/>
      <c r="LF172" s="40"/>
      <c r="LG172" s="40"/>
      <c r="LH172" s="40"/>
      <c r="LI172" s="40"/>
      <c r="LJ172" s="40"/>
      <c r="LK172" s="40"/>
      <c r="LL172" s="40"/>
      <c r="LM172" s="40"/>
      <c r="LN172" s="40"/>
      <c r="LO172" s="40"/>
      <c r="LP172" s="40"/>
      <c r="LQ172" s="40"/>
      <c r="LR172" s="40"/>
      <c r="LS172" s="40"/>
      <c r="LT172" s="40"/>
      <c r="LU172" s="40"/>
      <c r="LV172" s="40"/>
      <c r="LW172" s="40"/>
      <c r="LX172" s="40"/>
      <c r="LY172" s="40"/>
      <c r="LZ172" s="40"/>
      <c r="MA172" s="40"/>
      <c r="MB172" s="40"/>
      <c r="MC172" s="40"/>
      <c r="MD172" s="40"/>
      <c r="ME172" s="40"/>
      <c r="MF172" s="40"/>
      <c r="MG172" s="40"/>
      <c r="MH172" s="40"/>
      <c r="MI172" s="40"/>
      <c r="MJ172" s="40"/>
      <c r="MK172" s="40"/>
      <c r="ML172" s="40"/>
      <c r="MM172" s="40"/>
      <c r="MN172" s="40"/>
      <c r="MO172" s="40"/>
      <c r="MP172" s="40"/>
      <c r="MQ172" s="40"/>
      <c r="MR172" s="40"/>
      <c r="MS172" s="40"/>
      <c r="MT172" s="40"/>
      <c r="MU172" s="40"/>
      <c r="MV172" s="40"/>
      <c r="MW172" s="40"/>
      <c r="MX172" s="40"/>
      <c r="MY172" s="40"/>
      <c r="MZ172" s="40"/>
      <c r="NA172" s="40"/>
      <c r="NB172" s="40"/>
      <c r="NC172" s="40"/>
      <c r="ND172" s="40"/>
      <c r="NE172" s="40"/>
      <c r="NF172" s="40"/>
      <c r="NG172" s="40"/>
      <c r="NH172" s="40"/>
      <c r="NI172" s="40"/>
      <c r="NJ172" s="40"/>
      <c r="NK172" s="40"/>
      <c r="NL172" s="40"/>
      <c r="NM172" s="40"/>
      <c r="NN172" s="40"/>
      <c r="NO172" s="40"/>
      <c r="NP172" s="40"/>
      <c r="NQ172" s="40"/>
      <c r="NR172" s="40"/>
      <c r="NS172" s="40"/>
      <c r="NT172" s="40"/>
      <c r="NU172" s="40"/>
      <c r="NV172" s="40"/>
      <c r="NW172" s="40"/>
      <c r="NX172" s="40"/>
      <c r="NY172" s="40"/>
      <c r="NZ172" s="40"/>
      <c r="OA172" s="40"/>
      <c r="OB172" s="40"/>
      <c r="OC172" s="40"/>
      <c r="OD172" s="40"/>
      <c r="OE172" s="40"/>
      <c r="OF172" s="40"/>
      <c r="OG172" s="40"/>
      <c r="OH172" s="40"/>
      <c r="OI172" s="40"/>
      <c r="OJ172" s="40"/>
      <c r="OK172" s="40"/>
      <c r="OL172" s="40"/>
      <c r="OM172" s="40"/>
      <c r="ON172" s="40"/>
      <c r="OO172" s="40"/>
      <c r="OP172" s="40"/>
      <c r="OQ172" s="40"/>
      <c r="OR172" s="40"/>
      <c r="OS172" s="40"/>
      <c r="OT172" s="40"/>
      <c r="OU172" s="40"/>
      <c r="OV172" s="40"/>
      <c r="OW172" s="40"/>
      <c r="OX172" s="40"/>
      <c r="OY172" s="40"/>
      <c r="OZ172" s="40"/>
      <c r="PA172" s="40"/>
      <c r="PB172" s="40"/>
      <c r="PC172" s="40"/>
      <c r="PD172" s="40"/>
      <c r="PE172" s="40"/>
      <c r="PF172" s="40"/>
      <c r="PG172" s="40"/>
      <c r="PH172" s="40"/>
      <c r="PI172" s="40"/>
      <c r="PJ172" s="40"/>
      <c r="PK172" s="40"/>
      <c r="PL172" s="40"/>
      <c r="PM172" s="40"/>
      <c r="PN172" s="40"/>
      <c r="PO172" s="40"/>
      <c r="PP172" s="40"/>
      <c r="PQ172" s="40"/>
      <c r="PR172" s="40"/>
      <c r="PS172" s="40"/>
      <c r="PT172" s="40"/>
      <c r="PU172" s="40"/>
      <c r="PV172" s="40"/>
      <c r="PW172" s="40"/>
      <c r="PX172" s="40"/>
      <c r="PY172" s="40"/>
      <c r="PZ172" s="40"/>
      <c r="QA172" s="40"/>
      <c r="QB172" s="40"/>
      <c r="QC172" s="40"/>
      <c r="QD172" s="40"/>
      <c r="QE172" s="40"/>
      <c r="QF172" s="40"/>
      <c r="QG172" s="40"/>
      <c r="QH172" s="40"/>
      <c r="QI172" s="40"/>
      <c r="QJ172" s="40"/>
      <c r="QK172" s="40"/>
      <c r="QL172" s="40"/>
      <c r="QM172" s="40"/>
      <c r="QN172" s="40"/>
      <c r="QO172" s="40"/>
      <c r="QP172" s="40"/>
      <c r="QQ172" s="40"/>
      <c r="QR172" s="40"/>
      <c r="QS172" s="40"/>
      <c r="QT172" s="40"/>
      <c r="QU172" s="40"/>
      <c r="QV172" s="40"/>
      <c r="QW172" s="40"/>
      <c r="QX172" s="40"/>
      <c r="QY172" s="40"/>
      <c r="QZ172" s="40"/>
      <c r="RA172" s="40"/>
      <c r="RB172" s="40"/>
      <c r="RC172" s="40"/>
      <c r="RD172" s="40"/>
      <c r="RE172" s="40"/>
      <c r="RF172" s="40"/>
      <c r="RG172" s="40"/>
      <c r="RH172" s="40"/>
      <c r="RI172" s="40"/>
      <c r="RJ172" s="40"/>
      <c r="RK172" s="40"/>
      <c r="RL172" s="40"/>
      <c r="RM172" s="40"/>
      <c r="RN172" s="40"/>
      <c r="RO172" s="40"/>
      <c r="RP172" s="40"/>
      <c r="RQ172" s="40"/>
      <c r="RR172" s="40"/>
      <c r="RS172" s="40"/>
      <c r="RT172" s="40"/>
      <c r="RU172" s="40"/>
      <c r="RV172" s="40"/>
      <c r="RW172" s="40"/>
      <c r="RX172" s="40"/>
      <c r="RY172" s="40"/>
      <c r="RZ172" s="40"/>
      <c r="SA172" s="40"/>
      <c r="SB172" s="40"/>
      <c r="SC172" s="40"/>
      <c r="SD172" s="40"/>
      <c r="SE172" s="40"/>
      <c r="SF172" s="40"/>
      <c r="SG172" s="40"/>
      <c r="SH172" s="40"/>
      <c r="SI172" s="40"/>
      <c r="SJ172" s="40"/>
      <c r="SK172" s="40"/>
      <c r="SL172" s="40"/>
      <c r="SM172" s="40"/>
      <c r="SN172" s="40"/>
      <c r="SO172" s="40"/>
      <c r="SP172" s="40"/>
      <c r="SQ172" s="40"/>
      <c r="SR172" s="40"/>
      <c r="SS172" s="40"/>
      <c r="ST172" s="40"/>
      <c r="SU172" s="40"/>
      <c r="SV172" s="40"/>
      <c r="SW172" s="40"/>
      <c r="SX172" s="40"/>
      <c r="SY172" s="40"/>
      <c r="SZ172" s="40"/>
      <c r="TA172" s="40"/>
      <c r="TB172" s="40"/>
      <c r="TC172" s="40"/>
      <c r="TD172" s="40"/>
      <c r="TE172" s="40"/>
      <c r="TF172" s="40"/>
      <c r="TG172" s="40"/>
      <c r="TH172" s="40"/>
      <c r="TI172" s="40"/>
      <c r="TJ172" s="40"/>
      <c r="TK172" s="40"/>
      <c r="TL172" s="40"/>
      <c r="TM172" s="40"/>
      <c r="TN172" s="40"/>
      <c r="TO172" s="40"/>
      <c r="TP172" s="40"/>
      <c r="TQ172" s="40"/>
      <c r="TR172" s="40"/>
      <c r="TS172" s="40"/>
      <c r="TT172" s="40"/>
      <c r="TU172" s="40"/>
      <c r="TV172" s="40"/>
      <c r="TW172" s="40"/>
      <c r="TX172" s="40"/>
      <c r="TY172" s="40"/>
      <c r="TZ172" s="40"/>
      <c r="UA172" s="40"/>
      <c r="UB172" s="40"/>
      <c r="UC172" s="40"/>
      <c r="UD172" s="40"/>
      <c r="UE172" s="40"/>
      <c r="UF172" s="40"/>
      <c r="UG172" s="40"/>
      <c r="UH172" s="40"/>
      <c r="UI172" s="40"/>
      <c r="UJ172" s="40"/>
      <c r="UK172" s="40"/>
      <c r="UL172" s="40"/>
      <c r="UM172" s="40"/>
      <c r="UN172" s="40"/>
      <c r="UO172" s="40"/>
      <c r="UP172" s="40"/>
      <c r="UQ172" s="40"/>
      <c r="UR172" s="40"/>
      <c r="US172" s="40"/>
      <c r="UT172" s="40"/>
      <c r="UU172" s="40"/>
      <c r="UV172" s="40"/>
      <c r="UW172" s="40"/>
      <c r="UX172" s="40"/>
      <c r="UY172" s="40"/>
      <c r="UZ172" s="40"/>
      <c r="VA172" s="40"/>
      <c r="VB172" s="40"/>
      <c r="VC172" s="40"/>
      <c r="VD172" s="40"/>
      <c r="VE172" s="40"/>
      <c r="VF172" s="40"/>
      <c r="VG172" s="40"/>
      <c r="VH172" s="40"/>
      <c r="VI172" s="40"/>
      <c r="VJ172" s="40"/>
      <c r="VK172" s="40"/>
      <c r="VL172" s="40"/>
      <c r="VM172" s="40"/>
      <c r="VN172" s="40"/>
      <c r="VO172" s="40"/>
      <c r="VP172" s="40"/>
      <c r="VQ172" s="40"/>
      <c r="VR172" s="40"/>
      <c r="VS172" s="40"/>
      <c r="VT172" s="40"/>
      <c r="VU172" s="40"/>
      <c r="VV172" s="40"/>
      <c r="VW172" s="40"/>
      <c r="VX172" s="40"/>
      <c r="VY172" s="40"/>
      <c r="VZ172" s="40"/>
      <c r="WA172" s="40"/>
      <c r="WB172" s="40"/>
      <c r="WC172" s="40"/>
      <c r="WD172" s="40"/>
      <c r="WE172" s="40"/>
      <c r="WF172" s="40"/>
      <c r="WG172" s="40"/>
      <c r="WH172" s="40"/>
      <c r="WI172" s="40"/>
      <c r="WJ172" s="40"/>
      <c r="WK172" s="40"/>
      <c r="WL172" s="40"/>
      <c r="WM172" s="40"/>
      <c r="WN172" s="40"/>
      <c r="WO172" s="40"/>
      <c r="WP172" s="40"/>
      <c r="WQ172" s="40"/>
      <c r="WR172" s="40"/>
      <c r="WS172" s="40"/>
      <c r="WT172" s="40"/>
      <c r="WU172" s="40"/>
      <c r="WV172" s="40"/>
      <c r="WW172" s="40"/>
      <c r="WX172" s="40"/>
      <c r="WY172" s="40"/>
      <c r="WZ172" s="40"/>
      <c r="XA172" s="40"/>
      <c r="XB172" s="40"/>
      <c r="XC172" s="40"/>
      <c r="XD172" s="40"/>
      <c r="XE172" s="40"/>
      <c r="XF172" s="40"/>
      <c r="XG172" s="40"/>
      <c r="XH172" s="40"/>
      <c r="XI172" s="40"/>
      <c r="XJ172" s="40"/>
      <c r="XK172" s="40"/>
      <c r="XL172" s="40"/>
      <c r="XM172" s="40"/>
      <c r="XN172" s="40"/>
      <c r="XO172" s="40"/>
      <c r="XP172" s="40"/>
      <c r="XQ172" s="40"/>
      <c r="XR172" s="40"/>
      <c r="XS172" s="40"/>
      <c r="XT172" s="40"/>
      <c r="XU172" s="40"/>
      <c r="XV172" s="40"/>
      <c r="XW172" s="40"/>
      <c r="XX172" s="40"/>
      <c r="XY172" s="40"/>
      <c r="XZ172" s="40"/>
      <c r="YA172" s="40"/>
      <c r="YB172" s="40"/>
      <c r="YC172" s="40"/>
      <c r="YD172" s="40"/>
      <c r="YE172" s="40"/>
      <c r="YF172" s="40"/>
      <c r="YG172" s="40"/>
      <c r="YH172" s="40"/>
      <c r="YI172" s="40"/>
      <c r="YJ172" s="40"/>
      <c r="YK172" s="40"/>
      <c r="YL172" s="40"/>
      <c r="YM172" s="40"/>
      <c r="YN172" s="40"/>
      <c r="YO172" s="40"/>
      <c r="YP172" s="40"/>
      <c r="YQ172" s="40"/>
      <c r="YR172" s="40"/>
      <c r="YS172" s="40"/>
      <c r="YT172" s="40"/>
      <c r="YU172" s="40"/>
      <c r="YV172" s="40"/>
      <c r="YW172" s="40"/>
      <c r="YX172" s="40"/>
      <c r="YY172" s="40"/>
      <c r="YZ172" s="40"/>
      <c r="ZA172" s="40"/>
      <c r="ZB172" s="40"/>
      <c r="ZC172" s="40"/>
      <c r="ZD172" s="40"/>
      <c r="ZE172" s="40"/>
      <c r="ZF172" s="40"/>
      <c r="ZG172" s="40"/>
      <c r="ZH172" s="40"/>
      <c r="ZI172" s="40"/>
      <c r="ZJ172" s="40"/>
      <c r="ZK172" s="40"/>
      <c r="ZL172" s="40"/>
      <c r="ZM172" s="40"/>
      <c r="ZN172" s="40"/>
      <c r="ZO172" s="40"/>
      <c r="ZP172" s="40"/>
      <c r="ZQ172" s="40"/>
      <c r="ZR172" s="40"/>
      <c r="ZS172" s="40"/>
      <c r="ZT172" s="40"/>
      <c r="ZU172" s="40"/>
      <c r="ZV172" s="40"/>
      <c r="ZW172" s="40"/>
      <c r="ZX172" s="40"/>
      <c r="ZY172" s="40"/>
      <c r="ZZ172" s="40"/>
      <c r="AAA172" s="40"/>
      <c r="AAB172" s="40"/>
      <c r="AAC172" s="40"/>
      <c r="AAD172" s="40"/>
      <c r="AAE172" s="40"/>
      <c r="AAF172" s="40"/>
      <c r="AAG172" s="40"/>
      <c r="AAH172" s="40"/>
      <c r="AAI172" s="40"/>
      <c r="AAJ172" s="40"/>
      <c r="AAK172" s="40"/>
      <c r="AAL172" s="40"/>
      <c r="AAM172" s="40"/>
      <c r="AAN172" s="40"/>
      <c r="AAO172" s="40"/>
      <c r="AAP172" s="40"/>
      <c r="AAQ172" s="40"/>
      <c r="AAR172" s="40"/>
      <c r="AAS172" s="40"/>
      <c r="AAT172" s="40"/>
      <c r="AAU172" s="40"/>
      <c r="AAV172" s="40"/>
      <c r="AAW172" s="40"/>
      <c r="AAX172" s="40"/>
      <c r="AAY172" s="40"/>
      <c r="AAZ172" s="40"/>
      <c r="ABA172" s="40"/>
      <c r="ABB172" s="40"/>
      <c r="ABC172" s="40"/>
      <c r="ABD172" s="40"/>
      <c r="ABE172" s="40"/>
      <c r="ABF172" s="40"/>
    </row>
    <row r="173" spans="1:734" x14ac:dyDescent="0.2">
      <c r="A173" s="20" t="str">
        <f>'School Level Inst. Resources'!A173</f>
        <v>1101000</v>
      </c>
      <c r="B173" s="20" t="str">
        <f>'School Level Inst. Resources'!B173</f>
        <v>Laramie #1</v>
      </c>
      <c r="C173" s="20" t="str">
        <f>'School Level Inst. Resources'!C173</f>
        <v>1101040</v>
      </c>
      <c r="D173" s="20" t="str">
        <f>'School Level Inst. Resources'!D173</f>
        <v>PODER Academy</v>
      </c>
      <c r="E173" s="138" t="str">
        <f>'School Level Inst. Resources'!E173</f>
        <v>K-5</v>
      </c>
      <c r="F173" s="317">
        <f>IF(AND($A$2=4,VLOOKUP($A173,'District Level ADM'!$A$5:$W$52,5,FALSE)="Prior Year"),AH173,IF(AND($A$2=4,VLOOKUP($A173,'District Level ADM'!$A$5:$W$52,5,FALSE)="3-Year Avg."),T173,IF($A$2=2,AH173,IF($A$2=3,T173,IF(($AG173&gt;$AU173),T173,AH173)))))</f>
        <v>36.445</v>
      </c>
      <c r="G173" s="317">
        <f>IF(AND($A$2=4,VLOOKUP($A173,'District Level ADM'!$A$5:$W$52,5,FALSE)="Prior Year"),AI173,IF(AND($A$2=4,VLOOKUP($A173,'District Level ADM'!$A$5:$W$52,5,FALSE)="3-Year Avg."),U173,IF($A$2=2,AI173,IF($A$2=3,U173,IF(($AG173&gt;$AU173),U173,AI173)))))</f>
        <v>24.625</v>
      </c>
      <c r="H173" s="317">
        <f>IF(AND($A$2=4,VLOOKUP($A173,'District Level ADM'!$A$5:$W$52,5,FALSE)="Prior Year"),AJ173,IF(AND($A$2=4,VLOOKUP($A173,'District Level ADM'!$A$5:$W$52,5,FALSE)="3-Year Avg."),V173,IF($A$2=2,AJ173,IF($A$2=3,V173,IF(($AG173&gt;$AU173),V173,AJ173)))))</f>
        <v>35.46</v>
      </c>
      <c r="I173" s="317">
        <f>IF(AND($A$2=4,VLOOKUP($A173,'District Level ADM'!$A$5:$W$52,5,FALSE)="Prior Year"),AK173,IF(AND($A$2=4,VLOOKUP($A173,'District Level ADM'!$A$5:$W$52,5,FALSE)="3-Year Avg."),W173,IF($A$2=2,AK173,IF($A$2=3,W173,IF(($AG173&gt;$AU173),W173,AK173)))))</f>
        <v>26.594999999999999</v>
      </c>
      <c r="J173" s="317">
        <f>IF(AND($A$2=4,VLOOKUP($A173,'District Level ADM'!$A$5:$W$52,5,FALSE)="Prior Year"),AL173,IF(AND($A$2=4,VLOOKUP($A173,'District Level ADM'!$A$5:$W$52,5,FALSE)="3-Year Avg."),X173,IF($A$2=2,AL173,IF($A$2=3,X173,IF(($AG173&gt;$AU173),X173,AL173)))))</f>
        <v>26.594999999999999</v>
      </c>
      <c r="K173" s="317">
        <f>IF(AND($A$2=4,VLOOKUP($A173,'District Level ADM'!$A$5:$W$52,5,FALSE)="Prior Year"),AM173,IF(AND($A$2=4,VLOOKUP($A173,'District Level ADM'!$A$5:$W$52,5,FALSE)="3-Year Avg."),Y173,IF($A$2=2,AM173,IF($A$2=3,Y173,IF(($AG173&gt;$AU173),Y173,AM173)))))</f>
        <v>21.67</v>
      </c>
      <c r="L173" s="317">
        <f>IF(AND($A$2=4,VLOOKUP($A173,'District Level ADM'!$A$5:$W$52,5,FALSE)="Prior Year"),AN173,IF(AND($A$2=4,VLOOKUP($A173,'District Level ADM'!$A$5:$W$52,5,FALSE)="3-Year Avg."),Z173,IF($A$2=2,AN173,IF($A$2=3,Z173,IF(($AG173&gt;$AU173),Z173,AN173)))))</f>
        <v>0</v>
      </c>
      <c r="M173" s="317">
        <f>IF(AND($A$2=4,VLOOKUP($A173,'District Level ADM'!$A$5:$W$52,5,FALSE)="Prior Year"),AO173,IF(AND($A$2=4,VLOOKUP($A173,'District Level ADM'!$A$5:$W$52,5,FALSE)="3-Year Avg."),AA173,IF($A$2=2,AO173,IF($A$2=3,AA173,IF(($AG173&gt;$AU173),AA173,AO173)))))</f>
        <v>0</v>
      </c>
      <c r="N173" s="317">
        <f>IF(AND($A$2=4,VLOOKUP($A173,'District Level ADM'!$A$5:$W$52,5,FALSE)="Prior Year"),AP173,IF(AND($A$2=4,VLOOKUP($A173,'District Level ADM'!$A$5:$W$52,5,FALSE)="3-Year Avg."),AB173,IF($A$2=2,AP173,IF($A$2=3,AB173,IF(($AG173&gt;$AU173),AB173,AP173)))))</f>
        <v>0</v>
      </c>
      <c r="O173" s="317">
        <f>IF(AND($A$2=4,VLOOKUP($A173,'District Level ADM'!$A$5:$W$52,5,FALSE)="Prior Year"),AQ173,IF(AND($A$2=4,VLOOKUP($A173,'District Level ADM'!$A$5:$W$52,5,FALSE)="3-Year Avg."),AC173,IF($A$2=2,AQ173,IF($A$2=3,AC173,IF(($AG173&gt;$AU173),AC173,AQ173)))))</f>
        <v>0</v>
      </c>
      <c r="P173" s="317">
        <f>IF(AND($A$2=4,VLOOKUP($A173,'District Level ADM'!$A$5:$W$52,5,FALSE)="Prior Year"),AR173,IF(AND($A$2=4,VLOOKUP($A173,'District Level ADM'!$A$5:$W$52,5,FALSE)="3-Year Avg."),AD173,IF($A$2=2,AR173,IF($A$2=3,AD173,IF(($AG173&gt;$AU173),AD173,AR173)))))</f>
        <v>0</v>
      </c>
      <c r="Q173" s="317">
        <f>IF(AND($A$2=4,VLOOKUP($A173,'District Level ADM'!$A$5:$W$52,5,FALSE)="Prior Year"),AS173,IF(AND($A$2=4,VLOOKUP($A173,'District Level ADM'!$A$5:$W$52,5,FALSE)="3-Year Avg."),AE173,IF($A$2=2,AS173,IF($A$2=3,AE173,IF(($AG173&gt;$AU173),AE173,AS173)))))</f>
        <v>0</v>
      </c>
      <c r="R173" s="317">
        <f>IF(AND($A$2=4,VLOOKUP($A173,'District Level ADM'!$A$5:$W$52,5,FALSE)="Prior Year"),AT173,IF(AND($A$2=4,VLOOKUP($A173,'District Level ADM'!$A$5:$W$52,5,FALSE)="3-Year Avg."),AF173,IF($A$2=2,AT173,IF($A$2=3,AF173,IF(($AG173&gt;$AU173),AF173,AT173)))))</f>
        <v>0</v>
      </c>
      <c r="S173" s="317">
        <f t="shared" si="25"/>
        <v>171.39</v>
      </c>
      <c r="T173" s="317">
        <f t="shared" si="29"/>
        <v>31.712</v>
      </c>
      <c r="U173" s="317">
        <f t="shared" si="29"/>
        <v>28.863</v>
      </c>
      <c r="V173" s="317">
        <f t="shared" si="29"/>
        <v>30.053666666666668</v>
      </c>
      <c r="W173" s="317">
        <f t="shared" si="29"/>
        <v>27.425666666666661</v>
      </c>
      <c r="X173" s="317">
        <f t="shared" si="29"/>
        <v>24.346</v>
      </c>
      <c r="Y173" s="317">
        <f t="shared" si="29"/>
        <v>15.704333333333333</v>
      </c>
      <c r="Z173" s="317">
        <f t="shared" si="29"/>
        <v>0</v>
      </c>
      <c r="AA173" s="317">
        <f t="shared" si="29"/>
        <v>0</v>
      </c>
      <c r="AB173" s="317">
        <f t="shared" si="29"/>
        <v>0</v>
      </c>
      <c r="AC173" s="317">
        <f t="shared" si="29"/>
        <v>0</v>
      </c>
      <c r="AD173" s="317">
        <f t="shared" si="30"/>
        <v>0</v>
      </c>
      <c r="AE173" s="317">
        <f t="shared" si="30"/>
        <v>0</v>
      </c>
      <c r="AF173" s="317">
        <f t="shared" si="30"/>
        <v>0</v>
      </c>
      <c r="AG173" s="317">
        <f t="shared" si="26"/>
        <v>158.10466666666665</v>
      </c>
      <c r="AH173" s="318">
        <v>36.445</v>
      </c>
      <c r="AI173" s="318">
        <v>24.625</v>
      </c>
      <c r="AJ173" s="318">
        <v>35.46</v>
      </c>
      <c r="AK173" s="318">
        <v>26.594999999999999</v>
      </c>
      <c r="AL173" s="318">
        <v>26.594999999999999</v>
      </c>
      <c r="AM173" s="318">
        <v>21.67</v>
      </c>
      <c r="AN173" s="318">
        <v>0</v>
      </c>
      <c r="AO173" s="318">
        <v>0</v>
      </c>
      <c r="AP173" s="318">
        <v>0</v>
      </c>
      <c r="AQ173" s="318">
        <v>0</v>
      </c>
      <c r="AR173" s="318">
        <v>0</v>
      </c>
      <c r="AS173" s="318">
        <v>0</v>
      </c>
      <c r="AT173" s="318">
        <v>0</v>
      </c>
      <c r="AU173" s="317">
        <f t="shared" si="27"/>
        <v>171.39</v>
      </c>
      <c r="AV173" s="319">
        <v>27.515999999999998</v>
      </c>
      <c r="AW173" s="319">
        <v>31.196000000000002</v>
      </c>
      <c r="AX173" s="319">
        <v>25.532</v>
      </c>
      <c r="AY173" s="319">
        <v>29.529</v>
      </c>
      <c r="AZ173" s="319">
        <v>23.782</v>
      </c>
      <c r="BA173" s="319">
        <v>22.696000000000002</v>
      </c>
      <c r="BB173" s="319">
        <v>0</v>
      </c>
      <c r="BC173" s="319">
        <v>0</v>
      </c>
      <c r="BD173" s="319">
        <v>0</v>
      </c>
      <c r="BE173" s="319">
        <v>0</v>
      </c>
      <c r="BF173" s="319">
        <v>0</v>
      </c>
      <c r="BG173" s="319">
        <v>0</v>
      </c>
      <c r="BH173" s="319">
        <v>0</v>
      </c>
      <c r="BI173" s="317">
        <f t="shared" si="28"/>
        <v>160.251</v>
      </c>
      <c r="BJ173" s="316">
        <v>31.175000000000001</v>
      </c>
      <c r="BK173" s="316">
        <v>30.768000000000001</v>
      </c>
      <c r="BL173" s="316">
        <v>29.169</v>
      </c>
      <c r="BM173" s="316">
        <v>26.152999999999999</v>
      </c>
      <c r="BN173" s="316">
        <v>22.660999999999998</v>
      </c>
      <c r="BO173" s="316">
        <v>2.7469999999999999</v>
      </c>
      <c r="BP173" s="316">
        <v>0</v>
      </c>
      <c r="BQ173" s="316">
        <v>0</v>
      </c>
      <c r="BR173" s="316">
        <v>0</v>
      </c>
      <c r="BS173" s="316">
        <v>0</v>
      </c>
      <c r="BT173" s="316">
        <v>0</v>
      </c>
      <c r="BU173" s="316">
        <v>0</v>
      </c>
      <c r="BV173" s="316">
        <v>0</v>
      </c>
      <c r="BW173" s="317">
        <f t="shared" si="24"/>
        <v>142.673</v>
      </c>
    </row>
    <row r="174" spans="1:734" x14ac:dyDescent="0.2">
      <c r="A174" s="20" t="str">
        <f>'School Level Inst. Resources'!A174</f>
        <v>1101000</v>
      </c>
      <c r="B174" s="20" t="str">
        <f>'School Level Inst. Resources'!B174</f>
        <v>Laramie #1</v>
      </c>
      <c r="C174" s="20" t="str">
        <f>'School Level Inst. Resources'!C174</f>
        <v>1101045</v>
      </c>
      <c r="D174" s="20" t="str">
        <f>'School Level Inst. Resources'!D174</f>
        <v>PODER Secondary School</v>
      </c>
      <c r="E174" s="138" t="str">
        <f>'School Level Inst. Resources'!E174</f>
        <v>6-9</v>
      </c>
      <c r="F174" s="317">
        <f>IF(AND($A$2=4,VLOOKUP($A174,'District Level ADM'!$A$5:$W$52,5,FALSE)="Prior Year"),AH174,IF(AND($A$2=4,VLOOKUP($A174,'District Level ADM'!$A$5:$W$52,5,FALSE)="3-Year Avg."),T174,IF($A$2=2,AH174,IF($A$2=3,T174,IF(($AG174&gt;$AU174),T174,AH174)))))</f>
        <v>0</v>
      </c>
      <c r="G174" s="317">
        <f>IF(AND($A$2=4,VLOOKUP($A174,'District Level ADM'!$A$5:$W$52,5,FALSE)="Prior Year"),AI174,IF(AND($A$2=4,VLOOKUP($A174,'District Level ADM'!$A$5:$W$52,5,FALSE)="3-Year Avg."),U174,IF($A$2=2,AI174,IF($A$2=3,U174,IF(($AG174&gt;$AU174),U174,AI174)))))</f>
        <v>0</v>
      </c>
      <c r="H174" s="317">
        <f>IF(AND($A$2=4,VLOOKUP($A174,'District Level ADM'!$A$5:$W$52,5,FALSE)="Prior Year"),AJ174,IF(AND($A$2=4,VLOOKUP($A174,'District Level ADM'!$A$5:$W$52,5,FALSE)="3-Year Avg."),V174,IF($A$2=2,AJ174,IF($A$2=3,V174,IF(($AG174&gt;$AU174),V174,AJ174)))))</f>
        <v>0</v>
      </c>
      <c r="I174" s="317">
        <f>IF(AND($A$2=4,VLOOKUP($A174,'District Level ADM'!$A$5:$W$52,5,FALSE)="Prior Year"),AK174,IF(AND($A$2=4,VLOOKUP($A174,'District Level ADM'!$A$5:$W$52,5,FALSE)="3-Year Avg."),W174,IF($A$2=2,AK174,IF($A$2=3,W174,IF(($AG174&gt;$AU174),W174,AK174)))))</f>
        <v>0</v>
      </c>
      <c r="J174" s="317">
        <f>IF(AND($A$2=4,VLOOKUP($A174,'District Level ADM'!$A$5:$W$52,5,FALSE)="Prior Year"),AL174,IF(AND($A$2=4,VLOOKUP($A174,'District Level ADM'!$A$5:$W$52,5,FALSE)="3-Year Avg."),X174,IF($A$2=2,AL174,IF($A$2=3,X174,IF(($AG174&gt;$AU174),X174,AL174)))))</f>
        <v>0</v>
      </c>
      <c r="K174" s="317">
        <f>IF(AND($A$2=4,VLOOKUP($A174,'District Level ADM'!$A$5:$W$52,5,FALSE)="Prior Year"),AM174,IF(AND($A$2=4,VLOOKUP($A174,'District Level ADM'!$A$5:$W$52,5,FALSE)="3-Year Avg."),Y174,IF($A$2=2,AM174,IF($A$2=3,Y174,IF(($AG174&gt;$AU174),Y174,AM174)))))</f>
        <v>0</v>
      </c>
      <c r="L174" s="317">
        <f>IF(AND($A$2=4,VLOOKUP($A174,'District Level ADM'!$A$5:$W$52,5,FALSE)="Prior Year"),AN174,IF(AND($A$2=4,VLOOKUP($A174,'District Level ADM'!$A$5:$W$52,5,FALSE)="3-Year Avg."),Z174,IF($A$2=2,AN174,IF($A$2=3,Z174,IF(($AG174&gt;$AU174),Z174,AN174)))))</f>
        <v>27.58</v>
      </c>
      <c r="M174" s="317">
        <f>IF(AND($A$2=4,VLOOKUP($A174,'District Level ADM'!$A$5:$W$52,5,FALSE)="Prior Year"),AO174,IF(AND($A$2=4,VLOOKUP($A174,'District Level ADM'!$A$5:$W$52,5,FALSE)="3-Year Avg."),AA174,IF($A$2=2,AO174,IF($A$2=3,AA174,IF(($AG174&gt;$AU174),AA174,AO174)))))</f>
        <v>14.775</v>
      </c>
      <c r="N174" s="317">
        <f>IF(AND($A$2=4,VLOOKUP($A174,'District Level ADM'!$A$5:$W$52,5,FALSE)="Prior Year"),AP174,IF(AND($A$2=4,VLOOKUP($A174,'District Level ADM'!$A$5:$W$52,5,FALSE)="3-Year Avg."),AB174,IF($A$2=2,AP174,IF($A$2=3,AB174,IF(($AG174&gt;$AU174),AB174,AP174)))))</f>
        <v>18.715</v>
      </c>
      <c r="O174" s="317">
        <f>IF(AND($A$2=4,VLOOKUP($A174,'District Level ADM'!$A$5:$W$52,5,FALSE)="Prior Year"),AQ174,IF(AND($A$2=4,VLOOKUP($A174,'District Level ADM'!$A$5:$W$52,5,FALSE)="3-Year Avg."),AC174,IF($A$2=2,AQ174,IF($A$2=3,AC174,IF(($AG174&gt;$AU174),AC174,AQ174)))))</f>
        <v>12.805</v>
      </c>
      <c r="P174" s="317">
        <f>IF(AND($A$2=4,VLOOKUP($A174,'District Level ADM'!$A$5:$W$52,5,FALSE)="Prior Year"),AR174,IF(AND($A$2=4,VLOOKUP($A174,'District Level ADM'!$A$5:$W$52,5,FALSE)="3-Year Avg."),AD174,IF($A$2=2,AR174,IF($A$2=3,AD174,IF(($AG174&gt;$AU174),AD174,AR174)))))</f>
        <v>0</v>
      </c>
      <c r="Q174" s="317">
        <f>IF(AND($A$2=4,VLOOKUP($A174,'District Level ADM'!$A$5:$W$52,5,FALSE)="Prior Year"),AS174,IF(AND($A$2=4,VLOOKUP($A174,'District Level ADM'!$A$5:$W$52,5,FALSE)="3-Year Avg."),AE174,IF($A$2=2,AS174,IF($A$2=3,AE174,IF(($AG174&gt;$AU174),AE174,AS174)))))</f>
        <v>0</v>
      </c>
      <c r="R174" s="317">
        <f>IF(AND($A$2=4,VLOOKUP($A174,'District Level ADM'!$A$5:$W$52,5,FALSE)="Prior Year"),AT174,IF(AND($A$2=4,VLOOKUP($A174,'District Level ADM'!$A$5:$W$52,5,FALSE)="3-Year Avg."),AF174,IF($A$2=2,AT174,IF($A$2=3,AF174,IF(($AG174&gt;$AU174),AF174,AT174)))))</f>
        <v>0</v>
      </c>
      <c r="S174" s="317">
        <f t="shared" si="25"/>
        <v>73.875</v>
      </c>
      <c r="T174" s="317">
        <f t="shared" si="29"/>
        <v>0</v>
      </c>
      <c r="U174" s="317">
        <f t="shared" si="29"/>
        <v>0</v>
      </c>
      <c r="V174" s="317">
        <f t="shared" si="29"/>
        <v>0</v>
      </c>
      <c r="W174" s="317">
        <f t="shared" si="29"/>
        <v>0</v>
      </c>
      <c r="X174" s="317">
        <f t="shared" si="29"/>
        <v>0</v>
      </c>
      <c r="Y174" s="317">
        <f t="shared" si="29"/>
        <v>0</v>
      </c>
      <c r="Z174" s="317">
        <f t="shared" si="29"/>
        <v>22.206333333333333</v>
      </c>
      <c r="AA174" s="317">
        <f t="shared" si="29"/>
        <v>8.5329999999999995</v>
      </c>
      <c r="AB174" s="317">
        <f t="shared" si="29"/>
        <v>7.9976666666666665</v>
      </c>
      <c r="AC174" s="317">
        <f t="shared" si="29"/>
        <v>4.2683333333333335</v>
      </c>
      <c r="AD174" s="317">
        <f t="shared" si="30"/>
        <v>0</v>
      </c>
      <c r="AE174" s="317">
        <f t="shared" si="30"/>
        <v>0</v>
      </c>
      <c r="AF174" s="317">
        <f t="shared" si="30"/>
        <v>0</v>
      </c>
      <c r="AG174" s="317">
        <f t="shared" si="26"/>
        <v>43.005333333333333</v>
      </c>
      <c r="AH174" s="318">
        <v>0</v>
      </c>
      <c r="AI174" s="318">
        <v>0</v>
      </c>
      <c r="AJ174" s="318">
        <v>0</v>
      </c>
      <c r="AK174" s="318">
        <v>0</v>
      </c>
      <c r="AL174" s="318">
        <v>0</v>
      </c>
      <c r="AM174" s="318">
        <v>0</v>
      </c>
      <c r="AN174" s="318">
        <v>27.58</v>
      </c>
      <c r="AO174" s="318">
        <v>14.775</v>
      </c>
      <c r="AP174" s="318">
        <v>18.715</v>
      </c>
      <c r="AQ174" s="318">
        <v>12.805</v>
      </c>
      <c r="AR174" s="318">
        <v>0</v>
      </c>
      <c r="AS174" s="318">
        <v>0</v>
      </c>
      <c r="AT174" s="318">
        <v>0</v>
      </c>
      <c r="AU174" s="317">
        <f t="shared" si="27"/>
        <v>73.875</v>
      </c>
      <c r="AV174" s="319">
        <v>0</v>
      </c>
      <c r="AW174" s="319">
        <v>0</v>
      </c>
      <c r="AX174" s="319">
        <v>0</v>
      </c>
      <c r="AY174" s="319">
        <v>0</v>
      </c>
      <c r="AZ174" s="319">
        <v>0</v>
      </c>
      <c r="BA174" s="319">
        <v>0</v>
      </c>
      <c r="BB174" s="319">
        <v>19.998999999999999</v>
      </c>
      <c r="BC174" s="319">
        <v>10.824</v>
      </c>
      <c r="BD174" s="319">
        <v>5.2779999999999996</v>
      </c>
      <c r="BE174" s="319">
        <v>0</v>
      </c>
      <c r="BF174" s="319">
        <v>0</v>
      </c>
      <c r="BG174" s="319">
        <v>0</v>
      </c>
      <c r="BH174" s="319">
        <v>0</v>
      </c>
      <c r="BI174" s="317">
        <f t="shared" si="28"/>
        <v>36.100999999999999</v>
      </c>
      <c r="BJ174" s="316">
        <v>0</v>
      </c>
      <c r="BK174" s="316">
        <v>0</v>
      </c>
      <c r="BL174" s="316">
        <v>0</v>
      </c>
      <c r="BM174" s="316">
        <v>0</v>
      </c>
      <c r="BN174" s="316">
        <v>0</v>
      </c>
      <c r="BO174" s="316">
        <v>0</v>
      </c>
      <c r="BP174" s="316">
        <v>19.04</v>
      </c>
      <c r="BQ174" s="316">
        <v>0</v>
      </c>
      <c r="BR174" s="316">
        <v>0</v>
      </c>
      <c r="BS174" s="316">
        <v>0</v>
      </c>
      <c r="BT174" s="316">
        <v>0</v>
      </c>
      <c r="BU174" s="316">
        <v>0</v>
      </c>
      <c r="BV174" s="316">
        <v>0</v>
      </c>
      <c r="BW174" s="317">
        <f t="shared" ref="BW174" si="32">SUM(BJ174:BV174)</f>
        <v>19.04</v>
      </c>
    </row>
    <row r="175" spans="1:734" x14ac:dyDescent="0.2">
      <c r="A175" s="20" t="str">
        <f>'School Level Inst. Resources'!A175</f>
        <v>1101000</v>
      </c>
      <c r="B175" s="20" t="str">
        <f>'School Level Inst. Resources'!B175</f>
        <v>Laramie #1</v>
      </c>
      <c r="C175" s="20" t="str">
        <f>'School Level Inst. Resources'!C175</f>
        <v>1101050</v>
      </c>
      <c r="D175" s="20" t="str">
        <f>'School Level Inst. Resources'!D175</f>
        <v>Carey Junior High School</v>
      </c>
      <c r="E175" s="138" t="str">
        <f>'School Level Inst. Resources'!E175</f>
        <v>7-8</v>
      </c>
      <c r="F175" s="317">
        <f>IF(AND($A$2=4,VLOOKUP($A175,'District Level ADM'!$A$5:$W$52,5,FALSE)="Prior Year"),AH175,IF(AND($A$2=4,VLOOKUP($A175,'District Level ADM'!$A$5:$W$52,5,FALSE)="3-Year Avg."),T175,IF($A$2=2,AH175,IF($A$2=3,T175,IF(($AG175&gt;$AU175),T175,AH175)))))</f>
        <v>0</v>
      </c>
      <c r="G175" s="317">
        <f>IF(AND($A$2=4,VLOOKUP($A175,'District Level ADM'!$A$5:$W$52,5,FALSE)="Prior Year"),AI175,IF(AND($A$2=4,VLOOKUP($A175,'District Level ADM'!$A$5:$W$52,5,FALSE)="3-Year Avg."),U175,IF($A$2=2,AI175,IF($A$2=3,U175,IF(($AG175&gt;$AU175),U175,AI175)))))</f>
        <v>0</v>
      </c>
      <c r="H175" s="317">
        <f>IF(AND($A$2=4,VLOOKUP($A175,'District Level ADM'!$A$5:$W$52,5,FALSE)="Prior Year"),AJ175,IF(AND($A$2=4,VLOOKUP($A175,'District Level ADM'!$A$5:$W$52,5,FALSE)="3-Year Avg."),V175,IF($A$2=2,AJ175,IF($A$2=3,V175,IF(($AG175&gt;$AU175),V175,AJ175)))))</f>
        <v>0</v>
      </c>
      <c r="I175" s="317">
        <f>IF(AND($A$2=4,VLOOKUP($A175,'District Level ADM'!$A$5:$W$52,5,FALSE)="Prior Year"),AK175,IF(AND($A$2=4,VLOOKUP($A175,'District Level ADM'!$A$5:$W$52,5,FALSE)="3-Year Avg."),W175,IF($A$2=2,AK175,IF($A$2=3,W175,IF(($AG175&gt;$AU175),W175,AK175)))))</f>
        <v>0</v>
      </c>
      <c r="J175" s="317">
        <f>IF(AND($A$2=4,VLOOKUP($A175,'District Level ADM'!$A$5:$W$52,5,FALSE)="Prior Year"),AL175,IF(AND($A$2=4,VLOOKUP($A175,'District Level ADM'!$A$5:$W$52,5,FALSE)="3-Year Avg."),X175,IF($A$2=2,AL175,IF($A$2=3,X175,IF(($AG175&gt;$AU175),X175,AL175)))))</f>
        <v>0</v>
      </c>
      <c r="K175" s="317">
        <f>IF(AND($A$2=4,VLOOKUP($A175,'District Level ADM'!$A$5:$W$52,5,FALSE)="Prior Year"),AM175,IF(AND($A$2=4,VLOOKUP($A175,'District Level ADM'!$A$5:$W$52,5,FALSE)="3-Year Avg."),Y175,IF($A$2=2,AM175,IF($A$2=3,Y175,IF(($AG175&gt;$AU175),Y175,AM175)))))</f>
        <v>0</v>
      </c>
      <c r="L175" s="317">
        <f>IF(AND($A$2=4,VLOOKUP($A175,'District Level ADM'!$A$5:$W$52,5,FALSE)="Prior Year"),AN175,IF(AND($A$2=4,VLOOKUP($A175,'District Level ADM'!$A$5:$W$52,5,FALSE)="3-Year Avg."),Z175,IF($A$2=2,AN175,IF($A$2=3,Z175,IF(($AG175&gt;$AU175),Z175,AN175)))))</f>
        <v>0</v>
      </c>
      <c r="M175" s="317">
        <f>IF(AND($A$2=4,VLOOKUP($A175,'District Level ADM'!$A$5:$W$52,5,FALSE)="Prior Year"),AO175,IF(AND($A$2=4,VLOOKUP($A175,'District Level ADM'!$A$5:$W$52,5,FALSE)="3-Year Avg."),AA175,IF($A$2=2,AO175,IF($A$2=3,AA175,IF(($AG175&gt;$AU175),AA175,AO175)))))</f>
        <v>355.58499999999998</v>
      </c>
      <c r="N175" s="317">
        <f>IF(AND($A$2=4,VLOOKUP($A175,'District Level ADM'!$A$5:$W$52,5,FALSE)="Prior Year"),AP175,IF(AND($A$2=4,VLOOKUP($A175,'District Level ADM'!$A$5:$W$52,5,FALSE)="3-Year Avg."),AB175,IF($A$2=2,AP175,IF($A$2=3,AB175,IF(($AG175&gt;$AU175),AB175,AP175)))))</f>
        <v>355.58499999999998</v>
      </c>
      <c r="O175" s="317">
        <f>IF(AND($A$2=4,VLOOKUP($A175,'District Level ADM'!$A$5:$W$52,5,FALSE)="Prior Year"),AQ175,IF(AND($A$2=4,VLOOKUP($A175,'District Level ADM'!$A$5:$W$52,5,FALSE)="3-Year Avg."),AC175,IF($A$2=2,AQ175,IF($A$2=3,AC175,IF(($AG175&gt;$AU175),AC175,AQ175)))))</f>
        <v>0</v>
      </c>
      <c r="P175" s="317">
        <f>IF(AND($A$2=4,VLOOKUP($A175,'District Level ADM'!$A$5:$W$52,5,FALSE)="Prior Year"),AR175,IF(AND($A$2=4,VLOOKUP($A175,'District Level ADM'!$A$5:$W$52,5,FALSE)="3-Year Avg."),AD175,IF($A$2=2,AR175,IF($A$2=3,AD175,IF(($AG175&gt;$AU175),AD175,AR175)))))</f>
        <v>0</v>
      </c>
      <c r="Q175" s="317">
        <f>IF(AND($A$2=4,VLOOKUP($A175,'District Level ADM'!$A$5:$W$52,5,FALSE)="Prior Year"),AS175,IF(AND($A$2=4,VLOOKUP($A175,'District Level ADM'!$A$5:$W$52,5,FALSE)="3-Year Avg."),AE175,IF($A$2=2,AS175,IF($A$2=3,AE175,IF(($AG175&gt;$AU175),AE175,AS175)))))</f>
        <v>0</v>
      </c>
      <c r="R175" s="317">
        <f>IF(AND($A$2=4,VLOOKUP($A175,'District Level ADM'!$A$5:$W$52,5,FALSE)="Prior Year"),AT175,IF(AND($A$2=4,VLOOKUP($A175,'District Level ADM'!$A$5:$W$52,5,FALSE)="3-Year Avg."),AF175,IF($A$2=2,AT175,IF($A$2=3,AF175,IF(($AG175&gt;$AU175),AF175,AT175)))))</f>
        <v>0</v>
      </c>
      <c r="S175" s="317">
        <f t="shared" si="25"/>
        <v>711.17</v>
      </c>
      <c r="T175" s="317">
        <f t="shared" si="29"/>
        <v>0</v>
      </c>
      <c r="U175" s="317">
        <f t="shared" si="29"/>
        <v>0</v>
      </c>
      <c r="V175" s="317">
        <f t="shared" si="29"/>
        <v>0</v>
      </c>
      <c r="W175" s="317">
        <f t="shared" si="29"/>
        <v>0</v>
      </c>
      <c r="X175" s="317">
        <f t="shared" si="29"/>
        <v>0</v>
      </c>
      <c r="Y175" s="317">
        <f t="shared" si="29"/>
        <v>0</v>
      </c>
      <c r="Z175" s="317">
        <f t="shared" si="29"/>
        <v>0</v>
      </c>
      <c r="AA175" s="317">
        <f t="shared" si="29"/>
        <v>366.13866666666667</v>
      </c>
      <c r="AB175" s="317">
        <f t="shared" si="29"/>
        <v>369.71366666666671</v>
      </c>
      <c r="AC175" s="317">
        <f t="shared" si="29"/>
        <v>0</v>
      </c>
      <c r="AD175" s="317">
        <f t="shared" si="30"/>
        <v>0</v>
      </c>
      <c r="AE175" s="317">
        <f t="shared" si="30"/>
        <v>0</v>
      </c>
      <c r="AF175" s="317">
        <f t="shared" si="30"/>
        <v>0</v>
      </c>
      <c r="AG175" s="317">
        <f t="shared" si="26"/>
        <v>735.85233333333338</v>
      </c>
      <c r="AH175" s="318">
        <v>0</v>
      </c>
      <c r="AI175" s="318">
        <v>0</v>
      </c>
      <c r="AJ175" s="318">
        <v>0</v>
      </c>
      <c r="AK175" s="318">
        <v>0</v>
      </c>
      <c r="AL175" s="318">
        <v>0</v>
      </c>
      <c r="AM175" s="318">
        <v>0</v>
      </c>
      <c r="AN175" s="318">
        <v>0</v>
      </c>
      <c r="AO175" s="318">
        <v>355.58499999999998</v>
      </c>
      <c r="AP175" s="318">
        <v>355.58499999999998</v>
      </c>
      <c r="AQ175" s="318">
        <v>0</v>
      </c>
      <c r="AR175" s="318">
        <v>0</v>
      </c>
      <c r="AS175" s="318">
        <v>0</v>
      </c>
      <c r="AT175" s="318">
        <v>0</v>
      </c>
      <c r="AU175" s="317">
        <f t="shared" si="27"/>
        <v>711.17</v>
      </c>
      <c r="AV175" s="319">
        <v>0</v>
      </c>
      <c r="AW175" s="319">
        <v>0</v>
      </c>
      <c r="AX175" s="319">
        <v>0</v>
      </c>
      <c r="AY175" s="319">
        <v>0</v>
      </c>
      <c r="AZ175" s="319">
        <v>0</v>
      </c>
      <c r="BA175" s="319">
        <v>0</v>
      </c>
      <c r="BB175" s="319">
        <v>0</v>
      </c>
      <c r="BC175" s="319">
        <v>369.72199999999998</v>
      </c>
      <c r="BD175" s="319">
        <v>362.68200000000002</v>
      </c>
      <c r="BE175" s="319">
        <v>0</v>
      </c>
      <c r="BF175" s="319">
        <v>0</v>
      </c>
      <c r="BG175" s="319">
        <v>0</v>
      </c>
      <c r="BH175" s="319">
        <v>0</v>
      </c>
      <c r="BI175" s="317">
        <f t="shared" si="28"/>
        <v>732.404</v>
      </c>
      <c r="BJ175" s="316">
        <v>0</v>
      </c>
      <c r="BK175" s="316">
        <v>0</v>
      </c>
      <c r="BL175" s="316">
        <v>0</v>
      </c>
      <c r="BM175" s="316">
        <v>0</v>
      </c>
      <c r="BN175" s="316">
        <v>0</v>
      </c>
      <c r="BO175" s="316">
        <v>0</v>
      </c>
      <c r="BP175" s="316">
        <v>0</v>
      </c>
      <c r="BQ175" s="316">
        <v>373.10899999999998</v>
      </c>
      <c r="BR175" s="316">
        <v>390.87400000000002</v>
      </c>
      <c r="BS175" s="316">
        <v>0</v>
      </c>
      <c r="BT175" s="316">
        <v>0</v>
      </c>
      <c r="BU175" s="316">
        <v>0</v>
      </c>
      <c r="BV175" s="316">
        <v>0</v>
      </c>
      <c r="BW175" s="317">
        <f t="shared" si="24"/>
        <v>763.98299999999995</v>
      </c>
    </row>
    <row r="176" spans="1:734" x14ac:dyDescent="0.2">
      <c r="A176" s="20" t="str">
        <f>'School Level Inst. Resources'!A176</f>
        <v>1101000</v>
      </c>
      <c r="B176" s="20" t="str">
        <f>'School Level Inst. Resources'!B176</f>
        <v>Laramie #1</v>
      </c>
      <c r="C176" s="20" t="str">
        <f>'School Level Inst. Resources'!C176</f>
        <v>1101051</v>
      </c>
      <c r="D176" s="20" t="str">
        <f>'School Level Inst. Resources'!D176</f>
        <v>Johnson Junior High School</v>
      </c>
      <c r="E176" s="138" t="str">
        <f>'School Level Inst. Resources'!E176</f>
        <v>7-8</v>
      </c>
      <c r="F176" s="317">
        <f>IF(AND($A$2=4,VLOOKUP($A176,'District Level ADM'!$A$5:$W$52,5,FALSE)="Prior Year"),AH176,IF(AND($A$2=4,VLOOKUP($A176,'District Level ADM'!$A$5:$W$52,5,FALSE)="3-Year Avg."),T176,IF($A$2=2,AH176,IF($A$2=3,T176,IF(($AG176&gt;$AU176),T176,AH176)))))</f>
        <v>0</v>
      </c>
      <c r="G176" s="317">
        <f>IF(AND($A$2=4,VLOOKUP($A176,'District Level ADM'!$A$5:$W$52,5,FALSE)="Prior Year"),AI176,IF(AND($A$2=4,VLOOKUP($A176,'District Level ADM'!$A$5:$W$52,5,FALSE)="3-Year Avg."),U176,IF($A$2=2,AI176,IF($A$2=3,U176,IF(($AG176&gt;$AU176),U176,AI176)))))</f>
        <v>0</v>
      </c>
      <c r="H176" s="317">
        <f>IF(AND($A$2=4,VLOOKUP($A176,'District Level ADM'!$A$5:$W$52,5,FALSE)="Prior Year"),AJ176,IF(AND($A$2=4,VLOOKUP($A176,'District Level ADM'!$A$5:$W$52,5,FALSE)="3-Year Avg."),V176,IF($A$2=2,AJ176,IF($A$2=3,V176,IF(($AG176&gt;$AU176),V176,AJ176)))))</f>
        <v>0</v>
      </c>
      <c r="I176" s="317">
        <f>IF(AND($A$2=4,VLOOKUP($A176,'District Level ADM'!$A$5:$W$52,5,FALSE)="Prior Year"),AK176,IF(AND($A$2=4,VLOOKUP($A176,'District Level ADM'!$A$5:$W$52,5,FALSE)="3-Year Avg."),W176,IF($A$2=2,AK176,IF($A$2=3,W176,IF(($AG176&gt;$AU176),W176,AK176)))))</f>
        <v>0</v>
      </c>
      <c r="J176" s="317">
        <f>IF(AND($A$2=4,VLOOKUP($A176,'District Level ADM'!$A$5:$W$52,5,FALSE)="Prior Year"),AL176,IF(AND($A$2=4,VLOOKUP($A176,'District Level ADM'!$A$5:$W$52,5,FALSE)="3-Year Avg."),X176,IF($A$2=2,AL176,IF($A$2=3,X176,IF(($AG176&gt;$AU176),X176,AL176)))))</f>
        <v>0</v>
      </c>
      <c r="K176" s="317">
        <f>IF(AND($A$2=4,VLOOKUP($A176,'District Level ADM'!$A$5:$W$52,5,FALSE)="Prior Year"),AM176,IF(AND($A$2=4,VLOOKUP($A176,'District Level ADM'!$A$5:$W$52,5,FALSE)="3-Year Avg."),Y176,IF($A$2=2,AM176,IF($A$2=3,Y176,IF(($AG176&gt;$AU176),Y176,AM176)))))</f>
        <v>0</v>
      </c>
      <c r="L176" s="317">
        <f>IF(AND($A$2=4,VLOOKUP($A176,'District Level ADM'!$A$5:$W$52,5,FALSE)="Prior Year"),AN176,IF(AND($A$2=4,VLOOKUP($A176,'District Level ADM'!$A$5:$W$52,5,FALSE)="3-Year Avg."),Z176,IF($A$2=2,AN176,IF($A$2=3,Z176,IF(($AG176&gt;$AU176),Z176,AN176)))))</f>
        <v>0</v>
      </c>
      <c r="M176" s="317">
        <f>IF(AND($A$2=4,VLOOKUP($A176,'District Level ADM'!$A$5:$W$52,5,FALSE)="Prior Year"),AO176,IF(AND($A$2=4,VLOOKUP($A176,'District Level ADM'!$A$5:$W$52,5,FALSE)="3-Year Avg."),AA176,IF($A$2=2,AO176,IF($A$2=3,AA176,IF(($AG176&gt;$AU176),AA176,AO176)))))</f>
        <v>343.76499999999999</v>
      </c>
      <c r="N176" s="317">
        <f>IF(AND($A$2=4,VLOOKUP($A176,'District Level ADM'!$A$5:$W$52,5,FALSE)="Prior Year"),AP176,IF(AND($A$2=4,VLOOKUP($A176,'District Level ADM'!$A$5:$W$52,5,FALSE)="3-Year Avg."),AB176,IF($A$2=2,AP176,IF($A$2=3,AB176,IF(($AG176&gt;$AU176),AB176,AP176)))))</f>
        <v>344.75</v>
      </c>
      <c r="O176" s="317">
        <f>IF(AND($A$2=4,VLOOKUP($A176,'District Level ADM'!$A$5:$W$52,5,FALSE)="Prior Year"),AQ176,IF(AND($A$2=4,VLOOKUP($A176,'District Level ADM'!$A$5:$W$52,5,FALSE)="3-Year Avg."),AC176,IF($A$2=2,AQ176,IF($A$2=3,AC176,IF(($AG176&gt;$AU176),AC176,AQ176)))))</f>
        <v>0</v>
      </c>
      <c r="P176" s="317">
        <f>IF(AND($A$2=4,VLOOKUP($A176,'District Level ADM'!$A$5:$W$52,5,FALSE)="Prior Year"),AR176,IF(AND($A$2=4,VLOOKUP($A176,'District Level ADM'!$A$5:$W$52,5,FALSE)="3-Year Avg."),AD176,IF($A$2=2,AR176,IF($A$2=3,AD176,IF(($AG176&gt;$AU176),AD176,AR176)))))</f>
        <v>0</v>
      </c>
      <c r="Q176" s="317">
        <f>IF(AND($A$2=4,VLOOKUP($A176,'District Level ADM'!$A$5:$W$52,5,FALSE)="Prior Year"),AS176,IF(AND($A$2=4,VLOOKUP($A176,'District Level ADM'!$A$5:$W$52,5,FALSE)="3-Year Avg."),AE176,IF($A$2=2,AS176,IF($A$2=3,AE176,IF(($AG176&gt;$AU176),AE176,AS176)))))</f>
        <v>0</v>
      </c>
      <c r="R176" s="317">
        <f>IF(AND($A$2=4,VLOOKUP($A176,'District Level ADM'!$A$5:$W$52,5,FALSE)="Prior Year"),AT176,IF(AND($A$2=4,VLOOKUP($A176,'District Level ADM'!$A$5:$W$52,5,FALSE)="3-Year Avg."),AF176,IF($A$2=2,AT176,IF($A$2=3,AF176,IF(($AG176&gt;$AU176),AF176,AT176)))))</f>
        <v>0</v>
      </c>
      <c r="S176" s="317">
        <f t="shared" si="25"/>
        <v>688.51499999999999</v>
      </c>
      <c r="T176" s="317">
        <f t="shared" si="29"/>
        <v>0</v>
      </c>
      <c r="U176" s="317">
        <f t="shared" si="29"/>
        <v>0</v>
      </c>
      <c r="V176" s="317">
        <f t="shared" si="29"/>
        <v>0</v>
      </c>
      <c r="W176" s="317">
        <f t="shared" si="29"/>
        <v>0</v>
      </c>
      <c r="X176" s="317">
        <f t="shared" si="29"/>
        <v>0</v>
      </c>
      <c r="Y176" s="317">
        <f t="shared" si="29"/>
        <v>0</v>
      </c>
      <c r="Z176" s="317">
        <f t="shared" si="29"/>
        <v>0</v>
      </c>
      <c r="AA176" s="317">
        <f t="shared" si="29"/>
        <v>352.33766666666662</v>
      </c>
      <c r="AB176" s="317">
        <f t="shared" si="29"/>
        <v>337.69233333333335</v>
      </c>
      <c r="AC176" s="317">
        <f t="shared" si="29"/>
        <v>0</v>
      </c>
      <c r="AD176" s="317">
        <f t="shared" si="30"/>
        <v>0</v>
      </c>
      <c r="AE176" s="317">
        <f t="shared" si="30"/>
        <v>0</v>
      </c>
      <c r="AF176" s="317">
        <f t="shared" si="30"/>
        <v>0</v>
      </c>
      <c r="AG176" s="317">
        <f t="shared" si="26"/>
        <v>690.03</v>
      </c>
      <c r="AH176" s="318">
        <v>0</v>
      </c>
      <c r="AI176" s="318">
        <v>0</v>
      </c>
      <c r="AJ176" s="318">
        <v>0</v>
      </c>
      <c r="AK176" s="318">
        <v>0</v>
      </c>
      <c r="AL176" s="318">
        <v>0</v>
      </c>
      <c r="AM176" s="318">
        <v>0</v>
      </c>
      <c r="AN176" s="318">
        <v>0</v>
      </c>
      <c r="AO176" s="318">
        <v>343.76499999999999</v>
      </c>
      <c r="AP176" s="318">
        <v>344.75</v>
      </c>
      <c r="AQ176" s="318">
        <v>0</v>
      </c>
      <c r="AR176" s="318">
        <v>0</v>
      </c>
      <c r="AS176" s="318">
        <v>0</v>
      </c>
      <c r="AT176" s="318">
        <v>0</v>
      </c>
      <c r="AU176" s="317">
        <f t="shared" si="27"/>
        <v>688.51499999999999</v>
      </c>
      <c r="AV176" s="319">
        <v>0</v>
      </c>
      <c r="AW176" s="319">
        <v>0</v>
      </c>
      <c r="AX176" s="319">
        <v>0</v>
      </c>
      <c r="AY176" s="319">
        <v>0</v>
      </c>
      <c r="AZ176" s="319">
        <v>0</v>
      </c>
      <c r="BA176" s="319">
        <v>0</v>
      </c>
      <c r="BB176" s="319">
        <v>0</v>
      </c>
      <c r="BC176" s="319">
        <v>362.68799999999999</v>
      </c>
      <c r="BD176" s="319">
        <v>349.233</v>
      </c>
      <c r="BE176" s="319">
        <v>0</v>
      </c>
      <c r="BF176" s="319">
        <v>0</v>
      </c>
      <c r="BG176" s="319">
        <v>0</v>
      </c>
      <c r="BH176" s="319">
        <v>0</v>
      </c>
      <c r="BI176" s="317">
        <f t="shared" si="28"/>
        <v>711.92100000000005</v>
      </c>
      <c r="BJ176" s="316">
        <v>0</v>
      </c>
      <c r="BK176" s="316">
        <v>0</v>
      </c>
      <c r="BL176" s="316">
        <v>0</v>
      </c>
      <c r="BM176" s="316">
        <v>0</v>
      </c>
      <c r="BN176" s="316">
        <v>0</v>
      </c>
      <c r="BO176" s="316">
        <v>0</v>
      </c>
      <c r="BP176" s="316">
        <v>0</v>
      </c>
      <c r="BQ176" s="316">
        <v>350.56</v>
      </c>
      <c r="BR176" s="316">
        <v>319.09399999999999</v>
      </c>
      <c r="BS176" s="316">
        <v>0</v>
      </c>
      <c r="BT176" s="316">
        <v>0</v>
      </c>
      <c r="BU176" s="316">
        <v>0</v>
      </c>
      <c r="BV176" s="316">
        <v>0</v>
      </c>
      <c r="BW176" s="317">
        <f t="shared" si="24"/>
        <v>669.654</v>
      </c>
    </row>
    <row r="177" spans="1:75" x14ac:dyDescent="0.2">
      <c r="A177" s="20" t="str">
        <f>'School Level Inst. Resources'!A177</f>
        <v>1101000</v>
      </c>
      <c r="B177" s="20" t="str">
        <f>'School Level Inst. Resources'!B177</f>
        <v>Laramie #1</v>
      </c>
      <c r="C177" s="20" t="str">
        <f>'School Level Inst. Resources'!C177</f>
        <v>1101052</v>
      </c>
      <c r="D177" s="20" t="str">
        <f>'School Level Inst. Resources'!D177</f>
        <v>McCormick Junior High School</v>
      </c>
      <c r="E177" s="138" t="str">
        <f>'School Level Inst. Resources'!E177</f>
        <v>7-8</v>
      </c>
      <c r="F177" s="317">
        <f>IF(AND($A$2=4,VLOOKUP($A177,'District Level ADM'!$A$5:$W$52,5,FALSE)="Prior Year"),AH177,IF(AND($A$2=4,VLOOKUP($A177,'District Level ADM'!$A$5:$W$52,5,FALSE)="3-Year Avg."),T177,IF($A$2=2,AH177,IF($A$2=3,T177,IF(($AG177&gt;$AU177),T177,AH177)))))</f>
        <v>0</v>
      </c>
      <c r="G177" s="317">
        <f>IF(AND($A$2=4,VLOOKUP($A177,'District Level ADM'!$A$5:$W$52,5,FALSE)="Prior Year"),AI177,IF(AND($A$2=4,VLOOKUP($A177,'District Level ADM'!$A$5:$W$52,5,FALSE)="3-Year Avg."),U177,IF($A$2=2,AI177,IF($A$2=3,U177,IF(($AG177&gt;$AU177),U177,AI177)))))</f>
        <v>0</v>
      </c>
      <c r="H177" s="317">
        <f>IF(AND($A$2=4,VLOOKUP($A177,'District Level ADM'!$A$5:$W$52,5,FALSE)="Prior Year"),AJ177,IF(AND($A$2=4,VLOOKUP($A177,'District Level ADM'!$A$5:$W$52,5,FALSE)="3-Year Avg."),V177,IF($A$2=2,AJ177,IF($A$2=3,V177,IF(($AG177&gt;$AU177),V177,AJ177)))))</f>
        <v>0</v>
      </c>
      <c r="I177" s="317">
        <f>IF(AND($A$2=4,VLOOKUP($A177,'District Level ADM'!$A$5:$W$52,5,FALSE)="Prior Year"),AK177,IF(AND($A$2=4,VLOOKUP($A177,'District Level ADM'!$A$5:$W$52,5,FALSE)="3-Year Avg."),W177,IF($A$2=2,AK177,IF($A$2=3,W177,IF(($AG177&gt;$AU177),W177,AK177)))))</f>
        <v>0</v>
      </c>
      <c r="J177" s="317">
        <f>IF(AND($A$2=4,VLOOKUP($A177,'District Level ADM'!$A$5:$W$52,5,FALSE)="Prior Year"),AL177,IF(AND($A$2=4,VLOOKUP($A177,'District Level ADM'!$A$5:$W$52,5,FALSE)="3-Year Avg."),X177,IF($A$2=2,AL177,IF($A$2=3,X177,IF(($AG177&gt;$AU177),X177,AL177)))))</f>
        <v>0</v>
      </c>
      <c r="K177" s="317">
        <f>IF(AND($A$2=4,VLOOKUP($A177,'District Level ADM'!$A$5:$W$52,5,FALSE)="Prior Year"),AM177,IF(AND($A$2=4,VLOOKUP($A177,'District Level ADM'!$A$5:$W$52,5,FALSE)="3-Year Avg."),Y177,IF($A$2=2,AM177,IF($A$2=3,Y177,IF(($AG177&gt;$AU177),Y177,AM177)))))</f>
        <v>0</v>
      </c>
      <c r="L177" s="317">
        <f>IF(AND($A$2=4,VLOOKUP($A177,'District Level ADM'!$A$5:$W$52,5,FALSE)="Prior Year"),AN177,IF(AND($A$2=4,VLOOKUP($A177,'District Level ADM'!$A$5:$W$52,5,FALSE)="3-Year Avg."),Z177,IF($A$2=2,AN177,IF($A$2=3,Z177,IF(($AG177&gt;$AU177),Z177,AN177)))))</f>
        <v>0</v>
      </c>
      <c r="M177" s="317">
        <f>IF(AND($A$2=4,VLOOKUP($A177,'District Level ADM'!$A$5:$W$52,5,FALSE)="Prior Year"),AO177,IF(AND($A$2=4,VLOOKUP($A177,'District Level ADM'!$A$5:$W$52,5,FALSE)="3-Year Avg."),AA177,IF($A$2=2,AO177,IF($A$2=3,AA177,IF(($AG177&gt;$AU177),AA177,AO177)))))</f>
        <v>331.94499999999999</v>
      </c>
      <c r="N177" s="317">
        <f>IF(AND($A$2=4,VLOOKUP($A177,'District Level ADM'!$A$5:$W$52,5,FALSE)="Prior Year"),AP177,IF(AND($A$2=4,VLOOKUP($A177,'District Level ADM'!$A$5:$W$52,5,FALSE)="3-Year Avg."),AB177,IF($A$2=2,AP177,IF($A$2=3,AB177,IF(($AG177&gt;$AU177),AB177,AP177)))))</f>
        <v>353.61500000000001</v>
      </c>
      <c r="O177" s="317">
        <f>IF(AND($A$2=4,VLOOKUP($A177,'District Level ADM'!$A$5:$W$52,5,FALSE)="Prior Year"),AQ177,IF(AND($A$2=4,VLOOKUP($A177,'District Level ADM'!$A$5:$W$52,5,FALSE)="3-Year Avg."),AC177,IF($A$2=2,AQ177,IF($A$2=3,AC177,IF(($AG177&gt;$AU177),AC177,AQ177)))))</f>
        <v>0</v>
      </c>
      <c r="P177" s="317">
        <f>IF(AND($A$2=4,VLOOKUP($A177,'District Level ADM'!$A$5:$W$52,5,FALSE)="Prior Year"),AR177,IF(AND($A$2=4,VLOOKUP($A177,'District Level ADM'!$A$5:$W$52,5,FALSE)="3-Year Avg."),AD177,IF($A$2=2,AR177,IF($A$2=3,AD177,IF(($AG177&gt;$AU177),AD177,AR177)))))</f>
        <v>0</v>
      </c>
      <c r="Q177" s="317">
        <f>IF(AND($A$2=4,VLOOKUP($A177,'District Level ADM'!$A$5:$W$52,5,FALSE)="Prior Year"),AS177,IF(AND($A$2=4,VLOOKUP($A177,'District Level ADM'!$A$5:$W$52,5,FALSE)="3-Year Avg."),AE177,IF($A$2=2,AS177,IF($A$2=3,AE177,IF(($AG177&gt;$AU177),AE177,AS177)))))</f>
        <v>0</v>
      </c>
      <c r="R177" s="317">
        <f>IF(AND($A$2=4,VLOOKUP($A177,'District Level ADM'!$A$5:$W$52,5,FALSE)="Prior Year"),AT177,IF(AND($A$2=4,VLOOKUP($A177,'District Level ADM'!$A$5:$W$52,5,FALSE)="3-Year Avg."),AF177,IF($A$2=2,AT177,IF($A$2=3,AF177,IF(($AG177&gt;$AU177),AF177,AT177)))))</f>
        <v>0</v>
      </c>
      <c r="S177" s="317">
        <f t="shared" si="25"/>
        <v>685.56</v>
      </c>
      <c r="T177" s="317">
        <f t="shared" si="29"/>
        <v>0</v>
      </c>
      <c r="U177" s="317">
        <f t="shared" si="29"/>
        <v>0</v>
      </c>
      <c r="V177" s="317">
        <f t="shared" si="29"/>
        <v>0</v>
      </c>
      <c r="W177" s="317">
        <f t="shared" si="29"/>
        <v>0</v>
      </c>
      <c r="X177" s="317">
        <f t="shared" si="29"/>
        <v>0</v>
      </c>
      <c r="Y177" s="317">
        <f t="shared" si="29"/>
        <v>0</v>
      </c>
      <c r="Z177" s="317">
        <f t="shared" si="29"/>
        <v>0</v>
      </c>
      <c r="AA177" s="317">
        <f t="shared" si="29"/>
        <v>343.91066666666666</v>
      </c>
      <c r="AB177" s="317">
        <f t="shared" si="29"/>
        <v>328.20133333333337</v>
      </c>
      <c r="AC177" s="317">
        <f t="shared" si="29"/>
        <v>0</v>
      </c>
      <c r="AD177" s="317">
        <f t="shared" si="30"/>
        <v>0</v>
      </c>
      <c r="AE177" s="317">
        <f t="shared" si="30"/>
        <v>0</v>
      </c>
      <c r="AF177" s="317">
        <f t="shared" si="30"/>
        <v>0</v>
      </c>
      <c r="AG177" s="317">
        <f t="shared" si="26"/>
        <v>672.11200000000008</v>
      </c>
      <c r="AH177" s="318">
        <v>0</v>
      </c>
      <c r="AI177" s="318">
        <v>0</v>
      </c>
      <c r="AJ177" s="318">
        <v>0</v>
      </c>
      <c r="AK177" s="318">
        <v>0</v>
      </c>
      <c r="AL177" s="318">
        <v>0</v>
      </c>
      <c r="AM177" s="318">
        <v>0</v>
      </c>
      <c r="AN177" s="318">
        <v>0</v>
      </c>
      <c r="AO177" s="318">
        <v>331.94499999999999</v>
      </c>
      <c r="AP177" s="318">
        <v>353.61500000000001</v>
      </c>
      <c r="AQ177" s="318">
        <v>0</v>
      </c>
      <c r="AR177" s="318">
        <v>0</v>
      </c>
      <c r="AS177" s="318">
        <v>0</v>
      </c>
      <c r="AT177" s="318">
        <v>0</v>
      </c>
      <c r="AU177" s="317">
        <f t="shared" si="27"/>
        <v>685.56</v>
      </c>
      <c r="AV177" s="319">
        <v>0</v>
      </c>
      <c r="AW177" s="319">
        <v>0</v>
      </c>
      <c r="AX177" s="319">
        <v>0</v>
      </c>
      <c r="AY177" s="319">
        <v>0</v>
      </c>
      <c r="AZ177" s="319">
        <v>0</v>
      </c>
      <c r="BA177" s="319">
        <v>0</v>
      </c>
      <c r="BB177" s="319">
        <v>0</v>
      </c>
      <c r="BC177" s="319">
        <v>358.28699999999998</v>
      </c>
      <c r="BD177" s="319">
        <v>349.77600000000001</v>
      </c>
      <c r="BE177" s="319">
        <v>0</v>
      </c>
      <c r="BF177" s="319">
        <v>0</v>
      </c>
      <c r="BG177" s="319">
        <v>0</v>
      </c>
      <c r="BH177" s="319">
        <v>0</v>
      </c>
      <c r="BI177" s="317">
        <f t="shared" si="28"/>
        <v>708.06299999999999</v>
      </c>
      <c r="BJ177" s="316">
        <v>0</v>
      </c>
      <c r="BK177" s="316">
        <v>0</v>
      </c>
      <c r="BL177" s="316">
        <v>0</v>
      </c>
      <c r="BM177" s="316">
        <v>0</v>
      </c>
      <c r="BN177" s="316">
        <v>0</v>
      </c>
      <c r="BO177" s="316">
        <v>0</v>
      </c>
      <c r="BP177" s="316">
        <v>0</v>
      </c>
      <c r="BQ177" s="316">
        <v>341.5</v>
      </c>
      <c r="BR177" s="316">
        <v>281.21300000000002</v>
      </c>
      <c r="BS177" s="316">
        <v>0</v>
      </c>
      <c r="BT177" s="316">
        <v>0</v>
      </c>
      <c r="BU177" s="316">
        <v>0</v>
      </c>
      <c r="BV177" s="316">
        <v>0</v>
      </c>
      <c r="BW177" s="317">
        <f t="shared" si="24"/>
        <v>622.71299999999997</v>
      </c>
    </row>
    <row r="178" spans="1:75" x14ac:dyDescent="0.2">
      <c r="A178" s="20" t="str">
        <f>'School Level Inst. Resources'!A178</f>
        <v>1101000</v>
      </c>
      <c r="B178" s="20" t="str">
        <f>'School Level Inst. Resources'!B178</f>
        <v>Laramie #1</v>
      </c>
      <c r="C178" s="20" t="str">
        <f>'School Level Inst. Resources'!C178</f>
        <v>1101055</v>
      </c>
      <c r="D178" s="20" t="str">
        <f>'School Level Inst. Resources'!D178</f>
        <v>Central High School</v>
      </c>
      <c r="E178" s="138" t="str">
        <f>'School Level Inst. Resources'!E178</f>
        <v>9-12</v>
      </c>
      <c r="F178" s="317">
        <f>IF(AND($A$2=4,VLOOKUP($A178,'District Level ADM'!$A$5:$W$52,5,FALSE)="Prior Year"),AH178,IF(AND($A$2=4,VLOOKUP($A178,'District Level ADM'!$A$5:$W$52,5,FALSE)="3-Year Avg."),T178,IF($A$2=2,AH178,IF($A$2=3,T178,IF(($AG178&gt;$AU178),T178,AH178)))))</f>
        <v>0</v>
      </c>
      <c r="G178" s="317">
        <f>IF(AND($A$2=4,VLOOKUP($A178,'District Level ADM'!$A$5:$W$52,5,FALSE)="Prior Year"),AI178,IF(AND($A$2=4,VLOOKUP($A178,'District Level ADM'!$A$5:$W$52,5,FALSE)="3-Year Avg."),U178,IF($A$2=2,AI178,IF($A$2=3,U178,IF(($AG178&gt;$AU178),U178,AI178)))))</f>
        <v>0</v>
      </c>
      <c r="H178" s="317">
        <f>IF(AND($A$2=4,VLOOKUP($A178,'District Level ADM'!$A$5:$W$52,5,FALSE)="Prior Year"),AJ178,IF(AND($A$2=4,VLOOKUP($A178,'District Level ADM'!$A$5:$W$52,5,FALSE)="3-Year Avg."),V178,IF($A$2=2,AJ178,IF($A$2=3,V178,IF(($AG178&gt;$AU178),V178,AJ178)))))</f>
        <v>0</v>
      </c>
      <c r="I178" s="317">
        <f>IF(AND($A$2=4,VLOOKUP($A178,'District Level ADM'!$A$5:$W$52,5,FALSE)="Prior Year"),AK178,IF(AND($A$2=4,VLOOKUP($A178,'District Level ADM'!$A$5:$W$52,5,FALSE)="3-Year Avg."),W178,IF($A$2=2,AK178,IF($A$2=3,W178,IF(($AG178&gt;$AU178),W178,AK178)))))</f>
        <v>0</v>
      </c>
      <c r="J178" s="317">
        <f>IF(AND($A$2=4,VLOOKUP($A178,'District Level ADM'!$A$5:$W$52,5,FALSE)="Prior Year"),AL178,IF(AND($A$2=4,VLOOKUP($A178,'District Level ADM'!$A$5:$W$52,5,FALSE)="3-Year Avg."),X178,IF($A$2=2,AL178,IF($A$2=3,X178,IF(($AG178&gt;$AU178),X178,AL178)))))</f>
        <v>0</v>
      </c>
      <c r="K178" s="317">
        <f>IF(AND($A$2=4,VLOOKUP($A178,'District Level ADM'!$A$5:$W$52,5,FALSE)="Prior Year"),AM178,IF(AND($A$2=4,VLOOKUP($A178,'District Level ADM'!$A$5:$W$52,5,FALSE)="3-Year Avg."),Y178,IF($A$2=2,AM178,IF($A$2=3,Y178,IF(($AG178&gt;$AU178),Y178,AM178)))))</f>
        <v>0</v>
      </c>
      <c r="L178" s="317">
        <f>IF(AND($A$2=4,VLOOKUP($A178,'District Level ADM'!$A$5:$W$52,5,FALSE)="Prior Year"),AN178,IF(AND($A$2=4,VLOOKUP($A178,'District Level ADM'!$A$5:$W$52,5,FALSE)="3-Year Avg."),Z178,IF($A$2=2,AN178,IF($A$2=3,Z178,IF(($AG178&gt;$AU178),Z178,AN178)))))</f>
        <v>0</v>
      </c>
      <c r="M178" s="317">
        <f>IF(AND($A$2=4,VLOOKUP($A178,'District Level ADM'!$A$5:$W$52,5,FALSE)="Prior Year"),AO178,IF(AND($A$2=4,VLOOKUP($A178,'District Level ADM'!$A$5:$W$52,5,FALSE)="3-Year Avg."),AA178,IF($A$2=2,AO178,IF($A$2=3,AA178,IF(($AG178&gt;$AU178),AA178,AO178)))))</f>
        <v>0</v>
      </c>
      <c r="N178" s="317">
        <f>IF(AND($A$2=4,VLOOKUP($A178,'District Level ADM'!$A$5:$W$52,5,FALSE)="Prior Year"),AP178,IF(AND($A$2=4,VLOOKUP($A178,'District Level ADM'!$A$5:$W$52,5,FALSE)="3-Year Avg."),AB178,IF($A$2=2,AP178,IF($A$2=3,AB178,IF(($AG178&gt;$AU178),AB178,AP178)))))</f>
        <v>0</v>
      </c>
      <c r="O178" s="317">
        <f>IF(AND($A$2=4,VLOOKUP($A178,'District Level ADM'!$A$5:$W$52,5,FALSE)="Prior Year"),AQ178,IF(AND($A$2=4,VLOOKUP($A178,'District Level ADM'!$A$5:$W$52,5,FALSE)="3-Year Avg."),AC178,IF($A$2=2,AQ178,IF($A$2=3,AC178,IF(($AG178&gt;$AU178),AC178,AQ178)))))</f>
        <v>361.495</v>
      </c>
      <c r="P178" s="317">
        <f>IF(AND($A$2=4,VLOOKUP($A178,'District Level ADM'!$A$5:$W$52,5,FALSE)="Prior Year"),AR178,IF(AND($A$2=4,VLOOKUP($A178,'District Level ADM'!$A$5:$W$52,5,FALSE)="3-Year Avg."),AD178,IF($A$2=2,AR178,IF($A$2=3,AD178,IF(($AG178&gt;$AU178),AD178,AR178)))))</f>
        <v>254.13</v>
      </c>
      <c r="Q178" s="317">
        <f>IF(AND($A$2=4,VLOOKUP($A178,'District Level ADM'!$A$5:$W$52,5,FALSE)="Prior Year"),AS178,IF(AND($A$2=4,VLOOKUP($A178,'District Level ADM'!$A$5:$W$52,5,FALSE)="3-Year Avg."),AE178,IF($A$2=2,AS178,IF($A$2=3,AE178,IF(($AG178&gt;$AU178),AE178,AS178)))))</f>
        <v>274.815</v>
      </c>
      <c r="R178" s="317">
        <f>IF(AND($A$2=4,VLOOKUP($A178,'District Level ADM'!$A$5:$W$52,5,FALSE)="Prior Year"),AT178,IF(AND($A$2=4,VLOOKUP($A178,'District Level ADM'!$A$5:$W$52,5,FALSE)="3-Year Avg."),AF178,IF($A$2=2,AT178,IF($A$2=3,AF178,IF(($AG178&gt;$AU178),AF178,AT178)))))</f>
        <v>265.95</v>
      </c>
      <c r="S178" s="317">
        <f t="shared" si="25"/>
        <v>1156.3900000000001</v>
      </c>
      <c r="T178" s="317">
        <f t="shared" si="29"/>
        <v>0</v>
      </c>
      <c r="U178" s="317">
        <f t="shared" si="29"/>
        <v>0</v>
      </c>
      <c r="V178" s="317">
        <f t="shared" si="29"/>
        <v>0</v>
      </c>
      <c r="W178" s="317">
        <f t="shared" si="29"/>
        <v>0</v>
      </c>
      <c r="X178" s="317">
        <f t="shared" si="29"/>
        <v>0</v>
      </c>
      <c r="Y178" s="317">
        <f t="shared" si="29"/>
        <v>0</v>
      </c>
      <c r="Z178" s="317">
        <f t="shared" si="29"/>
        <v>0</v>
      </c>
      <c r="AA178" s="317">
        <f t="shared" si="29"/>
        <v>0</v>
      </c>
      <c r="AB178" s="317">
        <f t="shared" si="29"/>
        <v>0</v>
      </c>
      <c r="AC178" s="317">
        <f t="shared" si="29"/>
        <v>324.61200000000002</v>
      </c>
      <c r="AD178" s="317">
        <f t="shared" si="30"/>
        <v>287.012</v>
      </c>
      <c r="AE178" s="317">
        <f t="shared" si="30"/>
        <v>276.476</v>
      </c>
      <c r="AF178" s="317">
        <f t="shared" si="30"/>
        <v>255.89766666666665</v>
      </c>
      <c r="AG178" s="317">
        <f t="shared" si="26"/>
        <v>1143.9976666666666</v>
      </c>
      <c r="AH178" s="318">
        <v>0</v>
      </c>
      <c r="AI178" s="318">
        <v>0</v>
      </c>
      <c r="AJ178" s="318">
        <v>0</v>
      </c>
      <c r="AK178" s="318">
        <v>0</v>
      </c>
      <c r="AL178" s="318">
        <v>0</v>
      </c>
      <c r="AM178" s="318">
        <v>0</v>
      </c>
      <c r="AN178" s="318">
        <v>0</v>
      </c>
      <c r="AO178" s="318">
        <v>0</v>
      </c>
      <c r="AP178" s="318">
        <v>0</v>
      </c>
      <c r="AQ178" s="318">
        <v>361.495</v>
      </c>
      <c r="AR178" s="318">
        <v>254.13</v>
      </c>
      <c r="AS178" s="318">
        <v>274.815</v>
      </c>
      <c r="AT178" s="318">
        <v>265.95</v>
      </c>
      <c r="AU178" s="317">
        <f t="shared" si="27"/>
        <v>1156.3900000000001</v>
      </c>
      <c r="AV178" s="319">
        <v>0</v>
      </c>
      <c r="AW178" s="319">
        <v>0</v>
      </c>
      <c r="AX178" s="319">
        <v>0</v>
      </c>
      <c r="AY178" s="319">
        <v>0</v>
      </c>
      <c r="AZ178" s="319">
        <v>0</v>
      </c>
      <c r="BA178" s="319">
        <v>0</v>
      </c>
      <c r="BB178" s="319">
        <v>0</v>
      </c>
      <c r="BC178" s="319">
        <v>0</v>
      </c>
      <c r="BD178" s="319">
        <v>0</v>
      </c>
      <c r="BE178" s="319">
        <v>285.358</v>
      </c>
      <c r="BF178" s="319">
        <v>304.92</v>
      </c>
      <c r="BG178" s="319">
        <v>296.69</v>
      </c>
      <c r="BH178" s="319">
        <v>241.41200000000001</v>
      </c>
      <c r="BI178" s="317">
        <f t="shared" si="28"/>
        <v>1128.3800000000001</v>
      </c>
      <c r="BJ178" s="316">
        <v>0</v>
      </c>
      <c r="BK178" s="316">
        <v>0</v>
      </c>
      <c r="BL178" s="316">
        <v>0</v>
      </c>
      <c r="BM178" s="316">
        <v>0</v>
      </c>
      <c r="BN178" s="316">
        <v>0</v>
      </c>
      <c r="BO178" s="316">
        <v>0</v>
      </c>
      <c r="BP178" s="316">
        <v>0</v>
      </c>
      <c r="BQ178" s="316">
        <v>0</v>
      </c>
      <c r="BR178" s="316">
        <v>0</v>
      </c>
      <c r="BS178" s="316">
        <v>326.983</v>
      </c>
      <c r="BT178" s="316">
        <v>301.98599999999999</v>
      </c>
      <c r="BU178" s="316">
        <v>257.923</v>
      </c>
      <c r="BV178" s="316">
        <v>260.33100000000002</v>
      </c>
      <c r="BW178" s="317">
        <f t="shared" si="24"/>
        <v>1147.223</v>
      </c>
    </row>
    <row r="179" spans="1:75" x14ac:dyDescent="0.2">
      <c r="A179" s="20" t="str">
        <f>'School Level Inst. Resources'!A179</f>
        <v>1101000</v>
      </c>
      <c r="B179" s="20" t="str">
        <f>'School Level Inst. Resources'!B179</f>
        <v>Laramie #1</v>
      </c>
      <c r="C179" s="20" t="str">
        <f>'School Level Inst. Resources'!C179</f>
        <v>1101056</v>
      </c>
      <c r="D179" s="20" t="str">
        <f>'School Level Inst. Resources'!D179</f>
        <v>East High School</v>
      </c>
      <c r="E179" s="138" t="str">
        <f>'School Level Inst. Resources'!E179</f>
        <v>9-12</v>
      </c>
      <c r="F179" s="317">
        <f>IF(AND($A$2=4,VLOOKUP($A179,'District Level ADM'!$A$5:$W$52,5,FALSE)="Prior Year"),AH179,IF(AND($A$2=4,VLOOKUP($A179,'District Level ADM'!$A$5:$W$52,5,FALSE)="3-Year Avg."),T179,IF($A$2=2,AH179,IF($A$2=3,T179,IF(($AG179&gt;$AU179),T179,AH179)))))</f>
        <v>0</v>
      </c>
      <c r="G179" s="317">
        <f>IF(AND($A$2=4,VLOOKUP($A179,'District Level ADM'!$A$5:$W$52,5,FALSE)="Prior Year"),AI179,IF(AND($A$2=4,VLOOKUP($A179,'District Level ADM'!$A$5:$W$52,5,FALSE)="3-Year Avg."),U179,IF($A$2=2,AI179,IF($A$2=3,U179,IF(($AG179&gt;$AU179),U179,AI179)))))</f>
        <v>0</v>
      </c>
      <c r="H179" s="317">
        <f>IF(AND($A$2=4,VLOOKUP($A179,'District Level ADM'!$A$5:$W$52,5,FALSE)="Prior Year"),AJ179,IF(AND($A$2=4,VLOOKUP($A179,'District Level ADM'!$A$5:$W$52,5,FALSE)="3-Year Avg."),V179,IF($A$2=2,AJ179,IF($A$2=3,V179,IF(($AG179&gt;$AU179),V179,AJ179)))))</f>
        <v>0</v>
      </c>
      <c r="I179" s="317">
        <f>IF(AND($A$2=4,VLOOKUP($A179,'District Level ADM'!$A$5:$W$52,5,FALSE)="Prior Year"),AK179,IF(AND($A$2=4,VLOOKUP($A179,'District Level ADM'!$A$5:$W$52,5,FALSE)="3-Year Avg."),W179,IF($A$2=2,AK179,IF($A$2=3,W179,IF(($AG179&gt;$AU179),W179,AK179)))))</f>
        <v>0</v>
      </c>
      <c r="J179" s="317">
        <f>IF(AND($A$2=4,VLOOKUP($A179,'District Level ADM'!$A$5:$W$52,5,FALSE)="Prior Year"),AL179,IF(AND($A$2=4,VLOOKUP($A179,'District Level ADM'!$A$5:$W$52,5,FALSE)="3-Year Avg."),X179,IF($A$2=2,AL179,IF($A$2=3,X179,IF(($AG179&gt;$AU179),X179,AL179)))))</f>
        <v>0</v>
      </c>
      <c r="K179" s="317">
        <f>IF(AND($A$2=4,VLOOKUP($A179,'District Level ADM'!$A$5:$W$52,5,FALSE)="Prior Year"),AM179,IF(AND($A$2=4,VLOOKUP($A179,'District Level ADM'!$A$5:$W$52,5,FALSE)="3-Year Avg."),Y179,IF($A$2=2,AM179,IF($A$2=3,Y179,IF(($AG179&gt;$AU179),Y179,AM179)))))</f>
        <v>0</v>
      </c>
      <c r="L179" s="317">
        <f>IF(AND($A$2=4,VLOOKUP($A179,'District Level ADM'!$A$5:$W$52,5,FALSE)="Prior Year"),AN179,IF(AND($A$2=4,VLOOKUP($A179,'District Level ADM'!$A$5:$W$52,5,FALSE)="3-Year Avg."),Z179,IF($A$2=2,AN179,IF($A$2=3,Z179,IF(($AG179&gt;$AU179),Z179,AN179)))))</f>
        <v>0</v>
      </c>
      <c r="M179" s="317">
        <f>IF(AND($A$2=4,VLOOKUP($A179,'District Level ADM'!$A$5:$W$52,5,FALSE)="Prior Year"),AO179,IF(AND($A$2=4,VLOOKUP($A179,'District Level ADM'!$A$5:$W$52,5,FALSE)="3-Year Avg."),AA179,IF($A$2=2,AO179,IF($A$2=3,AA179,IF(($AG179&gt;$AU179),AA179,AO179)))))</f>
        <v>0</v>
      </c>
      <c r="N179" s="317">
        <f>IF(AND($A$2=4,VLOOKUP($A179,'District Level ADM'!$A$5:$W$52,5,FALSE)="Prior Year"),AP179,IF(AND($A$2=4,VLOOKUP($A179,'District Level ADM'!$A$5:$W$52,5,FALSE)="3-Year Avg."),AB179,IF($A$2=2,AP179,IF($A$2=3,AB179,IF(($AG179&gt;$AU179),AB179,AP179)))))</f>
        <v>0</v>
      </c>
      <c r="O179" s="317">
        <f>IF(AND($A$2=4,VLOOKUP($A179,'District Level ADM'!$A$5:$W$52,5,FALSE)="Prior Year"),AQ179,IF(AND($A$2=4,VLOOKUP($A179,'District Level ADM'!$A$5:$W$52,5,FALSE)="3-Year Avg."),AC179,IF($A$2=2,AQ179,IF($A$2=3,AC179,IF(($AG179&gt;$AU179),AC179,AQ179)))))</f>
        <v>402.86500000000001</v>
      </c>
      <c r="P179" s="317">
        <f>IF(AND($A$2=4,VLOOKUP($A179,'District Level ADM'!$A$5:$W$52,5,FALSE)="Prior Year"),AR179,IF(AND($A$2=4,VLOOKUP($A179,'District Level ADM'!$A$5:$W$52,5,FALSE)="3-Year Avg."),AD179,IF($A$2=2,AR179,IF($A$2=3,AD179,IF(($AG179&gt;$AU179),AD179,AR179)))))</f>
        <v>372.33</v>
      </c>
      <c r="Q179" s="317">
        <f>IF(AND($A$2=4,VLOOKUP($A179,'District Level ADM'!$A$5:$W$52,5,FALSE)="Prior Year"),AS179,IF(AND($A$2=4,VLOOKUP($A179,'District Level ADM'!$A$5:$W$52,5,FALSE)="3-Year Avg."),AE179,IF($A$2=2,AS179,IF($A$2=3,AE179,IF(($AG179&gt;$AU179),AE179,AS179)))))</f>
        <v>335.88499999999999</v>
      </c>
      <c r="R179" s="317">
        <f>IF(AND($A$2=4,VLOOKUP($A179,'District Level ADM'!$A$5:$W$52,5,FALSE)="Prior Year"),AT179,IF(AND($A$2=4,VLOOKUP($A179,'District Level ADM'!$A$5:$W$52,5,FALSE)="3-Year Avg."),AF179,IF($A$2=2,AT179,IF($A$2=3,AF179,IF(($AG179&gt;$AU179),AF179,AT179)))))</f>
        <v>311.26</v>
      </c>
      <c r="S179" s="317">
        <f t="shared" si="25"/>
        <v>1422.34</v>
      </c>
      <c r="T179" s="317">
        <f t="shared" si="29"/>
        <v>0</v>
      </c>
      <c r="U179" s="317">
        <f t="shared" ref="U179:AC207" si="33">AVERAGE(AI179,AW179,BK179)</f>
        <v>0</v>
      </c>
      <c r="V179" s="317">
        <f t="shared" si="33"/>
        <v>0</v>
      </c>
      <c r="W179" s="317">
        <f t="shared" si="33"/>
        <v>0</v>
      </c>
      <c r="X179" s="317">
        <f t="shared" si="33"/>
        <v>0</v>
      </c>
      <c r="Y179" s="317">
        <f t="shared" si="33"/>
        <v>0</v>
      </c>
      <c r="Z179" s="317">
        <f t="shared" si="33"/>
        <v>0</v>
      </c>
      <c r="AA179" s="317">
        <f t="shared" si="33"/>
        <v>0</v>
      </c>
      <c r="AB179" s="317">
        <f t="shared" si="33"/>
        <v>0</v>
      </c>
      <c r="AC179" s="317">
        <f t="shared" si="33"/>
        <v>415.72</v>
      </c>
      <c r="AD179" s="317">
        <f t="shared" si="30"/>
        <v>372.50199999999995</v>
      </c>
      <c r="AE179" s="317">
        <f t="shared" si="30"/>
        <v>323.58933333333334</v>
      </c>
      <c r="AF179" s="317">
        <f t="shared" si="30"/>
        <v>314.27866666666665</v>
      </c>
      <c r="AG179" s="317">
        <f t="shared" si="26"/>
        <v>1426.09</v>
      </c>
      <c r="AH179" s="318">
        <v>0</v>
      </c>
      <c r="AI179" s="318">
        <v>0</v>
      </c>
      <c r="AJ179" s="318">
        <v>0</v>
      </c>
      <c r="AK179" s="318">
        <v>0</v>
      </c>
      <c r="AL179" s="318">
        <v>0</v>
      </c>
      <c r="AM179" s="318">
        <v>0</v>
      </c>
      <c r="AN179" s="318">
        <v>0</v>
      </c>
      <c r="AO179" s="318">
        <v>0</v>
      </c>
      <c r="AP179" s="318">
        <v>0</v>
      </c>
      <c r="AQ179" s="318">
        <v>402.86500000000001</v>
      </c>
      <c r="AR179" s="318">
        <v>372.33</v>
      </c>
      <c r="AS179" s="318">
        <v>335.88499999999999</v>
      </c>
      <c r="AT179" s="318">
        <v>311.26</v>
      </c>
      <c r="AU179" s="317">
        <f t="shared" si="27"/>
        <v>1422.34</v>
      </c>
      <c r="AV179" s="319">
        <v>0</v>
      </c>
      <c r="AW179" s="319">
        <v>0</v>
      </c>
      <c r="AX179" s="319">
        <v>0</v>
      </c>
      <c r="AY179" s="319">
        <v>0</v>
      </c>
      <c r="AZ179" s="319">
        <v>0</v>
      </c>
      <c r="BA179" s="319">
        <v>0</v>
      </c>
      <c r="BB179" s="319">
        <v>0</v>
      </c>
      <c r="BC179" s="319">
        <v>0</v>
      </c>
      <c r="BD179" s="319">
        <v>0</v>
      </c>
      <c r="BE179" s="319">
        <v>422.37200000000001</v>
      </c>
      <c r="BF179" s="319">
        <v>373.54500000000002</v>
      </c>
      <c r="BG179" s="319">
        <v>319.99700000000001</v>
      </c>
      <c r="BH179" s="319">
        <v>297.71300000000002</v>
      </c>
      <c r="BI179" s="317">
        <f t="shared" si="28"/>
        <v>1413.627</v>
      </c>
      <c r="BJ179" s="316">
        <v>0</v>
      </c>
      <c r="BK179" s="316">
        <v>0</v>
      </c>
      <c r="BL179" s="316">
        <v>0</v>
      </c>
      <c r="BM179" s="316">
        <v>0</v>
      </c>
      <c r="BN179" s="316">
        <v>0</v>
      </c>
      <c r="BO179" s="316">
        <v>0</v>
      </c>
      <c r="BP179" s="316">
        <v>0</v>
      </c>
      <c r="BQ179" s="316">
        <v>0</v>
      </c>
      <c r="BR179" s="316">
        <v>0</v>
      </c>
      <c r="BS179" s="316">
        <v>421.923</v>
      </c>
      <c r="BT179" s="316">
        <v>371.63099999999997</v>
      </c>
      <c r="BU179" s="316">
        <v>314.88600000000002</v>
      </c>
      <c r="BV179" s="316">
        <v>333.863</v>
      </c>
      <c r="BW179" s="317">
        <f t="shared" si="24"/>
        <v>1442.3030000000001</v>
      </c>
    </row>
    <row r="180" spans="1:75" x14ac:dyDescent="0.2">
      <c r="A180" s="20" t="str">
        <f>'School Level Inst. Resources'!A180</f>
        <v>1101000</v>
      </c>
      <c r="B180" s="20" t="str">
        <f>'School Level Inst. Resources'!B180</f>
        <v>Laramie #1</v>
      </c>
      <c r="C180" s="20" t="str">
        <f>'School Level Inst. Resources'!C180</f>
        <v>1101057</v>
      </c>
      <c r="D180" s="20" t="str">
        <f>'School Level Inst. Resources'!D180</f>
        <v>Triumph High School</v>
      </c>
      <c r="E180" s="138" t="str">
        <f>'School Level Inst. Resources'!E180</f>
        <v>9-12</v>
      </c>
      <c r="F180" s="317">
        <f>IF(AND($A$2=4,VLOOKUP($A180,'District Level ADM'!$A$5:$W$52,5,FALSE)="Prior Year"),AH180,IF(AND($A$2=4,VLOOKUP($A180,'District Level ADM'!$A$5:$W$52,5,FALSE)="3-Year Avg."),T180,IF($A$2=2,AH180,IF($A$2=3,T180,IF(($AG180&gt;$AU180),T180,AH180)))))</f>
        <v>0</v>
      </c>
      <c r="G180" s="317">
        <f>IF(AND($A$2=4,VLOOKUP($A180,'District Level ADM'!$A$5:$W$52,5,FALSE)="Prior Year"),AI180,IF(AND($A$2=4,VLOOKUP($A180,'District Level ADM'!$A$5:$W$52,5,FALSE)="3-Year Avg."),U180,IF($A$2=2,AI180,IF($A$2=3,U180,IF(($AG180&gt;$AU180),U180,AI180)))))</f>
        <v>0</v>
      </c>
      <c r="H180" s="317">
        <f>IF(AND($A$2=4,VLOOKUP($A180,'District Level ADM'!$A$5:$W$52,5,FALSE)="Prior Year"),AJ180,IF(AND($A$2=4,VLOOKUP($A180,'District Level ADM'!$A$5:$W$52,5,FALSE)="3-Year Avg."),V180,IF($A$2=2,AJ180,IF($A$2=3,V180,IF(($AG180&gt;$AU180),V180,AJ180)))))</f>
        <v>0</v>
      </c>
      <c r="I180" s="317">
        <f>IF(AND($A$2=4,VLOOKUP($A180,'District Level ADM'!$A$5:$W$52,5,FALSE)="Prior Year"),AK180,IF(AND($A$2=4,VLOOKUP($A180,'District Level ADM'!$A$5:$W$52,5,FALSE)="3-Year Avg."),W180,IF($A$2=2,AK180,IF($A$2=3,W180,IF(($AG180&gt;$AU180),W180,AK180)))))</f>
        <v>0</v>
      </c>
      <c r="J180" s="317">
        <f>IF(AND($A$2=4,VLOOKUP($A180,'District Level ADM'!$A$5:$W$52,5,FALSE)="Prior Year"),AL180,IF(AND($A$2=4,VLOOKUP($A180,'District Level ADM'!$A$5:$W$52,5,FALSE)="3-Year Avg."),X180,IF($A$2=2,AL180,IF($A$2=3,X180,IF(($AG180&gt;$AU180),X180,AL180)))))</f>
        <v>0</v>
      </c>
      <c r="K180" s="317">
        <f>IF(AND($A$2=4,VLOOKUP($A180,'District Level ADM'!$A$5:$W$52,5,FALSE)="Prior Year"),AM180,IF(AND($A$2=4,VLOOKUP($A180,'District Level ADM'!$A$5:$W$52,5,FALSE)="3-Year Avg."),Y180,IF($A$2=2,AM180,IF($A$2=3,Y180,IF(($AG180&gt;$AU180),Y180,AM180)))))</f>
        <v>0</v>
      </c>
      <c r="L180" s="317">
        <f>IF(AND($A$2=4,VLOOKUP($A180,'District Level ADM'!$A$5:$W$52,5,FALSE)="Prior Year"),AN180,IF(AND($A$2=4,VLOOKUP($A180,'District Level ADM'!$A$5:$W$52,5,FALSE)="3-Year Avg."),Z180,IF($A$2=2,AN180,IF($A$2=3,Z180,IF(($AG180&gt;$AU180),Z180,AN180)))))</f>
        <v>0</v>
      </c>
      <c r="M180" s="317">
        <f>IF(AND($A$2=4,VLOOKUP($A180,'District Level ADM'!$A$5:$W$52,5,FALSE)="Prior Year"),AO180,IF(AND($A$2=4,VLOOKUP($A180,'District Level ADM'!$A$5:$W$52,5,FALSE)="3-Year Avg."),AA180,IF($A$2=2,AO180,IF($A$2=3,AA180,IF(($AG180&gt;$AU180),AA180,AO180)))))</f>
        <v>0</v>
      </c>
      <c r="N180" s="317">
        <f>IF(AND($A$2=4,VLOOKUP($A180,'District Level ADM'!$A$5:$W$52,5,FALSE)="Prior Year"),AP180,IF(AND($A$2=4,VLOOKUP($A180,'District Level ADM'!$A$5:$W$52,5,FALSE)="3-Year Avg."),AB180,IF($A$2=2,AP180,IF($A$2=3,AB180,IF(($AG180&gt;$AU180),AB180,AP180)))))</f>
        <v>0</v>
      </c>
      <c r="O180" s="317">
        <f>IF(AND($A$2=4,VLOOKUP($A180,'District Level ADM'!$A$5:$W$52,5,FALSE)="Prior Year"),AQ180,IF(AND($A$2=4,VLOOKUP($A180,'District Level ADM'!$A$5:$W$52,5,FALSE)="3-Year Avg."),AC180,IF($A$2=2,AQ180,IF($A$2=3,AC180,IF(($AG180&gt;$AU180),AC180,AQ180)))))</f>
        <v>58.115000000000002</v>
      </c>
      <c r="P180" s="317">
        <f>IF(AND($A$2=4,VLOOKUP($A180,'District Level ADM'!$A$5:$W$52,5,FALSE)="Prior Year"),AR180,IF(AND($A$2=4,VLOOKUP($A180,'District Level ADM'!$A$5:$W$52,5,FALSE)="3-Year Avg."),AD180,IF($A$2=2,AR180,IF($A$2=3,AD180,IF(($AG180&gt;$AU180),AD180,AR180)))))</f>
        <v>47.28</v>
      </c>
      <c r="Q180" s="317">
        <f>IF(AND($A$2=4,VLOOKUP($A180,'District Level ADM'!$A$5:$W$52,5,FALSE)="Prior Year"),AS180,IF(AND($A$2=4,VLOOKUP($A180,'District Level ADM'!$A$5:$W$52,5,FALSE)="3-Year Avg."),AE180,IF($A$2=2,AS180,IF($A$2=3,AE180,IF(($AG180&gt;$AU180),AE180,AS180)))))</f>
        <v>49.25</v>
      </c>
      <c r="R180" s="317">
        <f>IF(AND($A$2=4,VLOOKUP($A180,'District Level ADM'!$A$5:$W$52,5,FALSE)="Prior Year"),AT180,IF(AND($A$2=4,VLOOKUP($A180,'District Level ADM'!$A$5:$W$52,5,FALSE)="3-Year Avg."),AF180,IF($A$2=2,AT180,IF($A$2=3,AF180,IF(($AG180&gt;$AU180),AF180,AT180)))))</f>
        <v>48.265000000000001</v>
      </c>
      <c r="S180" s="317">
        <f t="shared" si="25"/>
        <v>202.91000000000003</v>
      </c>
      <c r="T180" s="317">
        <f t="shared" ref="T180:W243" si="34">AVERAGE(AH180,AV180,BJ180)</f>
        <v>0</v>
      </c>
      <c r="U180" s="317">
        <f t="shared" si="33"/>
        <v>0</v>
      </c>
      <c r="V180" s="317">
        <f t="shared" si="33"/>
        <v>0</v>
      </c>
      <c r="W180" s="317">
        <f t="shared" si="33"/>
        <v>0</v>
      </c>
      <c r="X180" s="317">
        <f t="shared" si="33"/>
        <v>0</v>
      </c>
      <c r="Y180" s="317">
        <f t="shared" si="33"/>
        <v>0</v>
      </c>
      <c r="Z180" s="317">
        <f t="shared" si="33"/>
        <v>0</v>
      </c>
      <c r="AA180" s="317">
        <f t="shared" si="33"/>
        <v>0</v>
      </c>
      <c r="AB180" s="317">
        <f t="shared" si="33"/>
        <v>0.68</v>
      </c>
      <c r="AC180" s="317">
        <f t="shared" si="33"/>
        <v>53.342000000000006</v>
      </c>
      <c r="AD180" s="317">
        <f t="shared" si="30"/>
        <v>51.911666666666669</v>
      </c>
      <c r="AE180" s="317">
        <f t="shared" si="30"/>
        <v>49.156666666666666</v>
      </c>
      <c r="AF180" s="317">
        <f t="shared" si="30"/>
        <v>39.529666666666664</v>
      </c>
      <c r="AG180" s="317">
        <f t="shared" si="26"/>
        <v>194.62</v>
      </c>
      <c r="AH180" s="318">
        <v>0</v>
      </c>
      <c r="AI180" s="318">
        <v>0</v>
      </c>
      <c r="AJ180" s="318">
        <v>0</v>
      </c>
      <c r="AK180" s="318">
        <v>0</v>
      </c>
      <c r="AL180" s="318">
        <v>0</v>
      </c>
      <c r="AM180" s="318">
        <v>0</v>
      </c>
      <c r="AN180" s="318">
        <v>0</v>
      </c>
      <c r="AO180" s="318">
        <v>0</v>
      </c>
      <c r="AP180" s="318">
        <v>0</v>
      </c>
      <c r="AQ180" s="318">
        <v>58.115000000000002</v>
      </c>
      <c r="AR180" s="318">
        <v>47.28</v>
      </c>
      <c r="AS180" s="318">
        <v>49.25</v>
      </c>
      <c r="AT180" s="318">
        <v>48.265000000000001</v>
      </c>
      <c r="AU180" s="317">
        <f t="shared" si="27"/>
        <v>202.91000000000003</v>
      </c>
      <c r="AV180" s="319">
        <v>0</v>
      </c>
      <c r="AW180" s="319">
        <v>0</v>
      </c>
      <c r="AX180" s="319">
        <v>0</v>
      </c>
      <c r="AY180" s="319">
        <v>0</v>
      </c>
      <c r="AZ180" s="319">
        <v>0</v>
      </c>
      <c r="BA180" s="319">
        <v>0</v>
      </c>
      <c r="BB180" s="319">
        <v>0</v>
      </c>
      <c r="BC180" s="319">
        <v>0</v>
      </c>
      <c r="BD180" s="319">
        <v>1</v>
      </c>
      <c r="BE180" s="319">
        <v>51.527999999999999</v>
      </c>
      <c r="BF180" s="319">
        <v>54.506</v>
      </c>
      <c r="BG180" s="319">
        <v>54.631</v>
      </c>
      <c r="BH180" s="319">
        <v>30.312999999999999</v>
      </c>
      <c r="BI180" s="317">
        <f t="shared" si="28"/>
        <v>191.97799999999998</v>
      </c>
      <c r="BJ180" s="316">
        <v>0</v>
      </c>
      <c r="BK180" s="316">
        <v>0</v>
      </c>
      <c r="BL180" s="316">
        <v>0</v>
      </c>
      <c r="BM180" s="316">
        <v>0</v>
      </c>
      <c r="BN180" s="316">
        <v>0</v>
      </c>
      <c r="BO180" s="316">
        <v>0</v>
      </c>
      <c r="BP180" s="316">
        <v>0</v>
      </c>
      <c r="BQ180" s="316">
        <v>0</v>
      </c>
      <c r="BR180" s="316">
        <v>1.04</v>
      </c>
      <c r="BS180" s="316">
        <v>50.383000000000003</v>
      </c>
      <c r="BT180" s="316">
        <v>53.948999999999998</v>
      </c>
      <c r="BU180" s="316">
        <v>43.588999999999999</v>
      </c>
      <c r="BV180" s="316">
        <v>40.011000000000003</v>
      </c>
      <c r="BW180" s="317">
        <f t="shared" si="24"/>
        <v>188.97200000000001</v>
      </c>
    </row>
    <row r="181" spans="1:75" x14ac:dyDescent="0.2">
      <c r="A181" s="20" t="str">
        <f>'School Level Inst. Resources'!A181</f>
        <v>1101000</v>
      </c>
      <c r="B181" s="20" t="str">
        <f>'School Level Inst. Resources'!B181</f>
        <v>Laramie #1</v>
      </c>
      <c r="C181" s="20" t="str">
        <f>'School Level Inst. Resources'!C181</f>
        <v>1101058</v>
      </c>
      <c r="D181" s="20" t="str">
        <f>'School Level Inst. Resources'!D181</f>
        <v>South High School</v>
      </c>
      <c r="E181" s="138" t="str">
        <f>'School Level Inst. Resources'!E181</f>
        <v>9-12</v>
      </c>
      <c r="F181" s="317">
        <f>IF(AND($A$2=4,VLOOKUP($A181,'District Level ADM'!$A$5:$W$52,5,FALSE)="Prior Year"),AH181,IF(AND($A$2=4,VLOOKUP($A181,'District Level ADM'!$A$5:$W$52,5,FALSE)="3-Year Avg."),T181,IF($A$2=2,AH181,IF($A$2=3,T181,IF(($AG181&gt;$AU181),T181,AH181)))))</f>
        <v>0</v>
      </c>
      <c r="G181" s="317">
        <f>IF(AND($A$2=4,VLOOKUP($A181,'District Level ADM'!$A$5:$W$52,5,FALSE)="Prior Year"),AI181,IF(AND($A$2=4,VLOOKUP($A181,'District Level ADM'!$A$5:$W$52,5,FALSE)="3-Year Avg."),U181,IF($A$2=2,AI181,IF($A$2=3,U181,IF(($AG181&gt;$AU181),U181,AI181)))))</f>
        <v>0</v>
      </c>
      <c r="H181" s="317">
        <f>IF(AND($A$2=4,VLOOKUP($A181,'District Level ADM'!$A$5:$W$52,5,FALSE)="Prior Year"),AJ181,IF(AND($A$2=4,VLOOKUP($A181,'District Level ADM'!$A$5:$W$52,5,FALSE)="3-Year Avg."),V181,IF($A$2=2,AJ181,IF($A$2=3,V181,IF(($AG181&gt;$AU181),V181,AJ181)))))</f>
        <v>0</v>
      </c>
      <c r="I181" s="317">
        <f>IF(AND($A$2=4,VLOOKUP($A181,'District Level ADM'!$A$5:$W$52,5,FALSE)="Prior Year"),AK181,IF(AND($A$2=4,VLOOKUP($A181,'District Level ADM'!$A$5:$W$52,5,FALSE)="3-Year Avg."),W181,IF($A$2=2,AK181,IF($A$2=3,W181,IF(($AG181&gt;$AU181),W181,AK181)))))</f>
        <v>0</v>
      </c>
      <c r="J181" s="317">
        <f>IF(AND($A$2=4,VLOOKUP($A181,'District Level ADM'!$A$5:$W$52,5,FALSE)="Prior Year"),AL181,IF(AND($A$2=4,VLOOKUP($A181,'District Level ADM'!$A$5:$W$52,5,FALSE)="3-Year Avg."),X181,IF($A$2=2,AL181,IF($A$2=3,X181,IF(($AG181&gt;$AU181),X181,AL181)))))</f>
        <v>0</v>
      </c>
      <c r="K181" s="317">
        <f>IF(AND($A$2=4,VLOOKUP($A181,'District Level ADM'!$A$5:$W$52,5,FALSE)="Prior Year"),AM181,IF(AND($A$2=4,VLOOKUP($A181,'District Level ADM'!$A$5:$W$52,5,FALSE)="3-Year Avg."),Y181,IF($A$2=2,AM181,IF($A$2=3,Y181,IF(($AG181&gt;$AU181),Y181,AM181)))))</f>
        <v>0</v>
      </c>
      <c r="L181" s="317">
        <f>IF(AND($A$2=4,VLOOKUP($A181,'District Level ADM'!$A$5:$W$52,5,FALSE)="Prior Year"),AN181,IF(AND($A$2=4,VLOOKUP($A181,'District Level ADM'!$A$5:$W$52,5,FALSE)="3-Year Avg."),Z181,IF($A$2=2,AN181,IF($A$2=3,Z181,IF(($AG181&gt;$AU181),Z181,AN181)))))</f>
        <v>0</v>
      </c>
      <c r="M181" s="317">
        <f>IF(AND($A$2=4,VLOOKUP($A181,'District Level ADM'!$A$5:$W$52,5,FALSE)="Prior Year"),AO181,IF(AND($A$2=4,VLOOKUP($A181,'District Level ADM'!$A$5:$W$52,5,FALSE)="3-Year Avg."),AA181,IF($A$2=2,AO181,IF($A$2=3,AA181,IF(($AG181&gt;$AU181),AA181,AO181)))))</f>
        <v>0</v>
      </c>
      <c r="N181" s="317">
        <f>IF(AND($A$2=4,VLOOKUP($A181,'District Level ADM'!$A$5:$W$52,5,FALSE)="Prior Year"),AP181,IF(AND($A$2=4,VLOOKUP($A181,'District Level ADM'!$A$5:$W$52,5,FALSE)="3-Year Avg."),AB181,IF($A$2=2,AP181,IF($A$2=3,AB181,IF(($AG181&gt;$AU181),AB181,AP181)))))</f>
        <v>0</v>
      </c>
      <c r="O181" s="317">
        <f>IF(AND($A$2=4,VLOOKUP($A181,'District Level ADM'!$A$5:$W$52,5,FALSE)="Prior Year"),AQ181,IF(AND($A$2=4,VLOOKUP($A181,'District Level ADM'!$A$5:$W$52,5,FALSE)="3-Year Avg."),AC181,IF($A$2=2,AQ181,IF($A$2=3,AC181,IF(($AG181&gt;$AU181),AC181,AQ181)))))</f>
        <v>355.58499999999998</v>
      </c>
      <c r="P181" s="317">
        <f>IF(AND($A$2=4,VLOOKUP($A181,'District Level ADM'!$A$5:$W$52,5,FALSE)="Prior Year"),AR181,IF(AND($A$2=4,VLOOKUP($A181,'District Level ADM'!$A$5:$W$52,5,FALSE)="3-Year Avg."),AD181,IF($A$2=2,AR181,IF($A$2=3,AD181,IF(($AG181&gt;$AU181),AD181,AR181)))))</f>
        <v>277.77</v>
      </c>
      <c r="Q181" s="317">
        <f>IF(AND($A$2=4,VLOOKUP($A181,'District Level ADM'!$A$5:$W$52,5,FALSE)="Prior Year"),AS181,IF(AND($A$2=4,VLOOKUP($A181,'District Level ADM'!$A$5:$W$52,5,FALSE)="3-Year Avg."),AE181,IF($A$2=2,AS181,IF($A$2=3,AE181,IF(($AG181&gt;$AU181),AE181,AS181)))))</f>
        <v>277.77</v>
      </c>
      <c r="R181" s="317">
        <f>IF(AND($A$2=4,VLOOKUP($A181,'District Level ADM'!$A$5:$W$52,5,FALSE)="Prior Year"),AT181,IF(AND($A$2=4,VLOOKUP($A181,'District Level ADM'!$A$5:$W$52,5,FALSE)="3-Year Avg."),AF181,IF($A$2=2,AT181,IF($A$2=3,AF181,IF(($AG181&gt;$AU181),AF181,AT181)))))</f>
        <v>212.76</v>
      </c>
      <c r="S181" s="317">
        <f t="shared" si="25"/>
        <v>1123.885</v>
      </c>
      <c r="T181" s="317">
        <f t="shared" si="34"/>
        <v>0</v>
      </c>
      <c r="U181" s="317">
        <f t="shared" si="33"/>
        <v>0</v>
      </c>
      <c r="V181" s="317">
        <f t="shared" si="33"/>
        <v>0</v>
      </c>
      <c r="W181" s="317">
        <f t="shared" si="33"/>
        <v>0</v>
      </c>
      <c r="X181" s="317">
        <f t="shared" si="33"/>
        <v>0</v>
      </c>
      <c r="Y181" s="317">
        <f t="shared" si="33"/>
        <v>0</v>
      </c>
      <c r="Z181" s="317">
        <f t="shared" si="33"/>
        <v>0</v>
      </c>
      <c r="AA181" s="317">
        <f t="shared" si="33"/>
        <v>0</v>
      </c>
      <c r="AB181" s="317">
        <f t="shared" si="33"/>
        <v>0</v>
      </c>
      <c r="AC181" s="317">
        <f t="shared" si="33"/>
        <v>354.65100000000001</v>
      </c>
      <c r="AD181" s="317">
        <f t="shared" si="30"/>
        <v>279.75166666666667</v>
      </c>
      <c r="AE181" s="317">
        <f t="shared" si="30"/>
        <v>244.62333333333331</v>
      </c>
      <c r="AF181" s="317">
        <f t="shared" si="30"/>
        <v>212.63066666666666</v>
      </c>
      <c r="AG181" s="317">
        <f t="shared" si="26"/>
        <v>1091.6566666666665</v>
      </c>
      <c r="AH181" s="318">
        <v>0</v>
      </c>
      <c r="AI181" s="318">
        <v>0</v>
      </c>
      <c r="AJ181" s="318">
        <v>0</v>
      </c>
      <c r="AK181" s="318">
        <v>0</v>
      </c>
      <c r="AL181" s="318">
        <v>0</v>
      </c>
      <c r="AM181" s="318">
        <v>0</v>
      </c>
      <c r="AN181" s="318">
        <v>0</v>
      </c>
      <c r="AO181" s="318">
        <v>0</v>
      </c>
      <c r="AP181" s="318">
        <v>0</v>
      </c>
      <c r="AQ181" s="318">
        <v>355.58499999999998</v>
      </c>
      <c r="AR181" s="318">
        <v>277.77</v>
      </c>
      <c r="AS181" s="318">
        <v>277.77</v>
      </c>
      <c r="AT181" s="318">
        <v>212.76</v>
      </c>
      <c r="AU181" s="317">
        <f t="shared" si="27"/>
        <v>1123.885</v>
      </c>
      <c r="AV181" s="319">
        <v>0</v>
      </c>
      <c r="AW181" s="319">
        <v>0</v>
      </c>
      <c r="AX181" s="319">
        <v>0</v>
      </c>
      <c r="AY181" s="319">
        <v>0</v>
      </c>
      <c r="AZ181" s="319">
        <v>0</v>
      </c>
      <c r="BA181" s="319">
        <v>0</v>
      </c>
      <c r="BB181" s="319">
        <v>0</v>
      </c>
      <c r="BC181" s="319">
        <v>0</v>
      </c>
      <c r="BD181" s="319">
        <v>0</v>
      </c>
      <c r="BE181" s="319">
        <v>354.04500000000002</v>
      </c>
      <c r="BF181" s="319">
        <v>301.03399999999999</v>
      </c>
      <c r="BG181" s="319">
        <v>227.59700000000001</v>
      </c>
      <c r="BH181" s="319">
        <v>215.97200000000001</v>
      </c>
      <c r="BI181" s="317">
        <f t="shared" si="28"/>
        <v>1098.6479999999999</v>
      </c>
      <c r="BJ181" s="316">
        <v>0</v>
      </c>
      <c r="BK181" s="316">
        <v>0</v>
      </c>
      <c r="BL181" s="316">
        <v>0</v>
      </c>
      <c r="BM181" s="316">
        <v>0</v>
      </c>
      <c r="BN181" s="316">
        <v>0</v>
      </c>
      <c r="BO181" s="316">
        <v>0</v>
      </c>
      <c r="BP181" s="316">
        <v>0</v>
      </c>
      <c r="BQ181" s="316">
        <v>0</v>
      </c>
      <c r="BR181" s="316">
        <v>0</v>
      </c>
      <c r="BS181" s="316">
        <v>354.32299999999998</v>
      </c>
      <c r="BT181" s="316">
        <v>260.45100000000002</v>
      </c>
      <c r="BU181" s="316">
        <v>228.50299999999999</v>
      </c>
      <c r="BV181" s="316">
        <v>209.16</v>
      </c>
      <c r="BW181" s="317">
        <f t="shared" si="24"/>
        <v>1052.4370000000001</v>
      </c>
    </row>
    <row r="182" spans="1:75" x14ac:dyDescent="0.2">
      <c r="A182" s="20" t="str">
        <f>'School Level Inst. Resources'!A182</f>
        <v>1102000</v>
      </c>
      <c r="B182" s="20" t="str">
        <f>'School Level Inst. Resources'!B182</f>
        <v>Laramie #2</v>
      </c>
      <c r="C182" s="20" t="str">
        <f>'School Level Inst. Resources'!C182</f>
        <v>1102001</v>
      </c>
      <c r="D182" s="20" t="str">
        <f>'School Level Inst. Resources'!D182</f>
        <v>Albin Elementary</v>
      </c>
      <c r="E182" s="138" t="str">
        <f>'School Level Inst. Resources'!E182</f>
        <v>K-6</v>
      </c>
      <c r="F182" s="317">
        <f>IF(AND($A$2=4,VLOOKUP($A182,'District Level ADM'!$A$5:$W$52,5,FALSE)="Prior Year"),AH182,IF(AND($A$2=4,VLOOKUP($A182,'District Level ADM'!$A$5:$W$52,5,FALSE)="3-Year Avg."),T182,IF($A$2=2,AH182,IF($A$2=3,T182,IF(($AG182&gt;$AU182),T182,AH182)))))</f>
        <v>4.9249999999999998</v>
      </c>
      <c r="G182" s="317">
        <f>IF(AND($A$2=4,VLOOKUP($A182,'District Level ADM'!$A$5:$W$52,5,FALSE)="Prior Year"),AI182,IF(AND($A$2=4,VLOOKUP($A182,'District Level ADM'!$A$5:$W$52,5,FALSE)="3-Year Avg."),U182,IF($A$2=2,AI182,IF($A$2=3,U182,IF(($AG182&gt;$AU182),U182,AI182)))))</f>
        <v>7.88</v>
      </c>
      <c r="H182" s="317">
        <f>IF(AND($A$2=4,VLOOKUP($A182,'District Level ADM'!$A$5:$W$52,5,FALSE)="Prior Year"),AJ182,IF(AND($A$2=4,VLOOKUP($A182,'District Level ADM'!$A$5:$W$52,5,FALSE)="3-Year Avg."),V182,IF($A$2=2,AJ182,IF($A$2=3,V182,IF(($AG182&gt;$AU182),V182,AJ182)))))</f>
        <v>3.94</v>
      </c>
      <c r="I182" s="317">
        <f>IF(AND($A$2=4,VLOOKUP($A182,'District Level ADM'!$A$5:$W$52,5,FALSE)="Prior Year"),AK182,IF(AND($A$2=4,VLOOKUP($A182,'District Level ADM'!$A$5:$W$52,5,FALSE)="3-Year Avg."),W182,IF($A$2=2,AK182,IF($A$2=3,W182,IF(($AG182&gt;$AU182),W182,AK182)))))</f>
        <v>12.805</v>
      </c>
      <c r="J182" s="317">
        <f>IF(AND($A$2=4,VLOOKUP($A182,'District Level ADM'!$A$5:$W$52,5,FALSE)="Prior Year"),AL182,IF(AND($A$2=4,VLOOKUP($A182,'District Level ADM'!$A$5:$W$52,5,FALSE)="3-Year Avg."),X182,IF($A$2=2,AL182,IF($A$2=3,X182,IF(($AG182&gt;$AU182),X182,AL182)))))</f>
        <v>5.91</v>
      </c>
      <c r="K182" s="317">
        <f>IF(AND($A$2=4,VLOOKUP($A182,'District Level ADM'!$A$5:$W$52,5,FALSE)="Prior Year"),AM182,IF(AND($A$2=4,VLOOKUP($A182,'District Level ADM'!$A$5:$W$52,5,FALSE)="3-Year Avg."),Y182,IF($A$2=2,AM182,IF($A$2=3,Y182,IF(($AG182&gt;$AU182),Y182,AM182)))))</f>
        <v>5.91</v>
      </c>
      <c r="L182" s="317">
        <f>IF(AND($A$2=4,VLOOKUP($A182,'District Level ADM'!$A$5:$W$52,5,FALSE)="Prior Year"),AN182,IF(AND($A$2=4,VLOOKUP($A182,'District Level ADM'!$A$5:$W$52,5,FALSE)="3-Year Avg."),Z182,IF($A$2=2,AN182,IF($A$2=3,Z182,IF(($AG182&gt;$AU182),Z182,AN182)))))</f>
        <v>6.8949999999999996</v>
      </c>
      <c r="M182" s="317">
        <f>IF(AND($A$2=4,VLOOKUP($A182,'District Level ADM'!$A$5:$W$52,5,FALSE)="Prior Year"),AO182,IF(AND($A$2=4,VLOOKUP($A182,'District Level ADM'!$A$5:$W$52,5,FALSE)="3-Year Avg."),AA182,IF($A$2=2,AO182,IF($A$2=3,AA182,IF(($AG182&gt;$AU182),AA182,AO182)))))</f>
        <v>0</v>
      </c>
      <c r="N182" s="317">
        <f>IF(AND($A$2=4,VLOOKUP($A182,'District Level ADM'!$A$5:$W$52,5,FALSE)="Prior Year"),AP182,IF(AND($A$2=4,VLOOKUP($A182,'District Level ADM'!$A$5:$W$52,5,FALSE)="3-Year Avg."),AB182,IF($A$2=2,AP182,IF($A$2=3,AB182,IF(($AG182&gt;$AU182),AB182,AP182)))))</f>
        <v>0</v>
      </c>
      <c r="O182" s="317">
        <f>IF(AND($A$2=4,VLOOKUP($A182,'District Level ADM'!$A$5:$W$52,5,FALSE)="Prior Year"),AQ182,IF(AND($A$2=4,VLOOKUP($A182,'District Level ADM'!$A$5:$W$52,5,FALSE)="3-Year Avg."),AC182,IF($A$2=2,AQ182,IF($A$2=3,AC182,IF(($AG182&gt;$AU182),AC182,AQ182)))))</f>
        <v>0</v>
      </c>
      <c r="P182" s="317">
        <f>IF(AND($A$2=4,VLOOKUP($A182,'District Level ADM'!$A$5:$W$52,5,FALSE)="Prior Year"),AR182,IF(AND($A$2=4,VLOOKUP($A182,'District Level ADM'!$A$5:$W$52,5,FALSE)="3-Year Avg."),AD182,IF($A$2=2,AR182,IF($A$2=3,AD182,IF(($AG182&gt;$AU182),AD182,AR182)))))</f>
        <v>0</v>
      </c>
      <c r="Q182" s="317">
        <f>IF(AND($A$2=4,VLOOKUP($A182,'District Level ADM'!$A$5:$W$52,5,FALSE)="Prior Year"),AS182,IF(AND($A$2=4,VLOOKUP($A182,'District Level ADM'!$A$5:$W$52,5,FALSE)="3-Year Avg."),AE182,IF($A$2=2,AS182,IF($A$2=3,AE182,IF(($AG182&gt;$AU182),AE182,AS182)))))</f>
        <v>0</v>
      </c>
      <c r="R182" s="317">
        <f>IF(AND($A$2=4,VLOOKUP($A182,'District Level ADM'!$A$5:$W$52,5,FALSE)="Prior Year"),AT182,IF(AND($A$2=4,VLOOKUP($A182,'District Level ADM'!$A$5:$W$52,5,FALSE)="3-Year Avg."),AF182,IF($A$2=2,AT182,IF($A$2=3,AF182,IF(($AG182&gt;$AU182),AF182,AT182)))))</f>
        <v>0</v>
      </c>
      <c r="S182" s="317">
        <f t="shared" si="25"/>
        <v>48.265000000000001</v>
      </c>
      <c r="T182" s="317">
        <f t="shared" si="34"/>
        <v>5.6416666666666666</v>
      </c>
      <c r="U182" s="317">
        <f t="shared" si="33"/>
        <v>8.293333333333333</v>
      </c>
      <c r="V182" s="317">
        <f t="shared" si="33"/>
        <v>8.98</v>
      </c>
      <c r="W182" s="317">
        <f t="shared" si="33"/>
        <v>8.6403333333333325</v>
      </c>
      <c r="X182" s="317">
        <f t="shared" si="33"/>
        <v>6.6280000000000001</v>
      </c>
      <c r="Y182" s="317">
        <f t="shared" si="33"/>
        <v>7.8086666666666673</v>
      </c>
      <c r="Z182" s="317">
        <f t="shared" si="33"/>
        <v>8.1606666666666658</v>
      </c>
      <c r="AA182" s="317">
        <f t="shared" si="33"/>
        <v>0</v>
      </c>
      <c r="AB182" s="317">
        <f t="shared" si="33"/>
        <v>0</v>
      </c>
      <c r="AC182" s="317">
        <f t="shared" si="33"/>
        <v>0</v>
      </c>
      <c r="AD182" s="317">
        <f t="shared" si="30"/>
        <v>0</v>
      </c>
      <c r="AE182" s="317">
        <f t="shared" si="30"/>
        <v>0</v>
      </c>
      <c r="AF182" s="317">
        <f t="shared" si="30"/>
        <v>0</v>
      </c>
      <c r="AG182" s="317">
        <f t="shared" si="26"/>
        <v>54.152666666666661</v>
      </c>
      <c r="AH182" s="318">
        <v>4.9249999999999998</v>
      </c>
      <c r="AI182" s="318">
        <v>7.88</v>
      </c>
      <c r="AJ182" s="318">
        <v>3.94</v>
      </c>
      <c r="AK182" s="318">
        <v>12.805</v>
      </c>
      <c r="AL182" s="318">
        <v>5.91</v>
      </c>
      <c r="AM182" s="318">
        <v>5.91</v>
      </c>
      <c r="AN182" s="318">
        <v>6.8949999999999996</v>
      </c>
      <c r="AO182" s="318">
        <v>0</v>
      </c>
      <c r="AP182" s="318">
        <v>0</v>
      </c>
      <c r="AQ182" s="318">
        <v>0</v>
      </c>
      <c r="AR182" s="318">
        <v>0</v>
      </c>
      <c r="AS182" s="318">
        <v>0</v>
      </c>
      <c r="AT182" s="318">
        <v>0</v>
      </c>
      <c r="AU182" s="317">
        <f t="shared" si="27"/>
        <v>48.265000000000001</v>
      </c>
      <c r="AV182" s="319">
        <v>6</v>
      </c>
      <c r="AW182" s="319">
        <v>5</v>
      </c>
      <c r="AX182" s="319">
        <v>13</v>
      </c>
      <c r="AY182" s="319">
        <v>8.1159999999999997</v>
      </c>
      <c r="AZ182" s="319">
        <v>5.9740000000000002</v>
      </c>
      <c r="BA182" s="319">
        <v>8.516</v>
      </c>
      <c r="BB182" s="319">
        <v>7</v>
      </c>
      <c r="BC182" s="319">
        <v>0</v>
      </c>
      <c r="BD182" s="319">
        <v>0</v>
      </c>
      <c r="BE182" s="319">
        <v>0</v>
      </c>
      <c r="BF182" s="319">
        <v>0</v>
      </c>
      <c r="BG182" s="319">
        <v>0</v>
      </c>
      <c r="BH182" s="319">
        <v>0</v>
      </c>
      <c r="BI182" s="317">
        <f t="shared" si="28"/>
        <v>53.606000000000002</v>
      </c>
      <c r="BJ182" s="316">
        <v>6</v>
      </c>
      <c r="BK182" s="316">
        <v>12</v>
      </c>
      <c r="BL182" s="316">
        <v>10</v>
      </c>
      <c r="BM182" s="316">
        <v>5</v>
      </c>
      <c r="BN182" s="316">
        <v>8</v>
      </c>
      <c r="BO182" s="316">
        <v>9</v>
      </c>
      <c r="BP182" s="316">
        <v>10.587</v>
      </c>
      <c r="BQ182" s="316">
        <v>0</v>
      </c>
      <c r="BR182" s="316">
        <v>0</v>
      </c>
      <c r="BS182" s="316">
        <v>0</v>
      </c>
      <c r="BT182" s="316">
        <v>0</v>
      </c>
      <c r="BU182" s="316">
        <v>0</v>
      </c>
      <c r="BV182" s="316">
        <v>0</v>
      </c>
      <c r="BW182" s="317">
        <f t="shared" si="24"/>
        <v>60.587000000000003</v>
      </c>
    </row>
    <row r="183" spans="1:75" x14ac:dyDescent="0.2">
      <c r="A183" s="20" t="str">
        <f>'School Level Inst. Resources'!A183</f>
        <v>1102000</v>
      </c>
      <c r="B183" s="20" t="str">
        <f>'School Level Inst. Resources'!B183</f>
        <v>Laramie #2</v>
      </c>
      <c r="C183" s="20" t="str">
        <f>'School Level Inst. Resources'!C183</f>
        <v>1102002</v>
      </c>
      <c r="D183" s="20" t="str">
        <f>'School Level Inst. Resources'!D183</f>
        <v>Carpenter Elementary</v>
      </c>
      <c r="E183" s="138" t="str">
        <f>'School Level Inst. Resources'!E183</f>
        <v>K-6</v>
      </c>
      <c r="F183" s="317">
        <f>IF(AND($A$2=4,VLOOKUP($A183,'District Level ADM'!$A$5:$W$52,5,FALSE)="Prior Year"),AH183,IF(AND($A$2=4,VLOOKUP($A183,'District Level ADM'!$A$5:$W$52,5,FALSE)="3-Year Avg."),T183,IF($A$2=2,AH183,IF($A$2=3,T183,IF(($AG183&gt;$AU183),T183,AH183)))))</f>
        <v>17.73</v>
      </c>
      <c r="G183" s="317">
        <f>IF(AND($A$2=4,VLOOKUP($A183,'District Level ADM'!$A$5:$W$52,5,FALSE)="Prior Year"),AI183,IF(AND($A$2=4,VLOOKUP($A183,'District Level ADM'!$A$5:$W$52,5,FALSE)="3-Year Avg."),U183,IF($A$2=2,AI183,IF($A$2=3,U183,IF(($AG183&gt;$AU183),U183,AI183)))))</f>
        <v>15.76</v>
      </c>
      <c r="H183" s="317">
        <f>IF(AND($A$2=4,VLOOKUP($A183,'District Level ADM'!$A$5:$W$52,5,FALSE)="Prior Year"),AJ183,IF(AND($A$2=4,VLOOKUP($A183,'District Level ADM'!$A$5:$W$52,5,FALSE)="3-Year Avg."),V183,IF($A$2=2,AJ183,IF($A$2=3,V183,IF(($AG183&gt;$AU183),V183,AJ183)))))</f>
        <v>15.76</v>
      </c>
      <c r="I183" s="317">
        <f>IF(AND($A$2=4,VLOOKUP($A183,'District Level ADM'!$A$5:$W$52,5,FALSE)="Prior Year"),AK183,IF(AND($A$2=4,VLOOKUP($A183,'District Level ADM'!$A$5:$W$52,5,FALSE)="3-Year Avg."),W183,IF($A$2=2,AK183,IF($A$2=3,W183,IF(($AG183&gt;$AU183),W183,AK183)))))</f>
        <v>15.76</v>
      </c>
      <c r="J183" s="317">
        <f>IF(AND($A$2=4,VLOOKUP($A183,'District Level ADM'!$A$5:$W$52,5,FALSE)="Prior Year"),AL183,IF(AND($A$2=4,VLOOKUP($A183,'District Level ADM'!$A$5:$W$52,5,FALSE)="3-Year Avg."),X183,IF($A$2=2,AL183,IF($A$2=3,X183,IF(($AG183&gt;$AU183),X183,AL183)))))</f>
        <v>11.82</v>
      </c>
      <c r="K183" s="317">
        <f>IF(AND($A$2=4,VLOOKUP($A183,'District Level ADM'!$A$5:$W$52,5,FALSE)="Prior Year"),AM183,IF(AND($A$2=4,VLOOKUP($A183,'District Level ADM'!$A$5:$W$52,5,FALSE)="3-Year Avg."),Y183,IF($A$2=2,AM183,IF($A$2=3,Y183,IF(($AG183&gt;$AU183),Y183,AM183)))))</f>
        <v>19.7</v>
      </c>
      <c r="L183" s="317">
        <f>IF(AND($A$2=4,VLOOKUP($A183,'District Level ADM'!$A$5:$W$52,5,FALSE)="Prior Year"),AN183,IF(AND($A$2=4,VLOOKUP($A183,'District Level ADM'!$A$5:$W$52,5,FALSE)="3-Year Avg."),Z183,IF($A$2=2,AN183,IF($A$2=3,Z183,IF(($AG183&gt;$AU183),Z183,AN183)))))</f>
        <v>8.8650000000000002</v>
      </c>
      <c r="M183" s="317">
        <f>IF(AND($A$2=4,VLOOKUP($A183,'District Level ADM'!$A$5:$W$52,5,FALSE)="Prior Year"),AO183,IF(AND($A$2=4,VLOOKUP($A183,'District Level ADM'!$A$5:$W$52,5,FALSE)="3-Year Avg."),AA183,IF($A$2=2,AO183,IF($A$2=3,AA183,IF(($AG183&gt;$AU183),AA183,AO183)))))</f>
        <v>0</v>
      </c>
      <c r="N183" s="317">
        <f>IF(AND($A$2=4,VLOOKUP($A183,'District Level ADM'!$A$5:$W$52,5,FALSE)="Prior Year"),AP183,IF(AND($A$2=4,VLOOKUP($A183,'District Level ADM'!$A$5:$W$52,5,FALSE)="3-Year Avg."),AB183,IF($A$2=2,AP183,IF($A$2=3,AB183,IF(($AG183&gt;$AU183),AB183,AP183)))))</f>
        <v>0</v>
      </c>
      <c r="O183" s="317">
        <f>IF(AND($A$2=4,VLOOKUP($A183,'District Level ADM'!$A$5:$W$52,5,FALSE)="Prior Year"),AQ183,IF(AND($A$2=4,VLOOKUP($A183,'District Level ADM'!$A$5:$W$52,5,FALSE)="3-Year Avg."),AC183,IF($A$2=2,AQ183,IF($A$2=3,AC183,IF(($AG183&gt;$AU183),AC183,AQ183)))))</f>
        <v>0</v>
      </c>
      <c r="P183" s="317">
        <f>IF(AND($A$2=4,VLOOKUP($A183,'District Level ADM'!$A$5:$W$52,5,FALSE)="Prior Year"),AR183,IF(AND($A$2=4,VLOOKUP($A183,'District Level ADM'!$A$5:$W$52,5,FALSE)="3-Year Avg."),AD183,IF($A$2=2,AR183,IF($A$2=3,AD183,IF(($AG183&gt;$AU183),AD183,AR183)))))</f>
        <v>0</v>
      </c>
      <c r="Q183" s="317">
        <f>IF(AND($A$2=4,VLOOKUP($A183,'District Level ADM'!$A$5:$W$52,5,FALSE)="Prior Year"),AS183,IF(AND($A$2=4,VLOOKUP($A183,'District Level ADM'!$A$5:$W$52,5,FALSE)="3-Year Avg."),AE183,IF($A$2=2,AS183,IF($A$2=3,AE183,IF(($AG183&gt;$AU183),AE183,AS183)))))</f>
        <v>0</v>
      </c>
      <c r="R183" s="317">
        <f>IF(AND($A$2=4,VLOOKUP($A183,'District Level ADM'!$A$5:$W$52,5,FALSE)="Prior Year"),AT183,IF(AND($A$2=4,VLOOKUP($A183,'District Level ADM'!$A$5:$W$52,5,FALSE)="3-Year Avg."),AF183,IF($A$2=2,AT183,IF($A$2=3,AF183,IF(($AG183&gt;$AU183),AF183,AT183)))))</f>
        <v>0</v>
      </c>
      <c r="S183" s="317">
        <f t="shared" si="25"/>
        <v>105.39500000000001</v>
      </c>
      <c r="T183" s="317">
        <f t="shared" si="34"/>
        <v>17.209000000000003</v>
      </c>
      <c r="U183" s="317">
        <f t="shared" si="33"/>
        <v>15.382333333333333</v>
      </c>
      <c r="V183" s="317">
        <f t="shared" si="33"/>
        <v>13.180333333333332</v>
      </c>
      <c r="W183" s="317">
        <f t="shared" si="33"/>
        <v>14.619</v>
      </c>
      <c r="X183" s="317">
        <f t="shared" si="33"/>
        <v>13.965666666666666</v>
      </c>
      <c r="Y183" s="317">
        <f t="shared" si="33"/>
        <v>13.624666666666664</v>
      </c>
      <c r="Z183" s="317">
        <f t="shared" si="33"/>
        <v>11.264666666666665</v>
      </c>
      <c r="AA183" s="317">
        <f t="shared" si="33"/>
        <v>0</v>
      </c>
      <c r="AB183" s="317">
        <f t="shared" si="33"/>
        <v>0</v>
      </c>
      <c r="AC183" s="317">
        <f t="shared" si="33"/>
        <v>0</v>
      </c>
      <c r="AD183" s="317">
        <f t="shared" si="30"/>
        <v>0</v>
      </c>
      <c r="AE183" s="317">
        <f t="shared" si="30"/>
        <v>0</v>
      </c>
      <c r="AF183" s="317">
        <f t="shared" si="30"/>
        <v>0</v>
      </c>
      <c r="AG183" s="317">
        <f t="shared" si="26"/>
        <v>99.245666666666679</v>
      </c>
      <c r="AH183" s="318">
        <v>17.73</v>
      </c>
      <c r="AI183" s="318">
        <v>15.76</v>
      </c>
      <c r="AJ183" s="318">
        <v>15.76</v>
      </c>
      <c r="AK183" s="318">
        <v>15.76</v>
      </c>
      <c r="AL183" s="318">
        <v>11.82</v>
      </c>
      <c r="AM183" s="318">
        <v>19.7</v>
      </c>
      <c r="AN183" s="318">
        <v>8.8650000000000002</v>
      </c>
      <c r="AO183" s="318">
        <v>0</v>
      </c>
      <c r="AP183" s="318">
        <v>0</v>
      </c>
      <c r="AQ183" s="318">
        <v>0</v>
      </c>
      <c r="AR183" s="318">
        <v>0</v>
      </c>
      <c r="AS183" s="318">
        <v>0</v>
      </c>
      <c r="AT183" s="318">
        <v>0</v>
      </c>
      <c r="AU183" s="317">
        <f t="shared" si="27"/>
        <v>105.39500000000001</v>
      </c>
      <c r="AV183" s="319">
        <v>17.155000000000001</v>
      </c>
      <c r="AW183" s="319">
        <v>17</v>
      </c>
      <c r="AX183" s="319">
        <v>13.839</v>
      </c>
      <c r="AY183" s="319">
        <v>10.8</v>
      </c>
      <c r="AZ183" s="319">
        <v>18.2</v>
      </c>
      <c r="BA183" s="319">
        <v>9</v>
      </c>
      <c r="BB183" s="319">
        <v>12.929</v>
      </c>
      <c r="BC183" s="319">
        <v>0</v>
      </c>
      <c r="BD183" s="319">
        <v>0</v>
      </c>
      <c r="BE183" s="319">
        <v>0</v>
      </c>
      <c r="BF183" s="319">
        <v>0</v>
      </c>
      <c r="BG183" s="319">
        <v>0</v>
      </c>
      <c r="BH183" s="319">
        <v>0</v>
      </c>
      <c r="BI183" s="317">
        <f t="shared" si="28"/>
        <v>98.923000000000002</v>
      </c>
      <c r="BJ183" s="316">
        <v>16.742000000000001</v>
      </c>
      <c r="BK183" s="316">
        <v>13.387</v>
      </c>
      <c r="BL183" s="316">
        <v>9.9420000000000002</v>
      </c>
      <c r="BM183" s="316">
        <v>17.297000000000001</v>
      </c>
      <c r="BN183" s="316">
        <v>11.877000000000001</v>
      </c>
      <c r="BO183" s="316">
        <v>12.173999999999999</v>
      </c>
      <c r="BP183" s="316">
        <v>12</v>
      </c>
      <c r="BQ183" s="316">
        <v>0</v>
      </c>
      <c r="BR183" s="316">
        <v>0</v>
      </c>
      <c r="BS183" s="316">
        <v>0</v>
      </c>
      <c r="BT183" s="316">
        <v>0</v>
      </c>
      <c r="BU183" s="316">
        <v>0</v>
      </c>
      <c r="BV183" s="316">
        <v>0</v>
      </c>
      <c r="BW183" s="317">
        <f t="shared" si="24"/>
        <v>93.418999999999983</v>
      </c>
    </row>
    <row r="184" spans="1:75" x14ac:dyDescent="0.2">
      <c r="A184" s="20" t="str">
        <f>'School Level Inst. Resources'!A184</f>
        <v>1102000</v>
      </c>
      <c r="B184" s="20" t="str">
        <f>'School Level Inst. Resources'!B184</f>
        <v>Laramie #2</v>
      </c>
      <c r="C184" s="20" t="str">
        <f>'School Level Inst. Resources'!C184</f>
        <v>1102004</v>
      </c>
      <c r="D184" s="20" t="str">
        <f>'School Level Inst. Resources'!D184</f>
        <v>Pine Bluffs Elementary</v>
      </c>
      <c r="E184" s="138" t="str">
        <f>'School Level Inst. Resources'!E184</f>
        <v>K-6</v>
      </c>
      <c r="F184" s="317">
        <f>IF(AND($A$2=4,VLOOKUP($A184,'District Level ADM'!$A$5:$W$52,5,FALSE)="Prior Year"),AH184,IF(AND($A$2=4,VLOOKUP($A184,'District Level ADM'!$A$5:$W$52,5,FALSE)="3-Year Avg."),T184,IF($A$2=2,AH184,IF($A$2=3,T184,IF(($AG184&gt;$AU184),T184,AH184)))))</f>
        <v>19.7</v>
      </c>
      <c r="G184" s="317">
        <f>IF(AND($A$2=4,VLOOKUP($A184,'District Level ADM'!$A$5:$W$52,5,FALSE)="Prior Year"),AI184,IF(AND($A$2=4,VLOOKUP($A184,'District Level ADM'!$A$5:$W$52,5,FALSE)="3-Year Avg."),U184,IF($A$2=2,AI184,IF($A$2=3,U184,IF(($AG184&gt;$AU184),U184,AI184)))))</f>
        <v>23.64</v>
      </c>
      <c r="H184" s="317">
        <f>IF(AND($A$2=4,VLOOKUP($A184,'District Level ADM'!$A$5:$W$52,5,FALSE)="Prior Year"),AJ184,IF(AND($A$2=4,VLOOKUP($A184,'District Level ADM'!$A$5:$W$52,5,FALSE)="3-Year Avg."),V184,IF($A$2=2,AJ184,IF($A$2=3,V184,IF(($AG184&gt;$AU184),V184,AJ184)))))</f>
        <v>18.715</v>
      </c>
      <c r="I184" s="317">
        <f>IF(AND($A$2=4,VLOOKUP($A184,'District Level ADM'!$A$5:$W$52,5,FALSE)="Prior Year"),AK184,IF(AND($A$2=4,VLOOKUP($A184,'District Level ADM'!$A$5:$W$52,5,FALSE)="3-Year Avg."),W184,IF($A$2=2,AK184,IF($A$2=3,W184,IF(($AG184&gt;$AU184),W184,AK184)))))</f>
        <v>25.61</v>
      </c>
      <c r="J184" s="317">
        <f>IF(AND($A$2=4,VLOOKUP($A184,'District Level ADM'!$A$5:$W$52,5,FALSE)="Prior Year"),AL184,IF(AND($A$2=4,VLOOKUP($A184,'District Level ADM'!$A$5:$W$52,5,FALSE)="3-Year Avg."),X184,IF($A$2=2,AL184,IF($A$2=3,X184,IF(($AG184&gt;$AU184),X184,AL184)))))</f>
        <v>18.715</v>
      </c>
      <c r="K184" s="317">
        <f>IF(AND($A$2=4,VLOOKUP($A184,'District Level ADM'!$A$5:$W$52,5,FALSE)="Prior Year"),AM184,IF(AND($A$2=4,VLOOKUP($A184,'District Level ADM'!$A$5:$W$52,5,FALSE)="3-Year Avg."),Y184,IF($A$2=2,AM184,IF($A$2=3,Y184,IF(($AG184&gt;$AU184),Y184,AM184)))))</f>
        <v>17.73</v>
      </c>
      <c r="L184" s="317">
        <f>IF(AND($A$2=4,VLOOKUP($A184,'District Level ADM'!$A$5:$W$52,5,FALSE)="Prior Year"),AN184,IF(AND($A$2=4,VLOOKUP($A184,'District Level ADM'!$A$5:$W$52,5,FALSE)="3-Year Avg."),Z184,IF($A$2=2,AN184,IF($A$2=3,Z184,IF(($AG184&gt;$AU184),Z184,AN184)))))</f>
        <v>26.594999999999999</v>
      </c>
      <c r="M184" s="317">
        <f>IF(AND($A$2=4,VLOOKUP($A184,'District Level ADM'!$A$5:$W$52,5,FALSE)="Prior Year"),AO184,IF(AND($A$2=4,VLOOKUP($A184,'District Level ADM'!$A$5:$W$52,5,FALSE)="3-Year Avg."),AA184,IF($A$2=2,AO184,IF($A$2=3,AA184,IF(($AG184&gt;$AU184),AA184,AO184)))))</f>
        <v>0</v>
      </c>
      <c r="N184" s="317">
        <f>IF(AND($A$2=4,VLOOKUP($A184,'District Level ADM'!$A$5:$W$52,5,FALSE)="Prior Year"),AP184,IF(AND($A$2=4,VLOOKUP($A184,'District Level ADM'!$A$5:$W$52,5,FALSE)="3-Year Avg."),AB184,IF($A$2=2,AP184,IF($A$2=3,AB184,IF(($AG184&gt;$AU184),AB184,AP184)))))</f>
        <v>0</v>
      </c>
      <c r="O184" s="317">
        <f>IF(AND($A$2=4,VLOOKUP($A184,'District Level ADM'!$A$5:$W$52,5,FALSE)="Prior Year"),AQ184,IF(AND($A$2=4,VLOOKUP($A184,'District Level ADM'!$A$5:$W$52,5,FALSE)="3-Year Avg."),AC184,IF($A$2=2,AQ184,IF($A$2=3,AC184,IF(($AG184&gt;$AU184),AC184,AQ184)))))</f>
        <v>0</v>
      </c>
      <c r="P184" s="317">
        <f>IF(AND($A$2=4,VLOOKUP($A184,'District Level ADM'!$A$5:$W$52,5,FALSE)="Prior Year"),AR184,IF(AND($A$2=4,VLOOKUP($A184,'District Level ADM'!$A$5:$W$52,5,FALSE)="3-Year Avg."),AD184,IF($A$2=2,AR184,IF($A$2=3,AD184,IF(($AG184&gt;$AU184),AD184,AR184)))))</f>
        <v>0</v>
      </c>
      <c r="Q184" s="317">
        <f>IF(AND($A$2=4,VLOOKUP($A184,'District Level ADM'!$A$5:$W$52,5,FALSE)="Prior Year"),AS184,IF(AND($A$2=4,VLOOKUP($A184,'District Level ADM'!$A$5:$W$52,5,FALSE)="3-Year Avg."),AE184,IF($A$2=2,AS184,IF($A$2=3,AE184,IF(($AG184&gt;$AU184),AE184,AS184)))))</f>
        <v>0</v>
      </c>
      <c r="R184" s="317">
        <f>IF(AND($A$2=4,VLOOKUP($A184,'District Level ADM'!$A$5:$W$52,5,FALSE)="Prior Year"),AT184,IF(AND($A$2=4,VLOOKUP($A184,'District Level ADM'!$A$5:$W$52,5,FALSE)="3-Year Avg."),AF184,IF($A$2=2,AT184,IF($A$2=3,AF184,IF(($AG184&gt;$AU184),AF184,AT184)))))</f>
        <v>0</v>
      </c>
      <c r="S184" s="317">
        <f t="shared" si="25"/>
        <v>150.70500000000001</v>
      </c>
      <c r="T184" s="317">
        <f t="shared" si="34"/>
        <v>21.039666666666665</v>
      </c>
      <c r="U184" s="317">
        <f t="shared" si="33"/>
        <v>22.906000000000002</v>
      </c>
      <c r="V184" s="317">
        <f t="shared" si="33"/>
        <v>20.694333333333333</v>
      </c>
      <c r="W184" s="317">
        <f t="shared" si="33"/>
        <v>20.037666666666667</v>
      </c>
      <c r="X184" s="317">
        <f t="shared" si="33"/>
        <v>19.926333333333332</v>
      </c>
      <c r="Y184" s="317">
        <f t="shared" si="33"/>
        <v>21.542333333333332</v>
      </c>
      <c r="Z184" s="317">
        <f t="shared" si="33"/>
        <v>23.193999999999999</v>
      </c>
      <c r="AA184" s="317">
        <f t="shared" si="33"/>
        <v>0</v>
      </c>
      <c r="AB184" s="317">
        <f t="shared" si="33"/>
        <v>0</v>
      </c>
      <c r="AC184" s="317">
        <f t="shared" si="33"/>
        <v>0</v>
      </c>
      <c r="AD184" s="317">
        <f t="shared" si="30"/>
        <v>0</v>
      </c>
      <c r="AE184" s="317">
        <f t="shared" si="30"/>
        <v>0</v>
      </c>
      <c r="AF184" s="317">
        <f t="shared" si="30"/>
        <v>0</v>
      </c>
      <c r="AG184" s="317">
        <f t="shared" si="26"/>
        <v>149.34033333333332</v>
      </c>
      <c r="AH184" s="318">
        <v>19.7</v>
      </c>
      <c r="AI184" s="318">
        <v>23.64</v>
      </c>
      <c r="AJ184" s="318">
        <v>18.715</v>
      </c>
      <c r="AK184" s="318">
        <v>25.61</v>
      </c>
      <c r="AL184" s="318">
        <v>18.715</v>
      </c>
      <c r="AM184" s="318">
        <v>17.73</v>
      </c>
      <c r="AN184" s="318">
        <v>26.594999999999999</v>
      </c>
      <c r="AO184" s="318">
        <v>0</v>
      </c>
      <c r="AP184" s="318">
        <v>0</v>
      </c>
      <c r="AQ184" s="318">
        <v>0</v>
      </c>
      <c r="AR184" s="318">
        <v>0</v>
      </c>
      <c r="AS184" s="318">
        <v>0</v>
      </c>
      <c r="AT184" s="318">
        <v>0</v>
      </c>
      <c r="AU184" s="317">
        <f t="shared" si="27"/>
        <v>150.70500000000001</v>
      </c>
      <c r="AV184" s="319">
        <v>20.219000000000001</v>
      </c>
      <c r="AW184" s="319">
        <v>18.826000000000001</v>
      </c>
      <c r="AX184" s="319">
        <v>24.870999999999999</v>
      </c>
      <c r="AY184" s="319">
        <v>15.773999999999999</v>
      </c>
      <c r="AZ184" s="319">
        <v>19.677</v>
      </c>
      <c r="BA184" s="319">
        <v>23.425999999999998</v>
      </c>
      <c r="BB184" s="319">
        <v>22.986999999999998</v>
      </c>
      <c r="BC184" s="319">
        <v>0</v>
      </c>
      <c r="BD184" s="319">
        <v>0</v>
      </c>
      <c r="BE184" s="319">
        <v>0</v>
      </c>
      <c r="BF184" s="319">
        <v>0</v>
      </c>
      <c r="BG184" s="319">
        <v>0</v>
      </c>
      <c r="BH184" s="319">
        <v>0</v>
      </c>
      <c r="BI184" s="317">
        <f t="shared" si="28"/>
        <v>145.78</v>
      </c>
      <c r="BJ184" s="316">
        <v>23.2</v>
      </c>
      <c r="BK184" s="316">
        <v>26.251999999999999</v>
      </c>
      <c r="BL184" s="316">
        <v>18.497</v>
      </c>
      <c r="BM184" s="316">
        <v>18.728999999999999</v>
      </c>
      <c r="BN184" s="316">
        <v>21.387</v>
      </c>
      <c r="BO184" s="316">
        <v>23.471</v>
      </c>
      <c r="BP184" s="316">
        <v>20</v>
      </c>
      <c r="BQ184" s="316">
        <v>0</v>
      </c>
      <c r="BR184" s="316">
        <v>0</v>
      </c>
      <c r="BS184" s="316">
        <v>0</v>
      </c>
      <c r="BT184" s="316">
        <v>0</v>
      </c>
      <c r="BU184" s="316">
        <v>0</v>
      </c>
      <c r="BV184" s="316">
        <v>0</v>
      </c>
      <c r="BW184" s="317">
        <f t="shared" si="24"/>
        <v>151.536</v>
      </c>
    </row>
    <row r="185" spans="1:75" x14ac:dyDescent="0.2">
      <c r="A185" s="20" t="str">
        <f>'School Level Inst. Resources'!A185</f>
        <v>1102000</v>
      </c>
      <c r="B185" s="20" t="str">
        <f>'School Level Inst. Resources'!B185</f>
        <v>Laramie #2</v>
      </c>
      <c r="C185" s="20" t="str">
        <f>'School Level Inst. Resources'!C185</f>
        <v>1102005</v>
      </c>
      <c r="D185" s="20" t="str">
        <f>'School Level Inst. Resources'!D185</f>
        <v>Burns Elementary</v>
      </c>
      <c r="E185" s="138" t="str">
        <f>'School Level Inst. Resources'!E185</f>
        <v>K-6</v>
      </c>
      <c r="F185" s="317">
        <f>IF(AND($A$2=4,VLOOKUP($A185,'District Level ADM'!$A$5:$W$52,5,FALSE)="Prior Year"),AH185,IF(AND($A$2=4,VLOOKUP($A185,'District Level ADM'!$A$5:$W$52,5,FALSE)="3-Year Avg."),T185,IF($A$2=2,AH185,IF($A$2=3,T185,IF(($AG185&gt;$AU185),T185,AH185)))))</f>
        <v>42.354999999999997</v>
      </c>
      <c r="G185" s="317">
        <f>IF(AND($A$2=4,VLOOKUP($A185,'District Level ADM'!$A$5:$W$52,5,FALSE)="Prior Year"),AI185,IF(AND($A$2=4,VLOOKUP($A185,'District Level ADM'!$A$5:$W$52,5,FALSE)="3-Year Avg."),U185,IF($A$2=2,AI185,IF($A$2=3,U185,IF(($AG185&gt;$AU185),U185,AI185)))))</f>
        <v>36.445</v>
      </c>
      <c r="H185" s="317">
        <f>IF(AND($A$2=4,VLOOKUP($A185,'District Level ADM'!$A$5:$W$52,5,FALSE)="Prior Year"),AJ185,IF(AND($A$2=4,VLOOKUP($A185,'District Level ADM'!$A$5:$W$52,5,FALSE)="3-Year Avg."),V185,IF($A$2=2,AJ185,IF($A$2=3,V185,IF(($AG185&gt;$AU185),V185,AJ185)))))</f>
        <v>40.384999999999998</v>
      </c>
      <c r="I185" s="317">
        <f>IF(AND($A$2=4,VLOOKUP($A185,'District Level ADM'!$A$5:$W$52,5,FALSE)="Prior Year"),AK185,IF(AND($A$2=4,VLOOKUP($A185,'District Level ADM'!$A$5:$W$52,5,FALSE)="3-Year Avg."),W185,IF($A$2=2,AK185,IF($A$2=3,W185,IF(($AG185&gt;$AU185),W185,AK185)))))</f>
        <v>41.37</v>
      </c>
      <c r="J185" s="317">
        <f>IF(AND($A$2=4,VLOOKUP($A185,'District Level ADM'!$A$5:$W$52,5,FALSE)="Prior Year"),AL185,IF(AND($A$2=4,VLOOKUP($A185,'District Level ADM'!$A$5:$W$52,5,FALSE)="3-Year Avg."),X185,IF($A$2=2,AL185,IF($A$2=3,X185,IF(($AG185&gt;$AU185),X185,AL185)))))</f>
        <v>36.445</v>
      </c>
      <c r="K185" s="317">
        <f>IF(AND($A$2=4,VLOOKUP($A185,'District Level ADM'!$A$5:$W$52,5,FALSE)="Prior Year"),AM185,IF(AND($A$2=4,VLOOKUP($A185,'District Level ADM'!$A$5:$W$52,5,FALSE)="3-Year Avg."),Y185,IF($A$2=2,AM185,IF($A$2=3,Y185,IF(($AG185&gt;$AU185),Y185,AM185)))))</f>
        <v>17.73</v>
      </c>
      <c r="L185" s="317">
        <f>IF(AND($A$2=4,VLOOKUP($A185,'District Level ADM'!$A$5:$W$52,5,FALSE)="Prior Year"),AN185,IF(AND($A$2=4,VLOOKUP($A185,'District Level ADM'!$A$5:$W$52,5,FALSE)="3-Year Avg."),Z185,IF($A$2=2,AN185,IF($A$2=3,Z185,IF(($AG185&gt;$AU185),Z185,AN185)))))</f>
        <v>46.295000000000002</v>
      </c>
      <c r="M185" s="317">
        <f>IF(AND($A$2=4,VLOOKUP($A185,'District Level ADM'!$A$5:$W$52,5,FALSE)="Prior Year"),AO185,IF(AND($A$2=4,VLOOKUP($A185,'District Level ADM'!$A$5:$W$52,5,FALSE)="3-Year Avg."),AA185,IF($A$2=2,AO185,IF($A$2=3,AA185,IF(($AG185&gt;$AU185),AA185,AO185)))))</f>
        <v>0</v>
      </c>
      <c r="N185" s="317">
        <f>IF(AND($A$2=4,VLOOKUP($A185,'District Level ADM'!$A$5:$W$52,5,FALSE)="Prior Year"),AP185,IF(AND($A$2=4,VLOOKUP($A185,'District Level ADM'!$A$5:$W$52,5,FALSE)="3-Year Avg."),AB185,IF($A$2=2,AP185,IF($A$2=3,AB185,IF(($AG185&gt;$AU185),AB185,AP185)))))</f>
        <v>0</v>
      </c>
      <c r="O185" s="317">
        <f>IF(AND($A$2=4,VLOOKUP($A185,'District Level ADM'!$A$5:$W$52,5,FALSE)="Prior Year"),AQ185,IF(AND($A$2=4,VLOOKUP($A185,'District Level ADM'!$A$5:$W$52,5,FALSE)="3-Year Avg."),AC185,IF($A$2=2,AQ185,IF($A$2=3,AC185,IF(($AG185&gt;$AU185),AC185,AQ185)))))</f>
        <v>0</v>
      </c>
      <c r="P185" s="317">
        <f>IF(AND($A$2=4,VLOOKUP($A185,'District Level ADM'!$A$5:$W$52,5,FALSE)="Prior Year"),AR185,IF(AND($A$2=4,VLOOKUP($A185,'District Level ADM'!$A$5:$W$52,5,FALSE)="3-Year Avg."),AD185,IF($A$2=2,AR185,IF($A$2=3,AD185,IF(($AG185&gt;$AU185),AD185,AR185)))))</f>
        <v>0</v>
      </c>
      <c r="Q185" s="317">
        <f>IF(AND($A$2=4,VLOOKUP($A185,'District Level ADM'!$A$5:$W$52,5,FALSE)="Prior Year"),AS185,IF(AND($A$2=4,VLOOKUP($A185,'District Level ADM'!$A$5:$W$52,5,FALSE)="3-Year Avg."),AE185,IF($A$2=2,AS185,IF($A$2=3,AE185,IF(($AG185&gt;$AU185),AE185,AS185)))))</f>
        <v>0</v>
      </c>
      <c r="R185" s="317">
        <f>IF(AND($A$2=4,VLOOKUP($A185,'District Level ADM'!$A$5:$W$52,5,FALSE)="Prior Year"),AT185,IF(AND($A$2=4,VLOOKUP($A185,'District Level ADM'!$A$5:$W$52,5,FALSE)="3-Year Avg."),AF185,IF($A$2=2,AT185,IF($A$2=3,AF185,IF(($AG185&gt;$AU185),AF185,AT185)))))</f>
        <v>0</v>
      </c>
      <c r="S185" s="317">
        <f t="shared" si="25"/>
        <v>261.02499999999998</v>
      </c>
      <c r="T185" s="317">
        <f t="shared" si="34"/>
        <v>38.954666666666661</v>
      </c>
      <c r="U185" s="317">
        <f t="shared" si="33"/>
        <v>36.118333333333332</v>
      </c>
      <c r="V185" s="317">
        <f t="shared" si="33"/>
        <v>36.048999999999999</v>
      </c>
      <c r="W185" s="317">
        <f t="shared" si="33"/>
        <v>33.357666666666667</v>
      </c>
      <c r="X185" s="317">
        <f t="shared" si="33"/>
        <v>33.789333333333332</v>
      </c>
      <c r="Y185" s="317">
        <f t="shared" si="33"/>
        <v>32.481999999999999</v>
      </c>
      <c r="Z185" s="317">
        <f t="shared" si="33"/>
        <v>45.640333333333331</v>
      </c>
      <c r="AA185" s="317">
        <f t="shared" si="33"/>
        <v>0</v>
      </c>
      <c r="AB185" s="317">
        <f t="shared" si="33"/>
        <v>0</v>
      </c>
      <c r="AC185" s="317">
        <f t="shared" si="33"/>
        <v>0</v>
      </c>
      <c r="AD185" s="317">
        <f t="shared" si="30"/>
        <v>0</v>
      </c>
      <c r="AE185" s="317">
        <f t="shared" si="30"/>
        <v>0</v>
      </c>
      <c r="AF185" s="317">
        <f t="shared" si="30"/>
        <v>0</v>
      </c>
      <c r="AG185" s="317">
        <f t="shared" si="26"/>
        <v>256.39133333333331</v>
      </c>
      <c r="AH185" s="318">
        <v>42.354999999999997</v>
      </c>
      <c r="AI185" s="318">
        <v>36.445</v>
      </c>
      <c r="AJ185" s="318">
        <v>40.384999999999998</v>
      </c>
      <c r="AK185" s="318">
        <v>41.37</v>
      </c>
      <c r="AL185" s="318">
        <v>36.445</v>
      </c>
      <c r="AM185" s="318">
        <v>17.73</v>
      </c>
      <c r="AN185" s="318">
        <v>46.295000000000002</v>
      </c>
      <c r="AO185" s="318">
        <v>0</v>
      </c>
      <c r="AP185" s="318">
        <v>0</v>
      </c>
      <c r="AQ185" s="318">
        <v>0</v>
      </c>
      <c r="AR185" s="318">
        <v>0</v>
      </c>
      <c r="AS185" s="318">
        <v>0</v>
      </c>
      <c r="AT185" s="318">
        <v>0</v>
      </c>
      <c r="AU185" s="317">
        <f t="shared" si="27"/>
        <v>261.02499999999998</v>
      </c>
      <c r="AV185" s="319">
        <v>42.302999999999997</v>
      </c>
      <c r="AW185" s="319">
        <v>38.780999999999999</v>
      </c>
      <c r="AX185" s="319">
        <v>36.064999999999998</v>
      </c>
      <c r="AY185" s="319">
        <v>36.987000000000002</v>
      </c>
      <c r="AZ185" s="319">
        <v>21.864999999999998</v>
      </c>
      <c r="BA185" s="319">
        <v>38.741999999999997</v>
      </c>
      <c r="BB185" s="319">
        <v>46.026000000000003</v>
      </c>
      <c r="BC185" s="319">
        <v>0</v>
      </c>
      <c r="BD185" s="319">
        <v>0</v>
      </c>
      <c r="BE185" s="319">
        <v>0</v>
      </c>
      <c r="BF185" s="319">
        <v>0</v>
      </c>
      <c r="BG185" s="319">
        <v>0</v>
      </c>
      <c r="BH185" s="319">
        <v>0</v>
      </c>
      <c r="BI185" s="317">
        <f t="shared" si="28"/>
        <v>260.76900000000001</v>
      </c>
      <c r="BJ185" s="316">
        <v>32.206000000000003</v>
      </c>
      <c r="BK185" s="316">
        <v>33.128999999999998</v>
      </c>
      <c r="BL185" s="316">
        <v>31.696999999999999</v>
      </c>
      <c r="BM185" s="316">
        <v>21.716000000000001</v>
      </c>
      <c r="BN185" s="316">
        <v>43.058</v>
      </c>
      <c r="BO185" s="316">
        <v>40.973999999999997</v>
      </c>
      <c r="BP185" s="316">
        <v>44.6</v>
      </c>
      <c r="BQ185" s="316">
        <v>0</v>
      </c>
      <c r="BR185" s="316">
        <v>0</v>
      </c>
      <c r="BS185" s="316">
        <v>0</v>
      </c>
      <c r="BT185" s="316">
        <v>0</v>
      </c>
      <c r="BU185" s="316">
        <v>0</v>
      </c>
      <c r="BV185" s="316">
        <v>0</v>
      </c>
      <c r="BW185" s="317">
        <f t="shared" si="24"/>
        <v>247.38</v>
      </c>
    </row>
    <row r="186" spans="1:75" x14ac:dyDescent="0.2">
      <c r="A186" s="20" t="str">
        <f>'School Level Inst. Resources'!A186</f>
        <v>1102000</v>
      </c>
      <c r="B186" s="20" t="str">
        <f>'School Level Inst. Resources'!B186</f>
        <v>Laramie #2</v>
      </c>
      <c r="C186" s="20" t="str">
        <f>'School Level Inst. Resources'!C186</f>
        <v>1102056</v>
      </c>
      <c r="D186" s="20" t="str">
        <f>'School Level Inst. Resources'!D186</f>
        <v>Burns Jr &amp; Sr High School</v>
      </c>
      <c r="E186" s="138" t="str">
        <f>'School Level Inst. Resources'!E186</f>
        <v>7-12</v>
      </c>
      <c r="F186" s="317">
        <f>IF(AND($A$2=4,VLOOKUP($A186,'District Level ADM'!$A$5:$W$52,5,FALSE)="Prior Year"),AH186,IF(AND($A$2=4,VLOOKUP($A186,'District Level ADM'!$A$5:$W$52,5,FALSE)="3-Year Avg."),T186,IF($A$2=2,AH186,IF($A$2=3,T186,IF(($AG186&gt;$AU186),T186,AH186)))))</f>
        <v>0</v>
      </c>
      <c r="G186" s="317">
        <f>IF(AND($A$2=4,VLOOKUP($A186,'District Level ADM'!$A$5:$W$52,5,FALSE)="Prior Year"),AI186,IF(AND($A$2=4,VLOOKUP($A186,'District Level ADM'!$A$5:$W$52,5,FALSE)="3-Year Avg."),U186,IF($A$2=2,AI186,IF($A$2=3,U186,IF(($AG186&gt;$AU186),U186,AI186)))))</f>
        <v>0</v>
      </c>
      <c r="H186" s="317">
        <f>IF(AND($A$2=4,VLOOKUP($A186,'District Level ADM'!$A$5:$W$52,5,FALSE)="Prior Year"),AJ186,IF(AND($A$2=4,VLOOKUP($A186,'District Level ADM'!$A$5:$W$52,5,FALSE)="3-Year Avg."),V186,IF($A$2=2,AJ186,IF($A$2=3,V186,IF(($AG186&gt;$AU186),V186,AJ186)))))</f>
        <v>0</v>
      </c>
      <c r="I186" s="317">
        <f>IF(AND($A$2=4,VLOOKUP($A186,'District Level ADM'!$A$5:$W$52,5,FALSE)="Prior Year"),AK186,IF(AND($A$2=4,VLOOKUP($A186,'District Level ADM'!$A$5:$W$52,5,FALSE)="3-Year Avg."),W186,IF($A$2=2,AK186,IF($A$2=3,W186,IF(($AG186&gt;$AU186),W186,AK186)))))</f>
        <v>0</v>
      </c>
      <c r="J186" s="317">
        <f>IF(AND($A$2=4,VLOOKUP($A186,'District Level ADM'!$A$5:$W$52,5,FALSE)="Prior Year"),AL186,IF(AND($A$2=4,VLOOKUP($A186,'District Level ADM'!$A$5:$W$52,5,FALSE)="3-Year Avg."),X186,IF($A$2=2,AL186,IF($A$2=3,X186,IF(($AG186&gt;$AU186),X186,AL186)))))</f>
        <v>0</v>
      </c>
      <c r="K186" s="317">
        <f>IF(AND($A$2=4,VLOOKUP($A186,'District Level ADM'!$A$5:$W$52,5,FALSE)="Prior Year"),AM186,IF(AND($A$2=4,VLOOKUP($A186,'District Level ADM'!$A$5:$W$52,5,FALSE)="3-Year Avg."),Y186,IF($A$2=2,AM186,IF($A$2=3,Y186,IF(($AG186&gt;$AU186),Y186,AM186)))))</f>
        <v>0</v>
      </c>
      <c r="L186" s="317">
        <f>IF(AND($A$2=4,VLOOKUP($A186,'District Level ADM'!$A$5:$W$52,5,FALSE)="Prior Year"),AN186,IF(AND($A$2=4,VLOOKUP($A186,'District Level ADM'!$A$5:$W$52,5,FALSE)="3-Year Avg."),Z186,IF($A$2=2,AN186,IF($A$2=3,Z186,IF(($AG186&gt;$AU186),Z186,AN186)))))</f>
        <v>0</v>
      </c>
      <c r="M186" s="317">
        <f>IF(AND($A$2=4,VLOOKUP($A186,'District Level ADM'!$A$5:$W$52,5,FALSE)="Prior Year"),AO186,IF(AND($A$2=4,VLOOKUP($A186,'District Level ADM'!$A$5:$W$52,5,FALSE)="3-Year Avg."),AA186,IF($A$2=2,AO186,IF($A$2=3,AA186,IF(($AG186&gt;$AU186),AA186,AO186)))))</f>
        <v>65.010000000000005</v>
      </c>
      <c r="N186" s="317">
        <f>IF(AND($A$2=4,VLOOKUP($A186,'District Level ADM'!$A$5:$W$52,5,FALSE)="Prior Year"),AP186,IF(AND($A$2=4,VLOOKUP($A186,'District Level ADM'!$A$5:$W$52,5,FALSE)="3-Year Avg."),AB186,IF($A$2=2,AP186,IF($A$2=3,AB186,IF(($AG186&gt;$AU186),AB186,AP186)))))</f>
        <v>54.174999999999997</v>
      </c>
      <c r="O186" s="317">
        <f>IF(AND($A$2=4,VLOOKUP($A186,'District Level ADM'!$A$5:$W$52,5,FALSE)="Prior Year"),AQ186,IF(AND($A$2=4,VLOOKUP($A186,'District Level ADM'!$A$5:$W$52,5,FALSE)="3-Year Avg."),AC186,IF($A$2=2,AQ186,IF($A$2=3,AC186,IF(($AG186&gt;$AU186),AC186,AQ186)))))</f>
        <v>51.22</v>
      </c>
      <c r="P186" s="317">
        <f>IF(AND($A$2=4,VLOOKUP($A186,'District Level ADM'!$A$5:$W$52,5,FALSE)="Prior Year"),AR186,IF(AND($A$2=4,VLOOKUP($A186,'District Level ADM'!$A$5:$W$52,5,FALSE)="3-Year Avg."),AD186,IF($A$2=2,AR186,IF($A$2=3,AD186,IF(($AG186&gt;$AU186),AD186,AR186)))))</f>
        <v>53.19</v>
      </c>
      <c r="Q186" s="317">
        <f>IF(AND($A$2=4,VLOOKUP($A186,'District Level ADM'!$A$5:$W$52,5,FALSE)="Prior Year"),AS186,IF(AND($A$2=4,VLOOKUP($A186,'District Level ADM'!$A$5:$W$52,5,FALSE)="3-Year Avg."),AE186,IF($A$2=2,AS186,IF($A$2=3,AE186,IF(($AG186&gt;$AU186),AE186,AS186)))))</f>
        <v>38.414999999999999</v>
      </c>
      <c r="R186" s="317">
        <f>IF(AND($A$2=4,VLOOKUP($A186,'District Level ADM'!$A$5:$W$52,5,FALSE)="Prior Year"),AT186,IF(AND($A$2=4,VLOOKUP($A186,'District Level ADM'!$A$5:$W$52,5,FALSE)="3-Year Avg."),AF186,IF($A$2=2,AT186,IF($A$2=3,AF186,IF(($AG186&gt;$AU186),AF186,AT186)))))</f>
        <v>29.55</v>
      </c>
      <c r="S186" s="317">
        <f t="shared" si="25"/>
        <v>291.56</v>
      </c>
      <c r="T186" s="317">
        <f t="shared" si="34"/>
        <v>0</v>
      </c>
      <c r="U186" s="317">
        <f t="shared" si="33"/>
        <v>0</v>
      </c>
      <c r="V186" s="317">
        <f t="shared" si="33"/>
        <v>0</v>
      </c>
      <c r="W186" s="317">
        <f t="shared" si="33"/>
        <v>0</v>
      </c>
      <c r="X186" s="317">
        <f t="shared" si="33"/>
        <v>0</v>
      </c>
      <c r="Y186" s="317">
        <f t="shared" si="33"/>
        <v>0</v>
      </c>
      <c r="Z186" s="317">
        <f t="shared" si="33"/>
        <v>0</v>
      </c>
      <c r="AA186" s="317">
        <f t="shared" si="33"/>
        <v>60.274333333333338</v>
      </c>
      <c r="AB186" s="317">
        <f t="shared" si="33"/>
        <v>53.355333333333334</v>
      </c>
      <c r="AC186" s="317">
        <f t="shared" si="33"/>
        <v>49.774333333333324</v>
      </c>
      <c r="AD186" s="317">
        <f t="shared" si="30"/>
        <v>44.013000000000005</v>
      </c>
      <c r="AE186" s="317">
        <f t="shared" si="30"/>
        <v>34.68666666666666</v>
      </c>
      <c r="AF186" s="317">
        <f t="shared" si="30"/>
        <v>32.193333333333335</v>
      </c>
      <c r="AG186" s="317">
        <f t="shared" si="26"/>
        <v>274.29700000000003</v>
      </c>
      <c r="AH186" s="318">
        <v>0</v>
      </c>
      <c r="AI186" s="318">
        <v>0</v>
      </c>
      <c r="AJ186" s="318">
        <v>0</v>
      </c>
      <c r="AK186" s="318">
        <v>0</v>
      </c>
      <c r="AL186" s="318">
        <v>0</v>
      </c>
      <c r="AM186" s="318">
        <v>0</v>
      </c>
      <c r="AN186" s="318">
        <v>0</v>
      </c>
      <c r="AO186" s="318">
        <v>65.010000000000005</v>
      </c>
      <c r="AP186" s="318">
        <v>54.174999999999997</v>
      </c>
      <c r="AQ186" s="318">
        <v>51.22</v>
      </c>
      <c r="AR186" s="318">
        <v>53.19</v>
      </c>
      <c r="AS186" s="318">
        <v>38.414999999999999</v>
      </c>
      <c r="AT186" s="318">
        <v>29.55</v>
      </c>
      <c r="AU186" s="317">
        <f t="shared" si="27"/>
        <v>291.56</v>
      </c>
      <c r="AV186" s="319">
        <v>0</v>
      </c>
      <c r="AW186" s="319">
        <v>0</v>
      </c>
      <c r="AX186" s="319">
        <v>0</v>
      </c>
      <c r="AY186" s="319">
        <v>0</v>
      </c>
      <c r="AZ186" s="319">
        <v>0</v>
      </c>
      <c r="BA186" s="319">
        <v>0</v>
      </c>
      <c r="BB186" s="319">
        <v>0</v>
      </c>
      <c r="BC186" s="319">
        <v>65.347999999999999</v>
      </c>
      <c r="BD186" s="319">
        <v>52.968000000000004</v>
      </c>
      <c r="BE186" s="319">
        <v>51.374000000000002</v>
      </c>
      <c r="BF186" s="319">
        <v>45.365000000000002</v>
      </c>
      <c r="BG186" s="319">
        <v>30.231999999999999</v>
      </c>
      <c r="BH186" s="319">
        <v>30.878</v>
      </c>
      <c r="BI186" s="317">
        <f t="shared" si="28"/>
        <v>276.16500000000002</v>
      </c>
      <c r="BJ186" s="316">
        <v>0</v>
      </c>
      <c r="BK186" s="316">
        <v>0</v>
      </c>
      <c r="BL186" s="316">
        <v>0</v>
      </c>
      <c r="BM186" s="316">
        <v>0</v>
      </c>
      <c r="BN186" s="316">
        <v>0</v>
      </c>
      <c r="BO186" s="316">
        <v>0</v>
      </c>
      <c r="BP186" s="316">
        <v>0</v>
      </c>
      <c r="BQ186" s="316">
        <v>50.465000000000003</v>
      </c>
      <c r="BR186" s="316">
        <v>52.923000000000002</v>
      </c>
      <c r="BS186" s="316">
        <v>46.728999999999999</v>
      </c>
      <c r="BT186" s="316">
        <v>33.484000000000002</v>
      </c>
      <c r="BU186" s="316">
        <v>35.412999999999997</v>
      </c>
      <c r="BV186" s="316">
        <v>36.152000000000001</v>
      </c>
      <c r="BW186" s="317">
        <f t="shared" si="24"/>
        <v>255.166</v>
      </c>
    </row>
    <row r="187" spans="1:75" x14ac:dyDescent="0.2">
      <c r="A187" s="20" t="str">
        <f>'School Level Inst. Resources'!A187</f>
        <v>1102000</v>
      </c>
      <c r="B187" s="20" t="str">
        <f>'School Level Inst. Resources'!B187</f>
        <v>Laramie #2</v>
      </c>
      <c r="C187" s="20" t="str">
        <f>'School Level Inst. Resources'!C187</f>
        <v>1102057</v>
      </c>
      <c r="D187" s="20" t="str">
        <f>'School Level Inst. Resources'!D187</f>
        <v>Pine Bluffs Jr &amp; Sr High School</v>
      </c>
      <c r="E187" s="138" t="str">
        <f>'School Level Inst. Resources'!E187</f>
        <v>7-12</v>
      </c>
      <c r="F187" s="317">
        <f>IF(AND($A$2=4,VLOOKUP($A187,'District Level ADM'!$A$5:$W$52,5,FALSE)="Prior Year"),AH187,IF(AND($A$2=4,VLOOKUP($A187,'District Level ADM'!$A$5:$W$52,5,FALSE)="3-Year Avg."),T187,IF($A$2=2,AH187,IF($A$2=3,T187,IF(($AG187&gt;$AU187),T187,AH187)))))</f>
        <v>0</v>
      </c>
      <c r="G187" s="317">
        <f>IF(AND($A$2=4,VLOOKUP($A187,'District Level ADM'!$A$5:$W$52,5,FALSE)="Prior Year"),AI187,IF(AND($A$2=4,VLOOKUP($A187,'District Level ADM'!$A$5:$W$52,5,FALSE)="3-Year Avg."),U187,IF($A$2=2,AI187,IF($A$2=3,U187,IF(($AG187&gt;$AU187),U187,AI187)))))</f>
        <v>0</v>
      </c>
      <c r="H187" s="317">
        <f>IF(AND($A$2=4,VLOOKUP($A187,'District Level ADM'!$A$5:$W$52,5,FALSE)="Prior Year"),AJ187,IF(AND($A$2=4,VLOOKUP($A187,'District Level ADM'!$A$5:$W$52,5,FALSE)="3-Year Avg."),V187,IF($A$2=2,AJ187,IF($A$2=3,V187,IF(($AG187&gt;$AU187),V187,AJ187)))))</f>
        <v>0</v>
      </c>
      <c r="I187" s="317">
        <f>IF(AND($A$2=4,VLOOKUP($A187,'District Level ADM'!$A$5:$W$52,5,FALSE)="Prior Year"),AK187,IF(AND($A$2=4,VLOOKUP($A187,'District Level ADM'!$A$5:$W$52,5,FALSE)="3-Year Avg."),W187,IF($A$2=2,AK187,IF($A$2=3,W187,IF(($AG187&gt;$AU187),W187,AK187)))))</f>
        <v>0</v>
      </c>
      <c r="J187" s="317">
        <f>IF(AND($A$2=4,VLOOKUP($A187,'District Level ADM'!$A$5:$W$52,5,FALSE)="Prior Year"),AL187,IF(AND($A$2=4,VLOOKUP($A187,'District Level ADM'!$A$5:$W$52,5,FALSE)="3-Year Avg."),X187,IF($A$2=2,AL187,IF($A$2=3,X187,IF(($AG187&gt;$AU187),X187,AL187)))))</f>
        <v>0</v>
      </c>
      <c r="K187" s="317">
        <f>IF(AND($A$2=4,VLOOKUP($A187,'District Level ADM'!$A$5:$W$52,5,FALSE)="Prior Year"),AM187,IF(AND($A$2=4,VLOOKUP($A187,'District Level ADM'!$A$5:$W$52,5,FALSE)="3-Year Avg."),Y187,IF($A$2=2,AM187,IF($A$2=3,Y187,IF(($AG187&gt;$AU187),Y187,AM187)))))</f>
        <v>0</v>
      </c>
      <c r="L187" s="317">
        <f>IF(AND($A$2=4,VLOOKUP($A187,'District Level ADM'!$A$5:$W$52,5,FALSE)="Prior Year"),AN187,IF(AND($A$2=4,VLOOKUP($A187,'District Level ADM'!$A$5:$W$52,5,FALSE)="3-Year Avg."),Z187,IF($A$2=2,AN187,IF($A$2=3,Z187,IF(($AG187&gt;$AU187),Z187,AN187)))))</f>
        <v>0</v>
      </c>
      <c r="M187" s="317">
        <f>IF(AND($A$2=4,VLOOKUP($A187,'District Level ADM'!$A$5:$W$52,5,FALSE)="Prior Year"),AO187,IF(AND($A$2=4,VLOOKUP($A187,'District Level ADM'!$A$5:$W$52,5,FALSE)="3-Year Avg."),AA187,IF($A$2=2,AO187,IF($A$2=3,AA187,IF(($AG187&gt;$AU187),AA187,AO187)))))</f>
        <v>30.535</v>
      </c>
      <c r="N187" s="317">
        <f>IF(AND($A$2=4,VLOOKUP($A187,'District Level ADM'!$A$5:$W$52,5,FALSE)="Prior Year"),AP187,IF(AND($A$2=4,VLOOKUP($A187,'District Level ADM'!$A$5:$W$52,5,FALSE)="3-Year Avg."),AB187,IF($A$2=2,AP187,IF($A$2=3,AB187,IF(($AG187&gt;$AU187),AB187,AP187)))))</f>
        <v>25.61</v>
      </c>
      <c r="O187" s="317">
        <f>IF(AND($A$2=4,VLOOKUP($A187,'District Level ADM'!$A$5:$W$52,5,FALSE)="Prior Year"),AQ187,IF(AND($A$2=4,VLOOKUP($A187,'District Level ADM'!$A$5:$W$52,5,FALSE)="3-Year Avg."),AC187,IF($A$2=2,AQ187,IF($A$2=3,AC187,IF(($AG187&gt;$AU187),AC187,AQ187)))))</f>
        <v>32.505000000000003</v>
      </c>
      <c r="P187" s="317">
        <f>IF(AND($A$2=4,VLOOKUP($A187,'District Level ADM'!$A$5:$W$52,5,FALSE)="Prior Year"),AR187,IF(AND($A$2=4,VLOOKUP($A187,'District Level ADM'!$A$5:$W$52,5,FALSE)="3-Year Avg."),AD187,IF($A$2=2,AR187,IF($A$2=3,AD187,IF(($AG187&gt;$AU187),AD187,AR187)))))</f>
        <v>32.505000000000003</v>
      </c>
      <c r="Q187" s="317">
        <f>IF(AND($A$2=4,VLOOKUP($A187,'District Level ADM'!$A$5:$W$52,5,FALSE)="Prior Year"),AS187,IF(AND($A$2=4,VLOOKUP($A187,'District Level ADM'!$A$5:$W$52,5,FALSE)="3-Year Avg."),AE187,IF($A$2=2,AS187,IF($A$2=3,AE187,IF(($AG187&gt;$AU187),AE187,AS187)))))</f>
        <v>30.535</v>
      </c>
      <c r="R187" s="317">
        <f>IF(AND($A$2=4,VLOOKUP($A187,'District Level ADM'!$A$5:$W$52,5,FALSE)="Prior Year"),AT187,IF(AND($A$2=4,VLOOKUP($A187,'District Level ADM'!$A$5:$W$52,5,FALSE)="3-Year Avg."),AF187,IF($A$2=2,AT187,IF($A$2=3,AF187,IF(($AG187&gt;$AU187),AF187,AT187)))))</f>
        <v>26.594999999999999</v>
      </c>
      <c r="S187" s="317">
        <f t="shared" si="25"/>
        <v>178.285</v>
      </c>
      <c r="T187" s="317">
        <f t="shared" si="34"/>
        <v>0</v>
      </c>
      <c r="U187" s="317">
        <f t="shared" si="33"/>
        <v>0</v>
      </c>
      <c r="V187" s="317">
        <f t="shared" si="33"/>
        <v>0</v>
      </c>
      <c r="W187" s="317">
        <f t="shared" si="33"/>
        <v>0</v>
      </c>
      <c r="X187" s="317">
        <f t="shared" si="33"/>
        <v>0</v>
      </c>
      <c r="Y187" s="317">
        <f t="shared" si="33"/>
        <v>0</v>
      </c>
      <c r="Z187" s="317">
        <f t="shared" si="33"/>
        <v>0</v>
      </c>
      <c r="AA187" s="317">
        <f t="shared" si="33"/>
        <v>27.060000000000002</v>
      </c>
      <c r="AB187" s="317">
        <f t="shared" si="33"/>
        <v>27.190333333333331</v>
      </c>
      <c r="AC187" s="317">
        <f t="shared" si="33"/>
        <v>31.968333333333334</v>
      </c>
      <c r="AD187" s="317">
        <f t="shared" si="30"/>
        <v>29.413333333333338</v>
      </c>
      <c r="AE187" s="317">
        <f t="shared" si="30"/>
        <v>26.930999999999997</v>
      </c>
      <c r="AF187" s="317">
        <f t="shared" si="30"/>
        <v>27.595333333333333</v>
      </c>
      <c r="AG187" s="317">
        <f t="shared" si="26"/>
        <v>170.15833333333333</v>
      </c>
      <c r="AH187" s="318">
        <v>0</v>
      </c>
      <c r="AI187" s="318">
        <v>0</v>
      </c>
      <c r="AJ187" s="318">
        <v>0</v>
      </c>
      <c r="AK187" s="318">
        <v>0</v>
      </c>
      <c r="AL187" s="318">
        <v>0</v>
      </c>
      <c r="AM187" s="318">
        <v>0</v>
      </c>
      <c r="AN187" s="318">
        <v>0</v>
      </c>
      <c r="AO187" s="318">
        <v>30.535</v>
      </c>
      <c r="AP187" s="318">
        <v>25.61</v>
      </c>
      <c r="AQ187" s="318">
        <v>32.505000000000003</v>
      </c>
      <c r="AR187" s="318">
        <v>32.505000000000003</v>
      </c>
      <c r="AS187" s="318">
        <v>30.535</v>
      </c>
      <c r="AT187" s="318">
        <v>26.594999999999999</v>
      </c>
      <c r="AU187" s="317">
        <f t="shared" si="27"/>
        <v>178.285</v>
      </c>
      <c r="AV187" s="319">
        <v>0</v>
      </c>
      <c r="AW187" s="319">
        <v>0</v>
      </c>
      <c r="AX187" s="319">
        <v>0</v>
      </c>
      <c r="AY187" s="319">
        <v>0</v>
      </c>
      <c r="AZ187" s="319">
        <v>0</v>
      </c>
      <c r="BA187" s="319">
        <v>0</v>
      </c>
      <c r="BB187" s="319">
        <v>0</v>
      </c>
      <c r="BC187" s="319">
        <v>24.045000000000002</v>
      </c>
      <c r="BD187" s="319">
        <v>27</v>
      </c>
      <c r="BE187" s="319">
        <v>31.948</v>
      </c>
      <c r="BF187" s="319">
        <v>29.658000000000001</v>
      </c>
      <c r="BG187" s="319">
        <v>23.225999999999999</v>
      </c>
      <c r="BH187" s="319">
        <v>27.974</v>
      </c>
      <c r="BI187" s="317">
        <f t="shared" si="28"/>
        <v>163.851</v>
      </c>
      <c r="BJ187" s="316">
        <v>0</v>
      </c>
      <c r="BK187" s="316">
        <v>0</v>
      </c>
      <c r="BL187" s="316">
        <v>0</v>
      </c>
      <c r="BM187" s="316">
        <v>0</v>
      </c>
      <c r="BN187" s="316">
        <v>0</v>
      </c>
      <c r="BO187" s="316">
        <v>0</v>
      </c>
      <c r="BP187" s="316">
        <v>0</v>
      </c>
      <c r="BQ187" s="316">
        <v>26.6</v>
      </c>
      <c r="BR187" s="316">
        <v>28.960999999999999</v>
      </c>
      <c r="BS187" s="316">
        <v>31.452000000000002</v>
      </c>
      <c r="BT187" s="316">
        <v>26.077000000000002</v>
      </c>
      <c r="BU187" s="316">
        <v>27.032</v>
      </c>
      <c r="BV187" s="316">
        <v>28.216999999999999</v>
      </c>
      <c r="BW187" s="317">
        <f t="shared" si="24"/>
        <v>168.339</v>
      </c>
    </row>
    <row r="188" spans="1:75" x14ac:dyDescent="0.2">
      <c r="A188" s="20" t="str">
        <f>'School Level Inst. Resources'!A188</f>
        <v>1201000</v>
      </c>
      <c r="B188" s="20" t="str">
        <f>'School Level Inst. Resources'!B188</f>
        <v>Lincoln #1</v>
      </c>
      <c r="C188" s="20" t="str">
        <f>'School Level Inst. Resources'!C188</f>
        <v>1201004</v>
      </c>
      <c r="D188" s="20" t="str">
        <f>'School Level Inst. Resources'!D188</f>
        <v>Kemmerer Elementary</v>
      </c>
      <c r="E188" s="138" t="str">
        <f>'School Level Inst. Resources'!E188</f>
        <v>K-2</v>
      </c>
      <c r="F188" s="317">
        <f>IF(AND($A$2=4,VLOOKUP($A188,'District Level ADM'!$A$5:$W$52,5,FALSE)="Prior Year"),AH188,IF(AND($A$2=4,VLOOKUP($A188,'District Level ADM'!$A$5:$W$52,5,FALSE)="3-Year Avg."),T188,IF($A$2=2,AH188,IF($A$2=3,T188,IF(($AG188&gt;$AU188),T188,AH188)))))</f>
        <v>60.085000000000001</v>
      </c>
      <c r="G188" s="317">
        <f>IF(AND($A$2=4,VLOOKUP($A188,'District Level ADM'!$A$5:$W$52,5,FALSE)="Prior Year"),AI188,IF(AND($A$2=4,VLOOKUP($A188,'District Level ADM'!$A$5:$W$52,5,FALSE)="3-Year Avg."),U188,IF($A$2=2,AI188,IF($A$2=3,U188,IF(($AG188&gt;$AU188),U188,AI188)))))</f>
        <v>50.234999999999999</v>
      </c>
      <c r="H188" s="317">
        <f>IF(AND($A$2=4,VLOOKUP($A188,'District Level ADM'!$A$5:$W$52,5,FALSE)="Prior Year"),AJ188,IF(AND($A$2=4,VLOOKUP($A188,'District Level ADM'!$A$5:$W$52,5,FALSE)="3-Year Avg."),V188,IF($A$2=2,AJ188,IF($A$2=3,V188,IF(($AG188&gt;$AU188),V188,AJ188)))))</f>
        <v>35.46</v>
      </c>
      <c r="I188" s="317">
        <f>IF(AND($A$2=4,VLOOKUP($A188,'District Level ADM'!$A$5:$W$52,5,FALSE)="Prior Year"),AK188,IF(AND($A$2=4,VLOOKUP($A188,'District Level ADM'!$A$5:$W$52,5,FALSE)="3-Year Avg."),W188,IF($A$2=2,AK188,IF($A$2=3,W188,IF(($AG188&gt;$AU188),W188,AK188)))))</f>
        <v>0</v>
      </c>
      <c r="J188" s="317">
        <f>IF(AND($A$2=4,VLOOKUP($A188,'District Level ADM'!$A$5:$W$52,5,FALSE)="Prior Year"),AL188,IF(AND($A$2=4,VLOOKUP($A188,'District Level ADM'!$A$5:$W$52,5,FALSE)="3-Year Avg."),X188,IF($A$2=2,AL188,IF($A$2=3,X188,IF(($AG188&gt;$AU188),X188,AL188)))))</f>
        <v>0</v>
      </c>
      <c r="K188" s="317">
        <f>IF(AND($A$2=4,VLOOKUP($A188,'District Level ADM'!$A$5:$W$52,5,FALSE)="Prior Year"),AM188,IF(AND($A$2=4,VLOOKUP($A188,'District Level ADM'!$A$5:$W$52,5,FALSE)="3-Year Avg."),Y188,IF($A$2=2,AM188,IF($A$2=3,Y188,IF(($AG188&gt;$AU188),Y188,AM188)))))</f>
        <v>0</v>
      </c>
      <c r="L188" s="317">
        <f>IF(AND($A$2=4,VLOOKUP($A188,'District Level ADM'!$A$5:$W$52,5,FALSE)="Prior Year"),AN188,IF(AND($A$2=4,VLOOKUP($A188,'District Level ADM'!$A$5:$W$52,5,FALSE)="3-Year Avg."),Z188,IF($A$2=2,AN188,IF($A$2=3,Z188,IF(($AG188&gt;$AU188),Z188,AN188)))))</f>
        <v>0</v>
      </c>
      <c r="M188" s="317">
        <f>IF(AND($A$2=4,VLOOKUP($A188,'District Level ADM'!$A$5:$W$52,5,FALSE)="Prior Year"),AO188,IF(AND($A$2=4,VLOOKUP($A188,'District Level ADM'!$A$5:$W$52,5,FALSE)="3-Year Avg."),AA188,IF($A$2=2,AO188,IF($A$2=3,AA188,IF(($AG188&gt;$AU188),AA188,AO188)))))</f>
        <v>0</v>
      </c>
      <c r="N188" s="317">
        <f>IF(AND($A$2=4,VLOOKUP($A188,'District Level ADM'!$A$5:$W$52,5,FALSE)="Prior Year"),AP188,IF(AND($A$2=4,VLOOKUP($A188,'District Level ADM'!$A$5:$W$52,5,FALSE)="3-Year Avg."),AB188,IF($A$2=2,AP188,IF($A$2=3,AB188,IF(($AG188&gt;$AU188),AB188,AP188)))))</f>
        <v>0</v>
      </c>
      <c r="O188" s="317">
        <f>IF(AND($A$2=4,VLOOKUP($A188,'District Level ADM'!$A$5:$W$52,5,FALSE)="Prior Year"),AQ188,IF(AND($A$2=4,VLOOKUP($A188,'District Level ADM'!$A$5:$W$52,5,FALSE)="3-Year Avg."),AC188,IF($A$2=2,AQ188,IF($A$2=3,AC188,IF(($AG188&gt;$AU188),AC188,AQ188)))))</f>
        <v>0</v>
      </c>
      <c r="P188" s="317">
        <f>IF(AND($A$2=4,VLOOKUP($A188,'District Level ADM'!$A$5:$W$52,5,FALSE)="Prior Year"),AR188,IF(AND($A$2=4,VLOOKUP($A188,'District Level ADM'!$A$5:$W$52,5,FALSE)="3-Year Avg."),AD188,IF($A$2=2,AR188,IF($A$2=3,AD188,IF(($AG188&gt;$AU188),AD188,AR188)))))</f>
        <v>0</v>
      </c>
      <c r="Q188" s="317">
        <f>IF(AND($A$2=4,VLOOKUP($A188,'District Level ADM'!$A$5:$W$52,5,FALSE)="Prior Year"),AS188,IF(AND($A$2=4,VLOOKUP($A188,'District Level ADM'!$A$5:$W$52,5,FALSE)="3-Year Avg."),AE188,IF($A$2=2,AS188,IF($A$2=3,AE188,IF(($AG188&gt;$AU188),AE188,AS188)))))</f>
        <v>0</v>
      </c>
      <c r="R188" s="317">
        <f>IF(AND($A$2=4,VLOOKUP($A188,'District Level ADM'!$A$5:$W$52,5,FALSE)="Prior Year"),AT188,IF(AND($A$2=4,VLOOKUP($A188,'District Level ADM'!$A$5:$W$52,5,FALSE)="3-Year Avg."),AF188,IF($A$2=2,AT188,IF($A$2=3,AF188,IF(($AG188&gt;$AU188),AF188,AT188)))))</f>
        <v>0</v>
      </c>
      <c r="S188" s="317">
        <f t="shared" si="25"/>
        <v>145.78</v>
      </c>
      <c r="T188" s="317">
        <f t="shared" si="34"/>
        <v>60.812999999999995</v>
      </c>
      <c r="U188" s="317">
        <f t="shared" si="33"/>
        <v>45.358333333333327</v>
      </c>
      <c r="V188" s="317">
        <f t="shared" si="33"/>
        <v>44.346000000000004</v>
      </c>
      <c r="W188" s="317">
        <f t="shared" si="33"/>
        <v>0</v>
      </c>
      <c r="X188" s="317">
        <f t="shared" si="33"/>
        <v>0</v>
      </c>
      <c r="Y188" s="317">
        <f t="shared" si="33"/>
        <v>0</v>
      </c>
      <c r="Z188" s="317">
        <f t="shared" si="33"/>
        <v>0</v>
      </c>
      <c r="AA188" s="317">
        <f t="shared" si="33"/>
        <v>0</v>
      </c>
      <c r="AB188" s="317">
        <f t="shared" si="33"/>
        <v>0</v>
      </c>
      <c r="AC188" s="317">
        <f t="shared" si="33"/>
        <v>0</v>
      </c>
      <c r="AD188" s="317">
        <f t="shared" si="30"/>
        <v>0</v>
      </c>
      <c r="AE188" s="317">
        <f t="shared" si="30"/>
        <v>0</v>
      </c>
      <c r="AF188" s="317">
        <f t="shared" si="30"/>
        <v>0</v>
      </c>
      <c r="AG188" s="317">
        <f t="shared" si="26"/>
        <v>150.51733333333334</v>
      </c>
      <c r="AH188" s="318">
        <v>60.085000000000001</v>
      </c>
      <c r="AI188" s="318">
        <v>50.234999999999999</v>
      </c>
      <c r="AJ188" s="318">
        <v>35.46</v>
      </c>
      <c r="AK188" s="318">
        <v>0</v>
      </c>
      <c r="AL188" s="318">
        <v>0</v>
      </c>
      <c r="AM188" s="318">
        <v>0</v>
      </c>
      <c r="AN188" s="318">
        <v>0</v>
      </c>
      <c r="AO188" s="318">
        <v>0</v>
      </c>
      <c r="AP188" s="318">
        <v>0</v>
      </c>
      <c r="AQ188" s="318">
        <v>0</v>
      </c>
      <c r="AR188" s="318">
        <v>0</v>
      </c>
      <c r="AS188" s="318">
        <v>0</v>
      </c>
      <c r="AT188" s="318">
        <v>0</v>
      </c>
      <c r="AU188" s="317">
        <f t="shared" si="27"/>
        <v>145.78</v>
      </c>
      <c r="AV188" s="319">
        <v>69.662999999999997</v>
      </c>
      <c r="AW188" s="319">
        <v>34.709000000000003</v>
      </c>
      <c r="AX188" s="319">
        <v>53.509</v>
      </c>
      <c r="AY188" s="319">
        <v>0</v>
      </c>
      <c r="AZ188" s="319">
        <v>0</v>
      </c>
      <c r="BA188" s="319">
        <v>0</v>
      </c>
      <c r="BB188" s="319">
        <v>0</v>
      </c>
      <c r="BC188" s="319">
        <v>0</v>
      </c>
      <c r="BD188" s="319">
        <v>0</v>
      </c>
      <c r="BE188" s="319">
        <v>0</v>
      </c>
      <c r="BF188" s="319">
        <v>0</v>
      </c>
      <c r="BG188" s="319">
        <v>0</v>
      </c>
      <c r="BH188" s="319">
        <v>0</v>
      </c>
      <c r="BI188" s="317">
        <f t="shared" si="28"/>
        <v>157.881</v>
      </c>
      <c r="BJ188" s="316">
        <v>52.691000000000003</v>
      </c>
      <c r="BK188" s="316">
        <v>51.131</v>
      </c>
      <c r="BL188" s="316">
        <v>44.069000000000003</v>
      </c>
      <c r="BM188" s="316">
        <v>0</v>
      </c>
      <c r="BN188" s="316">
        <v>0</v>
      </c>
      <c r="BO188" s="316">
        <v>0</v>
      </c>
      <c r="BP188" s="316">
        <v>0</v>
      </c>
      <c r="BQ188" s="316">
        <v>0</v>
      </c>
      <c r="BR188" s="316">
        <v>0</v>
      </c>
      <c r="BS188" s="316">
        <v>0</v>
      </c>
      <c r="BT188" s="316">
        <v>0</v>
      </c>
      <c r="BU188" s="316">
        <v>0</v>
      </c>
      <c r="BV188" s="316">
        <v>0</v>
      </c>
      <c r="BW188" s="317">
        <f t="shared" si="24"/>
        <v>147.89100000000002</v>
      </c>
    </row>
    <row r="189" spans="1:75" x14ac:dyDescent="0.2">
      <c r="A189" s="20" t="str">
        <f>'School Level Inst. Resources'!A189</f>
        <v>1201000</v>
      </c>
      <c r="B189" s="20" t="str">
        <f>'School Level Inst. Resources'!B189</f>
        <v>Lincoln #1</v>
      </c>
      <c r="C189" s="20" t="str">
        <f>'School Level Inst. Resources'!C189</f>
        <v>1201051</v>
      </c>
      <c r="D189" s="20" t="str">
        <f>'School Level Inst. Resources'!D189</f>
        <v>Canyon Elementary School</v>
      </c>
      <c r="E189" s="138" t="str">
        <f>'School Level Inst. Resources'!E189</f>
        <v>3-6</v>
      </c>
      <c r="F189" s="317">
        <f>IF(AND($A$2=4,VLOOKUP($A189,'District Level ADM'!$A$5:$W$52,5,FALSE)="Prior Year"),AH189,IF(AND($A$2=4,VLOOKUP($A189,'District Level ADM'!$A$5:$W$52,5,FALSE)="3-Year Avg."),T189,IF($A$2=2,AH189,IF($A$2=3,T189,IF(($AG189&gt;$AU189),T189,AH189)))))</f>
        <v>0</v>
      </c>
      <c r="G189" s="317">
        <f>IF(AND($A$2=4,VLOOKUP($A189,'District Level ADM'!$A$5:$W$52,5,FALSE)="Prior Year"),AI189,IF(AND($A$2=4,VLOOKUP($A189,'District Level ADM'!$A$5:$W$52,5,FALSE)="3-Year Avg."),U189,IF($A$2=2,AI189,IF($A$2=3,U189,IF(($AG189&gt;$AU189),U189,AI189)))))</f>
        <v>0</v>
      </c>
      <c r="H189" s="317">
        <f>IF(AND($A$2=4,VLOOKUP($A189,'District Level ADM'!$A$5:$W$52,5,FALSE)="Prior Year"),AJ189,IF(AND($A$2=4,VLOOKUP($A189,'District Level ADM'!$A$5:$W$52,5,FALSE)="3-Year Avg."),V189,IF($A$2=2,AJ189,IF($A$2=3,V189,IF(($AG189&gt;$AU189),V189,AJ189)))))</f>
        <v>0</v>
      </c>
      <c r="I189" s="317">
        <f>IF(AND($A$2=4,VLOOKUP($A189,'District Level ADM'!$A$5:$W$52,5,FALSE)="Prior Year"),AK189,IF(AND($A$2=4,VLOOKUP($A189,'District Level ADM'!$A$5:$W$52,5,FALSE)="3-Year Avg."),W189,IF($A$2=2,AK189,IF($A$2=3,W189,IF(($AG189&gt;$AU189),W189,AK189)))))</f>
        <v>50.234999999999999</v>
      </c>
      <c r="J189" s="317">
        <f>IF(AND($A$2=4,VLOOKUP($A189,'District Level ADM'!$A$5:$W$52,5,FALSE)="Prior Year"),AL189,IF(AND($A$2=4,VLOOKUP($A189,'District Level ADM'!$A$5:$W$52,5,FALSE)="3-Year Avg."),X189,IF($A$2=2,AL189,IF($A$2=3,X189,IF(($AG189&gt;$AU189),X189,AL189)))))</f>
        <v>50.234999999999999</v>
      </c>
      <c r="K189" s="317">
        <f>IF(AND($A$2=4,VLOOKUP($A189,'District Level ADM'!$A$5:$W$52,5,FALSE)="Prior Year"),AM189,IF(AND($A$2=4,VLOOKUP($A189,'District Level ADM'!$A$5:$W$52,5,FALSE)="3-Year Avg."),Y189,IF($A$2=2,AM189,IF($A$2=3,Y189,IF(($AG189&gt;$AU189),Y189,AM189)))))</f>
        <v>51.22</v>
      </c>
      <c r="L189" s="317">
        <f>IF(AND($A$2=4,VLOOKUP($A189,'District Level ADM'!$A$5:$W$52,5,FALSE)="Prior Year"),AN189,IF(AND($A$2=4,VLOOKUP($A189,'District Level ADM'!$A$5:$W$52,5,FALSE)="3-Year Avg."),Z189,IF($A$2=2,AN189,IF($A$2=3,Z189,IF(($AG189&gt;$AU189),Z189,AN189)))))</f>
        <v>45.31</v>
      </c>
      <c r="M189" s="317">
        <f>IF(AND($A$2=4,VLOOKUP($A189,'District Level ADM'!$A$5:$W$52,5,FALSE)="Prior Year"),AO189,IF(AND($A$2=4,VLOOKUP($A189,'District Level ADM'!$A$5:$W$52,5,FALSE)="3-Year Avg."),AA189,IF($A$2=2,AO189,IF($A$2=3,AA189,IF(($AG189&gt;$AU189),AA189,AO189)))))</f>
        <v>0</v>
      </c>
      <c r="N189" s="317">
        <f>IF(AND($A$2=4,VLOOKUP($A189,'District Level ADM'!$A$5:$W$52,5,FALSE)="Prior Year"),AP189,IF(AND($A$2=4,VLOOKUP($A189,'District Level ADM'!$A$5:$W$52,5,FALSE)="3-Year Avg."),AB189,IF($A$2=2,AP189,IF($A$2=3,AB189,IF(($AG189&gt;$AU189),AB189,AP189)))))</f>
        <v>0</v>
      </c>
      <c r="O189" s="317">
        <f>IF(AND($A$2=4,VLOOKUP($A189,'District Level ADM'!$A$5:$W$52,5,FALSE)="Prior Year"),AQ189,IF(AND($A$2=4,VLOOKUP($A189,'District Level ADM'!$A$5:$W$52,5,FALSE)="3-Year Avg."),AC189,IF($A$2=2,AQ189,IF($A$2=3,AC189,IF(($AG189&gt;$AU189),AC189,AQ189)))))</f>
        <v>0</v>
      </c>
      <c r="P189" s="317">
        <f>IF(AND($A$2=4,VLOOKUP($A189,'District Level ADM'!$A$5:$W$52,5,FALSE)="Prior Year"),AR189,IF(AND($A$2=4,VLOOKUP($A189,'District Level ADM'!$A$5:$W$52,5,FALSE)="3-Year Avg."),AD189,IF($A$2=2,AR189,IF($A$2=3,AD189,IF(($AG189&gt;$AU189),AD189,AR189)))))</f>
        <v>0</v>
      </c>
      <c r="Q189" s="317">
        <f>IF(AND($A$2=4,VLOOKUP($A189,'District Level ADM'!$A$5:$W$52,5,FALSE)="Prior Year"),AS189,IF(AND($A$2=4,VLOOKUP($A189,'District Level ADM'!$A$5:$W$52,5,FALSE)="3-Year Avg."),AE189,IF($A$2=2,AS189,IF($A$2=3,AE189,IF(($AG189&gt;$AU189),AE189,AS189)))))</f>
        <v>0</v>
      </c>
      <c r="R189" s="317">
        <f>IF(AND($A$2=4,VLOOKUP($A189,'District Level ADM'!$A$5:$W$52,5,FALSE)="Prior Year"),AT189,IF(AND($A$2=4,VLOOKUP($A189,'District Level ADM'!$A$5:$W$52,5,FALSE)="3-Year Avg."),AF189,IF($A$2=2,AT189,IF($A$2=3,AF189,IF(($AG189&gt;$AU189),AF189,AT189)))))</f>
        <v>0</v>
      </c>
      <c r="S189" s="317">
        <f t="shared" si="25"/>
        <v>197</v>
      </c>
      <c r="T189" s="317">
        <f t="shared" si="34"/>
        <v>0</v>
      </c>
      <c r="U189" s="317">
        <f t="shared" si="33"/>
        <v>0</v>
      </c>
      <c r="V189" s="317">
        <f t="shared" si="33"/>
        <v>0</v>
      </c>
      <c r="W189" s="317">
        <f t="shared" si="33"/>
        <v>49.109000000000002</v>
      </c>
      <c r="X189" s="317">
        <f t="shared" si="33"/>
        <v>49.264000000000003</v>
      </c>
      <c r="Y189" s="317">
        <f t="shared" si="33"/>
        <v>49.036999999999999</v>
      </c>
      <c r="Z189" s="317">
        <f t="shared" si="33"/>
        <v>45.915333333333329</v>
      </c>
      <c r="AA189" s="317">
        <f t="shared" si="33"/>
        <v>0</v>
      </c>
      <c r="AB189" s="317">
        <f t="shared" si="33"/>
        <v>0</v>
      </c>
      <c r="AC189" s="317">
        <f t="shared" si="33"/>
        <v>0</v>
      </c>
      <c r="AD189" s="317">
        <f t="shared" si="30"/>
        <v>0</v>
      </c>
      <c r="AE189" s="317">
        <f t="shared" si="30"/>
        <v>0</v>
      </c>
      <c r="AF189" s="317">
        <f t="shared" si="30"/>
        <v>0</v>
      </c>
      <c r="AG189" s="317">
        <f t="shared" si="26"/>
        <v>193.32533333333333</v>
      </c>
      <c r="AH189" s="318">
        <v>0</v>
      </c>
      <c r="AI189" s="318">
        <v>0</v>
      </c>
      <c r="AJ189" s="318">
        <v>0</v>
      </c>
      <c r="AK189" s="318">
        <v>50.234999999999999</v>
      </c>
      <c r="AL189" s="318">
        <v>50.234999999999999</v>
      </c>
      <c r="AM189" s="318">
        <v>51.22</v>
      </c>
      <c r="AN189" s="318">
        <v>45.31</v>
      </c>
      <c r="AO189" s="318">
        <v>0</v>
      </c>
      <c r="AP189" s="318">
        <v>0</v>
      </c>
      <c r="AQ189" s="318">
        <v>0</v>
      </c>
      <c r="AR189" s="318">
        <v>0</v>
      </c>
      <c r="AS189" s="318">
        <v>0</v>
      </c>
      <c r="AT189" s="318">
        <v>0</v>
      </c>
      <c r="AU189" s="317">
        <f t="shared" si="27"/>
        <v>197</v>
      </c>
      <c r="AV189" s="319">
        <v>0</v>
      </c>
      <c r="AW189" s="319">
        <v>0</v>
      </c>
      <c r="AX189" s="319">
        <v>0</v>
      </c>
      <c r="AY189" s="319">
        <v>44.737000000000002</v>
      </c>
      <c r="AZ189" s="319">
        <v>50.374000000000002</v>
      </c>
      <c r="BA189" s="319">
        <v>47.491</v>
      </c>
      <c r="BB189" s="319">
        <v>49.183</v>
      </c>
      <c r="BC189" s="319">
        <v>0</v>
      </c>
      <c r="BD189" s="319">
        <v>0</v>
      </c>
      <c r="BE189" s="319">
        <v>0</v>
      </c>
      <c r="BF189" s="319">
        <v>0</v>
      </c>
      <c r="BG189" s="319">
        <v>0</v>
      </c>
      <c r="BH189" s="319">
        <v>0</v>
      </c>
      <c r="BI189" s="317">
        <f t="shared" si="28"/>
        <v>191.785</v>
      </c>
      <c r="BJ189" s="316">
        <v>0</v>
      </c>
      <c r="BK189" s="316">
        <v>0</v>
      </c>
      <c r="BL189" s="316">
        <v>0</v>
      </c>
      <c r="BM189" s="316">
        <v>52.354999999999997</v>
      </c>
      <c r="BN189" s="316">
        <v>47.183</v>
      </c>
      <c r="BO189" s="316">
        <v>48.4</v>
      </c>
      <c r="BP189" s="316">
        <v>43.253</v>
      </c>
      <c r="BQ189" s="316">
        <v>0</v>
      </c>
      <c r="BR189" s="316">
        <v>0</v>
      </c>
      <c r="BS189" s="316">
        <v>0</v>
      </c>
      <c r="BT189" s="316">
        <v>0</v>
      </c>
      <c r="BU189" s="316">
        <v>0</v>
      </c>
      <c r="BV189" s="316">
        <v>0</v>
      </c>
      <c r="BW189" s="317">
        <f t="shared" si="24"/>
        <v>191.19099999999997</v>
      </c>
    </row>
    <row r="190" spans="1:75" x14ac:dyDescent="0.2">
      <c r="A190" s="20" t="str">
        <f>'School Level Inst. Resources'!A190</f>
        <v>1201000</v>
      </c>
      <c r="B190" s="20" t="str">
        <f>'School Level Inst. Resources'!B190</f>
        <v>Lincoln #1</v>
      </c>
      <c r="C190" s="20" t="str">
        <f>'School Level Inst. Resources'!C190</f>
        <v>1201056</v>
      </c>
      <c r="D190" s="20" t="str">
        <f>'School Level Inst. Resources'!D190</f>
        <v>New Frontier High School</v>
      </c>
      <c r="E190" s="138" t="str">
        <f>'School Level Inst. Resources'!E190</f>
        <v>7-12</v>
      </c>
      <c r="F190" s="317">
        <f>IF(AND($A$2=4,VLOOKUP($A190,'District Level ADM'!$A$5:$W$52,5,FALSE)="Prior Year"),AH190,IF(AND($A$2=4,VLOOKUP($A190,'District Level ADM'!$A$5:$W$52,5,FALSE)="3-Year Avg."),T190,IF($A$2=2,AH190,IF($A$2=3,T190,IF(($AG190&gt;$AU190),T190,AH190)))))</f>
        <v>0</v>
      </c>
      <c r="G190" s="317">
        <f>IF(AND($A$2=4,VLOOKUP($A190,'District Level ADM'!$A$5:$W$52,5,FALSE)="Prior Year"),AI190,IF(AND($A$2=4,VLOOKUP($A190,'District Level ADM'!$A$5:$W$52,5,FALSE)="3-Year Avg."),U190,IF($A$2=2,AI190,IF($A$2=3,U190,IF(($AG190&gt;$AU190),U190,AI190)))))</f>
        <v>0</v>
      </c>
      <c r="H190" s="317">
        <f>IF(AND($A$2=4,VLOOKUP($A190,'District Level ADM'!$A$5:$W$52,5,FALSE)="Prior Year"),AJ190,IF(AND($A$2=4,VLOOKUP($A190,'District Level ADM'!$A$5:$W$52,5,FALSE)="3-Year Avg."),V190,IF($A$2=2,AJ190,IF($A$2=3,V190,IF(($AG190&gt;$AU190),V190,AJ190)))))</f>
        <v>0</v>
      </c>
      <c r="I190" s="317">
        <f>IF(AND($A$2=4,VLOOKUP($A190,'District Level ADM'!$A$5:$W$52,5,FALSE)="Prior Year"),AK190,IF(AND($A$2=4,VLOOKUP($A190,'District Level ADM'!$A$5:$W$52,5,FALSE)="3-Year Avg."),W190,IF($A$2=2,AK190,IF($A$2=3,W190,IF(($AG190&gt;$AU190),W190,AK190)))))</f>
        <v>0</v>
      </c>
      <c r="J190" s="317">
        <f>IF(AND($A$2=4,VLOOKUP($A190,'District Level ADM'!$A$5:$W$52,5,FALSE)="Prior Year"),AL190,IF(AND($A$2=4,VLOOKUP($A190,'District Level ADM'!$A$5:$W$52,5,FALSE)="3-Year Avg."),X190,IF($A$2=2,AL190,IF($A$2=3,X190,IF(($AG190&gt;$AU190),X190,AL190)))))</f>
        <v>0</v>
      </c>
      <c r="K190" s="317">
        <f>IF(AND($A$2=4,VLOOKUP($A190,'District Level ADM'!$A$5:$W$52,5,FALSE)="Prior Year"),AM190,IF(AND($A$2=4,VLOOKUP($A190,'District Level ADM'!$A$5:$W$52,5,FALSE)="3-Year Avg."),Y190,IF($A$2=2,AM190,IF($A$2=3,Y190,IF(($AG190&gt;$AU190),Y190,AM190)))))</f>
        <v>0</v>
      </c>
      <c r="L190" s="317">
        <f>IF(AND($A$2=4,VLOOKUP($A190,'District Level ADM'!$A$5:$W$52,5,FALSE)="Prior Year"),AN190,IF(AND($A$2=4,VLOOKUP($A190,'District Level ADM'!$A$5:$W$52,5,FALSE)="3-Year Avg."),Z190,IF($A$2=2,AN190,IF($A$2=3,Z190,IF(($AG190&gt;$AU190),Z190,AN190)))))</f>
        <v>0</v>
      </c>
      <c r="M190" s="317">
        <f>IF(AND($A$2=4,VLOOKUP($A190,'District Level ADM'!$A$5:$W$52,5,FALSE)="Prior Year"),AO190,IF(AND($A$2=4,VLOOKUP($A190,'District Level ADM'!$A$5:$W$52,5,FALSE)="3-Year Avg."),AA190,IF($A$2=2,AO190,IF($A$2=3,AA190,IF(($AG190&gt;$AU190),AA190,AO190)))))</f>
        <v>0</v>
      </c>
      <c r="N190" s="317">
        <f>IF(AND($A$2=4,VLOOKUP($A190,'District Level ADM'!$A$5:$W$52,5,FALSE)="Prior Year"),AP190,IF(AND($A$2=4,VLOOKUP($A190,'District Level ADM'!$A$5:$W$52,5,FALSE)="3-Year Avg."),AB190,IF($A$2=2,AP190,IF($A$2=3,AB190,IF(($AG190&gt;$AU190),AB190,AP190)))))</f>
        <v>0</v>
      </c>
      <c r="O190" s="317">
        <f>IF(AND($A$2=4,VLOOKUP($A190,'District Level ADM'!$A$5:$W$52,5,FALSE)="Prior Year"),AQ190,IF(AND($A$2=4,VLOOKUP($A190,'District Level ADM'!$A$5:$W$52,5,FALSE)="3-Year Avg."),AC190,IF($A$2=2,AQ190,IF($A$2=3,AC190,IF(($AG190&gt;$AU190),AC190,AQ190)))))</f>
        <v>0.98499999999999999</v>
      </c>
      <c r="P190" s="317">
        <f>IF(AND($A$2=4,VLOOKUP($A190,'District Level ADM'!$A$5:$W$52,5,FALSE)="Prior Year"),AR190,IF(AND($A$2=4,VLOOKUP($A190,'District Level ADM'!$A$5:$W$52,5,FALSE)="3-Year Avg."),AD190,IF($A$2=2,AR190,IF($A$2=3,AD190,IF(($AG190&gt;$AU190),AD190,AR190)))))</f>
        <v>3.94</v>
      </c>
      <c r="Q190" s="317">
        <f>IF(AND($A$2=4,VLOOKUP($A190,'District Level ADM'!$A$5:$W$52,5,FALSE)="Prior Year"),AS190,IF(AND($A$2=4,VLOOKUP($A190,'District Level ADM'!$A$5:$W$52,5,FALSE)="3-Year Avg."),AE190,IF($A$2=2,AS190,IF($A$2=3,AE190,IF(($AG190&gt;$AU190),AE190,AS190)))))</f>
        <v>3.94</v>
      </c>
      <c r="R190" s="317">
        <f>IF(AND($A$2=4,VLOOKUP($A190,'District Level ADM'!$A$5:$W$52,5,FALSE)="Prior Year"),AT190,IF(AND($A$2=4,VLOOKUP($A190,'District Level ADM'!$A$5:$W$52,5,FALSE)="3-Year Avg."),AF190,IF($A$2=2,AT190,IF($A$2=3,AF190,IF(($AG190&gt;$AU190),AF190,AT190)))))</f>
        <v>7.88</v>
      </c>
      <c r="S190" s="317">
        <f t="shared" si="25"/>
        <v>16.745000000000001</v>
      </c>
      <c r="T190" s="317">
        <f t="shared" si="34"/>
        <v>0</v>
      </c>
      <c r="U190" s="317">
        <f t="shared" si="33"/>
        <v>0</v>
      </c>
      <c r="V190" s="317">
        <f t="shared" si="33"/>
        <v>0</v>
      </c>
      <c r="W190" s="317">
        <f t="shared" si="33"/>
        <v>0</v>
      </c>
      <c r="X190" s="317">
        <f t="shared" si="33"/>
        <v>0</v>
      </c>
      <c r="Y190" s="317">
        <f t="shared" si="33"/>
        <v>0</v>
      </c>
      <c r="Z190" s="317">
        <f t="shared" si="33"/>
        <v>0</v>
      </c>
      <c r="AA190" s="317">
        <f t="shared" si="33"/>
        <v>0</v>
      </c>
      <c r="AB190" s="317">
        <f t="shared" si="33"/>
        <v>0</v>
      </c>
      <c r="AC190" s="317">
        <f t="shared" si="33"/>
        <v>2.0939999999999999</v>
      </c>
      <c r="AD190" s="317">
        <f t="shared" si="30"/>
        <v>4.7343333333333328</v>
      </c>
      <c r="AE190" s="317">
        <f t="shared" si="30"/>
        <v>5.7953333333333328</v>
      </c>
      <c r="AF190" s="317">
        <f t="shared" si="30"/>
        <v>7.7963333333333331</v>
      </c>
      <c r="AG190" s="317">
        <f t="shared" si="26"/>
        <v>20.419999999999998</v>
      </c>
      <c r="AH190" s="318">
        <v>0</v>
      </c>
      <c r="AI190" s="318">
        <v>0</v>
      </c>
      <c r="AJ190" s="318">
        <v>0</v>
      </c>
      <c r="AK190" s="318">
        <v>0</v>
      </c>
      <c r="AL190" s="318">
        <v>0</v>
      </c>
      <c r="AM190" s="318">
        <v>0</v>
      </c>
      <c r="AN190" s="318">
        <v>0</v>
      </c>
      <c r="AO190" s="318">
        <v>0</v>
      </c>
      <c r="AP190" s="318">
        <v>0</v>
      </c>
      <c r="AQ190" s="318">
        <v>0.98499999999999999</v>
      </c>
      <c r="AR190" s="318">
        <v>3.94</v>
      </c>
      <c r="AS190" s="318">
        <v>3.94</v>
      </c>
      <c r="AT190" s="318">
        <v>7.88</v>
      </c>
      <c r="AU190" s="317">
        <f t="shared" si="27"/>
        <v>16.745000000000001</v>
      </c>
      <c r="AV190" s="319">
        <v>0</v>
      </c>
      <c r="AW190" s="319">
        <v>0</v>
      </c>
      <c r="AX190" s="319">
        <v>0</v>
      </c>
      <c r="AY190" s="319">
        <v>0</v>
      </c>
      <c r="AZ190" s="319">
        <v>0</v>
      </c>
      <c r="BA190" s="319">
        <v>0</v>
      </c>
      <c r="BB190" s="319">
        <v>0</v>
      </c>
      <c r="BC190" s="319">
        <v>0</v>
      </c>
      <c r="BD190" s="319">
        <v>0</v>
      </c>
      <c r="BE190" s="319">
        <v>3.4860000000000002</v>
      </c>
      <c r="BF190" s="319">
        <v>3.669</v>
      </c>
      <c r="BG190" s="319">
        <v>6</v>
      </c>
      <c r="BH190" s="319">
        <v>9.1660000000000004</v>
      </c>
      <c r="BI190" s="317">
        <f t="shared" si="28"/>
        <v>22.321000000000002</v>
      </c>
      <c r="BJ190" s="316">
        <v>0</v>
      </c>
      <c r="BK190" s="316">
        <v>0</v>
      </c>
      <c r="BL190" s="316">
        <v>0</v>
      </c>
      <c r="BM190" s="316">
        <v>0</v>
      </c>
      <c r="BN190" s="316">
        <v>0</v>
      </c>
      <c r="BO190" s="316">
        <v>0</v>
      </c>
      <c r="BP190" s="316">
        <v>0</v>
      </c>
      <c r="BQ190" s="316">
        <v>0</v>
      </c>
      <c r="BR190" s="316">
        <v>0</v>
      </c>
      <c r="BS190" s="316">
        <v>1.8109999999999999</v>
      </c>
      <c r="BT190" s="316">
        <v>6.5940000000000003</v>
      </c>
      <c r="BU190" s="316">
        <v>7.4459999999999997</v>
      </c>
      <c r="BV190" s="316">
        <v>6.343</v>
      </c>
      <c r="BW190" s="317">
        <f t="shared" si="24"/>
        <v>22.194000000000003</v>
      </c>
    </row>
    <row r="191" spans="1:75" x14ac:dyDescent="0.2">
      <c r="A191" s="20" t="str">
        <f>'School Level Inst. Resources'!A191</f>
        <v>1201000</v>
      </c>
      <c r="B191" s="20" t="str">
        <f>'School Level Inst. Resources'!B191</f>
        <v>Lincoln #1</v>
      </c>
      <c r="C191" s="20" t="str">
        <f>'School Level Inst. Resources'!C191</f>
        <v>1201057</v>
      </c>
      <c r="D191" s="20" t="str">
        <f>'School Level Inst. Resources'!D191</f>
        <v>Kemmerer Junior Senior High School</v>
      </c>
      <c r="E191" s="138" t="str">
        <f>'School Level Inst. Resources'!E191</f>
        <v>7-12</v>
      </c>
      <c r="F191" s="317">
        <f>IF(AND($A$2=4,VLOOKUP($A191,'District Level ADM'!$A$5:$W$52,5,FALSE)="Prior Year"),AH191,IF(AND($A$2=4,VLOOKUP($A191,'District Level ADM'!$A$5:$W$52,5,FALSE)="3-Year Avg."),T191,IF($A$2=2,AH191,IF($A$2=3,T191,IF(($AG191&gt;$AU191),T191,AH191)))))</f>
        <v>0</v>
      </c>
      <c r="G191" s="317">
        <f>IF(AND($A$2=4,VLOOKUP($A191,'District Level ADM'!$A$5:$W$52,5,FALSE)="Prior Year"),AI191,IF(AND($A$2=4,VLOOKUP($A191,'District Level ADM'!$A$5:$W$52,5,FALSE)="3-Year Avg."),U191,IF($A$2=2,AI191,IF($A$2=3,U191,IF(($AG191&gt;$AU191),U191,AI191)))))</f>
        <v>0</v>
      </c>
      <c r="H191" s="317">
        <f>IF(AND($A$2=4,VLOOKUP($A191,'District Level ADM'!$A$5:$W$52,5,FALSE)="Prior Year"),AJ191,IF(AND($A$2=4,VLOOKUP($A191,'District Level ADM'!$A$5:$W$52,5,FALSE)="3-Year Avg."),V191,IF($A$2=2,AJ191,IF($A$2=3,V191,IF(($AG191&gt;$AU191),V191,AJ191)))))</f>
        <v>0</v>
      </c>
      <c r="I191" s="317">
        <f>IF(AND($A$2=4,VLOOKUP($A191,'District Level ADM'!$A$5:$W$52,5,FALSE)="Prior Year"),AK191,IF(AND($A$2=4,VLOOKUP($A191,'District Level ADM'!$A$5:$W$52,5,FALSE)="3-Year Avg."),W191,IF($A$2=2,AK191,IF($A$2=3,W191,IF(($AG191&gt;$AU191),W191,AK191)))))</f>
        <v>0</v>
      </c>
      <c r="J191" s="317">
        <f>IF(AND($A$2=4,VLOOKUP($A191,'District Level ADM'!$A$5:$W$52,5,FALSE)="Prior Year"),AL191,IF(AND($A$2=4,VLOOKUP($A191,'District Level ADM'!$A$5:$W$52,5,FALSE)="3-Year Avg."),X191,IF($A$2=2,AL191,IF($A$2=3,X191,IF(($AG191&gt;$AU191),X191,AL191)))))</f>
        <v>0</v>
      </c>
      <c r="K191" s="317">
        <f>IF(AND($A$2=4,VLOOKUP($A191,'District Level ADM'!$A$5:$W$52,5,FALSE)="Prior Year"),AM191,IF(AND($A$2=4,VLOOKUP($A191,'District Level ADM'!$A$5:$W$52,5,FALSE)="3-Year Avg."),Y191,IF($A$2=2,AM191,IF($A$2=3,Y191,IF(($AG191&gt;$AU191),Y191,AM191)))))</f>
        <v>0</v>
      </c>
      <c r="L191" s="317">
        <f>IF(AND($A$2=4,VLOOKUP($A191,'District Level ADM'!$A$5:$W$52,5,FALSE)="Prior Year"),AN191,IF(AND($A$2=4,VLOOKUP($A191,'District Level ADM'!$A$5:$W$52,5,FALSE)="3-Year Avg."),Z191,IF($A$2=2,AN191,IF($A$2=3,Z191,IF(($AG191&gt;$AU191),Z191,AN191)))))</f>
        <v>0</v>
      </c>
      <c r="M191" s="317">
        <f>IF(AND($A$2=4,VLOOKUP($A191,'District Level ADM'!$A$5:$W$52,5,FALSE)="Prior Year"),AO191,IF(AND($A$2=4,VLOOKUP($A191,'District Level ADM'!$A$5:$W$52,5,FALSE)="3-Year Avg."),AA191,IF($A$2=2,AO191,IF($A$2=3,AA191,IF(($AG191&gt;$AU191),AA191,AO191)))))</f>
        <v>53.19</v>
      </c>
      <c r="N191" s="317">
        <f>IF(AND($A$2=4,VLOOKUP($A191,'District Level ADM'!$A$5:$W$52,5,FALSE)="Prior Year"),AP191,IF(AND($A$2=4,VLOOKUP($A191,'District Level ADM'!$A$5:$W$52,5,FALSE)="3-Year Avg."),AB191,IF($A$2=2,AP191,IF($A$2=3,AB191,IF(($AG191&gt;$AU191),AB191,AP191)))))</f>
        <v>50.234999999999999</v>
      </c>
      <c r="O191" s="317">
        <f>IF(AND($A$2=4,VLOOKUP($A191,'District Level ADM'!$A$5:$W$52,5,FALSE)="Prior Year"),AQ191,IF(AND($A$2=4,VLOOKUP($A191,'District Level ADM'!$A$5:$W$52,5,FALSE)="3-Year Avg."),AC191,IF($A$2=2,AQ191,IF($A$2=3,AC191,IF(($AG191&gt;$AU191),AC191,AQ191)))))</f>
        <v>38.414999999999999</v>
      </c>
      <c r="P191" s="317">
        <f>IF(AND($A$2=4,VLOOKUP($A191,'District Level ADM'!$A$5:$W$52,5,FALSE)="Prior Year"),AR191,IF(AND($A$2=4,VLOOKUP($A191,'District Level ADM'!$A$5:$W$52,5,FALSE)="3-Year Avg."),AD191,IF($A$2=2,AR191,IF($A$2=3,AD191,IF(($AG191&gt;$AU191),AD191,AR191)))))</f>
        <v>38.414999999999999</v>
      </c>
      <c r="Q191" s="317">
        <f>IF(AND($A$2=4,VLOOKUP($A191,'District Level ADM'!$A$5:$W$52,5,FALSE)="Prior Year"),AS191,IF(AND($A$2=4,VLOOKUP($A191,'District Level ADM'!$A$5:$W$52,5,FALSE)="3-Year Avg."),AE191,IF($A$2=2,AS191,IF($A$2=3,AE191,IF(($AG191&gt;$AU191),AE191,AS191)))))</f>
        <v>30.535</v>
      </c>
      <c r="R191" s="317">
        <f>IF(AND($A$2=4,VLOOKUP($A191,'District Level ADM'!$A$5:$W$52,5,FALSE)="Prior Year"),AT191,IF(AND($A$2=4,VLOOKUP($A191,'District Level ADM'!$A$5:$W$52,5,FALSE)="3-Year Avg."),AF191,IF($A$2=2,AT191,IF($A$2=3,AF191,IF(($AG191&gt;$AU191),AF191,AT191)))))</f>
        <v>33.49</v>
      </c>
      <c r="S191" s="317">
        <f t="shared" si="25"/>
        <v>244.28</v>
      </c>
      <c r="T191" s="317">
        <f t="shared" si="34"/>
        <v>0</v>
      </c>
      <c r="U191" s="317">
        <f t="shared" si="33"/>
        <v>0</v>
      </c>
      <c r="V191" s="317">
        <f t="shared" si="33"/>
        <v>0</v>
      </c>
      <c r="W191" s="317">
        <f t="shared" si="33"/>
        <v>0</v>
      </c>
      <c r="X191" s="317">
        <f t="shared" si="33"/>
        <v>0</v>
      </c>
      <c r="Y191" s="317">
        <f t="shared" si="33"/>
        <v>0</v>
      </c>
      <c r="Z191" s="317">
        <f t="shared" si="33"/>
        <v>0</v>
      </c>
      <c r="AA191" s="317">
        <f t="shared" si="33"/>
        <v>47.774000000000001</v>
      </c>
      <c r="AB191" s="317">
        <f t="shared" si="33"/>
        <v>47.664999999999999</v>
      </c>
      <c r="AC191" s="317">
        <f t="shared" si="33"/>
        <v>37.271666666666668</v>
      </c>
      <c r="AD191" s="317">
        <f t="shared" si="30"/>
        <v>36.014666666666663</v>
      </c>
      <c r="AE191" s="317">
        <f t="shared" si="30"/>
        <v>33.882333333333328</v>
      </c>
      <c r="AF191" s="317">
        <f t="shared" si="30"/>
        <v>34.353999999999999</v>
      </c>
      <c r="AG191" s="317">
        <f t="shared" si="26"/>
        <v>236.96166666666664</v>
      </c>
      <c r="AH191" s="318">
        <v>0</v>
      </c>
      <c r="AI191" s="318">
        <v>0</v>
      </c>
      <c r="AJ191" s="318">
        <v>0</v>
      </c>
      <c r="AK191" s="318">
        <v>0</v>
      </c>
      <c r="AL191" s="318">
        <v>0</v>
      </c>
      <c r="AM191" s="318">
        <v>0</v>
      </c>
      <c r="AN191" s="318">
        <v>0</v>
      </c>
      <c r="AO191" s="318">
        <v>53.19</v>
      </c>
      <c r="AP191" s="318">
        <v>50.234999999999999</v>
      </c>
      <c r="AQ191" s="318">
        <v>38.414999999999999</v>
      </c>
      <c r="AR191" s="318">
        <v>38.414999999999999</v>
      </c>
      <c r="AS191" s="318">
        <v>30.535</v>
      </c>
      <c r="AT191" s="318">
        <v>33.49</v>
      </c>
      <c r="AU191" s="317">
        <f t="shared" si="27"/>
        <v>244.28</v>
      </c>
      <c r="AV191" s="319">
        <v>0</v>
      </c>
      <c r="AW191" s="319">
        <v>0</v>
      </c>
      <c r="AX191" s="319">
        <v>0</v>
      </c>
      <c r="AY191" s="319">
        <v>0</v>
      </c>
      <c r="AZ191" s="319">
        <v>0</v>
      </c>
      <c r="BA191" s="319">
        <v>0</v>
      </c>
      <c r="BB191" s="319">
        <v>0</v>
      </c>
      <c r="BC191" s="319">
        <v>45.222999999999999</v>
      </c>
      <c r="BD191" s="319">
        <v>42.811</v>
      </c>
      <c r="BE191" s="319">
        <v>42.845999999999997</v>
      </c>
      <c r="BF191" s="319">
        <v>32.04</v>
      </c>
      <c r="BG191" s="319">
        <v>37.194000000000003</v>
      </c>
      <c r="BH191" s="319">
        <v>32.405999999999999</v>
      </c>
      <c r="BI191" s="317">
        <f t="shared" si="28"/>
        <v>232.51999999999998</v>
      </c>
      <c r="BJ191" s="316">
        <v>0</v>
      </c>
      <c r="BK191" s="316">
        <v>0</v>
      </c>
      <c r="BL191" s="316">
        <v>0</v>
      </c>
      <c r="BM191" s="316">
        <v>0</v>
      </c>
      <c r="BN191" s="316">
        <v>0</v>
      </c>
      <c r="BO191" s="316">
        <v>0</v>
      </c>
      <c r="BP191" s="316">
        <v>0</v>
      </c>
      <c r="BQ191" s="316">
        <v>44.908999999999999</v>
      </c>
      <c r="BR191" s="316">
        <v>49.948999999999998</v>
      </c>
      <c r="BS191" s="316">
        <v>30.553999999999998</v>
      </c>
      <c r="BT191" s="316">
        <v>37.588999999999999</v>
      </c>
      <c r="BU191" s="316">
        <v>33.917999999999999</v>
      </c>
      <c r="BV191" s="316">
        <v>37.165999999999997</v>
      </c>
      <c r="BW191" s="317">
        <f t="shared" si="24"/>
        <v>234.08500000000001</v>
      </c>
    </row>
    <row r="192" spans="1:75" x14ac:dyDescent="0.2">
      <c r="A192" s="20" t="str">
        <f>'School Level Inst. Resources'!A192</f>
        <v>1202000</v>
      </c>
      <c r="B192" s="20" t="str">
        <f>'School Level Inst. Resources'!B192</f>
        <v>Lincoln #2</v>
      </c>
      <c r="C192" s="20" t="str">
        <f>'School Level Inst. Resources'!C192</f>
        <v>1202001</v>
      </c>
      <c r="D192" s="20" t="str">
        <f>'School Level Inst. Resources'!D192</f>
        <v>Afton Elementary</v>
      </c>
      <c r="E192" s="138" t="str">
        <f>'School Level Inst. Resources'!E192</f>
        <v>K-3</v>
      </c>
      <c r="F192" s="317">
        <f>IF(AND($A$2=4,VLOOKUP($A192,'District Level ADM'!$A$5:$W$52,5,FALSE)="Prior Year"),AH192,IF(AND($A$2=4,VLOOKUP($A192,'District Level ADM'!$A$5:$W$52,5,FALSE)="3-Year Avg."),T192,IF($A$2=2,AH192,IF($A$2=3,T192,IF(($AG192&gt;$AU192),T192,AH192)))))</f>
        <v>119.185</v>
      </c>
      <c r="G192" s="317">
        <f>IF(AND($A$2=4,VLOOKUP($A192,'District Level ADM'!$A$5:$W$52,5,FALSE)="Prior Year"),AI192,IF(AND($A$2=4,VLOOKUP($A192,'District Level ADM'!$A$5:$W$52,5,FALSE)="3-Year Avg."),U192,IF($A$2=2,AI192,IF($A$2=3,U192,IF(($AG192&gt;$AU192),U192,AI192)))))</f>
        <v>96.53</v>
      </c>
      <c r="H192" s="317">
        <f>IF(AND($A$2=4,VLOOKUP($A192,'District Level ADM'!$A$5:$W$52,5,FALSE)="Prior Year"),AJ192,IF(AND($A$2=4,VLOOKUP($A192,'District Level ADM'!$A$5:$W$52,5,FALSE)="3-Year Avg."),V192,IF($A$2=2,AJ192,IF($A$2=3,V192,IF(($AG192&gt;$AU192),V192,AJ192)))))</f>
        <v>118.2</v>
      </c>
      <c r="I192" s="317">
        <f>IF(AND($A$2=4,VLOOKUP($A192,'District Level ADM'!$A$5:$W$52,5,FALSE)="Prior Year"),AK192,IF(AND($A$2=4,VLOOKUP($A192,'District Level ADM'!$A$5:$W$52,5,FALSE)="3-Year Avg."),W192,IF($A$2=2,AK192,IF($A$2=3,W192,IF(($AG192&gt;$AU192),W192,AK192)))))</f>
        <v>118.2</v>
      </c>
      <c r="J192" s="317">
        <f>IF(AND($A$2=4,VLOOKUP($A192,'District Level ADM'!$A$5:$W$52,5,FALSE)="Prior Year"),AL192,IF(AND($A$2=4,VLOOKUP($A192,'District Level ADM'!$A$5:$W$52,5,FALSE)="3-Year Avg."),X192,IF($A$2=2,AL192,IF($A$2=3,X192,IF(($AG192&gt;$AU192),X192,AL192)))))</f>
        <v>0</v>
      </c>
      <c r="K192" s="317">
        <f>IF(AND($A$2=4,VLOOKUP($A192,'District Level ADM'!$A$5:$W$52,5,FALSE)="Prior Year"),AM192,IF(AND($A$2=4,VLOOKUP($A192,'District Level ADM'!$A$5:$W$52,5,FALSE)="3-Year Avg."),Y192,IF($A$2=2,AM192,IF($A$2=3,Y192,IF(($AG192&gt;$AU192),Y192,AM192)))))</f>
        <v>0</v>
      </c>
      <c r="L192" s="317">
        <f>IF(AND($A$2=4,VLOOKUP($A192,'District Level ADM'!$A$5:$W$52,5,FALSE)="Prior Year"),AN192,IF(AND($A$2=4,VLOOKUP($A192,'District Level ADM'!$A$5:$W$52,5,FALSE)="3-Year Avg."),Z192,IF($A$2=2,AN192,IF($A$2=3,Z192,IF(($AG192&gt;$AU192),Z192,AN192)))))</f>
        <v>0</v>
      </c>
      <c r="M192" s="317">
        <f>IF(AND($A$2=4,VLOOKUP($A192,'District Level ADM'!$A$5:$W$52,5,FALSE)="Prior Year"),AO192,IF(AND($A$2=4,VLOOKUP($A192,'District Level ADM'!$A$5:$W$52,5,FALSE)="3-Year Avg."),AA192,IF($A$2=2,AO192,IF($A$2=3,AA192,IF(($AG192&gt;$AU192),AA192,AO192)))))</f>
        <v>0</v>
      </c>
      <c r="N192" s="317">
        <f>IF(AND($A$2=4,VLOOKUP($A192,'District Level ADM'!$A$5:$W$52,5,FALSE)="Prior Year"),AP192,IF(AND($A$2=4,VLOOKUP($A192,'District Level ADM'!$A$5:$W$52,5,FALSE)="3-Year Avg."),AB192,IF($A$2=2,AP192,IF($A$2=3,AB192,IF(($AG192&gt;$AU192),AB192,AP192)))))</f>
        <v>0</v>
      </c>
      <c r="O192" s="317">
        <f>IF(AND($A$2=4,VLOOKUP($A192,'District Level ADM'!$A$5:$W$52,5,FALSE)="Prior Year"),AQ192,IF(AND($A$2=4,VLOOKUP($A192,'District Level ADM'!$A$5:$W$52,5,FALSE)="3-Year Avg."),AC192,IF($A$2=2,AQ192,IF($A$2=3,AC192,IF(($AG192&gt;$AU192),AC192,AQ192)))))</f>
        <v>0</v>
      </c>
      <c r="P192" s="317">
        <f>IF(AND($A$2=4,VLOOKUP($A192,'District Level ADM'!$A$5:$W$52,5,FALSE)="Prior Year"),AR192,IF(AND($A$2=4,VLOOKUP($A192,'District Level ADM'!$A$5:$W$52,5,FALSE)="3-Year Avg."),AD192,IF($A$2=2,AR192,IF($A$2=3,AD192,IF(($AG192&gt;$AU192),AD192,AR192)))))</f>
        <v>0</v>
      </c>
      <c r="Q192" s="317">
        <f>IF(AND($A$2=4,VLOOKUP($A192,'District Level ADM'!$A$5:$W$52,5,FALSE)="Prior Year"),AS192,IF(AND($A$2=4,VLOOKUP($A192,'District Level ADM'!$A$5:$W$52,5,FALSE)="3-Year Avg."),AE192,IF($A$2=2,AS192,IF($A$2=3,AE192,IF(($AG192&gt;$AU192),AE192,AS192)))))</f>
        <v>0</v>
      </c>
      <c r="R192" s="317">
        <f>IF(AND($A$2=4,VLOOKUP($A192,'District Level ADM'!$A$5:$W$52,5,FALSE)="Prior Year"),AT192,IF(AND($A$2=4,VLOOKUP($A192,'District Level ADM'!$A$5:$W$52,5,FALSE)="3-Year Avg."),AF192,IF($A$2=2,AT192,IF($A$2=3,AF192,IF(($AG192&gt;$AU192),AF192,AT192)))))</f>
        <v>0</v>
      </c>
      <c r="S192" s="317">
        <f t="shared" si="25"/>
        <v>452.11500000000001</v>
      </c>
      <c r="T192" s="317">
        <f t="shared" si="34"/>
        <v>112.78533333333333</v>
      </c>
      <c r="U192" s="317">
        <f t="shared" si="33"/>
        <v>106.00733333333334</v>
      </c>
      <c r="V192" s="317">
        <f t="shared" si="33"/>
        <v>112.67900000000002</v>
      </c>
      <c r="W192" s="317">
        <f t="shared" si="33"/>
        <v>116.979</v>
      </c>
      <c r="X192" s="317">
        <f t="shared" si="33"/>
        <v>0</v>
      </c>
      <c r="Y192" s="317">
        <f t="shared" si="33"/>
        <v>0</v>
      </c>
      <c r="Z192" s="317">
        <f t="shared" si="33"/>
        <v>0</v>
      </c>
      <c r="AA192" s="317">
        <f t="shared" si="33"/>
        <v>0</v>
      </c>
      <c r="AB192" s="317">
        <f t="shared" si="33"/>
        <v>0</v>
      </c>
      <c r="AC192" s="317">
        <f t="shared" si="33"/>
        <v>0</v>
      </c>
      <c r="AD192" s="317">
        <f t="shared" si="30"/>
        <v>0</v>
      </c>
      <c r="AE192" s="317">
        <f t="shared" si="30"/>
        <v>0</v>
      </c>
      <c r="AF192" s="317">
        <f t="shared" si="30"/>
        <v>0</v>
      </c>
      <c r="AG192" s="317">
        <f t="shared" si="26"/>
        <v>448.45066666666668</v>
      </c>
      <c r="AH192" s="318">
        <v>119.185</v>
      </c>
      <c r="AI192" s="318">
        <v>96.53</v>
      </c>
      <c r="AJ192" s="318">
        <v>118.2</v>
      </c>
      <c r="AK192" s="318">
        <v>118.2</v>
      </c>
      <c r="AL192" s="318">
        <v>0</v>
      </c>
      <c r="AM192" s="318">
        <v>0</v>
      </c>
      <c r="AN192" s="318">
        <v>0</v>
      </c>
      <c r="AO192" s="318">
        <v>0</v>
      </c>
      <c r="AP192" s="318">
        <v>0</v>
      </c>
      <c r="AQ192" s="318">
        <v>0</v>
      </c>
      <c r="AR192" s="318">
        <v>0</v>
      </c>
      <c r="AS192" s="318">
        <v>0</v>
      </c>
      <c r="AT192" s="318">
        <v>0</v>
      </c>
      <c r="AU192" s="317">
        <f t="shared" si="27"/>
        <v>452.11500000000001</v>
      </c>
      <c r="AV192" s="319">
        <v>103.711</v>
      </c>
      <c r="AW192" s="319">
        <v>111.675</v>
      </c>
      <c r="AX192" s="319">
        <v>112.934</v>
      </c>
      <c r="AY192" s="319">
        <v>110.988</v>
      </c>
      <c r="AZ192" s="319">
        <v>0</v>
      </c>
      <c r="BA192" s="319">
        <v>0</v>
      </c>
      <c r="BB192" s="319">
        <v>0</v>
      </c>
      <c r="BC192" s="319">
        <v>0</v>
      </c>
      <c r="BD192" s="319">
        <v>0</v>
      </c>
      <c r="BE192" s="319">
        <v>0</v>
      </c>
      <c r="BF192" s="319">
        <v>0</v>
      </c>
      <c r="BG192" s="319">
        <v>0</v>
      </c>
      <c r="BH192" s="319">
        <v>0</v>
      </c>
      <c r="BI192" s="317">
        <f t="shared" si="28"/>
        <v>439.30799999999999</v>
      </c>
      <c r="BJ192" s="316">
        <v>115.46</v>
      </c>
      <c r="BK192" s="316">
        <v>109.81699999999999</v>
      </c>
      <c r="BL192" s="316">
        <v>106.90300000000001</v>
      </c>
      <c r="BM192" s="316">
        <v>121.749</v>
      </c>
      <c r="BN192" s="316">
        <v>0</v>
      </c>
      <c r="BO192" s="316">
        <v>0</v>
      </c>
      <c r="BP192" s="316">
        <v>0</v>
      </c>
      <c r="BQ192" s="316">
        <v>0</v>
      </c>
      <c r="BR192" s="316">
        <v>0</v>
      </c>
      <c r="BS192" s="316">
        <v>0</v>
      </c>
      <c r="BT192" s="316">
        <v>0</v>
      </c>
      <c r="BU192" s="316">
        <v>0</v>
      </c>
      <c r="BV192" s="316">
        <v>0</v>
      </c>
      <c r="BW192" s="317">
        <f t="shared" si="24"/>
        <v>453.92899999999997</v>
      </c>
    </row>
    <row r="193" spans="1:75" x14ac:dyDescent="0.2">
      <c r="A193" s="20" t="str">
        <f>'School Level Inst. Resources'!A193</f>
        <v>1202000</v>
      </c>
      <c r="B193" s="20" t="str">
        <f>'School Level Inst. Resources'!B193</f>
        <v>Lincoln #2</v>
      </c>
      <c r="C193" s="20" t="str">
        <f>'School Level Inst. Resources'!C193</f>
        <v>1202002</v>
      </c>
      <c r="D193" s="20" t="str">
        <f>'School Level Inst. Resources'!D193</f>
        <v>Cokeville Elementary</v>
      </c>
      <c r="E193" s="138" t="str">
        <f>'School Level Inst. Resources'!E193</f>
        <v>K-6</v>
      </c>
      <c r="F193" s="317">
        <f>IF(AND($A$2=4,VLOOKUP($A193,'District Level ADM'!$A$5:$W$52,5,FALSE)="Prior Year"),AH193,IF(AND($A$2=4,VLOOKUP($A193,'District Level ADM'!$A$5:$W$52,5,FALSE)="3-Year Avg."),T193,IF($A$2=2,AH193,IF($A$2=3,T193,IF(($AG193&gt;$AU193),T193,AH193)))))</f>
        <v>17.73</v>
      </c>
      <c r="G193" s="317">
        <f>IF(AND($A$2=4,VLOOKUP($A193,'District Level ADM'!$A$5:$W$52,5,FALSE)="Prior Year"),AI193,IF(AND($A$2=4,VLOOKUP($A193,'District Level ADM'!$A$5:$W$52,5,FALSE)="3-Year Avg."),U193,IF($A$2=2,AI193,IF($A$2=3,U193,IF(($AG193&gt;$AU193),U193,AI193)))))</f>
        <v>13.79</v>
      </c>
      <c r="H193" s="317">
        <f>IF(AND($A$2=4,VLOOKUP($A193,'District Level ADM'!$A$5:$W$52,5,FALSE)="Prior Year"),AJ193,IF(AND($A$2=4,VLOOKUP($A193,'District Level ADM'!$A$5:$W$52,5,FALSE)="3-Year Avg."),V193,IF($A$2=2,AJ193,IF($A$2=3,V193,IF(($AG193&gt;$AU193),V193,AJ193)))))</f>
        <v>17.73</v>
      </c>
      <c r="I193" s="317">
        <f>IF(AND($A$2=4,VLOOKUP($A193,'District Level ADM'!$A$5:$W$52,5,FALSE)="Prior Year"),AK193,IF(AND($A$2=4,VLOOKUP($A193,'District Level ADM'!$A$5:$W$52,5,FALSE)="3-Year Avg."),W193,IF($A$2=2,AK193,IF($A$2=3,W193,IF(($AG193&gt;$AU193),W193,AK193)))))</f>
        <v>23.64</v>
      </c>
      <c r="J193" s="317">
        <f>IF(AND($A$2=4,VLOOKUP($A193,'District Level ADM'!$A$5:$W$52,5,FALSE)="Prior Year"),AL193,IF(AND($A$2=4,VLOOKUP($A193,'District Level ADM'!$A$5:$W$52,5,FALSE)="3-Year Avg."),X193,IF($A$2=2,AL193,IF($A$2=3,X193,IF(($AG193&gt;$AU193),X193,AL193)))))</f>
        <v>14.775</v>
      </c>
      <c r="K193" s="317">
        <f>IF(AND($A$2=4,VLOOKUP($A193,'District Level ADM'!$A$5:$W$52,5,FALSE)="Prior Year"),AM193,IF(AND($A$2=4,VLOOKUP($A193,'District Level ADM'!$A$5:$W$52,5,FALSE)="3-Year Avg."),Y193,IF($A$2=2,AM193,IF($A$2=3,Y193,IF(($AG193&gt;$AU193),Y193,AM193)))))</f>
        <v>19.7</v>
      </c>
      <c r="L193" s="317">
        <f>IF(AND($A$2=4,VLOOKUP($A193,'District Level ADM'!$A$5:$W$52,5,FALSE)="Prior Year"),AN193,IF(AND($A$2=4,VLOOKUP($A193,'District Level ADM'!$A$5:$W$52,5,FALSE)="3-Year Avg."),Z193,IF($A$2=2,AN193,IF($A$2=3,Z193,IF(($AG193&gt;$AU193),Z193,AN193)))))</f>
        <v>19.7</v>
      </c>
      <c r="M193" s="317">
        <f>IF(AND($A$2=4,VLOOKUP($A193,'District Level ADM'!$A$5:$W$52,5,FALSE)="Prior Year"),AO193,IF(AND($A$2=4,VLOOKUP($A193,'District Level ADM'!$A$5:$W$52,5,FALSE)="3-Year Avg."),AA193,IF($A$2=2,AO193,IF($A$2=3,AA193,IF(($AG193&gt;$AU193),AA193,AO193)))))</f>
        <v>0</v>
      </c>
      <c r="N193" s="317">
        <f>IF(AND($A$2=4,VLOOKUP($A193,'District Level ADM'!$A$5:$W$52,5,FALSE)="Prior Year"),AP193,IF(AND($A$2=4,VLOOKUP($A193,'District Level ADM'!$A$5:$W$52,5,FALSE)="3-Year Avg."),AB193,IF($A$2=2,AP193,IF($A$2=3,AB193,IF(($AG193&gt;$AU193),AB193,AP193)))))</f>
        <v>0</v>
      </c>
      <c r="O193" s="317">
        <f>IF(AND($A$2=4,VLOOKUP($A193,'District Level ADM'!$A$5:$W$52,5,FALSE)="Prior Year"),AQ193,IF(AND($A$2=4,VLOOKUP($A193,'District Level ADM'!$A$5:$W$52,5,FALSE)="3-Year Avg."),AC193,IF($A$2=2,AQ193,IF($A$2=3,AC193,IF(($AG193&gt;$AU193),AC193,AQ193)))))</f>
        <v>0</v>
      </c>
      <c r="P193" s="317">
        <f>IF(AND($A$2=4,VLOOKUP($A193,'District Level ADM'!$A$5:$W$52,5,FALSE)="Prior Year"),AR193,IF(AND($A$2=4,VLOOKUP($A193,'District Level ADM'!$A$5:$W$52,5,FALSE)="3-Year Avg."),AD193,IF($A$2=2,AR193,IF($A$2=3,AD193,IF(($AG193&gt;$AU193),AD193,AR193)))))</f>
        <v>0</v>
      </c>
      <c r="Q193" s="317">
        <f>IF(AND($A$2=4,VLOOKUP($A193,'District Level ADM'!$A$5:$W$52,5,FALSE)="Prior Year"),AS193,IF(AND($A$2=4,VLOOKUP($A193,'District Level ADM'!$A$5:$W$52,5,FALSE)="3-Year Avg."),AE193,IF($A$2=2,AS193,IF($A$2=3,AE193,IF(($AG193&gt;$AU193),AE193,AS193)))))</f>
        <v>0</v>
      </c>
      <c r="R193" s="317">
        <f>IF(AND($A$2=4,VLOOKUP($A193,'District Level ADM'!$A$5:$W$52,5,FALSE)="Prior Year"),AT193,IF(AND($A$2=4,VLOOKUP($A193,'District Level ADM'!$A$5:$W$52,5,FALSE)="3-Year Avg."),AF193,IF($A$2=2,AT193,IF($A$2=3,AF193,IF(($AG193&gt;$AU193),AF193,AT193)))))</f>
        <v>0</v>
      </c>
      <c r="S193" s="317">
        <f t="shared" si="25"/>
        <v>127.06500000000001</v>
      </c>
      <c r="T193" s="317">
        <f t="shared" si="34"/>
        <v>17.803333333333331</v>
      </c>
      <c r="U193" s="317">
        <f t="shared" si="33"/>
        <v>19.130666666666666</v>
      </c>
      <c r="V193" s="317">
        <f t="shared" si="33"/>
        <v>20.149666666666668</v>
      </c>
      <c r="W193" s="317">
        <f t="shared" si="33"/>
        <v>20.259333333333334</v>
      </c>
      <c r="X193" s="317">
        <f t="shared" si="33"/>
        <v>18.631</v>
      </c>
      <c r="Y193" s="317">
        <f t="shared" si="33"/>
        <v>18.213666666666665</v>
      </c>
      <c r="Z193" s="317">
        <f t="shared" si="33"/>
        <v>18.248666666666665</v>
      </c>
      <c r="AA193" s="317">
        <f t="shared" si="33"/>
        <v>0</v>
      </c>
      <c r="AB193" s="317">
        <f t="shared" si="33"/>
        <v>0</v>
      </c>
      <c r="AC193" s="317">
        <f t="shared" si="33"/>
        <v>0</v>
      </c>
      <c r="AD193" s="317">
        <f t="shared" si="30"/>
        <v>0</v>
      </c>
      <c r="AE193" s="317">
        <f t="shared" si="30"/>
        <v>0</v>
      </c>
      <c r="AF193" s="317">
        <f t="shared" si="30"/>
        <v>0</v>
      </c>
      <c r="AG193" s="317">
        <f t="shared" si="26"/>
        <v>132.43633333333332</v>
      </c>
      <c r="AH193" s="318">
        <v>17.73</v>
      </c>
      <c r="AI193" s="318">
        <v>13.79</v>
      </c>
      <c r="AJ193" s="318">
        <v>17.73</v>
      </c>
      <c r="AK193" s="318">
        <v>23.64</v>
      </c>
      <c r="AL193" s="318">
        <v>14.775</v>
      </c>
      <c r="AM193" s="318">
        <v>19.7</v>
      </c>
      <c r="AN193" s="318">
        <v>19.7</v>
      </c>
      <c r="AO193" s="318">
        <v>0</v>
      </c>
      <c r="AP193" s="318">
        <v>0</v>
      </c>
      <c r="AQ193" s="318">
        <v>0</v>
      </c>
      <c r="AR193" s="318">
        <v>0</v>
      </c>
      <c r="AS193" s="318">
        <v>0</v>
      </c>
      <c r="AT193" s="318">
        <v>0</v>
      </c>
      <c r="AU193" s="317">
        <f t="shared" si="27"/>
        <v>127.06500000000001</v>
      </c>
      <c r="AV193" s="319">
        <v>15.039</v>
      </c>
      <c r="AW193" s="319">
        <v>19.02</v>
      </c>
      <c r="AX193" s="319">
        <v>25</v>
      </c>
      <c r="AY193" s="319">
        <v>16.105</v>
      </c>
      <c r="AZ193" s="319">
        <v>19.477</v>
      </c>
      <c r="BA193" s="319">
        <v>20.026</v>
      </c>
      <c r="BB193" s="319">
        <v>16.777999999999999</v>
      </c>
      <c r="BC193" s="319">
        <v>0</v>
      </c>
      <c r="BD193" s="319">
        <v>0</v>
      </c>
      <c r="BE193" s="319">
        <v>0</v>
      </c>
      <c r="BF193" s="319">
        <v>0</v>
      </c>
      <c r="BG193" s="319">
        <v>0</v>
      </c>
      <c r="BH193" s="319">
        <v>0</v>
      </c>
      <c r="BI193" s="317">
        <f t="shared" si="28"/>
        <v>131.44499999999999</v>
      </c>
      <c r="BJ193" s="316">
        <v>20.640999999999998</v>
      </c>
      <c r="BK193" s="316">
        <v>24.582000000000001</v>
      </c>
      <c r="BL193" s="316">
        <v>17.719000000000001</v>
      </c>
      <c r="BM193" s="316">
        <v>21.033000000000001</v>
      </c>
      <c r="BN193" s="316">
        <v>21.640999999999998</v>
      </c>
      <c r="BO193" s="316">
        <v>14.914999999999999</v>
      </c>
      <c r="BP193" s="316">
        <v>18.268000000000001</v>
      </c>
      <c r="BQ193" s="316">
        <v>0</v>
      </c>
      <c r="BR193" s="316">
        <v>0</v>
      </c>
      <c r="BS193" s="316">
        <v>0</v>
      </c>
      <c r="BT193" s="316">
        <v>0</v>
      </c>
      <c r="BU193" s="316">
        <v>0</v>
      </c>
      <c r="BV193" s="316">
        <v>0</v>
      </c>
      <c r="BW193" s="317">
        <f t="shared" si="24"/>
        <v>138.79899999999998</v>
      </c>
    </row>
    <row r="194" spans="1:75" x14ac:dyDescent="0.2">
      <c r="A194" s="20" t="str">
        <f>'School Level Inst. Resources'!A194</f>
        <v>1202000</v>
      </c>
      <c r="B194" s="20" t="str">
        <f>'School Level Inst. Resources'!B194</f>
        <v>Lincoln #2</v>
      </c>
      <c r="C194" s="20" t="str">
        <f>'School Level Inst. Resources'!C194</f>
        <v>1202003</v>
      </c>
      <c r="D194" s="20" t="str">
        <f>'School Level Inst. Resources'!D194</f>
        <v>Thayne Elementary</v>
      </c>
      <c r="E194" s="138" t="str">
        <f>'School Level Inst. Resources'!E194</f>
        <v>K-3</v>
      </c>
      <c r="F194" s="317">
        <f>IF(AND($A$2=4,VLOOKUP($A194,'District Level ADM'!$A$5:$W$52,5,FALSE)="Prior Year"),AH194,IF(AND($A$2=4,VLOOKUP($A194,'District Level ADM'!$A$5:$W$52,5,FALSE)="3-Year Avg."),T194,IF($A$2=2,AH194,IF($A$2=3,T194,IF(($AG194&gt;$AU194),T194,AH194)))))</f>
        <v>94.56</v>
      </c>
      <c r="G194" s="317">
        <f>IF(AND($A$2=4,VLOOKUP($A194,'District Level ADM'!$A$5:$W$52,5,FALSE)="Prior Year"),AI194,IF(AND($A$2=4,VLOOKUP($A194,'District Level ADM'!$A$5:$W$52,5,FALSE)="3-Year Avg."),U194,IF($A$2=2,AI194,IF($A$2=3,U194,IF(($AG194&gt;$AU194),U194,AI194)))))</f>
        <v>89.635000000000005</v>
      </c>
      <c r="H194" s="317">
        <f>IF(AND($A$2=4,VLOOKUP($A194,'District Level ADM'!$A$5:$W$52,5,FALSE)="Prior Year"),AJ194,IF(AND($A$2=4,VLOOKUP($A194,'District Level ADM'!$A$5:$W$52,5,FALSE)="3-Year Avg."),V194,IF($A$2=2,AJ194,IF($A$2=3,V194,IF(($AG194&gt;$AU194),V194,AJ194)))))</f>
        <v>87.665000000000006</v>
      </c>
      <c r="I194" s="317">
        <f>IF(AND($A$2=4,VLOOKUP($A194,'District Level ADM'!$A$5:$W$52,5,FALSE)="Prior Year"),AK194,IF(AND($A$2=4,VLOOKUP($A194,'District Level ADM'!$A$5:$W$52,5,FALSE)="3-Year Avg."),W194,IF($A$2=2,AK194,IF($A$2=3,W194,IF(($AG194&gt;$AU194),W194,AK194)))))</f>
        <v>93.575000000000003</v>
      </c>
      <c r="J194" s="317">
        <f>IF(AND($A$2=4,VLOOKUP($A194,'District Level ADM'!$A$5:$W$52,5,FALSE)="Prior Year"),AL194,IF(AND($A$2=4,VLOOKUP($A194,'District Level ADM'!$A$5:$W$52,5,FALSE)="3-Year Avg."),X194,IF($A$2=2,AL194,IF($A$2=3,X194,IF(($AG194&gt;$AU194),X194,AL194)))))</f>
        <v>0</v>
      </c>
      <c r="K194" s="317">
        <f>IF(AND($A$2=4,VLOOKUP($A194,'District Level ADM'!$A$5:$W$52,5,FALSE)="Prior Year"),AM194,IF(AND($A$2=4,VLOOKUP($A194,'District Level ADM'!$A$5:$W$52,5,FALSE)="3-Year Avg."),Y194,IF($A$2=2,AM194,IF($A$2=3,Y194,IF(($AG194&gt;$AU194),Y194,AM194)))))</f>
        <v>0</v>
      </c>
      <c r="L194" s="317">
        <f>IF(AND($A$2=4,VLOOKUP($A194,'District Level ADM'!$A$5:$W$52,5,FALSE)="Prior Year"),AN194,IF(AND($A$2=4,VLOOKUP($A194,'District Level ADM'!$A$5:$W$52,5,FALSE)="3-Year Avg."),Z194,IF($A$2=2,AN194,IF($A$2=3,Z194,IF(($AG194&gt;$AU194),Z194,AN194)))))</f>
        <v>0</v>
      </c>
      <c r="M194" s="317">
        <f>IF(AND($A$2=4,VLOOKUP($A194,'District Level ADM'!$A$5:$W$52,5,FALSE)="Prior Year"),AO194,IF(AND($A$2=4,VLOOKUP($A194,'District Level ADM'!$A$5:$W$52,5,FALSE)="3-Year Avg."),AA194,IF($A$2=2,AO194,IF($A$2=3,AA194,IF(($AG194&gt;$AU194),AA194,AO194)))))</f>
        <v>0</v>
      </c>
      <c r="N194" s="317">
        <f>IF(AND($A$2=4,VLOOKUP($A194,'District Level ADM'!$A$5:$W$52,5,FALSE)="Prior Year"),AP194,IF(AND($A$2=4,VLOOKUP($A194,'District Level ADM'!$A$5:$W$52,5,FALSE)="3-Year Avg."),AB194,IF($A$2=2,AP194,IF($A$2=3,AB194,IF(($AG194&gt;$AU194),AB194,AP194)))))</f>
        <v>0</v>
      </c>
      <c r="O194" s="317">
        <f>IF(AND($A$2=4,VLOOKUP($A194,'District Level ADM'!$A$5:$W$52,5,FALSE)="Prior Year"),AQ194,IF(AND($A$2=4,VLOOKUP($A194,'District Level ADM'!$A$5:$W$52,5,FALSE)="3-Year Avg."),AC194,IF($A$2=2,AQ194,IF($A$2=3,AC194,IF(($AG194&gt;$AU194),AC194,AQ194)))))</f>
        <v>0</v>
      </c>
      <c r="P194" s="317">
        <f>IF(AND($A$2=4,VLOOKUP($A194,'District Level ADM'!$A$5:$W$52,5,FALSE)="Prior Year"),AR194,IF(AND($A$2=4,VLOOKUP($A194,'District Level ADM'!$A$5:$W$52,5,FALSE)="3-Year Avg."),AD194,IF($A$2=2,AR194,IF($A$2=3,AD194,IF(($AG194&gt;$AU194),AD194,AR194)))))</f>
        <v>0</v>
      </c>
      <c r="Q194" s="317">
        <f>IF(AND($A$2=4,VLOOKUP($A194,'District Level ADM'!$A$5:$W$52,5,FALSE)="Prior Year"),AS194,IF(AND($A$2=4,VLOOKUP($A194,'District Level ADM'!$A$5:$W$52,5,FALSE)="3-Year Avg."),AE194,IF($A$2=2,AS194,IF($A$2=3,AE194,IF(($AG194&gt;$AU194),AE194,AS194)))))</f>
        <v>0</v>
      </c>
      <c r="R194" s="317">
        <f>IF(AND($A$2=4,VLOOKUP($A194,'District Level ADM'!$A$5:$W$52,5,FALSE)="Prior Year"),AT194,IF(AND($A$2=4,VLOOKUP($A194,'District Level ADM'!$A$5:$W$52,5,FALSE)="3-Year Avg."),AF194,IF($A$2=2,AT194,IF($A$2=3,AF194,IF(($AG194&gt;$AU194),AF194,AT194)))))</f>
        <v>0</v>
      </c>
      <c r="S194" s="317">
        <f t="shared" si="25"/>
        <v>365.435</v>
      </c>
      <c r="T194" s="317">
        <f t="shared" si="34"/>
        <v>93.581333333333319</v>
      </c>
      <c r="U194" s="317">
        <f t="shared" si="33"/>
        <v>93.078666666666663</v>
      </c>
      <c r="V194" s="317">
        <f t="shared" si="33"/>
        <v>93.313333333333333</v>
      </c>
      <c r="W194" s="317">
        <f t="shared" si="33"/>
        <v>96.449333333333314</v>
      </c>
      <c r="X194" s="317">
        <f t="shared" si="33"/>
        <v>0</v>
      </c>
      <c r="Y194" s="317">
        <f t="shared" si="33"/>
        <v>0</v>
      </c>
      <c r="Z194" s="317">
        <f t="shared" si="33"/>
        <v>0</v>
      </c>
      <c r="AA194" s="317">
        <f t="shared" si="33"/>
        <v>0</v>
      </c>
      <c r="AB194" s="317">
        <f t="shared" si="33"/>
        <v>0</v>
      </c>
      <c r="AC194" s="317">
        <f t="shared" si="33"/>
        <v>0</v>
      </c>
      <c r="AD194" s="317">
        <f t="shared" si="30"/>
        <v>0</v>
      </c>
      <c r="AE194" s="317">
        <f t="shared" si="30"/>
        <v>0</v>
      </c>
      <c r="AF194" s="317">
        <f t="shared" si="30"/>
        <v>0</v>
      </c>
      <c r="AG194" s="317">
        <f t="shared" si="26"/>
        <v>376.4226666666666</v>
      </c>
      <c r="AH194" s="318">
        <v>94.56</v>
      </c>
      <c r="AI194" s="318">
        <v>89.635000000000005</v>
      </c>
      <c r="AJ194" s="318">
        <v>87.665000000000006</v>
      </c>
      <c r="AK194" s="318">
        <v>93.575000000000003</v>
      </c>
      <c r="AL194" s="318">
        <v>0</v>
      </c>
      <c r="AM194" s="318">
        <v>0</v>
      </c>
      <c r="AN194" s="318">
        <v>0</v>
      </c>
      <c r="AO194" s="318">
        <v>0</v>
      </c>
      <c r="AP194" s="318">
        <v>0</v>
      </c>
      <c r="AQ194" s="318">
        <v>0</v>
      </c>
      <c r="AR194" s="318">
        <v>0</v>
      </c>
      <c r="AS194" s="318">
        <v>0</v>
      </c>
      <c r="AT194" s="318">
        <v>0</v>
      </c>
      <c r="AU194" s="317">
        <f t="shared" si="27"/>
        <v>365.435</v>
      </c>
      <c r="AV194" s="319">
        <v>97.680999999999997</v>
      </c>
      <c r="AW194" s="319">
        <v>89.403999999999996</v>
      </c>
      <c r="AX194" s="319">
        <v>94.241</v>
      </c>
      <c r="AY194" s="319">
        <v>92.915999999999997</v>
      </c>
      <c r="AZ194" s="319">
        <v>0</v>
      </c>
      <c r="BA194" s="319">
        <v>0</v>
      </c>
      <c r="BB194" s="319">
        <v>0</v>
      </c>
      <c r="BC194" s="319">
        <v>0</v>
      </c>
      <c r="BD194" s="319">
        <v>0</v>
      </c>
      <c r="BE194" s="319">
        <v>0</v>
      </c>
      <c r="BF194" s="319">
        <v>0</v>
      </c>
      <c r="BG194" s="319">
        <v>0</v>
      </c>
      <c r="BH194" s="319">
        <v>0</v>
      </c>
      <c r="BI194" s="317">
        <f t="shared" si="28"/>
        <v>374.24199999999996</v>
      </c>
      <c r="BJ194" s="316">
        <v>88.503</v>
      </c>
      <c r="BK194" s="316">
        <v>100.197</v>
      </c>
      <c r="BL194" s="316">
        <v>98.034000000000006</v>
      </c>
      <c r="BM194" s="316">
        <v>102.857</v>
      </c>
      <c r="BN194" s="316">
        <v>0</v>
      </c>
      <c r="BO194" s="316">
        <v>0</v>
      </c>
      <c r="BP194" s="316">
        <v>0</v>
      </c>
      <c r="BQ194" s="316">
        <v>0</v>
      </c>
      <c r="BR194" s="316">
        <v>0</v>
      </c>
      <c r="BS194" s="316">
        <v>0</v>
      </c>
      <c r="BT194" s="316">
        <v>0</v>
      </c>
      <c r="BU194" s="316">
        <v>0</v>
      </c>
      <c r="BV194" s="316">
        <v>0</v>
      </c>
      <c r="BW194" s="317">
        <f t="shared" si="24"/>
        <v>389.59100000000001</v>
      </c>
    </row>
    <row r="195" spans="1:75" x14ac:dyDescent="0.2">
      <c r="A195" s="20" t="str">
        <f>'School Level Inst. Resources'!A195</f>
        <v>1202000</v>
      </c>
      <c r="B195" s="20" t="str">
        <f>'School Level Inst. Resources'!B195</f>
        <v>Lincoln #2</v>
      </c>
      <c r="C195" s="20" t="str">
        <f>'School Level Inst. Resources'!C195</f>
        <v>1202004</v>
      </c>
      <c r="D195" s="20" t="str">
        <f>'School Level Inst. Resources'!D195</f>
        <v>Etna Elementary</v>
      </c>
      <c r="E195" s="138" t="str">
        <f>'School Level Inst. Resources'!E195</f>
        <v>4-6</v>
      </c>
      <c r="F195" s="317">
        <f>IF(AND($A$2=4,VLOOKUP($A195,'District Level ADM'!$A$5:$W$52,5,FALSE)="Prior Year"),AH195,IF(AND($A$2=4,VLOOKUP($A195,'District Level ADM'!$A$5:$W$52,5,FALSE)="3-Year Avg."),T195,IF($A$2=2,AH195,IF($A$2=3,T195,IF(($AG195&gt;$AU195),T195,AH195)))))</f>
        <v>0</v>
      </c>
      <c r="G195" s="317">
        <f>IF(AND($A$2=4,VLOOKUP($A195,'District Level ADM'!$A$5:$W$52,5,FALSE)="Prior Year"),AI195,IF(AND($A$2=4,VLOOKUP($A195,'District Level ADM'!$A$5:$W$52,5,FALSE)="3-Year Avg."),U195,IF($A$2=2,AI195,IF($A$2=3,U195,IF(($AG195&gt;$AU195),U195,AI195)))))</f>
        <v>0</v>
      </c>
      <c r="H195" s="317">
        <f>IF(AND($A$2=4,VLOOKUP($A195,'District Level ADM'!$A$5:$W$52,5,FALSE)="Prior Year"),AJ195,IF(AND($A$2=4,VLOOKUP($A195,'District Level ADM'!$A$5:$W$52,5,FALSE)="3-Year Avg."),V195,IF($A$2=2,AJ195,IF($A$2=3,V195,IF(($AG195&gt;$AU195),V195,AJ195)))))</f>
        <v>0</v>
      </c>
      <c r="I195" s="317">
        <f>IF(AND($A$2=4,VLOOKUP($A195,'District Level ADM'!$A$5:$W$52,5,FALSE)="Prior Year"),AK195,IF(AND($A$2=4,VLOOKUP($A195,'District Level ADM'!$A$5:$W$52,5,FALSE)="3-Year Avg."),W195,IF($A$2=2,AK195,IF($A$2=3,W195,IF(($AG195&gt;$AU195),W195,AK195)))))</f>
        <v>0</v>
      </c>
      <c r="J195" s="317">
        <f>IF(AND($A$2=4,VLOOKUP($A195,'District Level ADM'!$A$5:$W$52,5,FALSE)="Prior Year"),AL195,IF(AND($A$2=4,VLOOKUP($A195,'District Level ADM'!$A$5:$W$52,5,FALSE)="3-Year Avg."),X195,IF($A$2=2,AL195,IF($A$2=3,X195,IF(($AG195&gt;$AU195),X195,AL195)))))</f>
        <v>89.635000000000005</v>
      </c>
      <c r="K195" s="317">
        <f>IF(AND($A$2=4,VLOOKUP($A195,'District Level ADM'!$A$5:$W$52,5,FALSE)="Prior Year"),AM195,IF(AND($A$2=4,VLOOKUP($A195,'District Level ADM'!$A$5:$W$52,5,FALSE)="3-Year Avg."),Y195,IF($A$2=2,AM195,IF($A$2=3,Y195,IF(($AG195&gt;$AU195),Y195,AM195)))))</f>
        <v>97.515000000000001</v>
      </c>
      <c r="L195" s="317">
        <f>IF(AND($A$2=4,VLOOKUP($A195,'District Level ADM'!$A$5:$W$52,5,FALSE)="Prior Year"),AN195,IF(AND($A$2=4,VLOOKUP($A195,'District Level ADM'!$A$5:$W$52,5,FALSE)="3-Year Avg."),Z195,IF($A$2=2,AN195,IF($A$2=3,Z195,IF(($AG195&gt;$AU195),Z195,AN195)))))</f>
        <v>80.77</v>
      </c>
      <c r="M195" s="317">
        <f>IF(AND($A$2=4,VLOOKUP($A195,'District Level ADM'!$A$5:$W$52,5,FALSE)="Prior Year"),AO195,IF(AND($A$2=4,VLOOKUP($A195,'District Level ADM'!$A$5:$W$52,5,FALSE)="3-Year Avg."),AA195,IF($A$2=2,AO195,IF($A$2=3,AA195,IF(($AG195&gt;$AU195),AA195,AO195)))))</f>
        <v>0</v>
      </c>
      <c r="N195" s="317">
        <f>IF(AND($A$2=4,VLOOKUP($A195,'District Level ADM'!$A$5:$W$52,5,FALSE)="Prior Year"),AP195,IF(AND($A$2=4,VLOOKUP($A195,'District Level ADM'!$A$5:$W$52,5,FALSE)="3-Year Avg."),AB195,IF($A$2=2,AP195,IF($A$2=3,AB195,IF(($AG195&gt;$AU195),AB195,AP195)))))</f>
        <v>0</v>
      </c>
      <c r="O195" s="317">
        <f>IF(AND($A$2=4,VLOOKUP($A195,'District Level ADM'!$A$5:$W$52,5,FALSE)="Prior Year"),AQ195,IF(AND($A$2=4,VLOOKUP($A195,'District Level ADM'!$A$5:$W$52,5,FALSE)="3-Year Avg."),AC195,IF($A$2=2,AQ195,IF($A$2=3,AC195,IF(($AG195&gt;$AU195),AC195,AQ195)))))</f>
        <v>0</v>
      </c>
      <c r="P195" s="317">
        <f>IF(AND($A$2=4,VLOOKUP($A195,'District Level ADM'!$A$5:$W$52,5,FALSE)="Prior Year"),AR195,IF(AND($A$2=4,VLOOKUP($A195,'District Level ADM'!$A$5:$W$52,5,FALSE)="3-Year Avg."),AD195,IF($A$2=2,AR195,IF($A$2=3,AD195,IF(($AG195&gt;$AU195),AD195,AR195)))))</f>
        <v>0</v>
      </c>
      <c r="Q195" s="317">
        <f>IF(AND($A$2=4,VLOOKUP($A195,'District Level ADM'!$A$5:$W$52,5,FALSE)="Prior Year"),AS195,IF(AND($A$2=4,VLOOKUP($A195,'District Level ADM'!$A$5:$W$52,5,FALSE)="3-Year Avg."),AE195,IF($A$2=2,AS195,IF($A$2=3,AE195,IF(($AG195&gt;$AU195),AE195,AS195)))))</f>
        <v>0</v>
      </c>
      <c r="R195" s="317">
        <f>IF(AND($A$2=4,VLOOKUP($A195,'District Level ADM'!$A$5:$W$52,5,FALSE)="Prior Year"),AT195,IF(AND($A$2=4,VLOOKUP($A195,'District Level ADM'!$A$5:$W$52,5,FALSE)="3-Year Avg."),AF195,IF($A$2=2,AT195,IF($A$2=3,AF195,IF(($AG195&gt;$AU195),AF195,AT195)))))</f>
        <v>0</v>
      </c>
      <c r="S195" s="317">
        <f t="shared" si="25"/>
        <v>267.92</v>
      </c>
      <c r="T195" s="317">
        <f t="shared" si="34"/>
        <v>0</v>
      </c>
      <c r="U195" s="317">
        <f t="shared" si="33"/>
        <v>0</v>
      </c>
      <c r="V195" s="317">
        <f t="shared" si="33"/>
        <v>0</v>
      </c>
      <c r="W195" s="317">
        <f t="shared" si="33"/>
        <v>0</v>
      </c>
      <c r="X195" s="317">
        <f t="shared" si="33"/>
        <v>90.86633333333333</v>
      </c>
      <c r="Y195" s="317">
        <f t="shared" si="33"/>
        <v>92.722333333333339</v>
      </c>
      <c r="Z195" s="317">
        <f t="shared" si="33"/>
        <v>90.117666666666665</v>
      </c>
      <c r="AA195" s="317">
        <f t="shared" si="33"/>
        <v>0</v>
      </c>
      <c r="AB195" s="317">
        <f t="shared" si="33"/>
        <v>0</v>
      </c>
      <c r="AC195" s="317">
        <f t="shared" si="33"/>
        <v>0</v>
      </c>
      <c r="AD195" s="317">
        <f t="shared" si="30"/>
        <v>0</v>
      </c>
      <c r="AE195" s="317">
        <f t="shared" si="30"/>
        <v>0</v>
      </c>
      <c r="AF195" s="317">
        <f t="shared" si="30"/>
        <v>0</v>
      </c>
      <c r="AG195" s="317">
        <f t="shared" si="26"/>
        <v>273.7063333333333</v>
      </c>
      <c r="AH195" s="318">
        <v>0</v>
      </c>
      <c r="AI195" s="318">
        <v>0</v>
      </c>
      <c r="AJ195" s="318">
        <v>0</v>
      </c>
      <c r="AK195" s="318">
        <v>0</v>
      </c>
      <c r="AL195" s="318">
        <v>89.635000000000005</v>
      </c>
      <c r="AM195" s="318">
        <v>97.515000000000001</v>
      </c>
      <c r="AN195" s="318">
        <v>80.77</v>
      </c>
      <c r="AO195" s="318">
        <v>0</v>
      </c>
      <c r="AP195" s="318">
        <v>0</v>
      </c>
      <c r="AQ195" s="318">
        <v>0</v>
      </c>
      <c r="AR195" s="318">
        <v>0</v>
      </c>
      <c r="AS195" s="318">
        <v>0</v>
      </c>
      <c r="AT195" s="318">
        <v>0</v>
      </c>
      <c r="AU195" s="317">
        <f t="shared" si="27"/>
        <v>267.92</v>
      </c>
      <c r="AV195" s="319">
        <v>0</v>
      </c>
      <c r="AW195" s="319">
        <v>0</v>
      </c>
      <c r="AX195" s="319">
        <v>0</v>
      </c>
      <c r="AY195" s="319">
        <v>0</v>
      </c>
      <c r="AZ195" s="319">
        <v>101.964</v>
      </c>
      <c r="BA195" s="319">
        <v>79.578000000000003</v>
      </c>
      <c r="BB195" s="319">
        <v>99.668999999999997</v>
      </c>
      <c r="BC195" s="319">
        <v>0</v>
      </c>
      <c r="BD195" s="319">
        <v>0</v>
      </c>
      <c r="BE195" s="319">
        <v>0</v>
      </c>
      <c r="BF195" s="319">
        <v>0</v>
      </c>
      <c r="BG195" s="319">
        <v>0</v>
      </c>
      <c r="BH195" s="319">
        <v>0</v>
      </c>
      <c r="BI195" s="317">
        <f t="shared" si="28"/>
        <v>281.21100000000001</v>
      </c>
      <c r="BJ195" s="316">
        <v>0</v>
      </c>
      <c r="BK195" s="316">
        <v>0</v>
      </c>
      <c r="BL195" s="316">
        <v>0</v>
      </c>
      <c r="BM195" s="316">
        <v>0</v>
      </c>
      <c r="BN195" s="316">
        <v>81</v>
      </c>
      <c r="BO195" s="316">
        <v>101.074</v>
      </c>
      <c r="BP195" s="316">
        <v>89.914000000000001</v>
      </c>
      <c r="BQ195" s="316">
        <v>0</v>
      </c>
      <c r="BR195" s="316">
        <v>0</v>
      </c>
      <c r="BS195" s="316">
        <v>0</v>
      </c>
      <c r="BT195" s="316">
        <v>0</v>
      </c>
      <c r="BU195" s="316">
        <v>0</v>
      </c>
      <c r="BV195" s="316">
        <v>0</v>
      </c>
      <c r="BW195" s="317">
        <f t="shared" si="24"/>
        <v>271.988</v>
      </c>
    </row>
    <row r="196" spans="1:75" x14ac:dyDescent="0.2">
      <c r="A196" s="20" t="str">
        <f>'School Level Inst. Resources'!A196</f>
        <v>1202000</v>
      </c>
      <c r="B196" s="20" t="str">
        <f>'School Level Inst. Resources'!B196</f>
        <v>Lincoln #2</v>
      </c>
      <c r="C196" s="20" t="str">
        <f>'School Level Inst. Resources'!C196</f>
        <v>1202005</v>
      </c>
      <c r="D196" s="20" t="str">
        <f>'School Level Inst. Resources'!D196</f>
        <v>Osmond Elementary</v>
      </c>
      <c r="E196" s="138" t="str">
        <f>'School Level Inst. Resources'!E196</f>
        <v>4-6</v>
      </c>
      <c r="F196" s="317">
        <f>IF(AND($A$2=4,VLOOKUP($A196,'District Level ADM'!$A$5:$W$52,5,FALSE)="Prior Year"),AH196,IF(AND($A$2=4,VLOOKUP($A196,'District Level ADM'!$A$5:$W$52,5,FALSE)="3-Year Avg."),T196,IF($A$2=2,AH196,IF($A$2=3,T196,IF(($AG196&gt;$AU196),T196,AH196)))))</f>
        <v>0</v>
      </c>
      <c r="G196" s="317">
        <f>IF(AND($A$2=4,VLOOKUP($A196,'District Level ADM'!$A$5:$W$52,5,FALSE)="Prior Year"),AI196,IF(AND($A$2=4,VLOOKUP($A196,'District Level ADM'!$A$5:$W$52,5,FALSE)="3-Year Avg."),U196,IF($A$2=2,AI196,IF($A$2=3,U196,IF(($AG196&gt;$AU196),U196,AI196)))))</f>
        <v>0</v>
      </c>
      <c r="H196" s="317">
        <f>IF(AND($A$2=4,VLOOKUP($A196,'District Level ADM'!$A$5:$W$52,5,FALSE)="Prior Year"),AJ196,IF(AND($A$2=4,VLOOKUP($A196,'District Level ADM'!$A$5:$W$52,5,FALSE)="3-Year Avg."),V196,IF($A$2=2,AJ196,IF($A$2=3,V196,IF(($AG196&gt;$AU196),V196,AJ196)))))</f>
        <v>0</v>
      </c>
      <c r="I196" s="317">
        <f>IF(AND($A$2=4,VLOOKUP($A196,'District Level ADM'!$A$5:$W$52,5,FALSE)="Prior Year"),AK196,IF(AND($A$2=4,VLOOKUP($A196,'District Level ADM'!$A$5:$W$52,5,FALSE)="3-Year Avg."),W196,IF($A$2=2,AK196,IF($A$2=3,W196,IF(($AG196&gt;$AU196),W196,AK196)))))</f>
        <v>0</v>
      </c>
      <c r="J196" s="317">
        <f>IF(AND($A$2=4,VLOOKUP($A196,'District Level ADM'!$A$5:$W$52,5,FALSE)="Prior Year"),AL196,IF(AND($A$2=4,VLOOKUP($A196,'District Level ADM'!$A$5:$W$52,5,FALSE)="3-Year Avg."),X196,IF($A$2=2,AL196,IF($A$2=3,X196,IF(($AG196&gt;$AU196),X196,AL196)))))</f>
        <v>114.26</v>
      </c>
      <c r="K196" s="317">
        <f>IF(AND($A$2=4,VLOOKUP($A196,'District Level ADM'!$A$5:$W$52,5,FALSE)="Prior Year"),AM196,IF(AND($A$2=4,VLOOKUP($A196,'District Level ADM'!$A$5:$W$52,5,FALSE)="3-Year Avg."),Y196,IF($A$2=2,AM196,IF($A$2=3,Y196,IF(($AG196&gt;$AU196),Y196,AM196)))))</f>
        <v>133.96</v>
      </c>
      <c r="L196" s="317">
        <f>IF(AND($A$2=4,VLOOKUP($A196,'District Level ADM'!$A$5:$W$52,5,FALSE)="Prior Year"),AN196,IF(AND($A$2=4,VLOOKUP($A196,'District Level ADM'!$A$5:$W$52,5,FALSE)="3-Year Avg."),Z196,IF($A$2=2,AN196,IF($A$2=3,Z196,IF(($AG196&gt;$AU196),Z196,AN196)))))</f>
        <v>106.38</v>
      </c>
      <c r="M196" s="317">
        <f>IF(AND($A$2=4,VLOOKUP($A196,'District Level ADM'!$A$5:$W$52,5,FALSE)="Prior Year"),AO196,IF(AND($A$2=4,VLOOKUP($A196,'District Level ADM'!$A$5:$W$52,5,FALSE)="3-Year Avg."),AA196,IF($A$2=2,AO196,IF($A$2=3,AA196,IF(($AG196&gt;$AU196),AA196,AO196)))))</f>
        <v>0</v>
      </c>
      <c r="N196" s="317">
        <f>IF(AND($A$2=4,VLOOKUP($A196,'District Level ADM'!$A$5:$W$52,5,FALSE)="Prior Year"),AP196,IF(AND($A$2=4,VLOOKUP($A196,'District Level ADM'!$A$5:$W$52,5,FALSE)="3-Year Avg."),AB196,IF($A$2=2,AP196,IF($A$2=3,AB196,IF(($AG196&gt;$AU196),AB196,AP196)))))</f>
        <v>0</v>
      </c>
      <c r="O196" s="317">
        <f>IF(AND($A$2=4,VLOOKUP($A196,'District Level ADM'!$A$5:$W$52,5,FALSE)="Prior Year"),AQ196,IF(AND($A$2=4,VLOOKUP($A196,'District Level ADM'!$A$5:$W$52,5,FALSE)="3-Year Avg."),AC196,IF($A$2=2,AQ196,IF($A$2=3,AC196,IF(($AG196&gt;$AU196),AC196,AQ196)))))</f>
        <v>0</v>
      </c>
      <c r="P196" s="317">
        <f>IF(AND($A$2=4,VLOOKUP($A196,'District Level ADM'!$A$5:$W$52,5,FALSE)="Prior Year"),AR196,IF(AND($A$2=4,VLOOKUP($A196,'District Level ADM'!$A$5:$W$52,5,FALSE)="3-Year Avg."),AD196,IF($A$2=2,AR196,IF($A$2=3,AD196,IF(($AG196&gt;$AU196),AD196,AR196)))))</f>
        <v>0</v>
      </c>
      <c r="Q196" s="317">
        <f>IF(AND($A$2=4,VLOOKUP($A196,'District Level ADM'!$A$5:$W$52,5,FALSE)="Prior Year"),AS196,IF(AND($A$2=4,VLOOKUP($A196,'District Level ADM'!$A$5:$W$52,5,FALSE)="3-Year Avg."),AE196,IF($A$2=2,AS196,IF($A$2=3,AE196,IF(($AG196&gt;$AU196),AE196,AS196)))))</f>
        <v>0</v>
      </c>
      <c r="R196" s="317">
        <f>IF(AND($A$2=4,VLOOKUP($A196,'District Level ADM'!$A$5:$W$52,5,FALSE)="Prior Year"),AT196,IF(AND($A$2=4,VLOOKUP($A196,'District Level ADM'!$A$5:$W$52,5,FALSE)="3-Year Avg."),AF196,IF($A$2=2,AT196,IF($A$2=3,AF196,IF(($AG196&gt;$AU196),AF196,AT196)))))</f>
        <v>0</v>
      </c>
      <c r="S196" s="317">
        <f t="shared" si="25"/>
        <v>354.6</v>
      </c>
      <c r="T196" s="317">
        <f t="shared" si="34"/>
        <v>0</v>
      </c>
      <c r="U196" s="317">
        <f t="shared" si="33"/>
        <v>0</v>
      </c>
      <c r="V196" s="317">
        <f t="shared" si="33"/>
        <v>0</v>
      </c>
      <c r="W196" s="317">
        <f t="shared" si="33"/>
        <v>0</v>
      </c>
      <c r="X196" s="317">
        <f t="shared" si="33"/>
        <v>114.47466666666666</v>
      </c>
      <c r="Y196" s="317">
        <f t="shared" si="33"/>
        <v>114.81033333333333</v>
      </c>
      <c r="Z196" s="317">
        <f t="shared" si="33"/>
        <v>103.24866666666667</v>
      </c>
      <c r="AA196" s="317">
        <f t="shared" si="33"/>
        <v>0</v>
      </c>
      <c r="AB196" s="317">
        <f t="shared" si="33"/>
        <v>0</v>
      </c>
      <c r="AC196" s="317">
        <f t="shared" si="33"/>
        <v>0</v>
      </c>
      <c r="AD196" s="317">
        <f t="shared" si="30"/>
        <v>0</v>
      </c>
      <c r="AE196" s="317">
        <f t="shared" si="30"/>
        <v>0</v>
      </c>
      <c r="AF196" s="317">
        <f t="shared" si="30"/>
        <v>0</v>
      </c>
      <c r="AG196" s="317">
        <f t="shared" si="26"/>
        <v>332.53366666666665</v>
      </c>
      <c r="AH196" s="318">
        <v>0</v>
      </c>
      <c r="AI196" s="318">
        <v>0</v>
      </c>
      <c r="AJ196" s="318">
        <v>0</v>
      </c>
      <c r="AK196" s="318">
        <v>0</v>
      </c>
      <c r="AL196" s="318">
        <v>114.26</v>
      </c>
      <c r="AM196" s="318">
        <v>133.96</v>
      </c>
      <c r="AN196" s="318">
        <v>106.38</v>
      </c>
      <c r="AO196" s="318">
        <v>0</v>
      </c>
      <c r="AP196" s="318">
        <v>0</v>
      </c>
      <c r="AQ196" s="318">
        <v>0</v>
      </c>
      <c r="AR196" s="318">
        <v>0</v>
      </c>
      <c r="AS196" s="318">
        <v>0</v>
      </c>
      <c r="AT196" s="318">
        <v>0</v>
      </c>
      <c r="AU196" s="317">
        <f t="shared" si="27"/>
        <v>354.6</v>
      </c>
      <c r="AV196" s="319">
        <v>0</v>
      </c>
      <c r="AW196" s="319">
        <v>0</v>
      </c>
      <c r="AX196" s="319">
        <v>0</v>
      </c>
      <c r="AY196" s="319">
        <v>0</v>
      </c>
      <c r="AZ196" s="319">
        <v>128.964</v>
      </c>
      <c r="BA196" s="319">
        <v>109.711</v>
      </c>
      <c r="BB196" s="319">
        <v>105.006</v>
      </c>
      <c r="BC196" s="319">
        <v>0</v>
      </c>
      <c r="BD196" s="319">
        <v>0</v>
      </c>
      <c r="BE196" s="319">
        <v>0</v>
      </c>
      <c r="BF196" s="319">
        <v>0</v>
      </c>
      <c r="BG196" s="319">
        <v>0</v>
      </c>
      <c r="BH196" s="319">
        <v>0</v>
      </c>
      <c r="BI196" s="317">
        <f t="shared" si="28"/>
        <v>343.68100000000004</v>
      </c>
      <c r="BJ196" s="316">
        <v>0</v>
      </c>
      <c r="BK196" s="316">
        <v>0</v>
      </c>
      <c r="BL196" s="316">
        <v>0</v>
      </c>
      <c r="BM196" s="316">
        <v>0</v>
      </c>
      <c r="BN196" s="316">
        <v>100.2</v>
      </c>
      <c r="BO196" s="316">
        <v>100.76</v>
      </c>
      <c r="BP196" s="316">
        <v>98.36</v>
      </c>
      <c r="BQ196" s="316">
        <v>0</v>
      </c>
      <c r="BR196" s="316">
        <v>0</v>
      </c>
      <c r="BS196" s="316">
        <v>0</v>
      </c>
      <c r="BT196" s="316">
        <v>0</v>
      </c>
      <c r="BU196" s="316">
        <v>0</v>
      </c>
      <c r="BV196" s="316">
        <v>0</v>
      </c>
      <c r="BW196" s="317">
        <f t="shared" si="24"/>
        <v>299.32</v>
      </c>
    </row>
    <row r="197" spans="1:75" x14ac:dyDescent="0.2">
      <c r="A197" s="20" t="str">
        <f>'School Level Inst. Resources'!A197</f>
        <v>1202000</v>
      </c>
      <c r="B197" s="20" t="str">
        <f>'School Level Inst. Resources'!B197</f>
        <v>Lincoln #2</v>
      </c>
      <c r="C197" s="20" t="str">
        <f>'School Level Inst. Resources'!C197</f>
        <v>1202051</v>
      </c>
      <c r="D197" s="20" t="str">
        <f>'School Level Inst. Resources'!D197</f>
        <v>Star Valley Middle School</v>
      </c>
      <c r="E197" s="138" t="str">
        <f>'School Level Inst. Resources'!E197</f>
        <v>7-8</v>
      </c>
      <c r="F197" s="317">
        <f>IF(AND($A$2=4,VLOOKUP($A197,'District Level ADM'!$A$5:$W$52,5,FALSE)="Prior Year"),AH197,IF(AND($A$2=4,VLOOKUP($A197,'District Level ADM'!$A$5:$W$52,5,FALSE)="3-Year Avg."),T197,IF($A$2=2,AH197,IF($A$2=3,T197,IF(($AG197&gt;$AU197),T197,AH197)))))</f>
        <v>0</v>
      </c>
      <c r="G197" s="317">
        <f>IF(AND($A$2=4,VLOOKUP($A197,'District Level ADM'!$A$5:$W$52,5,FALSE)="Prior Year"),AI197,IF(AND($A$2=4,VLOOKUP($A197,'District Level ADM'!$A$5:$W$52,5,FALSE)="3-Year Avg."),U197,IF($A$2=2,AI197,IF($A$2=3,U197,IF(($AG197&gt;$AU197),U197,AI197)))))</f>
        <v>0</v>
      </c>
      <c r="H197" s="317">
        <f>IF(AND($A$2=4,VLOOKUP($A197,'District Level ADM'!$A$5:$W$52,5,FALSE)="Prior Year"),AJ197,IF(AND($A$2=4,VLOOKUP($A197,'District Level ADM'!$A$5:$W$52,5,FALSE)="3-Year Avg."),V197,IF($A$2=2,AJ197,IF($A$2=3,V197,IF(($AG197&gt;$AU197),V197,AJ197)))))</f>
        <v>0</v>
      </c>
      <c r="I197" s="317">
        <f>IF(AND($A$2=4,VLOOKUP($A197,'District Level ADM'!$A$5:$W$52,5,FALSE)="Prior Year"),AK197,IF(AND($A$2=4,VLOOKUP($A197,'District Level ADM'!$A$5:$W$52,5,FALSE)="3-Year Avg."),W197,IF($A$2=2,AK197,IF($A$2=3,W197,IF(($AG197&gt;$AU197),W197,AK197)))))</f>
        <v>0</v>
      </c>
      <c r="J197" s="317">
        <f>IF(AND($A$2=4,VLOOKUP($A197,'District Level ADM'!$A$5:$W$52,5,FALSE)="Prior Year"),AL197,IF(AND($A$2=4,VLOOKUP($A197,'District Level ADM'!$A$5:$W$52,5,FALSE)="3-Year Avg."),X197,IF($A$2=2,AL197,IF($A$2=3,X197,IF(($AG197&gt;$AU197),X197,AL197)))))</f>
        <v>0</v>
      </c>
      <c r="K197" s="317">
        <f>IF(AND($A$2=4,VLOOKUP($A197,'District Level ADM'!$A$5:$W$52,5,FALSE)="Prior Year"),AM197,IF(AND($A$2=4,VLOOKUP($A197,'District Level ADM'!$A$5:$W$52,5,FALSE)="3-Year Avg."),Y197,IF($A$2=2,AM197,IF($A$2=3,Y197,IF(($AG197&gt;$AU197),Y197,AM197)))))</f>
        <v>0</v>
      </c>
      <c r="L197" s="317">
        <f>IF(AND($A$2=4,VLOOKUP($A197,'District Level ADM'!$A$5:$W$52,5,FALSE)="Prior Year"),AN197,IF(AND($A$2=4,VLOOKUP($A197,'District Level ADM'!$A$5:$W$52,5,FALSE)="3-Year Avg."),Z197,IF($A$2=2,AN197,IF($A$2=3,Z197,IF(($AG197&gt;$AU197),Z197,AN197)))))</f>
        <v>0</v>
      </c>
      <c r="M197" s="317">
        <f>IF(AND($A$2=4,VLOOKUP($A197,'District Level ADM'!$A$5:$W$52,5,FALSE)="Prior Year"),AO197,IF(AND($A$2=4,VLOOKUP($A197,'District Level ADM'!$A$5:$W$52,5,FALSE)="3-Year Avg."),AA197,IF($A$2=2,AO197,IF($A$2=3,AA197,IF(($AG197&gt;$AU197),AA197,AO197)))))</f>
        <v>202.91</v>
      </c>
      <c r="N197" s="317">
        <f>IF(AND($A$2=4,VLOOKUP($A197,'District Level ADM'!$A$5:$W$52,5,FALSE)="Prior Year"),AP197,IF(AND($A$2=4,VLOOKUP($A197,'District Level ADM'!$A$5:$W$52,5,FALSE)="3-Year Avg."),AB197,IF($A$2=2,AP197,IF($A$2=3,AB197,IF(($AG197&gt;$AU197),AB197,AP197)))))</f>
        <v>195.03</v>
      </c>
      <c r="O197" s="317">
        <f>IF(AND($A$2=4,VLOOKUP($A197,'District Level ADM'!$A$5:$W$52,5,FALSE)="Prior Year"),AQ197,IF(AND($A$2=4,VLOOKUP($A197,'District Level ADM'!$A$5:$W$52,5,FALSE)="3-Year Avg."),AC197,IF($A$2=2,AQ197,IF($A$2=3,AC197,IF(($AG197&gt;$AU197),AC197,AQ197)))))</f>
        <v>0</v>
      </c>
      <c r="P197" s="317">
        <f>IF(AND($A$2=4,VLOOKUP($A197,'District Level ADM'!$A$5:$W$52,5,FALSE)="Prior Year"),AR197,IF(AND($A$2=4,VLOOKUP($A197,'District Level ADM'!$A$5:$W$52,5,FALSE)="3-Year Avg."),AD197,IF($A$2=2,AR197,IF($A$2=3,AD197,IF(($AG197&gt;$AU197),AD197,AR197)))))</f>
        <v>0</v>
      </c>
      <c r="Q197" s="317">
        <f>IF(AND($A$2=4,VLOOKUP($A197,'District Level ADM'!$A$5:$W$52,5,FALSE)="Prior Year"),AS197,IF(AND($A$2=4,VLOOKUP($A197,'District Level ADM'!$A$5:$W$52,5,FALSE)="3-Year Avg."),AE197,IF($A$2=2,AS197,IF($A$2=3,AE197,IF(($AG197&gt;$AU197),AE197,AS197)))))</f>
        <v>0</v>
      </c>
      <c r="R197" s="317">
        <f>IF(AND($A$2=4,VLOOKUP($A197,'District Level ADM'!$A$5:$W$52,5,FALSE)="Prior Year"),AT197,IF(AND($A$2=4,VLOOKUP($A197,'District Level ADM'!$A$5:$W$52,5,FALSE)="3-Year Avg."),AF197,IF($A$2=2,AT197,IF($A$2=3,AF197,IF(($AG197&gt;$AU197),AF197,AT197)))))</f>
        <v>0</v>
      </c>
      <c r="S197" s="317">
        <f t="shared" si="25"/>
        <v>397.94</v>
      </c>
      <c r="T197" s="317">
        <f t="shared" si="34"/>
        <v>0</v>
      </c>
      <c r="U197" s="317">
        <f t="shared" si="33"/>
        <v>0</v>
      </c>
      <c r="V197" s="317">
        <f t="shared" si="33"/>
        <v>0</v>
      </c>
      <c r="W197" s="317">
        <f t="shared" si="33"/>
        <v>0</v>
      </c>
      <c r="X197" s="317">
        <f t="shared" si="33"/>
        <v>0</v>
      </c>
      <c r="Y197" s="317">
        <f t="shared" si="33"/>
        <v>0</v>
      </c>
      <c r="Z197" s="317">
        <f t="shared" si="33"/>
        <v>0</v>
      </c>
      <c r="AA197" s="317">
        <f t="shared" si="33"/>
        <v>195.83833333333334</v>
      </c>
      <c r="AB197" s="317">
        <f t="shared" si="33"/>
        <v>192.40166666666664</v>
      </c>
      <c r="AC197" s="317">
        <f t="shared" si="33"/>
        <v>0</v>
      </c>
      <c r="AD197" s="317">
        <f t="shared" si="30"/>
        <v>0</v>
      </c>
      <c r="AE197" s="317">
        <f t="shared" si="30"/>
        <v>0</v>
      </c>
      <c r="AF197" s="317">
        <f t="shared" si="30"/>
        <v>0</v>
      </c>
      <c r="AG197" s="317">
        <f t="shared" si="26"/>
        <v>388.24</v>
      </c>
      <c r="AH197" s="318">
        <v>0</v>
      </c>
      <c r="AI197" s="318">
        <v>0</v>
      </c>
      <c r="AJ197" s="318">
        <v>0</v>
      </c>
      <c r="AK197" s="318">
        <v>0</v>
      </c>
      <c r="AL197" s="318">
        <v>0</v>
      </c>
      <c r="AM197" s="318">
        <v>0</v>
      </c>
      <c r="AN197" s="318">
        <v>0</v>
      </c>
      <c r="AO197" s="318">
        <v>202.91</v>
      </c>
      <c r="AP197" s="318">
        <v>195.03</v>
      </c>
      <c r="AQ197" s="318">
        <v>0</v>
      </c>
      <c r="AR197" s="318">
        <v>0</v>
      </c>
      <c r="AS197" s="318">
        <v>0</v>
      </c>
      <c r="AT197" s="318">
        <v>0</v>
      </c>
      <c r="AU197" s="317">
        <f t="shared" si="27"/>
        <v>397.94</v>
      </c>
      <c r="AV197" s="319">
        <v>0</v>
      </c>
      <c r="AW197" s="319">
        <v>0</v>
      </c>
      <c r="AX197" s="319">
        <v>0</v>
      </c>
      <c r="AY197" s="319">
        <v>0</v>
      </c>
      <c r="AZ197" s="319">
        <v>0</v>
      </c>
      <c r="BA197" s="319">
        <v>0</v>
      </c>
      <c r="BB197" s="319">
        <v>0</v>
      </c>
      <c r="BC197" s="319">
        <v>194.31899999999999</v>
      </c>
      <c r="BD197" s="319">
        <v>198.952</v>
      </c>
      <c r="BE197" s="319">
        <v>0</v>
      </c>
      <c r="BF197" s="319">
        <v>0</v>
      </c>
      <c r="BG197" s="319">
        <v>0</v>
      </c>
      <c r="BH197" s="319">
        <v>0</v>
      </c>
      <c r="BI197" s="317">
        <f t="shared" si="28"/>
        <v>393.27099999999996</v>
      </c>
      <c r="BJ197" s="316">
        <v>0</v>
      </c>
      <c r="BK197" s="316">
        <v>0</v>
      </c>
      <c r="BL197" s="316">
        <v>0</v>
      </c>
      <c r="BM197" s="316">
        <v>0</v>
      </c>
      <c r="BN197" s="316">
        <v>0</v>
      </c>
      <c r="BO197" s="316">
        <v>0</v>
      </c>
      <c r="BP197" s="316">
        <v>0</v>
      </c>
      <c r="BQ197" s="316">
        <v>190.286</v>
      </c>
      <c r="BR197" s="316">
        <v>183.22300000000001</v>
      </c>
      <c r="BS197" s="316">
        <v>0</v>
      </c>
      <c r="BT197" s="316">
        <v>0</v>
      </c>
      <c r="BU197" s="316">
        <v>0</v>
      </c>
      <c r="BV197" s="316">
        <v>0</v>
      </c>
      <c r="BW197" s="317">
        <f t="shared" si="24"/>
        <v>373.50900000000001</v>
      </c>
    </row>
    <row r="198" spans="1:75" x14ac:dyDescent="0.2">
      <c r="A198" s="20" t="str">
        <f>'School Level Inst. Resources'!A198</f>
        <v>1202000</v>
      </c>
      <c r="B198" s="20" t="str">
        <f>'School Level Inst. Resources'!B198</f>
        <v>Lincoln #2</v>
      </c>
      <c r="C198" s="20" t="str">
        <f>'School Level Inst. Resources'!C198</f>
        <v>1202055</v>
      </c>
      <c r="D198" s="20" t="str">
        <f>'School Level Inst. Resources'!D198</f>
        <v>Cokeville High School</v>
      </c>
      <c r="E198" s="138" t="str">
        <f>'School Level Inst. Resources'!E198</f>
        <v>7-12</v>
      </c>
      <c r="F198" s="317">
        <f>IF(AND($A$2=4,VLOOKUP($A198,'District Level ADM'!$A$5:$W$52,5,FALSE)="Prior Year"),AH198,IF(AND($A$2=4,VLOOKUP($A198,'District Level ADM'!$A$5:$W$52,5,FALSE)="3-Year Avg."),T198,IF($A$2=2,AH198,IF($A$2=3,T198,IF(($AG198&gt;$AU198),T198,AH198)))))</f>
        <v>0</v>
      </c>
      <c r="G198" s="317">
        <f>IF(AND($A$2=4,VLOOKUP($A198,'District Level ADM'!$A$5:$W$52,5,FALSE)="Prior Year"),AI198,IF(AND($A$2=4,VLOOKUP($A198,'District Level ADM'!$A$5:$W$52,5,FALSE)="3-Year Avg."),U198,IF($A$2=2,AI198,IF($A$2=3,U198,IF(($AG198&gt;$AU198),U198,AI198)))))</f>
        <v>0</v>
      </c>
      <c r="H198" s="317">
        <f>IF(AND($A$2=4,VLOOKUP($A198,'District Level ADM'!$A$5:$W$52,5,FALSE)="Prior Year"),AJ198,IF(AND($A$2=4,VLOOKUP($A198,'District Level ADM'!$A$5:$W$52,5,FALSE)="3-Year Avg."),V198,IF($A$2=2,AJ198,IF($A$2=3,V198,IF(($AG198&gt;$AU198),V198,AJ198)))))</f>
        <v>0</v>
      </c>
      <c r="I198" s="317">
        <f>IF(AND($A$2=4,VLOOKUP($A198,'District Level ADM'!$A$5:$W$52,5,FALSE)="Prior Year"),AK198,IF(AND($A$2=4,VLOOKUP($A198,'District Level ADM'!$A$5:$W$52,5,FALSE)="3-Year Avg."),W198,IF($A$2=2,AK198,IF($A$2=3,W198,IF(($AG198&gt;$AU198),W198,AK198)))))</f>
        <v>0</v>
      </c>
      <c r="J198" s="317">
        <f>IF(AND($A$2=4,VLOOKUP($A198,'District Level ADM'!$A$5:$W$52,5,FALSE)="Prior Year"),AL198,IF(AND($A$2=4,VLOOKUP($A198,'District Level ADM'!$A$5:$W$52,5,FALSE)="3-Year Avg."),X198,IF($A$2=2,AL198,IF($A$2=3,X198,IF(($AG198&gt;$AU198),X198,AL198)))))</f>
        <v>0</v>
      </c>
      <c r="K198" s="317">
        <f>IF(AND($A$2=4,VLOOKUP($A198,'District Level ADM'!$A$5:$W$52,5,FALSE)="Prior Year"),AM198,IF(AND($A$2=4,VLOOKUP($A198,'District Level ADM'!$A$5:$W$52,5,FALSE)="3-Year Avg."),Y198,IF($A$2=2,AM198,IF($A$2=3,Y198,IF(($AG198&gt;$AU198),Y198,AM198)))))</f>
        <v>0</v>
      </c>
      <c r="L198" s="317">
        <f>IF(AND($A$2=4,VLOOKUP($A198,'District Level ADM'!$A$5:$W$52,5,FALSE)="Prior Year"),AN198,IF(AND($A$2=4,VLOOKUP($A198,'District Level ADM'!$A$5:$W$52,5,FALSE)="3-Year Avg."),Z198,IF($A$2=2,AN198,IF($A$2=3,Z198,IF(($AG198&gt;$AU198),Z198,AN198)))))</f>
        <v>0</v>
      </c>
      <c r="M198" s="317">
        <f>IF(AND($A$2=4,VLOOKUP($A198,'District Level ADM'!$A$5:$W$52,5,FALSE)="Prior Year"),AO198,IF(AND($A$2=4,VLOOKUP($A198,'District Level ADM'!$A$5:$W$52,5,FALSE)="3-Year Avg."),AA198,IF($A$2=2,AO198,IF($A$2=3,AA198,IF(($AG198&gt;$AU198),AA198,AO198)))))</f>
        <v>17.73</v>
      </c>
      <c r="N198" s="317">
        <f>IF(AND($A$2=4,VLOOKUP($A198,'District Level ADM'!$A$5:$W$52,5,FALSE)="Prior Year"),AP198,IF(AND($A$2=4,VLOOKUP($A198,'District Level ADM'!$A$5:$W$52,5,FALSE)="3-Year Avg."),AB198,IF($A$2=2,AP198,IF($A$2=3,AB198,IF(($AG198&gt;$AU198),AB198,AP198)))))</f>
        <v>19.7</v>
      </c>
      <c r="O198" s="317">
        <f>IF(AND($A$2=4,VLOOKUP($A198,'District Level ADM'!$A$5:$W$52,5,FALSE)="Prior Year"),AQ198,IF(AND($A$2=4,VLOOKUP($A198,'District Level ADM'!$A$5:$W$52,5,FALSE)="3-Year Avg."),AC198,IF($A$2=2,AQ198,IF($A$2=3,AC198,IF(($AG198&gt;$AU198),AC198,AQ198)))))</f>
        <v>22.655000000000001</v>
      </c>
      <c r="P198" s="317">
        <f>IF(AND($A$2=4,VLOOKUP($A198,'District Level ADM'!$A$5:$W$52,5,FALSE)="Prior Year"),AR198,IF(AND($A$2=4,VLOOKUP($A198,'District Level ADM'!$A$5:$W$52,5,FALSE)="3-Year Avg."),AD198,IF($A$2=2,AR198,IF($A$2=3,AD198,IF(($AG198&gt;$AU198),AD198,AR198)))))</f>
        <v>20.684999999999999</v>
      </c>
      <c r="Q198" s="317">
        <f>IF(AND($A$2=4,VLOOKUP($A198,'District Level ADM'!$A$5:$W$52,5,FALSE)="Prior Year"),AS198,IF(AND($A$2=4,VLOOKUP($A198,'District Level ADM'!$A$5:$W$52,5,FALSE)="3-Year Avg."),AE198,IF($A$2=2,AS198,IF($A$2=3,AE198,IF(($AG198&gt;$AU198),AE198,AS198)))))</f>
        <v>17.73</v>
      </c>
      <c r="R198" s="317">
        <f>IF(AND($A$2=4,VLOOKUP($A198,'District Level ADM'!$A$5:$W$52,5,FALSE)="Prior Year"),AT198,IF(AND($A$2=4,VLOOKUP($A198,'District Level ADM'!$A$5:$W$52,5,FALSE)="3-Year Avg."),AF198,IF($A$2=2,AT198,IF($A$2=3,AF198,IF(($AG198&gt;$AU198),AF198,AT198)))))</f>
        <v>17.73</v>
      </c>
      <c r="S198" s="317">
        <f t="shared" ref="S198:S261" si="35">SUM(F198:R198)</f>
        <v>116.23</v>
      </c>
      <c r="T198" s="317">
        <f t="shared" si="34"/>
        <v>0</v>
      </c>
      <c r="U198" s="317">
        <f t="shared" si="33"/>
        <v>0</v>
      </c>
      <c r="V198" s="317">
        <f t="shared" si="33"/>
        <v>0</v>
      </c>
      <c r="W198" s="317">
        <f t="shared" si="33"/>
        <v>0</v>
      </c>
      <c r="X198" s="317">
        <f t="shared" si="33"/>
        <v>0</v>
      </c>
      <c r="Y198" s="317">
        <f t="shared" si="33"/>
        <v>0</v>
      </c>
      <c r="Z198" s="317">
        <f t="shared" si="33"/>
        <v>0</v>
      </c>
      <c r="AA198" s="317">
        <f t="shared" si="33"/>
        <v>20.439333333333334</v>
      </c>
      <c r="AB198" s="317">
        <f t="shared" si="33"/>
        <v>20.571000000000002</v>
      </c>
      <c r="AC198" s="317">
        <f t="shared" si="33"/>
        <v>20.565000000000001</v>
      </c>
      <c r="AD198" s="317">
        <f t="shared" si="30"/>
        <v>20.738333333333333</v>
      </c>
      <c r="AE198" s="317">
        <f t="shared" si="30"/>
        <v>17.13</v>
      </c>
      <c r="AF198" s="317">
        <f t="shared" si="30"/>
        <v>15.263</v>
      </c>
      <c r="AG198" s="317">
        <f t="shared" ref="AG198:AG261" si="36">SUM(T198:AF198)</f>
        <v>114.70666666666666</v>
      </c>
      <c r="AH198" s="318">
        <v>0</v>
      </c>
      <c r="AI198" s="318">
        <v>0</v>
      </c>
      <c r="AJ198" s="318">
        <v>0</v>
      </c>
      <c r="AK198" s="318">
        <v>0</v>
      </c>
      <c r="AL198" s="318">
        <v>0</v>
      </c>
      <c r="AM198" s="318">
        <v>0</v>
      </c>
      <c r="AN198" s="318">
        <v>0</v>
      </c>
      <c r="AO198" s="318">
        <v>17.73</v>
      </c>
      <c r="AP198" s="318">
        <v>19.7</v>
      </c>
      <c r="AQ198" s="318">
        <v>22.655000000000001</v>
      </c>
      <c r="AR198" s="318">
        <v>20.684999999999999</v>
      </c>
      <c r="AS198" s="318">
        <v>17.73</v>
      </c>
      <c r="AT198" s="318">
        <v>17.73</v>
      </c>
      <c r="AU198" s="317">
        <f t="shared" ref="AU198:AU257" si="37">SUM(AH198:AT198)</f>
        <v>116.23</v>
      </c>
      <c r="AV198" s="319">
        <v>0</v>
      </c>
      <c r="AW198" s="319">
        <v>0</v>
      </c>
      <c r="AX198" s="319">
        <v>0</v>
      </c>
      <c r="AY198" s="319">
        <v>0</v>
      </c>
      <c r="AZ198" s="319">
        <v>0</v>
      </c>
      <c r="BA198" s="319">
        <v>0</v>
      </c>
      <c r="BB198" s="319">
        <v>0</v>
      </c>
      <c r="BC198" s="319">
        <v>18.777999999999999</v>
      </c>
      <c r="BD198" s="319">
        <v>23.013000000000002</v>
      </c>
      <c r="BE198" s="319">
        <v>19.739000000000001</v>
      </c>
      <c r="BF198" s="319">
        <v>20.471</v>
      </c>
      <c r="BG198" s="319">
        <v>22.359000000000002</v>
      </c>
      <c r="BH198" s="319">
        <v>9.1959999999999997</v>
      </c>
      <c r="BI198" s="317">
        <f t="shared" si="28"/>
        <v>113.55600000000001</v>
      </c>
      <c r="BJ198" s="316">
        <v>0</v>
      </c>
      <c r="BK198" s="316">
        <v>0</v>
      </c>
      <c r="BL198" s="316">
        <v>0</v>
      </c>
      <c r="BM198" s="316">
        <v>0</v>
      </c>
      <c r="BN198" s="316">
        <v>0</v>
      </c>
      <c r="BO198" s="316">
        <v>0</v>
      </c>
      <c r="BP198" s="316">
        <v>0</v>
      </c>
      <c r="BQ198" s="316">
        <v>24.81</v>
      </c>
      <c r="BR198" s="316">
        <v>19</v>
      </c>
      <c r="BS198" s="316">
        <v>19.300999999999998</v>
      </c>
      <c r="BT198" s="316">
        <v>21.059000000000001</v>
      </c>
      <c r="BU198" s="316">
        <v>11.301</v>
      </c>
      <c r="BV198" s="316">
        <v>18.863</v>
      </c>
      <c r="BW198" s="317">
        <f t="shared" si="24"/>
        <v>114.334</v>
      </c>
    </row>
    <row r="199" spans="1:75" x14ac:dyDescent="0.2">
      <c r="A199" s="20" t="str">
        <f>'School Level Inst. Resources'!A199</f>
        <v>1202000</v>
      </c>
      <c r="B199" s="20" t="str">
        <f>'School Level Inst. Resources'!B199</f>
        <v>Lincoln #2</v>
      </c>
      <c r="C199" s="20" t="str">
        <f>'School Level Inst. Resources'!C199</f>
        <v>1202056</v>
      </c>
      <c r="D199" s="20" t="str">
        <f>'School Level Inst. Resources'!D199</f>
        <v>Star Valley High School</v>
      </c>
      <c r="E199" s="138" t="str">
        <f>'School Level Inst. Resources'!E199</f>
        <v>9-12</v>
      </c>
      <c r="F199" s="317">
        <f>IF(AND($A$2=4,VLOOKUP($A199,'District Level ADM'!$A$5:$W$52,5,FALSE)="Prior Year"),AH199,IF(AND($A$2=4,VLOOKUP($A199,'District Level ADM'!$A$5:$W$52,5,FALSE)="3-Year Avg."),T199,IF($A$2=2,AH199,IF($A$2=3,T199,IF(($AG199&gt;$AU199),T199,AH199)))))</f>
        <v>0</v>
      </c>
      <c r="G199" s="317">
        <f>IF(AND($A$2=4,VLOOKUP($A199,'District Level ADM'!$A$5:$W$52,5,FALSE)="Prior Year"),AI199,IF(AND($A$2=4,VLOOKUP($A199,'District Level ADM'!$A$5:$W$52,5,FALSE)="3-Year Avg."),U199,IF($A$2=2,AI199,IF($A$2=3,U199,IF(($AG199&gt;$AU199),U199,AI199)))))</f>
        <v>0</v>
      </c>
      <c r="H199" s="317">
        <f>IF(AND($A$2=4,VLOOKUP($A199,'District Level ADM'!$A$5:$W$52,5,FALSE)="Prior Year"),AJ199,IF(AND($A$2=4,VLOOKUP($A199,'District Level ADM'!$A$5:$W$52,5,FALSE)="3-Year Avg."),V199,IF($A$2=2,AJ199,IF($A$2=3,V199,IF(($AG199&gt;$AU199),V199,AJ199)))))</f>
        <v>0</v>
      </c>
      <c r="I199" s="317">
        <f>IF(AND($A$2=4,VLOOKUP($A199,'District Level ADM'!$A$5:$W$52,5,FALSE)="Prior Year"),AK199,IF(AND($A$2=4,VLOOKUP($A199,'District Level ADM'!$A$5:$W$52,5,FALSE)="3-Year Avg."),W199,IF($A$2=2,AK199,IF($A$2=3,W199,IF(($AG199&gt;$AU199),W199,AK199)))))</f>
        <v>0</v>
      </c>
      <c r="J199" s="317">
        <f>IF(AND($A$2=4,VLOOKUP($A199,'District Level ADM'!$A$5:$W$52,5,FALSE)="Prior Year"),AL199,IF(AND($A$2=4,VLOOKUP($A199,'District Level ADM'!$A$5:$W$52,5,FALSE)="3-Year Avg."),X199,IF($A$2=2,AL199,IF($A$2=3,X199,IF(($AG199&gt;$AU199),X199,AL199)))))</f>
        <v>0</v>
      </c>
      <c r="K199" s="317">
        <f>IF(AND($A$2=4,VLOOKUP($A199,'District Level ADM'!$A$5:$W$52,5,FALSE)="Prior Year"),AM199,IF(AND($A$2=4,VLOOKUP($A199,'District Level ADM'!$A$5:$W$52,5,FALSE)="3-Year Avg."),Y199,IF($A$2=2,AM199,IF($A$2=3,Y199,IF(($AG199&gt;$AU199),Y199,AM199)))))</f>
        <v>0</v>
      </c>
      <c r="L199" s="317">
        <f>IF(AND($A$2=4,VLOOKUP($A199,'District Level ADM'!$A$5:$W$52,5,FALSE)="Prior Year"),AN199,IF(AND($A$2=4,VLOOKUP($A199,'District Level ADM'!$A$5:$W$52,5,FALSE)="3-Year Avg."),Z199,IF($A$2=2,AN199,IF($A$2=3,Z199,IF(($AG199&gt;$AU199),Z199,AN199)))))</f>
        <v>0</v>
      </c>
      <c r="M199" s="317">
        <f>IF(AND($A$2=4,VLOOKUP($A199,'District Level ADM'!$A$5:$W$52,5,FALSE)="Prior Year"),AO199,IF(AND($A$2=4,VLOOKUP($A199,'District Level ADM'!$A$5:$W$52,5,FALSE)="3-Year Avg."),AA199,IF($A$2=2,AO199,IF($A$2=3,AA199,IF(($AG199&gt;$AU199),AA199,AO199)))))</f>
        <v>0</v>
      </c>
      <c r="N199" s="317">
        <f>IF(AND($A$2=4,VLOOKUP($A199,'District Level ADM'!$A$5:$W$52,5,FALSE)="Prior Year"),AP199,IF(AND($A$2=4,VLOOKUP($A199,'District Level ADM'!$A$5:$W$52,5,FALSE)="3-Year Avg."),AB199,IF($A$2=2,AP199,IF($A$2=3,AB199,IF(($AG199&gt;$AU199),AB199,AP199)))))</f>
        <v>0</v>
      </c>
      <c r="O199" s="317">
        <f>IF(AND($A$2=4,VLOOKUP($A199,'District Level ADM'!$A$5:$W$52,5,FALSE)="Prior Year"),AQ199,IF(AND($A$2=4,VLOOKUP($A199,'District Level ADM'!$A$5:$W$52,5,FALSE)="3-Year Avg."),AC199,IF($A$2=2,AQ199,IF($A$2=3,AC199,IF(($AG199&gt;$AU199),AC199,AQ199)))))</f>
        <v>200.94</v>
      </c>
      <c r="P199" s="317">
        <f>IF(AND($A$2=4,VLOOKUP($A199,'District Level ADM'!$A$5:$W$52,5,FALSE)="Prior Year"),AR199,IF(AND($A$2=4,VLOOKUP($A199,'District Level ADM'!$A$5:$W$52,5,FALSE)="3-Year Avg."),AD199,IF($A$2=2,AR199,IF($A$2=3,AD199,IF(($AG199&gt;$AU199),AD199,AR199)))))</f>
        <v>181.24</v>
      </c>
      <c r="Q199" s="317">
        <f>IF(AND($A$2=4,VLOOKUP($A199,'District Level ADM'!$A$5:$W$52,5,FALSE)="Prior Year"),AS199,IF(AND($A$2=4,VLOOKUP($A199,'District Level ADM'!$A$5:$W$52,5,FALSE)="3-Year Avg."),AE199,IF($A$2=2,AS199,IF($A$2=3,AE199,IF(($AG199&gt;$AU199),AE199,AS199)))))</f>
        <v>170.405</v>
      </c>
      <c r="R199" s="317">
        <f>IF(AND($A$2=4,VLOOKUP($A199,'District Level ADM'!$A$5:$W$52,5,FALSE)="Prior Year"),AT199,IF(AND($A$2=4,VLOOKUP($A199,'District Level ADM'!$A$5:$W$52,5,FALSE)="3-Year Avg."),AF199,IF($A$2=2,AT199,IF($A$2=3,AF199,IF(($AG199&gt;$AU199),AF199,AT199)))))</f>
        <v>163.51</v>
      </c>
      <c r="S199" s="317">
        <f t="shared" si="35"/>
        <v>716.09500000000003</v>
      </c>
      <c r="T199" s="317">
        <f t="shared" si="34"/>
        <v>0</v>
      </c>
      <c r="U199" s="317">
        <f t="shared" si="33"/>
        <v>0</v>
      </c>
      <c r="V199" s="317">
        <f t="shared" si="33"/>
        <v>0</v>
      </c>
      <c r="W199" s="317">
        <f t="shared" si="33"/>
        <v>0</v>
      </c>
      <c r="X199" s="317">
        <f t="shared" si="33"/>
        <v>0</v>
      </c>
      <c r="Y199" s="317">
        <f t="shared" si="33"/>
        <v>0</v>
      </c>
      <c r="Z199" s="317">
        <f t="shared" si="33"/>
        <v>0</v>
      </c>
      <c r="AA199" s="317">
        <f t="shared" si="33"/>
        <v>0</v>
      </c>
      <c r="AB199" s="317">
        <f t="shared" si="33"/>
        <v>0</v>
      </c>
      <c r="AC199" s="317">
        <f t="shared" si="33"/>
        <v>191.61066666666667</v>
      </c>
      <c r="AD199" s="317">
        <f t="shared" si="30"/>
        <v>177.02733333333336</v>
      </c>
      <c r="AE199" s="317">
        <f t="shared" si="30"/>
        <v>170.21666666666667</v>
      </c>
      <c r="AF199" s="317">
        <f t="shared" si="30"/>
        <v>178.11133333333336</v>
      </c>
      <c r="AG199" s="317">
        <f t="shared" si="36"/>
        <v>716.96600000000012</v>
      </c>
      <c r="AH199" s="318">
        <v>0</v>
      </c>
      <c r="AI199" s="318">
        <v>0</v>
      </c>
      <c r="AJ199" s="318">
        <v>0</v>
      </c>
      <c r="AK199" s="318">
        <v>0</v>
      </c>
      <c r="AL199" s="318">
        <v>0</v>
      </c>
      <c r="AM199" s="318">
        <v>0</v>
      </c>
      <c r="AN199" s="318">
        <v>0</v>
      </c>
      <c r="AO199" s="318">
        <v>0</v>
      </c>
      <c r="AP199" s="318">
        <v>0</v>
      </c>
      <c r="AQ199" s="318">
        <v>200.94</v>
      </c>
      <c r="AR199" s="318">
        <v>181.24</v>
      </c>
      <c r="AS199" s="318">
        <v>170.405</v>
      </c>
      <c r="AT199" s="318">
        <v>163.51</v>
      </c>
      <c r="AU199" s="317">
        <f t="shared" si="37"/>
        <v>716.09500000000003</v>
      </c>
      <c r="AV199" s="319">
        <v>0</v>
      </c>
      <c r="AW199" s="319">
        <v>0</v>
      </c>
      <c r="AX199" s="319">
        <v>0</v>
      </c>
      <c r="AY199" s="319">
        <v>0</v>
      </c>
      <c r="AZ199" s="319">
        <v>0</v>
      </c>
      <c r="BA199" s="319">
        <v>0</v>
      </c>
      <c r="BB199" s="319">
        <v>0</v>
      </c>
      <c r="BC199" s="319">
        <v>0</v>
      </c>
      <c r="BD199" s="319">
        <v>0</v>
      </c>
      <c r="BE199" s="319">
        <v>189.38</v>
      </c>
      <c r="BF199" s="319">
        <v>180.65700000000001</v>
      </c>
      <c r="BG199" s="319">
        <v>160.33099999999999</v>
      </c>
      <c r="BH199" s="319">
        <v>194.63900000000001</v>
      </c>
      <c r="BI199" s="317">
        <f t="shared" si="28"/>
        <v>725.00700000000006</v>
      </c>
      <c r="BJ199" s="316">
        <v>0</v>
      </c>
      <c r="BK199" s="316">
        <v>0</v>
      </c>
      <c r="BL199" s="316">
        <v>0</v>
      </c>
      <c r="BM199" s="316">
        <v>0</v>
      </c>
      <c r="BN199" s="316">
        <v>0</v>
      </c>
      <c r="BO199" s="316">
        <v>0</v>
      </c>
      <c r="BP199" s="316">
        <v>0</v>
      </c>
      <c r="BQ199" s="316">
        <v>0</v>
      </c>
      <c r="BR199" s="316">
        <v>0</v>
      </c>
      <c r="BS199" s="316">
        <v>184.512</v>
      </c>
      <c r="BT199" s="316">
        <v>169.185</v>
      </c>
      <c r="BU199" s="316">
        <v>179.91399999999999</v>
      </c>
      <c r="BV199" s="316">
        <v>176.185</v>
      </c>
      <c r="BW199" s="317">
        <f t="shared" ref="BW199:BW262" si="38">SUM(BJ199:BV199)</f>
        <v>709.79600000000005</v>
      </c>
    </row>
    <row r="200" spans="1:75" x14ac:dyDescent="0.2">
      <c r="A200" s="20" t="str">
        <f>'School Level Inst. Resources'!A200</f>
        <v>1202000</v>
      </c>
      <c r="B200" s="20" t="str">
        <f>'School Level Inst. Resources'!B200</f>
        <v>Lincoln #2</v>
      </c>
      <c r="C200" s="20" t="str">
        <f>'School Level Inst. Resources'!C200</f>
        <v>1202057</v>
      </c>
      <c r="D200" s="20" t="str">
        <f>'School Level Inst. Resources'!D200</f>
        <v>Swift Creek High School</v>
      </c>
      <c r="E200" s="138" t="str">
        <f>'School Level Inst. Resources'!E200</f>
        <v>9-12</v>
      </c>
      <c r="F200" s="317">
        <f>IF(AND($A$2=4,VLOOKUP($A200,'District Level ADM'!$A$5:$W$52,5,FALSE)="Prior Year"),AH200,IF(AND($A$2=4,VLOOKUP($A200,'District Level ADM'!$A$5:$W$52,5,FALSE)="3-Year Avg."),T200,IF($A$2=2,AH200,IF($A$2=3,T200,IF(($AG200&gt;$AU200),T200,AH200)))))</f>
        <v>0</v>
      </c>
      <c r="G200" s="317">
        <f>IF(AND($A$2=4,VLOOKUP($A200,'District Level ADM'!$A$5:$W$52,5,FALSE)="Prior Year"),AI200,IF(AND($A$2=4,VLOOKUP($A200,'District Level ADM'!$A$5:$W$52,5,FALSE)="3-Year Avg."),U200,IF($A$2=2,AI200,IF($A$2=3,U200,IF(($AG200&gt;$AU200),U200,AI200)))))</f>
        <v>0</v>
      </c>
      <c r="H200" s="317">
        <f>IF(AND($A$2=4,VLOOKUP($A200,'District Level ADM'!$A$5:$W$52,5,FALSE)="Prior Year"),AJ200,IF(AND($A$2=4,VLOOKUP($A200,'District Level ADM'!$A$5:$W$52,5,FALSE)="3-Year Avg."),V200,IF($A$2=2,AJ200,IF($A$2=3,V200,IF(($AG200&gt;$AU200),V200,AJ200)))))</f>
        <v>0</v>
      </c>
      <c r="I200" s="317">
        <f>IF(AND($A$2=4,VLOOKUP($A200,'District Level ADM'!$A$5:$W$52,5,FALSE)="Prior Year"),AK200,IF(AND($A$2=4,VLOOKUP($A200,'District Level ADM'!$A$5:$W$52,5,FALSE)="3-Year Avg."),W200,IF($A$2=2,AK200,IF($A$2=3,W200,IF(($AG200&gt;$AU200),W200,AK200)))))</f>
        <v>0</v>
      </c>
      <c r="J200" s="317">
        <f>IF(AND($A$2=4,VLOOKUP($A200,'District Level ADM'!$A$5:$W$52,5,FALSE)="Prior Year"),AL200,IF(AND($A$2=4,VLOOKUP($A200,'District Level ADM'!$A$5:$W$52,5,FALSE)="3-Year Avg."),X200,IF($A$2=2,AL200,IF($A$2=3,X200,IF(($AG200&gt;$AU200),X200,AL200)))))</f>
        <v>0</v>
      </c>
      <c r="K200" s="317">
        <f>IF(AND($A$2=4,VLOOKUP($A200,'District Level ADM'!$A$5:$W$52,5,FALSE)="Prior Year"),AM200,IF(AND($A$2=4,VLOOKUP($A200,'District Level ADM'!$A$5:$W$52,5,FALSE)="3-Year Avg."),Y200,IF($A$2=2,AM200,IF($A$2=3,Y200,IF(($AG200&gt;$AU200),Y200,AM200)))))</f>
        <v>0</v>
      </c>
      <c r="L200" s="317">
        <f>IF(AND($A$2=4,VLOOKUP($A200,'District Level ADM'!$A$5:$W$52,5,FALSE)="Prior Year"),AN200,IF(AND($A$2=4,VLOOKUP($A200,'District Level ADM'!$A$5:$W$52,5,FALSE)="3-Year Avg."),Z200,IF($A$2=2,AN200,IF($A$2=3,Z200,IF(($AG200&gt;$AU200),Z200,AN200)))))</f>
        <v>0</v>
      </c>
      <c r="M200" s="317">
        <f>IF(AND($A$2=4,VLOOKUP($A200,'District Level ADM'!$A$5:$W$52,5,FALSE)="Prior Year"),AO200,IF(AND($A$2=4,VLOOKUP($A200,'District Level ADM'!$A$5:$W$52,5,FALSE)="3-Year Avg."),AA200,IF($A$2=2,AO200,IF($A$2=3,AA200,IF(($AG200&gt;$AU200),AA200,AO200)))))</f>
        <v>0</v>
      </c>
      <c r="N200" s="317">
        <f>IF(AND($A$2=4,VLOOKUP($A200,'District Level ADM'!$A$5:$W$52,5,FALSE)="Prior Year"),AP200,IF(AND($A$2=4,VLOOKUP($A200,'District Level ADM'!$A$5:$W$52,5,FALSE)="3-Year Avg."),AB200,IF($A$2=2,AP200,IF($A$2=3,AB200,IF(($AG200&gt;$AU200),AB200,AP200)))))</f>
        <v>0</v>
      </c>
      <c r="O200" s="317">
        <f>IF(AND($A$2=4,VLOOKUP($A200,'District Level ADM'!$A$5:$W$52,5,FALSE)="Prior Year"),AQ200,IF(AND($A$2=4,VLOOKUP($A200,'District Level ADM'!$A$5:$W$52,5,FALSE)="3-Year Avg."),AC200,IF($A$2=2,AQ200,IF($A$2=3,AC200,IF(($AG200&gt;$AU200),AC200,AQ200)))))</f>
        <v>0.98499999999999999</v>
      </c>
      <c r="P200" s="317">
        <f>IF(AND($A$2=4,VLOOKUP($A200,'District Level ADM'!$A$5:$W$52,5,FALSE)="Prior Year"),AR200,IF(AND($A$2=4,VLOOKUP($A200,'District Level ADM'!$A$5:$W$52,5,FALSE)="3-Year Avg."),AD200,IF($A$2=2,AR200,IF($A$2=3,AD200,IF(($AG200&gt;$AU200),AD200,AR200)))))</f>
        <v>6.8949999999999996</v>
      </c>
      <c r="Q200" s="317">
        <f>IF(AND($A$2=4,VLOOKUP($A200,'District Level ADM'!$A$5:$W$52,5,FALSE)="Prior Year"),AS200,IF(AND($A$2=4,VLOOKUP($A200,'District Level ADM'!$A$5:$W$52,5,FALSE)="3-Year Avg."),AE200,IF($A$2=2,AS200,IF($A$2=3,AE200,IF(($AG200&gt;$AU200),AE200,AS200)))))</f>
        <v>13.79</v>
      </c>
      <c r="R200" s="317">
        <f>IF(AND($A$2=4,VLOOKUP($A200,'District Level ADM'!$A$5:$W$52,5,FALSE)="Prior Year"),AT200,IF(AND($A$2=4,VLOOKUP($A200,'District Level ADM'!$A$5:$W$52,5,FALSE)="3-Year Avg."),AF200,IF($A$2=2,AT200,IF($A$2=3,AF200,IF(($AG200&gt;$AU200),AF200,AT200)))))</f>
        <v>20.684999999999999</v>
      </c>
      <c r="S200" s="317">
        <f t="shared" si="35"/>
        <v>42.354999999999997</v>
      </c>
      <c r="T200" s="317">
        <f t="shared" si="34"/>
        <v>0</v>
      </c>
      <c r="U200" s="317">
        <f t="shared" si="33"/>
        <v>0</v>
      </c>
      <c r="V200" s="317">
        <f t="shared" si="33"/>
        <v>0</v>
      </c>
      <c r="W200" s="317">
        <f t="shared" si="33"/>
        <v>0</v>
      </c>
      <c r="X200" s="317">
        <f t="shared" si="33"/>
        <v>0</v>
      </c>
      <c r="Y200" s="317">
        <f t="shared" si="33"/>
        <v>0</v>
      </c>
      <c r="Z200" s="317">
        <f t="shared" si="33"/>
        <v>0</v>
      </c>
      <c r="AA200" s="317">
        <f t="shared" si="33"/>
        <v>0</v>
      </c>
      <c r="AB200" s="317">
        <f t="shared" si="33"/>
        <v>0</v>
      </c>
      <c r="AC200" s="317">
        <f t="shared" si="33"/>
        <v>1.7549999999999999</v>
      </c>
      <c r="AD200" s="317">
        <f t="shared" si="30"/>
        <v>9.4436666666666671</v>
      </c>
      <c r="AE200" s="317">
        <f t="shared" si="30"/>
        <v>14.130666666666665</v>
      </c>
      <c r="AF200" s="317">
        <f t="shared" si="30"/>
        <v>14.645000000000001</v>
      </c>
      <c r="AG200" s="317">
        <f t="shared" si="36"/>
        <v>39.974333333333334</v>
      </c>
      <c r="AH200" s="318">
        <v>0</v>
      </c>
      <c r="AI200" s="318">
        <v>0</v>
      </c>
      <c r="AJ200" s="318">
        <v>0</v>
      </c>
      <c r="AK200" s="318">
        <v>0</v>
      </c>
      <c r="AL200" s="318">
        <v>0</v>
      </c>
      <c r="AM200" s="318">
        <v>0</v>
      </c>
      <c r="AN200" s="318">
        <v>0</v>
      </c>
      <c r="AO200" s="318">
        <v>0</v>
      </c>
      <c r="AP200" s="318">
        <v>0</v>
      </c>
      <c r="AQ200" s="318">
        <v>0.98499999999999999</v>
      </c>
      <c r="AR200" s="318">
        <v>6.8949999999999996</v>
      </c>
      <c r="AS200" s="318">
        <v>13.79</v>
      </c>
      <c r="AT200" s="318">
        <v>20.684999999999999</v>
      </c>
      <c r="AU200" s="317">
        <f t="shared" si="37"/>
        <v>42.354999999999997</v>
      </c>
      <c r="AV200" s="319">
        <v>0</v>
      </c>
      <c r="AW200" s="319">
        <v>0</v>
      </c>
      <c r="AX200" s="319">
        <v>0</v>
      </c>
      <c r="AY200" s="319">
        <v>0</v>
      </c>
      <c r="AZ200" s="319">
        <v>0</v>
      </c>
      <c r="BA200" s="319">
        <v>0</v>
      </c>
      <c r="BB200" s="319">
        <v>0</v>
      </c>
      <c r="BC200" s="319">
        <v>0</v>
      </c>
      <c r="BD200" s="319">
        <v>0</v>
      </c>
      <c r="BE200" s="319">
        <v>1.9159999999999999</v>
      </c>
      <c r="BF200" s="319">
        <v>11.337</v>
      </c>
      <c r="BG200" s="319">
        <v>12.003</v>
      </c>
      <c r="BH200" s="319">
        <v>14.855</v>
      </c>
      <c r="BI200" s="317">
        <f t="shared" si="28"/>
        <v>40.111000000000004</v>
      </c>
      <c r="BJ200" s="316">
        <v>0</v>
      </c>
      <c r="BK200" s="316">
        <v>0</v>
      </c>
      <c r="BL200" s="316">
        <v>0</v>
      </c>
      <c r="BM200" s="316">
        <v>0</v>
      </c>
      <c r="BN200" s="316">
        <v>0</v>
      </c>
      <c r="BO200" s="316">
        <v>0</v>
      </c>
      <c r="BP200" s="316">
        <v>0</v>
      </c>
      <c r="BQ200" s="316">
        <v>0</v>
      </c>
      <c r="BR200" s="316">
        <v>0</v>
      </c>
      <c r="BS200" s="316">
        <v>2.3639999999999999</v>
      </c>
      <c r="BT200" s="316">
        <v>10.099</v>
      </c>
      <c r="BU200" s="316">
        <v>16.599</v>
      </c>
      <c r="BV200" s="316">
        <v>8.3949999999999996</v>
      </c>
      <c r="BW200" s="317">
        <f t="shared" si="38"/>
        <v>37.457000000000001</v>
      </c>
    </row>
    <row r="201" spans="1:75" x14ac:dyDescent="0.2">
      <c r="A201" s="20" t="str">
        <f>'School Level Inst. Resources'!A201</f>
        <v>1301000</v>
      </c>
      <c r="B201" s="20" t="str">
        <f>'School Level Inst. Resources'!B201</f>
        <v>Natrona #1</v>
      </c>
      <c r="C201" s="20" t="str">
        <f>'School Level Inst. Resources'!C201</f>
        <v>1301001</v>
      </c>
      <c r="D201" s="20" t="str">
        <f>'School Level Inst. Resources'!D201</f>
        <v>Alcova Elementary</v>
      </c>
      <c r="E201" s="138" t="str">
        <f>'School Level Inst. Resources'!E201</f>
        <v>K-6</v>
      </c>
      <c r="F201" s="317">
        <f>IF(AND($A$2=4,VLOOKUP($A201,'District Level ADM'!$A$5:$W$52,5,FALSE)="Prior Year"),AH201,IF(AND($A$2=4,VLOOKUP($A201,'District Level ADM'!$A$5:$W$52,5,FALSE)="3-Year Avg."),T201,IF($A$2=2,AH201,IF($A$2=3,T201,IF(($AG201&gt;$AU201),T201,AH201)))))</f>
        <v>0.20566666666666666</v>
      </c>
      <c r="G201" s="317">
        <f>IF(AND($A$2=4,VLOOKUP($A201,'District Level ADM'!$A$5:$W$52,5,FALSE)="Prior Year"),AI201,IF(AND($A$2=4,VLOOKUP($A201,'District Level ADM'!$A$5:$W$52,5,FALSE)="3-Year Avg."),U201,IF($A$2=2,AI201,IF($A$2=3,U201,IF(($AG201&gt;$AU201),U201,AI201)))))</f>
        <v>0.66666666666666663</v>
      </c>
      <c r="H201" s="317">
        <f>IF(AND($A$2=4,VLOOKUP($A201,'District Level ADM'!$A$5:$W$52,5,FALSE)="Prior Year"),AJ201,IF(AND($A$2=4,VLOOKUP($A201,'District Level ADM'!$A$5:$W$52,5,FALSE)="3-Year Avg."),V201,IF($A$2=2,AJ201,IF($A$2=3,V201,IF(($AG201&gt;$AU201),V201,AJ201)))))</f>
        <v>1.2083333333333333</v>
      </c>
      <c r="I201" s="317">
        <f>IF(AND($A$2=4,VLOOKUP($A201,'District Level ADM'!$A$5:$W$52,5,FALSE)="Prior Year"),AK201,IF(AND($A$2=4,VLOOKUP($A201,'District Level ADM'!$A$5:$W$52,5,FALSE)="3-Year Avg."),W201,IF($A$2=2,AK201,IF($A$2=3,W201,IF(($AG201&gt;$AU201),W201,AK201)))))</f>
        <v>0.95400000000000007</v>
      </c>
      <c r="J201" s="317">
        <f>IF(AND($A$2=4,VLOOKUP($A201,'District Level ADM'!$A$5:$W$52,5,FALSE)="Prior Year"),AL201,IF(AND($A$2=4,VLOOKUP($A201,'District Level ADM'!$A$5:$W$52,5,FALSE)="3-Year Avg."),X201,IF($A$2=2,AL201,IF($A$2=3,X201,IF(($AG201&gt;$AU201),X201,AL201)))))</f>
        <v>0.43433333333333329</v>
      </c>
      <c r="K201" s="317">
        <f>IF(AND($A$2=4,VLOOKUP($A201,'District Level ADM'!$A$5:$W$52,5,FALSE)="Prior Year"),AM201,IF(AND($A$2=4,VLOOKUP($A201,'District Level ADM'!$A$5:$W$52,5,FALSE)="3-Year Avg."),Y201,IF($A$2=2,AM201,IF($A$2=3,Y201,IF(($AG201&gt;$AU201),Y201,AM201)))))</f>
        <v>0.66166666666666663</v>
      </c>
      <c r="L201" s="317">
        <f>IF(AND($A$2=4,VLOOKUP($A201,'District Level ADM'!$A$5:$W$52,5,FALSE)="Prior Year"),AN201,IF(AND($A$2=4,VLOOKUP($A201,'District Level ADM'!$A$5:$W$52,5,FALSE)="3-Year Avg."),Z201,IF($A$2=2,AN201,IF($A$2=3,Z201,IF(($AG201&gt;$AU201),Z201,AN201)))))</f>
        <v>0</v>
      </c>
      <c r="M201" s="317">
        <f>IF(AND($A$2=4,VLOOKUP($A201,'District Level ADM'!$A$5:$W$52,5,FALSE)="Prior Year"),AO201,IF(AND($A$2=4,VLOOKUP($A201,'District Level ADM'!$A$5:$W$52,5,FALSE)="3-Year Avg."),AA201,IF($A$2=2,AO201,IF($A$2=3,AA201,IF(($AG201&gt;$AU201),AA201,AO201)))))</f>
        <v>0</v>
      </c>
      <c r="N201" s="317">
        <f>IF(AND($A$2=4,VLOOKUP($A201,'District Level ADM'!$A$5:$W$52,5,FALSE)="Prior Year"),AP201,IF(AND($A$2=4,VLOOKUP($A201,'District Level ADM'!$A$5:$W$52,5,FALSE)="3-Year Avg."),AB201,IF($A$2=2,AP201,IF($A$2=3,AB201,IF(($AG201&gt;$AU201),AB201,AP201)))))</f>
        <v>0</v>
      </c>
      <c r="O201" s="317">
        <f>IF(AND($A$2=4,VLOOKUP($A201,'District Level ADM'!$A$5:$W$52,5,FALSE)="Prior Year"),AQ201,IF(AND($A$2=4,VLOOKUP($A201,'District Level ADM'!$A$5:$W$52,5,FALSE)="3-Year Avg."),AC201,IF($A$2=2,AQ201,IF($A$2=3,AC201,IF(($AG201&gt;$AU201),AC201,AQ201)))))</f>
        <v>0</v>
      </c>
      <c r="P201" s="317">
        <f>IF(AND($A$2=4,VLOOKUP($A201,'District Level ADM'!$A$5:$W$52,5,FALSE)="Prior Year"),AR201,IF(AND($A$2=4,VLOOKUP($A201,'District Level ADM'!$A$5:$W$52,5,FALSE)="3-Year Avg."),AD201,IF($A$2=2,AR201,IF($A$2=3,AD201,IF(($AG201&gt;$AU201),AD201,AR201)))))</f>
        <v>0</v>
      </c>
      <c r="Q201" s="317">
        <f>IF(AND($A$2=4,VLOOKUP($A201,'District Level ADM'!$A$5:$W$52,5,FALSE)="Prior Year"),AS201,IF(AND($A$2=4,VLOOKUP($A201,'District Level ADM'!$A$5:$W$52,5,FALSE)="3-Year Avg."),AE201,IF($A$2=2,AS201,IF($A$2=3,AE201,IF(($AG201&gt;$AU201),AE201,AS201)))))</f>
        <v>0</v>
      </c>
      <c r="R201" s="317">
        <f>IF(AND($A$2=4,VLOOKUP($A201,'District Level ADM'!$A$5:$W$52,5,FALSE)="Prior Year"),AT201,IF(AND($A$2=4,VLOOKUP($A201,'District Level ADM'!$A$5:$W$52,5,FALSE)="3-Year Avg."),AF201,IF($A$2=2,AT201,IF($A$2=3,AF201,IF(($AG201&gt;$AU201),AF201,AT201)))))</f>
        <v>0</v>
      </c>
      <c r="S201" s="317">
        <f t="shared" si="35"/>
        <v>4.1306666666666665</v>
      </c>
      <c r="T201" s="317">
        <f t="shared" si="34"/>
        <v>0.20566666666666666</v>
      </c>
      <c r="U201" s="317">
        <f t="shared" si="33"/>
        <v>0.66666666666666663</v>
      </c>
      <c r="V201" s="317">
        <f t="shared" si="33"/>
        <v>1.2083333333333333</v>
      </c>
      <c r="W201" s="317">
        <f t="shared" si="33"/>
        <v>0.95400000000000007</v>
      </c>
      <c r="X201" s="317">
        <f t="shared" si="33"/>
        <v>0.43433333333333329</v>
      </c>
      <c r="Y201" s="317">
        <f t="shared" si="33"/>
        <v>0.66166666666666663</v>
      </c>
      <c r="Z201" s="317">
        <f t="shared" si="33"/>
        <v>0</v>
      </c>
      <c r="AA201" s="317">
        <f t="shared" si="33"/>
        <v>0</v>
      </c>
      <c r="AB201" s="317">
        <f t="shared" si="33"/>
        <v>0</v>
      </c>
      <c r="AC201" s="317">
        <f t="shared" si="33"/>
        <v>0</v>
      </c>
      <c r="AD201" s="317">
        <f t="shared" si="30"/>
        <v>0</v>
      </c>
      <c r="AE201" s="317">
        <f t="shared" si="30"/>
        <v>0</v>
      </c>
      <c r="AF201" s="317">
        <f t="shared" si="30"/>
        <v>0</v>
      </c>
      <c r="AG201" s="317">
        <f t="shared" si="36"/>
        <v>4.1306666666666665</v>
      </c>
      <c r="AH201" s="318">
        <v>0</v>
      </c>
      <c r="AI201" s="318">
        <v>0</v>
      </c>
      <c r="AJ201" s="318">
        <v>0.98499999999999999</v>
      </c>
      <c r="AK201" s="318">
        <v>1.97</v>
      </c>
      <c r="AL201" s="318">
        <v>0</v>
      </c>
      <c r="AM201" s="318">
        <v>0.98499999999999999</v>
      </c>
      <c r="AN201" s="318">
        <v>0</v>
      </c>
      <c r="AO201" s="318">
        <v>0</v>
      </c>
      <c r="AP201" s="318">
        <v>0</v>
      </c>
      <c r="AQ201" s="318">
        <v>0</v>
      </c>
      <c r="AR201" s="318">
        <v>0</v>
      </c>
      <c r="AS201" s="318">
        <v>0</v>
      </c>
      <c r="AT201" s="318">
        <v>0</v>
      </c>
      <c r="AU201" s="317">
        <f t="shared" si="37"/>
        <v>3.94</v>
      </c>
      <c r="AV201" s="319">
        <v>0</v>
      </c>
      <c r="AW201" s="319">
        <v>0</v>
      </c>
      <c r="AX201" s="319">
        <v>2.4630000000000001</v>
      </c>
      <c r="AY201" s="319">
        <v>0.22900000000000001</v>
      </c>
      <c r="AZ201" s="319">
        <v>1</v>
      </c>
      <c r="BA201" s="319">
        <v>0</v>
      </c>
      <c r="BB201" s="319">
        <v>0</v>
      </c>
      <c r="BC201" s="319">
        <v>0</v>
      </c>
      <c r="BD201" s="319">
        <v>0</v>
      </c>
      <c r="BE201" s="319">
        <v>0</v>
      </c>
      <c r="BF201" s="319">
        <v>0</v>
      </c>
      <c r="BG201" s="319">
        <v>0</v>
      </c>
      <c r="BH201" s="319">
        <v>0</v>
      </c>
      <c r="BI201" s="317">
        <f t="shared" ref="BI201:BI264" si="39">SUM(AV201:BH201)</f>
        <v>3.6920000000000002</v>
      </c>
      <c r="BJ201" s="316">
        <v>0.61699999999999999</v>
      </c>
      <c r="BK201" s="316">
        <v>2</v>
      </c>
      <c r="BL201" s="316">
        <v>0.17699999999999999</v>
      </c>
      <c r="BM201" s="316">
        <v>0.66300000000000003</v>
      </c>
      <c r="BN201" s="316">
        <v>0.30299999999999999</v>
      </c>
      <c r="BO201" s="316">
        <v>1</v>
      </c>
      <c r="BP201" s="316">
        <v>0</v>
      </c>
      <c r="BQ201" s="316">
        <v>0</v>
      </c>
      <c r="BR201" s="316">
        <v>0</v>
      </c>
      <c r="BS201" s="316">
        <v>0</v>
      </c>
      <c r="BT201" s="316">
        <v>0</v>
      </c>
      <c r="BU201" s="316">
        <v>0</v>
      </c>
      <c r="BV201" s="316">
        <v>0</v>
      </c>
      <c r="BW201" s="317">
        <f t="shared" si="38"/>
        <v>4.76</v>
      </c>
    </row>
    <row r="202" spans="1:75" x14ac:dyDescent="0.2">
      <c r="A202" s="20" t="str">
        <f>'School Level Inst. Resources'!A202</f>
        <v>1301000</v>
      </c>
      <c r="B202" s="20" t="str">
        <f>'School Level Inst. Resources'!B202</f>
        <v>Natrona #1</v>
      </c>
      <c r="C202" s="20" t="str">
        <f>'School Level Inst. Resources'!C202</f>
        <v>1301002</v>
      </c>
      <c r="D202" s="20" t="str">
        <f>'School Level Inst. Resources'!D202</f>
        <v>Crest Hill Elementary</v>
      </c>
      <c r="E202" s="138" t="str">
        <f>'School Level Inst. Resources'!E202</f>
        <v>K-5</v>
      </c>
      <c r="F202" s="317">
        <f>IF(AND($A$2=4,VLOOKUP($A202,'District Level ADM'!$A$5:$W$52,5,FALSE)="Prior Year"),AH202,IF(AND($A$2=4,VLOOKUP($A202,'District Level ADM'!$A$5:$W$52,5,FALSE)="3-Year Avg."),T202,IF($A$2=2,AH202,IF($A$2=3,T202,IF(($AG202&gt;$AU202),T202,AH202)))))</f>
        <v>68.131479532163738</v>
      </c>
      <c r="G202" s="317">
        <f>IF(AND($A$2=4,VLOOKUP($A202,'District Level ADM'!$A$5:$W$52,5,FALSE)="Prior Year"),AI202,IF(AND($A$2=4,VLOOKUP($A202,'District Level ADM'!$A$5:$W$52,5,FALSE)="3-Year Avg."),U202,IF($A$2=2,AI202,IF($A$2=3,U202,IF(($AG202&gt;$AU202),U202,AI202)))))</f>
        <v>53.046812865497067</v>
      </c>
      <c r="H202" s="317">
        <f>IF(AND($A$2=4,VLOOKUP($A202,'District Level ADM'!$A$5:$W$52,5,FALSE)="Prior Year"),AJ202,IF(AND($A$2=4,VLOOKUP($A202,'District Level ADM'!$A$5:$W$52,5,FALSE)="3-Year Avg."),V202,IF($A$2=2,AJ202,IF($A$2=3,V202,IF(($AG202&gt;$AU202),V202,AJ202)))))</f>
        <v>52.751479532163749</v>
      </c>
      <c r="I202" s="317">
        <f>IF(AND($A$2=4,VLOOKUP($A202,'District Level ADM'!$A$5:$W$52,5,FALSE)="Prior Year"),AK202,IF(AND($A$2=4,VLOOKUP($A202,'District Level ADM'!$A$5:$W$52,5,FALSE)="3-Year Avg."),W202,IF($A$2=2,AK202,IF($A$2=3,W202,IF(($AG202&gt;$AU202),W202,AK202)))))</f>
        <v>55.221812865497078</v>
      </c>
      <c r="J202" s="317">
        <f>IF(AND($A$2=4,VLOOKUP($A202,'District Level ADM'!$A$5:$W$52,5,FALSE)="Prior Year"),AL202,IF(AND($A$2=4,VLOOKUP($A202,'District Level ADM'!$A$5:$W$52,5,FALSE)="3-Year Avg."),X202,IF($A$2=2,AL202,IF($A$2=3,X202,IF(($AG202&gt;$AU202),X202,AL202)))))</f>
        <v>53.401146198830411</v>
      </c>
      <c r="K202" s="317">
        <f>IF(AND($A$2=4,VLOOKUP($A202,'District Level ADM'!$A$5:$W$52,5,FALSE)="Prior Year"),AM202,IF(AND($A$2=4,VLOOKUP($A202,'District Level ADM'!$A$5:$W$52,5,FALSE)="3-Year Avg."),Y202,IF($A$2=2,AM202,IF($A$2=3,Y202,IF(($AG202&gt;$AU202),Y202,AM202)))))</f>
        <v>51.965812865497071</v>
      </c>
      <c r="L202" s="317">
        <f>IF(AND($A$2=4,VLOOKUP($A202,'District Level ADM'!$A$5:$W$52,5,FALSE)="Prior Year"),AN202,IF(AND($A$2=4,VLOOKUP($A202,'District Level ADM'!$A$5:$W$52,5,FALSE)="3-Year Avg."),Z202,IF($A$2=2,AN202,IF($A$2=3,Z202,IF(($AG202&gt;$AU202),Z202,AN202)))))</f>
        <v>0</v>
      </c>
      <c r="M202" s="317">
        <f>IF(AND($A$2=4,VLOOKUP($A202,'District Level ADM'!$A$5:$W$52,5,FALSE)="Prior Year"),AO202,IF(AND($A$2=4,VLOOKUP($A202,'District Level ADM'!$A$5:$W$52,5,FALSE)="3-Year Avg."),AA202,IF($A$2=2,AO202,IF($A$2=3,AA202,IF(($AG202&gt;$AU202),AA202,AO202)))))</f>
        <v>0</v>
      </c>
      <c r="N202" s="317">
        <f>IF(AND($A$2=4,VLOOKUP($A202,'District Level ADM'!$A$5:$W$52,5,FALSE)="Prior Year"),AP202,IF(AND($A$2=4,VLOOKUP($A202,'District Level ADM'!$A$5:$W$52,5,FALSE)="3-Year Avg."),AB202,IF($A$2=2,AP202,IF($A$2=3,AB202,IF(($AG202&gt;$AU202),AB202,AP202)))))</f>
        <v>0</v>
      </c>
      <c r="O202" s="317">
        <f>IF(AND($A$2=4,VLOOKUP($A202,'District Level ADM'!$A$5:$W$52,5,FALSE)="Prior Year"),AQ202,IF(AND($A$2=4,VLOOKUP($A202,'District Level ADM'!$A$5:$W$52,5,FALSE)="3-Year Avg."),AC202,IF($A$2=2,AQ202,IF($A$2=3,AC202,IF(($AG202&gt;$AU202),AC202,AQ202)))))</f>
        <v>0</v>
      </c>
      <c r="P202" s="317">
        <f>IF(AND($A$2=4,VLOOKUP($A202,'District Level ADM'!$A$5:$W$52,5,FALSE)="Prior Year"),AR202,IF(AND($A$2=4,VLOOKUP($A202,'District Level ADM'!$A$5:$W$52,5,FALSE)="3-Year Avg."),AD202,IF($A$2=2,AR202,IF($A$2=3,AD202,IF(($AG202&gt;$AU202),AD202,AR202)))))</f>
        <v>0</v>
      </c>
      <c r="Q202" s="317">
        <f>IF(AND($A$2=4,VLOOKUP($A202,'District Level ADM'!$A$5:$W$52,5,FALSE)="Prior Year"),AS202,IF(AND($A$2=4,VLOOKUP($A202,'District Level ADM'!$A$5:$W$52,5,FALSE)="3-Year Avg."),AE202,IF($A$2=2,AS202,IF($A$2=3,AE202,IF(($AG202&gt;$AU202),AE202,AS202)))))</f>
        <v>0</v>
      </c>
      <c r="R202" s="317">
        <f>IF(AND($A$2=4,VLOOKUP($A202,'District Level ADM'!$A$5:$W$52,5,FALSE)="Prior Year"),AT202,IF(AND($A$2=4,VLOOKUP($A202,'District Level ADM'!$A$5:$W$52,5,FALSE)="3-Year Avg."),AF202,IF($A$2=2,AT202,IF($A$2=3,AF202,IF(($AG202&gt;$AU202),AF202,AT202)))))</f>
        <v>0</v>
      </c>
      <c r="S202" s="317">
        <f t="shared" si="35"/>
        <v>334.51854385964913</v>
      </c>
      <c r="T202" s="317">
        <f t="shared" si="34"/>
        <v>68.131479532163738</v>
      </c>
      <c r="U202" s="317">
        <f t="shared" si="33"/>
        <v>53.046812865497067</v>
      </c>
      <c r="V202" s="317">
        <f t="shared" si="33"/>
        <v>52.751479532163749</v>
      </c>
      <c r="W202" s="317">
        <f t="shared" si="33"/>
        <v>55.221812865497078</v>
      </c>
      <c r="X202" s="317">
        <f t="shared" si="33"/>
        <v>53.401146198830411</v>
      </c>
      <c r="Y202" s="317">
        <f t="shared" si="33"/>
        <v>51.965812865497071</v>
      </c>
      <c r="Z202" s="317">
        <f t="shared" si="33"/>
        <v>0</v>
      </c>
      <c r="AA202" s="317">
        <f t="shared" si="33"/>
        <v>0</v>
      </c>
      <c r="AB202" s="317">
        <f t="shared" si="33"/>
        <v>0</v>
      </c>
      <c r="AC202" s="317">
        <f t="shared" si="33"/>
        <v>0</v>
      </c>
      <c r="AD202" s="317">
        <f t="shared" si="30"/>
        <v>0</v>
      </c>
      <c r="AE202" s="317">
        <f t="shared" si="30"/>
        <v>0</v>
      </c>
      <c r="AF202" s="317">
        <f t="shared" si="30"/>
        <v>0</v>
      </c>
      <c r="AG202" s="317">
        <f t="shared" si="36"/>
        <v>334.51854385964913</v>
      </c>
      <c r="AH202" s="318">
        <v>66.98</v>
      </c>
      <c r="AI202" s="318">
        <v>52.204999999999998</v>
      </c>
      <c r="AJ202" s="318">
        <v>52.204999999999998</v>
      </c>
      <c r="AK202" s="318">
        <v>55.16</v>
      </c>
      <c r="AL202" s="318">
        <v>55.16</v>
      </c>
      <c r="AM202" s="318">
        <v>51.22</v>
      </c>
      <c r="AN202" s="318">
        <v>0</v>
      </c>
      <c r="AO202" s="318">
        <v>0</v>
      </c>
      <c r="AP202" s="318">
        <v>0</v>
      </c>
      <c r="AQ202" s="318">
        <v>0</v>
      </c>
      <c r="AR202" s="318">
        <v>0</v>
      </c>
      <c r="AS202" s="318">
        <v>0</v>
      </c>
      <c r="AT202" s="318">
        <v>0</v>
      </c>
      <c r="AU202" s="317">
        <f t="shared" si="37"/>
        <v>332.92999999999995</v>
      </c>
      <c r="AV202" s="319">
        <v>70.293754385964917</v>
      </c>
      <c r="AW202" s="319">
        <v>53.99175438596491</v>
      </c>
      <c r="AX202" s="319">
        <v>49.225754385964912</v>
      </c>
      <c r="AY202" s="319">
        <v>55.173754385964912</v>
      </c>
      <c r="AZ202" s="319">
        <v>51.865754385964912</v>
      </c>
      <c r="BA202" s="319">
        <v>51.773754385964907</v>
      </c>
      <c r="BB202" s="319">
        <v>0</v>
      </c>
      <c r="BC202" s="319">
        <v>0</v>
      </c>
      <c r="BD202" s="319">
        <v>0</v>
      </c>
      <c r="BE202" s="319">
        <v>0</v>
      </c>
      <c r="BF202" s="319">
        <v>0</v>
      </c>
      <c r="BG202" s="319">
        <v>0</v>
      </c>
      <c r="BH202" s="319">
        <v>0</v>
      </c>
      <c r="BI202" s="317">
        <f t="shared" si="39"/>
        <v>332.32452631578951</v>
      </c>
      <c r="BJ202" s="316">
        <v>67.120684210526306</v>
      </c>
      <c r="BK202" s="316">
        <v>52.943684210526314</v>
      </c>
      <c r="BL202" s="316">
        <v>56.823684210526316</v>
      </c>
      <c r="BM202" s="316">
        <v>55.331684210526319</v>
      </c>
      <c r="BN202" s="316">
        <v>53.177684210526316</v>
      </c>
      <c r="BO202" s="316">
        <v>52.903684210526315</v>
      </c>
      <c r="BP202" s="316">
        <v>0</v>
      </c>
      <c r="BQ202" s="316">
        <v>0</v>
      </c>
      <c r="BR202" s="316">
        <v>0</v>
      </c>
      <c r="BS202" s="316">
        <v>0</v>
      </c>
      <c r="BT202" s="316">
        <v>0</v>
      </c>
      <c r="BU202" s="316">
        <v>0</v>
      </c>
      <c r="BV202" s="316">
        <v>0</v>
      </c>
      <c r="BW202" s="317">
        <f t="shared" si="38"/>
        <v>338.30110526315787</v>
      </c>
    </row>
    <row r="203" spans="1:75" x14ac:dyDescent="0.2">
      <c r="A203" s="20" t="str">
        <f>'School Level Inst. Resources'!A203</f>
        <v>1301000</v>
      </c>
      <c r="B203" s="20" t="str">
        <f>'School Level Inst. Resources'!B203</f>
        <v>Natrona #1</v>
      </c>
      <c r="C203" s="20" t="str">
        <f>'School Level Inst. Resources'!C203</f>
        <v>1301003</v>
      </c>
      <c r="D203" s="20" t="str">
        <f>'School Level Inst. Resources'!D203</f>
        <v>Evansville Elementary</v>
      </c>
      <c r="E203" s="138" t="str">
        <f>'School Level Inst. Resources'!E203</f>
        <v>P-5</v>
      </c>
      <c r="F203" s="317">
        <f>IF(AND($A$2=4,VLOOKUP($A203,'District Level ADM'!$A$5:$W$52,5,FALSE)="Prior Year"),AH203,IF(AND($A$2=4,VLOOKUP($A203,'District Level ADM'!$A$5:$W$52,5,FALSE)="3-Year Avg."),T203,IF($A$2=2,AH203,IF($A$2=3,T203,IF(($AG203&gt;$AU203),T203,AH203)))))</f>
        <v>46.962479532163741</v>
      </c>
      <c r="G203" s="317">
        <f>IF(AND($A$2=4,VLOOKUP($A203,'District Level ADM'!$A$5:$W$52,5,FALSE)="Prior Year"),AI203,IF(AND($A$2=4,VLOOKUP($A203,'District Level ADM'!$A$5:$W$52,5,FALSE)="3-Year Avg."),U203,IF($A$2=2,AI203,IF($A$2=3,U203,IF(($AG203&gt;$AU203),U203,AI203)))))</f>
        <v>46.006146198830407</v>
      </c>
      <c r="H203" s="317">
        <f>IF(AND($A$2=4,VLOOKUP($A203,'District Level ADM'!$A$5:$W$52,5,FALSE)="Prior Year"),AJ203,IF(AND($A$2=4,VLOOKUP($A203,'District Level ADM'!$A$5:$W$52,5,FALSE)="3-Year Avg."),V203,IF($A$2=2,AJ203,IF($A$2=3,V203,IF(($AG203&gt;$AU203),V203,AJ203)))))</f>
        <v>44.568146198830412</v>
      </c>
      <c r="I203" s="317">
        <f>IF(AND($A$2=4,VLOOKUP($A203,'District Level ADM'!$A$5:$W$52,5,FALSE)="Prior Year"),AK203,IF(AND($A$2=4,VLOOKUP($A203,'District Level ADM'!$A$5:$W$52,5,FALSE)="3-Year Avg."),W203,IF($A$2=2,AK203,IF($A$2=3,W203,IF(($AG203&gt;$AU203),W203,AK203)))))</f>
        <v>48.453479532163747</v>
      </c>
      <c r="J203" s="317">
        <f>IF(AND($A$2=4,VLOOKUP($A203,'District Level ADM'!$A$5:$W$52,5,FALSE)="Prior Year"),AL203,IF(AND($A$2=4,VLOOKUP($A203,'District Level ADM'!$A$5:$W$52,5,FALSE)="3-Year Avg."),X203,IF($A$2=2,AL203,IF($A$2=3,X203,IF(($AG203&gt;$AU203),X203,AL203)))))</f>
        <v>48.592146198830413</v>
      </c>
      <c r="K203" s="317">
        <f>IF(AND($A$2=4,VLOOKUP($A203,'District Level ADM'!$A$5:$W$52,5,FALSE)="Prior Year"),AM203,IF(AND($A$2=4,VLOOKUP($A203,'District Level ADM'!$A$5:$W$52,5,FALSE)="3-Year Avg."),Y203,IF($A$2=2,AM203,IF($A$2=3,Y203,IF(($AG203&gt;$AU203),Y203,AM203)))))</f>
        <v>44.655479532163746</v>
      </c>
      <c r="L203" s="317">
        <f>IF(AND($A$2=4,VLOOKUP($A203,'District Level ADM'!$A$5:$W$52,5,FALSE)="Prior Year"),AN203,IF(AND($A$2=4,VLOOKUP($A203,'District Level ADM'!$A$5:$W$52,5,FALSE)="3-Year Avg."),Z203,IF($A$2=2,AN203,IF($A$2=3,Z203,IF(($AG203&gt;$AU203),Z203,AN203)))))</f>
        <v>0</v>
      </c>
      <c r="M203" s="317">
        <f>IF(AND($A$2=4,VLOOKUP($A203,'District Level ADM'!$A$5:$W$52,5,FALSE)="Prior Year"),AO203,IF(AND($A$2=4,VLOOKUP($A203,'District Level ADM'!$A$5:$W$52,5,FALSE)="3-Year Avg."),AA203,IF($A$2=2,AO203,IF($A$2=3,AA203,IF(($AG203&gt;$AU203),AA203,AO203)))))</f>
        <v>0</v>
      </c>
      <c r="N203" s="317">
        <f>IF(AND($A$2=4,VLOOKUP($A203,'District Level ADM'!$A$5:$W$52,5,FALSE)="Prior Year"),AP203,IF(AND($A$2=4,VLOOKUP($A203,'District Level ADM'!$A$5:$W$52,5,FALSE)="3-Year Avg."),AB203,IF($A$2=2,AP203,IF($A$2=3,AB203,IF(($AG203&gt;$AU203),AB203,AP203)))))</f>
        <v>0</v>
      </c>
      <c r="O203" s="317">
        <f>IF(AND($A$2=4,VLOOKUP($A203,'District Level ADM'!$A$5:$W$52,5,FALSE)="Prior Year"),AQ203,IF(AND($A$2=4,VLOOKUP($A203,'District Level ADM'!$A$5:$W$52,5,FALSE)="3-Year Avg."),AC203,IF($A$2=2,AQ203,IF($A$2=3,AC203,IF(($AG203&gt;$AU203),AC203,AQ203)))))</f>
        <v>0</v>
      </c>
      <c r="P203" s="317">
        <f>IF(AND($A$2=4,VLOOKUP($A203,'District Level ADM'!$A$5:$W$52,5,FALSE)="Prior Year"),AR203,IF(AND($A$2=4,VLOOKUP($A203,'District Level ADM'!$A$5:$W$52,5,FALSE)="3-Year Avg."),AD203,IF($A$2=2,AR203,IF($A$2=3,AD203,IF(($AG203&gt;$AU203),AD203,AR203)))))</f>
        <v>0</v>
      </c>
      <c r="Q203" s="317">
        <f>IF(AND($A$2=4,VLOOKUP($A203,'District Level ADM'!$A$5:$W$52,5,FALSE)="Prior Year"),AS203,IF(AND($A$2=4,VLOOKUP($A203,'District Level ADM'!$A$5:$W$52,5,FALSE)="3-Year Avg."),AE203,IF($A$2=2,AS203,IF($A$2=3,AE203,IF(($AG203&gt;$AU203),AE203,AS203)))))</f>
        <v>0</v>
      </c>
      <c r="R203" s="317">
        <f>IF(AND($A$2=4,VLOOKUP($A203,'District Level ADM'!$A$5:$W$52,5,FALSE)="Prior Year"),AT203,IF(AND($A$2=4,VLOOKUP($A203,'District Level ADM'!$A$5:$W$52,5,FALSE)="3-Year Avg."),AF203,IF($A$2=2,AT203,IF($A$2=3,AF203,IF(($AG203&gt;$AU203),AF203,AT203)))))</f>
        <v>0</v>
      </c>
      <c r="S203" s="317">
        <f t="shared" si="35"/>
        <v>279.23787719298247</v>
      </c>
      <c r="T203" s="317">
        <f t="shared" si="34"/>
        <v>46.962479532163741</v>
      </c>
      <c r="U203" s="317">
        <f t="shared" si="33"/>
        <v>46.006146198830407</v>
      </c>
      <c r="V203" s="317">
        <f t="shared" si="33"/>
        <v>44.568146198830412</v>
      </c>
      <c r="W203" s="317">
        <f t="shared" si="33"/>
        <v>48.453479532163747</v>
      </c>
      <c r="X203" s="317">
        <f t="shared" si="33"/>
        <v>48.592146198830413</v>
      </c>
      <c r="Y203" s="317">
        <f t="shared" si="33"/>
        <v>44.655479532163746</v>
      </c>
      <c r="Z203" s="317">
        <f t="shared" si="33"/>
        <v>0</v>
      </c>
      <c r="AA203" s="317">
        <f t="shared" si="33"/>
        <v>0</v>
      </c>
      <c r="AB203" s="317">
        <f t="shared" si="33"/>
        <v>0</v>
      </c>
      <c r="AC203" s="317">
        <f t="shared" si="33"/>
        <v>0</v>
      </c>
      <c r="AD203" s="317">
        <f t="shared" si="30"/>
        <v>0</v>
      </c>
      <c r="AE203" s="317">
        <f t="shared" si="30"/>
        <v>0</v>
      </c>
      <c r="AF203" s="317">
        <f t="shared" si="30"/>
        <v>0</v>
      </c>
      <c r="AG203" s="317">
        <f t="shared" si="36"/>
        <v>279.23787719298247</v>
      </c>
      <c r="AH203" s="318">
        <v>52.204999999999998</v>
      </c>
      <c r="AI203" s="318">
        <v>52.204999999999998</v>
      </c>
      <c r="AJ203" s="318">
        <v>33.49</v>
      </c>
      <c r="AK203" s="318">
        <v>43.34</v>
      </c>
      <c r="AL203" s="318">
        <v>45.31</v>
      </c>
      <c r="AM203" s="318">
        <v>46.295000000000002</v>
      </c>
      <c r="AN203" s="318">
        <v>0</v>
      </c>
      <c r="AO203" s="318">
        <v>0</v>
      </c>
      <c r="AP203" s="318">
        <v>0</v>
      </c>
      <c r="AQ203" s="318">
        <v>0</v>
      </c>
      <c r="AR203" s="318">
        <v>0</v>
      </c>
      <c r="AS203" s="318">
        <v>0</v>
      </c>
      <c r="AT203" s="318">
        <v>0</v>
      </c>
      <c r="AU203" s="317">
        <f t="shared" si="37"/>
        <v>272.84500000000003</v>
      </c>
      <c r="AV203" s="319">
        <v>51.693754385964908</v>
      </c>
      <c r="AW203" s="319">
        <v>38.048754385964912</v>
      </c>
      <c r="AX203" s="319">
        <v>47.882754385964908</v>
      </c>
      <c r="AY203" s="319">
        <v>49.591754385964911</v>
      </c>
      <c r="AZ203" s="319">
        <v>50.385754385964908</v>
      </c>
      <c r="BA203" s="319">
        <v>46.973754385964909</v>
      </c>
      <c r="BB203" s="319">
        <v>0</v>
      </c>
      <c r="BC203" s="319">
        <v>0</v>
      </c>
      <c r="BD203" s="319">
        <v>0</v>
      </c>
      <c r="BE203" s="319">
        <v>0</v>
      </c>
      <c r="BF203" s="319">
        <v>0</v>
      </c>
      <c r="BG203" s="319">
        <v>0</v>
      </c>
      <c r="BH203" s="319">
        <v>0</v>
      </c>
      <c r="BI203" s="317">
        <f t="shared" si="39"/>
        <v>284.57652631578947</v>
      </c>
      <c r="BJ203" s="316">
        <v>36.988684210526316</v>
      </c>
      <c r="BK203" s="316">
        <v>47.764684210526319</v>
      </c>
      <c r="BL203" s="316">
        <v>52.331684210526319</v>
      </c>
      <c r="BM203" s="316">
        <v>52.42868421052632</v>
      </c>
      <c r="BN203" s="316">
        <v>50.080684210526314</v>
      </c>
      <c r="BO203" s="316">
        <v>40.697684210526319</v>
      </c>
      <c r="BP203" s="316">
        <v>0</v>
      </c>
      <c r="BQ203" s="316">
        <v>0</v>
      </c>
      <c r="BR203" s="316">
        <v>0</v>
      </c>
      <c r="BS203" s="316">
        <v>0</v>
      </c>
      <c r="BT203" s="316">
        <v>0</v>
      </c>
      <c r="BU203" s="316">
        <v>0</v>
      </c>
      <c r="BV203" s="316">
        <v>0</v>
      </c>
      <c r="BW203" s="317">
        <f t="shared" si="38"/>
        <v>280.29210526315785</v>
      </c>
    </row>
    <row r="204" spans="1:75" x14ac:dyDescent="0.2">
      <c r="A204" s="20" t="str">
        <f>'School Level Inst. Resources'!A204</f>
        <v>1301000</v>
      </c>
      <c r="B204" s="20" t="str">
        <f>'School Level Inst. Resources'!B204</f>
        <v>Natrona #1</v>
      </c>
      <c r="C204" s="20" t="str">
        <f>'School Level Inst. Resources'!C204</f>
        <v>1301005</v>
      </c>
      <c r="D204" s="20" t="str">
        <f>'School Level Inst. Resources'!D204</f>
        <v>Cottonwood Elementary</v>
      </c>
      <c r="E204" s="138" t="str">
        <f>'School Level Inst. Resources'!E204</f>
        <v>P-5</v>
      </c>
      <c r="F204" s="317">
        <f>IF(AND($A$2=4,VLOOKUP($A204,'District Level ADM'!$A$5:$W$52,5,FALSE)="Prior Year"),AH204,IF(AND($A$2=4,VLOOKUP($A204,'District Level ADM'!$A$5:$W$52,5,FALSE)="3-Year Avg."),T204,IF($A$2=2,AH204,IF($A$2=3,T204,IF(($AG204&gt;$AU204),T204,AH204)))))</f>
        <v>59.366146198830414</v>
      </c>
      <c r="G204" s="317">
        <f>IF(AND($A$2=4,VLOOKUP($A204,'District Level ADM'!$A$5:$W$52,5,FALSE)="Prior Year"),AI204,IF(AND($A$2=4,VLOOKUP($A204,'District Level ADM'!$A$5:$W$52,5,FALSE)="3-Year Avg."),U204,IF($A$2=2,AI204,IF($A$2=3,U204,IF(($AG204&gt;$AU204),U204,AI204)))))</f>
        <v>54.732479532163744</v>
      </c>
      <c r="H204" s="317">
        <f>IF(AND($A$2=4,VLOOKUP($A204,'District Level ADM'!$A$5:$W$52,5,FALSE)="Prior Year"),AJ204,IF(AND($A$2=4,VLOOKUP($A204,'District Level ADM'!$A$5:$W$52,5,FALSE)="3-Year Avg."),V204,IF($A$2=2,AJ204,IF($A$2=3,V204,IF(($AG204&gt;$AU204),V204,AJ204)))))</f>
        <v>52.805812865497074</v>
      </c>
      <c r="I204" s="317">
        <f>IF(AND($A$2=4,VLOOKUP($A204,'District Level ADM'!$A$5:$W$52,5,FALSE)="Prior Year"),AK204,IF(AND($A$2=4,VLOOKUP($A204,'District Level ADM'!$A$5:$W$52,5,FALSE)="3-Year Avg."),W204,IF($A$2=2,AK204,IF($A$2=3,W204,IF(($AG204&gt;$AU204),W204,AK204)))))</f>
        <v>51.746146198830409</v>
      </c>
      <c r="J204" s="317">
        <f>IF(AND($A$2=4,VLOOKUP($A204,'District Level ADM'!$A$5:$W$52,5,FALSE)="Prior Year"),AL204,IF(AND($A$2=4,VLOOKUP($A204,'District Level ADM'!$A$5:$W$52,5,FALSE)="3-Year Avg."),X204,IF($A$2=2,AL204,IF($A$2=3,X204,IF(($AG204&gt;$AU204),X204,AL204)))))</f>
        <v>51.154479532163748</v>
      </c>
      <c r="K204" s="317">
        <f>IF(AND($A$2=4,VLOOKUP($A204,'District Level ADM'!$A$5:$W$52,5,FALSE)="Prior Year"),AM204,IF(AND($A$2=4,VLOOKUP($A204,'District Level ADM'!$A$5:$W$52,5,FALSE)="3-Year Avg."),Y204,IF($A$2=2,AM204,IF($A$2=3,Y204,IF(($AG204&gt;$AU204),Y204,AM204)))))</f>
        <v>52.851146198830406</v>
      </c>
      <c r="L204" s="317">
        <f>IF(AND($A$2=4,VLOOKUP($A204,'District Level ADM'!$A$5:$W$52,5,FALSE)="Prior Year"),AN204,IF(AND($A$2=4,VLOOKUP($A204,'District Level ADM'!$A$5:$W$52,5,FALSE)="3-Year Avg."),Z204,IF($A$2=2,AN204,IF($A$2=3,Z204,IF(($AG204&gt;$AU204),Z204,AN204)))))</f>
        <v>0</v>
      </c>
      <c r="M204" s="317">
        <f>IF(AND($A$2=4,VLOOKUP($A204,'District Level ADM'!$A$5:$W$52,5,FALSE)="Prior Year"),AO204,IF(AND($A$2=4,VLOOKUP($A204,'District Level ADM'!$A$5:$W$52,5,FALSE)="3-Year Avg."),AA204,IF($A$2=2,AO204,IF($A$2=3,AA204,IF(($AG204&gt;$AU204),AA204,AO204)))))</f>
        <v>0</v>
      </c>
      <c r="N204" s="317">
        <f>IF(AND($A$2=4,VLOOKUP($A204,'District Level ADM'!$A$5:$W$52,5,FALSE)="Prior Year"),AP204,IF(AND($A$2=4,VLOOKUP($A204,'District Level ADM'!$A$5:$W$52,5,FALSE)="3-Year Avg."),AB204,IF($A$2=2,AP204,IF($A$2=3,AB204,IF(($AG204&gt;$AU204),AB204,AP204)))))</f>
        <v>0</v>
      </c>
      <c r="O204" s="317">
        <f>IF(AND($A$2=4,VLOOKUP($A204,'District Level ADM'!$A$5:$W$52,5,FALSE)="Prior Year"),AQ204,IF(AND($A$2=4,VLOOKUP($A204,'District Level ADM'!$A$5:$W$52,5,FALSE)="3-Year Avg."),AC204,IF($A$2=2,AQ204,IF($A$2=3,AC204,IF(($AG204&gt;$AU204),AC204,AQ204)))))</f>
        <v>0</v>
      </c>
      <c r="P204" s="317">
        <f>IF(AND($A$2=4,VLOOKUP($A204,'District Level ADM'!$A$5:$W$52,5,FALSE)="Prior Year"),AR204,IF(AND($A$2=4,VLOOKUP($A204,'District Level ADM'!$A$5:$W$52,5,FALSE)="3-Year Avg."),AD204,IF($A$2=2,AR204,IF($A$2=3,AD204,IF(($AG204&gt;$AU204),AD204,AR204)))))</f>
        <v>0</v>
      </c>
      <c r="Q204" s="317">
        <f>IF(AND($A$2=4,VLOOKUP($A204,'District Level ADM'!$A$5:$W$52,5,FALSE)="Prior Year"),AS204,IF(AND($A$2=4,VLOOKUP($A204,'District Level ADM'!$A$5:$W$52,5,FALSE)="3-Year Avg."),AE204,IF($A$2=2,AS204,IF($A$2=3,AE204,IF(($AG204&gt;$AU204),AE204,AS204)))))</f>
        <v>0</v>
      </c>
      <c r="R204" s="317">
        <f>IF(AND($A$2=4,VLOOKUP($A204,'District Level ADM'!$A$5:$W$52,5,FALSE)="Prior Year"),AT204,IF(AND($A$2=4,VLOOKUP($A204,'District Level ADM'!$A$5:$W$52,5,FALSE)="3-Year Avg."),AF204,IF($A$2=2,AT204,IF($A$2=3,AF204,IF(($AG204&gt;$AU204),AF204,AT204)))))</f>
        <v>0</v>
      </c>
      <c r="S204" s="317">
        <f t="shared" si="35"/>
        <v>322.65621052631582</v>
      </c>
      <c r="T204" s="317">
        <f t="shared" si="34"/>
        <v>59.366146198830414</v>
      </c>
      <c r="U204" s="317">
        <f t="shared" si="33"/>
        <v>54.732479532163744</v>
      </c>
      <c r="V204" s="317">
        <f t="shared" si="33"/>
        <v>52.805812865497074</v>
      </c>
      <c r="W204" s="317">
        <f t="shared" si="33"/>
        <v>51.746146198830409</v>
      </c>
      <c r="X204" s="317">
        <f t="shared" si="33"/>
        <v>51.154479532163748</v>
      </c>
      <c r="Y204" s="317">
        <f t="shared" si="33"/>
        <v>52.851146198830406</v>
      </c>
      <c r="Z204" s="317">
        <f t="shared" si="33"/>
        <v>0</v>
      </c>
      <c r="AA204" s="317">
        <f t="shared" si="33"/>
        <v>0</v>
      </c>
      <c r="AB204" s="317">
        <f t="shared" si="33"/>
        <v>0</v>
      </c>
      <c r="AC204" s="317">
        <f t="shared" si="33"/>
        <v>0</v>
      </c>
      <c r="AD204" s="317">
        <f t="shared" si="30"/>
        <v>0</v>
      </c>
      <c r="AE204" s="317">
        <f t="shared" si="30"/>
        <v>0</v>
      </c>
      <c r="AF204" s="317">
        <f t="shared" si="30"/>
        <v>0</v>
      </c>
      <c r="AG204" s="317">
        <f t="shared" si="36"/>
        <v>322.65621052631582</v>
      </c>
      <c r="AH204" s="318">
        <v>54.174999999999997</v>
      </c>
      <c r="AI204" s="318">
        <v>55.16</v>
      </c>
      <c r="AJ204" s="318">
        <v>51.22</v>
      </c>
      <c r="AK204" s="318">
        <v>50.234999999999999</v>
      </c>
      <c r="AL204" s="318">
        <v>51.22</v>
      </c>
      <c r="AM204" s="318">
        <v>53.19</v>
      </c>
      <c r="AN204" s="318">
        <v>0</v>
      </c>
      <c r="AO204" s="318">
        <v>0</v>
      </c>
      <c r="AP204" s="318">
        <v>0</v>
      </c>
      <c r="AQ204" s="318">
        <v>0</v>
      </c>
      <c r="AR204" s="318">
        <v>0</v>
      </c>
      <c r="AS204" s="318">
        <v>0</v>
      </c>
      <c r="AT204" s="318">
        <v>0</v>
      </c>
      <c r="AU204" s="317">
        <f t="shared" si="37"/>
        <v>315.2</v>
      </c>
      <c r="AV204" s="319">
        <v>55.499754385964913</v>
      </c>
      <c r="AW204" s="319">
        <v>54.568754385964908</v>
      </c>
      <c r="AX204" s="319">
        <v>53.151754385964907</v>
      </c>
      <c r="AY204" s="319">
        <v>50.145754385964906</v>
      </c>
      <c r="AZ204" s="319">
        <v>49.459754385964906</v>
      </c>
      <c r="BA204" s="319">
        <v>52.779754385964907</v>
      </c>
      <c r="BB204" s="319">
        <v>0</v>
      </c>
      <c r="BC204" s="319">
        <v>0</v>
      </c>
      <c r="BD204" s="319">
        <v>0</v>
      </c>
      <c r="BE204" s="319">
        <v>0</v>
      </c>
      <c r="BF204" s="319">
        <v>0</v>
      </c>
      <c r="BG204" s="319">
        <v>0</v>
      </c>
      <c r="BH204" s="319">
        <v>0</v>
      </c>
      <c r="BI204" s="317">
        <f t="shared" si="39"/>
        <v>315.60552631578946</v>
      </c>
      <c r="BJ204" s="316">
        <v>68.423684210526304</v>
      </c>
      <c r="BK204" s="316">
        <v>54.46868421052632</v>
      </c>
      <c r="BL204" s="316">
        <v>54.045684210526318</v>
      </c>
      <c r="BM204" s="316">
        <v>54.857684210526315</v>
      </c>
      <c r="BN204" s="316">
        <v>52.783684210526317</v>
      </c>
      <c r="BO204" s="316">
        <v>52.583684210526314</v>
      </c>
      <c r="BP204" s="316">
        <v>0</v>
      </c>
      <c r="BQ204" s="316">
        <v>0</v>
      </c>
      <c r="BR204" s="316">
        <v>0</v>
      </c>
      <c r="BS204" s="316">
        <v>0</v>
      </c>
      <c r="BT204" s="316">
        <v>0</v>
      </c>
      <c r="BU204" s="316">
        <v>0</v>
      </c>
      <c r="BV204" s="316">
        <v>0</v>
      </c>
      <c r="BW204" s="317">
        <f t="shared" si="38"/>
        <v>337.16310526315789</v>
      </c>
    </row>
    <row r="205" spans="1:75" x14ac:dyDescent="0.2">
      <c r="A205" s="20" t="str">
        <f>'School Level Inst. Resources'!A205</f>
        <v>1301000</v>
      </c>
      <c r="B205" s="20" t="str">
        <f>'School Level Inst. Resources'!B205</f>
        <v>Natrona #1</v>
      </c>
      <c r="C205" s="20" t="str">
        <f>'School Level Inst. Resources'!C205</f>
        <v>1301006</v>
      </c>
      <c r="D205" s="20" t="str">
        <f>'School Level Inst. Resources'!D205</f>
        <v>Ft. Caspar Academy</v>
      </c>
      <c r="E205" s="138" t="str">
        <f>'School Level Inst. Resources'!E205</f>
        <v>K-6</v>
      </c>
      <c r="F205" s="317">
        <f>IF(AND($A$2=4,VLOOKUP($A205,'District Level ADM'!$A$5:$W$52,5,FALSE)="Prior Year"),AH205,IF(AND($A$2=4,VLOOKUP($A205,'District Level ADM'!$A$5:$W$52,5,FALSE)="3-Year Avg."),T205,IF($A$2=2,AH205,IF($A$2=3,T205,IF(($AG205&gt;$AU205),T205,AH205)))))</f>
        <v>70.271479532163724</v>
      </c>
      <c r="G205" s="317">
        <f>IF(AND($A$2=4,VLOOKUP($A205,'District Level ADM'!$A$5:$W$52,5,FALSE)="Prior Year"),AI205,IF(AND($A$2=4,VLOOKUP($A205,'District Level ADM'!$A$5:$W$52,5,FALSE)="3-Year Avg."),U205,IF($A$2=2,AI205,IF($A$2=3,U205,IF(($AG205&gt;$AU205),U205,AI205)))))</f>
        <v>69.32447953216375</v>
      </c>
      <c r="H205" s="317">
        <f>IF(AND($A$2=4,VLOOKUP($A205,'District Level ADM'!$A$5:$W$52,5,FALSE)="Prior Year"),AJ205,IF(AND($A$2=4,VLOOKUP($A205,'District Level ADM'!$A$5:$W$52,5,FALSE)="3-Year Avg."),V205,IF($A$2=2,AJ205,IF($A$2=3,V205,IF(($AG205&gt;$AU205),V205,AJ205)))))</f>
        <v>71.720812865497066</v>
      </c>
      <c r="I205" s="317">
        <f>IF(AND($A$2=4,VLOOKUP($A205,'District Level ADM'!$A$5:$W$52,5,FALSE)="Prior Year"),AK205,IF(AND($A$2=4,VLOOKUP($A205,'District Level ADM'!$A$5:$W$52,5,FALSE)="3-Year Avg."),W205,IF($A$2=2,AK205,IF($A$2=3,W205,IF(($AG205&gt;$AU205),W205,AK205)))))</f>
        <v>71.94747953216374</v>
      </c>
      <c r="J205" s="317">
        <f>IF(AND($A$2=4,VLOOKUP($A205,'District Level ADM'!$A$5:$W$52,5,FALSE)="Prior Year"),AL205,IF(AND($A$2=4,VLOOKUP($A205,'District Level ADM'!$A$5:$W$52,5,FALSE)="3-Year Avg."),X205,IF($A$2=2,AL205,IF($A$2=3,X205,IF(($AG205&gt;$AU205),X205,AL205)))))</f>
        <v>74.019146198830413</v>
      </c>
      <c r="K205" s="317">
        <f>IF(AND($A$2=4,VLOOKUP($A205,'District Level ADM'!$A$5:$W$52,5,FALSE)="Prior Year"),AM205,IF(AND($A$2=4,VLOOKUP($A205,'District Level ADM'!$A$5:$W$52,5,FALSE)="3-Year Avg."),Y205,IF($A$2=2,AM205,IF($A$2=3,Y205,IF(($AG205&gt;$AU205),Y205,AM205)))))</f>
        <v>78.545479532163739</v>
      </c>
      <c r="L205" s="317">
        <f>IF(AND($A$2=4,VLOOKUP($A205,'District Level ADM'!$A$5:$W$52,5,FALSE)="Prior Year"),AN205,IF(AND($A$2=4,VLOOKUP($A205,'District Level ADM'!$A$5:$W$52,5,FALSE)="3-Year Avg."),Z205,IF($A$2=2,AN205,IF($A$2=3,Z205,IF(($AG205&gt;$AU205),Z205,AN205)))))</f>
        <v>0</v>
      </c>
      <c r="M205" s="317">
        <f>IF(AND($A$2=4,VLOOKUP($A205,'District Level ADM'!$A$5:$W$52,5,FALSE)="Prior Year"),AO205,IF(AND($A$2=4,VLOOKUP($A205,'District Level ADM'!$A$5:$W$52,5,FALSE)="3-Year Avg."),AA205,IF($A$2=2,AO205,IF($A$2=3,AA205,IF(($AG205&gt;$AU205),AA205,AO205)))))</f>
        <v>0</v>
      </c>
      <c r="N205" s="317">
        <f>IF(AND($A$2=4,VLOOKUP($A205,'District Level ADM'!$A$5:$W$52,5,FALSE)="Prior Year"),AP205,IF(AND($A$2=4,VLOOKUP($A205,'District Level ADM'!$A$5:$W$52,5,FALSE)="3-Year Avg."),AB205,IF($A$2=2,AP205,IF($A$2=3,AB205,IF(($AG205&gt;$AU205),AB205,AP205)))))</f>
        <v>0</v>
      </c>
      <c r="O205" s="317">
        <f>IF(AND($A$2=4,VLOOKUP($A205,'District Level ADM'!$A$5:$W$52,5,FALSE)="Prior Year"),AQ205,IF(AND($A$2=4,VLOOKUP($A205,'District Level ADM'!$A$5:$W$52,5,FALSE)="3-Year Avg."),AC205,IF($A$2=2,AQ205,IF($A$2=3,AC205,IF(($AG205&gt;$AU205),AC205,AQ205)))))</f>
        <v>0</v>
      </c>
      <c r="P205" s="317">
        <f>IF(AND($A$2=4,VLOOKUP($A205,'District Level ADM'!$A$5:$W$52,5,FALSE)="Prior Year"),AR205,IF(AND($A$2=4,VLOOKUP($A205,'District Level ADM'!$A$5:$W$52,5,FALSE)="3-Year Avg."),AD205,IF($A$2=2,AR205,IF($A$2=3,AD205,IF(($AG205&gt;$AU205),AD205,AR205)))))</f>
        <v>0</v>
      </c>
      <c r="Q205" s="317">
        <f>IF(AND($A$2=4,VLOOKUP($A205,'District Level ADM'!$A$5:$W$52,5,FALSE)="Prior Year"),AS205,IF(AND($A$2=4,VLOOKUP($A205,'District Level ADM'!$A$5:$W$52,5,FALSE)="3-Year Avg."),AE205,IF($A$2=2,AS205,IF($A$2=3,AE205,IF(($AG205&gt;$AU205),AE205,AS205)))))</f>
        <v>0</v>
      </c>
      <c r="R205" s="317">
        <f>IF(AND($A$2=4,VLOOKUP($A205,'District Level ADM'!$A$5:$W$52,5,FALSE)="Prior Year"),AT205,IF(AND($A$2=4,VLOOKUP($A205,'District Level ADM'!$A$5:$W$52,5,FALSE)="3-Year Avg."),AF205,IF($A$2=2,AT205,IF($A$2=3,AF205,IF(($AG205&gt;$AU205),AF205,AT205)))))</f>
        <v>0</v>
      </c>
      <c r="S205" s="317">
        <f t="shared" si="35"/>
        <v>435.82887719298242</v>
      </c>
      <c r="T205" s="317">
        <f t="shared" si="34"/>
        <v>70.271479532163724</v>
      </c>
      <c r="U205" s="317">
        <f t="shared" si="33"/>
        <v>69.32447953216375</v>
      </c>
      <c r="V205" s="317">
        <f t="shared" si="33"/>
        <v>71.720812865497066</v>
      </c>
      <c r="W205" s="317">
        <f t="shared" si="33"/>
        <v>71.94747953216374</v>
      </c>
      <c r="X205" s="317">
        <f t="shared" si="33"/>
        <v>74.019146198830413</v>
      </c>
      <c r="Y205" s="317">
        <f t="shared" si="33"/>
        <v>78.545479532163739</v>
      </c>
      <c r="Z205" s="317">
        <f t="shared" si="33"/>
        <v>0</v>
      </c>
      <c r="AA205" s="317">
        <f t="shared" si="33"/>
        <v>0</v>
      </c>
      <c r="AB205" s="317">
        <f t="shared" si="33"/>
        <v>0</v>
      </c>
      <c r="AC205" s="317">
        <f t="shared" si="33"/>
        <v>0</v>
      </c>
      <c r="AD205" s="317">
        <f t="shared" si="30"/>
        <v>0</v>
      </c>
      <c r="AE205" s="317">
        <f t="shared" si="30"/>
        <v>0</v>
      </c>
      <c r="AF205" s="317">
        <f t="shared" si="30"/>
        <v>0</v>
      </c>
      <c r="AG205" s="317">
        <f t="shared" si="36"/>
        <v>435.82887719298242</v>
      </c>
      <c r="AH205" s="318">
        <v>67.965000000000003</v>
      </c>
      <c r="AI205" s="318">
        <v>72.89</v>
      </c>
      <c r="AJ205" s="318">
        <v>67.965000000000003</v>
      </c>
      <c r="AK205" s="318">
        <v>63.04</v>
      </c>
      <c r="AL205" s="318">
        <v>71.905000000000001</v>
      </c>
      <c r="AM205" s="318">
        <v>67.965000000000003</v>
      </c>
      <c r="AN205" s="318">
        <v>0</v>
      </c>
      <c r="AO205" s="318">
        <v>0</v>
      </c>
      <c r="AP205" s="318">
        <v>0</v>
      </c>
      <c r="AQ205" s="318">
        <v>0</v>
      </c>
      <c r="AR205" s="318">
        <v>0</v>
      </c>
      <c r="AS205" s="318">
        <v>0</v>
      </c>
      <c r="AT205" s="318">
        <v>0</v>
      </c>
      <c r="AU205" s="317">
        <f t="shared" si="37"/>
        <v>411.73</v>
      </c>
      <c r="AV205" s="319">
        <v>72.591754385964904</v>
      </c>
      <c r="AW205" s="319">
        <v>61.631754385964911</v>
      </c>
      <c r="AX205" s="319">
        <v>67.379754385964915</v>
      </c>
      <c r="AY205" s="319">
        <v>72.916754385964907</v>
      </c>
      <c r="AZ205" s="319">
        <v>69.128754385964911</v>
      </c>
      <c r="BA205" s="319">
        <v>83.225754385964905</v>
      </c>
      <c r="BB205" s="319">
        <v>0</v>
      </c>
      <c r="BC205" s="319">
        <v>0</v>
      </c>
      <c r="BD205" s="319">
        <v>0</v>
      </c>
      <c r="BE205" s="319">
        <v>0</v>
      </c>
      <c r="BF205" s="319">
        <v>0</v>
      </c>
      <c r="BG205" s="319">
        <v>0</v>
      </c>
      <c r="BH205" s="319">
        <v>0</v>
      </c>
      <c r="BI205" s="317">
        <f t="shared" si="39"/>
        <v>426.87452631578947</v>
      </c>
      <c r="BJ205" s="316">
        <v>70.257684210526307</v>
      </c>
      <c r="BK205" s="316">
        <v>73.451684210526309</v>
      </c>
      <c r="BL205" s="316">
        <v>79.817684210526309</v>
      </c>
      <c r="BM205" s="316">
        <v>79.885684210526307</v>
      </c>
      <c r="BN205" s="316">
        <v>81.023684210526312</v>
      </c>
      <c r="BO205" s="316">
        <v>84.445684210526309</v>
      </c>
      <c r="BP205" s="316">
        <v>0</v>
      </c>
      <c r="BQ205" s="316">
        <v>0</v>
      </c>
      <c r="BR205" s="316">
        <v>0</v>
      </c>
      <c r="BS205" s="316">
        <v>0</v>
      </c>
      <c r="BT205" s="316">
        <v>0</v>
      </c>
      <c r="BU205" s="316">
        <v>0</v>
      </c>
      <c r="BV205" s="316">
        <v>0</v>
      </c>
      <c r="BW205" s="317">
        <f t="shared" si="38"/>
        <v>468.88210526315788</v>
      </c>
    </row>
    <row r="206" spans="1:75" x14ac:dyDescent="0.2">
      <c r="A206" s="20" t="str">
        <f>'School Level Inst. Resources'!A206</f>
        <v>1301000</v>
      </c>
      <c r="B206" s="20" t="str">
        <f>'School Level Inst. Resources'!B206</f>
        <v>Natrona #1</v>
      </c>
      <c r="C206" s="20" t="str">
        <f>'School Level Inst. Resources'!C206</f>
        <v>1301009</v>
      </c>
      <c r="D206" s="20" t="str">
        <f>'School Level Inst. Resources'!D206</f>
        <v>Sagewood Elementary</v>
      </c>
      <c r="E206" s="138" t="str">
        <f>'School Level Inst. Resources'!E206</f>
        <v>K-5</v>
      </c>
      <c r="F206" s="317">
        <f>IF(AND($A$2=4,VLOOKUP($A206,'District Level ADM'!$A$5:$W$52,5,FALSE)="Prior Year"),AH206,IF(AND($A$2=4,VLOOKUP($A206,'District Level ADM'!$A$5:$W$52,5,FALSE)="3-Year Avg."),T206,IF($A$2=2,AH206,IF($A$2=3,T206,IF(($AG206&gt;$AU206),T206,AH206)))))</f>
        <v>52.824812865497073</v>
      </c>
      <c r="G206" s="317">
        <f>IF(AND($A$2=4,VLOOKUP($A206,'District Level ADM'!$A$5:$W$52,5,FALSE)="Prior Year"),AI206,IF(AND($A$2=4,VLOOKUP($A206,'District Level ADM'!$A$5:$W$52,5,FALSE)="3-Year Avg."),U206,IF($A$2=2,AI206,IF($A$2=3,U206,IF(($AG206&gt;$AU206),U206,AI206)))))</f>
        <v>52.926479532163739</v>
      </c>
      <c r="H206" s="317">
        <f>IF(AND($A$2=4,VLOOKUP($A206,'District Level ADM'!$A$5:$W$52,5,FALSE)="Prior Year"),AJ206,IF(AND($A$2=4,VLOOKUP($A206,'District Level ADM'!$A$5:$W$52,5,FALSE)="3-Year Avg."),V206,IF($A$2=2,AJ206,IF($A$2=3,V206,IF(($AG206&gt;$AU206),V206,AJ206)))))</f>
        <v>52.899812865497069</v>
      </c>
      <c r="I206" s="317">
        <f>IF(AND($A$2=4,VLOOKUP($A206,'District Level ADM'!$A$5:$W$52,5,FALSE)="Prior Year"),AK206,IF(AND($A$2=4,VLOOKUP($A206,'District Level ADM'!$A$5:$W$52,5,FALSE)="3-Year Avg."),W206,IF($A$2=2,AK206,IF($A$2=3,W206,IF(($AG206&gt;$AU206),W206,AK206)))))</f>
        <v>52.063812865497077</v>
      </c>
      <c r="J206" s="317">
        <f>IF(AND($A$2=4,VLOOKUP($A206,'District Level ADM'!$A$5:$W$52,5,FALSE)="Prior Year"),AL206,IF(AND($A$2=4,VLOOKUP($A206,'District Level ADM'!$A$5:$W$52,5,FALSE)="3-Year Avg."),X206,IF($A$2=2,AL206,IF($A$2=3,X206,IF(($AG206&gt;$AU206),X206,AL206)))))</f>
        <v>50.458479532163743</v>
      </c>
      <c r="K206" s="317">
        <f>IF(AND($A$2=4,VLOOKUP($A206,'District Level ADM'!$A$5:$W$52,5,FALSE)="Prior Year"),AM206,IF(AND($A$2=4,VLOOKUP($A206,'District Level ADM'!$A$5:$W$52,5,FALSE)="3-Year Avg."),Y206,IF($A$2=2,AM206,IF($A$2=3,Y206,IF(($AG206&gt;$AU206),Y206,AM206)))))</f>
        <v>50.789812865497076</v>
      </c>
      <c r="L206" s="317">
        <f>IF(AND($A$2=4,VLOOKUP($A206,'District Level ADM'!$A$5:$W$52,5,FALSE)="Prior Year"),AN206,IF(AND($A$2=4,VLOOKUP($A206,'District Level ADM'!$A$5:$W$52,5,FALSE)="3-Year Avg."),Z206,IF($A$2=2,AN206,IF($A$2=3,Z206,IF(($AG206&gt;$AU206),Z206,AN206)))))</f>
        <v>0</v>
      </c>
      <c r="M206" s="317">
        <f>IF(AND($A$2=4,VLOOKUP($A206,'District Level ADM'!$A$5:$W$52,5,FALSE)="Prior Year"),AO206,IF(AND($A$2=4,VLOOKUP($A206,'District Level ADM'!$A$5:$W$52,5,FALSE)="3-Year Avg."),AA206,IF($A$2=2,AO206,IF($A$2=3,AA206,IF(($AG206&gt;$AU206),AA206,AO206)))))</f>
        <v>0</v>
      </c>
      <c r="N206" s="317">
        <f>IF(AND($A$2=4,VLOOKUP($A206,'District Level ADM'!$A$5:$W$52,5,FALSE)="Prior Year"),AP206,IF(AND($A$2=4,VLOOKUP($A206,'District Level ADM'!$A$5:$W$52,5,FALSE)="3-Year Avg."),AB206,IF($A$2=2,AP206,IF($A$2=3,AB206,IF(($AG206&gt;$AU206),AB206,AP206)))))</f>
        <v>0</v>
      </c>
      <c r="O206" s="317">
        <f>IF(AND($A$2=4,VLOOKUP($A206,'District Level ADM'!$A$5:$W$52,5,FALSE)="Prior Year"),AQ206,IF(AND($A$2=4,VLOOKUP($A206,'District Level ADM'!$A$5:$W$52,5,FALSE)="3-Year Avg."),AC206,IF($A$2=2,AQ206,IF($A$2=3,AC206,IF(($AG206&gt;$AU206),AC206,AQ206)))))</f>
        <v>0</v>
      </c>
      <c r="P206" s="317">
        <f>IF(AND($A$2=4,VLOOKUP($A206,'District Level ADM'!$A$5:$W$52,5,FALSE)="Prior Year"),AR206,IF(AND($A$2=4,VLOOKUP($A206,'District Level ADM'!$A$5:$W$52,5,FALSE)="3-Year Avg."),AD206,IF($A$2=2,AR206,IF($A$2=3,AD206,IF(($AG206&gt;$AU206),AD206,AR206)))))</f>
        <v>0</v>
      </c>
      <c r="Q206" s="317">
        <f>IF(AND($A$2=4,VLOOKUP($A206,'District Level ADM'!$A$5:$W$52,5,FALSE)="Prior Year"),AS206,IF(AND($A$2=4,VLOOKUP($A206,'District Level ADM'!$A$5:$W$52,5,FALSE)="3-Year Avg."),AE206,IF($A$2=2,AS206,IF($A$2=3,AE206,IF(($AG206&gt;$AU206),AE206,AS206)))))</f>
        <v>0</v>
      </c>
      <c r="R206" s="317">
        <f>IF(AND($A$2=4,VLOOKUP($A206,'District Level ADM'!$A$5:$W$52,5,FALSE)="Prior Year"),AT206,IF(AND($A$2=4,VLOOKUP($A206,'District Level ADM'!$A$5:$W$52,5,FALSE)="3-Year Avg."),AF206,IF($A$2=2,AT206,IF($A$2=3,AF206,IF(($AG206&gt;$AU206),AF206,AT206)))))</f>
        <v>0</v>
      </c>
      <c r="S206" s="317">
        <f t="shared" si="35"/>
        <v>311.96321052631578</v>
      </c>
      <c r="T206" s="317">
        <f t="shared" si="34"/>
        <v>52.824812865497073</v>
      </c>
      <c r="U206" s="317">
        <f t="shared" si="33"/>
        <v>52.926479532163739</v>
      </c>
      <c r="V206" s="317">
        <f t="shared" si="33"/>
        <v>52.899812865497069</v>
      </c>
      <c r="W206" s="317">
        <f t="shared" si="33"/>
        <v>52.063812865497077</v>
      </c>
      <c r="X206" s="317">
        <f t="shared" si="33"/>
        <v>50.458479532163743</v>
      </c>
      <c r="Y206" s="317">
        <f t="shared" si="33"/>
        <v>50.789812865497076</v>
      </c>
      <c r="Z206" s="317">
        <f t="shared" si="33"/>
        <v>0</v>
      </c>
      <c r="AA206" s="317">
        <f t="shared" si="33"/>
        <v>0</v>
      </c>
      <c r="AB206" s="317">
        <f t="shared" si="33"/>
        <v>0</v>
      </c>
      <c r="AC206" s="317">
        <f t="shared" si="33"/>
        <v>0</v>
      </c>
      <c r="AD206" s="317">
        <f t="shared" si="30"/>
        <v>0</v>
      </c>
      <c r="AE206" s="317">
        <f t="shared" si="30"/>
        <v>0</v>
      </c>
      <c r="AF206" s="317">
        <f t="shared" si="30"/>
        <v>0</v>
      </c>
      <c r="AG206" s="317">
        <f t="shared" si="36"/>
        <v>311.96321052631578</v>
      </c>
      <c r="AH206" s="318">
        <v>51.22</v>
      </c>
      <c r="AI206" s="318">
        <v>52.204999999999998</v>
      </c>
      <c r="AJ206" s="318">
        <v>52.204999999999998</v>
      </c>
      <c r="AK206" s="318">
        <v>47.28</v>
      </c>
      <c r="AL206" s="318">
        <v>50.234999999999999</v>
      </c>
      <c r="AM206" s="318">
        <v>50.234999999999999</v>
      </c>
      <c r="AN206" s="318">
        <v>0</v>
      </c>
      <c r="AO206" s="318">
        <v>0</v>
      </c>
      <c r="AP206" s="318">
        <v>0</v>
      </c>
      <c r="AQ206" s="318">
        <v>0</v>
      </c>
      <c r="AR206" s="318">
        <v>0</v>
      </c>
      <c r="AS206" s="318">
        <v>0</v>
      </c>
      <c r="AT206" s="318">
        <v>0</v>
      </c>
      <c r="AU206" s="317">
        <f t="shared" si="37"/>
        <v>303.38</v>
      </c>
      <c r="AV206" s="319">
        <v>52.962754385964907</v>
      </c>
      <c r="AW206" s="319">
        <v>52.98575438596491</v>
      </c>
      <c r="AX206" s="319">
        <v>54.596754385964907</v>
      </c>
      <c r="AY206" s="319">
        <v>53.493754385964913</v>
      </c>
      <c r="AZ206" s="319">
        <v>53.042754385964912</v>
      </c>
      <c r="BA206" s="319">
        <v>48.888754385964909</v>
      </c>
      <c r="BB206" s="319">
        <v>0</v>
      </c>
      <c r="BC206" s="319">
        <v>0</v>
      </c>
      <c r="BD206" s="319">
        <v>0</v>
      </c>
      <c r="BE206" s="319">
        <v>0</v>
      </c>
      <c r="BF206" s="319">
        <v>0</v>
      </c>
      <c r="BG206" s="319">
        <v>0</v>
      </c>
      <c r="BH206" s="319">
        <v>0</v>
      </c>
      <c r="BI206" s="317">
        <f t="shared" si="39"/>
        <v>315.97052631578941</v>
      </c>
      <c r="BJ206" s="316">
        <v>54.29168421052632</v>
      </c>
      <c r="BK206" s="316">
        <v>53.588684210526317</v>
      </c>
      <c r="BL206" s="316">
        <v>51.897684210526315</v>
      </c>
      <c r="BM206" s="316">
        <v>55.417684210526318</v>
      </c>
      <c r="BN206" s="316">
        <v>48.097684210526317</v>
      </c>
      <c r="BO206" s="316">
        <v>53.245684210526321</v>
      </c>
      <c r="BP206" s="316">
        <v>0</v>
      </c>
      <c r="BQ206" s="316">
        <v>0</v>
      </c>
      <c r="BR206" s="316">
        <v>0</v>
      </c>
      <c r="BS206" s="316">
        <v>0</v>
      </c>
      <c r="BT206" s="316">
        <v>0</v>
      </c>
      <c r="BU206" s="316">
        <v>0</v>
      </c>
      <c r="BV206" s="316">
        <v>0</v>
      </c>
      <c r="BW206" s="317">
        <f t="shared" si="38"/>
        <v>316.53910526315792</v>
      </c>
    </row>
    <row r="207" spans="1:75" x14ac:dyDescent="0.2">
      <c r="A207" s="20" t="str">
        <f>'School Level Inst. Resources'!A207</f>
        <v>1301000</v>
      </c>
      <c r="B207" s="20" t="str">
        <f>'School Level Inst. Resources'!B207</f>
        <v>Natrona #1</v>
      </c>
      <c r="C207" s="20" t="str">
        <f>'School Level Inst. Resources'!C207</f>
        <v>1301011</v>
      </c>
      <c r="D207" s="20" t="str">
        <f>'School Level Inst. Resources'!D207</f>
        <v>Manor Heights Elementary</v>
      </c>
      <c r="E207" s="138" t="str">
        <f>'School Level Inst. Resources'!E207</f>
        <v>K-6</v>
      </c>
      <c r="F207" s="317">
        <f>IF(AND($A$2=4,VLOOKUP($A207,'District Level ADM'!$A$5:$W$52,5,FALSE)="Prior Year"),AH207,IF(AND($A$2=4,VLOOKUP($A207,'District Level ADM'!$A$5:$W$52,5,FALSE)="3-Year Avg."),T207,IF($A$2=2,AH207,IF($A$2=3,T207,IF(($AG207&gt;$AU207),T207,AH207)))))</f>
        <v>55.218146198830404</v>
      </c>
      <c r="G207" s="317">
        <f>IF(AND($A$2=4,VLOOKUP($A207,'District Level ADM'!$A$5:$W$52,5,FALSE)="Prior Year"),AI207,IF(AND($A$2=4,VLOOKUP($A207,'District Level ADM'!$A$5:$W$52,5,FALSE)="3-Year Avg."),U207,IF($A$2=2,AI207,IF($A$2=3,U207,IF(($AG207&gt;$AU207),U207,AI207)))))</f>
        <v>53.416812865497072</v>
      </c>
      <c r="H207" s="317">
        <f>IF(AND($A$2=4,VLOOKUP($A207,'District Level ADM'!$A$5:$W$52,5,FALSE)="Prior Year"),AJ207,IF(AND($A$2=4,VLOOKUP($A207,'District Level ADM'!$A$5:$W$52,5,FALSE)="3-Year Avg."),V207,IF($A$2=2,AJ207,IF($A$2=3,V207,IF(($AG207&gt;$AU207),V207,AJ207)))))</f>
        <v>50.326812865497082</v>
      </c>
      <c r="I207" s="317">
        <f>IF(AND($A$2=4,VLOOKUP($A207,'District Level ADM'!$A$5:$W$52,5,FALSE)="Prior Year"),AK207,IF(AND($A$2=4,VLOOKUP($A207,'District Level ADM'!$A$5:$W$52,5,FALSE)="3-Year Avg."),W207,IF($A$2=2,AK207,IF($A$2=3,W207,IF(($AG207&gt;$AU207),W207,AK207)))))</f>
        <v>54.044479532163741</v>
      </c>
      <c r="J207" s="317">
        <f>IF(AND($A$2=4,VLOOKUP($A207,'District Level ADM'!$A$5:$W$52,5,FALSE)="Prior Year"),AL207,IF(AND($A$2=4,VLOOKUP($A207,'District Level ADM'!$A$5:$W$52,5,FALSE)="3-Year Avg."),X207,IF($A$2=2,AL207,IF($A$2=3,X207,IF(($AG207&gt;$AU207),X207,AL207)))))</f>
        <v>52.333479532163743</v>
      </c>
      <c r="K207" s="317">
        <f>IF(AND($A$2=4,VLOOKUP($A207,'District Level ADM'!$A$5:$W$52,5,FALSE)="Prior Year"),AM207,IF(AND($A$2=4,VLOOKUP($A207,'District Level ADM'!$A$5:$W$52,5,FALSE)="3-Year Avg."),Y207,IF($A$2=2,AM207,IF($A$2=3,Y207,IF(($AG207&gt;$AU207),Y207,AM207)))))</f>
        <v>52.108812865497072</v>
      </c>
      <c r="L207" s="317">
        <f>IF(AND($A$2=4,VLOOKUP($A207,'District Level ADM'!$A$5:$W$52,5,FALSE)="Prior Year"),AN207,IF(AND($A$2=4,VLOOKUP($A207,'District Level ADM'!$A$5:$W$52,5,FALSE)="3-Year Avg."),Z207,IF($A$2=2,AN207,IF($A$2=3,Z207,IF(($AG207&gt;$AU207),Z207,AN207)))))</f>
        <v>0</v>
      </c>
      <c r="M207" s="317">
        <f>IF(AND($A$2=4,VLOOKUP($A207,'District Level ADM'!$A$5:$W$52,5,FALSE)="Prior Year"),AO207,IF(AND($A$2=4,VLOOKUP($A207,'District Level ADM'!$A$5:$W$52,5,FALSE)="3-Year Avg."),AA207,IF($A$2=2,AO207,IF($A$2=3,AA207,IF(($AG207&gt;$AU207),AA207,AO207)))))</f>
        <v>0</v>
      </c>
      <c r="N207" s="317">
        <f>IF(AND($A$2=4,VLOOKUP($A207,'District Level ADM'!$A$5:$W$52,5,FALSE)="Prior Year"),AP207,IF(AND($A$2=4,VLOOKUP($A207,'District Level ADM'!$A$5:$W$52,5,FALSE)="3-Year Avg."),AB207,IF($A$2=2,AP207,IF($A$2=3,AB207,IF(($AG207&gt;$AU207),AB207,AP207)))))</f>
        <v>0</v>
      </c>
      <c r="O207" s="317">
        <f>IF(AND($A$2=4,VLOOKUP($A207,'District Level ADM'!$A$5:$W$52,5,FALSE)="Prior Year"),AQ207,IF(AND($A$2=4,VLOOKUP($A207,'District Level ADM'!$A$5:$W$52,5,FALSE)="3-Year Avg."),AC207,IF($A$2=2,AQ207,IF($A$2=3,AC207,IF(($AG207&gt;$AU207),AC207,AQ207)))))</f>
        <v>0</v>
      </c>
      <c r="P207" s="317">
        <f>IF(AND($A$2=4,VLOOKUP($A207,'District Level ADM'!$A$5:$W$52,5,FALSE)="Prior Year"),AR207,IF(AND($A$2=4,VLOOKUP($A207,'District Level ADM'!$A$5:$W$52,5,FALSE)="3-Year Avg."),AD207,IF($A$2=2,AR207,IF($A$2=3,AD207,IF(($AG207&gt;$AU207),AD207,AR207)))))</f>
        <v>0</v>
      </c>
      <c r="Q207" s="317">
        <f>IF(AND($A$2=4,VLOOKUP($A207,'District Level ADM'!$A$5:$W$52,5,FALSE)="Prior Year"),AS207,IF(AND($A$2=4,VLOOKUP($A207,'District Level ADM'!$A$5:$W$52,5,FALSE)="3-Year Avg."),AE207,IF($A$2=2,AS207,IF($A$2=3,AE207,IF(($AG207&gt;$AU207),AE207,AS207)))))</f>
        <v>0</v>
      </c>
      <c r="R207" s="317">
        <f>IF(AND($A$2=4,VLOOKUP($A207,'District Level ADM'!$A$5:$W$52,5,FALSE)="Prior Year"),AT207,IF(AND($A$2=4,VLOOKUP($A207,'District Level ADM'!$A$5:$W$52,5,FALSE)="3-Year Avg."),AF207,IF($A$2=2,AT207,IF($A$2=3,AF207,IF(($AG207&gt;$AU207),AF207,AT207)))))</f>
        <v>0</v>
      </c>
      <c r="S207" s="317">
        <f t="shared" si="35"/>
        <v>317.44854385964913</v>
      </c>
      <c r="T207" s="317">
        <f t="shared" si="34"/>
        <v>55.218146198830404</v>
      </c>
      <c r="U207" s="317">
        <f t="shared" si="33"/>
        <v>53.416812865497072</v>
      </c>
      <c r="V207" s="317">
        <f t="shared" si="33"/>
        <v>50.326812865497082</v>
      </c>
      <c r="W207" s="317">
        <f t="shared" si="33"/>
        <v>54.044479532163741</v>
      </c>
      <c r="X207" s="317">
        <f t="shared" ref="X207:AF243" si="40">AVERAGE(AL207,AZ207,BN207)</f>
        <v>52.333479532163743</v>
      </c>
      <c r="Y207" s="317">
        <f t="shared" si="40"/>
        <v>52.108812865497072</v>
      </c>
      <c r="Z207" s="317">
        <f t="shared" si="40"/>
        <v>0</v>
      </c>
      <c r="AA207" s="317">
        <f t="shared" si="40"/>
        <v>0</v>
      </c>
      <c r="AB207" s="317">
        <f t="shared" si="40"/>
        <v>0</v>
      </c>
      <c r="AC207" s="317">
        <f t="shared" si="40"/>
        <v>0</v>
      </c>
      <c r="AD207" s="317">
        <f t="shared" si="30"/>
        <v>0</v>
      </c>
      <c r="AE207" s="317">
        <f t="shared" si="30"/>
        <v>0</v>
      </c>
      <c r="AF207" s="317">
        <f t="shared" si="30"/>
        <v>0</v>
      </c>
      <c r="AG207" s="317">
        <f t="shared" si="36"/>
        <v>317.44854385964913</v>
      </c>
      <c r="AH207" s="318">
        <v>55.16</v>
      </c>
      <c r="AI207" s="318">
        <v>53.19</v>
      </c>
      <c r="AJ207" s="318">
        <v>47.28</v>
      </c>
      <c r="AK207" s="318">
        <v>52.204999999999998</v>
      </c>
      <c r="AL207" s="318">
        <v>51.22</v>
      </c>
      <c r="AM207" s="318">
        <v>51.22</v>
      </c>
      <c r="AN207" s="318">
        <v>0</v>
      </c>
      <c r="AO207" s="318">
        <v>0</v>
      </c>
      <c r="AP207" s="318">
        <v>0</v>
      </c>
      <c r="AQ207" s="318">
        <v>0</v>
      </c>
      <c r="AR207" s="318">
        <v>0</v>
      </c>
      <c r="AS207" s="318">
        <v>0</v>
      </c>
      <c r="AT207" s="318">
        <v>0</v>
      </c>
      <c r="AU207" s="317">
        <f t="shared" si="37"/>
        <v>310.27499999999998</v>
      </c>
      <c r="AV207" s="319">
        <v>55.236754385964907</v>
      </c>
      <c r="AW207" s="319">
        <v>52.659754385964909</v>
      </c>
      <c r="AX207" s="319">
        <v>52.31175438596491</v>
      </c>
      <c r="AY207" s="319">
        <v>55.813754385964913</v>
      </c>
      <c r="AZ207" s="319">
        <v>52.61975438596491</v>
      </c>
      <c r="BA207" s="319">
        <v>51.922754385964907</v>
      </c>
      <c r="BB207" s="319">
        <v>0</v>
      </c>
      <c r="BC207" s="319">
        <v>0</v>
      </c>
      <c r="BD207" s="319">
        <v>0</v>
      </c>
      <c r="BE207" s="319">
        <v>0</v>
      </c>
      <c r="BF207" s="319">
        <v>0</v>
      </c>
      <c r="BG207" s="319">
        <v>0</v>
      </c>
      <c r="BH207" s="319">
        <v>0</v>
      </c>
      <c r="BI207" s="317">
        <f t="shared" si="39"/>
        <v>320.56452631578952</v>
      </c>
      <c r="BJ207" s="316">
        <v>55.257684210526314</v>
      </c>
      <c r="BK207" s="316">
        <v>54.400684210526315</v>
      </c>
      <c r="BL207" s="316">
        <v>51.388684210526314</v>
      </c>
      <c r="BM207" s="316">
        <v>54.11468421052632</v>
      </c>
      <c r="BN207" s="316">
        <v>53.16068421052632</v>
      </c>
      <c r="BO207" s="316">
        <v>53.183684210526316</v>
      </c>
      <c r="BP207" s="316">
        <v>0</v>
      </c>
      <c r="BQ207" s="316">
        <v>0</v>
      </c>
      <c r="BR207" s="316">
        <v>0</v>
      </c>
      <c r="BS207" s="316">
        <v>0</v>
      </c>
      <c r="BT207" s="316">
        <v>0</v>
      </c>
      <c r="BU207" s="316">
        <v>0</v>
      </c>
      <c r="BV207" s="316">
        <v>0</v>
      </c>
      <c r="BW207" s="317">
        <f t="shared" si="38"/>
        <v>321.50610526315791</v>
      </c>
    </row>
    <row r="208" spans="1:75" x14ac:dyDescent="0.2">
      <c r="A208" s="20" t="str">
        <f>'School Level Inst. Resources'!A208</f>
        <v>1301000</v>
      </c>
      <c r="B208" s="20" t="str">
        <f>'School Level Inst. Resources'!B208</f>
        <v>Natrona #1</v>
      </c>
      <c r="C208" s="20" t="str">
        <f>'School Level Inst. Resources'!C208</f>
        <v>1301014</v>
      </c>
      <c r="D208" s="20" t="str">
        <f>'School Level Inst. Resources'!D208</f>
        <v>Journey Elementary</v>
      </c>
      <c r="E208" s="138" t="str">
        <f>'School Level Inst. Resources'!E208</f>
        <v>P-5</v>
      </c>
      <c r="F208" s="317">
        <f>IF(AND($A$2=4,VLOOKUP($A208,'District Level ADM'!$A$5:$W$52,5,FALSE)="Prior Year"),AH208,IF(AND($A$2=4,VLOOKUP($A208,'District Level ADM'!$A$5:$W$52,5,FALSE)="3-Year Avg."),T208,IF($A$2=2,AH208,IF($A$2=3,T208,IF(($AG208&gt;$AU208),T208,AH208)))))</f>
        <v>35.583479532163743</v>
      </c>
      <c r="G208" s="317">
        <f>IF(AND($A$2=4,VLOOKUP($A208,'District Level ADM'!$A$5:$W$52,5,FALSE)="Prior Year"),AI208,IF(AND($A$2=4,VLOOKUP($A208,'District Level ADM'!$A$5:$W$52,5,FALSE)="3-Year Avg."),U208,IF($A$2=2,AI208,IF($A$2=3,U208,IF(($AG208&gt;$AU208),U208,AI208)))))</f>
        <v>39.745479532163742</v>
      </c>
      <c r="H208" s="317">
        <f>IF(AND($A$2=4,VLOOKUP($A208,'District Level ADM'!$A$5:$W$52,5,FALSE)="Prior Year"),AJ208,IF(AND($A$2=4,VLOOKUP($A208,'District Level ADM'!$A$5:$W$52,5,FALSE)="3-Year Avg."),V208,IF($A$2=2,AJ208,IF($A$2=3,V208,IF(($AG208&gt;$AU208),V208,AJ208)))))</f>
        <v>39.393812865497075</v>
      </c>
      <c r="I208" s="317">
        <f>IF(AND($A$2=4,VLOOKUP($A208,'District Level ADM'!$A$5:$W$52,5,FALSE)="Prior Year"),AK208,IF(AND($A$2=4,VLOOKUP($A208,'District Level ADM'!$A$5:$W$52,5,FALSE)="3-Year Avg."),W208,IF($A$2=2,AK208,IF($A$2=3,W208,IF(($AG208&gt;$AU208),W208,AK208)))))</f>
        <v>36.759479532163745</v>
      </c>
      <c r="J208" s="317">
        <f>IF(AND($A$2=4,VLOOKUP($A208,'District Level ADM'!$A$5:$W$52,5,FALSE)="Prior Year"),AL208,IF(AND($A$2=4,VLOOKUP($A208,'District Level ADM'!$A$5:$W$52,5,FALSE)="3-Year Avg."),X208,IF($A$2=2,AL208,IF($A$2=3,X208,IF(($AG208&gt;$AU208),X208,AL208)))))</f>
        <v>34.976146198830406</v>
      </c>
      <c r="K208" s="317">
        <f>IF(AND($A$2=4,VLOOKUP($A208,'District Level ADM'!$A$5:$W$52,5,FALSE)="Prior Year"),AM208,IF(AND($A$2=4,VLOOKUP($A208,'District Level ADM'!$A$5:$W$52,5,FALSE)="3-Year Avg."),Y208,IF($A$2=2,AM208,IF($A$2=3,Y208,IF(($AG208&gt;$AU208),Y208,AM208)))))</f>
        <v>36.215479532163748</v>
      </c>
      <c r="L208" s="317">
        <f>IF(AND($A$2=4,VLOOKUP($A208,'District Level ADM'!$A$5:$W$52,5,FALSE)="Prior Year"),AN208,IF(AND($A$2=4,VLOOKUP($A208,'District Level ADM'!$A$5:$W$52,5,FALSE)="3-Year Avg."),Z208,IF($A$2=2,AN208,IF($A$2=3,Z208,IF(($AG208&gt;$AU208),Z208,AN208)))))</f>
        <v>0</v>
      </c>
      <c r="M208" s="317">
        <f>IF(AND($A$2=4,VLOOKUP($A208,'District Level ADM'!$A$5:$W$52,5,FALSE)="Prior Year"),AO208,IF(AND($A$2=4,VLOOKUP($A208,'District Level ADM'!$A$5:$W$52,5,FALSE)="3-Year Avg."),AA208,IF($A$2=2,AO208,IF($A$2=3,AA208,IF(($AG208&gt;$AU208),AA208,AO208)))))</f>
        <v>0</v>
      </c>
      <c r="N208" s="317">
        <f>IF(AND($A$2=4,VLOOKUP($A208,'District Level ADM'!$A$5:$W$52,5,FALSE)="Prior Year"),AP208,IF(AND($A$2=4,VLOOKUP($A208,'District Level ADM'!$A$5:$W$52,5,FALSE)="3-Year Avg."),AB208,IF($A$2=2,AP208,IF($A$2=3,AB208,IF(($AG208&gt;$AU208),AB208,AP208)))))</f>
        <v>0</v>
      </c>
      <c r="O208" s="317">
        <f>IF(AND($A$2=4,VLOOKUP($A208,'District Level ADM'!$A$5:$W$52,5,FALSE)="Prior Year"),AQ208,IF(AND($A$2=4,VLOOKUP($A208,'District Level ADM'!$A$5:$W$52,5,FALSE)="3-Year Avg."),AC208,IF($A$2=2,AQ208,IF($A$2=3,AC208,IF(($AG208&gt;$AU208),AC208,AQ208)))))</f>
        <v>0</v>
      </c>
      <c r="P208" s="317">
        <f>IF(AND($A$2=4,VLOOKUP($A208,'District Level ADM'!$A$5:$W$52,5,FALSE)="Prior Year"),AR208,IF(AND($A$2=4,VLOOKUP($A208,'District Level ADM'!$A$5:$W$52,5,FALSE)="3-Year Avg."),AD208,IF($A$2=2,AR208,IF($A$2=3,AD208,IF(($AG208&gt;$AU208),AD208,AR208)))))</f>
        <v>0</v>
      </c>
      <c r="Q208" s="317">
        <f>IF(AND($A$2=4,VLOOKUP($A208,'District Level ADM'!$A$5:$W$52,5,FALSE)="Prior Year"),AS208,IF(AND($A$2=4,VLOOKUP($A208,'District Level ADM'!$A$5:$W$52,5,FALSE)="3-Year Avg."),AE208,IF($A$2=2,AS208,IF($A$2=3,AE208,IF(($AG208&gt;$AU208),AE208,AS208)))))</f>
        <v>0</v>
      </c>
      <c r="R208" s="317">
        <f>IF(AND($A$2=4,VLOOKUP($A208,'District Level ADM'!$A$5:$W$52,5,FALSE)="Prior Year"),AT208,IF(AND($A$2=4,VLOOKUP($A208,'District Level ADM'!$A$5:$W$52,5,FALSE)="3-Year Avg."),AF208,IF($A$2=2,AT208,IF($A$2=3,AF208,IF(($AG208&gt;$AU208),AF208,AT208)))))</f>
        <v>0</v>
      </c>
      <c r="S208" s="317">
        <f t="shared" si="35"/>
        <v>222.67387719298245</v>
      </c>
      <c r="T208" s="317">
        <f t="shared" si="34"/>
        <v>35.583479532163743</v>
      </c>
      <c r="U208" s="317">
        <f t="shared" si="34"/>
        <v>39.745479532163742</v>
      </c>
      <c r="V208" s="317">
        <f t="shared" si="34"/>
        <v>39.393812865497075</v>
      </c>
      <c r="W208" s="317">
        <f t="shared" si="34"/>
        <v>36.759479532163745</v>
      </c>
      <c r="X208" s="317">
        <f t="shared" si="40"/>
        <v>34.976146198830406</v>
      </c>
      <c r="Y208" s="317">
        <f t="shared" si="40"/>
        <v>36.215479532163748</v>
      </c>
      <c r="Z208" s="317">
        <f t="shared" si="40"/>
        <v>0</v>
      </c>
      <c r="AA208" s="317">
        <f t="shared" si="40"/>
        <v>0</v>
      </c>
      <c r="AB208" s="317">
        <f t="shared" si="40"/>
        <v>0</v>
      </c>
      <c r="AC208" s="317">
        <f t="shared" si="40"/>
        <v>0</v>
      </c>
      <c r="AD208" s="317">
        <f t="shared" si="30"/>
        <v>0</v>
      </c>
      <c r="AE208" s="317">
        <f t="shared" si="30"/>
        <v>0</v>
      </c>
      <c r="AF208" s="317">
        <f t="shared" si="30"/>
        <v>0</v>
      </c>
      <c r="AG208" s="317">
        <f t="shared" si="36"/>
        <v>222.67387719298245</v>
      </c>
      <c r="AH208" s="318">
        <v>33.49</v>
      </c>
      <c r="AI208" s="318">
        <v>52.204999999999998</v>
      </c>
      <c r="AJ208" s="318">
        <v>45.31</v>
      </c>
      <c r="AK208" s="318">
        <v>53.19</v>
      </c>
      <c r="AL208" s="318">
        <v>36.445</v>
      </c>
      <c r="AM208" s="318">
        <v>51.22</v>
      </c>
      <c r="AN208" s="318">
        <v>0</v>
      </c>
      <c r="AO208" s="318">
        <v>0</v>
      </c>
      <c r="AP208" s="318">
        <v>0</v>
      </c>
      <c r="AQ208" s="318">
        <v>0</v>
      </c>
      <c r="AR208" s="318">
        <v>0</v>
      </c>
      <c r="AS208" s="318">
        <v>0</v>
      </c>
      <c r="AT208" s="318">
        <v>0</v>
      </c>
      <c r="AU208" s="317">
        <f t="shared" si="37"/>
        <v>271.86</v>
      </c>
      <c r="AV208" s="319">
        <v>36.768754385964911</v>
      </c>
      <c r="AW208" s="319">
        <v>33.042754385964912</v>
      </c>
      <c r="AX208" s="319">
        <v>37.425754385964908</v>
      </c>
      <c r="AY208" s="319">
        <v>26.516754385964912</v>
      </c>
      <c r="AZ208" s="319">
        <v>34.248754385964908</v>
      </c>
      <c r="BA208" s="319">
        <v>30.448754385964914</v>
      </c>
      <c r="BB208" s="319">
        <v>0</v>
      </c>
      <c r="BC208" s="319">
        <v>0</v>
      </c>
      <c r="BD208" s="319">
        <v>0</v>
      </c>
      <c r="BE208" s="319">
        <v>0</v>
      </c>
      <c r="BF208" s="319">
        <v>0</v>
      </c>
      <c r="BG208" s="319">
        <v>0</v>
      </c>
      <c r="BH208" s="319">
        <v>0</v>
      </c>
      <c r="BI208" s="317">
        <f t="shared" si="39"/>
        <v>198.45152631578947</v>
      </c>
      <c r="BJ208" s="316">
        <v>36.491684210526316</v>
      </c>
      <c r="BK208" s="316">
        <v>33.988684210526316</v>
      </c>
      <c r="BL208" s="316">
        <v>35.445684210526316</v>
      </c>
      <c r="BM208" s="316">
        <v>30.571684210526318</v>
      </c>
      <c r="BN208" s="316">
        <v>34.234684210526318</v>
      </c>
      <c r="BO208" s="316">
        <v>26.977684210526316</v>
      </c>
      <c r="BP208" s="316">
        <v>0</v>
      </c>
      <c r="BQ208" s="316">
        <v>0</v>
      </c>
      <c r="BR208" s="316">
        <v>0</v>
      </c>
      <c r="BS208" s="316">
        <v>0</v>
      </c>
      <c r="BT208" s="316">
        <v>0</v>
      </c>
      <c r="BU208" s="316">
        <v>0</v>
      </c>
      <c r="BV208" s="316">
        <v>0</v>
      </c>
      <c r="BW208" s="317">
        <f t="shared" si="38"/>
        <v>197.71010526315791</v>
      </c>
    </row>
    <row r="209" spans="1:75" x14ac:dyDescent="0.2">
      <c r="A209" s="20" t="str">
        <f>'School Level Inst. Resources'!A209</f>
        <v>1301000</v>
      </c>
      <c r="B209" s="20" t="str">
        <f>'School Level Inst. Resources'!B209</f>
        <v>Natrona #1</v>
      </c>
      <c r="C209" s="20" t="str">
        <f>'School Level Inst. Resources'!C209</f>
        <v>1301015</v>
      </c>
      <c r="D209" s="20" t="str">
        <f>'School Level Inst. Resources'!D209</f>
        <v>Mountain View Elementary</v>
      </c>
      <c r="E209" s="138" t="str">
        <f>'School Level Inst. Resources'!E209</f>
        <v>P-5</v>
      </c>
      <c r="F209" s="317">
        <f>IF(AND($A$2=4,VLOOKUP($A209,'District Level ADM'!$A$5:$W$52,5,FALSE)="Prior Year"),AH209,IF(AND($A$2=4,VLOOKUP($A209,'District Level ADM'!$A$5:$W$52,5,FALSE)="3-Year Avg."),T209,IF($A$2=2,AH209,IF($A$2=3,T209,IF(($AG209&gt;$AU209),T209,AH209)))))</f>
        <v>32.971479532163748</v>
      </c>
      <c r="G209" s="317">
        <f>IF(AND($A$2=4,VLOOKUP($A209,'District Level ADM'!$A$5:$W$52,5,FALSE)="Prior Year"),AI209,IF(AND($A$2=4,VLOOKUP($A209,'District Level ADM'!$A$5:$W$52,5,FALSE)="3-Year Avg."),U209,IF($A$2=2,AI209,IF($A$2=3,U209,IF(($AG209&gt;$AU209),U209,AI209)))))</f>
        <v>23.66514619883041</v>
      </c>
      <c r="H209" s="317">
        <f>IF(AND($A$2=4,VLOOKUP($A209,'District Level ADM'!$A$5:$W$52,5,FALSE)="Prior Year"),AJ209,IF(AND($A$2=4,VLOOKUP($A209,'District Level ADM'!$A$5:$W$52,5,FALSE)="3-Year Avg."),V209,IF($A$2=2,AJ209,IF($A$2=3,V209,IF(($AG209&gt;$AU209),V209,AJ209)))))</f>
        <v>25.690146198830409</v>
      </c>
      <c r="I209" s="317">
        <f>IF(AND($A$2=4,VLOOKUP($A209,'District Level ADM'!$A$5:$W$52,5,FALSE)="Prior Year"),AK209,IF(AND($A$2=4,VLOOKUP($A209,'District Level ADM'!$A$5:$W$52,5,FALSE)="3-Year Avg."),W209,IF($A$2=2,AK209,IF($A$2=3,W209,IF(($AG209&gt;$AU209),W209,AK209)))))</f>
        <v>28.638479532163746</v>
      </c>
      <c r="J209" s="317">
        <f>IF(AND($A$2=4,VLOOKUP($A209,'District Level ADM'!$A$5:$W$52,5,FALSE)="Prior Year"),AL209,IF(AND($A$2=4,VLOOKUP($A209,'District Level ADM'!$A$5:$W$52,5,FALSE)="3-Year Avg."),X209,IF($A$2=2,AL209,IF($A$2=3,X209,IF(($AG209&gt;$AU209),X209,AL209)))))</f>
        <v>30.105146198830408</v>
      </c>
      <c r="K209" s="317">
        <f>IF(AND($A$2=4,VLOOKUP($A209,'District Level ADM'!$A$5:$W$52,5,FALSE)="Prior Year"),AM209,IF(AND($A$2=4,VLOOKUP($A209,'District Level ADM'!$A$5:$W$52,5,FALSE)="3-Year Avg."),Y209,IF($A$2=2,AM209,IF($A$2=3,Y209,IF(($AG209&gt;$AU209),Y209,AM209)))))</f>
        <v>29.532812865497078</v>
      </c>
      <c r="L209" s="317">
        <f>IF(AND($A$2=4,VLOOKUP($A209,'District Level ADM'!$A$5:$W$52,5,FALSE)="Prior Year"),AN209,IF(AND($A$2=4,VLOOKUP($A209,'District Level ADM'!$A$5:$W$52,5,FALSE)="3-Year Avg."),Z209,IF($A$2=2,AN209,IF($A$2=3,Z209,IF(($AG209&gt;$AU209),Z209,AN209)))))</f>
        <v>0</v>
      </c>
      <c r="M209" s="317">
        <f>IF(AND($A$2=4,VLOOKUP($A209,'District Level ADM'!$A$5:$W$52,5,FALSE)="Prior Year"),AO209,IF(AND($A$2=4,VLOOKUP($A209,'District Level ADM'!$A$5:$W$52,5,FALSE)="3-Year Avg."),AA209,IF($A$2=2,AO209,IF($A$2=3,AA209,IF(($AG209&gt;$AU209),AA209,AO209)))))</f>
        <v>0</v>
      </c>
      <c r="N209" s="317">
        <f>IF(AND($A$2=4,VLOOKUP($A209,'District Level ADM'!$A$5:$W$52,5,FALSE)="Prior Year"),AP209,IF(AND($A$2=4,VLOOKUP($A209,'District Level ADM'!$A$5:$W$52,5,FALSE)="3-Year Avg."),AB209,IF($A$2=2,AP209,IF($A$2=3,AB209,IF(($AG209&gt;$AU209),AB209,AP209)))))</f>
        <v>0</v>
      </c>
      <c r="O209" s="317">
        <f>IF(AND($A$2=4,VLOOKUP($A209,'District Level ADM'!$A$5:$W$52,5,FALSE)="Prior Year"),AQ209,IF(AND($A$2=4,VLOOKUP($A209,'District Level ADM'!$A$5:$W$52,5,FALSE)="3-Year Avg."),AC209,IF($A$2=2,AQ209,IF($A$2=3,AC209,IF(($AG209&gt;$AU209),AC209,AQ209)))))</f>
        <v>0</v>
      </c>
      <c r="P209" s="317">
        <f>IF(AND($A$2=4,VLOOKUP($A209,'District Level ADM'!$A$5:$W$52,5,FALSE)="Prior Year"),AR209,IF(AND($A$2=4,VLOOKUP($A209,'District Level ADM'!$A$5:$W$52,5,FALSE)="3-Year Avg."),AD209,IF($A$2=2,AR209,IF($A$2=3,AD209,IF(($AG209&gt;$AU209),AD209,AR209)))))</f>
        <v>0</v>
      </c>
      <c r="Q209" s="317">
        <f>IF(AND($A$2=4,VLOOKUP($A209,'District Level ADM'!$A$5:$W$52,5,FALSE)="Prior Year"),AS209,IF(AND($A$2=4,VLOOKUP($A209,'District Level ADM'!$A$5:$W$52,5,FALSE)="3-Year Avg."),AE209,IF($A$2=2,AS209,IF($A$2=3,AE209,IF(($AG209&gt;$AU209),AE209,AS209)))))</f>
        <v>0</v>
      </c>
      <c r="R209" s="317">
        <f>IF(AND($A$2=4,VLOOKUP($A209,'District Level ADM'!$A$5:$W$52,5,FALSE)="Prior Year"),AT209,IF(AND($A$2=4,VLOOKUP($A209,'District Level ADM'!$A$5:$W$52,5,FALSE)="3-Year Avg."),AF209,IF($A$2=2,AT209,IF($A$2=3,AF209,IF(($AG209&gt;$AU209),AF209,AT209)))))</f>
        <v>0</v>
      </c>
      <c r="S209" s="317">
        <f t="shared" si="35"/>
        <v>170.60321052631579</v>
      </c>
      <c r="T209" s="317">
        <f t="shared" si="34"/>
        <v>32.971479532163748</v>
      </c>
      <c r="U209" s="317">
        <f t="shared" si="34"/>
        <v>23.66514619883041</v>
      </c>
      <c r="V209" s="317">
        <f t="shared" si="34"/>
        <v>25.690146198830409</v>
      </c>
      <c r="W209" s="317">
        <f t="shared" si="34"/>
        <v>28.638479532163746</v>
      </c>
      <c r="X209" s="317">
        <f t="shared" si="40"/>
        <v>30.105146198830408</v>
      </c>
      <c r="Y209" s="317">
        <f t="shared" si="40"/>
        <v>29.532812865497078</v>
      </c>
      <c r="Z209" s="317">
        <f t="shared" si="40"/>
        <v>0</v>
      </c>
      <c r="AA209" s="317">
        <f t="shared" si="40"/>
        <v>0</v>
      </c>
      <c r="AB209" s="317">
        <f t="shared" si="40"/>
        <v>0</v>
      </c>
      <c r="AC209" s="317">
        <f t="shared" si="40"/>
        <v>0</v>
      </c>
      <c r="AD209" s="317">
        <f t="shared" si="30"/>
        <v>0</v>
      </c>
      <c r="AE209" s="317">
        <f t="shared" si="30"/>
        <v>0</v>
      </c>
      <c r="AF209" s="317">
        <f t="shared" si="30"/>
        <v>0</v>
      </c>
      <c r="AG209" s="317">
        <f t="shared" si="36"/>
        <v>170.60321052631579</v>
      </c>
      <c r="AH209" s="318">
        <v>32.505000000000003</v>
      </c>
      <c r="AI209" s="318">
        <v>17.73</v>
      </c>
      <c r="AJ209" s="318">
        <v>20.684999999999999</v>
      </c>
      <c r="AK209" s="318">
        <v>19.7</v>
      </c>
      <c r="AL209" s="318">
        <v>30.535</v>
      </c>
      <c r="AM209" s="318">
        <v>29.55</v>
      </c>
      <c r="AN209" s="318">
        <v>0</v>
      </c>
      <c r="AO209" s="318">
        <v>0</v>
      </c>
      <c r="AP209" s="318">
        <v>0</v>
      </c>
      <c r="AQ209" s="318">
        <v>0</v>
      </c>
      <c r="AR209" s="318">
        <v>0</v>
      </c>
      <c r="AS209" s="318">
        <v>0</v>
      </c>
      <c r="AT209" s="318">
        <v>0</v>
      </c>
      <c r="AU209" s="317">
        <f t="shared" si="37"/>
        <v>150.70500000000001</v>
      </c>
      <c r="AV209" s="319">
        <v>32.111754385964915</v>
      </c>
      <c r="AW209" s="319">
        <v>27.893754385964915</v>
      </c>
      <c r="AX209" s="319">
        <v>23.093754385964914</v>
      </c>
      <c r="AY209" s="319">
        <v>33.471754385964914</v>
      </c>
      <c r="AZ209" s="319">
        <v>32.105754385964914</v>
      </c>
      <c r="BA209" s="319">
        <v>28.699754385964912</v>
      </c>
      <c r="BB209" s="319">
        <v>0</v>
      </c>
      <c r="BC209" s="319">
        <v>0</v>
      </c>
      <c r="BD209" s="319">
        <v>0</v>
      </c>
      <c r="BE209" s="319">
        <v>0</v>
      </c>
      <c r="BF209" s="319">
        <v>0</v>
      </c>
      <c r="BG209" s="319">
        <v>0</v>
      </c>
      <c r="BH209" s="319">
        <v>0</v>
      </c>
      <c r="BI209" s="317">
        <f t="shared" si="39"/>
        <v>177.37652631578948</v>
      </c>
      <c r="BJ209" s="316">
        <v>34.29768421052632</v>
      </c>
      <c r="BK209" s="316">
        <v>25.371684210526318</v>
      </c>
      <c r="BL209" s="316">
        <v>33.291684210526313</v>
      </c>
      <c r="BM209" s="316">
        <v>32.743684210526318</v>
      </c>
      <c r="BN209" s="316">
        <v>27.674684210526316</v>
      </c>
      <c r="BO209" s="316">
        <v>30.348684210526319</v>
      </c>
      <c r="BP209" s="316">
        <v>0</v>
      </c>
      <c r="BQ209" s="316">
        <v>0</v>
      </c>
      <c r="BR209" s="316">
        <v>0</v>
      </c>
      <c r="BS209" s="316">
        <v>0</v>
      </c>
      <c r="BT209" s="316">
        <v>0</v>
      </c>
      <c r="BU209" s="316">
        <v>0</v>
      </c>
      <c r="BV209" s="316">
        <v>0</v>
      </c>
      <c r="BW209" s="317">
        <f t="shared" si="38"/>
        <v>183.72810526315791</v>
      </c>
    </row>
    <row r="210" spans="1:75" x14ac:dyDescent="0.2">
      <c r="A210" s="20" t="str">
        <f>'School Level Inst. Resources'!A210</f>
        <v>1301000</v>
      </c>
      <c r="B210" s="20" t="str">
        <f>'School Level Inst. Resources'!B210</f>
        <v>Natrona #1</v>
      </c>
      <c r="C210" s="20" t="str">
        <f>'School Level Inst. Resources'!C210</f>
        <v>1301016</v>
      </c>
      <c r="D210" s="20" t="str">
        <f>'School Level Inst. Resources'!D210</f>
        <v>Lincoln Elementary School</v>
      </c>
      <c r="E210" s="138" t="str">
        <f>'School Level Inst. Resources'!E210</f>
        <v>P-5</v>
      </c>
      <c r="F210" s="317">
        <f>IF(AND($A$2=4,VLOOKUP($A210,'District Level ADM'!$A$5:$W$52,5,FALSE)="Prior Year"),AH210,IF(AND($A$2=4,VLOOKUP($A210,'District Level ADM'!$A$5:$W$52,5,FALSE)="3-Year Avg."),T210,IF($A$2=2,AH210,IF($A$2=3,T210,IF(($AG210&gt;$AU210),T210,AH210)))))</f>
        <v>53.035479532163741</v>
      </c>
      <c r="G210" s="317">
        <f>IF(AND($A$2=4,VLOOKUP($A210,'District Level ADM'!$A$5:$W$52,5,FALSE)="Prior Year"),AI210,IF(AND($A$2=4,VLOOKUP($A210,'District Level ADM'!$A$5:$W$52,5,FALSE)="3-Year Avg."),U210,IF($A$2=2,AI210,IF($A$2=3,U210,IF(($AG210&gt;$AU210),U210,AI210)))))</f>
        <v>49.222479532163739</v>
      </c>
      <c r="H210" s="317">
        <f>IF(AND($A$2=4,VLOOKUP($A210,'District Level ADM'!$A$5:$W$52,5,FALSE)="Prior Year"),AJ210,IF(AND($A$2=4,VLOOKUP($A210,'District Level ADM'!$A$5:$W$52,5,FALSE)="3-Year Avg."),V210,IF($A$2=2,AJ210,IF($A$2=3,V210,IF(($AG210&gt;$AU210),V210,AJ210)))))</f>
        <v>51.903146198830406</v>
      </c>
      <c r="I210" s="317">
        <f>IF(AND($A$2=4,VLOOKUP($A210,'District Level ADM'!$A$5:$W$52,5,FALSE)="Prior Year"),AK210,IF(AND($A$2=4,VLOOKUP($A210,'District Level ADM'!$A$5:$W$52,5,FALSE)="3-Year Avg."),W210,IF($A$2=2,AK210,IF($A$2=3,W210,IF(($AG210&gt;$AU210),W210,AK210)))))</f>
        <v>57.44447953216374</v>
      </c>
      <c r="J210" s="317">
        <f>IF(AND($A$2=4,VLOOKUP($A210,'District Level ADM'!$A$5:$W$52,5,FALSE)="Prior Year"),AL210,IF(AND($A$2=4,VLOOKUP($A210,'District Level ADM'!$A$5:$W$52,5,FALSE)="3-Year Avg."),X210,IF($A$2=2,AL210,IF($A$2=3,X210,IF(($AG210&gt;$AU210),X210,AL210)))))</f>
        <v>51.031812865497074</v>
      </c>
      <c r="K210" s="317">
        <f>IF(AND($A$2=4,VLOOKUP($A210,'District Level ADM'!$A$5:$W$52,5,FALSE)="Prior Year"),AM210,IF(AND($A$2=4,VLOOKUP($A210,'District Level ADM'!$A$5:$W$52,5,FALSE)="3-Year Avg."),Y210,IF($A$2=2,AM210,IF($A$2=3,Y210,IF(($AG210&gt;$AU210),Y210,AM210)))))</f>
        <v>42.908146198830401</v>
      </c>
      <c r="L210" s="317">
        <f>IF(AND($A$2=4,VLOOKUP($A210,'District Level ADM'!$A$5:$W$52,5,FALSE)="Prior Year"),AN210,IF(AND($A$2=4,VLOOKUP($A210,'District Level ADM'!$A$5:$W$52,5,FALSE)="3-Year Avg."),Z210,IF($A$2=2,AN210,IF($A$2=3,Z210,IF(($AG210&gt;$AU210),Z210,AN210)))))</f>
        <v>0</v>
      </c>
      <c r="M210" s="317">
        <f>IF(AND($A$2=4,VLOOKUP($A210,'District Level ADM'!$A$5:$W$52,5,FALSE)="Prior Year"),AO210,IF(AND($A$2=4,VLOOKUP($A210,'District Level ADM'!$A$5:$W$52,5,FALSE)="3-Year Avg."),AA210,IF($A$2=2,AO210,IF($A$2=3,AA210,IF(($AG210&gt;$AU210),AA210,AO210)))))</f>
        <v>0</v>
      </c>
      <c r="N210" s="317">
        <f>IF(AND($A$2=4,VLOOKUP($A210,'District Level ADM'!$A$5:$W$52,5,FALSE)="Prior Year"),AP210,IF(AND($A$2=4,VLOOKUP($A210,'District Level ADM'!$A$5:$W$52,5,FALSE)="3-Year Avg."),AB210,IF($A$2=2,AP210,IF($A$2=3,AB210,IF(($AG210&gt;$AU210),AB210,AP210)))))</f>
        <v>0</v>
      </c>
      <c r="O210" s="317">
        <f>IF(AND($A$2=4,VLOOKUP($A210,'District Level ADM'!$A$5:$W$52,5,FALSE)="Prior Year"),AQ210,IF(AND($A$2=4,VLOOKUP($A210,'District Level ADM'!$A$5:$W$52,5,FALSE)="3-Year Avg."),AC210,IF($A$2=2,AQ210,IF($A$2=3,AC210,IF(($AG210&gt;$AU210),AC210,AQ210)))))</f>
        <v>0</v>
      </c>
      <c r="P210" s="317">
        <f>IF(AND($A$2=4,VLOOKUP($A210,'District Level ADM'!$A$5:$W$52,5,FALSE)="Prior Year"),AR210,IF(AND($A$2=4,VLOOKUP($A210,'District Level ADM'!$A$5:$W$52,5,FALSE)="3-Year Avg."),AD210,IF($A$2=2,AR210,IF($A$2=3,AD210,IF(($AG210&gt;$AU210),AD210,AR210)))))</f>
        <v>0</v>
      </c>
      <c r="Q210" s="317">
        <f>IF(AND($A$2=4,VLOOKUP($A210,'District Level ADM'!$A$5:$W$52,5,FALSE)="Prior Year"),AS210,IF(AND($A$2=4,VLOOKUP($A210,'District Level ADM'!$A$5:$W$52,5,FALSE)="3-Year Avg."),AE210,IF($A$2=2,AS210,IF($A$2=3,AE210,IF(($AG210&gt;$AU210),AE210,AS210)))))</f>
        <v>0</v>
      </c>
      <c r="R210" s="317">
        <f>IF(AND($A$2=4,VLOOKUP($A210,'District Level ADM'!$A$5:$W$52,5,FALSE)="Prior Year"),AT210,IF(AND($A$2=4,VLOOKUP($A210,'District Level ADM'!$A$5:$W$52,5,FALSE)="3-Year Avg."),AF210,IF($A$2=2,AT210,IF($A$2=3,AF210,IF(($AG210&gt;$AU210),AF210,AT210)))))</f>
        <v>0</v>
      </c>
      <c r="S210" s="317">
        <f t="shared" si="35"/>
        <v>305.54554385964911</v>
      </c>
      <c r="T210" s="317">
        <f t="shared" si="34"/>
        <v>53.035479532163741</v>
      </c>
      <c r="U210" s="317">
        <f t="shared" si="34"/>
        <v>49.222479532163739</v>
      </c>
      <c r="V210" s="317">
        <f t="shared" si="34"/>
        <v>51.903146198830406</v>
      </c>
      <c r="W210" s="317">
        <f t="shared" si="34"/>
        <v>57.44447953216374</v>
      </c>
      <c r="X210" s="317">
        <f t="shared" si="40"/>
        <v>51.031812865497074</v>
      </c>
      <c r="Y210" s="317">
        <f t="shared" si="40"/>
        <v>42.908146198830401</v>
      </c>
      <c r="Z210" s="317">
        <f t="shared" si="40"/>
        <v>0</v>
      </c>
      <c r="AA210" s="317">
        <f t="shared" si="40"/>
        <v>0</v>
      </c>
      <c r="AB210" s="317">
        <f t="shared" si="40"/>
        <v>0</v>
      </c>
      <c r="AC210" s="317">
        <f t="shared" si="40"/>
        <v>0</v>
      </c>
      <c r="AD210" s="317">
        <f t="shared" si="30"/>
        <v>0</v>
      </c>
      <c r="AE210" s="317">
        <f t="shared" si="30"/>
        <v>0</v>
      </c>
      <c r="AF210" s="317">
        <f t="shared" si="30"/>
        <v>0</v>
      </c>
      <c r="AG210" s="317">
        <f t="shared" si="36"/>
        <v>305.54554385964911</v>
      </c>
      <c r="AH210" s="318">
        <v>50.234999999999999</v>
      </c>
      <c r="AI210" s="318">
        <v>50.234999999999999</v>
      </c>
      <c r="AJ210" s="318">
        <v>54.174999999999997</v>
      </c>
      <c r="AK210" s="318">
        <v>52.204999999999998</v>
      </c>
      <c r="AL210" s="318">
        <v>50.234999999999999</v>
      </c>
      <c r="AM210" s="318">
        <v>50.234999999999999</v>
      </c>
      <c r="AN210" s="318">
        <v>0</v>
      </c>
      <c r="AO210" s="318">
        <v>0</v>
      </c>
      <c r="AP210" s="318">
        <v>0</v>
      </c>
      <c r="AQ210" s="318">
        <v>0</v>
      </c>
      <c r="AR210" s="318">
        <v>0</v>
      </c>
      <c r="AS210" s="318">
        <v>0</v>
      </c>
      <c r="AT210" s="318">
        <v>0</v>
      </c>
      <c r="AU210" s="317">
        <f t="shared" si="37"/>
        <v>307.32</v>
      </c>
      <c r="AV210" s="319">
        <v>54.733754385964907</v>
      </c>
      <c r="AW210" s="319">
        <v>47.751754385964908</v>
      </c>
      <c r="AX210" s="319">
        <v>47.036754385964912</v>
      </c>
      <c r="AY210" s="319">
        <v>49.773754385964907</v>
      </c>
      <c r="AZ210" s="319">
        <v>61.768754385964911</v>
      </c>
      <c r="BA210" s="319">
        <v>38.351754385964909</v>
      </c>
      <c r="BB210" s="319">
        <v>0</v>
      </c>
      <c r="BC210" s="319">
        <v>0</v>
      </c>
      <c r="BD210" s="319">
        <v>0</v>
      </c>
      <c r="BE210" s="319">
        <v>0</v>
      </c>
      <c r="BF210" s="319">
        <v>0</v>
      </c>
      <c r="BG210" s="319">
        <v>0</v>
      </c>
      <c r="BH210" s="319">
        <v>0</v>
      </c>
      <c r="BI210" s="317">
        <f t="shared" si="39"/>
        <v>299.41652631578944</v>
      </c>
      <c r="BJ210" s="316">
        <v>54.137684210526317</v>
      </c>
      <c r="BK210" s="316">
        <v>49.680684210526316</v>
      </c>
      <c r="BL210" s="316">
        <v>54.497684210526316</v>
      </c>
      <c r="BM210" s="316">
        <v>70.354684210526315</v>
      </c>
      <c r="BN210" s="316">
        <v>41.091684210526317</v>
      </c>
      <c r="BO210" s="316">
        <v>40.137684210526317</v>
      </c>
      <c r="BP210" s="316">
        <v>0</v>
      </c>
      <c r="BQ210" s="316">
        <v>0</v>
      </c>
      <c r="BR210" s="316">
        <v>0</v>
      </c>
      <c r="BS210" s="316">
        <v>0</v>
      </c>
      <c r="BT210" s="316">
        <v>0</v>
      </c>
      <c r="BU210" s="316">
        <v>0</v>
      </c>
      <c r="BV210" s="316">
        <v>0</v>
      </c>
      <c r="BW210" s="317">
        <f t="shared" si="38"/>
        <v>309.90010526315791</v>
      </c>
    </row>
    <row r="211" spans="1:75" x14ac:dyDescent="0.2">
      <c r="A211" s="20" t="str">
        <f>'School Level Inst. Resources'!A211</f>
        <v>1301000</v>
      </c>
      <c r="B211" s="20" t="str">
        <f>'School Level Inst. Resources'!B211</f>
        <v>Natrona #1</v>
      </c>
      <c r="C211" s="20" t="str">
        <f>'School Level Inst. Resources'!C211</f>
        <v>1301017</v>
      </c>
      <c r="D211" s="20" t="str">
        <f>'School Level Inst. Resources'!D211</f>
        <v>Paradise Valley Elementary</v>
      </c>
      <c r="E211" s="138" t="str">
        <f>'School Level Inst. Resources'!E211</f>
        <v>P-6</v>
      </c>
      <c r="F211" s="317">
        <f>IF(AND($A$2=4,VLOOKUP($A211,'District Level ADM'!$A$5:$W$52,5,FALSE)="Prior Year"),AH211,IF(AND($A$2=4,VLOOKUP($A211,'District Level ADM'!$A$5:$W$52,5,FALSE)="3-Year Avg."),T211,IF($A$2=2,AH211,IF($A$2=3,T211,IF(($AG211&gt;$AU211),T211,AH211)))))</f>
        <v>71.68881286549707</v>
      </c>
      <c r="G211" s="317">
        <f>IF(AND($A$2=4,VLOOKUP($A211,'District Level ADM'!$A$5:$W$52,5,FALSE)="Prior Year"),AI211,IF(AND($A$2=4,VLOOKUP($A211,'District Level ADM'!$A$5:$W$52,5,FALSE)="3-Year Avg."),U211,IF($A$2=2,AI211,IF($A$2=3,U211,IF(($AG211&gt;$AU211),U211,AI211)))))</f>
        <v>72.255812865497077</v>
      </c>
      <c r="H211" s="317">
        <f>IF(AND($A$2=4,VLOOKUP($A211,'District Level ADM'!$A$5:$W$52,5,FALSE)="Prior Year"),AJ211,IF(AND($A$2=4,VLOOKUP($A211,'District Level ADM'!$A$5:$W$52,5,FALSE)="3-Year Avg."),V211,IF($A$2=2,AJ211,IF($A$2=3,V211,IF(($AG211&gt;$AU211),V211,AJ211)))))</f>
        <v>69.662146198830413</v>
      </c>
      <c r="I211" s="317">
        <f>IF(AND($A$2=4,VLOOKUP($A211,'District Level ADM'!$A$5:$W$52,5,FALSE)="Prior Year"),AK211,IF(AND($A$2=4,VLOOKUP($A211,'District Level ADM'!$A$5:$W$52,5,FALSE)="3-Year Avg."),W211,IF($A$2=2,AK211,IF($A$2=3,W211,IF(($AG211&gt;$AU211),W211,AK211)))))</f>
        <v>66.867146198830412</v>
      </c>
      <c r="J211" s="317">
        <f>IF(AND($A$2=4,VLOOKUP($A211,'District Level ADM'!$A$5:$W$52,5,FALSE)="Prior Year"),AL211,IF(AND($A$2=4,VLOOKUP($A211,'District Level ADM'!$A$5:$W$52,5,FALSE)="3-Year Avg."),X211,IF($A$2=2,AL211,IF($A$2=3,X211,IF(($AG211&gt;$AU211),X211,AL211)))))</f>
        <v>66.503479532163738</v>
      </c>
      <c r="K211" s="317">
        <f>IF(AND($A$2=4,VLOOKUP($A211,'District Level ADM'!$A$5:$W$52,5,FALSE)="Prior Year"),AM211,IF(AND($A$2=4,VLOOKUP($A211,'District Level ADM'!$A$5:$W$52,5,FALSE)="3-Year Avg."),Y211,IF($A$2=2,AM211,IF($A$2=3,Y211,IF(($AG211&gt;$AU211),Y211,AM211)))))</f>
        <v>67.857812865497081</v>
      </c>
      <c r="L211" s="317">
        <f>IF(AND($A$2=4,VLOOKUP($A211,'District Level ADM'!$A$5:$W$52,5,FALSE)="Prior Year"),AN211,IF(AND($A$2=4,VLOOKUP($A211,'District Level ADM'!$A$5:$W$52,5,FALSE)="3-Year Avg."),Z211,IF($A$2=2,AN211,IF($A$2=3,Z211,IF(($AG211&gt;$AU211),Z211,AN211)))))</f>
        <v>0</v>
      </c>
      <c r="M211" s="317">
        <f>IF(AND($A$2=4,VLOOKUP($A211,'District Level ADM'!$A$5:$W$52,5,FALSE)="Prior Year"),AO211,IF(AND($A$2=4,VLOOKUP($A211,'District Level ADM'!$A$5:$W$52,5,FALSE)="3-Year Avg."),AA211,IF($A$2=2,AO211,IF($A$2=3,AA211,IF(($AG211&gt;$AU211),AA211,AO211)))))</f>
        <v>0</v>
      </c>
      <c r="N211" s="317">
        <f>IF(AND($A$2=4,VLOOKUP($A211,'District Level ADM'!$A$5:$W$52,5,FALSE)="Prior Year"),AP211,IF(AND($A$2=4,VLOOKUP($A211,'District Level ADM'!$A$5:$W$52,5,FALSE)="3-Year Avg."),AB211,IF($A$2=2,AP211,IF($A$2=3,AB211,IF(($AG211&gt;$AU211),AB211,AP211)))))</f>
        <v>0</v>
      </c>
      <c r="O211" s="317">
        <f>IF(AND($A$2=4,VLOOKUP($A211,'District Level ADM'!$A$5:$W$52,5,FALSE)="Prior Year"),AQ211,IF(AND($A$2=4,VLOOKUP($A211,'District Level ADM'!$A$5:$W$52,5,FALSE)="3-Year Avg."),AC211,IF($A$2=2,AQ211,IF($A$2=3,AC211,IF(($AG211&gt;$AU211),AC211,AQ211)))))</f>
        <v>0</v>
      </c>
      <c r="P211" s="317">
        <f>IF(AND($A$2=4,VLOOKUP($A211,'District Level ADM'!$A$5:$W$52,5,FALSE)="Prior Year"),AR211,IF(AND($A$2=4,VLOOKUP($A211,'District Level ADM'!$A$5:$W$52,5,FALSE)="3-Year Avg."),AD211,IF($A$2=2,AR211,IF($A$2=3,AD211,IF(($AG211&gt;$AU211),AD211,AR211)))))</f>
        <v>0</v>
      </c>
      <c r="Q211" s="317">
        <f>IF(AND($A$2=4,VLOOKUP($A211,'District Level ADM'!$A$5:$W$52,5,FALSE)="Prior Year"),AS211,IF(AND($A$2=4,VLOOKUP($A211,'District Level ADM'!$A$5:$W$52,5,FALSE)="3-Year Avg."),AE211,IF($A$2=2,AS211,IF($A$2=3,AE211,IF(($AG211&gt;$AU211),AE211,AS211)))))</f>
        <v>0</v>
      </c>
      <c r="R211" s="317">
        <f>IF(AND($A$2=4,VLOOKUP($A211,'District Level ADM'!$A$5:$W$52,5,FALSE)="Prior Year"),AT211,IF(AND($A$2=4,VLOOKUP($A211,'District Level ADM'!$A$5:$W$52,5,FALSE)="3-Year Avg."),AF211,IF($A$2=2,AT211,IF($A$2=3,AF211,IF(($AG211&gt;$AU211),AF211,AT211)))))</f>
        <v>0</v>
      </c>
      <c r="S211" s="317">
        <f t="shared" si="35"/>
        <v>414.83521052631579</v>
      </c>
      <c r="T211" s="317">
        <f t="shared" si="34"/>
        <v>71.68881286549707</v>
      </c>
      <c r="U211" s="317">
        <f t="shared" si="34"/>
        <v>72.255812865497077</v>
      </c>
      <c r="V211" s="317">
        <f t="shared" si="34"/>
        <v>69.662146198830413</v>
      </c>
      <c r="W211" s="317">
        <f t="shared" si="34"/>
        <v>66.867146198830412</v>
      </c>
      <c r="X211" s="317">
        <f t="shared" si="40"/>
        <v>66.503479532163738</v>
      </c>
      <c r="Y211" s="317">
        <f t="shared" si="40"/>
        <v>67.857812865497081</v>
      </c>
      <c r="Z211" s="317">
        <f t="shared" si="40"/>
        <v>0</v>
      </c>
      <c r="AA211" s="317">
        <f t="shared" si="40"/>
        <v>0</v>
      </c>
      <c r="AB211" s="317">
        <f t="shared" si="40"/>
        <v>0</v>
      </c>
      <c r="AC211" s="317">
        <f t="shared" si="40"/>
        <v>0</v>
      </c>
      <c r="AD211" s="317">
        <f t="shared" si="30"/>
        <v>0</v>
      </c>
      <c r="AE211" s="317">
        <f t="shared" si="30"/>
        <v>0</v>
      </c>
      <c r="AF211" s="317">
        <f t="shared" si="30"/>
        <v>0</v>
      </c>
      <c r="AG211" s="317">
        <f t="shared" si="36"/>
        <v>414.83521052631579</v>
      </c>
      <c r="AH211" s="318">
        <v>63.04</v>
      </c>
      <c r="AI211" s="318">
        <v>72.89</v>
      </c>
      <c r="AJ211" s="318">
        <v>65.995000000000005</v>
      </c>
      <c r="AK211" s="318">
        <v>62.055</v>
      </c>
      <c r="AL211" s="318">
        <v>60.085000000000001</v>
      </c>
      <c r="AM211" s="318">
        <v>65.010000000000005</v>
      </c>
      <c r="AN211" s="318">
        <v>0</v>
      </c>
      <c r="AO211" s="318">
        <v>0</v>
      </c>
      <c r="AP211" s="318">
        <v>0</v>
      </c>
      <c r="AQ211" s="318">
        <v>0</v>
      </c>
      <c r="AR211" s="318">
        <v>0</v>
      </c>
      <c r="AS211" s="318">
        <v>0</v>
      </c>
      <c r="AT211" s="318">
        <v>0</v>
      </c>
      <c r="AU211" s="317">
        <f t="shared" si="37"/>
        <v>389.07499999999999</v>
      </c>
      <c r="AV211" s="319">
        <v>76.905754385964912</v>
      </c>
      <c r="AW211" s="319">
        <v>69.648754385964907</v>
      </c>
      <c r="AX211" s="319">
        <v>69.716754385964904</v>
      </c>
      <c r="AY211" s="319">
        <v>64.071754385964908</v>
      </c>
      <c r="AZ211" s="319">
        <v>70.836754385964909</v>
      </c>
      <c r="BA211" s="319">
        <v>62.225754385964912</v>
      </c>
      <c r="BB211" s="319">
        <v>0</v>
      </c>
      <c r="BC211" s="319">
        <v>0</v>
      </c>
      <c r="BD211" s="319">
        <v>0</v>
      </c>
      <c r="BE211" s="319">
        <v>0</v>
      </c>
      <c r="BF211" s="319">
        <v>0</v>
      </c>
      <c r="BG211" s="319">
        <v>0</v>
      </c>
      <c r="BH211" s="319">
        <v>0</v>
      </c>
      <c r="BI211" s="317">
        <f t="shared" si="39"/>
        <v>413.40552631578953</v>
      </c>
      <c r="BJ211" s="316">
        <v>75.120684210526306</v>
      </c>
      <c r="BK211" s="316">
        <v>74.22868421052631</v>
      </c>
      <c r="BL211" s="316">
        <v>73.274684210526317</v>
      </c>
      <c r="BM211" s="316">
        <v>74.474684210526306</v>
      </c>
      <c r="BN211" s="316">
        <v>68.58868421052631</v>
      </c>
      <c r="BO211" s="316">
        <v>76.337684210526305</v>
      </c>
      <c r="BP211" s="316">
        <v>0</v>
      </c>
      <c r="BQ211" s="316">
        <v>0</v>
      </c>
      <c r="BR211" s="316">
        <v>0</v>
      </c>
      <c r="BS211" s="316">
        <v>0</v>
      </c>
      <c r="BT211" s="316">
        <v>0</v>
      </c>
      <c r="BU211" s="316">
        <v>0</v>
      </c>
      <c r="BV211" s="316">
        <v>0</v>
      </c>
      <c r="BW211" s="317">
        <f t="shared" si="38"/>
        <v>442.02510526315791</v>
      </c>
    </row>
    <row r="212" spans="1:75" x14ac:dyDescent="0.2">
      <c r="A212" s="20" t="str">
        <f>'School Level Inst. Resources'!A212</f>
        <v>1301000</v>
      </c>
      <c r="B212" s="20" t="str">
        <f>'School Level Inst. Resources'!B212</f>
        <v>Natrona #1</v>
      </c>
      <c r="C212" s="20" t="str">
        <f>'School Level Inst. Resources'!C212</f>
        <v>1301018</v>
      </c>
      <c r="D212" s="20" t="str">
        <f>'School Level Inst. Resources'!D212</f>
        <v>Park Elementary</v>
      </c>
      <c r="E212" s="138" t="str">
        <f>'School Level Inst. Resources'!E212</f>
        <v>K-6</v>
      </c>
      <c r="F212" s="317">
        <f>IF(AND($A$2=4,VLOOKUP($A212,'District Level ADM'!$A$5:$W$52,5,FALSE)="Prior Year"),AH212,IF(AND($A$2=4,VLOOKUP($A212,'District Level ADM'!$A$5:$W$52,5,FALSE)="3-Year Avg."),T212,IF($A$2=2,AH212,IF($A$2=3,T212,IF(($AG212&gt;$AU212),T212,AH212)))))</f>
        <v>57.759812865497075</v>
      </c>
      <c r="G212" s="317">
        <f>IF(AND($A$2=4,VLOOKUP($A212,'District Level ADM'!$A$5:$W$52,5,FALSE)="Prior Year"),AI212,IF(AND($A$2=4,VLOOKUP($A212,'District Level ADM'!$A$5:$W$52,5,FALSE)="3-Year Avg."),U212,IF($A$2=2,AI212,IF($A$2=3,U212,IF(($AG212&gt;$AU212),U212,AI212)))))</f>
        <v>55.293479532163737</v>
      </c>
      <c r="H212" s="317">
        <f>IF(AND($A$2=4,VLOOKUP($A212,'District Level ADM'!$A$5:$W$52,5,FALSE)="Prior Year"),AJ212,IF(AND($A$2=4,VLOOKUP($A212,'District Level ADM'!$A$5:$W$52,5,FALSE)="3-Year Avg."),V212,IF($A$2=2,AJ212,IF($A$2=3,V212,IF(($AG212&gt;$AU212),V212,AJ212)))))</f>
        <v>55.079146198830408</v>
      </c>
      <c r="I212" s="317">
        <f>IF(AND($A$2=4,VLOOKUP($A212,'District Level ADM'!$A$5:$W$52,5,FALSE)="Prior Year"),AK212,IF(AND($A$2=4,VLOOKUP($A212,'District Level ADM'!$A$5:$W$52,5,FALSE)="3-Year Avg."),W212,IF($A$2=2,AK212,IF($A$2=3,W212,IF(($AG212&gt;$AU212),W212,AK212)))))</f>
        <v>54.150812865497073</v>
      </c>
      <c r="J212" s="317">
        <f>IF(AND($A$2=4,VLOOKUP($A212,'District Level ADM'!$A$5:$W$52,5,FALSE)="Prior Year"),AL212,IF(AND($A$2=4,VLOOKUP($A212,'District Level ADM'!$A$5:$W$52,5,FALSE)="3-Year Avg."),X212,IF($A$2=2,AL212,IF($A$2=3,X212,IF(($AG212&gt;$AU212),X212,AL212)))))</f>
        <v>51.413479532163741</v>
      </c>
      <c r="K212" s="317">
        <f>IF(AND($A$2=4,VLOOKUP($A212,'District Level ADM'!$A$5:$W$52,5,FALSE)="Prior Year"),AM212,IF(AND($A$2=4,VLOOKUP($A212,'District Level ADM'!$A$5:$W$52,5,FALSE)="3-Year Avg."),Y212,IF($A$2=2,AM212,IF($A$2=3,Y212,IF(($AG212&gt;$AU212),Y212,AM212)))))</f>
        <v>49.751812865497072</v>
      </c>
      <c r="L212" s="317">
        <f>IF(AND($A$2=4,VLOOKUP($A212,'District Level ADM'!$A$5:$W$52,5,FALSE)="Prior Year"),AN212,IF(AND($A$2=4,VLOOKUP($A212,'District Level ADM'!$A$5:$W$52,5,FALSE)="3-Year Avg."),Z212,IF($A$2=2,AN212,IF($A$2=3,Z212,IF(($AG212&gt;$AU212),Z212,AN212)))))</f>
        <v>0</v>
      </c>
      <c r="M212" s="317">
        <f>IF(AND($A$2=4,VLOOKUP($A212,'District Level ADM'!$A$5:$W$52,5,FALSE)="Prior Year"),AO212,IF(AND($A$2=4,VLOOKUP($A212,'District Level ADM'!$A$5:$W$52,5,FALSE)="3-Year Avg."),AA212,IF($A$2=2,AO212,IF($A$2=3,AA212,IF(($AG212&gt;$AU212),AA212,AO212)))))</f>
        <v>0</v>
      </c>
      <c r="N212" s="317">
        <f>IF(AND($A$2=4,VLOOKUP($A212,'District Level ADM'!$A$5:$W$52,5,FALSE)="Prior Year"),AP212,IF(AND($A$2=4,VLOOKUP($A212,'District Level ADM'!$A$5:$W$52,5,FALSE)="3-Year Avg."),AB212,IF($A$2=2,AP212,IF($A$2=3,AB212,IF(($AG212&gt;$AU212),AB212,AP212)))))</f>
        <v>0</v>
      </c>
      <c r="O212" s="317">
        <f>IF(AND($A$2=4,VLOOKUP($A212,'District Level ADM'!$A$5:$W$52,5,FALSE)="Prior Year"),AQ212,IF(AND($A$2=4,VLOOKUP($A212,'District Level ADM'!$A$5:$W$52,5,FALSE)="3-Year Avg."),AC212,IF($A$2=2,AQ212,IF($A$2=3,AC212,IF(($AG212&gt;$AU212),AC212,AQ212)))))</f>
        <v>0</v>
      </c>
      <c r="P212" s="317">
        <f>IF(AND($A$2=4,VLOOKUP($A212,'District Level ADM'!$A$5:$W$52,5,FALSE)="Prior Year"),AR212,IF(AND($A$2=4,VLOOKUP($A212,'District Level ADM'!$A$5:$W$52,5,FALSE)="3-Year Avg."),AD212,IF($A$2=2,AR212,IF($A$2=3,AD212,IF(($AG212&gt;$AU212),AD212,AR212)))))</f>
        <v>0</v>
      </c>
      <c r="Q212" s="317">
        <f>IF(AND($A$2=4,VLOOKUP($A212,'District Level ADM'!$A$5:$W$52,5,FALSE)="Prior Year"),AS212,IF(AND($A$2=4,VLOOKUP($A212,'District Level ADM'!$A$5:$W$52,5,FALSE)="3-Year Avg."),AE212,IF($A$2=2,AS212,IF($A$2=3,AE212,IF(($AG212&gt;$AU212),AE212,AS212)))))</f>
        <v>0</v>
      </c>
      <c r="R212" s="317">
        <f>IF(AND($A$2=4,VLOOKUP($A212,'District Level ADM'!$A$5:$W$52,5,FALSE)="Prior Year"),AT212,IF(AND($A$2=4,VLOOKUP($A212,'District Level ADM'!$A$5:$W$52,5,FALSE)="3-Year Avg."),AF212,IF($A$2=2,AT212,IF($A$2=3,AF212,IF(($AG212&gt;$AU212),AF212,AT212)))))</f>
        <v>0</v>
      </c>
      <c r="S212" s="317">
        <f t="shared" si="35"/>
        <v>323.44854385964913</v>
      </c>
      <c r="T212" s="317">
        <f t="shared" si="34"/>
        <v>57.759812865497075</v>
      </c>
      <c r="U212" s="317">
        <f t="shared" si="34"/>
        <v>55.293479532163737</v>
      </c>
      <c r="V212" s="317">
        <f t="shared" si="34"/>
        <v>55.079146198830408</v>
      </c>
      <c r="W212" s="317">
        <f t="shared" si="34"/>
        <v>54.150812865497073</v>
      </c>
      <c r="X212" s="317">
        <f t="shared" si="40"/>
        <v>51.413479532163741</v>
      </c>
      <c r="Y212" s="317">
        <f t="shared" si="40"/>
        <v>49.751812865497072</v>
      </c>
      <c r="Z212" s="317">
        <f t="shared" si="40"/>
        <v>0</v>
      </c>
      <c r="AA212" s="317">
        <f t="shared" si="40"/>
        <v>0</v>
      </c>
      <c r="AB212" s="317">
        <f t="shared" si="40"/>
        <v>0</v>
      </c>
      <c r="AC212" s="317">
        <f t="shared" si="40"/>
        <v>0</v>
      </c>
      <c r="AD212" s="317">
        <f t="shared" si="30"/>
        <v>0</v>
      </c>
      <c r="AE212" s="317">
        <f t="shared" si="30"/>
        <v>0</v>
      </c>
      <c r="AF212" s="317">
        <f t="shared" si="30"/>
        <v>0</v>
      </c>
      <c r="AG212" s="317">
        <f t="shared" si="36"/>
        <v>323.44854385964913</v>
      </c>
      <c r="AH212" s="318">
        <v>56.145000000000003</v>
      </c>
      <c r="AI212" s="318">
        <v>54.174999999999997</v>
      </c>
      <c r="AJ212" s="318">
        <v>55.16</v>
      </c>
      <c r="AK212" s="318">
        <v>51.22</v>
      </c>
      <c r="AL212" s="318">
        <v>51.22</v>
      </c>
      <c r="AM212" s="318">
        <v>50.234999999999999</v>
      </c>
      <c r="AN212" s="318">
        <v>0</v>
      </c>
      <c r="AO212" s="318">
        <v>0</v>
      </c>
      <c r="AP212" s="318">
        <v>0</v>
      </c>
      <c r="AQ212" s="318">
        <v>0</v>
      </c>
      <c r="AR212" s="318">
        <v>0</v>
      </c>
      <c r="AS212" s="318">
        <v>0</v>
      </c>
      <c r="AT212" s="318">
        <v>0</v>
      </c>
      <c r="AU212" s="317">
        <f t="shared" si="37"/>
        <v>318.15499999999997</v>
      </c>
      <c r="AV212" s="319">
        <v>58.465754385964907</v>
      </c>
      <c r="AW212" s="319">
        <v>55.876754385964908</v>
      </c>
      <c r="AX212" s="319">
        <v>55.379754385964908</v>
      </c>
      <c r="AY212" s="319">
        <v>54.751754385964908</v>
      </c>
      <c r="AZ212" s="319">
        <v>49.699754385964908</v>
      </c>
      <c r="BA212" s="319">
        <v>49.545754385964912</v>
      </c>
      <c r="BB212" s="319">
        <v>0</v>
      </c>
      <c r="BC212" s="319">
        <v>0</v>
      </c>
      <c r="BD212" s="319">
        <v>0</v>
      </c>
      <c r="BE212" s="319">
        <v>0</v>
      </c>
      <c r="BF212" s="319">
        <v>0</v>
      </c>
      <c r="BG212" s="319">
        <v>0</v>
      </c>
      <c r="BH212" s="319">
        <v>0</v>
      </c>
      <c r="BI212" s="317">
        <f t="shared" si="39"/>
        <v>323.71952631578949</v>
      </c>
      <c r="BJ212" s="316">
        <v>58.668684210526315</v>
      </c>
      <c r="BK212" s="316">
        <v>55.828684210526319</v>
      </c>
      <c r="BL212" s="316">
        <v>54.697684210526319</v>
      </c>
      <c r="BM212" s="316">
        <v>56.48068421052632</v>
      </c>
      <c r="BN212" s="316">
        <v>53.320684210526316</v>
      </c>
      <c r="BO212" s="316">
        <v>49.47468421052632</v>
      </c>
      <c r="BP212" s="316">
        <v>0</v>
      </c>
      <c r="BQ212" s="316">
        <v>0</v>
      </c>
      <c r="BR212" s="316">
        <v>0</v>
      </c>
      <c r="BS212" s="316">
        <v>0</v>
      </c>
      <c r="BT212" s="316">
        <v>0</v>
      </c>
      <c r="BU212" s="316">
        <v>0</v>
      </c>
      <c r="BV212" s="316">
        <v>0</v>
      </c>
      <c r="BW212" s="317">
        <f t="shared" si="38"/>
        <v>328.47110526315794</v>
      </c>
    </row>
    <row r="213" spans="1:75" x14ac:dyDescent="0.2">
      <c r="A213" s="20" t="str">
        <f>'School Level Inst. Resources'!A213</f>
        <v>1301000</v>
      </c>
      <c r="B213" s="20" t="str">
        <f>'School Level Inst. Resources'!B213</f>
        <v>Natrona #1</v>
      </c>
      <c r="C213" s="20" t="str">
        <f>'School Level Inst. Resources'!C213</f>
        <v>1301019</v>
      </c>
      <c r="D213" s="20" t="str">
        <f>'School Level Inst. Resources'!D213</f>
        <v>Pineview Elementary</v>
      </c>
      <c r="E213" s="138" t="str">
        <f>'School Level Inst. Resources'!E213</f>
        <v>P-6</v>
      </c>
      <c r="F213" s="317">
        <f>IF(AND($A$2=4,VLOOKUP($A213,'District Level ADM'!$A$5:$W$52,5,FALSE)="Prior Year"),AH213,IF(AND($A$2=4,VLOOKUP($A213,'District Level ADM'!$A$5:$W$52,5,FALSE)="3-Year Avg."),T213,IF($A$2=2,AH213,IF($A$2=3,T213,IF(($AG213&gt;$AU213),T213,AH213)))))</f>
        <v>35.599146198830411</v>
      </c>
      <c r="G213" s="317">
        <f>IF(AND($A$2=4,VLOOKUP($A213,'District Level ADM'!$A$5:$W$52,5,FALSE)="Prior Year"),AI213,IF(AND($A$2=4,VLOOKUP($A213,'District Level ADM'!$A$5:$W$52,5,FALSE)="3-Year Avg."),U213,IF($A$2=2,AI213,IF($A$2=3,U213,IF(($AG213&gt;$AU213),U213,AI213)))))</f>
        <v>38.104812865497074</v>
      </c>
      <c r="H213" s="317">
        <f>IF(AND($A$2=4,VLOOKUP($A213,'District Level ADM'!$A$5:$W$52,5,FALSE)="Prior Year"),AJ213,IF(AND($A$2=4,VLOOKUP($A213,'District Level ADM'!$A$5:$W$52,5,FALSE)="3-Year Avg."),V213,IF($A$2=2,AJ213,IF($A$2=3,V213,IF(($AG213&gt;$AU213),V213,AJ213)))))</f>
        <v>39.868146198830409</v>
      </c>
      <c r="I213" s="317">
        <f>IF(AND($A$2=4,VLOOKUP($A213,'District Level ADM'!$A$5:$W$52,5,FALSE)="Prior Year"),AK213,IF(AND($A$2=4,VLOOKUP($A213,'District Level ADM'!$A$5:$W$52,5,FALSE)="3-Year Avg."),W213,IF($A$2=2,AK213,IF($A$2=3,W213,IF(($AG213&gt;$AU213),W213,AK213)))))</f>
        <v>52.191479532163747</v>
      </c>
      <c r="J213" s="317">
        <f>IF(AND($A$2=4,VLOOKUP($A213,'District Level ADM'!$A$5:$W$52,5,FALSE)="Prior Year"),AL213,IF(AND($A$2=4,VLOOKUP($A213,'District Level ADM'!$A$5:$W$52,5,FALSE)="3-Year Avg."),X213,IF($A$2=2,AL213,IF($A$2=3,X213,IF(($AG213&gt;$AU213),X213,AL213)))))</f>
        <v>53.155146198830415</v>
      </c>
      <c r="K213" s="317">
        <f>IF(AND($A$2=4,VLOOKUP($A213,'District Level ADM'!$A$5:$W$52,5,FALSE)="Prior Year"),AM213,IF(AND($A$2=4,VLOOKUP($A213,'District Level ADM'!$A$5:$W$52,5,FALSE)="3-Year Avg."),Y213,IF($A$2=2,AM213,IF($A$2=3,Y213,IF(($AG213&gt;$AU213),Y213,AM213)))))</f>
        <v>53.430146198830414</v>
      </c>
      <c r="L213" s="317">
        <f>IF(AND($A$2=4,VLOOKUP($A213,'District Level ADM'!$A$5:$W$52,5,FALSE)="Prior Year"),AN213,IF(AND($A$2=4,VLOOKUP($A213,'District Level ADM'!$A$5:$W$52,5,FALSE)="3-Year Avg."),Z213,IF($A$2=2,AN213,IF($A$2=3,Z213,IF(($AG213&gt;$AU213),Z213,AN213)))))</f>
        <v>0</v>
      </c>
      <c r="M213" s="317">
        <f>IF(AND($A$2=4,VLOOKUP($A213,'District Level ADM'!$A$5:$W$52,5,FALSE)="Prior Year"),AO213,IF(AND($A$2=4,VLOOKUP($A213,'District Level ADM'!$A$5:$W$52,5,FALSE)="3-Year Avg."),AA213,IF($A$2=2,AO213,IF($A$2=3,AA213,IF(($AG213&gt;$AU213),AA213,AO213)))))</f>
        <v>0</v>
      </c>
      <c r="N213" s="317">
        <f>IF(AND($A$2=4,VLOOKUP($A213,'District Level ADM'!$A$5:$W$52,5,FALSE)="Prior Year"),AP213,IF(AND($A$2=4,VLOOKUP($A213,'District Level ADM'!$A$5:$W$52,5,FALSE)="3-Year Avg."),AB213,IF($A$2=2,AP213,IF($A$2=3,AB213,IF(($AG213&gt;$AU213),AB213,AP213)))))</f>
        <v>0</v>
      </c>
      <c r="O213" s="317">
        <f>IF(AND($A$2=4,VLOOKUP($A213,'District Level ADM'!$A$5:$W$52,5,FALSE)="Prior Year"),AQ213,IF(AND($A$2=4,VLOOKUP($A213,'District Level ADM'!$A$5:$W$52,5,FALSE)="3-Year Avg."),AC213,IF($A$2=2,AQ213,IF($A$2=3,AC213,IF(($AG213&gt;$AU213),AC213,AQ213)))))</f>
        <v>0</v>
      </c>
      <c r="P213" s="317">
        <f>IF(AND($A$2=4,VLOOKUP($A213,'District Level ADM'!$A$5:$W$52,5,FALSE)="Prior Year"),AR213,IF(AND($A$2=4,VLOOKUP($A213,'District Level ADM'!$A$5:$W$52,5,FALSE)="3-Year Avg."),AD213,IF($A$2=2,AR213,IF($A$2=3,AD213,IF(($AG213&gt;$AU213),AD213,AR213)))))</f>
        <v>0</v>
      </c>
      <c r="Q213" s="317">
        <f>IF(AND($A$2=4,VLOOKUP($A213,'District Level ADM'!$A$5:$W$52,5,FALSE)="Prior Year"),AS213,IF(AND($A$2=4,VLOOKUP($A213,'District Level ADM'!$A$5:$W$52,5,FALSE)="3-Year Avg."),AE213,IF($A$2=2,AS213,IF($A$2=3,AE213,IF(($AG213&gt;$AU213),AE213,AS213)))))</f>
        <v>0</v>
      </c>
      <c r="R213" s="317">
        <f>IF(AND($A$2=4,VLOOKUP($A213,'District Level ADM'!$A$5:$W$52,5,FALSE)="Prior Year"),AT213,IF(AND($A$2=4,VLOOKUP($A213,'District Level ADM'!$A$5:$W$52,5,FALSE)="3-Year Avg."),AF213,IF($A$2=2,AT213,IF($A$2=3,AF213,IF(($AG213&gt;$AU213),AF213,AT213)))))</f>
        <v>0</v>
      </c>
      <c r="S213" s="317">
        <f t="shared" si="35"/>
        <v>272.34887719298246</v>
      </c>
      <c r="T213" s="317">
        <f t="shared" si="34"/>
        <v>35.599146198830411</v>
      </c>
      <c r="U213" s="317">
        <f t="shared" si="34"/>
        <v>38.104812865497074</v>
      </c>
      <c r="V213" s="317">
        <f t="shared" si="34"/>
        <v>39.868146198830409</v>
      </c>
      <c r="W213" s="317">
        <f t="shared" si="34"/>
        <v>52.191479532163747</v>
      </c>
      <c r="X213" s="317">
        <f t="shared" si="40"/>
        <v>53.155146198830415</v>
      </c>
      <c r="Y213" s="317">
        <f t="shared" si="40"/>
        <v>53.430146198830414</v>
      </c>
      <c r="Z213" s="317">
        <f t="shared" si="40"/>
        <v>0</v>
      </c>
      <c r="AA213" s="317">
        <f t="shared" si="40"/>
        <v>0</v>
      </c>
      <c r="AB213" s="317">
        <f t="shared" si="40"/>
        <v>0</v>
      </c>
      <c r="AC213" s="317">
        <f t="shared" si="40"/>
        <v>0</v>
      </c>
      <c r="AD213" s="317">
        <f t="shared" si="30"/>
        <v>0</v>
      </c>
      <c r="AE213" s="317">
        <f t="shared" si="30"/>
        <v>0</v>
      </c>
      <c r="AF213" s="317">
        <f t="shared" si="30"/>
        <v>0</v>
      </c>
      <c r="AG213" s="317">
        <f t="shared" si="36"/>
        <v>272.34887719298246</v>
      </c>
      <c r="AH213" s="318">
        <v>34.475000000000001</v>
      </c>
      <c r="AI213" s="318">
        <v>40.384999999999998</v>
      </c>
      <c r="AJ213" s="318">
        <v>29.55</v>
      </c>
      <c r="AK213" s="318">
        <v>44.325000000000003</v>
      </c>
      <c r="AL213" s="318">
        <v>49.25</v>
      </c>
      <c r="AM213" s="318">
        <v>53.19</v>
      </c>
      <c r="AN213" s="318">
        <v>0</v>
      </c>
      <c r="AO213" s="318">
        <v>0</v>
      </c>
      <c r="AP213" s="318">
        <v>0</v>
      </c>
      <c r="AQ213" s="318">
        <v>0</v>
      </c>
      <c r="AR213" s="318">
        <v>0</v>
      </c>
      <c r="AS213" s="318">
        <v>0</v>
      </c>
      <c r="AT213" s="318">
        <v>0</v>
      </c>
      <c r="AU213" s="317">
        <f t="shared" si="37"/>
        <v>251.17500000000001</v>
      </c>
      <c r="AV213" s="319">
        <v>35.556754385964908</v>
      </c>
      <c r="AW213" s="319">
        <v>35.80875438596491</v>
      </c>
      <c r="AX213" s="319">
        <v>39.66575438596491</v>
      </c>
      <c r="AY213" s="319">
        <v>53.591754385964911</v>
      </c>
      <c r="AZ213" s="319">
        <v>57.591754385964911</v>
      </c>
      <c r="BA213" s="319">
        <v>53.97975438596491</v>
      </c>
      <c r="BB213" s="319">
        <v>0</v>
      </c>
      <c r="BC213" s="319">
        <v>0</v>
      </c>
      <c r="BD213" s="319">
        <v>0</v>
      </c>
      <c r="BE213" s="319">
        <v>0</v>
      </c>
      <c r="BF213" s="319">
        <v>0</v>
      </c>
      <c r="BG213" s="319">
        <v>0</v>
      </c>
      <c r="BH213" s="319">
        <v>0</v>
      </c>
      <c r="BI213" s="317">
        <f t="shared" si="39"/>
        <v>276.19452631578946</v>
      </c>
      <c r="BJ213" s="316">
        <v>36.765684210526317</v>
      </c>
      <c r="BK213" s="316">
        <v>38.120684210526321</v>
      </c>
      <c r="BL213" s="316">
        <v>50.388684210526314</v>
      </c>
      <c r="BM213" s="316">
        <v>58.65768421052632</v>
      </c>
      <c r="BN213" s="316">
        <v>52.623684210526321</v>
      </c>
      <c r="BO213" s="316">
        <v>53.120684210526321</v>
      </c>
      <c r="BP213" s="316">
        <v>0</v>
      </c>
      <c r="BQ213" s="316">
        <v>0</v>
      </c>
      <c r="BR213" s="316">
        <v>0</v>
      </c>
      <c r="BS213" s="316">
        <v>0</v>
      </c>
      <c r="BT213" s="316">
        <v>0</v>
      </c>
      <c r="BU213" s="316">
        <v>0</v>
      </c>
      <c r="BV213" s="316">
        <v>0</v>
      </c>
      <c r="BW213" s="317">
        <f t="shared" si="38"/>
        <v>289.67710526315796</v>
      </c>
    </row>
    <row r="214" spans="1:75" x14ac:dyDescent="0.2">
      <c r="A214" s="20" t="str">
        <f>'School Level Inst. Resources'!A214</f>
        <v>1301000</v>
      </c>
      <c r="B214" s="20" t="str">
        <f>'School Level Inst. Resources'!B214</f>
        <v>Natrona #1</v>
      </c>
      <c r="C214" s="20" t="str">
        <f>'School Level Inst. Resources'!C214</f>
        <v>1301020</v>
      </c>
      <c r="D214" s="20" t="str">
        <f>'School Level Inst. Resources'!D214</f>
        <v>Poison Spider Elementary</v>
      </c>
      <c r="E214" s="138" t="str">
        <f>'School Level Inst. Resources'!E214</f>
        <v>K-8</v>
      </c>
      <c r="F214" s="317">
        <f>IF(AND($A$2=4,VLOOKUP($A214,'District Level ADM'!$A$5:$W$52,5,FALSE)="Prior Year"),AH214,IF(AND($A$2=4,VLOOKUP($A214,'District Level ADM'!$A$5:$W$52,5,FALSE)="3-Year Avg."),T214,IF($A$2=2,AH214,IF($A$2=3,T214,IF(($AG214&gt;$AU214),T214,AH214)))))</f>
        <v>18.006</v>
      </c>
      <c r="G214" s="317">
        <f>IF(AND($A$2=4,VLOOKUP($A214,'District Level ADM'!$A$5:$W$52,5,FALSE)="Prior Year"),AI214,IF(AND($A$2=4,VLOOKUP($A214,'District Level ADM'!$A$5:$W$52,5,FALSE)="3-Year Avg."),U214,IF($A$2=2,AI214,IF($A$2=3,U214,IF(($AG214&gt;$AU214),U214,AI214)))))</f>
        <v>19.322999999999997</v>
      </c>
      <c r="H214" s="317">
        <f>IF(AND($A$2=4,VLOOKUP($A214,'District Level ADM'!$A$5:$W$52,5,FALSE)="Prior Year"),AJ214,IF(AND($A$2=4,VLOOKUP($A214,'District Level ADM'!$A$5:$W$52,5,FALSE)="3-Year Avg."),V214,IF($A$2=2,AJ214,IF($A$2=3,V214,IF(($AG214&gt;$AU214),V214,AJ214)))))</f>
        <v>14.814666666666668</v>
      </c>
      <c r="I214" s="317">
        <f>IF(AND($A$2=4,VLOOKUP($A214,'District Level ADM'!$A$5:$W$52,5,FALSE)="Prior Year"),AK214,IF(AND($A$2=4,VLOOKUP($A214,'District Level ADM'!$A$5:$W$52,5,FALSE)="3-Year Avg."),W214,IF($A$2=2,AK214,IF($A$2=3,W214,IF(($AG214&gt;$AU214),W214,AK214)))))</f>
        <v>17.853999999999999</v>
      </c>
      <c r="J214" s="317">
        <f>IF(AND($A$2=4,VLOOKUP($A214,'District Level ADM'!$A$5:$W$52,5,FALSE)="Prior Year"),AL214,IF(AND($A$2=4,VLOOKUP($A214,'District Level ADM'!$A$5:$W$52,5,FALSE)="3-Year Avg."),X214,IF($A$2=2,AL214,IF($A$2=3,X214,IF(($AG214&gt;$AU214),X214,AL214)))))</f>
        <v>19.230666666666668</v>
      </c>
      <c r="K214" s="317">
        <f>IF(AND($A$2=4,VLOOKUP($A214,'District Level ADM'!$A$5:$W$52,5,FALSE)="Prior Year"),AM214,IF(AND($A$2=4,VLOOKUP($A214,'District Level ADM'!$A$5:$W$52,5,FALSE)="3-Year Avg."),Y214,IF($A$2=2,AM214,IF($A$2=3,Y214,IF(($AG214&gt;$AU214),Y214,AM214)))))</f>
        <v>21.510666666666665</v>
      </c>
      <c r="L214" s="317">
        <f>IF(AND($A$2=4,VLOOKUP($A214,'District Level ADM'!$A$5:$W$52,5,FALSE)="Prior Year"),AN214,IF(AND($A$2=4,VLOOKUP($A214,'District Level ADM'!$A$5:$W$52,5,FALSE)="3-Year Avg."),Z214,IF($A$2=2,AN214,IF($A$2=3,Z214,IF(($AG214&gt;$AU214),Z214,AN214)))))</f>
        <v>21.349666666666668</v>
      </c>
      <c r="M214" s="317">
        <f>IF(AND($A$2=4,VLOOKUP($A214,'District Level ADM'!$A$5:$W$52,5,FALSE)="Prior Year"),AO214,IF(AND($A$2=4,VLOOKUP($A214,'District Level ADM'!$A$5:$W$52,5,FALSE)="3-Year Avg."),AA214,IF($A$2=2,AO214,IF($A$2=3,AA214,IF(($AG214&gt;$AU214),AA214,AO214)))))</f>
        <v>20.13133333333333</v>
      </c>
      <c r="N214" s="317">
        <f>IF(AND($A$2=4,VLOOKUP($A214,'District Level ADM'!$A$5:$W$52,5,FALSE)="Prior Year"),AP214,IF(AND($A$2=4,VLOOKUP($A214,'District Level ADM'!$A$5:$W$52,5,FALSE)="3-Year Avg."),AB214,IF($A$2=2,AP214,IF($A$2=3,AB214,IF(($AG214&gt;$AU214),AB214,AP214)))))</f>
        <v>20.11</v>
      </c>
      <c r="O214" s="317">
        <f>IF(AND($A$2=4,VLOOKUP($A214,'District Level ADM'!$A$5:$W$52,5,FALSE)="Prior Year"),AQ214,IF(AND($A$2=4,VLOOKUP($A214,'District Level ADM'!$A$5:$W$52,5,FALSE)="3-Year Avg."),AC214,IF($A$2=2,AQ214,IF($A$2=3,AC214,IF(($AG214&gt;$AU214),AC214,AQ214)))))</f>
        <v>0</v>
      </c>
      <c r="P214" s="317">
        <f>IF(AND($A$2=4,VLOOKUP($A214,'District Level ADM'!$A$5:$W$52,5,FALSE)="Prior Year"),AR214,IF(AND($A$2=4,VLOOKUP($A214,'District Level ADM'!$A$5:$W$52,5,FALSE)="3-Year Avg."),AD214,IF($A$2=2,AR214,IF($A$2=3,AD214,IF(($AG214&gt;$AU214),AD214,AR214)))))</f>
        <v>0</v>
      </c>
      <c r="Q214" s="317">
        <f>IF(AND($A$2=4,VLOOKUP($A214,'District Level ADM'!$A$5:$W$52,5,FALSE)="Prior Year"),AS214,IF(AND($A$2=4,VLOOKUP($A214,'District Level ADM'!$A$5:$W$52,5,FALSE)="3-Year Avg."),AE214,IF($A$2=2,AS214,IF($A$2=3,AE214,IF(($AG214&gt;$AU214),AE214,AS214)))))</f>
        <v>0</v>
      </c>
      <c r="R214" s="317">
        <f>IF(AND($A$2=4,VLOOKUP($A214,'District Level ADM'!$A$5:$W$52,5,FALSE)="Prior Year"),AT214,IF(AND($A$2=4,VLOOKUP($A214,'District Level ADM'!$A$5:$W$52,5,FALSE)="3-Year Avg."),AF214,IF($A$2=2,AT214,IF($A$2=3,AF214,IF(($AG214&gt;$AU214),AF214,AT214)))))</f>
        <v>0</v>
      </c>
      <c r="S214" s="317">
        <f t="shared" si="35"/>
        <v>172.32999999999998</v>
      </c>
      <c r="T214" s="317">
        <f t="shared" si="34"/>
        <v>18.006</v>
      </c>
      <c r="U214" s="317">
        <f t="shared" si="34"/>
        <v>19.322999999999997</v>
      </c>
      <c r="V214" s="317">
        <f t="shared" si="34"/>
        <v>14.814666666666668</v>
      </c>
      <c r="W214" s="317">
        <f t="shared" si="34"/>
        <v>17.853999999999999</v>
      </c>
      <c r="X214" s="317">
        <f t="shared" si="40"/>
        <v>19.230666666666668</v>
      </c>
      <c r="Y214" s="317">
        <f t="shared" si="40"/>
        <v>21.510666666666665</v>
      </c>
      <c r="Z214" s="317">
        <f t="shared" si="40"/>
        <v>21.349666666666668</v>
      </c>
      <c r="AA214" s="317">
        <f t="shared" si="40"/>
        <v>20.13133333333333</v>
      </c>
      <c r="AB214" s="317">
        <f t="shared" si="40"/>
        <v>20.11</v>
      </c>
      <c r="AC214" s="317">
        <f t="shared" si="40"/>
        <v>0</v>
      </c>
      <c r="AD214" s="317">
        <f t="shared" si="30"/>
        <v>0</v>
      </c>
      <c r="AE214" s="317">
        <f t="shared" si="30"/>
        <v>0</v>
      </c>
      <c r="AF214" s="317">
        <f t="shared" si="30"/>
        <v>0</v>
      </c>
      <c r="AG214" s="317">
        <f t="shared" si="36"/>
        <v>172.32999999999998</v>
      </c>
      <c r="AH214" s="318">
        <v>10.835000000000001</v>
      </c>
      <c r="AI214" s="318">
        <v>22.655000000000001</v>
      </c>
      <c r="AJ214" s="318">
        <v>14.775</v>
      </c>
      <c r="AK214" s="318">
        <v>13.79</v>
      </c>
      <c r="AL214" s="318">
        <v>15.76</v>
      </c>
      <c r="AM214" s="318">
        <v>23.64</v>
      </c>
      <c r="AN214" s="318">
        <v>19.7</v>
      </c>
      <c r="AO214" s="318">
        <v>22.655000000000001</v>
      </c>
      <c r="AP214" s="318">
        <v>17.73</v>
      </c>
      <c r="AQ214" s="318">
        <v>0</v>
      </c>
      <c r="AR214" s="318">
        <v>0</v>
      </c>
      <c r="AS214" s="318">
        <v>0</v>
      </c>
      <c r="AT214" s="318">
        <v>0</v>
      </c>
      <c r="AU214" s="317">
        <f t="shared" si="37"/>
        <v>161.54</v>
      </c>
      <c r="AV214" s="319">
        <v>23.748999999999999</v>
      </c>
      <c r="AW214" s="319">
        <v>21.24</v>
      </c>
      <c r="AX214" s="319">
        <v>13.669</v>
      </c>
      <c r="AY214" s="319">
        <v>17.663</v>
      </c>
      <c r="AZ214" s="319">
        <v>23.463000000000001</v>
      </c>
      <c r="BA214" s="319">
        <v>19.222999999999999</v>
      </c>
      <c r="BB214" s="319">
        <v>23.006</v>
      </c>
      <c r="BC214" s="319">
        <v>17.361999999999998</v>
      </c>
      <c r="BD214" s="319">
        <v>21.216999999999999</v>
      </c>
      <c r="BE214" s="319">
        <v>0</v>
      </c>
      <c r="BF214" s="319">
        <v>0</v>
      </c>
      <c r="BG214" s="319">
        <v>0</v>
      </c>
      <c r="BH214" s="319">
        <v>0</v>
      </c>
      <c r="BI214" s="317">
        <f t="shared" si="39"/>
        <v>180.59199999999998</v>
      </c>
      <c r="BJ214" s="316">
        <v>19.434000000000001</v>
      </c>
      <c r="BK214" s="316">
        <v>14.074</v>
      </c>
      <c r="BL214" s="316">
        <v>16</v>
      </c>
      <c r="BM214" s="316">
        <v>22.109000000000002</v>
      </c>
      <c r="BN214" s="316">
        <v>18.469000000000001</v>
      </c>
      <c r="BO214" s="316">
        <v>21.669</v>
      </c>
      <c r="BP214" s="316">
        <v>21.343</v>
      </c>
      <c r="BQ214" s="316">
        <v>20.376999999999999</v>
      </c>
      <c r="BR214" s="316">
        <v>21.382999999999999</v>
      </c>
      <c r="BS214" s="316">
        <v>0</v>
      </c>
      <c r="BT214" s="316">
        <v>0</v>
      </c>
      <c r="BU214" s="316">
        <v>0</v>
      </c>
      <c r="BV214" s="316">
        <v>0</v>
      </c>
      <c r="BW214" s="317">
        <f t="shared" si="38"/>
        <v>174.85800000000003</v>
      </c>
    </row>
    <row r="215" spans="1:75" x14ac:dyDescent="0.2">
      <c r="A215" s="20" t="str">
        <f>'School Level Inst. Resources'!A215</f>
        <v>1301000</v>
      </c>
      <c r="B215" s="20" t="str">
        <f>'School Level Inst. Resources'!B215</f>
        <v>Natrona #1</v>
      </c>
      <c r="C215" s="20" t="str">
        <f>'School Level Inst. Resources'!C215</f>
        <v>1301021</v>
      </c>
      <c r="D215" s="20" t="str">
        <f>'School Level Inst. Resources'!D215</f>
        <v>Powder River Elementary</v>
      </c>
      <c r="E215" s="138" t="str">
        <f>'School Level Inst. Resources'!E215</f>
        <v>K-6</v>
      </c>
      <c r="F215" s="317">
        <f>IF(AND($A$2=4,VLOOKUP($A215,'District Level ADM'!$A$5:$W$52,5,FALSE)="Prior Year"),AH215,IF(AND($A$2=4,VLOOKUP($A215,'District Level ADM'!$A$5:$W$52,5,FALSE)="3-Year Avg."),T215,IF($A$2=2,AH215,IF($A$2=3,T215,IF(($AG215&gt;$AU215),T215,AH215)))))</f>
        <v>1.3123333333333334</v>
      </c>
      <c r="G215" s="317">
        <f>IF(AND($A$2=4,VLOOKUP($A215,'District Level ADM'!$A$5:$W$52,5,FALSE)="Prior Year"),AI215,IF(AND($A$2=4,VLOOKUP($A215,'District Level ADM'!$A$5:$W$52,5,FALSE)="3-Year Avg."),U215,IF($A$2=2,AI215,IF($A$2=3,U215,IF(($AG215&gt;$AU215),U215,AI215)))))</f>
        <v>0.58100000000000007</v>
      </c>
      <c r="H215" s="317">
        <f>IF(AND($A$2=4,VLOOKUP($A215,'District Level ADM'!$A$5:$W$52,5,FALSE)="Prior Year"),AJ215,IF(AND($A$2=4,VLOOKUP($A215,'District Level ADM'!$A$5:$W$52,5,FALSE)="3-Year Avg."),V215,IF($A$2=2,AJ215,IF($A$2=3,V215,IF(($AG215&gt;$AU215),V215,AJ215)))))</f>
        <v>0.48366666666666669</v>
      </c>
      <c r="I215" s="317">
        <f>IF(AND($A$2=4,VLOOKUP($A215,'District Level ADM'!$A$5:$W$52,5,FALSE)="Prior Year"),AK215,IF(AND($A$2=4,VLOOKUP($A215,'District Level ADM'!$A$5:$W$52,5,FALSE)="3-Year Avg."),W215,IF($A$2=2,AK215,IF($A$2=3,W215,IF(($AG215&gt;$AU215),W215,AK215)))))</f>
        <v>0.48733333333333334</v>
      </c>
      <c r="J215" s="317">
        <f>IF(AND($A$2=4,VLOOKUP($A215,'District Level ADM'!$A$5:$W$52,5,FALSE)="Prior Year"),AL215,IF(AND($A$2=4,VLOOKUP($A215,'District Level ADM'!$A$5:$W$52,5,FALSE)="3-Year Avg."),X215,IF($A$2=2,AL215,IF($A$2=3,X215,IF(($AG215&gt;$AU215),X215,AL215)))))</f>
        <v>0.65800000000000003</v>
      </c>
      <c r="K215" s="317">
        <f>IF(AND($A$2=4,VLOOKUP($A215,'District Level ADM'!$A$5:$W$52,5,FALSE)="Prior Year"),AM215,IF(AND($A$2=4,VLOOKUP($A215,'District Level ADM'!$A$5:$W$52,5,FALSE)="3-Year Avg."),Y215,IF($A$2=2,AM215,IF($A$2=3,Y215,IF(($AG215&gt;$AU215),Y215,AM215)))))</f>
        <v>0.32833333333333331</v>
      </c>
      <c r="L215" s="317">
        <f>IF(AND($A$2=4,VLOOKUP($A215,'District Level ADM'!$A$5:$W$52,5,FALSE)="Prior Year"),AN215,IF(AND($A$2=4,VLOOKUP($A215,'District Level ADM'!$A$5:$W$52,5,FALSE)="3-Year Avg."),Z215,IF($A$2=2,AN215,IF($A$2=3,Z215,IF(($AG215&gt;$AU215),Z215,AN215)))))</f>
        <v>0</v>
      </c>
      <c r="M215" s="317">
        <f>IF(AND($A$2=4,VLOOKUP($A215,'District Level ADM'!$A$5:$W$52,5,FALSE)="Prior Year"),AO215,IF(AND($A$2=4,VLOOKUP($A215,'District Level ADM'!$A$5:$W$52,5,FALSE)="3-Year Avg."),AA215,IF($A$2=2,AO215,IF($A$2=3,AA215,IF(($AG215&gt;$AU215),AA215,AO215)))))</f>
        <v>0</v>
      </c>
      <c r="N215" s="317">
        <f>IF(AND($A$2=4,VLOOKUP($A215,'District Level ADM'!$A$5:$W$52,5,FALSE)="Prior Year"),AP215,IF(AND($A$2=4,VLOOKUP($A215,'District Level ADM'!$A$5:$W$52,5,FALSE)="3-Year Avg."),AB215,IF($A$2=2,AP215,IF($A$2=3,AB215,IF(($AG215&gt;$AU215),AB215,AP215)))))</f>
        <v>0</v>
      </c>
      <c r="O215" s="317">
        <f>IF(AND($A$2=4,VLOOKUP($A215,'District Level ADM'!$A$5:$W$52,5,FALSE)="Prior Year"),AQ215,IF(AND($A$2=4,VLOOKUP($A215,'District Level ADM'!$A$5:$W$52,5,FALSE)="3-Year Avg."),AC215,IF($A$2=2,AQ215,IF($A$2=3,AC215,IF(($AG215&gt;$AU215),AC215,AQ215)))))</f>
        <v>0</v>
      </c>
      <c r="P215" s="317">
        <f>IF(AND($A$2=4,VLOOKUP($A215,'District Level ADM'!$A$5:$W$52,5,FALSE)="Prior Year"),AR215,IF(AND($A$2=4,VLOOKUP($A215,'District Level ADM'!$A$5:$W$52,5,FALSE)="3-Year Avg."),AD215,IF($A$2=2,AR215,IF($A$2=3,AD215,IF(($AG215&gt;$AU215),AD215,AR215)))))</f>
        <v>0</v>
      </c>
      <c r="Q215" s="317">
        <f>IF(AND($A$2=4,VLOOKUP($A215,'District Level ADM'!$A$5:$W$52,5,FALSE)="Prior Year"),AS215,IF(AND($A$2=4,VLOOKUP($A215,'District Level ADM'!$A$5:$W$52,5,FALSE)="3-Year Avg."),AE215,IF($A$2=2,AS215,IF($A$2=3,AE215,IF(($AG215&gt;$AU215),AE215,AS215)))))</f>
        <v>0</v>
      </c>
      <c r="R215" s="317">
        <f>IF(AND($A$2=4,VLOOKUP($A215,'District Level ADM'!$A$5:$W$52,5,FALSE)="Prior Year"),AT215,IF(AND($A$2=4,VLOOKUP($A215,'District Level ADM'!$A$5:$W$52,5,FALSE)="3-Year Avg."),AF215,IF($A$2=2,AT215,IF($A$2=3,AF215,IF(($AG215&gt;$AU215),AF215,AT215)))))</f>
        <v>0</v>
      </c>
      <c r="S215" s="317">
        <f t="shared" si="35"/>
        <v>3.8506666666666667</v>
      </c>
      <c r="T215" s="317">
        <f t="shared" si="34"/>
        <v>1.3123333333333334</v>
      </c>
      <c r="U215" s="317">
        <f t="shared" si="34"/>
        <v>0.58100000000000007</v>
      </c>
      <c r="V215" s="317">
        <f t="shared" si="34"/>
        <v>0.48366666666666669</v>
      </c>
      <c r="W215" s="317">
        <f t="shared" si="34"/>
        <v>0.48733333333333334</v>
      </c>
      <c r="X215" s="317">
        <f t="shared" si="40"/>
        <v>0.65800000000000003</v>
      </c>
      <c r="Y215" s="317">
        <f t="shared" si="40"/>
        <v>0.32833333333333331</v>
      </c>
      <c r="Z215" s="317">
        <f t="shared" si="40"/>
        <v>0</v>
      </c>
      <c r="AA215" s="317">
        <f t="shared" si="40"/>
        <v>0</v>
      </c>
      <c r="AB215" s="317">
        <f t="shared" si="40"/>
        <v>0</v>
      </c>
      <c r="AC215" s="317">
        <f t="shared" si="40"/>
        <v>0</v>
      </c>
      <c r="AD215" s="317">
        <f t="shared" si="30"/>
        <v>0</v>
      </c>
      <c r="AE215" s="317">
        <f t="shared" si="30"/>
        <v>0</v>
      </c>
      <c r="AF215" s="317">
        <f t="shared" si="30"/>
        <v>0</v>
      </c>
      <c r="AG215" s="317">
        <f t="shared" si="36"/>
        <v>3.8506666666666667</v>
      </c>
      <c r="AH215" s="318">
        <v>0</v>
      </c>
      <c r="AI215" s="318">
        <v>0</v>
      </c>
      <c r="AJ215" s="318">
        <v>0</v>
      </c>
      <c r="AK215" s="318">
        <v>0</v>
      </c>
      <c r="AL215" s="318">
        <v>0.98499999999999999</v>
      </c>
      <c r="AM215" s="318">
        <v>0.98499999999999999</v>
      </c>
      <c r="AN215" s="318">
        <v>0</v>
      </c>
      <c r="AO215" s="318">
        <v>0</v>
      </c>
      <c r="AP215" s="318">
        <v>0</v>
      </c>
      <c r="AQ215" s="318">
        <v>0</v>
      </c>
      <c r="AR215" s="318">
        <v>0</v>
      </c>
      <c r="AS215" s="318">
        <v>0</v>
      </c>
      <c r="AT215" s="318">
        <v>0</v>
      </c>
      <c r="AU215" s="317">
        <f t="shared" si="37"/>
        <v>1.97</v>
      </c>
      <c r="AV215" s="319">
        <v>0.93700000000000006</v>
      </c>
      <c r="AW215" s="319">
        <v>1.7430000000000001</v>
      </c>
      <c r="AX215" s="319">
        <v>0</v>
      </c>
      <c r="AY215" s="319">
        <v>1.0109999999999999</v>
      </c>
      <c r="AZ215" s="319">
        <v>0.98899999999999999</v>
      </c>
      <c r="BA215" s="319">
        <v>0</v>
      </c>
      <c r="BB215" s="319">
        <v>0</v>
      </c>
      <c r="BC215" s="319">
        <v>0</v>
      </c>
      <c r="BD215" s="319">
        <v>0</v>
      </c>
      <c r="BE215" s="319">
        <v>0</v>
      </c>
      <c r="BF215" s="319">
        <v>0</v>
      </c>
      <c r="BG215" s="319">
        <v>0</v>
      </c>
      <c r="BH215" s="319">
        <v>0</v>
      </c>
      <c r="BI215" s="317">
        <f t="shared" si="39"/>
        <v>4.68</v>
      </c>
      <c r="BJ215" s="316">
        <v>3</v>
      </c>
      <c r="BK215" s="316">
        <v>0</v>
      </c>
      <c r="BL215" s="316">
        <v>1.4510000000000001</v>
      </c>
      <c r="BM215" s="316">
        <v>0.45100000000000001</v>
      </c>
      <c r="BN215" s="316">
        <v>0</v>
      </c>
      <c r="BO215" s="316">
        <v>0</v>
      </c>
      <c r="BP215" s="316">
        <v>0</v>
      </c>
      <c r="BQ215" s="316">
        <v>0</v>
      </c>
      <c r="BR215" s="316">
        <v>0</v>
      </c>
      <c r="BS215" s="316">
        <v>0</v>
      </c>
      <c r="BT215" s="316">
        <v>0</v>
      </c>
      <c r="BU215" s="316">
        <v>0</v>
      </c>
      <c r="BV215" s="316">
        <v>0</v>
      </c>
      <c r="BW215" s="317">
        <f t="shared" si="38"/>
        <v>4.9020000000000001</v>
      </c>
    </row>
    <row r="216" spans="1:75" x14ac:dyDescent="0.2">
      <c r="A216" s="20" t="str">
        <f>'School Level Inst. Resources'!A216</f>
        <v>1301000</v>
      </c>
      <c r="B216" s="20" t="str">
        <f>'School Level Inst. Resources'!B216</f>
        <v>Natrona #1</v>
      </c>
      <c r="C216" s="20" t="str">
        <f>'School Level Inst. Resources'!C216</f>
        <v>1301022</v>
      </c>
      <c r="D216" s="20" t="str">
        <f>'School Level Inst. Resources'!D216</f>
        <v>Red Creek Elementary</v>
      </c>
      <c r="E216" s="138" t="str">
        <f>'School Level Inst. Resources'!E216</f>
        <v>K-6</v>
      </c>
      <c r="F216" s="317">
        <f>IF(AND($A$2=4,VLOOKUP($A216,'District Level ADM'!$A$5:$W$52,5,FALSE)="Prior Year"),AH216,IF(AND($A$2=4,VLOOKUP($A216,'District Level ADM'!$A$5:$W$52,5,FALSE)="3-Year Avg."),T216,IF($A$2=2,AH216,IF($A$2=3,T216,IF(($AG216&gt;$AU216),T216,AH216)))))</f>
        <v>1.99</v>
      </c>
      <c r="G216" s="317">
        <f>IF(AND($A$2=4,VLOOKUP($A216,'District Level ADM'!$A$5:$W$52,5,FALSE)="Prior Year"),AI216,IF(AND($A$2=4,VLOOKUP($A216,'District Level ADM'!$A$5:$W$52,5,FALSE)="3-Year Avg."),U216,IF($A$2=2,AI216,IF($A$2=3,U216,IF(($AG216&gt;$AU216),U216,AI216)))))</f>
        <v>0.995</v>
      </c>
      <c r="H216" s="317">
        <f>IF(AND($A$2=4,VLOOKUP($A216,'District Level ADM'!$A$5:$W$52,5,FALSE)="Prior Year"),AJ216,IF(AND($A$2=4,VLOOKUP($A216,'District Level ADM'!$A$5:$W$52,5,FALSE)="3-Year Avg."),V216,IF($A$2=2,AJ216,IF($A$2=3,V216,IF(($AG216&gt;$AU216),V216,AJ216)))))</f>
        <v>1.6566666666666665</v>
      </c>
      <c r="I216" s="317">
        <f>IF(AND($A$2=4,VLOOKUP($A216,'District Level ADM'!$A$5:$W$52,5,FALSE)="Prior Year"),AK216,IF(AND($A$2=4,VLOOKUP($A216,'District Level ADM'!$A$5:$W$52,5,FALSE)="3-Year Avg."),W216,IF($A$2=2,AK216,IF($A$2=3,W216,IF(($AG216&gt;$AU216),W216,AK216)))))</f>
        <v>1.6580000000000001</v>
      </c>
      <c r="J216" s="317">
        <f>IF(AND($A$2=4,VLOOKUP($A216,'District Level ADM'!$A$5:$W$52,5,FALSE)="Prior Year"),AL216,IF(AND($A$2=4,VLOOKUP($A216,'District Level ADM'!$A$5:$W$52,5,FALSE)="3-Year Avg."),X216,IF($A$2=2,AL216,IF($A$2=3,X216,IF(($AG216&gt;$AU216),X216,AL216)))))</f>
        <v>1.6566666666666665</v>
      </c>
      <c r="K216" s="317">
        <f>IF(AND($A$2=4,VLOOKUP($A216,'District Level ADM'!$A$5:$W$52,5,FALSE)="Prior Year"),AM216,IF(AND($A$2=4,VLOOKUP($A216,'District Level ADM'!$A$5:$W$52,5,FALSE)="3-Year Avg."),Y216,IF($A$2=2,AM216,IF($A$2=3,Y216,IF(($AG216&gt;$AU216),Y216,AM216)))))</f>
        <v>1.3283333333333334</v>
      </c>
      <c r="L216" s="317">
        <f>IF(AND($A$2=4,VLOOKUP($A216,'District Level ADM'!$A$5:$W$52,5,FALSE)="Prior Year"),AN216,IF(AND($A$2=4,VLOOKUP($A216,'District Level ADM'!$A$5:$W$52,5,FALSE)="3-Year Avg."),Z216,IF($A$2=2,AN216,IF($A$2=3,Z216,IF(($AG216&gt;$AU216),Z216,AN216)))))</f>
        <v>0</v>
      </c>
      <c r="M216" s="317">
        <f>IF(AND($A$2=4,VLOOKUP($A216,'District Level ADM'!$A$5:$W$52,5,FALSE)="Prior Year"),AO216,IF(AND($A$2=4,VLOOKUP($A216,'District Level ADM'!$A$5:$W$52,5,FALSE)="3-Year Avg."),AA216,IF($A$2=2,AO216,IF($A$2=3,AA216,IF(($AG216&gt;$AU216),AA216,AO216)))))</f>
        <v>0</v>
      </c>
      <c r="N216" s="317">
        <f>IF(AND($A$2=4,VLOOKUP($A216,'District Level ADM'!$A$5:$W$52,5,FALSE)="Prior Year"),AP216,IF(AND($A$2=4,VLOOKUP($A216,'District Level ADM'!$A$5:$W$52,5,FALSE)="3-Year Avg."),AB216,IF($A$2=2,AP216,IF($A$2=3,AB216,IF(($AG216&gt;$AU216),AB216,AP216)))))</f>
        <v>0</v>
      </c>
      <c r="O216" s="317">
        <f>IF(AND($A$2=4,VLOOKUP($A216,'District Level ADM'!$A$5:$W$52,5,FALSE)="Prior Year"),AQ216,IF(AND($A$2=4,VLOOKUP($A216,'District Level ADM'!$A$5:$W$52,5,FALSE)="3-Year Avg."),AC216,IF($A$2=2,AQ216,IF($A$2=3,AC216,IF(($AG216&gt;$AU216),AC216,AQ216)))))</f>
        <v>0</v>
      </c>
      <c r="P216" s="317">
        <f>IF(AND($A$2=4,VLOOKUP($A216,'District Level ADM'!$A$5:$W$52,5,FALSE)="Prior Year"),AR216,IF(AND($A$2=4,VLOOKUP($A216,'District Level ADM'!$A$5:$W$52,5,FALSE)="3-Year Avg."),AD216,IF($A$2=2,AR216,IF($A$2=3,AD216,IF(($AG216&gt;$AU216),AD216,AR216)))))</f>
        <v>0</v>
      </c>
      <c r="Q216" s="317">
        <f>IF(AND($A$2=4,VLOOKUP($A216,'District Level ADM'!$A$5:$W$52,5,FALSE)="Prior Year"),AS216,IF(AND($A$2=4,VLOOKUP($A216,'District Level ADM'!$A$5:$W$52,5,FALSE)="3-Year Avg."),AE216,IF($A$2=2,AS216,IF($A$2=3,AE216,IF(($AG216&gt;$AU216),AE216,AS216)))))</f>
        <v>0</v>
      </c>
      <c r="R216" s="317">
        <f>IF(AND($A$2=4,VLOOKUP($A216,'District Level ADM'!$A$5:$W$52,5,FALSE)="Prior Year"),AT216,IF(AND($A$2=4,VLOOKUP($A216,'District Level ADM'!$A$5:$W$52,5,FALSE)="3-Year Avg."),AF216,IF($A$2=2,AT216,IF($A$2=3,AF216,IF(($AG216&gt;$AU216),AF216,AT216)))))</f>
        <v>0</v>
      </c>
      <c r="S216" s="317">
        <f t="shared" si="35"/>
        <v>9.2846666666666664</v>
      </c>
      <c r="T216" s="317">
        <f t="shared" si="34"/>
        <v>1.99</v>
      </c>
      <c r="U216" s="317">
        <f t="shared" si="34"/>
        <v>0.995</v>
      </c>
      <c r="V216" s="317">
        <f t="shared" si="34"/>
        <v>1.6566666666666665</v>
      </c>
      <c r="W216" s="317">
        <f t="shared" si="34"/>
        <v>1.6580000000000001</v>
      </c>
      <c r="X216" s="317">
        <f t="shared" si="40"/>
        <v>1.6566666666666665</v>
      </c>
      <c r="Y216" s="317">
        <f t="shared" si="40"/>
        <v>1.3283333333333334</v>
      </c>
      <c r="Z216" s="317">
        <f t="shared" si="40"/>
        <v>0</v>
      </c>
      <c r="AA216" s="317">
        <f t="shared" si="40"/>
        <v>0</v>
      </c>
      <c r="AB216" s="317">
        <f t="shared" si="40"/>
        <v>0</v>
      </c>
      <c r="AC216" s="317">
        <f t="shared" si="40"/>
        <v>0</v>
      </c>
      <c r="AD216" s="317">
        <f t="shared" si="30"/>
        <v>0</v>
      </c>
      <c r="AE216" s="317">
        <f t="shared" si="30"/>
        <v>0</v>
      </c>
      <c r="AF216" s="317">
        <f t="shared" si="30"/>
        <v>0</v>
      </c>
      <c r="AG216" s="317">
        <f t="shared" si="36"/>
        <v>9.2846666666666664</v>
      </c>
      <c r="AH216" s="318">
        <v>1.97</v>
      </c>
      <c r="AI216" s="318">
        <v>0.98499999999999999</v>
      </c>
      <c r="AJ216" s="318">
        <v>1.97</v>
      </c>
      <c r="AK216" s="318">
        <v>0.98499999999999999</v>
      </c>
      <c r="AL216" s="318">
        <v>1.97</v>
      </c>
      <c r="AM216" s="318">
        <v>0.98499999999999999</v>
      </c>
      <c r="AN216" s="318">
        <v>0</v>
      </c>
      <c r="AO216" s="318">
        <v>0</v>
      </c>
      <c r="AP216" s="318">
        <v>0</v>
      </c>
      <c r="AQ216" s="318">
        <v>0</v>
      </c>
      <c r="AR216" s="318">
        <v>0</v>
      </c>
      <c r="AS216" s="318">
        <v>0</v>
      </c>
      <c r="AT216" s="318">
        <v>0</v>
      </c>
      <c r="AU216" s="317">
        <f t="shared" si="37"/>
        <v>8.8650000000000002</v>
      </c>
      <c r="AV216" s="319">
        <v>1</v>
      </c>
      <c r="AW216" s="319">
        <v>2</v>
      </c>
      <c r="AX216" s="319">
        <v>1</v>
      </c>
      <c r="AY216" s="319">
        <v>1.9890000000000001</v>
      </c>
      <c r="AZ216" s="319">
        <v>1</v>
      </c>
      <c r="BA216" s="319">
        <v>2</v>
      </c>
      <c r="BB216" s="319">
        <v>0</v>
      </c>
      <c r="BC216" s="319">
        <v>0</v>
      </c>
      <c r="BD216" s="319">
        <v>0</v>
      </c>
      <c r="BE216" s="319">
        <v>0</v>
      </c>
      <c r="BF216" s="319">
        <v>0</v>
      </c>
      <c r="BG216" s="319">
        <v>0</v>
      </c>
      <c r="BH216" s="319">
        <v>0</v>
      </c>
      <c r="BI216" s="317">
        <f t="shared" si="39"/>
        <v>8.9890000000000008</v>
      </c>
      <c r="BJ216" s="316">
        <v>3</v>
      </c>
      <c r="BK216" s="316">
        <v>0</v>
      </c>
      <c r="BL216" s="316">
        <v>2</v>
      </c>
      <c r="BM216" s="316">
        <v>2</v>
      </c>
      <c r="BN216" s="316">
        <v>2</v>
      </c>
      <c r="BO216" s="316">
        <v>1</v>
      </c>
      <c r="BP216" s="316">
        <v>0</v>
      </c>
      <c r="BQ216" s="316">
        <v>0</v>
      </c>
      <c r="BR216" s="316">
        <v>0</v>
      </c>
      <c r="BS216" s="316">
        <v>0</v>
      </c>
      <c r="BT216" s="316">
        <v>0</v>
      </c>
      <c r="BU216" s="316">
        <v>0</v>
      </c>
      <c r="BV216" s="316">
        <v>0</v>
      </c>
      <c r="BW216" s="317">
        <f t="shared" si="38"/>
        <v>10</v>
      </c>
    </row>
    <row r="217" spans="1:75" x14ac:dyDescent="0.2">
      <c r="A217" s="20" t="str">
        <f>'School Level Inst. Resources'!A217</f>
        <v>1301000</v>
      </c>
      <c r="B217" s="20" t="str">
        <f>'School Level Inst. Resources'!B217</f>
        <v>Natrona #1</v>
      </c>
      <c r="C217" s="20" t="str">
        <f>'School Level Inst. Resources'!C217</f>
        <v>1301023</v>
      </c>
      <c r="D217" s="20" t="str">
        <f>'School Level Inst. Resources'!D217</f>
        <v>Southridge Elementary</v>
      </c>
      <c r="E217" s="138" t="str">
        <f>'School Level Inst. Resources'!E217</f>
        <v>K-5</v>
      </c>
      <c r="F217" s="317">
        <f>IF(AND($A$2=4,VLOOKUP($A217,'District Level ADM'!$A$5:$W$52,5,FALSE)="Prior Year"),AH217,IF(AND($A$2=4,VLOOKUP($A217,'District Level ADM'!$A$5:$W$52,5,FALSE)="3-Year Avg."),T217,IF($A$2=2,AH217,IF($A$2=3,T217,IF(($AG217&gt;$AU217),T217,AH217)))))</f>
        <v>54.879479532163742</v>
      </c>
      <c r="G217" s="317">
        <f>IF(AND($A$2=4,VLOOKUP($A217,'District Level ADM'!$A$5:$W$52,5,FALSE)="Prior Year"),AI217,IF(AND($A$2=4,VLOOKUP($A217,'District Level ADM'!$A$5:$W$52,5,FALSE)="3-Year Avg."),U217,IF($A$2=2,AI217,IF($A$2=3,U217,IF(($AG217&gt;$AU217),U217,AI217)))))</f>
        <v>53.412146198830406</v>
      </c>
      <c r="H217" s="317">
        <f>IF(AND($A$2=4,VLOOKUP($A217,'District Level ADM'!$A$5:$W$52,5,FALSE)="Prior Year"),AJ217,IF(AND($A$2=4,VLOOKUP($A217,'District Level ADM'!$A$5:$W$52,5,FALSE)="3-Year Avg."),V217,IF($A$2=2,AJ217,IF($A$2=3,V217,IF(($AG217&gt;$AU217),V217,AJ217)))))</f>
        <v>55.440479532163742</v>
      </c>
      <c r="I217" s="317">
        <f>IF(AND($A$2=4,VLOOKUP($A217,'District Level ADM'!$A$5:$W$52,5,FALSE)="Prior Year"),AK217,IF(AND($A$2=4,VLOOKUP($A217,'District Level ADM'!$A$5:$W$52,5,FALSE)="3-Year Avg."),W217,IF($A$2=2,AK217,IF($A$2=3,W217,IF(($AG217&gt;$AU217),W217,AK217)))))</f>
        <v>55.209812865497078</v>
      </c>
      <c r="J217" s="317">
        <f>IF(AND($A$2=4,VLOOKUP($A217,'District Level ADM'!$A$5:$W$52,5,FALSE)="Prior Year"),AL217,IF(AND($A$2=4,VLOOKUP($A217,'District Level ADM'!$A$5:$W$52,5,FALSE)="3-Year Avg."),X217,IF($A$2=2,AL217,IF($A$2=3,X217,IF(($AG217&gt;$AU217),X217,AL217)))))</f>
        <v>52.613479532163744</v>
      </c>
      <c r="K217" s="317">
        <f>IF(AND($A$2=4,VLOOKUP($A217,'District Level ADM'!$A$5:$W$52,5,FALSE)="Prior Year"),AM217,IF(AND($A$2=4,VLOOKUP($A217,'District Level ADM'!$A$5:$W$52,5,FALSE)="3-Year Avg."),Y217,IF($A$2=2,AM217,IF($A$2=3,Y217,IF(($AG217&gt;$AU217),Y217,AM217)))))</f>
        <v>52.267479532163748</v>
      </c>
      <c r="L217" s="317">
        <f>IF(AND($A$2=4,VLOOKUP($A217,'District Level ADM'!$A$5:$W$52,5,FALSE)="Prior Year"),AN217,IF(AND($A$2=4,VLOOKUP($A217,'District Level ADM'!$A$5:$W$52,5,FALSE)="3-Year Avg."),Z217,IF($A$2=2,AN217,IF($A$2=3,Z217,IF(($AG217&gt;$AU217),Z217,AN217)))))</f>
        <v>0</v>
      </c>
      <c r="M217" s="317">
        <f>IF(AND($A$2=4,VLOOKUP($A217,'District Level ADM'!$A$5:$W$52,5,FALSE)="Prior Year"),AO217,IF(AND($A$2=4,VLOOKUP($A217,'District Level ADM'!$A$5:$W$52,5,FALSE)="3-Year Avg."),AA217,IF($A$2=2,AO217,IF($A$2=3,AA217,IF(($AG217&gt;$AU217),AA217,AO217)))))</f>
        <v>0</v>
      </c>
      <c r="N217" s="317">
        <f>IF(AND($A$2=4,VLOOKUP($A217,'District Level ADM'!$A$5:$W$52,5,FALSE)="Prior Year"),AP217,IF(AND($A$2=4,VLOOKUP($A217,'District Level ADM'!$A$5:$W$52,5,FALSE)="3-Year Avg."),AB217,IF($A$2=2,AP217,IF($A$2=3,AB217,IF(($AG217&gt;$AU217),AB217,AP217)))))</f>
        <v>0</v>
      </c>
      <c r="O217" s="317">
        <f>IF(AND($A$2=4,VLOOKUP($A217,'District Level ADM'!$A$5:$W$52,5,FALSE)="Prior Year"),AQ217,IF(AND($A$2=4,VLOOKUP($A217,'District Level ADM'!$A$5:$W$52,5,FALSE)="3-Year Avg."),AC217,IF($A$2=2,AQ217,IF($A$2=3,AC217,IF(($AG217&gt;$AU217),AC217,AQ217)))))</f>
        <v>0</v>
      </c>
      <c r="P217" s="317">
        <f>IF(AND($A$2=4,VLOOKUP($A217,'District Level ADM'!$A$5:$W$52,5,FALSE)="Prior Year"),AR217,IF(AND($A$2=4,VLOOKUP($A217,'District Level ADM'!$A$5:$W$52,5,FALSE)="3-Year Avg."),AD217,IF($A$2=2,AR217,IF($A$2=3,AD217,IF(($AG217&gt;$AU217),AD217,AR217)))))</f>
        <v>0</v>
      </c>
      <c r="Q217" s="317">
        <f>IF(AND($A$2=4,VLOOKUP($A217,'District Level ADM'!$A$5:$W$52,5,FALSE)="Prior Year"),AS217,IF(AND($A$2=4,VLOOKUP($A217,'District Level ADM'!$A$5:$W$52,5,FALSE)="3-Year Avg."),AE217,IF($A$2=2,AS217,IF($A$2=3,AE217,IF(($AG217&gt;$AU217),AE217,AS217)))))</f>
        <v>0</v>
      </c>
      <c r="R217" s="317">
        <f>IF(AND($A$2=4,VLOOKUP($A217,'District Level ADM'!$A$5:$W$52,5,FALSE)="Prior Year"),AT217,IF(AND($A$2=4,VLOOKUP($A217,'District Level ADM'!$A$5:$W$52,5,FALSE)="3-Year Avg."),AF217,IF($A$2=2,AT217,IF($A$2=3,AF217,IF(($AG217&gt;$AU217),AF217,AT217)))))</f>
        <v>0</v>
      </c>
      <c r="S217" s="317">
        <f t="shared" si="35"/>
        <v>323.82287719298245</v>
      </c>
      <c r="T217" s="317">
        <f t="shared" si="34"/>
        <v>54.879479532163742</v>
      </c>
      <c r="U217" s="317">
        <f t="shared" si="34"/>
        <v>53.412146198830406</v>
      </c>
      <c r="V217" s="317">
        <f t="shared" si="34"/>
        <v>55.440479532163742</v>
      </c>
      <c r="W217" s="317">
        <f t="shared" si="34"/>
        <v>55.209812865497078</v>
      </c>
      <c r="X217" s="317">
        <f t="shared" si="40"/>
        <v>52.613479532163744</v>
      </c>
      <c r="Y217" s="317">
        <f t="shared" si="40"/>
        <v>52.267479532163748</v>
      </c>
      <c r="Z217" s="317">
        <f t="shared" si="40"/>
        <v>0</v>
      </c>
      <c r="AA217" s="317">
        <f t="shared" si="40"/>
        <v>0</v>
      </c>
      <c r="AB217" s="317">
        <f t="shared" si="40"/>
        <v>0</v>
      </c>
      <c r="AC217" s="317">
        <f t="shared" si="40"/>
        <v>0</v>
      </c>
      <c r="AD217" s="317">
        <f t="shared" si="30"/>
        <v>0</v>
      </c>
      <c r="AE217" s="317">
        <f t="shared" si="30"/>
        <v>0</v>
      </c>
      <c r="AF217" s="317">
        <f t="shared" si="30"/>
        <v>0</v>
      </c>
      <c r="AG217" s="317">
        <f t="shared" si="36"/>
        <v>323.82287719298245</v>
      </c>
      <c r="AH217" s="318">
        <v>53.19</v>
      </c>
      <c r="AI217" s="318">
        <v>52.204999999999998</v>
      </c>
      <c r="AJ217" s="318">
        <v>54.174999999999997</v>
      </c>
      <c r="AK217" s="318">
        <v>54.174999999999997</v>
      </c>
      <c r="AL217" s="318">
        <v>51.22</v>
      </c>
      <c r="AM217" s="318">
        <v>52.204999999999998</v>
      </c>
      <c r="AN217" s="318">
        <v>0</v>
      </c>
      <c r="AO217" s="318">
        <v>0</v>
      </c>
      <c r="AP217" s="318">
        <v>0</v>
      </c>
      <c r="AQ217" s="318">
        <v>0</v>
      </c>
      <c r="AR217" s="318">
        <v>0</v>
      </c>
      <c r="AS217" s="318">
        <v>0</v>
      </c>
      <c r="AT217" s="318">
        <v>0</v>
      </c>
      <c r="AU217" s="317">
        <f t="shared" si="37"/>
        <v>317.17</v>
      </c>
      <c r="AV217" s="319">
        <v>56.48275438596491</v>
      </c>
      <c r="AW217" s="319">
        <v>55.29975438596491</v>
      </c>
      <c r="AX217" s="319">
        <v>54.871754385964913</v>
      </c>
      <c r="AY217" s="319">
        <v>55.899754385964911</v>
      </c>
      <c r="AZ217" s="319">
        <v>53.62575438596491</v>
      </c>
      <c r="BA217" s="319">
        <v>50.768754385964911</v>
      </c>
      <c r="BB217" s="319">
        <v>0</v>
      </c>
      <c r="BC217" s="319">
        <v>0</v>
      </c>
      <c r="BD217" s="319">
        <v>0</v>
      </c>
      <c r="BE217" s="319">
        <v>0</v>
      </c>
      <c r="BF217" s="319">
        <v>0</v>
      </c>
      <c r="BG217" s="319">
        <v>0</v>
      </c>
      <c r="BH217" s="319">
        <v>0</v>
      </c>
      <c r="BI217" s="317">
        <f t="shared" si="39"/>
        <v>326.94852631578954</v>
      </c>
      <c r="BJ217" s="316">
        <v>54.965684210526319</v>
      </c>
      <c r="BK217" s="316">
        <v>52.731684210526318</v>
      </c>
      <c r="BL217" s="316">
        <v>57.274684210526317</v>
      </c>
      <c r="BM217" s="316">
        <v>55.554684210526318</v>
      </c>
      <c r="BN217" s="316">
        <v>52.994684210526316</v>
      </c>
      <c r="BO217" s="316">
        <v>53.828684210526319</v>
      </c>
      <c r="BP217" s="316">
        <v>0</v>
      </c>
      <c r="BQ217" s="316">
        <v>0</v>
      </c>
      <c r="BR217" s="316">
        <v>0</v>
      </c>
      <c r="BS217" s="316">
        <v>0</v>
      </c>
      <c r="BT217" s="316">
        <v>0</v>
      </c>
      <c r="BU217" s="316">
        <v>0</v>
      </c>
      <c r="BV217" s="316">
        <v>0</v>
      </c>
      <c r="BW217" s="317">
        <f t="shared" si="38"/>
        <v>327.3501052631579</v>
      </c>
    </row>
    <row r="218" spans="1:75" x14ac:dyDescent="0.2">
      <c r="A218" s="20" t="str">
        <f>'School Level Inst. Resources'!A218</f>
        <v>1301000</v>
      </c>
      <c r="B218" s="20" t="str">
        <f>'School Level Inst. Resources'!B218</f>
        <v>Natrona #1</v>
      </c>
      <c r="C218" s="20" t="str">
        <f>'School Level Inst. Resources'!C218</f>
        <v>1301024</v>
      </c>
      <c r="D218" s="20" t="str">
        <f>'School Level Inst. Resources'!D218</f>
        <v>University Park Elementary</v>
      </c>
      <c r="E218" s="138" t="str">
        <f>'School Level Inst. Resources'!E218</f>
        <v>P-5</v>
      </c>
      <c r="F218" s="317">
        <f>IF(AND($A$2=4,VLOOKUP($A218,'District Level ADM'!$A$5:$W$52,5,FALSE)="Prior Year"),AH218,IF(AND($A$2=4,VLOOKUP($A218,'District Level ADM'!$A$5:$W$52,5,FALSE)="3-Year Avg."),T218,IF($A$2=2,AH218,IF($A$2=3,T218,IF(($AG218&gt;$AU218),T218,AH218)))))</f>
        <v>35.945146198830408</v>
      </c>
      <c r="G218" s="317">
        <f>IF(AND($A$2=4,VLOOKUP($A218,'District Level ADM'!$A$5:$W$52,5,FALSE)="Prior Year"),AI218,IF(AND($A$2=4,VLOOKUP($A218,'District Level ADM'!$A$5:$W$52,5,FALSE)="3-Year Avg."),U218,IF($A$2=2,AI218,IF($A$2=3,U218,IF(($AG218&gt;$AU218),U218,AI218)))))</f>
        <v>36.251146198830412</v>
      </c>
      <c r="H218" s="317">
        <f>IF(AND($A$2=4,VLOOKUP($A218,'District Level ADM'!$A$5:$W$52,5,FALSE)="Prior Year"),AJ218,IF(AND($A$2=4,VLOOKUP($A218,'District Level ADM'!$A$5:$W$52,5,FALSE)="3-Year Avg."),V218,IF($A$2=2,AJ218,IF($A$2=3,V218,IF(($AG218&gt;$AU218),V218,AJ218)))))</f>
        <v>35.249479532163747</v>
      </c>
      <c r="I218" s="317">
        <f>IF(AND($A$2=4,VLOOKUP($A218,'District Level ADM'!$A$5:$W$52,5,FALSE)="Prior Year"),AK218,IF(AND($A$2=4,VLOOKUP($A218,'District Level ADM'!$A$5:$W$52,5,FALSE)="3-Year Avg."),W218,IF($A$2=2,AK218,IF($A$2=3,W218,IF(($AG218&gt;$AU218),W218,AK218)))))</f>
        <v>33.809812865497072</v>
      </c>
      <c r="J218" s="317">
        <f>IF(AND($A$2=4,VLOOKUP($A218,'District Level ADM'!$A$5:$W$52,5,FALSE)="Prior Year"),AL218,IF(AND($A$2=4,VLOOKUP($A218,'District Level ADM'!$A$5:$W$52,5,FALSE)="3-Year Avg."),X218,IF($A$2=2,AL218,IF($A$2=3,X218,IF(($AG218&gt;$AU218),X218,AL218)))))</f>
        <v>30.799812865497074</v>
      </c>
      <c r="K218" s="317">
        <f>IF(AND($A$2=4,VLOOKUP($A218,'District Level ADM'!$A$5:$W$52,5,FALSE)="Prior Year"),AM218,IF(AND($A$2=4,VLOOKUP($A218,'District Level ADM'!$A$5:$W$52,5,FALSE)="3-Year Avg."),Y218,IF($A$2=2,AM218,IF($A$2=3,Y218,IF(($AG218&gt;$AU218),Y218,AM218)))))</f>
        <v>39.673479532163739</v>
      </c>
      <c r="L218" s="317">
        <f>IF(AND($A$2=4,VLOOKUP($A218,'District Level ADM'!$A$5:$W$52,5,FALSE)="Prior Year"),AN218,IF(AND($A$2=4,VLOOKUP($A218,'District Level ADM'!$A$5:$W$52,5,FALSE)="3-Year Avg."),Z218,IF($A$2=2,AN218,IF($A$2=3,Z218,IF(($AG218&gt;$AU218),Z218,AN218)))))</f>
        <v>0</v>
      </c>
      <c r="M218" s="317">
        <f>IF(AND($A$2=4,VLOOKUP($A218,'District Level ADM'!$A$5:$W$52,5,FALSE)="Prior Year"),AO218,IF(AND($A$2=4,VLOOKUP($A218,'District Level ADM'!$A$5:$W$52,5,FALSE)="3-Year Avg."),AA218,IF($A$2=2,AO218,IF($A$2=3,AA218,IF(($AG218&gt;$AU218),AA218,AO218)))))</f>
        <v>0</v>
      </c>
      <c r="N218" s="317">
        <f>IF(AND($A$2=4,VLOOKUP($A218,'District Level ADM'!$A$5:$W$52,5,FALSE)="Prior Year"),AP218,IF(AND($A$2=4,VLOOKUP($A218,'District Level ADM'!$A$5:$W$52,5,FALSE)="3-Year Avg."),AB218,IF($A$2=2,AP218,IF($A$2=3,AB218,IF(($AG218&gt;$AU218),AB218,AP218)))))</f>
        <v>0</v>
      </c>
      <c r="O218" s="317">
        <f>IF(AND($A$2=4,VLOOKUP($A218,'District Level ADM'!$A$5:$W$52,5,FALSE)="Prior Year"),AQ218,IF(AND($A$2=4,VLOOKUP($A218,'District Level ADM'!$A$5:$W$52,5,FALSE)="3-Year Avg."),AC218,IF($A$2=2,AQ218,IF($A$2=3,AC218,IF(($AG218&gt;$AU218),AC218,AQ218)))))</f>
        <v>0</v>
      </c>
      <c r="P218" s="317">
        <f>IF(AND($A$2=4,VLOOKUP($A218,'District Level ADM'!$A$5:$W$52,5,FALSE)="Prior Year"),AR218,IF(AND($A$2=4,VLOOKUP($A218,'District Level ADM'!$A$5:$W$52,5,FALSE)="3-Year Avg."),AD218,IF($A$2=2,AR218,IF($A$2=3,AD218,IF(($AG218&gt;$AU218),AD218,AR218)))))</f>
        <v>0</v>
      </c>
      <c r="Q218" s="317">
        <f>IF(AND($A$2=4,VLOOKUP($A218,'District Level ADM'!$A$5:$W$52,5,FALSE)="Prior Year"),AS218,IF(AND($A$2=4,VLOOKUP($A218,'District Level ADM'!$A$5:$W$52,5,FALSE)="3-Year Avg."),AE218,IF($A$2=2,AS218,IF($A$2=3,AE218,IF(($AG218&gt;$AU218),AE218,AS218)))))</f>
        <v>0</v>
      </c>
      <c r="R218" s="317">
        <f>IF(AND($A$2=4,VLOOKUP($A218,'District Level ADM'!$A$5:$W$52,5,FALSE)="Prior Year"),AT218,IF(AND($A$2=4,VLOOKUP($A218,'District Level ADM'!$A$5:$W$52,5,FALSE)="3-Year Avg."),AF218,IF($A$2=2,AT218,IF($A$2=3,AF218,IF(($AG218&gt;$AU218),AF218,AT218)))))</f>
        <v>0</v>
      </c>
      <c r="S218" s="317">
        <f t="shared" si="35"/>
        <v>211.72887719298245</v>
      </c>
      <c r="T218" s="317">
        <f t="shared" si="34"/>
        <v>35.945146198830408</v>
      </c>
      <c r="U218" s="317">
        <f t="shared" si="34"/>
        <v>36.251146198830412</v>
      </c>
      <c r="V218" s="317">
        <f t="shared" si="34"/>
        <v>35.249479532163747</v>
      </c>
      <c r="W218" s="317">
        <f t="shared" si="34"/>
        <v>33.809812865497072</v>
      </c>
      <c r="X218" s="317">
        <f t="shared" si="40"/>
        <v>30.799812865497074</v>
      </c>
      <c r="Y218" s="317">
        <f t="shared" si="40"/>
        <v>39.673479532163739</v>
      </c>
      <c r="Z218" s="317">
        <f t="shared" si="40"/>
        <v>0</v>
      </c>
      <c r="AA218" s="317">
        <f t="shared" si="40"/>
        <v>0</v>
      </c>
      <c r="AB218" s="317">
        <f t="shared" si="40"/>
        <v>0</v>
      </c>
      <c r="AC218" s="317">
        <f t="shared" si="40"/>
        <v>0</v>
      </c>
      <c r="AD218" s="317">
        <f t="shared" si="30"/>
        <v>0</v>
      </c>
      <c r="AE218" s="317">
        <f t="shared" si="30"/>
        <v>0</v>
      </c>
      <c r="AF218" s="317">
        <f t="shared" si="30"/>
        <v>0</v>
      </c>
      <c r="AG218" s="317">
        <f t="shared" si="36"/>
        <v>211.72887719298245</v>
      </c>
      <c r="AH218" s="318">
        <v>33.49</v>
      </c>
      <c r="AI218" s="318">
        <v>37.43</v>
      </c>
      <c r="AJ218" s="318">
        <v>32.505000000000003</v>
      </c>
      <c r="AK218" s="318">
        <v>33.49</v>
      </c>
      <c r="AL218" s="318">
        <v>24.625</v>
      </c>
      <c r="AM218" s="318">
        <v>39.4</v>
      </c>
      <c r="AN218" s="318">
        <v>0</v>
      </c>
      <c r="AO218" s="318">
        <v>0</v>
      </c>
      <c r="AP218" s="318">
        <v>0</v>
      </c>
      <c r="AQ218" s="318">
        <v>0</v>
      </c>
      <c r="AR218" s="318">
        <v>0</v>
      </c>
      <c r="AS218" s="318">
        <v>0</v>
      </c>
      <c r="AT218" s="318">
        <v>0</v>
      </c>
      <c r="AU218" s="317">
        <f t="shared" si="37"/>
        <v>200.94000000000003</v>
      </c>
      <c r="AV218" s="319">
        <v>37.453754385964906</v>
      </c>
      <c r="AW218" s="319">
        <v>35.911754385964912</v>
      </c>
      <c r="AX218" s="319">
        <v>36.145754385964906</v>
      </c>
      <c r="AY218" s="319">
        <v>31.493754385964913</v>
      </c>
      <c r="AZ218" s="319">
        <v>34.739754385964908</v>
      </c>
      <c r="BA218" s="319">
        <v>41.139754385964906</v>
      </c>
      <c r="BB218" s="319">
        <v>0</v>
      </c>
      <c r="BC218" s="319">
        <v>0</v>
      </c>
      <c r="BD218" s="319">
        <v>0</v>
      </c>
      <c r="BE218" s="319">
        <v>0</v>
      </c>
      <c r="BF218" s="319">
        <v>0</v>
      </c>
      <c r="BG218" s="319">
        <v>0</v>
      </c>
      <c r="BH218" s="319">
        <v>0</v>
      </c>
      <c r="BI218" s="317">
        <f t="shared" si="39"/>
        <v>216.88452631578946</v>
      </c>
      <c r="BJ218" s="316">
        <v>36.891684210526314</v>
      </c>
      <c r="BK218" s="316">
        <v>35.411684210526317</v>
      </c>
      <c r="BL218" s="316">
        <v>37.097684210526317</v>
      </c>
      <c r="BM218" s="316">
        <v>36.445684210526316</v>
      </c>
      <c r="BN218" s="316">
        <v>33.034684210526315</v>
      </c>
      <c r="BO218" s="316">
        <v>38.48068421052632</v>
      </c>
      <c r="BP218" s="316">
        <v>0</v>
      </c>
      <c r="BQ218" s="316">
        <v>0</v>
      </c>
      <c r="BR218" s="316">
        <v>0</v>
      </c>
      <c r="BS218" s="316">
        <v>0</v>
      </c>
      <c r="BT218" s="316">
        <v>0</v>
      </c>
      <c r="BU218" s="316">
        <v>0</v>
      </c>
      <c r="BV218" s="316">
        <v>0</v>
      </c>
      <c r="BW218" s="317">
        <f t="shared" si="38"/>
        <v>217.3621052631579</v>
      </c>
    </row>
    <row r="219" spans="1:75" x14ac:dyDescent="0.2">
      <c r="A219" s="20" t="str">
        <f>'School Level Inst. Resources'!A219</f>
        <v>1301000</v>
      </c>
      <c r="B219" s="20" t="str">
        <f>'School Level Inst. Resources'!B219</f>
        <v>Natrona #1</v>
      </c>
      <c r="C219" s="20" t="str">
        <f>'School Level Inst. Resources'!C219</f>
        <v>1301025</v>
      </c>
      <c r="D219" s="20" t="str">
        <f>'School Level Inst. Resources'!D219</f>
        <v>Verda James Elementary</v>
      </c>
      <c r="E219" s="138" t="str">
        <f>'School Level Inst. Resources'!E219</f>
        <v>K-5</v>
      </c>
      <c r="F219" s="317">
        <f>IF(AND($A$2=4,VLOOKUP($A219,'District Level ADM'!$A$5:$W$52,5,FALSE)="Prior Year"),AH219,IF(AND($A$2=4,VLOOKUP($A219,'District Level ADM'!$A$5:$W$52,5,FALSE)="3-Year Avg."),T219,IF($A$2=2,AH219,IF($A$2=3,T219,IF(($AG219&gt;$AU219),T219,AH219)))))</f>
        <v>70.909812865497074</v>
      </c>
      <c r="G219" s="317">
        <f>IF(AND($A$2=4,VLOOKUP($A219,'District Level ADM'!$A$5:$W$52,5,FALSE)="Prior Year"),AI219,IF(AND($A$2=4,VLOOKUP($A219,'District Level ADM'!$A$5:$W$52,5,FALSE)="3-Year Avg."),U219,IF($A$2=2,AI219,IF($A$2=3,U219,IF(($AG219&gt;$AU219),U219,AI219)))))</f>
        <v>72.039812865497083</v>
      </c>
      <c r="H219" s="317">
        <f>IF(AND($A$2=4,VLOOKUP($A219,'District Level ADM'!$A$5:$W$52,5,FALSE)="Prior Year"),AJ219,IF(AND($A$2=4,VLOOKUP($A219,'District Level ADM'!$A$5:$W$52,5,FALSE)="3-Year Avg."),V219,IF($A$2=2,AJ219,IF($A$2=3,V219,IF(($AG219&gt;$AU219),V219,AJ219)))))</f>
        <v>70.114812865497086</v>
      </c>
      <c r="I219" s="317">
        <f>IF(AND($A$2=4,VLOOKUP($A219,'District Level ADM'!$A$5:$W$52,5,FALSE)="Prior Year"),AK219,IF(AND($A$2=4,VLOOKUP($A219,'District Level ADM'!$A$5:$W$52,5,FALSE)="3-Year Avg."),W219,IF($A$2=2,AK219,IF($A$2=3,W219,IF(($AG219&gt;$AU219),W219,AK219)))))</f>
        <v>67.118146198830402</v>
      </c>
      <c r="J219" s="317">
        <f>IF(AND($A$2=4,VLOOKUP($A219,'District Level ADM'!$A$5:$W$52,5,FALSE)="Prior Year"),AL219,IF(AND($A$2=4,VLOOKUP($A219,'District Level ADM'!$A$5:$W$52,5,FALSE)="3-Year Avg."),X219,IF($A$2=2,AL219,IF($A$2=3,X219,IF(($AG219&gt;$AU219),X219,AL219)))))</f>
        <v>77.093812865497071</v>
      </c>
      <c r="K219" s="317">
        <f>IF(AND($A$2=4,VLOOKUP($A219,'District Level ADM'!$A$5:$W$52,5,FALSE)="Prior Year"),AM219,IF(AND($A$2=4,VLOOKUP($A219,'District Level ADM'!$A$5:$W$52,5,FALSE)="3-Year Avg."),Y219,IF($A$2=2,AM219,IF($A$2=3,Y219,IF(($AG219&gt;$AU219),Y219,AM219)))))</f>
        <v>78.111812865497086</v>
      </c>
      <c r="L219" s="317">
        <f>IF(AND($A$2=4,VLOOKUP($A219,'District Level ADM'!$A$5:$W$52,5,FALSE)="Prior Year"),AN219,IF(AND($A$2=4,VLOOKUP($A219,'District Level ADM'!$A$5:$W$52,5,FALSE)="3-Year Avg."),Z219,IF($A$2=2,AN219,IF($A$2=3,Z219,IF(($AG219&gt;$AU219),Z219,AN219)))))</f>
        <v>0</v>
      </c>
      <c r="M219" s="317">
        <f>IF(AND($A$2=4,VLOOKUP($A219,'District Level ADM'!$A$5:$W$52,5,FALSE)="Prior Year"),AO219,IF(AND($A$2=4,VLOOKUP($A219,'District Level ADM'!$A$5:$W$52,5,FALSE)="3-Year Avg."),AA219,IF($A$2=2,AO219,IF($A$2=3,AA219,IF(($AG219&gt;$AU219),AA219,AO219)))))</f>
        <v>0</v>
      </c>
      <c r="N219" s="317">
        <f>IF(AND($A$2=4,VLOOKUP($A219,'District Level ADM'!$A$5:$W$52,5,FALSE)="Prior Year"),AP219,IF(AND($A$2=4,VLOOKUP($A219,'District Level ADM'!$A$5:$W$52,5,FALSE)="3-Year Avg."),AB219,IF($A$2=2,AP219,IF($A$2=3,AB219,IF(($AG219&gt;$AU219),AB219,AP219)))))</f>
        <v>0</v>
      </c>
      <c r="O219" s="317">
        <f>IF(AND($A$2=4,VLOOKUP($A219,'District Level ADM'!$A$5:$W$52,5,FALSE)="Prior Year"),AQ219,IF(AND($A$2=4,VLOOKUP($A219,'District Level ADM'!$A$5:$W$52,5,FALSE)="3-Year Avg."),AC219,IF($A$2=2,AQ219,IF($A$2=3,AC219,IF(($AG219&gt;$AU219),AC219,AQ219)))))</f>
        <v>0</v>
      </c>
      <c r="P219" s="317">
        <f>IF(AND($A$2=4,VLOOKUP($A219,'District Level ADM'!$A$5:$W$52,5,FALSE)="Prior Year"),AR219,IF(AND($A$2=4,VLOOKUP($A219,'District Level ADM'!$A$5:$W$52,5,FALSE)="3-Year Avg."),AD219,IF($A$2=2,AR219,IF($A$2=3,AD219,IF(($AG219&gt;$AU219),AD219,AR219)))))</f>
        <v>0</v>
      </c>
      <c r="Q219" s="317">
        <f>IF(AND($A$2=4,VLOOKUP($A219,'District Level ADM'!$A$5:$W$52,5,FALSE)="Prior Year"),AS219,IF(AND($A$2=4,VLOOKUP($A219,'District Level ADM'!$A$5:$W$52,5,FALSE)="3-Year Avg."),AE219,IF($A$2=2,AS219,IF($A$2=3,AE219,IF(($AG219&gt;$AU219),AE219,AS219)))))</f>
        <v>0</v>
      </c>
      <c r="R219" s="317">
        <f>IF(AND($A$2=4,VLOOKUP($A219,'District Level ADM'!$A$5:$W$52,5,FALSE)="Prior Year"),AT219,IF(AND($A$2=4,VLOOKUP($A219,'District Level ADM'!$A$5:$W$52,5,FALSE)="3-Year Avg."),AF219,IF($A$2=2,AT219,IF($A$2=3,AF219,IF(($AG219&gt;$AU219),AF219,AT219)))))</f>
        <v>0</v>
      </c>
      <c r="S219" s="317">
        <f t="shared" si="35"/>
        <v>435.38821052631579</v>
      </c>
      <c r="T219" s="317">
        <f t="shared" si="34"/>
        <v>70.909812865497074</v>
      </c>
      <c r="U219" s="317">
        <f t="shared" si="34"/>
        <v>72.039812865497083</v>
      </c>
      <c r="V219" s="317">
        <f t="shared" si="34"/>
        <v>70.114812865497086</v>
      </c>
      <c r="W219" s="317">
        <f t="shared" si="34"/>
        <v>67.118146198830402</v>
      </c>
      <c r="X219" s="317">
        <f t="shared" si="40"/>
        <v>77.093812865497071</v>
      </c>
      <c r="Y219" s="317">
        <f t="shared" si="40"/>
        <v>78.111812865497086</v>
      </c>
      <c r="Z219" s="317">
        <f t="shared" si="40"/>
        <v>0</v>
      </c>
      <c r="AA219" s="317">
        <f t="shared" si="40"/>
        <v>0</v>
      </c>
      <c r="AB219" s="317">
        <f t="shared" si="40"/>
        <v>0</v>
      </c>
      <c r="AC219" s="317">
        <f t="shared" si="40"/>
        <v>0</v>
      </c>
      <c r="AD219" s="317">
        <f t="shared" si="30"/>
        <v>0</v>
      </c>
      <c r="AE219" s="317">
        <f t="shared" si="30"/>
        <v>0</v>
      </c>
      <c r="AF219" s="317">
        <f t="shared" si="30"/>
        <v>0</v>
      </c>
      <c r="AG219" s="317">
        <f t="shared" si="36"/>
        <v>435.38821052631579</v>
      </c>
      <c r="AH219" s="318">
        <v>65.995000000000005</v>
      </c>
      <c r="AI219" s="318">
        <v>71.905000000000001</v>
      </c>
      <c r="AJ219" s="318">
        <v>72.89</v>
      </c>
      <c r="AK219" s="318">
        <v>59.1</v>
      </c>
      <c r="AL219" s="318">
        <v>72.89</v>
      </c>
      <c r="AM219" s="318">
        <v>76.83</v>
      </c>
      <c r="AN219" s="318">
        <v>0</v>
      </c>
      <c r="AO219" s="318">
        <v>0</v>
      </c>
      <c r="AP219" s="318">
        <v>0</v>
      </c>
      <c r="AQ219" s="318">
        <v>0</v>
      </c>
      <c r="AR219" s="318">
        <v>0</v>
      </c>
      <c r="AS219" s="318">
        <v>0</v>
      </c>
      <c r="AT219" s="318">
        <v>0</v>
      </c>
      <c r="AU219" s="317">
        <f t="shared" si="37"/>
        <v>419.61</v>
      </c>
      <c r="AV219" s="319">
        <v>72.442754385964903</v>
      </c>
      <c r="AW219" s="319">
        <v>73.402754385964911</v>
      </c>
      <c r="AX219" s="319">
        <v>65.453754385964913</v>
      </c>
      <c r="AY219" s="319">
        <v>69.196754385964908</v>
      </c>
      <c r="AZ219" s="319">
        <v>79.219754385964904</v>
      </c>
      <c r="BA219" s="319">
        <v>78.739754385964915</v>
      </c>
      <c r="BB219" s="319">
        <v>0</v>
      </c>
      <c r="BC219" s="319">
        <v>0</v>
      </c>
      <c r="BD219" s="319">
        <v>0</v>
      </c>
      <c r="BE219" s="319">
        <v>0</v>
      </c>
      <c r="BF219" s="319">
        <v>0</v>
      </c>
      <c r="BG219" s="319">
        <v>0</v>
      </c>
      <c r="BH219" s="319">
        <v>0</v>
      </c>
      <c r="BI219" s="317">
        <f t="shared" si="39"/>
        <v>438.45552631578948</v>
      </c>
      <c r="BJ219" s="316">
        <v>74.291684210526313</v>
      </c>
      <c r="BK219" s="316">
        <v>70.811684210526309</v>
      </c>
      <c r="BL219" s="316">
        <v>72.000684210526316</v>
      </c>
      <c r="BM219" s="316">
        <v>73.057684210526304</v>
      </c>
      <c r="BN219" s="316">
        <v>79.171684210526308</v>
      </c>
      <c r="BO219" s="316">
        <v>78.765684210526317</v>
      </c>
      <c r="BP219" s="316">
        <v>0</v>
      </c>
      <c r="BQ219" s="316">
        <v>0</v>
      </c>
      <c r="BR219" s="316">
        <v>0</v>
      </c>
      <c r="BS219" s="316">
        <v>0</v>
      </c>
      <c r="BT219" s="316">
        <v>0</v>
      </c>
      <c r="BU219" s="316">
        <v>0</v>
      </c>
      <c r="BV219" s="316">
        <v>0</v>
      </c>
      <c r="BW219" s="317">
        <f t="shared" si="38"/>
        <v>448.09910526315792</v>
      </c>
    </row>
    <row r="220" spans="1:75" x14ac:dyDescent="0.2">
      <c r="A220" s="20" t="str">
        <f>'School Level Inst. Resources'!A220</f>
        <v>1301000</v>
      </c>
      <c r="B220" s="20" t="str">
        <f>'School Level Inst. Resources'!B220</f>
        <v>Natrona #1</v>
      </c>
      <c r="C220" s="20" t="str">
        <f>'School Level Inst. Resources'!C220</f>
        <v>1301027</v>
      </c>
      <c r="D220" s="20" t="str">
        <f>'School Level Inst. Resources'!D220</f>
        <v>Willard Elementary</v>
      </c>
      <c r="E220" s="138" t="str">
        <f>'School Level Inst. Resources'!E220</f>
        <v>P-5</v>
      </c>
      <c r="F220" s="317">
        <f>IF(AND($A$2=4,VLOOKUP($A220,'District Level ADM'!$A$5:$W$52,5,FALSE)="Prior Year"),AH220,IF(AND($A$2=4,VLOOKUP($A220,'District Level ADM'!$A$5:$W$52,5,FALSE)="3-Year Avg."),T220,IF($A$2=2,AH220,IF($A$2=3,T220,IF(($AG220&gt;$AU220),T220,AH220)))))</f>
        <v>50.153812865497081</v>
      </c>
      <c r="G220" s="317">
        <f>IF(AND($A$2=4,VLOOKUP($A220,'District Level ADM'!$A$5:$W$52,5,FALSE)="Prior Year"),AI220,IF(AND($A$2=4,VLOOKUP($A220,'District Level ADM'!$A$5:$W$52,5,FALSE)="3-Year Avg."),U220,IF($A$2=2,AI220,IF($A$2=3,U220,IF(($AG220&gt;$AU220),U220,AI220)))))</f>
        <v>34.204479532163738</v>
      </c>
      <c r="H220" s="317">
        <f>IF(AND($A$2=4,VLOOKUP($A220,'District Level ADM'!$A$5:$W$52,5,FALSE)="Prior Year"),AJ220,IF(AND($A$2=4,VLOOKUP($A220,'District Level ADM'!$A$5:$W$52,5,FALSE)="3-Year Avg."),V220,IF($A$2=2,AJ220,IF($A$2=3,V220,IF(($AG220&gt;$AU220),V220,AJ220)))))</f>
        <v>34.942812865497075</v>
      </c>
      <c r="I220" s="317">
        <f>IF(AND($A$2=4,VLOOKUP($A220,'District Level ADM'!$A$5:$W$52,5,FALSE)="Prior Year"),AK220,IF(AND($A$2=4,VLOOKUP($A220,'District Level ADM'!$A$5:$W$52,5,FALSE)="3-Year Avg."),W220,IF($A$2=2,AK220,IF($A$2=3,W220,IF(($AG220&gt;$AU220),W220,AK220)))))</f>
        <v>35.718812865497078</v>
      </c>
      <c r="J220" s="317">
        <f>IF(AND($A$2=4,VLOOKUP($A220,'District Level ADM'!$A$5:$W$52,5,FALSE)="Prior Year"),AL220,IF(AND($A$2=4,VLOOKUP($A220,'District Level ADM'!$A$5:$W$52,5,FALSE)="3-Year Avg."),X220,IF($A$2=2,AL220,IF($A$2=3,X220,IF(($AG220&gt;$AU220),X220,AL220)))))</f>
        <v>35.984479532163739</v>
      </c>
      <c r="K220" s="317">
        <f>IF(AND($A$2=4,VLOOKUP($A220,'District Level ADM'!$A$5:$W$52,5,FALSE)="Prior Year"),AM220,IF(AND($A$2=4,VLOOKUP($A220,'District Level ADM'!$A$5:$W$52,5,FALSE)="3-Year Avg."),Y220,IF($A$2=2,AM220,IF($A$2=3,Y220,IF(($AG220&gt;$AU220),Y220,AM220)))))</f>
        <v>36.349146198830404</v>
      </c>
      <c r="L220" s="317">
        <f>IF(AND($A$2=4,VLOOKUP($A220,'District Level ADM'!$A$5:$W$52,5,FALSE)="Prior Year"),AN220,IF(AND($A$2=4,VLOOKUP($A220,'District Level ADM'!$A$5:$W$52,5,FALSE)="3-Year Avg."),Z220,IF($A$2=2,AN220,IF($A$2=3,Z220,IF(($AG220&gt;$AU220),Z220,AN220)))))</f>
        <v>0</v>
      </c>
      <c r="M220" s="317">
        <f>IF(AND($A$2=4,VLOOKUP($A220,'District Level ADM'!$A$5:$W$52,5,FALSE)="Prior Year"),AO220,IF(AND($A$2=4,VLOOKUP($A220,'District Level ADM'!$A$5:$W$52,5,FALSE)="3-Year Avg."),AA220,IF($A$2=2,AO220,IF($A$2=3,AA220,IF(($AG220&gt;$AU220),AA220,AO220)))))</f>
        <v>0</v>
      </c>
      <c r="N220" s="317">
        <f>IF(AND($A$2=4,VLOOKUP($A220,'District Level ADM'!$A$5:$W$52,5,FALSE)="Prior Year"),AP220,IF(AND($A$2=4,VLOOKUP($A220,'District Level ADM'!$A$5:$W$52,5,FALSE)="3-Year Avg."),AB220,IF($A$2=2,AP220,IF($A$2=3,AB220,IF(($AG220&gt;$AU220),AB220,AP220)))))</f>
        <v>0</v>
      </c>
      <c r="O220" s="317">
        <f>IF(AND($A$2=4,VLOOKUP($A220,'District Level ADM'!$A$5:$W$52,5,FALSE)="Prior Year"),AQ220,IF(AND($A$2=4,VLOOKUP($A220,'District Level ADM'!$A$5:$W$52,5,FALSE)="3-Year Avg."),AC220,IF($A$2=2,AQ220,IF($A$2=3,AC220,IF(($AG220&gt;$AU220),AC220,AQ220)))))</f>
        <v>0</v>
      </c>
      <c r="P220" s="317">
        <f>IF(AND($A$2=4,VLOOKUP($A220,'District Level ADM'!$A$5:$W$52,5,FALSE)="Prior Year"),AR220,IF(AND($A$2=4,VLOOKUP($A220,'District Level ADM'!$A$5:$W$52,5,FALSE)="3-Year Avg."),AD220,IF($A$2=2,AR220,IF($A$2=3,AD220,IF(($AG220&gt;$AU220),AD220,AR220)))))</f>
        <v>0</v>
      </c>
      <c r="Q220" s="317">
        <f>IF(AND($A$2=4,VLOOKUP($A220,'District Level ADM'!$A$5:$W$52,5,FALSE)="Prior Year"),AS220,IF(AND($A$2=4,VLOOKUP($A220,'District Level ADM'!$A$5:$W$52,5,FALSE)="3-Year Avg."),AE220,IF($A$2=2,AS220,IF($A$2=3,AE220,IF(($AG220&gt;$AU220),AE220,AS220)))))</f>
        <v>0</v>
      </c>
      <c r="R220" s="317">
        <f>IF(AND($A$2=4,VLOOKUP($A220,'District Level ADM'!$A$5:$W$52,5,FALSE)="Prior Year"),AT220,IF(AND($A$2=4,VLOOKUP($A220,'District Level ADM'!$A$5:$W$52,5,FALSE)="3-Year Avg."),AF220,IF($A$2=2,AT220,IF($A$2=3,AF220,IF(($AG220&gt;$AU220),AF220,AT220)))))</f>
        <v>0</v>
      </c>
      <c r="S220" s="317">
        <f t="shared" si="35"/>
        <v>227.35354385964911</v>
      </c>
      <c r="T220" s="317">
        <f t="shared" si="34"/>
        <v>50.153812865497081</v>
      </c>
      <c r="U220" s="317">
        <f t="shared" si="34"/>
        <v>34.204479532163738</v>
      </c>
      <c r="V220" s="317">
        <f t="shared" si="34"/>
        <v>34.942812865497075</v>
      </c>
      <c r="W220" s="317">
        <f t="shared" si="34"/>
        <v>35.718812865497078</v>
      </c>
      <c r="X220" s="317">
        <f t="shared" si="40"/>
        <v>35.984479532163739</v>
      </c>
      <c r="Y220" s="317">
        <f t="shared" si="40"/>
        <v>36.349146198830404</v>
      </c>
      <c r="Z220" s="317">
        <f t="shared" si="40"/>
        <v>0</v>
      </c>
      <c r="AA220" s="317">
        <f t="shared" si="40"/>
        <v>0</v>
      </c>
      <c r="AB220" s="317">
        <f t="shared" si="40"/>
        <v>0</v>
      </c>
      <c r="AC220" s="317">
        <f t="shared" si="40"/>
        <v>0</v>
      </c>
      <c r="AD220" s="317">
        <f t="shared" si="30"/>
        <v>0</v>
      </c>
      <c r="AE220" s="317">
        <f t="shared" si="30"/>
        <v>0</v>
      </c>
      <c r="AF220" s="317">
        <f t="shared" si="30"/>
        <v>0</v>
      </c>
      <c r="AG220" s="317">
        <f t="shared" si="36"/>
        <v>227.35354385964911</v>
      </c>
      <c r="AH220" s="318">
        <v>50.234999999999999</v>
      </c>
      <c r="AI220" s="318">
        <v>33.49</v>
      </c>
      <c r="AJ220" s="318">
        <v>32.505000000000003</v>
      </c>
      <c r="AK220" s="318">
        <v>36.445</v>
      </c>
      <c r="AL220" s="318">
        <v>37.43</v>
      </c>
      <c r="AM220" s="318">
        <v>36.445</v>
      </c>
      <c r="AN220" s="318">
        <v>0</v>
      </c>
      <c r="AO220" s="318">
        <v>0</v>
      </c>
      <c r="AP220" s="318">
        <v>0</v>
      </c>
      <c r="AQ220" s="318">
        <v>0</v>
      </c>
      <c r="AR220" s="318">
        <v>0</v>
      </c>
      <c r="AS220" s="318">
        <v>0</v>
      </c>
      <c r="AT220" s="318">
        <v>0</v>
      </c>
      <c r="AU220" s="317">
        <f t="shared" si="37"/>
        <v>226.54999999999998</v>
      </c>
      <c r="AV220" s="319">
        <v>50.768754385964911</v>
      </c>
      <c r="AW220" s="319">
        <v>35.151754385964907</v>
      </c>
      <c r="AX220" s="319">
        <v>35.065754385964908</v>
      </c>
      <c r="AY220" s="319">
        <v>36.762754385964911</v>
      </c>
      <c r="AZ220" s="319">
        <v>33.631754385964911</v>
      </c>
      <c r="BA220" s="319">
        <v>34.156754385964909</v>
      </c>
      <c r="BB220" s="319">
        <v>0</v>
      </c>
      <c r="BC220" s="319">
        <v>0</v>
      </c>
      <c r="BD220" s="319">
        <v>0</v>
      </c>
      <c r="BE220" s="319">
        <v>0</v>
      </c>
      <c r="BF220" s="319">
        <v>0</v>
      </c>
      <c r="BG220" s="319">
        <v>0</v>
      </c>
      <c r="BH220" s="319">
        <v>0</v>
      </c>
      <c r="BI220" s="317">
        <f t="shared" si="39"/>
        <v>225.53752631578945</v>
      </c>
      <c r="BJ220" s="316">
        <v>49.457684210526317</v>
      </c>
      <c r="BK220" s="316">
        <v>33.97168421052632</v>
      </c>
      <c r="BL220" s="316">
        <v>37.257684210526314</v>
      </c>
      <c r="BM220" s="316">
        <v>33.948684210526316</v>
      </c>
      <c r="BN220" s="316">
        <v>36.891684210526314</v>
      </c>
      <c r="BO220" s="316">
        <v>38.445684210526316</v>
      </c>
      <c r="BP220" s="316">
        <v>0</v>
      </c>
      <c r="BQ220" s="316">
        <v>0</v>
      </c>
      <c r="BR220" s="316">
        <v>0</v>
      </c>
      <c r="BS220" s="316">
        <v>0</v>
      </c>
      <c r="BT220" s="316">
        <v>0</v>
      </c>
      <c r="BU220" s="316">
        <v>0</v>
      </c>
      <c r="BV220" s="316">
        <v>0</v>
      </c>
      <c r="BW220" s="317">
        <f t="shared" si="38"/>
        <v>229.97310526315789</v>
      </c>
    </row>
    <row r="221" spans="1:75" x14ac:dyDescent="0.2">
      <c r="A221" s="20" t="str">
        <f>'School Level Inst. Resources'!A221</f>
        <v>1301000</v>
      </c>
      <c r="B221" s="20" t="str">
        <f>'School Level Inst. Resources'!B221</f>
        <v>Natrona #1</v>
      </c>
      <c r="C221" s="20" t="str">
        <f>'School Level Inst. Resources'!C221</f>
        <v>1301029</v>
      </c>
      <c r="D221" s="20" t="str">
        <f>'School Level Inst. Resources'!D221</f>
        <v>Woods Learning Center</v>
      </c>
      <c r="E221" s="138" t="str">
        <f>'School Level Inst. Resources'!E221</f>
        <v>K-8</v>
      </c>
      <c r="F221" s="317">
        <f>IF(AND($A$2=4,VLOOKUP($A221,'District Level ADM'!$A$5:$W$52,5,FALSE)="Prior Year"),AH221,IF(AND($A$2=4,VLOOKUP($A221,'District Level ADM'!$A$5:$W$52,5,FALSE)="3-Year Avg."),T221,IF($A$2=2,AH221,IF($A$2=3,T221,IF(($AG221&gt;$AU221),T221,AH221)))))</f>
        <v>18.920479532163743</v>
      </c>
      <c r="G221" s="317">
        <f>IF(AND($A$2=4,VLOOKUP($A221,'District Level ADM'!$A$5:$W$52,5,FALSE)="Prior Year"),AI221,IF(AND($A$2=4,VLOOKUP($A221,'District Level ADM'!$A$5:$W$52,5,FALSE)="3-Year Avg."),U221,IF($A$2=2,AI221,IF($A$2=3,U221,IF(($AG221&gt;$AU221),U221,AI221)))))</f>
        <v>18.93014619883041</v>
      </c>
      <c r="H221" s="317">
        <f>IF(AND($A$2=4,VLOOKUP($A221,'District Level ADM'!$A$5:$W$52,5,FALSE)="Prior Year"),AJ221,IF(AND($A$2=4,VLOOKUP($A221,'District Level ADM'!$A$5:$W$52,5,FALSE)="3-Year Avg."),V221,IF($A$2=2,AJ221,IF($A$2=3,V221,IF(($AG221&gt;$AU221),V221,AJ221)))))</f>
        <v>18.942146198830411</v>
      </c>
      <c r="I221" s="317">
        <f>IF(AND($A$2=4,VLOOKUP($A221,'District Level ADM'!$A$5:$W$52,5,FALSE)="Prior Year"),AK221,IF(AND($A$2=4,VLOOKUP($A221,'District Level ADM'!$A$5:$W$52,5,FALSE)="3-Year Avg."),W221,IF($A$2=2,AK221,IF($A$2=3,W221,IF(($AG221&gt;$AU221),W221,AK221)))))</f>
        <v>18.155479532163742</v>
      </c>
      <c r="J221" s="317">
        <f>IF(AND($A$2=4,VLOOKUP($A221,'District Level ADM'!$A$5:$W$52,5,FALSE)="Prior Year"),AL221,IF(AND($A$2=4,VLOOKUP($A221,'District Level ADM'!$A$5:$W$52,5,FALSE)="3-Year Avg."),X221,IF($A$2=2,AL221,IF($A$2=3,X221,IF(($AG221&gt;$AU221),X221,AL221)))))</f>
        <v>18.935812865497077</v>
      </c>
      <c r="K221" s="317">
        <f>IF(AND($A$2=4,VLOOKUP($A221,'District Level ADM'!$A$5:$W$52,5,FALSE)="Prior Year"),AM221,IF(AND($A$2=4,VLOOKUP($A221,'District Level ADM'!$A$5:$W$52,5,FALSE)="3-Year Avg."),Y221,IF($A$2=2,AM221,IF($A$2=3,Y221,IF(($AG221&gt;$AU221),Y221,AM221)))))</f>
        <v>18.90914619883041</v>
      </c>
      <c r="L221" s="317">
        <f>IF(AND($A$2=4,VLOOKUP($A221,'District Level ADM'!$A$5:$W$52,5,FALSE)="Prior Year"),AN221,IF(AND($A$2=4,VLOOKUP($A221,'District Level ADM'!$A$5:$W$52,5,FALSE)="3-Year Avg."),Z221,IF($A$2=2,AN221,IF($A$2=3,Z221,IF(($AG221&gt;$AU221),Z221,AN221)))))</f>
        <v>18.732333333333333</v>
      </c>
      <c r="M221" s="317">
        <f>IF(AND($A$2=4,VLOOKUP($A221,'District Level ADM'!$A$5:$W$52,5,FALSE)="Prior Year"),AO221,IF(AND($A$2=4,VLOOKUP($A221,'District Level ADM'!$A$5:$W$52,5,FALSE)="3-Year Avg."),AA221,IF($A$2=2,AO221,IF($A$2=3,AA221,IF(($AG221&gt;$AU221),AA221,AO221)))))</f>
        <v>17.925333333333331</v>
      </c>
      <c r="N221" s="317">
        <f>IF(AND($A$2=4,VLOOKUP($A221,'District Level ADM'!$A$5:$W$52,5,FALSE)="Prior Year"),AP221,IF(AND($A$2=4,VLOOKUP($A221,'District Level ADM'!$A$5:$W$52,5,FALSE)="3-Year Avg."),AB221,IF($A$2=2,AP221,IF($A$2=3,AB221,IF(($AG221&gt;$AU221),AB221,AP221)))))</f>
        <v>15.096333333333334</v>
      </c>
      <c r="O221" s="317">
        <f>IF(AND($A$2=4,VLOOKUP($A221,'District Level ADM'!$A$5:$W$52,5,FALSE)="Prior Year"),AQ221,IF(AND($A$2=4,VLOOKUP($A221,'District Level ADM'!$A$5:$W$52,5,FALSE)="3-Year Avg."),AC221,IF($A$2=2,AQ221,IF($A$2=3,AC221,IF(($AG221&gt;$AU221),AC221,AQ221)))))</f>
        <v>0</v>
      </c>
      <c r="P221" s="317">
        <f>IF(AND($A$2=4,VLOOKUP($A221,'District Level ADM'!$A$5:$W$52,5,FALSE)="Prior Year"),AR221,IF(AND($A$2=4,VLOOKUP($A221,'District Level ADM'!$A$5:$W$52,5,FALSE)="3-Year Avg."),AD221,IF($A$2=2,AR221,IF($A$2=3,AD221,IF(($AG221&gt;$AU221),AD221,AR221)))))</f>
        <v>0</v>
      </c>
      <c r="Q221" s="317">
        <f>IF(AND($A$2=4,VLOOKUP($A221,'District Level ADM'!$A$5:$W$52,5,FALSE)="Prior Year"),AS221,IF(AND($A$2=4,VLOOKUP($A221,'District Level ADM'!$A$5:$W$52,5,FALSE)="3-Year Avg."),AE221,IF($A$2=2,AS221,IF($A$2=3,AE221,IF(($AG221&gt;$AU221),AE221,AS221)))))</f>
        <v>0</v>
      </c>
      <c r="R221" s="317">
        <f>IF(AND($A$2=4,VLOOKUP($A221,'District Level ADM'!$A$5:$W$52,5,FALSE)="Prior Year"),AT221,IF(AND($A$2=4,VLOOKUP($A221,'District Level ADM'!$A$5:$W$52,5,FALSE)="3-Year Avg."),AF221,IF($A$2=2,AT221,IF($A$2=3,AF221,IF(($AG221&gt;$AU221),AF221,AT221)))))</f>
        <v>0</v>
      </c>
      <c r="S221" s="317">
        <f t="shared" si="35"/>
        <v>164.54721052631578</v>
      </c>
      <c r="T221" s="317">
        <f t="shared" si="34"/>
        <v>18.920479532163743</v>
      </c>
      <c r="U221" s="317">
        <f t="shared" si="34"/>
        <v>18.93014619883041</v>
      </c>
      <c r="V221" s="317">
        <f t="shared" si="34"/>
        <v>18.942146198830411</v>
      </c>
      <c r="W221" s="317">
        <f t="shared" si="34"/>
        <v>18.155479532163742</v>
      </c>
      <c r="X221" s="317">
        <f t="shared" si="40"/>
        <v>18.935812865497077</v>
      </c>
      <c r="Y221" s="317">
        <f t="shared" si="40"/>
        <v>18.90914619883041</v>
      </c>
      <c r="Z221" s="317">
        <f t="shared" si="40"/>
        <v>18.732333333333333</v>
      </c>
      <c r="AA221" s="317">
        <f t="shared" si="40"/>
        <v>17.925333333333331</v>
      </c>
      <c r="AB221" s="317">
        <f t="shared" si="40"/>
        <v>15.096333333333334</v>
      </c>
      <c r="AC221" s="317">
        <f t="shared" si="40"/>
        <v>0</v>
      </c>
      <c r="AD221" s="317">
        <f t="shared" si="30"/>
        <v>0</v>
      </c>
      <c r="AE221" s="317">
        <f t="shared" si="30"/>
        <v>0</v>
      </c>
      <c r="AF221" s="317">
        <f t="shared" si="30"/>
        <v>0</v>
      </c>
      <c r="AG221" s="317">
        <f t="shared" si="36"/>
        <v>164.54721052631578</v>
      </c>
      <c r="AH221" s="318">
        <v>17.73</v>
      </c>
      <c r="AI221" s="318">
        <v>17.73</v>
      </c>
      <c r="AJ221" s="318">
        <v>18.715</v>
      </c>
      <c r="AK221" s="318">
        <v>15.76</v>
      </c>
      <c r="AL221" s="318">
        <v>17.73</v>
      </c>
      <c r="AM221" s="318">
        <v>17.73</v>
      </c>
      <c r="AN221" s="318">
        <v>19.7</v>
      </c>
      <c r="AO221" s="318">
        <v>17.73</v>
      </c>
      <c r="AP221" s="318">
        <v>11.82</v>
      </c>
      <c r="AQ221" s="318">
        <v>0</v>
      </c>
      <c r="AR221" s="318">
        <v>0</v>
      </c>
      <c r="AS221" s="318">
        <v>0</v>
      </c>
      <c r="AT221" s="318">
        <v>0</v>
      </c>
      <c r="AU221" s="317">
        <f t="shared" si="37"/>
        <v>154.64500000000001</v>
      </c>
      <c r="AV221" s="319">
        <v>19.482754385964913</v>
      </c>
      <c r="AW221" s="319">
        <v>19.482754385964913</v>
      </c>
      <c r="AX221" s="319">
        <v>18.516754385964912</v>
      </c>
      <c r="AY221" s="319">
        <v>19.111754385964915</v>
      </c>
      <c r="AZ221" s="319">
        <v>19.482754385964913</v>
      </c>
      <c r="BA221" s="319">
        <v>19.482754385964913</v>
      </c>
      <c r="BB221" s="319">
        <v>17.497</v>
      </c>
      <c r="BC221" s="319">
        <v>17.045999999999999</v>
      </c>
      <c r="BD221" s="319">
        <v>17.469000000000001</v>
      </c>
      <c r="BE221" s="319">
        <v>0</v>
      </c>
      <c r="BF221" s="319">
        <v>0</v>
      </c>
      <c r="BG221" s="319">
        <v>0</v>
      </c>
      <c r="BH221" s="319">
        <v>0</v>
      </c>
      <c r="BI221" s="317">
        <f t="shared" si="39"/>
        <v>167.57152631578947</v>
      </c>
      <c r="BJ221" s="316">
        <v>19.548684210526318</v>
      </c>
      <c r="BK221" s="316">
        <v>19.577684210526318</v>
      </c>
      <c r="BL221" s="316">
        <v>19.594684210526317</v>
      </c>
      <c r="BM221" s="316">
        <v>19.594684210526317</v>
      </c>
      <c r="BN221" s="316">
        <v>19.594684210526317</v>
      </c>
      <c r="BO221" s="316">
        <v>19.514684210526319</v>
      </c>
      <c r="BP221" s="316">
        <v>19</v>
      </c>
      <c r="BQ221" s="316">
        <v>19</v>
      </c>
      <c r="BR221" s="316">
        <v>16</v>
      </c>
      <c r="BS221" s="316">
        <v>0</v>
      </c>
      <c r="BT221" s="316">
        <v>0</v>
      </c>
      <c r="BU221" s="316">
        <v>0</v>
      </c>
      <c r="BV221" s="316">
        <v>0</v>
      </c>
      <c r="BW221" s="317">
        <f t="shared" si="38"/>
        <v>171.42510526315792</v>
      </c>
    </row>
    <row r="222" spans="1:75" x14ac:dyDescent="0.2">
      <c r="A222" s="20" t="str">
        <f>'School Level Inst. Resources'!A222</f>
        <v>1301000</v>
      </c>
      <c r="B222" s="20" t="str">
        <f>'School Level Inst. Resources'!B222</f>
        <v>Natrona #1</v>
      </c>
      <c r="C222" s="20" t="str">
        <f>'School Level Inst. Resources'!C222</f>
        <v>1301031</v>
      </c>
      <c r="D222" s="20" t="str">
        <f>'School Level Inst. Resources'!D222</f>
        <v>Oregon Trail Elementary</v>
      </c>
      <c r="E222" s="138" t="str">
        <f>'School Level Inst. Resources'!E222</f>
        <v>K-5</v>
      </c>
      <c r="F222" s="317">
        <f>IF(AND($A$2=4,VLOOKUP($A222,'District Level ADM'!$A$5:$W$52,5,FALSE)="Prior Year"),AH222,IF(AND($A$2=4,VLOOKUP($A222,'District Level ADM'!$A$5:$W$52,5,FALSE)="3-Year Avg."),T222,IF($A$2=2,AH222,IF($A$2=3,T222,IF(($AG222&gt;$AU222),T222,AH222)))))</f>
        <v>55.983812865497072</v>
      </c>
      <c r="G222" s="317">
        <f>IF(AND($A$2=4,VLOOKUP($A222,'District Level ADM'!$A$5:$W$52,5,FALSE)="Prior Year"),AI222,IF(AND($A$2=4,VLOOKUP($A222,'District Level ADM'!$A$5:$W$52,5,FALSE)="3-Year Avg."),U222,IF($A$2=2,AI222,IF($A$2=3,U222,IF(($AG222&gt;$AU222),U222,AI222)))))</f>
        <v>57.603812865497076</v>
      </c>
      <c r="H222" s="317">
        <f>IF(AND($A$2=4,VLOOKUP($A222,'District Level ADM'!$A$5:$W$52,5,FALSE)="Prior Year"),AJ222,IF(AND($A$2=4,VLOOKUP($A222,'District Level ADM'!$A$5:$W$52,5,FALSE)="3-Year Avg."),V222,IF($A$2=2,AJ222,IF($A$2=3,V222,IF(($AG222&gt;$AU222),V222,AJ222)))))</f>
        <v>57.247812865497075</v>
      </c>
      <c r="I222" s="317">
        <f>IF(AND($A$2=4,VLOOKUP($A222,'District Level ADM'!$A$5:$W$52,5,FALSE)="Prior Year"),AK222,IF(AND($A$2=4,VLOOKUP($A222,'District Level ADM'!$A$5:$W$52,5,FALSE)="3-Year Avg."),W222,IF($A$2=2,AK222,IF($A$2=3,W222,IF(($AG222&gt;$AU222),W222,AK222)))))</f>
        <v>62.651479532163741</v>
      </c>
      <c r="J222" s="317">
        <f>IF(AND($A$2=4,VLOOKUP($A222,'District Level ADM'!$A$5:$W$52,5,FALSE)="Prior Year"),AL222,IF(AND($A$2=4,VLOOKUP($A222,'District Level ADM'!$A$5:$W$52,5,FALSE)="3-Year Avg."),X222,IF($A$2=2,AL222,IF($A$2=3,X222,IF(($AG222&gt;$AU222),X222,AL222)))))</f>
        <v>64.459479532163741</v>
      </c>
      <c r="K222" s="317">
        <f>IF(AND($A$2=4,VLOOKUP($A222,'District Level ADM'!$A$5:$W$52,5,FALSE)="Prior Year"),AM222,IF(AND($A$2=4,VLOOKUP($A222,'District Level ADM'!$A$5:$W$52,5,FALSE)="3-Year Avg."),Y222,IF($A$2=2,AM222,IF($A$2=3,Y222,IF(($AG222&gt;$AU222),Y222,AM222)))))</f>
        <v>57.411812865497076</v>
      </c>
      <c r="L222" s="317">
        <f>IF(AND($A$2=4,VLOOKUP($A222,'District Level ADM'!$A$5:$W$52,5,FALSE)="Prior Year"),AN222,IF(AND($A$2=4,VLOOKUP($A222,'District Level ADM'!$A$5:$W$52,5,FALSE)="3-Year Avg."),Z222,IF($A$2=2,AN222,IF($A$2=3,Z222,IF(($AG222&gt;$AU222),Z222,AN222)))))</f>
        <v>0</v>
      </c>
      <c r="M222" s="317">
        <f>IF(AND($A$2=4,VLOOKUP($A222,'District Level ADM'!$A$5:$W$52,5,FALSE)="Prior Year"),AO222,IF(AND($A$2=4,VLOOKUP($A222,'District Level ADM'!$A$5:$W$52,5,FALSE)="3-Year Avg."),AA222,IF($A$2=2,AO222,IF($A$2=3,AA222,IF(($AG222&gt;$AU222),AA222,AO222)))))</f>
        <v>0</v>
      </c>
      <c r="N222" s="317">
        <f>IF(AND($A$2=4,VLOOKUP($A222,'District Level ADM'!$A$5:$W$52,5,FALSE)="Prior Year"),AP222,IF(AND($A$2=4,VLOOKUP($A222,'District Level ADM'!$A$5:$W$52,5,FALSE)="3-Year Avg."),AB222,IF($A$2=2,AP222,IF($A$2=3,AB222,IF(($AG222&gt;$AU222),AB222,AP222)))))</f>
        <v>0</v>
      </c>
      <c r="O222" s="317">
        <f>IF(AND($A$2=4,VLOOKUP($A222,'District Level ADM'!$A$5:$W$52,5,FALSE)="Prior Year"),AQ222,IF(AND($A$2=4,VLOOKUP($A222,'District Level ADM'!$A$5:$W$52,5,FALSE)="3-Year Avg."),AC222,IF($A$2=2,AQ222,IF($A$2=3,AC222,IF(($AG222&gt;$AU222),AC222,AQ222)))))</f>
        <v>0</v>
      </c>
      <c r="P222" s="317">
        <f>IF(AND($A$2=4,VLOOKUP($A222,'District Level ADM'!$A$5:$W$52,5,FALSE)="Prior Year"),AR222,IF(AND($A$2=4,VLOOKUP($A222,'District Level ADM'!$A$5:$W$52,5,FALSE)="3-Year Avg."),AD222,IF($A$2=2,AR222,IF($A$2=3,AD222,IF(($AG222&gt;$AU222),AD222,AR222)))))</f>
        <v>0</v>
      </c>
      <c r="Q222" s="317">
        <f>IF(AND($A$2=4,VLOOKUP($A222,'District Level ADM'!$A$5:$W$52,5,FALSE)="Prior Year"),AS222,IF(AND($A$2=4,VLOOKUP($A222,'District Level ADM'!$A$5:$W$52,5,FALSE)="3-Year Avg."),AE222,IF($A$2=2,AS222,IF($A$2=3,AE222,IF(($AG222&gt;$AU222),AE222,AS222)))))</f>
        <v>0</v>
      </c>
      <c r="R222" s="317">
        <f>IF(AND($A$2=4,VLOOKUP($A222,'District Level ADM'!$A$5:$W$52,5,FALSE)="Prior Year"),AT222,IF(AND($A$2=4,VLOOKUP($A222,'District Level ADM'!$A$5:$W$52,5,FALSE)="3-Year Avg."),AF222,IF($A$2=2,AT222,IF($A$2=3,AF222,IF(($AG222&gt;$AU222),AF222,AT222)))))</f>
        <v>0</v>
      </c>
      <c r="S222" s="317">
        <f t="shared" si="35"/>
        <v>355.35821052631582</v>
      </c>
      <c r="T222" s="317">
        <f t="shared" si="34"/>
        <v>55.983812865497072</v>
      </c>
      <c r="U222" s="317">
        <f t="shared" si="34"/>
        <v>57.603812865497076</v>
      </c>
      <c r="V222" s="317">
        <f t="shared" si="34"/>
        <v>57.247812865497075</v>
      </c>
      <c r="W222" s="317">
        <f t="shared" si="34"/>
        <v>62.651479532163741</v>
      </c>
      <c r="X222" s="317">
        <f t="shared" si="40"/>
        <v>64.459479532163741</v>
      </c>
      <c r="Y222" s="317">
        <f t="shared" si="40"/>
        <v>57.411812865497076</v>
      </c>
      <c r="Z222" s="317">
        <f t="shared" si="40"/>
        <v>0</v>
      </c>
      <c r="AA222" s="317">
        <f t="shared" si="40"/>
        <v>0</v>
      </c>
      <c r="AB222" s="317">
        <f t="shared" si="40"/>
        <v>0</v>
      </c>
      <c r="AC222" s="317">
        <f t="shared" si="40"/>
        <v>0</v>
      </c>
      <c r="AD222" s="317">
        <f t="shared" si="30"/>
        <v>0</v>
      </c>
      <c r="AE222" s="317">
        <f t="shared" si="30"/>
        <v>0</v>
      </c>
      <c r="AF222" s="317">
        <f t="shared" si="30"/>
        <v>0</v>
      </c>
      <c r="AG222" s="317">
        <f t="shared" si="36"/>
        <v>355.35821052631582</v>
      </c>
      <c r="AH222" s="318">
        <v>52.204999999999998</v>
      </c>
      <c r="AI222" s="318">
        <v>59.1</v>
      </c>
      <c r="AJ222" s="318">
        <v>54.174999999999997</v>
      </c>
      <c r="AK222" s="318">
        <v>51.22</v>
      </c>
      <c r="AL222" s="318">
        <v>65.010000000000005</v>
      </c>
      <c r="AM222" s="318">
        <v>69.935000000000002</v>
      </c>
      <c r="AN222" s="318">
        <v>0</v>
      </c>
      <c r="AO222" s="318">
        <v>0</v>
      </c>
      <c r="AP222" s="318">
        <v>0</v>
      </c>
      <c r="AQ222" s="318">
        <v>0</v>
      </c>
      <c r="AR222" s="318">
        <v>0</v>
      </c>
      <c r="AS222" s="318">
        <v>0</v>
      </c>
      <c r="AT222" s="318">
        <v>0</v>
      </c>
      <c r="AU222" s="317">
        <f t="shared" si="37"/>
        <v>351.64500000000004</v>
      </c>
      <c r="AV222" s="319">
        <v>59.48275438596491</v>
      </c>
      <c r="AW222" s="319">
        <v>57.682754385964913</v>
      </c>
      <c r="AX222" s="319">
        <v>51.562754385964908</v>
      </c>
      <c r="AY222" s="319">
        <v>63.785754385964907</v>
      </c>
      <c r="AZ222" s="319">
        <v>74.293754385964917</v>
      </c>
      <c r="BA222" s="319">
        <v>52.905754385964912</v>
      </c>
      <c r="BB222" s="319">
        <v>0</v>
      </c>
      <c r="BC222" s="319">
        <v>0</v>
      </c>
      <c r="BD222" s="319">
        <v>0</v>
      </c>
      <c r="BE222" s="319">
        <v>0</v>
      </c>
      <c r="BF222" s="319">
        <v>0</v>
      </c>
      <c r="BG222" s="319">
        <v>0</v>
      </c>
      <c r="BH222" s="319">
        <v>0</v>
      </c>
      <c r="BI222" s="317">
        <f t="shared" si="39"/>
        <v>359.71352631578941</v>
      </c>
      <c r="BJ222" s="316">
        <v>56.263684210526314</v>
      </c>
      <c r="BK222" s="316">
        <v>56.028684210526315</v>
      </c>
      <c r="BL222" s="316">
        <v>66.005684210526312</v>
      </c>
      <c r="BM222" s="316">
        <v>72.948684210526309</v>
      </c>
      <c r="BN222" s="316">
        <v>54.074684210526314</v>
      </c>
      <c r="BO222" s="316">
        <v>49.394684210526314</v>
      </c>
      <c r="BP222" s="316">
        <v>0</v>
      </c>
      <c r="BQ222" s="316">
        <v>0</v>
      </c>
      <c r="BR222" s="316">
        <v>0</v>
      </c>
      <c r="BS222" s="316">
        <v>0</v>
      </c>
      <c r="BT222" s="316">
        <v>0</v>
      </c>
      <c r="BU222" s="316">
        <v>0</v>
      </c>
      <c r="BV222" s="316">
        <v>0</v>
      </c>
      <c r="BW222" s="317">
        <f t="shared" si="38"/>
        <v>354.71610526315783</v>
      </c>
    </row>
    <row r="223" spans="1:75" x14ac:dyDescent="0.2">
      <c r="A223" s="20" t="str">
        <f>'School Level Inst. Resources'!A223</f>
        <v>1301000</v>
      </c>
      <c r="B223" s="20" t="str">
        <f>'School Level Inst. Resources'!B223</f>
        <v>Natrona #1</v>
      </c>
      <c r="C223" s="20" t="str">
        <f>'School Level Inst. Resources'!C223</f>
        <v>1301033</v>
      </c>
      <c r="D223" s="20" t="str">
        <f>'School Level Inst. Resources'!D223</f>
        <v>Bar Nunn Elementary</v>
      </c>
      <c r="E223" s="138" t="str">
        <f>'School Level Inst. Resources'!E223</f>
        <v>P-6</v>
      </c>
      <c r="F223" s="317">
        <f>IF(AND($A$2=4,VLOOKUP($A223,'District Level ADM'!$A$5:$W$52,5,FALSE)="Prior Year"),AH223,IF(AND($A$2=4,VLOOKUP($A223,'District Level ADM'!$A$5:$W$52,5,FALSE)="3-Year Avg."),T223,IF($A$2=2,AH223,IF($A$2=3,T223,IF(($AG223&gt;$AU223),T223,AH223)))))</f>
        <v>37.543812865497081</v>
      </c>
      <c r="G223" s="317">
        <f>IF(AND($A$2=4,VLOOKUP($A223,'District Level ADM'!$A$5:$W$52,5,FALSE)="Prior Year"),AI223,IF(AND($A$2=4,VLOOKUP($A223,'District Level ADM'!$A$5:$W$52,5,FALSE)="3-Year Avg."),U223,IF($A$2=2,AI223,IF($A$2=3,U223,IF(($AG223&gt;$AU223),U223,AI223)))))</f>
        <v>36.155479532163746</v>
      </c>
      <c r="H223" s="317">
        <f>IF(AND($A$2=4,VLOOKUP($A223,'District Level ADM'!$A$5:$W$52,5,FALSE)="Prior Year"),AJ223,IF(AND($A$2=4,VLOOKUP($A223,'District Level ADM'!$A$5:$W$52,5,FALSE)="3-Year Avg."),V223,IF($A$2=2,AJ223,IF($A$2=3,V223,IF(($AG223&gt;$AU223),V223,AJ223)))))</f>
        <v>34.702479532163743</v>
      </c>
      <c r="I223" s="317">
        <f>IF(AND($A$2=4,VLOOKUP($A223,'District Level ADM'!$A$5:$W$52,5,FALSE)="Prior Year"),AK223,IF(AND($A$2=4,VLOOKUP($A223,'District Level ADM'!$A$5:$W$52,5,FALSE)="3-Year Avg."),W223,IF($A$2=2,AK223,IF($A$2=3,W223,IF(($AG223&gt;$AU223),W223,AK223)))))</f>
        <v>37.919812865497079</v>
      </c>
      <c r="J223" s="317">
        <f>IF(AND($A$2=4,VLOOKUP($A223,'District Level ADM'!$A$5:$W$52,5,FALSE)="Prior Year"),AL223,IF(AND($A$2=4,VLOOKUP($A223,'District Level ADM'!$A$5:$W$52,5,FALSE)="3-Year Avg."),X223,IF($A$2=2,AL223,IF($A$2=3,X223,IF(($AG223&gt;$AU223),X223,AL223)))))</f>
        <v>40.245146198830405</v>
      </c>
      <c r="K223" s="317">
        <f>IF(AND($A$2=4,VLOOKUP($A223,'District Level ADM'!$A$5:$W$52,5,FALSE)="Prior Year"),AM223,IF(AND($A$2=4,VLOOKUP($A223,'District Level ADM'!$A$5:$W$52,5,FALSE)="3-Year Avg."),Y223,IF($A$2=2,AM223,IF($A$2=3,Y223,IF(($AG223&gt;$AU223),Y223,AM223)))))</f>
        <v>37.399479532163745</v>
      </c>
      <c r="L223" s="317">
        <f>IF(AND($A$2=4,VLOOKUP($A223,'District Level ADM'!$A$5:$W$52,5,FALSE)="Prior Year"),AN223,IF(AND($A$2=4,VLOOKUP($A223,'District Level ADM'!$A$5:$W$52,5,FALSE)="3-Year Avg."),Z223,IF($A$2=2,AN223,IF($A$2=3,Z223,IF(($AG223&gt;$AU223),Z223,AN223)))))</f>
        <v>0</v>
      </c>
      <c r="M223" s="317">
        <f>IF(AND($A$2=4,VLOOKUP($A223,'District Level ADM'!$A$5:$W$52,5,FALSE)="Prior Year"),AO223,IF(AND($A$2=4,VLOOKUP($A223,'District Level ADM'!$A$5:$W$52,5,FALSE)="3-Year Avg."),AA223,IF($A$2=2,AO223,IF($A$2=3,AA223,IF(($AG223&gt;$AU223),AA223,AO223)))))</f>
        <v>0</v>
      </c>
      <c r="N223" s="317">
        <f>IF(AND($A$2=4,VLOOKUP($A223,'District Level ADM'!$A$5:$W$52,5,FALSE)="Prior Year"),AP223,IF(AND($A$2=4,VLOOKUP($A223,'District Level ADM'!$A$5:$W$52,5,FALSE)="3-Year Avg."),AB223,IF($A$2=2,AP223,IF($A$2=3,AB223,IF(($AG223&gt;$AU223),AB223,AP223)))))</f>
        <v>0</v>
      </c>
      <c r="O223" s="317">
        <f>IF(AND($A$2=4,VLOOKUP($A223,'District Level ADM'!$A$5:$W$52,5,FALSE)="Prior Year"),AQ223,IF(AND($A$2=4,VLOOKUP($A223,'District Level ADM'!$A$5:$W$52,5,FALSE)="3-Year Avg."),AC223,IF($A$2=2,AQ223,IF($A$2=3,AC223,IF(($AG223&gt;$AU223),AC223,AQ223)))))</f>
        <v>0</v>
      </c>
      <c r="P223" s="317">
        <f>IF(AND($A$2=4,VLOOKUP($A223,'District Level ADM'!$A$5:$W$52,5,FALSE)="Prior Year"),AR223,IF(AND($A$2=4,VLOOKUP($A223,'District Level ADM'!$A$5:$W$52,5,FALSE)="3-Year Avg."),AD223,IF($A$2=2,AR223,IF($A$2=3,AD223,IF(($AG223&gt;$AU223),AD223,AR223)))))</f>
        <v>0</v>
      </c>
      <c r="Q223" s="317">
        <f>IF(AND($A$2=4,VLOOKUP($A223,'District Level ADM'!$A$5:$W$52,5,FALSE)="Prior Year"),AS223,IF(AND($A$2=4,VLOOKUP($A223,'District Level ADM'!$A$5:$W$52,5,FALSE)="3-Year Avg."),AE223,IF($A$2=2,AS223,IF($A$2=3,AE223,IF(($AG223&gt;$AU223),AE223,AS223)))))</f>
        <v>0</v>
      </c>
      <c r="R223" s="317">
        <f>IF(AND($A$2=4,VLOOKUP($A223,'District Level ADM'!$A$5:$W$52,5,FALSE)="Prior Year"),AT223,IF(AND($A$2=4,VLOOKUP($A223,'District Level ADM'!$A$5:$W$52,5,FALSE)="3-Year Avg."),AF223,IF($A$2=2,AT223,IF($A$2=3,AF223,IF(($AG223&gt;$AU223),AF223,AT223)))))</f>
        <v>0</v>
      </c>
      <c r="S223" s="317">
        <f t="shared" si="35"/>
        <v>223.96621052631582</v>
      </c>
      <c r="T223" s="317">
        <f t="shared" si="34"/>
        <v>37.543812865497081</v>
      </c>
      <c r="U223" s="317">
        <f t="shared" si="34"/>
        <v>36.155479532163746</v>
      </c>
      <c r="V223" s="317">
        <f t="shared" si="34"/>
        <v>34.702479532163743</v>
      </c>
      <c r="W223" s="317">
        <f t="shared" si="34"/>
        <v>37.919812865497079</v>
      </c>
      <c r="X223" s="317">
        <f t="shared" si="40"/>
        <v>40.245146198830405</v>
      </c>
      <c r="Y223" s="317">
        <f t="shared" si="40"/>
        <v>37.399479532163745</v>
      </c>
      <c r="Z223" s="317">
        <f t="shared" si="40"/>
        <v>0</v>
      </c>
      <c r="AA223" s="317">
        <f t="shared" si="40"/>
        <v>0</v>
      </c>
      <c r="AB223" s="317">
        <f t="shared" si="40"/>
        <v>0</v>
      </c>
      <c r="AC223" s="317">
        <f t="shared" si="40"/>
        <v>0</v>
      </c>
      <c r="AD223" s="317">
        <f t="shared" si="30"/>
        <v>0</v>
      </c>
      <c r="AE223" s="317">
        <f t="shared" si="30"/>
        <v>0</v>
      </c>
      <c r="AF223" s="317">
        <f t="shared" si="30"/>
        <v>0</v>
      </c>
      <c r="AG223" s="317">
        <f t="shared" si="36"/>
        <v>223.96621052631582</v>
      </c>
      <c r="AH223" s="318">
        <v>36.445</v>
      </c>
      <c r="AI223" s="318">
        <v>34.475000000000001</v>
      </c>
      <c r="AJ223" s="318">
        <v>29.55</v>
      </c>
      <c r="AK223" s="318">
        <v>35.46</v>
      </c>
      <c r="AL223" s="318">
        <v>42.354999999999997</v>
      </c>
      <c r="AM223" s="318">
        <v>37.43</v>
      </c>
      <c r="AN223" s="318">
        <v>0</v>
      </c>
      <c r="AO223" s="318">
        <v>0</v>
      </c>
      <c r="AP223" s="318">
        <v>0</v>
      </c>
      <c r="AQ223" s="318">
        <v>0</v>
      </c>
      <c r="AR223" s="318">
        <v>0</v>
      </c>
      <c r="AS223" s="318">
        <v>0</v>
      </c>
      <c r="AT223" s="318">
        <v>0</v>
      </c>
      <c r="AU223" s="317">
        <f t="shared" si="37"/>
        <v>215.715</v>
      </c>
      <c r="AV223" s="319">
        <v>38.842754385964909</v>
      </c>
      <c r="AW223" s="319">
        <v>38.43675438596491</v>
      </c>
      <c r="AX223" s="319">
        <v>34.151754385964907</v>
      </c>
      <c r="AY223" s="319">
        <v>38.853754385964912</v>
      </c>
      <c r="AZ223" s="319">
        <v>39.631754385964911</v>
      </c>
      <c r="BA223" s="319">
        <v>36.373754385964908</v>
      </c>
      <c r="BB223" s="319">
        <v>0</v>
      </c>
      <c r="BC223" s="319">
        <v>0</v>
      </c>
      <c r="BD223" s="319">
        <v>0</v>
      </c>
      <c r="BE223" s="319">
        <v>0</v>
      </c>
      <c r="BF223" s="319">
        <v>0</v>
      </c>
      <c r="BG223" s="319">
        <v>0</v>
      </c>
      <c r="BH223" s="319">
        <v>0</v>
      </c>
      <c r="BI223" s="317">
        <f t="shared" si="39"/>
        <v>226.29052631578944</v>
      </c>
      <c r="BJ223" s="316">
        <v>37.34368421052632</v>
      </c>
      <c r="BK223" s="316">
        <v>35.554684210526318</v>
      </c>
      <c r="BL223" s="316">
        <v>40.405684210526317</v>
      </c>
      <c r="BM223" s="316">
        <v>39.445684210526316</v>
      </c>
      <c r="BN223" s="316">
        <v>38.748684210526321</v>
      </c>
      <c r="BO223" s="316">
        <v>38.394684210526314</v>
      </c>
      <c r="BP223" s="316">
        <v>0</v>
      </c>
      <c r="BQ223" s="316">
        <v>0</v>
      </c>
      <c r="BR223" s="316">
        <v>0</v>
      </c>
      <c r="BS223" s="316">
        <v>0</v>
      </c>
      <c r="BT223" s="316">
        <v>0</v>
      </c>
      <c r="BU223" s="316">
        <v>0</v>
      </c>
      <c r="BV223" s="316">
        <v>0</v>
      </c>
      <c r="BW223" s="317">
        <f t="shared" si="38"/>
        <v>229.89310526315793</v>
      </c>
    </row>
    <row r="224" spans="1:75" x14ac:dyDescent="0.2">
      <c r="A224" s="20" t="str">
        <f>'School Level Inst. Resources'!A224</f>
        <v>1301000</v>
      </c>
      <c r="B224" s="20" t="str">
        <f>'School Level Inst. Resources'!B224</f>
        <v>Natrona #1</v>
      </c>
      <c r="C224" s="20" t="str">
        <f>'School Level Inst. Resources'!C224</f>
        <v>1301038</v>
      </c>
      <c r="D224" s="20" t="str">
        <f>'School Level Inst. Resources'!D224</f>
        <v>Casper Classical Academy</v>
      </c>
      <c r="E224" s="138" t="str">
        <f>'School Level Inst. Resources'!E224</f>
        <v>6-9</v>
      </c>
      <c r="F224" s="317">
        <f>IF(AND($A$2=4,VLOOKUP($A224,'District Level ADM'!$A$5:$W$52,5,FALSE)="Prior Year"),AH224,IF(AND($A$2=4,VLOOKUP($A224,'District Level ADM'!$A$5:$W$52,5,FALSE)="3-Year Avg."),T224,IF($A$2=2,AH224,IF($A$2=3,T224,IF(($AG224&gt;$AU224),T224,AH224)))))</f>
        <v>0</v>
      </c>
      <c r="G224" s="317">
        <f>IF(AND($A$2=4,VLOOKUP($A224,'District Level ADM'!$A$5:$W$52,5,FALSE)="Prior Year"),AI224,IF(AND($A$2=4,VLOOKUP($A224,'District Level ADM'!$A$5:$W$52,5,FALSE)="3-Year Avg."),U224,IF($A$2=2,AI224,IF($A$2=3,U224,IF(($AG224&gt;$AU224),U224,AI224)))))</f>
        <v>0</v>
      </c>
      <c r="H224" s="317">
        <f>IF(AND($A$2=4,VLOOKUP($A224,'District Level ADM'!$A$5:$W$52,5,FALSE)="Prior Year"),AJ224,IF(AND($A$2=4,VLOOKUP($A224,'District Level ADM'!$A$5:$W$52,5,FALSE)="3-Year Avg."),V224,IF($A$2=2,AJ224,IF($A$2=3,V224,IF(($AG224&gt;$AU224),V224,AJ224)))))</f>
        <v>0</v>
      </c>
      <c r="I224" s="317">
        <f>IF(AND($A$2=4,VLOOKUP($A224,'District Level ADM'!$A$5:$W$52,5,FALSE)="Prior Year"),AK224,IF(AND($A$2=4,VLOOKUP($A224,'District Level ADM'!$A$5:$W$52,5,FALSE)="3-Year Avg."),W224,IF($A$2=2,AK224,IF($A$2=3,W224,IF(($AG224&gt;$AU224),W224,AK224)))))</f>
        <v>0</v>
      </c>
      <c r="J224" s="317">
        <f>IF(AND($A$2=4,VLOOKUP($A224,'District Level ADM'!$A$5:$W$52,5,FALSE)="Prior Year"),AL224,IF(AND($A$2=4,VLOOKUP($A224,'District Level ADM'!$A$5:$W$52,5,FALSE)="3-Year Avg."),X224,IF($A$2=2,AL224,IF($A$2=3,X224,IF(($AG224&gt;$AU224),X224,AL224)))))</f>
        <v>0</v>
      </c>
      <c r="K224" s="317">
        <f>IF(AND($A$2=4,VLOOKUP($A224,'District Level ADM'!$A$5:$W$52,5,FALSE)="Prior Year"),AM224,IF(AND($A$2=4,VLOOKUP($A224,'District Level ADM'!$A$5:$W$52,5,FALSE)="3-Year Avg."),Y224,IF($A$2=2,AM224,IF($A$2=3,Y224,IF(($AG224&gt;$AU224),Y224,AM224)))))</f>
        <v>0</v>
      </c>
      <c r="L224" s="317">
        <f>IF(AND($A$2=4,VLOOKUP($A224,'District Level ADM'!$A$5:$W$52,5,FALSE)="Prior Year"),AN224,IF(AND($A$2=4,VLOOKUP($A224,'District Level ADM'!$A$5:$W$52,5,FALSE)="3-Year Avg."),Z224,IF($A$2=2,AN224,IF($A$2=3,Z224,IF(($AG224&gt;$AU224),Z224,AN224)))))</f>
        <v>117.88200000000001</v>
      </c>
      <c r="M224" s="317">
        <f>IF(AND($A$2=4,VLOOKUP($A224,'District Level ADM'!$A$5:$W$52,5,FALSE)="Prior Year"),AO224,IF(AND($A$2=4,VLOOKUP($A224,'District Level ADM'!$A$5:$W$52,5,FALSE)="3-Year Avg."),AA224,IF($A$2=2,AO224,IF($A$2=3,AA224,IF(($AG224&gt;$AU224),AA224,AO224)))))</f>
        <v>117.31366666666668</v>
      </c>
      <c r="N224" s="317">
        <f>IF(AND($A$2=4,VLOOKUP($A224,'District Level ADM'!$A$5:$W$52,5,FALSE)="Prior Year"),AP224,IF(AND($A$2=4,VLOOKUP($A224,'District Level ADM'!$A$5:$W$52,5,FALSE)="3-Year Avg."),AB224,IF($A$2=2,AP224,IF($A$2=3,AB224,IF(($AG224&gt;$AU224),AB224,AP224)))))</f>
        <v>110.53633333333335</v>
      </c>
      <c r="O224" s="317">
        <f>IF(AND($A$2=4,VLOOKUP($A224,'District Level ADM'!$A$5:$W$52,5,FALSE)="Prior Year"),AQ224,IF(AND($A$2=4,VLOOKUP($A224,'District Level ADM'!$A$5:$W$52,5,FALSE)="3-Year Avg."),AC224,IF($A$2=2,AQ224,IF($A$2=3,AC224,IF(($AG224&gt;$AU224),AC224,AQ224)))))</f>
        <v>17.068000000000001</v>
      </c>
      <c r="P224" s="317">
        <f>IF(AND($A$2=4,VLOOKUP($A224,'District Level ADM'!$A$5:$W$52,5,FALSE)="Prior Year"),AR224,IF(AND($A$2=4,VLOOKUP($A224,'District Level ADM'!$A$5:$W$52,5,FALSE)="3-Year Avg."),AD224,IF($A$2=2,AR224,IF($A$2=3,AD224,IF(($AG224&gt;$AU224),AD224,AR224)))))</f>
        <v>0</v>
      </c>
      <c r="Q224" s="317">
        <f>IF(AND($A$2=4,VLOOKUP($A224,'District Level ADM'!$A$5:$W$52,5,FALSE)="Prior Year"),AS224,IF(AND($A$2=4,VLOOKUP($A224,'District Level ADM'!$A$5:$W$52,5,FALSE)="3-Year Avg."),AE224,IF($A$2=2,AS224,IF($A$2=3,AE224,IF(($AG224&gt;$AU224),AE224,AS224)))))</f>
        <v>0</v>
      </c>
      <c r="R224" s="317">
        <f>IF(AND($A$2=4,VLOOKUP($A224,'District Level ADM'!$A$5:$W$52,5,FALSE)="Prior Year"),AT224,IF(AND($A$2=4,VLOOKUP($A224,'District Level ADM'!$A$5:$W$52,5,FALSE)="3-Year Avg."),AF224,IF($A$2=2,AT224,IF($A$2=3,AF224,IF(($AG224&gt;$AU224),AF224,AT224)))))</f>
        <v>0</v>
      </c>
      <c r="S224" s="317">
        <f t="shared" si="35"/>
        <v>362.8</v>
      </c>
      <c r="T224" s="317">
        <f t="shared" si="34"/>
        <v>0</v>
      </c>
      <c r="U224" s="317">
        <f t="shared" si="34"/>
        <v>0</v>
      </c>
      <c r="V224" s="317">
        <f t="shared" si="34"/>
        <v>0</v>
      </c>
      <c r="W224" s="317">
        <f t="shared" si="34"/>
        <v>0</v>
      </c>
      <c r="X224" s="317">
        <f t="shared" si="40"/>
        <v>0</v>
      </c>
      <c r="Y224" s="317">
        <f t="shared" si="40"/>
        <v>0</v>
      </c>
      <c r="Z224" s="317">
        <f t="shared" si="40"/>
        <v>117.88200000000001</v>
      </c>
      <c r="AA224" s="317">
        <f t="shared" si="40"/>
        <v>117.31366666666668</v>
      </c>
      <c r="AB224" s="317">
        <f t="shared" si="40"/>
        <v>110.53633333333335</v>
      </c>
      <c r="AC224" s="317">
        <f t="shared" si="40"/>
        <v>17.068000000000001</v>
      </c>
      <c r="AD224" s="317">
        <f t="shared" si="30"/>
        <v>0</v>
      </c>
      <c r="AE224" s="317">
        <f t="shared" si="30"/>
        <v>0</v>
      </c>
      <c r="AF224" s="317">
        <f t="shared" si="30"/>
        <v>0</v>
      </c>
      <c r="AG224" s="317">
        <f t="shared" si="36"/>
        <v>362.8</v>
      </c>
      <c r="AH224" s="318">
        <v>0</v>
      </c>
      <c r="AI224" s="318">
        <v>0</v>
      </c>
      <c r="AJ224" s="318">
        <v>0</v>
      </c>
      <c r="AK224" s="318">
        <v>0</v>
      </c>
      <c r="AL224" s="318">
        <v>0</v>
      </c>
      <c r="AM224" s="318">
        <v>0</v>
      </c>
      <c r="AN224" s="318">
        <v>121.155</v>
      </c>
      <c r="AO224" s="318">
        <v>109.33499999999999</v>
      </c>
      <c r="AP224" s="318">
        <v>117.215</v>
      </c>
      <c r="AQ224" s="318">
        <v>0</v>
      </c>
      <c r="AR224" s="318">
        <v>0</v>
      </c>
      <c r="AS224" s="318">
        <v>0</v>
      </c>
      <c r="AT224" s="318">
        <v>0</v>
      </c>
      <c r="AU224" s="317">
        <f t="shared" si="37"/>
        <v>347.70500000000004</v>
      </c>
      <c r="AV224" s="319">
        <v>0</v>
      </c>
      <c r="AW224" s="319">
        <v>0</v>
      </c>
      <c r="AX224" s="319">
        <v>0</v>
      </c>
      <c r="AY224" s="319">
        <v>0</v>
      </c>
      <c r="AZ224" s="319">
        <v>0</v>
      </c>
      <c r="BA224" s="319">
        <v>0</v>
      </c>
      <c r="BB224" s="319">
        <v>110.297</v>
      </c>
      <c r="BC224" s="319">
        <v>117.446</v>
      </c>
      <c r="BD224" s="319">
        <v>113.54300000000001</v>
      </c>
      <c r="BE224" s="319">
        <v>16.149000000000001</v>
      </c>
      <c r="BF224" s="319">
        <v>0</v>
      </c>
      <c r="BG224" s="319">
        <v>0</v>
      </c>
      <c r="BH224" s="319">
        <v>0</v>
      </c>
      <c r="BI224" s="317">
        <f t="shared" si="39"/>
        <v>357.435</v>
      </c>
      <c r="BJ224" s="316">
        <v>0</v>
      </c>
      <c r="BK224" s="316">
        <v>0</v>
      </c>
      <c r="BL224" s="316">
        <v>0</v>
      </c>
      <c r="BM224" s="316">
        <v>0</v>
      </c>
      <c r="BN224" s="316">
        <v>0</v>
      </c>
      <c r="BO224" s="316">
        <v>0</v>
      </c>
      <c r="BP224" s="316">
        <v>122.194</v>
      </c>
      <c r="BQ224" s="316">
        <v>125.16</v>
      </c>
      <c r="BR224" s="316">
        <v>100.851</v>
      </c>
      <c r="BS224" s="316">
        <v>35.055</v>
      </c>
      <c r="BT224" s="316">
        <v>0</v>
      </c>
      <c r="BU224" s="316">
        <v>0</v>
      </c>
      <c r="BV224" s="316">
        <v>0</v>
      </c>
      <c r="BW224" s="317">
        <f t="shared" si="38"/>
        <v>383.26</v>
      </c>
    </row>
    <row r="225" spans="1:75" x14ac:dyDescent="0.2">
      <c r="A225" s="20" t="str">
        <f>'School Level Inst. Resources'!A225</f>
        <v>1301000</v>
      </c>
      <c r="B225" s="20" t="str">
        <f>'School Level Inst. Resources'!B225</f>
        <v>Natrona #1</v>
      </c>
      <c r="C225" s="20" t="str">
        <f>'School Level Inst. Resources'!C225</f>
        <v>1301039</v>
      </c>
      <c r="D225" s="20" t="str">
        <f>'School Level Inst. Resources'!D225</f>
        <v>Summit Elementary</v>
      </c>
      <c r="E225" s="138" t="str">
        <f>'School Level Inst. Resources'!E225</f>
        <v>P-5</v>
      </c>
      <c r="F225" s="317">
        <f>IF(AND($A$2=4,VLOOKUP($A225,'District Level ADM'!$A$5:$W$52,5,FALSE)="Prior Year"),AH225,IF(AND($A$2=4,VLOOKUP($A225,'District Level ADM'!$A$5:$W$52,5,FALSE)="3-Year Avg."),T225,IF($A$2=2,AH225,IF($A$2=3,T225,IF(($AG225&gt;$AU225),T225,AH225)))))</f>
        <v>71.178999999999988</v>
      </c>
      <c r="G225" s="317">
        <f>IF(AND($A$2=4,VLOOKUP($A225,'District Level ADM'!$A$5:$W$52,5,FALSE)="Prior Year"),AI225,IF(AND($A$2=4,VLOOKUP($A225,'District Level ADM'!$A$5:$W$52,5,FALSE)="3-Year Avg."),U225,IF($A$2=2,AI225,IF($A$2=3,U225,IF(($AG225&gt;$AU225),U225,AI225)))))</f>
        <v>70.584999999999994</v>
      </c>
      <c r="H225" s="317">
        <f>IF(AND($A$2=4,VLOOKUP($A225,'District Level ADM'!$A$5:$W$52,5,FALSE)="Prior Year"),AJ225,IF(AND($A$2=4,VLOOKUP($A225,'District Level ADM'!$A$5:$W$52,5,FALSE)="3-Year Avg."),V225,IF($A$2=2,AJ225,IF($A$2=3,V225,IF(($AG225&gt;$AU225),V225,AJ225)))))</f>
        <v>69.512333333333331</v>
      </c>
      <c r="I225" s="317">
        <f>IF(AND($A$2=4,VLOOKUP($A225,'District Level ADM'!$A$5:$W$52,5,FALSE)="Prior Year"),AK225,IF(AND($A$2=4,VLOOKUP($A225,'District Level ADM'!$A$5:$W$52,5,FALSE)="3-Year Avg."),W225,IF($A$2=2,AK225,IF($A$2=3,W225,IF(($AG225&gt;$AU225),W225,AK225)))))</f>
        <v>69.23833333333333</v>
      </c>
      <c r="J225" s="317">
        <f>IF(AND($A$2=4,VLOOKUP($A225,'District Level ADM'!$A$5:$W$52,5,FALSE)="Prior Year"),AL225,IF(AND($A$2=4,VLOOKUP($A225,'District Level ADM'!$A$5:$W$52,5,FALSE)="3-Year Avg."),X225,IF($A$2=2,AL225,IF($A$2=3,X225,IF(($AG225&gt;$AU225),X225,AL225)))))</f>
        <v>77.203666666666663</v>
      </c>
      <c r="K225" s="317">
        <f>IF(AND($A$2=4,VLOOKUP($A225,'District Level ADM'!$A$5:$W$52,5,FALSE)="Prior Year"),AM225,IF(AND($A$2=4,VLOOKUP($A225,'District Level ADM'!$A$5:$W$52,5,FALSE)="3-Year Avg."),Y225,IF($A$2=2,AM225,IF($A$2=3,Y225,IF(($AG225&gt;$AU225),Y225,AM225)))))</f>
        <v>76.977666666666664</v>
      </c>
      <c r="L225" s="317">
        <f>IF(AND($A$2=4,VLOOKUP($A225,'District Level ADM'!$A$5:$W$52,5,FALSE)="Prior Year"),AN225,IF(AND($A$2=4,VLOOKUP($A225,'District Level ADM'!$A$5:$W$52,5,FALSE)="3-Year Avg."),Z225,IF($A$2=2,AN225,IF($A$2=3,Z225,IF(($AG225&gt;$AU225),Z225,AN225)))))</f>
        <v>0</v>
      </c>
      <c r="M225" s="317">
        <f>IF(AND($A$2=4,VLOOKUP($A225,'District Level ADM'!$A$5:$W$52,5,FALSE)="Prior Year"),AO225,IF(AND($A$2=4,VLOOKUP($A225,'District Level ADM'!$A$5:$W$52,5,FALSE)="3-Year Avg."),AA225,IF($A$2=2,AO225,IF($A$2=3,AA225,IF(($AG225&gt;$AU225),AA225,AO225)))))</f>
        <v>0</v>
      </c>
      <c r="N225" s="317">
        <f>IF(AND($A$2=4,VLOOKUP($A225,'District Level ADM'!$A$5:$W$52,5,FALSE)="Prior Year"),AP225,IF(AND($A$2=4,VLOOKUP($A225,'District Level ADM'!$A$5:$W$52,5,FALSE)="3-Year Avg."),AB225,IF($A$2=2,AP225,IF($A$2=3,AB225,IF(($AG225&gt;$AU225),AB225,AP225)))))</f>
        <v>0</v>
      </c>
      <c r="O225" s="317">
        <f>IF(AND($A$2=4,VLOOKUP($A225,'District Level ADM'!$A$5:$W$52,5,FALSE)="Prior Year"),AQ225,IF(AND($A$2=4,VLOOKUP($A225,'District Level ADM'!$A$5:$W$52,5,FALSE)="3-Year Avg."),AC225,IF($A$2=2,AQ225,IF($A$2=3,AC225,IF(($AG225&gt;$AU225),AC225,AQ225)))))</f>
        <v>0</v>
      </c>
      <c r="P225" s="317">
        <f>IF(AND($A$2=4,VLOOKUP($A225,'District Level ADM'!$A$5:$W$52,5,FALSE)="Prior Year"),AR225,IF(AND($A$2=4,VLOOKUP($A225,'District Level ADM'!$A$5:$W$52,5,FALSE)="3-Year Avg."),AD225,IF($A$2=2,AR225,IF($A$2=3,AD225,IF(($AG225&gt;$AU225),AD225,AR225)))))</f>
        <v>0</v>
      </c>
      <c r="Q225" s="317">
        <f>IF(AND($A$2=4,VLOOKUP($A225,'District Level ADM'!$A$5:$W$52,5,FALSE)="Prior Year"),AS225,IF(AND($A$2=4,VLOOKUP($A225,'District Level ADM'!$A$5:$W$52,5,FALSE)="3-Year Avg."),AE225,IF($A$2=2,AS225,IF($A$2=3,AE225,IF(($AG225&gt;$AU225),AE225,AS225)))))</f>
        <v>0</v>
      </c>
      <c r="R225" s="317">
        <f>IF(AND($A$2=4,VLOOKUP($A225,'District Level ADM'!$A$5:$W$52,5,FALSE)="Prior Year"),AT225,IF(AND($A$2=4,VLOOKUP($A225,'District Level ADM'!$A$5:$W$52,5,FALSE)="3-Year Avg."),AF225,IF($A$2=2,AT225,IF($A$2=3,AF225,IF(($AG225&gt;$AU225),AF225,AT225)))))</f>
        <v>0</v>
      </c>
      <c r="S225" s="317">
        <f t="shared" si="35"/>
        <v>434.69599999999997</v>
      </c>
      <c r="T225" s="317">
        <f t="shared" si="34"/>
        <v>71.178999999999988</v>
      </c>
      <c r="U225" s="317">
        <f t="shared" si="34"/>
        <v>70.584999999999994</v>
      </c>
      <c r="V225" s="317">
        <f t="shared" si="34"/>
        <v>69.512333333333331</v>
      </c>
      <c r="W225" s="317">
        <f t="shared" si="34"/>
        <v>69.23833333333333</v>
      </c>
      <c r="X225" s="317">
        <f t="shared" si="40"/>
        <v>77.203666666666663</v>
      </c>
      <c r="Y225" s="317">
        <f t="shared" si="40"/>
        <v>76.977666666666664</v>
      </c>
      <c r="Z225" s="317">
        <f t="shared" si="40"/>
        <v>0</v>
      </c>
      <c r="AA225" s="317">
        <f t="shared" si="40"/>
        <v>0</v>
      </c>
      <c r="AB225" s="317">
        <f t="shared" si="40"/>
        <v>0</v>
      </c>
      <c r="AC225" s="317">
        <f t="shared" si="40"/>
        <v>0</v>
      </c>
      <c r="AD225" s="317">
        <f t="shared" si="30"/>
        <v>0</v>
      </c>
      <c r="AE225" s="317">
        <f t="shared" si="30"/>
        <v>0</v>
      </c>
      <c r="AF225" s="317">
        <f t="shared" si="30"/>
        <v>0</v>
      </c>
      <c r="AG225" s="317">
        <f t="shared" si="36"/>
        <v>434.69599999999997</v>
      </c>
      <c r="AH225" s="318">
        <v>70.92</v>
      </c>
      <c r="AI225" s="318">
        <v>68.95</v>
      </c>
      <c r="AJ225" s="318">
        <v>67.965000000000003</v>
      </c>
      <c r="AK225" s="318">
        <v>65.995000000000005</v>
      </c>
      <c r="AL225" s="318">
        <v>75.844999999999999</v>
      </c>
      <c r="AM225" s="318">
        <v>76.83</v>
      </c>
      <c r="AN225" s="318">
        <v>0</v>
      </c>
      <c r="AO225" s="318">
        <v>0</v>
      </c>
      <c r="AP225" s="318">
        <v>0</v>
      </c>
      <c r="AQ225" s="318">
        <v>0</v>
      </c>
      <c r="AR225" s="318">
        <v>0</v>
      </c>
      <c r="AS225" s="318">
        <v>0</v>
      </c>
      <c r="AT225" s="318">
        <v>0</v>
      </c>
      <c r="AU225" s="317">
        <f t="shared" si="37"/>
        <v>426.50500000000005</v>
      </c>
      <c r="AV225" s="319">
        <v>71.370999999999995</v>
      </c>
      <c r="AW225" s="319">
        <v>71.650999999999996</v>
      </c>
      <c r="AX225" s="319">
        <v>69.646000000000001</v>
      </c>
      <c r="AY225" s="319">
        <v>70.846000000000004</v>
      </c>
      <c r="AZ225" s="319">
        <v>78.028999999999996</v>
      </c>
      <c r="BA225" s="319">
        <v>77.497</v>
      </c>
      <c r="BB225" s="319">
        <v>0</v>
      </c>
      <c r="BC225" s="319">
        <v>0</v>
      </c>
      <c r="BD225" s="319">
        <v>0</v>
      </c>
      <c r="BE225" s="319">
        <v>0</v>
      </c>
      <c r="BF225" s="319">
        <v>0</v>
      </c>
      <c r="BG225" s="319">
        <v>0</v>
      </c>
      <c r="BH225" s="319">
        <v>0</v>
      </c>
      <c r="BI225" s="317">
        <f t="shared" si="39"/>
        <v>439.04</v>
      </c>
      <c r="BJ225" s="316">
        <v>71.245999999999995</v>
      </c>
      <c r="BK225" s="316">
        <v>71.153999999999996</v>
      </c>
      <c r="BL225" s="316">
        <v>70.926000000000002</v>
      </c>
      <c r="BM225" s="316">
        <v>70.873999999999995</v>
      </c>
      <c r="BN225" s="316">
        <v>77.736999999999995</v>
      </c>
      <c r="BO225" s="316">
        <v>76.605999999999995</v>
      </c>
      <c r="BP225" s="316">
        <v>0</v>
      </c>
      <c r="BQ225" s="316">
        <v>0</v>
      </c>
      <c r="BR225" s="316">
        <v>0</v>
      </c>
      <c r="BS225" s="316">
        <v>0</v>
      </c>
      <c r="BT225" s="316">
        <v>0</v>
      </c>
      <c r="BU225" s="316">
        <v>0</v>
      </c>
      <c r="BV225" s="316">
        <v>0</v>
      </c>
      <c r="BW225" s="317">
        <f t="shared" si="38"/>
        <v>438.54299999999989</v>
      </c>
    </row>
    <row r="226" spans="1:75" x14ac:dyDescent="0.2">
      <c r="A226" s="20" t="str">
        <f>'School Level Inst. Resources'!A226</f>
        <v>1301000</v>
      </c>
      <c r="B226" s="20" t="str">
        <f>'School Level Inst. Resources'!B226</f>
        <v>Natrona #1</v>
      </c>
      <c r="C226" s="20" t="str">
        <f>'School Level Inst. Resources'!C226</f>
        <v>1301048</v>
      </c>
      <c r="D226" s="20" t="str">
        <f>'School Level Inst. Resources'!D226</f>
        <v>Frontier Middle School</v>
      </c>
      <c r="E226" s="138" t="str">
        <f>'School Level Inst. Resources'!E226</f>
        <v>6-8</v>
      </c>
      <c r="F226" s="317">
        <f>IF(AND($A$2=4,VLOOKUP($A226,'District Level ADM'!$A$5:$W$52,5,FALSE)="Prior Year"),AH226,IF(AND($A$2=4,VLOOKUP($A226,'District Level ADM'!$A$5:$W$52,5,FALSE)="3-Year Avg."),T226,IF($A$2=2,AH226,IF($A$2=3,T226,IF(($AG226&gt;$AU226),T226,AH226)))))</f>
        <v>0</v>
      </c>
      <c r="G226" s="317">
        <f>IF(AND($A$2=4,VLOOKUP($A226,'District Level ADM'!$A$5:$W$52,5,FALSE)="Prior Year"),AI226,IF(AND($A$2=4,VLOOKUP($A226,'District Level ADM'!$A$5:$W$52,5,FALSE)="3-Year Avg."),U226,IF($A$2=2,AI226,IF($A$2=3,U226,IF(($AG226&gt;$AU226),U226,AI226)))))</f>
        <v>0</v>
      </c>
      <c r="H226" s="317">
        <f>IF(AND($A$2=4,VLOOKUP($A226,'District Level ADM'!$A$5:$W$52,5,FALSE)="Prior Year"),AJ226,IF(AND($A$2=4,VLOOKUP($A226,'District Level ADM'!$A$5:$W$52,5,FALSE)="3-Year Avg."),V226,IF($A$2=2,AJ226,IF($A$2=3,V226,IF(($AG226&gt;$AU226),V226,AJ226)))))</f>
        <v>0</v>
      </c>
      <c r="I226" s="317">
        <f>IF(AND($A$2=4,VLOOKUP($A226,'District Level ADM'!$A$5:$W$52,5,FALSE)="Prior Year"),AK226,IF(AND($A$2=4,VLOOKUP($A226,'District Level ADM'!$A$5:$W$52,5,FALSE)="3-Year Avg."),W226,IF($A$2=2,AK226,IF($A$2=3,W226,IF(($AG226&gt;$AU226),W226,AK226)))))</f>
        <v>0</v>
      </c>
      <c r="J226" s="317">
        <f>IF(AND($A$2=4,VLOOKUP($A226,'District Level ADM'!$A$5:$W$52,5,FALSE)="Prior Year"),AL226,IF(AND($A$2=4,VLOOKUP($A226,'District Level ADM'!$A$5:$W$52,5,FALSE)="3-Year Avg."),X226,IF($A$2=2,AL226,IF($A$2=3,X226,IF(($AG226&gt;$AU226),X226,AL226)))))</f>
        <v>0</v>
      </c>
      <c r="K226" s="317">
        <f>IF(AND($A$2=4,VLOOKUP($A226,'District Level ADM'!$A$5:$W$52,5,FALSE)="Prior Year"),AM226,IF(AND($A$2=4,VLOOKUP($A226,'District Level ADM'!$A$5:$W$52,5,FALSE)="3-Year Avg."),Y226,IF($A$2=2,AM226,IF($A$2=3,Y226,IF(($AG226&gt;$AU226),Y226,AM226)))))</f>
        <v>0</v>
      </c>
      <c r="L226" s="317">
        <f>IF(AND($A$2=4,VLOOKUP($A226,'District Level ADM'!$A$5:$W$52,5,FALSE)="Prior Year"),AN226,IF(AND($A$2=4,VLOOKUP($A226,'District Level ADM'!$A$5:$W$52,5,FALSE)="3-Year Avg."),Z226,IF($A$2=2,AN226,IF($A$2=3,Z226,IF(($AG226&gt;$AU226),Z226,AN226)))))</f>
        <v>55.070666666666661</v>
      </c>
      <c r="M226" s="317">
        <f>IF(AND($A$2=4,VLOOKUP($A226,'District Level ADM'!$A$5:$W$52,5,FALSE)="Prior Year"),AO226,IF(AND($A$2=4,VLOOKUP($A226,'District Level ADM'!$A$5:$W$52,5,FALSE)="3-Year Avg."),AA226,IF($A$2=2,AO226,IF($A$2=3,AA226,IF(($AG226&gt;$AU226),AA226,AO226)))))</f>
        <v>63.076666666666675</v>
      </c>
      <c r="N226" s="317">
        <f>IF(AND($A$2=4,VLOOKUP($A226,'District Level ADM'!$A$5:$W$52,5,FALSE)="Prior Year"),AP226,IF(AND($A$2=4,VLOOKUP($A226,'District Level ADM'!$A$5:$W$52,5,FALSE)="3-Year Avg."),AB226,IF($A$2=2,AP226,IF($A$2=3,AB226,IF(($AG226&gt;$AU226),AB226,AP226)))))</f>
        <v>55.56966666666667</v>
      </c>
      <c r="O226" s="317">
        <f>IF(AND($A$2=4,VLOOKUP($A226,'District Level ADM'!$A$5:$W$52,5,FALSE)="Prior Year"),AQ226,IF(AND($A$2=4,VLOOKUP($A226,'District Level ADM'!$A$5:$W$52,5,FALSE)="3-Year Avg."),AC226,IF($A$2=2,AQ226,IF($A$2=3,AC226,IF(($AG226&gt;$AU226),AC226,AQ226)))))</f>
        <v>0</v>
      </c>
      <c r="P226" s="317">
        <f>IF(AND($A$2=4,VLOOKUP($A226,'District Level ADM'!$A$5:$W$52,5,FALSE)="Prior Year"),AR226,IF(AND($A$2=4,VLOOKUP($A226,'District Level ADM'!$A$5:$W$52,5,FALSE)="3-Year Avg."),AD226,IF($A$2=2,AR226,IF($A$2=3,AD226,IF(($AG226&gt;$AU226),AD226,AR226)))))</f>
        <v>0</v>
      </c>
      <c r="Q226" s="317">
        <f>IF(AND($A$2=4,VLOOKUP($A226,'District Level ADM'!$A$5:$W$52,5,FALSE)="Prior Year"),AS226,IF(AND($A$2=4,VLOOKUP($A226,'District Level ADM'!$A$5:$W$52,5,FALSE)="3-Year Avg."),AE226,IF($A$2=2,AS226,IF($A$2=3,AE226,IF(($AG226&gt;$AU226),AE226,AS226)))))</f>
        <v>0</v>
      </c>
      <c r="R226" s="317">
        <f>IF(AND($A$2=4,VLOOKUP($A226,'District Level ADM'!$A$5:$W$52,5,FALSE)="Prior Year"),AT226,IF(AND($A$2=4,VLOOKUP($A226,'District Level ADM'!$A$5:$W$52,5,FALSE)="3-Year Avg."),AF226,IF($A$2=2,AT226,IF($A$2=3,AF226,IF(($AG226&gt;$AU226),AF226,AT226)))))</f>
        <v>0</v>
      </c>
      <c r="S226" s="317">
        <f t="shared" si="35"/>
        <v>173.71700000000001</v>
      </c>
      <c r="T226" s="317">
        <f t="shared" si="34"/>
        <v>0</v>
      </c>
      <c r="U226" s="317">
        <f t="shared" si="34"/>
        <v>0</v>
      </c>
      <c r="V226" s="317">
        <f t="shared" si="34"/>
        <v>0</v>
      </c>
      <c r="W226" s="317">
        <f t="shared" si="34"/>
        <v>0</v>
      </c>
      <c r="X226" s="317">
        <f t="shared" si="40"/>
        <v>0</v>
      </c>
      <c r="Y226" s="317">
        <f t="shared" si="40"/>
        <v>0</v>
      </c>
      <c r="Z226" s="317">
        <f t="shared" si="40"/>
        <v>55.070666666666661</v>
      </c>
      <c r="AA226" s="317">
        <f t="shared" si="40"/>
        <v>63.076666666666675</v>
      </c>
      <c r="AB226" s="317">
        <f t="shared" si="40"/>
        <v>55.56966666666667</v>
      </c>
      <c r="AC226" s="317">
        <f t="shared" si="40"/>
        <v>0</v>
      </c>
      <c r="AD226" s="317">
        <f t="shared" si="30"/>
        <v>0</v>
      </c>
      <c r="AE226" s="317">
        <f t="shared" si="30"/>
        <v>0</v>
      </c>
      <c r="AF226" s="317">
        <f t="shared" si="30"/>
        <v>0</v>
      </c>
      <c r="AG226" s="317">
        <f t="shared" si="36"/>
        <v>173.71700000000001</v>
      </c>
      <c r="AH226" s="318">
        <v>0</v>
      </c>
      <c r="AI226" s="318">
        <v>0</v>
      </c>
      <c r="AJ226" s="318">
        <v>0</v>
      </c>
      <c r="AK226" s="318">
        <v>0</v>
      </c>
      <c r="AL226" s="318">
        <v>0</v>
      </c>
      <c r="AM226" s="318">
        <v>0</v>
      </c>
      <c r="AN226" s="318">
        <v>50.234999999999999</v>
      </c>
      <c r="AO226" s="318">
        <v>68.95</v>
      </c>
      <c r="AP226" s="318">
        <v>50.234999999999999</v>
      </c>
      <c r="AQ226" s="318">
        <v>0</v>
      </c>
      <c r="AR226" s="318">
        <v>0</v>
      </c>
      <c r="AS226" s="318">
        <v>0</v>
      </c>
      <c r="AT226" s="318">
        <v>0</v>
      </c>
      <c r="AU226" s="317">
        <f t="shared" si="37"/>
        <v>169.42000000000002</v>
      </c>
      <c r="AV226" s="319">
        <v>0</v>
      </c>
      <c r="AW226" s="319">
        <v>0</v>
      </c>
      <c r="AX226" s="319">
        <v>0</v>
      </c>
      <c r="AY226" s="319">
        <v>0</v>
      </c>
      <c r="AZ226" s="319">
        <v>0</v>
      </c>
      <c r="BA226" s="319">
        <v>0</v>
      </c>
      <c r="BB226" s="319">
        <v>65.257000000000005</v>
      </c>
      <c r="BC226" s="319">
        <v>49.143000000000001</v>
      </c>
      <c r="BD226" s="319">
        <v>72.593999999999994</v>
      </c>
      <c r="BE226" s="319">
        <v>0</v>
      </c>
      <c r="BF226" s="319">
        <v>0</v>
      </c>
      <c r="BG226" s="319">
        <v>0</v>
      </c>
      <c r="BH226" s="319">
        <v>0</v>
      </c>
      <c r="BI226" s="317">
        <f t="shared" si="39"/>
        <v>186.994</v>
      </c>
      <c r="BJ226" s="316">
        <v>0</v>
      </c>
      <c r="BK226" s="316">
        <v>0</v>
      </c>
      <c r="BL226" s="316">
        <v>0</v>
      </c>
      <c r="BM226" s="316">
        <v>0</v>
      </c>
      <c r="BN226" s="316">
        <v>0</v>
      </c>
      <c r="BO226" s="316">
        <v>0</v>
      </c>
      <c r="BP226" s="316">
        <v>49.72</v>
      </c>
      <c r="BQ226" s="316">
        <v>71.137</v>
      </c>
      <c r="BR226" s="316">
        <v>43.88</v>
      </c>
      <c r="BS226" s="316">
        <v>0</v>
      </c>
      <c r="BT226" s="316">
        <v>0</v>
      </c>
      <c r="BU226" s="316">
        <v>0</v>
      </c>
      <c r="BV226" s="316">
        <v>0</v>
      </c>
      <c r="BW226" s="317">
        <f t="shared" si="38"/>
        <v>164.73699999999999</v>
      </c>
    </row>
    <row r="227" spans="1:75" x14ac:dyDescent="0.2">
      <c r="A227" s="20" t="str">
        <f>'School Level Inst. Resources'!A227</f>
        <v>1301000</v>
      </c>
      <c r="B227" s="20" t="str">
        <f>'School Level Inst. Resources'!B227</f>
        <v>Natrona #1</v>
      </c>
      <c r="C227" s="20" t="str">
        <f>'School Level Inst. Resources'!C227</f>
        <v>1301049</v>
      </c>
      <c r="D227" s="20" t="str">
        <f>'School Level Inst. Resources'!D227</f>
        <v>Midwest School</v>
      </c>
      <c r="E227" s="138" t="str">
        <f>'School Level Inst. Resources'!E227</f>
        <v>P-12</v>
      </c>
      <c r="F227" s="317">
        <f>IF(AND($A$2=4,VLOOKUP($A227,'District Level ADM'!$A$5:$W$52,5,FALSE)="Prior Year"),AH227,IF(AND($A$2=4,VLOOKUP($A227,'District Level ADM'!$A$5:$W$52,5,FALSE)="3-Year Avg."),T227,IF($A$2=2,AH227,IF($A$2=3,T227,IF(($AG227&gt;$AU227),T227,AH227)))))</f>
        <v>7.5663333333333327</v>
      </c>
      <c r="G227" s="317">
        <f>IF(AND($A$2=4,VLOOKUP($A227,'District Level ADM'!$A$5:$W$52,5,FALSE)="Prior Year"),AI227,IF(AND($A$2=4,VLOOKUP($A227,'District Level ADM'!$A$5:$W$52,5,FALSE)="3-Year Avg."),U227,IF($A$2=2,AI227,IF($A$2=3,U227,IF(($AG227&gt;$AU227),U227,AI227)))))</f>
        <v>7.1749999999999998</v>
      </c>
      <c r="H227" s="317">
        <f>IF(AND($A$2=4,VLOOKUP($A227,'District Level ADM'!$A$5:$W$52,5,FALSE)="Prior Year"),AJ227,IF(AND($A$2=4,VLOOKUP($A227,'District Level ADM'!$A$5:$W$52,5,FALSE)="3-Year Avg."),V227,IF($A$2=2,AJ227,IF($A$2=3,V227,IF(($AG227&gt;$AU227),V227,AJ227)))))</f>
        <v>8.5483333333333338</v>
      </c>
      <c r="I227" s="317">
        <f>IF(AND($A$2=4,VLOOKUP($A227,'District Level ADM'!$A$5:$W$52,5,FALSE)="Prior Year"),AK227,IF(AND($A$2=4,VLOOKUP($A227,'District Level ADM'!$A$5:$W$52,5,FALSE)="3-Year Avg."),W227,IF($A$2=2,AK227,IF($A$2=3,W227,IF(($AG227&gt;$AU227),W227,AK227)))))</f>
        <v>9.5956666666666663</v>
      </c>
      <c r="J227" s="317">
        <f>IF(AND($A$2=4,VLOOKUP($A227,'District Level ADM'!$A$5:$W$52,5,FALSE)="Prior Year"),AL227,IF(AND($A$2=4,VLOOKUP($A227,'District Level ADM'!$A$5:$W$52,5,FALSE)="3-Year Avg."),X227,IF($A$2=2,AL227,IF($A$2=3,X227,IF(($AG227&gt;$AU227),X227,AL227)))))</f>
        <v>9.8763333333333332</v>
      </c>
      <c r="K227" s="317">
        <f>IF(AND($A$2=4,VLOOKUP($A227,'District Level ADM'!$A$5:$W$52,5,FALSE)="Prior Year"),AM227,IF(AND($A$2=4,VLOOKUP($A227,'District Level ADM'!$A$5:$W$52,5,FALSE)="3-Year Avg."),Y227,IF($A$2=2,AM227,IF($A$2=3,Y227,IF(($AG227&gt;$AU227),Y227,AM227)))))</f>
        <v>9.9773333333333341</v>
      </c>
      <c r="L227" s="317">
        <f>IF(AND($A$2=4,VLOOKUP($A227,'District Level ADM'!$A$5:$W$52,5,FALSE)="Prior Year"),AN227,IF(AND($A$2=4,VLOOKUP($A227,'District Level ADM'!$A$5:$W$52,5,FALSE)="3-Year Avg."),Z227,IF($A$2=2,AN227,IF($A$2=3,Z227,IF(($AG227&gt;$AU227),Z227,AN227)))))</f>
        <v>10.541333333333334</v>
      </c>
      <c r="M227" s="317">
        <f>IF(AND($A$2=4,VLOOKUP($A227,'District Level ADM'!$A$5:$W$52,5,FALSE)="Prior Year"),AO227,IF(AND($A$2=4,VLOOKUP($A227,'District Level ADM'!$A$5:$W$52,5,FALSE)="3-Year Avg."),AA227,IF($A$2=2,AO227,IF($A$2=3,AA227,IF(($AG227&gt;$AU227),AA227,AO227)))))</f>
        <v>9.4036666666666662</v>
      </c>
      <c r="N227" s="317">
        <f>IF(AND($A$2=4,VLOOKUP($A227,'District Level ADM'!$A$5:$W$52,5,FALSE)="Prior Year"),AP227,IF(AND($A$2=4,VLOOKUP($A227,'District Level ADM'!$A$5:$W$52,5,FALSE)="3-Year Avg."),AB227,IF($A$2=2,AP227,IF($A$2=3,AB227,IF(($AG227&gt;$AU227),AB227,AP227)))))</f>
        <v>10.734000000000002</v>
      </c>
      <c r="O227" s="317">
        <f>IF(AND($A$2=4,VLOOKUP($A227,'District Level ADM'!$A$5:$W$52,5,FALSE)="Prior Year"),AQ227,IF(AND($A$2=4,VLOOKUP($A227,'District Level ADM'!$A$5:$W$52,5,FALSE)="3-Year Avg."),AC227,IF($A$2=2,AQ227,IF($A$2=3,AC227,IF(($AG227&gt;$AU227),AC227,AQ227)))))</f>
        <v>11.840666666666669</v>
      </c>
      <c r="P227" s="317">
        <f>IF(AND($A$2=4,VLOOKUP($A227,'District Level ADM'!$A$5:$W$52,5,FALSE)="Prior Year"),AR227,IF(AND($A$2=4,VLOOKUP($A227,'District Level ADM'!$A$5:$W$52,5,FALSE)="3-Year Avg."),AD227,IF($A$2=2,AR227,IF($A$2=3,AD227,IF(($AG227&gt;$AU227),AD227,AR227)))))</f>
        <v>13.722333333333333</v>
      </c>
      <c r="Q227" s="317">
        <f>IF(AND($A$2=4,VLOOKUP($A227,'District Level ADM'!$A$5:$W$52,5,FALSE)="Prior Year"),AS227,IF(AND($A$2=4,VLOOKUP($A227,'District Level ADM'!$A$5:$W$52,5,FALSE)="3-Year Avg."),AE227,IF($A$2=2,AS227,IF($A$2=3,AE227,IF(($AG227&gt;$AU227),AE227,AS227)))))</f>
        <v>12.080333333333334</v>
      </c>
      <c r="R227" s="317">
        <f>IF(AND($A$2=4,VLOOKUP($A227,'District Level ADM'!$A$5:$W$52,5,FALSE)="Prior Year"),AT227,IF(AND($A$2=4,VLOOKUP($A227,'District Level ADM'!$A$5:$W$52,5,FALSE)="3-Year Avg."),AF227,IF($A$2=2,AT227,IF($A$2=3,AF227,IF(($AG227&gt;$AU227),AF227,AT227)))))</f>
        <v>10.048666666666666</v>
      </c>
      <c r="S227" s="317">
        <f t="shared" si="35"/>
        <v>131.11000000000001</v>
      </c>
      <c r="T227" s="317">
        <f t="shared" si="34"/>
        <v>7.5663333333333327</v>
      </c>
      <c r="U227" s="317">
        <f t="shared" si="34"/>
        <v>7.1749999999999998</v>
      </c>
      <c r="V227" s="317">
        <f t="shared" si="34"/>
        <v>8.5483333333333338</v>
      </c>
      <c r="W227" s="317">
        <f t="shared" si="34"/>
        <v>9.5956666666666663</v>
      </c>
      <c r="X227" s="317">
        <f t="shared" si="40"/>
        <v>9.8763333333333332</v>
      </c>
      <c r="Y227" s="317">
        <f t="shared" si="40"/>
        <v>9.9773333333333341</v>
      </c>
      <c r="Z227" s="317">
        <f t="shared" si="40"/>
        <v>10.541333333333334</v>
      </c>
      <c r="AA227" s="317">
        <f t="shared" si="40"/>
        <v>9.4036666666666662</v>
      </c>
      <c r="AB227" s="317">
        <f t="shared" si="40"/>
        <v>10.734000000000002</v>
      </c>
      <c r="AC227" s="317">
        <f t="shared" si="40"/>
        <v>11.840666666666669</v>
      </c>
      <c r="AD227" s="317">
        <f t="shared" si="30"/>
        <v>13.722333333333333</v>
      </c>
      <c r="AE227" s="317">
        <f t="shared" si="30"/>
        <v>12.080333333333334</v>
      </c>
      <c r="AF227" s="317">
        <f t="shared" si="30"/>
        <v>10.048666666666666</v>
      </c>
      <c r="AG227" s="317">
        <f t="shared" si="36"/>
        <v>131.11000000000001</v>
      </c>
      <c r="AH227" s="318">
        <v>5.91</v>
      </c>
      <c r="AI227" s="318">
        <v>4.9249999999999998</v>
      </c>
      <c r="AJ227" s="318">
        <v>7.88</v>
      </c>
      <c r="AK227" s="318">
        <v>9.85</v>
      </c>
      <c r="AL227" s="318">
        <v>7.88</v>
      </c>
      <c r="AM227" s="318">
        <v>10.835000000000001</v>
      </c>
      <c r="AN227" s="318">
        <v>10.835000000000001</v>
      </c>
      <c r="AO227" s="318">
        <v>7.88</v>
      </c>
      <c r="AP227" s="318">
        <v>16.745000000000001</v>
      </c>
      <c r="AQ227" s="318">
        <v>8.8650000000000002</v>
      </c>
      <c r="AR227" s="318">
        <v>13.79</v>
      </c>
      <c r="AS227" s="318">
        <v>10.835000000000001</v>
      </c>
      <c r="AT227" s="318">
        <v>8.8650000000000002</v>
      </c>
      <c r="AU227" s="317">
        <f t="shared" si="37"/>
        <v>125.09500000000001</v>
      </c>
      <c r="AV227" s="319">
        <v>6.2690000000000001</v>
      </c>
      <c r="AW227" s="319">
        <v>8.44</v>
      </c>
      <c r="AX227" s="319">
        <v>7.234</v>
      </c>
      <c r="AY227" s="319">
        <v>7.6509999999999998</v>
      </c>
      <c r="AZ227" s="319">
        <v>11.84</v>
      </c>
      <c r="BA227" s="319">
        <v>9.1140000000000008</v>
      </c>
      <c r="BB227" s="319">
        <v>8.7889999999999997</v>
      </c>
      <c r="BC227" s="319">
        <v>12.331</v>
      </c>
      <c r="BD227" s="319">
        <v>5.5830000000000002</v>
      </c>
      <c r="BE227" s="319">
        <v>9.5660000000000007</v>
      </c>
      <c r="BF227" s="319">
        <v>14.223000000000001</v>
      </c>
      <c r="BG227" s="319">
        <v>10.183</v>
      </c>
      <c r="BH227" s="319">
        <v>11.513999999999999</v>
      </c>
      <c r="BI227" s="317">
        <f t="shared" si="39"/>
        <v>122.73700000000001</v>
      </c>
      <c r="BJ227" s="316">
        <v>10.52</v>
      </c>
      <c r="BK227" s="316">
        <v>8.16</v>
      </c>
      <c r="BL227" s="316">
        <v>10.531000000000001</v>
      </c>
      <c r="BM227" s="316">
        <v>11.286</v>
      </c>
      <c r="BN227" s="316">
        <v>9.9090000000000007</v>
      </c>
      <c r="BO227" s="316">
        <v>9.9830000000000005</v>
      </c>
      <c r="BP227" s="316">
        <v>12</v>
      </c>
      <c r="BQ227" s="316">
        <v>8</v>
      </c>
      <c r="BR227" s="316">
        <v>9.8740000000000006</v>
      </c>
      <c r="BS227" s="316">
        <v>17.091000000000001</v>
      </c>
      <c r="BT227" s="316">
        <v>13.154</v>
      </c>
      <c r="BU227" s="316">
        <v>15.223000000000001</v>
      </c>
      <c r="BV227" s="316">
        <v>9.7669999999999995</v>
      </c>
      <c r="BW227" s="317">
        <f t="shared" si="38"/>
        <v>145.49799999999999</v>
      </c>
    </row>
    <row r="228" spans="1:75" x14ac:dyDescent="0.2">
      <c r="A228" s="20" t="str">
        <f>'School Level Inst. Resources'!A228</f>
        <v>1301000</v>
      </c>
      <c r="B228" s="20" t="str">
        <f>'School Level Inst. Resources'!B228</f>
        <v>Natrona #1</v>
      </c>
      <c r="C228" s="20" t="str">
        <f>'School Level Inst. Resources'!C228</f>
        <v>1301050</v>
      </c>
      <c r="D228" s="20" t="str">
        <f>'School Level Inst. Resources'!D228</f>
        <v>C Y Junior High School</v>
      </c>
      <c r="E228" s="138" t="str">
        <f>'School Level Inst. Resources'!E228</f>
        <v>6-9</v>
      </c>
      <c r="F228" s="317">
        <f>IF(AND($A$2=4,VLOOKUP($A228,'District Level ADM'!$A$5:$W$52,5,FALSE)="Prior Year"),AH228,IF(AND($A$2=4,VLOOKUP($A228,'District Level ADM'!$A$5:$W$52,5,FALSE)="3-Year Avg."),T228,IF($A$2=2,AH228,IF($A$2=3,T228,IF(($AG228&gt;$AU228),T228,AH228)))))</f>
        <v>0</v>
      </c>
      <c r="G228" s="317">
        <f>IF(AND($A$2=4,VLOOKUP($A228,'District Level ADM'!$A$5:$W$52,5,FALSE)="Prior Year"),AI228,IF(AND($A$2=4,VLOOKUP($A228,'District Level ADM'!$A$5:$W$52,5,FALSE)="3-Year Avg."),U228,IF($A$2=2,AI228,IF($A$2=3,U228,IF(($AG228&gt;$AU228),U228,AI228)))))</f>
        <v>0</v>
      </c>
      <c r="H228" s="317">
        <f>IF(AND($A$2=4,VLOOKUP($A228,'District Level ADM'!$A$5:$W$52,5,FALSE)="Prior Year"),AJ228,IF(AND($A$2=4,VLOOKUP($A228,'District Level ADM'!$A$5:$W$52,5,FALSE)="3-Year Avg."),V228,IF($A$2=2,AJ228,IF($A$2=3,V228,IF(($AG228&gt;$AU228),V228,AJ228)))))</f>
        <v>0</v>
      </c>
      <c r="I228" s="317">
        <f>IF(AND($A$2=4,VLOOKUP($A228,'District Level ADM'!$A$5:$W$52,5,FALSE)="Prior Year"),AK228,IF(AND($A$2=4,VLOOKUP($A228,'District Level ADM'!$A$5:$W$52,5,FALSE)="3-Year Avg."),W228,IF($A$2=2,AK228,IF($A$2=3,W228,IF(($AG228&gt;$AU228),W228,AK228)))))</f>
        <v>0</v>
      </c>
      <c r="J228" s="317">
        <f>IF(AND($A$2=4,VLOOKUP($A228,'District Level ADM'!$A$5:$W$52,5,FALSE)="Prior Year"),AL228,IF(AND($A$2=4,VLOOKUP($A228,'District Level ADM'!$A$5:$W$52,5,FALSE)="3-Year Avg."),X228,IF($A$2=2,AL228,IF($A$2=3,X228,IF(($AG228&gt;$AU228),X228,AL228)))))</f>
        <v>0</v>
      </c>
      <c r="K228" s="317">
        <f>IF(AND($A$2=4,VLOOKUP($A228,'District Level ADM'!$A$5:$W$52,5,FALSE)="Prior Year"),AM228,IF(AND($A$2=4,VLOOKUP($A228,'District Level ADM'!$A$5:$W$52,5,FALSE)="3-Year Avg."),Y228,IF($A$2=2,AM228,IF($A$2=3,Y228,IF(($AG228&gt;$AU228),Y228,AM228)))))</f>
        <v>0</v>
      </c>
      <c r="L228" s="317">
        <f>IF(AND($A$2=4,VLOOKUP($A228,'District Level ADM'!$A$5:$W$52,5,FALSE)="Prior Year"),AN228,IF(AND($A$2=4,VLOOKUP($A228,'District Level ADM'!$A$5:$W$52,5,FALSE)="3-Year Avg."),Z228,IF($A$2=2,AN228,IF($A$2=3,Z228,IF(($AG228&gt;$AU228),Z228,AN228)))))</f>
        <v>254.52400000000003</v>
      </c>
      <c r="M228" s="317">
        <f>IF(AND($A$2=4,VLOOKUP($A228,'District Level ADM'!$A$5:$W$52,5,FALSE)="Prior Year"),AO228,IF(AND($A$2=4,VLOOKUP($A228,'District Level ADM'!$A$5:$W$52,5,FALSE)="3-Year Avg."),AA228,IF($A$2=2,AO228,IF($A$2=3,AA228,IF(($AG228&gt;$AU228),AA228,AO228)))))</f>
        <v>244.56233333333333</v>
      </c>
      <c r="N228" s="317">
        <f>IF(AND($A$2=4,VLOOKUP($A228,'District Level ADM'!$A$5:$W$52,5,FALSE)="Prior Year"),AP228,IF(AND($A$2=4,VLOOKUP($A228,'District Level ADM'!$A$5:$W$52,5,FALSE)="3-Year Avg."),AB228,IF($A$2=2,AP228,IF($A$2=3,AB228,IF(($AG228&gt;$AU228),AB228,AP228)))))</f>
        <v>244.44766666666669</v>
      </c>
      <c r="O228" s="317">
        <f>IF(AND($A$2=4,VLOOKUP($A228,'District Level ADM'!$A$5:$W$52,5,FALSE)="Prior Year"),AQ228,IF(AND($A$2=4,VLOOKUP($A228,'District Level ADM'!$A$5:$W$52,5,FALSE)="3-Year Avg."),AC228,IF($A$2=2,AQ228,IF($A$2=3,AC228,IF(($AG228&gt;$AU228),AC228,AQ228)))))</f>
        <v>0</v>
      </c>
      <c r="P228" s="317">
        <f>IF(AND($A$2=4,VLOOKUP($A228,'District Level ADM'!$A$5:$W$52,5,FALSE)="Prior Year"),AR228,IF(AND($A$2=4,VLOOKUP($A228,'District Level ADM'!$A$5:$W$52,5,FALSE)="3-Year Avg."),AD228,IF($A$2=2,AR228,IF($A$2=3,AD228,IF(($AG228&gt;$AU228),AD228,AR228)))))</f>
        <v>0</v>
      </c>
      <c r="Q228" s="317">
        <f>IF(AND($A$2=4,VLOOKUP($A228,'District Level ADM'!$A$5:$W$52,5,FALSE)="Prior Year"),AS228,IF(AND($A$2=4,VLOOKUP($A228,'District Level ADM'!$A$5:$W$52,5,FALSE)="3-Year Avg."),AE228,IF($A$2=2,AS228,IF($A$2=3,AE228,IF(($AG228&gt;$AU228),AE228,AS228)))))</f>
        <v>0</v>
      </c>
      <c r="R228" s="317">
        <f>IF(AND($A$2=4,VLOOKUP($A228,'District Level ADM'!$A$5:$W$52,5,FALSE)="Prior Year"),AT228,IF(AND($A$2=4,VLOOKUP($A228,'District Level ADM'!$A$5:$W$52,5,FALSE)="3-Year Avg."),AF228,IF($A$2=2,AT228,IF($A$2=3,AF228,IF(($AG228&gt;$AU228),AF228,AT228)))))</f>
        <v>0</v>
      </c>
      <c r="S228" s="317">
        <f t="shared" si="35"/>
        <v>743.53400000000011</v>
      </c>
      <c r="T228" s="317">
        <f t="shared" si="34"/>
        <v>0</v>
      </c>
      <c r="U228" s="317">
        <f t="shared" si="34"/>
        <v>0</v>
      </c>
      <c r="V228" s="317">
        <f t="shared" si="34"/>
        <v>0</v>
      </c>
      <c r="W228" s="317">
        <f t="shared" si="34"/>
        <v>0</v>
      </c>
      <c r="X228" s="317">
        <f t="shared" si="40"/>
        <v>0</v>
      </c>
      <c r="Y228" s="317">
        <f t="shared" si="40"/>
        <v>0</v>
      </c>
      <c r="Z228" s="317">
        <f t="shared" si="40"/>
        <v>254.52400000000003</v>
      </c>
      <c r="AA228" s="317">
        <f t="shared" si="40"/>
        <v>244.56233333333333</v>
      </c>
      <c r="AB228" s="317">
        <f t="shared" si="40"/>
        <v>244.44766666666669</v>
      </c>
      <c r="AC228" s="317">
        <f t="shared" si="40"/>
        <v>0</v>
      </c>
      <c r="AD228" s="317">
        <f t="shared" si="30"/>
        <v>0</v>
      </c>
      <c r="AE228" s="317">
        <f t="shared" si="30"/>
        <v>0</v>
      </c>
      <c r="AF228" s="317">
        <f t="shared" si="30"/>
        <v>0</v>
      </c>
      <c r="AG228" s="317">
        <f t="shared" si="36"/>
        <v>743.53400000000011</v>
      </c>
      <c r="AH228" s="318">
        <v>0</v>
      </c>
      <c r="AI228" s="318">
        <v>0</v>
      </c>
      <c r="AJ228" s="318">
        <v>0</v>
      </c>
      <c r="AK228" s="318">
        <v>0</v>
      </c>
      <c r="AL228" s="318">
        <v>0</v>
      </c>
      <c r="AM228" s="318">
        <v>0</v>
      </c>
      <c r="AN228" s="318">
        <v>255.11500000000001</v>
      </c>
      <c r="AO228" s="318">
        <v>246.25</v>
      </c>
      <c r="AP228" s="318">
        <v>236.4</v>
      </c>
      <c r="AQ228" s="318">
        <v>0</v>
      </c>
      <c r="AR228" s="318">
        <v>0</v>
      </c>
      <c r="AS228" s="318">
        <v>0</v>
      </c>
      <c r="AT228" s="318">
        <v>0</v>
      </c>
      <c r="AU228" s="317">
        <f t="shared" si="37"/>
        <v>737.76499999999999</v>
      </c>
      <c r="AV228" s="319">
        <v>0</v>
      </c>
      <c r="AW228" s="319">
        <v>0</v>
      </c>
      <c r="AX228" s="319">
        <v>0</v>
      </c>
      <c r="AY228" s="319">
        <v>0</v>
      </c>
      <c r="AZ228" s="319">
        <v>0</v>
      </c>
      <c r="BA228" s="319">
        <v>0</v>
      </c>
      <c r="BB228" s="319">
        <v>258.76600000000002</v>
      </c>
      <c r="BC228" s="319">
        <v>238.029</v>
      </c>
      <c r="BD228" s="319">
        <v>251.983</v>
      </c>
      <c r="BE228" s="319">
        <v>0</v>
      </c>
      <c r="BF228" s="319">
        <v>0</v>
      </c>
      <c r="BG228" s="319">
        <v>0</v>
      </c>
      <c r="BH228" s="319">
        <v>0</v>
      </c>
      <c r="BI228" s="317">
        <f t="shared" si="39"/>
        <v>748.77800000000002</v>
      </c>
      <c r="BJ228" s="316">
        <v>0</v>
      </c>
      <c r="BK228" s="316">
        <v>0</v>
      </c>
      <c r="BL228" s="316">
        <v>0</v>
      </c>
      <c r="BM228" s="316">
        <v>0</v>
      </c>
      <c r="BN228" s="316">
        <v>0</v>
      </c>
      <c r="BO228" s="316">
        <v>0</v>
      </c>
      <c r="BP228" s="316">
        <v>249.691</v>
      </c>
      <c r="BQ228" s="316">
        <v>249.40799999999999</v>
      </c>
      <c r="BR228" s="316">
        <v>244.96</v>
      </c>
      <c r="BS228" s="316">
        <v>0</v>
      </c>
      <c r="BT228" s="316">
        <v>0</v>
      </c>
      <c r="BU228" s="316">
        <v>0</v>
      </c>
      <c r="BV228" s="316">
        <v>0</v>
      </c>
      <c r="BW228" s="317">
        <f t="shared" si="38"/>
        <v>744.05899999999997</v>
      </c>
    </row>
    <row r="229" spans="1:75" x14ac:dyDescent="0.2">
      <c r="A229" s="20" t="str">
        <f>'School Level Inst. Resources'!A229</f>
        <v>1301000</v>
      </c>
      <c r="B229" s="20" t="str">
        <f>'School Level Inst. Resources'!B229</f>
        <v>Natrona #1</v>
      </c>
      <c r="C229" s="20" t="str">
        <f>'School Level Inst. Resources'!C229</f>
        <v>1301051</v>
      </c>
      <c r="D229" s="20" t="str">
        <f>'School Level Inst. Resources'!D229</f>
        <v>Dean Morgan Junior High School</v>
      </c>
      <c r="E229" s="138" t="str">
        <f>'School Level Inst. Resources'!E229</f>
        <v>6-9</v>
      </c>
      <c r="F229" s="317">
        <f>IF(AND($A$2=4,VLOOKUP($A229,'District Level ADM'!$A$5:$W$52,5,FALSE)="Prior Year"),AH229,IF(AND($A$2=4,VLOOKUP($A229,'District Level ADM'!$A$5:$W$52,5,FALSE)="3-Year Avg."),T229,IF($A$2=2,AH229,IF($A$2=3,T229,IF(($AG229&gt;$AU229),T229,AH229)))))</f>
        <v>0</v>
      </c>
      <c r="G229" s="317">
        <f>IF(AND($A$2=4,VLOOKUP($A229,'District Level ADM'!$A$5:$W$52,5,FALSE)="Prior Year"),AI229,IF(AND($A$2=4,VLOOKUP($A229,'District Level ADM'!$A$5:$W$52,5,FALSE)="3-Year Avg."),U229,IF($A$2=2,AI229,IF($A$2=3,U229,IF(($AG229&gt;$AU229),U229,AI229)))))</f>
        <v>0</v>
      </c>
      <c r="H229" s="317">
        <f>IF(AND($A$2=4,VLOOKUP($A229,'District Level ADM'!$A$5:$W$52,5,FALSE)="Prior Year"),AJ229,IF(AND($A$2=4,VLOOKUP($A229,'District Level ADM'!$A$5:$W$52,5,FALSE)="3-Year Avg."),V229,IF($A$2=2,AJ229,IF($A$2=3,V229,IF(($AG229&gt;$AU229),V229,AJ229)))))</f>
        <v>0</v>
      </c>
      <c r="I229" s="317">
        <f>IF(AND($A$2=4,VLOOKUP($A229,'District Level ADM'!$A$5:$W$52,5,FALSE)="Prior Year"),AK229,IF(AND($A$2=4,VLOOKUP($A229,'District Level ADM'!$A$5:$W$52,5,FALSE)="3-Year Avg."),W229,IF($A$2=2,AK229,IF($A$2=3,W229,IF(($AG229&gt;$AU229),W229,AK229)))))</f>
        <v>0</v>
      </c>
      <c r="J229" s="317">
        <f>IF(AND($A$2=4,VLOOKUP($A229,'District Level ADM'!$A$5:$W$52,5,FALSE)="Prior Year"),AL229,IF(AND($A$2=4,VLOOKUP($A229,'District Level ADM'!$A$5:$W$52,5,FALSE)="3-Year Avg."),X229,IF($A$2=2,AL229,IF($A$2=3,X229,IF(($AG229&gt;$AU229),X229,AL229)))))</f>
        <v>0</v>
      </c>
      <c r="K229" s="317">
        <f>IF(AND($A$2=4,VLOOKUP($A229,'District Level ADM'!$A$5:$W$52,5,FALSE)="Prior Year"),AM229,IF(AND($A$2=4,VLOOKUP($A229,'District Level ADM'!$A$5:$W$52,5,FALSE)="3-Year Avg."),Y229,IF($A$2=2,AM229,IF($A$2=3,Y229,IF(($AG229&gt;$AU229),Y229,AM229)))))</f>
        <v>0</v>
      </c>
      <c r="L229" s="317">
        <f>IF(AND($A$2=4,VLOOKUP($A229,'District Level ADM'!$A$5:$W$52,5,FALSE)="Prior Year"),AN229,IF(AND($A$2=4,VLOOKUP($A229,'District Level ADM'!$A$5:$W$52,5,FALSE)="3-Year Avg."),Z229,IF($A$2=2,AN229,IF($A$2=3,Z229,IF(($AG229&gt;$AU229),Z229,AN229)))))</f>
        <v>282.58666666666664</v>
      </c>
      <c r="M229" s="317">
        <f>IF(AND($A$2=4,VLOOKUP($A229,'District Level ADM'!$A$5:$W$52,5,FALSE)="Prior Year"),AO229,IF(AND($A$2=4,VLOOKUP($A229,'District Level ADM'!$A$5:$W$52,5,FALSE)="3-Year Avg."),AA229,IF($A$2=2,AO229,IF($A$2=3,AA229,IF(($AG229&gt;$AU229),AA229,AO229)))))</f>
        <v>281.49166666666662</v>
      </c>
      <c r="N229" s="317">
        <f>IF(AND($A$2=4,VLOOKUP($A229,'District Level ADM'!$A$5:$W$52,5,FALSE)="Prior Year"),AP229,IF(AND($A$2=4,VLOOKUP($A229,'District Level ADM'!$A$5:$W$52,5,FALSE)="3-Year Avg."),AB229,IF($A$2=2,AP229,IF($A$2=3,AB229,IF(($AG229&gt;$AU229),AB229,AP229)))))</f>
        <v>280.13899999999995</v>
      </c>
      <c r="O229" s="317">
        <f>IF(AND($A$2=4,VLOOKUP($A229,'District Level ADM'!$A$5:$W$52,5,FALSE)="Prior Year"),AQ229,IF(AND($A$2=4,VLOOKUP($A229,'District Level ADM'!$A$5:$W$52,5,FALSE)="3-Year Avg."),AC229,IF($A$2=2,AQ229,IF($A$2=3,AC229,IF(($AG229&gt;$AU229),AC229,AQ229)))))</f>
        <v>0</v>
      </c>
      <c r="P229" s="317">
        <f>IF(AND($A$2=4,VLOOKUP($A229,'District Level ADM'!$A$5:$W$52,5,FALSE)="Prior Year"),AR229,IF(AND($A$2=4,VLOOKUP($A229,'District Level ADM'!$A$5:$W$52,5,FALSE)="3-Year Avg."),AD229,IF($A$2=2,AR229,IF($A$2=3,AD229,IF(($AG229&gt;$AU229),AD229,AR229)))))</f>
        <v>0</v>
      </c>
      <c r="Q229" s="317">
        <f>IF(AND($A$2=4,VLOOKUP($A229,'District Level ADM'!$A$5:$W$52,5,FALSE)="Prior Year"),AS229,IF(AND($A$2=4,VLOOKUP($A229,'District Level ADM'!$A$5:$W$52,5,FALSE)="3-Year Avg."),AE229,IF($A$2=2,AS229,IF($A$2=3,AE229,IF(($AG229&gt;$AU229),AE229,AS229)))))</f>
        <v>0</v>
      </c>
      <c r="R229" s="317">
        <f>IF(AND($A$2=4,VLOOKUP($A229,'District Level ADM'!$A$5:$W$52,5,FALSE)="Prior Year"),AT229,IF(AND($A$2=4,VLOOKUP($A229,'District Level ADM'!$A$5:$W$52,5,FALSE)="3-Year Avg."),AF229,IF($A$2=2,AT229,IF($A$2=3,AF229,IF(($AG229&gt;$AU229),AF229,AT229)))))</f>
        <v>0</v>
      </c>
      <c r="S229" s="317">
        <f t="shared" si="35"/>
        <v>844.21733333333327</v>
      </c>
      <c r="T229" s="317">
        <f t="shared" si="34"/>
        <v>0</v>
      </c>
      <c r="U229" s="317">
        <f t="shared" si="34"/>
        <v>0</v>
      </c>
      <c r="V229" s="317">
        <f t="shared" si="34"/>
        <v>0</v>
      </c>
      <c r="W229" s="317">
        <f t="shared" si="34"/>
        <v>0</v>
      </c>
      <c r="X229" s="317">
        <f t="shared" si="40"/>
        <v>0</v>
      </c>
      <c r="Y229" s="317">
        <f t="shared" si="40"/>
        <v>0</v>
      </c>
      <c r="Z229" s="317">
        <f t="shared" si="40"/>
        <v>282.58666666666664</v>
      </c>
      <c r="AA229" s="317">
        <f t="shared" si="40"/>
        <v>281.49166666666662</v>
      </c>
      <c r="AB229" s="317">
        <f t="shared" si="40"/>
        <v>280.13899999999995</v>
      </c>
      <c r="AC229" s="317">
        <f t="shared" si="40"/>
        <v>0</v>
      </c>
      <c r="AD229" s="317">
        <f t="shared" si="30"/>
        <v>0</v>
      </c>
      <c r="AE229" s="317">
        <f t="shared" si="30"/>
        <v>0</v>
      </c>
      <c r="AF229" s="317">
        <f t="shared" si="30"/>
        <v>0</v>
      </c>
      <c r="AG229" s="317">
        <f t="shared" si="36"/>
        <v>844.21733333333327</v>
      </c>
      <c r="AH229" s="318">
        <v>0</v>
      </c>
      <c r="AI229" s="318">
        <v>0</v>
      </c>
      <c r="AJ229" s="318">
        <v>0</v>
      </c>
      <c r="AK229" s="318">
        <v>0</v>
      </c>
      <c r="AL229" s="318">
        <v>0</v>
      </c>
      <c r="AM229" s="318">
        <v>0</v>
      </c>
      <c r="AN229" s="318">
        <v>283.68</v>
      </c>
      <c r="AO229" s="318">
        <v>281.70999999999998</v>
      </c>
      <c r="AP229" s="318">
        <v>275.8</v>
      </c>
      <c r="AQ229" s="318">
        <v>0</v>
      </c>
      <c r="AR229" s="318">
        <v>0</v>
      </c>
      <c r="AS229" s="318">
        <v>0</v>
      </c>
      <c r="AT229" s="318">
        <v>0</v>
      </c>
      <c r="AU229" s="317">
        <f t="shared" si="37"/>
        <v>841.19</v>
      </c>
      <c r="AV229" s="319">
        <v>0</v>
      </c>
      <c r="AW229" s="319">
        <v>0</v>
      </c>
      <c r="AX229" s="319">
        <v>0</v>
      </c>
      <c r="AY229" s="319">
        <v>0</v>
      </c>
      <c r="AZ229" s="319">
        <v>0</v>
      </c>
      <c r="BA229" s="319">
        <v>0</v>
      </c>
      <c r="BB229" s="319">
        <v>281.88</v>
      </c>
      <c r="BC229" s="319">
        <v>282.291</v>
      </c>
      <c r="BD229" s="319">
        <v>285.154</v>
      </c>
      <c r="BE229" s="319">
        <v>0</v>
      </c>
      <c r="BF229" s="319">
        <v>0</v>
      </c>
      <c r="BG229" s="319">
        <v>0</v>
      </c>
      <c r="BH229" s="319">
        <v>0</v>
      </c>
      <c r="BI229" s="317">
        <f t="shared" si="39"/>
        <v>849.32500000000005</v>
      </c>
      <c r="BJ229" s="316">
        <v>0</v>
      </c>
      <c r="BK229" s="316">
        <v>0</v>
      </c>
      <c r="BL229" s="316">
        <v>0</v>
      </c>
      <c r="BM229" s="316">
        <v>0</v>
      </c>
      <c r="BN229" s="316">
        <v>0</v>
      </c>
      <c r="BO229" s="316">
        <v>0</v>
      </c>
      <c r="BP229" s="316">
        <v>282.2</v>
      </c>
      <c r="BQ229" s="316">
        <v>280.47399999999999</v>
      </c>
      <c r="BR229" s="316">
        <v>279.46300000000002</v>
      </c>
      <c r="BS229" s="316">
        <v>0</v>
      </c>
      <c r="BT229" s="316">
        <v>0</v>
      </c>
      <c r="BU229" s="316">
        <v>0</v>
      </c>
      <c r="BV229" s="316">
        <v>0</v>
      </c>
      <c r="BW229" s="317">
        <f t="shared" si="38"/>
        <v>842.13699999999994</v>
      </c>
    </row>
    <row r="230" spans="1:75" x14ac:dyDescent="0.2">
      <c r="A230" s="20" t="str">
        <f>'School Level Inst. Resources'!A230</f>
        <v>1301000</v>
      </c>
      <c r="B230" s="20" t="str">
        <f>'School Level Inst. Resources'!B230</f>
        <v>Natrona #1</v>
      </c>
      <c r="C230" s="20" t="str">
        <f>'School Level Inst. Resources'!C230</f>
        <v>1301054</v>
      </c>
      <c r="D230" s="20" t="str">
        <f>'School Level Inst. Resources'!D230</f>
        <v>Centennial Junior High School</v>
      </c>
      <c r="E230" s="138" t="str">
        <f>'School Level Inst. Resources'!E230</f>
        <v>6-9</v>
      </c>
      <c r="F230" s="317">
        <f>IF(AND($A$2=4,VLOOKUP($A230,'District Level ADM'!$A$5:$W$52,5,FALSE)="Prior Year"),AH230,IF(AND($A$2=4,VLOOKUP($A230,'District Level ADM'!$A$5:$W$52,5,FALSE)="3-Year Avg."),T230,IF($A$2=2,AH230,IF($A$2=3,T230,IF(($AG230&gt;$AU230),T230,AH230)))))</f>
        <v>0</v>
      </c>
      <c r="G230" s="317">
        <f>IF(AND($A$2=4,VLOOKUP($A230,'District Level ADM'!$A$5:$W$52,5,FALSE)="Prior Year"),AI230,IF(AND($A$2=4,VLOOKUP($A230,'District Level ADM'!$A$5:$W$52,5,FALSE)="3-Year Avg."),U230,IF($A$2=2,AI230,IF($A$2=3,U230,IF(($AG230&gt;$AU230),U230,AI230)))))</f>
        <v>0</v>
      </c>
      <c r="H230" s="317">
        <f>IF(AND($A$2=4,VLOOKUP($A230,'District Level ADM'!$A$5:$W$52,5,FALSE)="Prior Year"),AJ230,IF(AND($A$2=4,VLOOKUP($A230,'District Level ADM'!$A$5:$W$52,5,FALSE)="3-Year Avg."),V230,IF($A$2=2,AJ230,IF($A$2=3,V230,IF(($AG230&gt;$AU230),V230,AJ230)))))</f>
        <v>0</v>
      </c>
      <c r="I230" s="317">
        <f>IF(AND($A$2=4,VLOOKUP($A230,'District Level ADM'!$A$5:$W$52,5,FALSE)="Prior Year"),AK230,IF(AND($A$2=4,VLOOKUP($A230,'District Level ADM'!$A$5:$W$52,5,FALSE)="3-Year Avg."),W230,IF($A$2=2,AK230,IF($A$2=3,W230,IF(($AG230&gt;$AU230),W230,AK230)))))</f>
        <v>0</v>
      </c>
      <c r="J230" s="317">
        <f>IF(AND($A$2=4,VLOOKUP($A230,'District Level ADM'!$A$5:$W$52,5,FALSE)="Prior Year"),AL230,IF(AND($A$2=4,VLOOKUP($A230,'District Level ADM'!$A$5:$W$52,5,FALSE)="3-Year Avg."),X230,IF($A$2=2,AL230,IF($A$2=3,X230,IF(($AG230&gt;$AU230),X230,AL230)))))</f>
        <v>0</v>
      </c>
      <c r="K230" s="317">
        <f>IF(AND($A$2=4,VLOOKUP($A230,'District Level ADM'!$A$5:$W$52,5,FALSE)="Prior Year"),AM230,IF(AND($A$2=4,VLOOKUP($A230,'District Level ADM'!$A$5:$W$52,5,FALSE)="3-Year Avg."),Y230,IF($A$2=2,AM230,IF($A$2=3,Y230,IF(($AG230&gt;$AU230),Y230,AM230)))))</f>
        <v>0</v>
      </c>
      <c r="L230" s="317">
        <f>IF(AND($A$2=4,VLOOKUP($A230,'District Level ADM'!$A$5:$W$52,5,FALSE)="Prior Year"),AN230,IF(AND($A$2=4,VLOOKUP($A230,'District Level ADM'!$A$5:$W$52,5,FALSE)="3-Year Avg."),Z230,IF($A$2=2,AN230,IF($A$2=3,Z230,IF(($AG230&gt;$AU230),Z230,AN230)))))</f>
        <v>245.82533333333336</v>
      </c>
      <c r="M230" s="317">
        <f>IF(AND($A$2=4,VLOOKUP($A230,'District Level ADM'!$A$5:$W$52,5,FALSE)="Prior Year"),AO230,IF(AND($A$2=4,VLOOKUP($A230,'District Level ADM'!$A$5:$W$52,5,FALSE)="3-Year Avg."),AA230,IF($A$2=2,AO230,IF($A$2=3,AA230,IF(($AG230&gt;$AU230),AA230,AO230)))))</f>
        <v>239.12566666666666</v>
      </c>
      <c r="N230" s="317">
        <f>IF(AND($A$2=4,VLOOKUP($A230,'District Level ADM'!$A$5:$W$52,5,FALSE)="Prior Year"),AP230,IF(AND($A$2=4,VLOOKUP($A230,'District Level ADM'!$A$5:$W$52,5,FALSE)="3-Year Avg."),AB230,IF($A$2=2,AP230,IF($A$2=3,AB230,IF(($AG230&gt;$AU230),AB230,AP230)))))</f>
        <v>232.38233333333332</v>
      </c>
      <c r="O230" s="317">
        <f>IF(AND($A$2=4,VLOOKUP($A230,'District Level ADM'!$A$5:$W$52,5,FALSE)="Prior Year"),AQ230,IF(AND($A$2=4,VLOOKUP($A230,'District Level ADM'!$A$5:$W$52,5,FALSE)="3-Year Avg."),AC230,IF($A$2=2,AQ230,IF($A$2=3,AC230,IF(($AG230&gt;$AU230),AC230,AQ230)))))</f>
        <v>0</v>
      </c>
      <c r="P230" s="317">
        <f>IF(AND($A$2=4,VLOOKUP($A230,'District Level ADM'!$A$5:$W$52,5,FALSE)="Prior Year"),AR230,IF(AND($A$2=4,VLOOKUP($A230,'District Level ADM'!$A$5:$W$52,5,FALSE)="3-Year Avg."),AD230,IF($A$2=2,AR230,IF($A$2=3,AD230,IF(($AG230&gt;$AU230),AD230,AR230)))))</f>
        <v>0</v>
      </c>
      <c r="Q230" s="317">
        <f>IF(AND($A$2=4,VLOOKUP($A230,'District Level ADM'!$A$5:$W$52,5,FALSE)="Prior Year"),AS230,IF(AND($A$2=4,VLOOKUP($A230,'District Level ADM'!$A$5:$W$52,5,FALSE)="3-Year Avg."),AE230,IF($A$2=2,AS230,IF($A$2=3,AE230,IF(($AG230&gt;$AU230),AE230,AS230)))))</f>
        <v>0</v>
      </c>
      <c r="R230" s="317">
        <f>IF(AND($A$2=4,VLOOKUP($A230,'District Level ADM'!$A$5:$W$52,5,FALSE)="Prior Year"),AT230,IF(AND($A$2=4,VLOOKUP($A230,'District Level ADM'!$A$5:$W$52,5,FALSE)="3-Year Avg."),AF230,IF($A$2=2,AT230,IF($A$2=3,AF230,IF(($AG230&gt;$AU230),AF230,AT230)))))</f>
        <v>0</v>
      </c>
      <c r="S230" s="317">
        <f t="shared" si="35"/>
        <v>717.33333333333337</v>
      </c>
      <c r="T230" s="317">
        <f t="shared" si="34"/>
        <v>0</v>
      </c>
      <c r="U230" s="317">
        <f t="shared" si="34"/>
        <v>0</v>
      </c>
      <c r="V230" s="317">
        <f t="shared" si="34"/>
        <v>0</v>
      </c>
      <c r="W230" s="317">
        <f t="shared" si="34"/>
        <v>0</v>
      </c>
      <c r="X230" s="317">
        <f t="shared" si="40"/>
        <v>0</v>
      </c>
      <c r="Y230" s="317">
        <f t="shared" si="40"/>
        <v>0</v>
      </c>
      <c r="Z230" s="317">
        <f t="shared" si="40"/>
        <v>245.82533333333336</v>
      </c>
      <c r="AA230" s="317">
        <f t="shared" si="40"/>
        <v>239.12566666666666</v>
      </c>
      <c r="AB230" s="317">
        <f t="shared" si="40"/>
        <v>232.38233333333332</v>
      </c>
      <c r="AC230" s="317">
        <f t="shared" si="40"/>
        <v>0</v>
      </c>
      <c r="AD230" s="317">
        <f t="shared" si="30"/>
        <v>0</v>
      </c>
      <c r="AE230" s="317">
        <f t="shared" si="30"/>
        <v>0</v>
      </c>
      <c r="AF230" s="317">
        <f t="shared" si="30"/>
        <v>0</v>
      </c>
      <c r="AG230" s="317">
        <f t="shared" si="36"/>
        <v>717.33333333333337</v>
      </c>
      <c r="AH230" s="318">
        <v>0</v>
      </c>
      <c r="AI230" s="318">
        <v>0</v>
      </c>
      <c r="AJ230" s="318">
        <v>0</v>
      </c>
      <c r="AK230" s="318">
        <v>0</v>
      </c>
      <c r="AL230" s="318">
        <v>0</v>
      </c>
      <c r="AM230" s="318">
        <v>0</v>
      </c>
      <c r="AN230" s="318">
        <v>250.19</v>
      </c>
      <c r="AO230" s="318">
        <v>252.16</v>
      </c>
      <c r="AP230" s="318">
        <v>231.47499999999999</v>
      </c>
      <c r="AQ230" s="318">
        <v>0</v>
      </c>
      <c r="AR230" s="318">
        <v>0</v>
      </c>
      <c r="AS230" s="318">
        <v>0</v>
      </c>
      <c r="AT230" s="318">
        <v>0</v>
      </c>
      <c r="AU230" s="317">
        <f t="shared" si="37"/>
        <v>733.82500000000005</v>
      </c>
      <c r="AV230" s="319">
        <v>0</v>
      </c>
      <c r="AW230" s="319">
        <v>0</v>
      </c>
      <c r="AX230" s="319">
        <v>0</v>
      </c>
      <c r="AY230" s="319">
        <v>0</v>
      </c>
      <c r="AZ230" s="319">
        <v>0</v>
      </c>
      <c r="BA230" s="319">
        <v>0</v>
      </c>
      <c r="BB230" s="319">
        <v>262.423</v>
      </c>
      <c r="BC230" s="319">
        <v>230.49100000000001</v>
      </c>
      <c r="BD230" s="319">
        <v>244.709</v>
      </c>
      <c r="BE230" s="319">
        <v>0</v>
      </c>
      <c r="BF230" s="319">
        <v>0</v>
      </c>
      <c r="BG230" s="319">
        <v>0</v>
      </c>
      <c r="BH230" s="319">
        <v>0</v>
      </c>
      <c r="BI230" s="317">
        <f t="shared" si="39"/>
        <v>737.62300000000005</v>
      </c>
      <c r="BJ230" s="316">
        <v>0</v>
      </c>
      <c r="BK230" s="316">
        <v>0</v>
      </c>
      <c r="BL230" s="316">
        <v>0</v>
      </c>
      <c r="BM230" s="316">
        <v>0</v>
      </c>
      <c r="BN230" s="316">
        <v>0</v>
      </c>
      <c r="BO230" s="316">
        <v>0</v>
      </c>
      <c r="BP230" s="316">
        <v>224.863</v>
      </c>
      <c r="BQ230" s="316">
        <v>234.726</v>
      </c>
      <c r="BR230" s="316">
        <v>220.96299999999999</v>
      </c>
      <c r="BS230" s="316">
        <v>0</v>
      </c>
      <c r="BT230" s="316">
        <v>0</v>
      </c>
      <c r="BU230" s="316">
        <v>0</v>
      </c>
      <c r="BV230" s="316">
        <v>0</v>
      </c>
      <c r="BW230" s="317">
        <f t="shared" si="38"/>
        <v>680.55200000000002</v>
      </c>
    </row>
    <row r="231" spans="1:75" x14ac:dyDescent="0.2">
      <c r="A231" s="20" t="str">
        <f>'School Level Inst. Resources'!A231</f>
        <v>1301000</v>
      </c>
      <c r="B231" s="20" t="str">
        <f>'School Level Inst. Resources'!B231</f>
        <v>Natrona #1</v>
      </c>
      <c r="C231" s="20" t="str">
        <f>'School Level Inst. Resources'!C231</f>
        <v>1301055</v>
      </c>
      <c r="D231" s="20" t="str">
        <f>'School Level Inst. Resources'!D231</f>
        <v>Kelly Walsh High School</v>
      </c>
      <c r="E231" s="138" t="str">
        <f>'School Level Inst. Resources'!E231</f>
        <v>9-12</v>
      </c>
      <c r="F231" s="317">
        <f>IF(AND($A$2=4,VLOOKUP($A231,'District Level ADM'!$A$5:$W$52,5,FALSE)="Prior Year"),AH231,IF(AND($A$2=4,VLOOKUP($A231,'District Level ADM'!$A$5:$W$52,5,FALSE)="3-Year Avg."),T231,IF($A$2=2,AH231,IF($A$2=3,T231,IF(($AG231&gt;$AU231),T231,AH231)))))</f>
        <v>0</v>
      </c>
      <c r="G231" s="317">
        <f>IF(AND($A$2=4,VLOOKUP($A231,'District Level ADM'!$A$5:$W$52,5,FALSE)="Prior Year"),AI231,IF(AND($A$2=4,VLOOKUP($A231,'District Level ADM'!$A$5:$W$52,5,FALSE)="3-Year Avg."),U231,IF($A$2=2,AI231,IF($A$2=3,U231,IF(($AG231&gt;$AU231),U231,AI231)))))</f>
        <v>0</v>
      </c>
      <c r="H231" s="317">
        <f>IF(AND($A$2=4,VLOOKUP($A231,'District Level ADM'!$A$5:$W$52,5,FALSE)="Prior Year"),AJ231,IF(AND($A$2=4,VLOOKUP($A231,'District Level ADM'!$A$5:$W$52,5,FALSE)="3-Year Avg."),V231,IF($A$2=2,AJ231,IF($A$2=3,V231,IF(($AG231&gt;$AU231),V231,AJ231)))))</f>
        <v>0</v>
      </c>
      <c r="I231" s="317">
        <f>IF(AND($A$2=4,VLOOKUP($A231,'District Level ADM'!$A$5:$W$52,5,FALSE)="Prior Year"),AK231,IF(AND($A$2=4,VLOOKUP($A231,'District Level ADM'!$A$5:$W$52,5,FALSE)="3-Year Avg."),W231,IF($A$2=2,AK231,IF($A$2=3,W231,IF(($AG231&gt;$AU231),W231,AK231)))))</f>
        <v>0</v>
      </c>
      <c r="J231" s="317">
        <f>IF(AND($A$2=4,VLOOKUP($A231,'District Level ADM'!$A$5:$W$52,5,FALSE)="Prior Year"),AL231,IF(AND($A$2=4,VLOOKUP($A231,'District Level ADM'!$A$5:$W$52,5,FALSE)="3-Year Avg."),X231,IF($A$2=2,AL231,IF($A$2=3,X231,IF(($AG231&gt;$AU231),X231,AL231)))))</f>
        <v>0</v>
      </c>
      <c r="K231" s="317">
        <f>IF(AND($A$2=4,VLOOKUP($A231,'District Level ADM'!$A$5:$W$52,5,FALSE)="Prior Year"),AM231,IF(AND($A$2=4,VLOOKUP($A231,'District Level ADM'!$A$5:$W$52,5,FALSE)="3-Year Avg."),Y231,IF($A$2=2,AM231,IF($A$2=3,Y231,IF(($AG231&gt;$AU231),Y231,AM231)))))</f>
        <v>0</v>
      </c>
      <c r="L231" s="317">
        <f>IF(AND($A$2=4,VLOOKUP($A231,'District Level ADM'!$A$5:$W$52,5,FALSE)="Prior Year"),AN231,IF(AND($A$2=4,VLOOKUP($A231,'District Level ADM'!$A$5:$W$52,5,FALSE)="3-Year Avg."),Z231,IF($A$2=2,AN231,IF($A$2=3,Z231,IF(($AG231&gt;$AU231),Z231,AN231)))))</f>
        <v>0</v>
      </c>
      <c r="M231" s="317">
        <f>IF(AND($A$2=4,VLOOKUP($A231,'District Level ADM'!$A$5:$W$52,5,FALSE)="Prior Year"),AO231,IF(AND($A$2=4,VLOOKUP($A231,'District Level ADM'!$A$5:$W$52,5,FALSE)="3-Year Avg."),AA231,IF($A$2=2,AO231,IF($A$2=3,AA231,IF(($AG231&gt;$AU231),AA231,AO231)))))</f>
        <v>0</v>
      </c>
      <c r="N231" s="317">
        <f>IF(AND($A$2=4,VLOOKUP($A231,'District Level ADM'!$A$5:$W$52,5,FALSE)="Prior Year"),AP231,IF(AND($A$2=4,VLOOKUP($A231,'District Level ADM'!$A$5:$W$52,5,FALSE)="3-Year Avg."),AB231,IF($A$2=2,AP231,IF($A$2=3,AB231,IF(($AG231&gt;$AU231),AB231,AP231)))))</f>
        <v>0</v>
      </c>
      <c r="O231" s="317">
        <f>IF(AND($A$2=4,VLOOKUP($A231,'District Level ADM'!$A$5:$W$52,5,FALSE)="Prior Year"),AQ231,IF(AND($A$2=4,VLOOKUP($A231,'District Level ADM'!$A$5:$W$52,5,FALSE)="3-Year Avg."),AC231,IF($A$2=2,AQ231,IF($A$2=3,AC231,IF(($AG231&gt;$AU231),AC231,AQ231)))))</f>
        <v>474.5263333333333</v>
      </c>
      <c r="P231" s="317">
        <f>IF(AND($A$2=4,VLOOKUP($A231,'District Level ADM'!$A$5:$W$52,5,FALSE)="Prior Year"),AR231,IF(AND($A$2=4,VLOOKUP($A231,'District Level ADM'!$A$5:$W$52,5,FALSE)="3-Year Avg."),AD231,IF($A$2=2,AR231,IF($A$2=3,AD231,IF(($AG231&gt;$AU231),AD231,AR231)))))</f>
        <v>443.20266666666674</v>
      </c>
      <c r="Q231" s="317">
        <f>IF(AND($A$2=4,VLOOKUP($A231,'District Level ADM'!$A$5:$W$52,5,FALSE)="Prior Year"),AS231,IF(AND($A$2=4,VLOOKUP($A231,'District Level ADM'!$A$5:$W$52,5,FALSE)="3-Year Avg."),AE231,IF($A$2=2,AS231,IF($A$2=3,AE231,IF(($AG231&gt;$AU231),AE231,AS231)))))</f>
        <v>425.30766666666665</v>
      </c>
      <c r="R231" s="317">
        <f>IF(AND($A$2=4,VLOOKUP($A231,'District Level ADM'!$A$5:$W$52,5,FALSE)="Prior Year"),AT231,IF(AND($A$2=4,VLOOKUP($A231,'District Level ADM'!$A$5:$W$52,5,FALSE)="3-Year Avg."),AF231,IF($A$2=2,AT231,IF($A$2=3,AF231,IF(($AG231&gt;$AU231),AF231,AT231)))))</f>
        <v>399.09466666666668</v>
      </c>
      <c r="S231" s="317">
        <f t="shared" si="35"/>
        <v>1742.1313333333333</v>
      </c>
      <c r="T231" s="317">
        <f t="shared" si="34"/>
        <v>0</v>
      </c>
      <c r="U231" s="317">
        <f t="shared" si="34"/>
        <v>0</v>
      </c>
      <c r="V231" s="317">
        <f t="shared" si="34"/>
        <v>0</v>
      </c>
      <c r="W231" s="317">
        <f t="shared" si="34"/>
        <v>0</v>
      </c>
      <c r="X231" s="317">
        <f t="shared" si="40"/>
        <v>0</v>
      </c>
      <c r="Y231" s="317">
        <f t="shared" si="40"/>
        <v>0</v>
      </c>
      <c r="Z231" s="317">
        <f t="shared" si="40"/>
        <v>0</v>
      </c>
      <c r="AA231" s="317">
        <f t="shared" si="40"/>
        <v>0</v>
      </c>
      <c r="AB231" s="317">
        <f t="shared" si="40"/>
        <v>0</v>
      </c>
      <c r="AC231" s="317">
        <f t="shared" si="40"/>
        <v>474.5263333333333</v>
      </c>
      <c r="AD231" s="317">
        <f t="shared" si="40"/>
        <v>443.20266666666674</v>
      </c>
      <c r="AE231" s="317">
        <f t="shared" si="40"/>
        <v>425.30766666666665</v>
      </c>
      <c r="AF231" s="317">
        <f t="shared" si="40"/>
        <v>399.09466666666668</v>
      </c>
      <c r="AG231" s="317">
        <f t="shared" si="36"/>
        <v>1742.1313333333333</v>
      </c>
      <c r="AH231" s="318">
        <v>0</v>
      </c>
      <c r="AI231" s="318">
        <v>0</v>
      </c>
      <c r="AJ231" s="318">
        <v>0</v>
      </c>
      <c r="AK231" s="318">
        <v>0</v>
      </c>
      <c r="AL231" s="318">
        <v>0</v>
      </c>
      <c r="AM231" s="318">
        <v>0</v>
      </c>
      <c r="AN231" s="318">
        <v>0</v>
      </c>
      <c r="AO231" s="318">
        <v>0</v>
      </c>
      <c r="AP231" s="318">
        <v>0</v>
      </c>
      <c r="AQ231" s="318">
        <v>498.41</v>
      </c>
      <c r="AR231" s="318">
        <v>440.29500000000002</v>
      </c>
      <c r="AS231" s="318">
        <v>448.17500000000001</v>
      </c>
      <c r="AT231" s="318">
        <v>402.86500000000001</v>
      </c>
      <c r="AU231" s="317">
        <f t="shared" si="37"/>
        <v>1789.7450000000001</v>
      </c>
      <c r="AV231" s="319">
        <v>0</v>
      </c>
      <c r="AW231" s="319">
        <v>0</v>
      </c>
      <c r="AX231" s="319">
        <v>0</v>
      </c>
      <c r="AY231" s="319">
        <v>0</v>
      </c>
      <c r="AZ231" s="319">
        <v>0</v>
      </c>
      <c r="BA231" s="319">
        <v>0</v>
      </c>
      <c r="BB231" s="319">
        <v>0</v>
      </c>
      <c r="BC231" s="319">
        <v>0</v>
      </c>
      <c r="BD231" s="319">
        <v>0</v>
      </c>
      <c r="BE231" s="319">
        <v>441.52600000000001</v>
      </c>
      <c r="BF231" s="319">
        <v>473.40499999999997</v>
      </c>
      <c r="BG231" s="319">
        <v>384.46300000000002</v>
      </c>
      <c r="BH231" s="319">
        <v>428.24900000000002</v>
      </c>
      <c r="BI231" s="317">
        <f t="shared" si="39"/>
        <v>1727.643</v>
      </c>
      <c r="BJ231" s="316">
        <v>0</v>
      </c>
      <c r="BK231" s="316">
        <v>0</v>
      </c>
      <c r="BL231" s="316">
        <v>0</v>
      </c>
      <c r="BM231" s="316">
        <v>0</v>
      </c>
      <c r="BN231" s="316">
        <v>0</v>
      </c>
      <c r="BO231" s="316">
        <v>0</v>
      </c>
      <c r="BP231" s="316">
        <v>0</v>
      </c>
      <c r="BQ231" s="316">
        <v>0</v>
      </c>
      <c r="BR231" s="316">
        <v>0</v>
      </c>
      <c r="BS231" s="316">
        <v>483.64299999999997</v>
      </c>
      <c r="BT231" s="316">
        <v>415.90800000000002</v>
      </c>
      <c r="BU231" s="316">
        <v>443.28500000000003</v>
      </c>
      <c r="BV231" s="316">
        <v>366.17</v>
      </c>
      <c r="BW231" s="317">
        <f t="shared" si="38"/>
        <v>1709.0060000000001</v>
      </c>
    </row>
    <row r="232" spans="1:75" x14ac:dyDescent="0.2">
      <c r="A232" s="20" t="str">
        <f>'School Level Inst. Resources'!A232</f>
        <v>1301000</v>
      </c>
      <c r="B232" s="20" t="str">
        <f>'School Level Inst. Resources'!B232</f>
        <v>Natrona #1</v>
      </c>
      <c r="C232" s="20" t="str">
        <f>'School Level Inst. Resources'!C232</f>
        <v>1301057</v>
      </c>
      <c r="D232" s="20" t="str">
        <f>'School Level Inst. Resources'!D232</f>
        <v>Natrona County High School</v>
      </c>
      <c r="E232" s="138" t="str">
        <f>'School Level Inst. Resources'!E232</f>
        <v>9-12</v>
      </c>
      <c r="F232" s="317">
        <f>IF(AND($A$2=4,VLOOKUP($A232,'District Level ADM'!$A$5:$W$52,5,FALSE)="Prior Year"),AH232,IF(AND($A$2=4,VLOOKUP($A232,'District Level ADM'!$A$5:$W$52,5,FALSE)="3-Year Avg."),T232,IF($A$2=2,AH232,IF($A$2=3,T232,IF(($AG232&gt;$AU232),T232,AH232)))))</f>
        <v>0</v>
      </c>
      <c r="G232" s="317">
        <f>IF(AND($A$2=4,VLOOKUP($A232,'District Level ADM'!$A$5:$W$52,5,FALSE)="Prior Year"),AI232,IF(AND($A$2=4,VLOOKUP($A232,'District Level ADM'!$A$5:$W$52,5,FALSE)="3-Year Avg."),U232,IF($A$2=2,AI232,IF($A$2=3,U232,IF(($AG232&gt;$AU232),U232,AI232)))))</f>
        <v>0</v>
      </c>
      <c r="H232" s="317">
        <f>IF(AND($A$2=4,VLOOKUP($A232,'District Level ADM'!$A$5:$W$52,5,FALSE)="Prior Year"),AJ232,IF(AND($A$2=4,VLOOKUP($A232,'District Level ADM'!$A$5:$W$52,5,FALSE)="3-Year Avg."),V232,IF($A$2=2,AJ232,IF($A$2=3,V232,IF(($AG232&gt;$AU232),V232,AJ232)))))</f>
        <v>0</v>
      </c>
      <c r="I232" s="317">
        <f>IF(AND($A$2=4,VLOOKUP($A232,'District Level ADM'!$A$5:$W$52,5,FALSE)="Prior Year"),AK232,IF(AND($A$2=4,VLOOKUP($A232,'District Level ADM'!$A$5:$W$52,5,FALSE)="3-Year Avg."),W232,IF($A$2=2,AK232,IF($A$2=3,W232,IF(($AG232&gt;$AU232),W232,AK232)))))</f>
        <v>0</v>
      </c>
      <c r="J232" s="317">
        <f>IF(AND($A$2=4,VLOOKUP($A232,'District Level ADM'!$A$5:$W$52,5,FALSE)="Prior Year"),AL232,IF(AND($A$2=4,VLOOKUP($A232,'District Level ADM'!$A$5:$W$52,5,FALSE)="3-Year Avg."),X232,IF($A$2=2,AL232,IF($A$2=3,X232,IF(($AG232&gt;$AU232),X232,AL232)))))</f>
        <v>0</v>
      </c>
      <c r="K232" s="317">
        <f>IF(AND($A$2=4,VLOOKUP($A232,'District Level ADM'!$A$5:$W$52,5,FALSE)="Prior Year"),AM232,IF(AND($A$2=4,VLOOKUP($A232,'District Level ADM'!$A$5:$W$52,5,FALSE)="3-Year Avg."),Y232,IF($A$2=2,AM232,IF($A$2=3,Y232,IF(($AG232&gt;$AU232),Y232,AM232)))))</f>
        <v>0</v>
      </c>
      <c r="L232" s="317">
        <f>IF(AND($A$2=4,VLOOKUP($A232,'District Level ADM'!$A$5:$W$52,5,FALSE)="Prior Year"),AN232,IF(AND($A$2=4,VLOOKUP($A232,'District Level ADM'!$A$5:$W$52,5,FALSE)="3-Year Avg."),Z232,IF($A$2=2,AN232,IF($A$2=3,Z232,IF(($AG232&gt;$AU232),Z232,AN232)))))</f>
        <v>0</v>
      </c>
      <c r="M232" s="317">
        <f>IF(AND($A$2=4,VLOOKUP($A232,'District Level ADM'!$A$5:$W$52,5,FALSE)="Prior Year"),AO232,IF(AND($A$2=4,VLOOKUP($A232,'District Level ADM'!$A$5:$W$52,5,FALSE)="3-Year Avg."),AA232,IF($A$2=2,AO232,IF($A$2=3,AA232,IF(($AG232&gt;$AU232),AA232,AO232)))))</f>
        <v>0</v>
      </c>
      <c r="N232" s="317">
        <f>IF(AND($A$2=4,VLOOKUP($A232,'District Level ADM'!$A$5:$W$52,5,FALSE)="Prior Year"),AP232,IF(AND($A$2=4,VLOOKUP($A232,'District Level ADM'!$A$5:$W$52,5,FALSE)="3-Year Avg."),AB232,IF($A$2=2,AP232,IF($A$2=3,AB232,IF(($AG232&gt;$AU232),AB232,AP232)))))</f>
        <v>0</v>
      </c>
      <c r="O232" s="317">
        <f>IF(AND($A$2=4,VLOOKUP($A232,'District Level ADM'!$A$5:$W$52,5,FALSE)="Prior Year"),AQ232,IF(AND($A$2=4,VLOOKUP($A232,'District Level ADM'!$A$5:$W$52,5,FALSE)="3-Year Avg."),AC232,IF($A$2=2,AQ232,IF($A$2=3,AC232,IF(($AG232&gt;$AU232),AC232,AQ232)))))</f>
        <v>436.26933333333335</v>
      </c>
      <c r="P232" s="317">
        <f>IF(AND($A$2=4,VLOOKUP($A232,'District Level ADM'!$A$5:$W$52,5,FALSE)="Prior Year"),AR232,IF(AND($A$2=4,VLOOKUP($A232,'District Level ADM'!$A$5:$W$52,5,FALSE)="3-Year Avg."),AD232,IF($A$2=2,AR232,IF($A$2=3,AD232,IF(($AG232&gt;$AU232),AD232,AR232)))))</f>
        <v>414.00866666666661</v>
      </c>
      <c r="Q232" s="317">
        <f>IF(AND($A$2=4,VLOOKUP($A232,'District Level ADM'!$A$5:$W$52,5,FALSE)="Prior Year"),AS232,IF(AND($A$2=4,VLOOKUP($A232,'District Level ADM'!$A$5:$W$52,5,FALSE)="3-Year Avg."),AE232,IF($A$2=2,AS232,IF($A$2=3,AE232,IF(($AG232&gt;$AU232),AE232,AS232)))))</f>
        <v>379.98633333333328</v>
      </c>
      <c r="R232" s="317">
        <f>IF(AND($A$2=4,VLOOKUP($A232,'District Level ADM'!$A$5:$W$52,5,FALSE)="Prior Year"),AT232,IF(AND($A$2=4,VLOOKUP($A232,'District Level ADM'!$A$5:$W$52,5,FALSE)="3-Year Avg."),AF232,IF($A$2=2,AT232,IF($A$2=3,AF232,IF(($AG232&gt;$AU232),AF232,AT232)))))</f>
        <v>376.49266666666659</v>
      </c>
      <c r="S232" s="317">
        <f t="shared" si="35"/>
        <v>1606.7569999999998</v>
      </c>
      <c r="T232" s="317">
        <f t="shared" si="34"/>
        <v>0</v>
      </c>
      <c r="U232" s="317">
        <f t="shared" si="34"/>
        <v>0</v>
      </c>
      <c r="V232" s="317">
        <f t="shared" si="34"/>
        <v>0</v>
      </c>
      <c r="W232" s="317">
        <f t="shared" si="34"/>
        <v>0</v>
      </c>
      <c r="X232" s="317">
        <f t="shared" si="40"/>
        <v>0</v>
      </c>
      <c r="Y232" s="317">
        <f t="shared" si="40"/>
        <v>0</v>
      </c>
      <c r="Z232" s="317">
        <f t="shared" si="40"/>
        <v>0</v>
      </c>
      <c r="AA232" s="317">
        <f t="shared" si="40"/>
        <v>0</v>
      </c>
      <c r="AB232" s="317">
        <f t="shared" si="40"/>
        <v>0</v>
      </c>
      <c r="AC232" s="317">
        <f t="shared" si="40"/>
        <v>436.26933333333335</v>
      </c>
      <c r="AD232" s="317">
        <f t="shared" si="40"/>
        <v>414.00866666666661</v>
      </c>
      <c r="AE232" s="317">
        <f t="shared" si="40"/>
        <v>379.98633333333328</v>
      </c>
      <c r="AF232" s="317">
        <f t="shared" si="40"/>
        <v>376.49266666666659</v>
      </c>
      <c r="AG232" s="317">
        <f t="shared" si="36"/>
        <v>1606.7569999999998</v>
      </c>
      <c r="AH232" s="318">
        <v>0</v>
      </c>
      <c r="AI232" s="318">
        <v>0</v>
      </c>
      <c r="AJ232" s="318">
        <v>0</v>
      </c>
      <c r="AK232" s="318">
        <v>0</v>
      </c>
      <c r="AL232" s="318">
        <v>0</v>
      </c>
      <c r="AM232" s="318">
        <v>0</v>
      </c>
      <c r="AN232" s="318">
        <v>0</v>
      </c>
      <c r="AO232" s="318">
        <v>0</v>
      </c>
      <c r="AP232" s="318">
        <v>0</v>
      </c>
      <c r="AQ232" s="318">
        <v>476.74</v>
      </c>
      <c r="AR232" s="318">
        <v>417.64</v>
      </c>
      <c r="AS232" s="318">
        <v>390.06</v>
      </c>
      <c r="AT232" s="318">
        <v>404.83499999999998</v>
      </c>
      <c r="AU232" s="317">
        <f t="shared" si="37"/>
        <v>1689.2750000000001</v>
      </c>
      <c r="AV232" s="319">
        <v>0</v>
      </c>
      <c r="AW232" s="319">
        <v>0</v>
      </c>
      <c r="AX232" s="319">
        <v>0</v>
      </c>
      <c r="AY232" s="319">
        <v>0</v>
      </c>
      <c r="AZ232" s="319">
        <v>0</v>
      </c>
      <c r="BA232" s="319">
        <v>0</v>
      </c>
      <c r="BB232" s="319">
        <v>0</v>
      </c>
      <c r="BC232" s="319">
        <v>0</v>
      </c>
      <c r="BD232" s="319">
        <v>0</v>
      </c>
      <c r="BE232" s="319">
        <v>436.46300000000002</v>
      </c>
      <c r="BF232" s="319">
        <v>388.68900000000002</v>
      </c>
      <c r="BG232" s="319">
        <v>393.54899999999998</v>
      </c>
      <c r="BH232" s="319">
        <v>335.45699999999999</v>
      </c>
      <c r="BI232" s="317">
        <f t="shared" si="39"/>
        <v>1554.1579999999999</v>
      </c>
      <c r="BJ232" s="316">
        <v>0</v>
      </c>
      <c r="BK232" s="316">
        <v>0</v>
      </c>
      <c r="BL232" s="316">
        <v>0</v>
      </c>
      <c r="BM232" s="316">
        <v>0</v>
      </c>
      <c r="BN232" s="316">
        <v>0</v>
      </c>
      <c r="BO232" s="316">
        <v>0</v>
      </c>
      <c r="BP232" s="316">
        <v>0</v>
      </c>
      <c r="BQ232" s="316">
        <v>0</v>
      </c>
      <c r="BR232" s="316">
        <v>0</v>
      </c>
      <c r="BS232" s="316">
        <v>395.60500000000002</v>
      </c>
      <c r="BT232" s="316">
        <v>435.697</v>
      </c>
      <c r="BU232" s="316">
        <v>356.35</v>
      </c>
      <c r="BV232" s="316">
        <v>389.18599999999998</v>
      </c>
      <c r="BW232" s="317">
        <f t="shared" si="38"/>
        <v>1576.838</v>
      </c>
    </row>
    <row r="233" spans="1:75" x14ac:dyDescent="0.2">
      <c r="A233" s="20" t="str">
        <f>'School Level Inst. Resources'!A233</f>
        <v>1301000</v>
      </c>
      <c r="B233" s="20" t="str">
        <f>'School Level Inst. Resources'!B233</f>
        <v>Natrona #1</v>
      </c>
      <c r="C233" s="20" t="str">
        <f>'School Level Inst. Resources'!C233</f>
        <v>1301058</v>
      </c>
      <c r="D233" s="20" t="str">
        <f>'School Level Inst. Resources'!D233</f>
        <v>Roosevelt High School</v>
      </c>
      <c r="E233" s="138" t="str">
        <f>'School Level Inst. Resources'!E233</f>
        <v>7-12</v>
      </c>
      <c r="F233" s="317">
        <f>IF(AND($A$2=4,VLOOKUP($A233,'District Level ADM'!$A$5:$W$52,5,FALSE)="Prior Year"),AH233,IF(AND($A$2=4,VLOOKUP($A233,'District Level ADM'!$A$5:$W$52,5,FALSE)="3-Year Avg."),T233,IF($A$2=2,AH233,IF($A$2=3,T233,IF(($AG233&gt;$AU233),T233,AH233)))))</f>
        <v>0</v>
      </c>
      <c r="G233" s="317">
        <f>IF(AND($A$2=4,VLOOKUP($A233,'District Level ADM'!$A$5:$W$52,5,FALSE)="Prior Year"),AI233,IF(AND($A$2=4,VLOOKUP($A233,'District Level ADM'!$A$5:$W$52,5,FALSE)="3-Year Avg."),U233,IF($A$2=2,AI233,IF($A$2=3,U233,IF(($AG233&gt;$AU233),U233,AI233)))))</f>
        <v>0</v>
      </c>
      <c r="H233" s="317">
        <f>IF(AND($A$2=4,VLOOKUP($A233,'District Level ADM'!$A$5:$W$52,5,FALSE)="Prior Year"),AJ233,IF(AND($A$2=4,VLOOKUP($A233,'District Level ADM'!$A$5:$W$52,5,FALSE)="3-Year Avg."),V233,IF($A$2=2,AJ233,IF($A$2=3,V233,IF(($AG233&gt;$AU233),V233,AJ233)))))</f>
        <v>0</v>
      </c>
      <c r="I233" s="317">
        <f>IF(AND($A$2=4,VLOOKUP($A233,'District Level ADM'!$A$5:$W$52,5,FALSE)="Prior Year"),AK233,IF(AND($A$2=4,VLOOKUP($A233,'District Level ADM'!$A$5:$W$52,5,FALSE)="3-Year Avg."),W233,IF($A$2=2,AK233,IF($A$2=3,W233,IF(($AG233&gt;$AU233),W233,AK233)))))</f>
        <v>0</v>
      </c>
      <c r="J233" s="317">
        <f>IF(AND($A$2=4,VLOOKUP($A233,'District Level ADM'!$A$5:$W$52,5,FALSE)="Prior Year"),AL233,IF(AND($A$2=4,VLOOKUP($A233,'District Level ADM'!$A$5:$W$52,5,FALSE)="3-Year Avg."),X233,IF($A$2=2,AL233,IF($A$2=3,X233,IF(($AG233&gt;$AU233),X233,AL233)))))</f>
        <v>0</v>
      </c>
      <c r="K233" s="317">
        <f>IF(AND($A$2=4,VLOOKUP($A233,'District Level ADM'!$A$5:$W$52,5,FALSE)="Prior Year"),AM233,IF(AND($A$2=4,VLOOKUP($A233,'District Level ADM'!$A$5:$W$52,5,FALSE)="3-Year Avg."),Y233,IF($A$2=2,AM233,IF($A$2=3,Y233,IF(($AG233&gt;$AU233),Y233,AM233)))))</f>
        <v>0</v>
      </c>
      <c r="L233" s="317">
        <f>IF(AND($A$2=4,VLOOKUP($A233,'District Level ADM'!$A$5:$W$52,5,FALSE)="Prior Year"),AN233,IF(AND($A$2=4,VLOOKUP($A233,'District Level ADM'!$A$5:$W$52,5,FALSE)="3-Year Avg."),Z233,IF($A$2=2,AN233,IF($A$2=3,Z233,IF(($AG233&gt;$AU233),Z233,AN233)))))</f>
        <v>0</v>
      </c>
      <c r="M233" s="317">
        <f>IF(AND($A$2=4,VLOOKUP($A233,'District Level ADM'!$A$5:$W$52,5,FALSE)="Prior Year"),AO233,IF(AND($A$2=4,VLOOKUP($A233,'District Level ADM'!$A$5:$W$52,5,FALSE)="3-Year Avg."),AA233,IF($A$2=2,AO233,IF($A$2=3,AA233,IF(($AG233&gt;$AU233),AA233,AO233)))))</f>
        <v>0</v>
      </c>
      <c r="N233" s="317">
        <f>IF(AND($A$2=4,VLOOKUP($A233,'District Level ADM'!$A$5:$W$52,5,FALSE)="Prior Year"),AP233,IF(AND($A$2=4,VLOOKUP($A233,'District Level ADM'!$A$5:$W$52,5,FALSE)="3-Year Avg."),AB233,IF($A$2=2,AP233,IF($A$2=3,AB233,IF(($AG233&gt;$AU233),AB233,AP233)))))</f>
        <v>0</v>
      </c>
      <c r="O233" s="317">
        <f>IF(AND($A$2=4,VLOOKUP($A233,'District Level ADM'!$A$5:$W$52,5,FALSE)="Prior Year"),AQ233,IF(AND($A$2=4,VLOOKUP($A233,'District Level ADM'!$A$5:$W$52,5,FALSE)="3-Year Avg."),AC233,IF($A$2=2,AQ233,IF($A$2=3,AC233,IF(($AG233&gt;$AU233),AC233,AQ233)))))</f>
        <v>37.365000000000002</v>
      </c>
      <c r="P233" s="317">
        <f>IF(AND($A$2=4,VLOOKUP($A233,'District Level ADM'!$A$5:$W$52,5,FALSE)="Prior Year"),AR233,IF(AND($A$2=4,VLOOKUP($A233,'District Level ADM'!$A$5:$W$52,5,FALSE)="3-Year Avg."),AD233,IF($A$2=2,AR233,IF($A$2=3,AD233,IF(($AG233&gt;$AU233),AD233,AR233)))))</f>
        <v>50.457333333333338</v>
      </c>
      <c r="Q233" s="317">
        <f>IF(AND($A$2=4,VLOOKUP($A233,'District Level ADM'!$A$5:$W$52,5,FALSE)="Prior Year"),AS233,IF(AND($A$2=4,VLOOKUP($A233,'District Level ADM'!$A$5:$W$52,5,FALSE)="3-Year Avg."),AE233,IF($A$2=2,AS233,IF($A$2=3,AE233,IF(($AG233&gt;$AU233),AE233,AS233)))))</f>
        <v>54.383000000000003</v>
      </c>
      <c r="R233" s="317">
        <f>IF(AND($A$2=4,VLOOKUP($A233,'District Level ADM'!$A$5:$W$52,5,FALSE)="Prior Year"),AT233,IF(AND($A$2=4,VLOOKUP($A233,'District Level ADM'!$A$5:$W$52,5,FALSE)="3-Year Avg."),AF233,IF($A$2=2,AT233,IF($A$2=3,AF233,IF(($AG233&gt;$AU233),AF233,AT233)))))</f>
        <v>56.887666666666668</v>
      </c>
      <c r="S233" s="317">
        <f t="shared" si="35"/>
        <v>199.09300000000002</v>
      </c>
      <c r="T233" s="317">
        <f t="shared" si="34"/>
        <v>0</v>
      </c>
      <c r="U233" s="317">
        <f t="shared" si="34"/>
        <v>0</v>
      </c>
      <c r="V233" s="317">
        <f t="shared" si="34"/>
        <v>0</v>
      </c>
      <c r="W233" s="317">
        <f t="shared" si="34"/>
        <v>0</v>
      </c>
      <c r="X233" s="317">
        <f t="shared" si="40"/>
        <v>0</v>
      </c>
      <c r="Y233" s="317">
        <f t="shared" si="40"/>
        <v>0</v>
      </c>
      <c r="Z233" s="317">
        <f t="shared" si="40"/>
        <v>0</v>
      </c>
      <c r="AA233" s="317">
        <f t="shared" si="40"/>
        <v>0</v>
      </c>
      <c r="AB233" s="317">
        <f t="shared" si="40"/>
        <v>0</v>
      </c>
      <c r="AC233" s="317">
        <f t="shared" si="40"/>
        <v>37.365000000000002</v>
      </c>
      <c r="AD233" s="317">
        <f t="shared" si="40"/>
        <v>50.457333333333338</v>
      </c>
      <c r="AE233" s="317">
        <f t="shared" si="40"/>
        <v>54.383000000000003</v>
      </c>
      <c r="AF233" s="317">
        <f t="shared" si="40"/>
        <v>56.887666666666668</v>
      </c>
      <c r="AG233" s="317">
        <f t="shared" si="36"/>
        <v>199.09300000000002</v>
      </c>
      <c r="AH233" s="318">
        <v>0</v>
      </c>
      <c r="AI233" s="318">
        <v>0</v>
      </c>
      <c r="AJ233" s="318">
        <v>0</v>
      </c>
      <c r="AK233" s="318">
        <v>0</v>
      </c>
      <c r="AL233" s="318">
        <v>0</v>
      </c>
      <c r="AM233" s="318">
        <v>0</v>
      </c>
      <c r="AN233" s="318">
        <v>0</v>
      </c>
      <c r="AO233" s="318">
        <v>0</v>
      </c>
      <c r="AP233" s="318">
        <v>0</v>
      </c>
      <c r="AQ233" s="318">
        <v>41.37</v>
      </c>
      <c r="AR233" s="318">
        <v>58.115000000000002</v>
      </c>
      <c r="AS233" s="318">
        <v>47.28</v>
      </c>
      <c r="AT233" s="318">
        <v>75.844999999999999</v>
      </c>
      <c r="AU233" s="317">
        <f t="shared" si="37"/>
        <v>222.60999999999999</v>
      </c>
      <c r="AV233" s="319">
        <v>0</v>
      </c>
      <c r="AW233" s="319">
        <v>0</v>
      </c>
      <c r="AX233" s="319">
        <v>0</v>
      </c>
      <c r="AY233" s="319">
        <v>0</v>
      </c>
      <c r="AZ233" s="319">
        <v>0</v>
      </c>
      <c r="BA233" s="319">
        <v>0</v>
      </c>
      <c r="BB233" s="319">
        <v>0</v>
      </c>
      <c r="BC233" s="319">
        <v>0</v>
      </c>
      <c r="BD233" s="319">
        <v>0</v>
      </c>
      <c r="BE233" s="319">
        <v>42.554000000000002</v>
      </c>
      <c r="BF233" s="319">
        <v>48.006</v>
      </c>
      <c r="BG233" s="319">
        <v>68.245999999999995</v>
      </c>
      <c r="BH233" s="319">
        <v>62.149000000000001</v>
      </c>
      <c r="BI233" s="317">
        <f t="shared" si="39"/>
        <v>220.95499999999998</v>
      </c>
      <c r="BJ233" s="316">
        <v>0</v>
      </c>
      <c r="BK233" s="316">
        <v>0</v>
      </c>
      <c r="BL233" s="316">
        <v>0</v>
      </c>
      <c r="BM233" s="316">
        <v>0</v>
      </c>
      <c r="BN233" s="316">
        <v>0</v>
      </c>
      <c r="BO233" s="316">
        <v>0</v>
      </c>
      <c r="BP233" s="316">
        <v>0</v>
      </c>
      <c r="BQ233" s="316">
        <v>0</v>
      </c>
      <c r="BR233" s="316">
        <v>0</v>
      </c>
      <c r="BS233" s="316">
        <v>28.170999999999999</v>
      </c>
      <c r="BT233" s="316">
        <v>45.250999999999998</v>
      </c>
      <c r="BU233" s="316">
        <v>47.622999999999998</v>
      </c>
      <c r="BV233" s="316">
        <v>32.668999999999997</v>
      </c>
      <c r="BW233" s="317">
        <f t="shared" si="38"/>
        <v>153.714</v>
      </c>
    </row>
    <row r="234" spans="1:75" x14ac:dyDescent="0.2">
      <c r="A234" s="20" t="str">
        <f>'School Level Inst. Resources'!A234</f>
        <v>1401000</v>
      </c>
      <c r="B234" s="20" t="str">
        <f>'School Level Inst. Resources'!B234</f>
        <v>Niobrara #1</v>
      </c>
      <c r="C234" s="20" t="str">
        <f>'School Level Inst. Resources'!C234</f>
        <v>1401003</v>
      </c>
      <c r="D234" s="20" t="str">
        <f>'School Level Inst. Resources'!D234</f>
        <v>Lance Creek Elementary</v>
      </c>
      <c r="E234" s="138" t="str">
        <f>'School Level Inst. Resources'!E234</f>
        <v>K-6</v>
      </c>
      <c r="F234" s="317">
        <f>IF(AND($A$2=4,VLOOKUP($A234,'District Level ADM'!$A$5:$W$52,5,FALSE)="Prior Year"),AH234,IF(AND($A$2=4,VLOOKUP($A234,'District Level ADM'!$A$5:$W$52,5,FALSE)="3-Year Avg."),T234,IF($A$2=2,AH234,IF($A$2=3,T234,IF(($AG234&gt;$AU234),T234,AH234)))))</f>
        <v>0.32833333333333331</v>
      </c>
      <c r="G234" s="317">
        <f>IF(AND($A$2=4,VLOOKUP($A234,'District Level ADM'!$A$5:$W$52,5,FALSE)="Prior Year"),AI234,IF(AND($A$2=4,VLOOKUP($A234,'District Level ADM'!$A$5:$W$52,5,FALSE)="3-Year Avg."),U234,IF($A$2=2,AI234,IF($A$2=3,U234,IF(($AG234&gt;$AU234),U234,AI234)))))</f>
        <v>0.9953333333333334</v>
      </c>
      <c r="H234" s="317">
        <f>IF(AND($A$2=4,VLOOKUP($A234,'District Level ADM'!$A$5:$W$52,5,FALSE)="Prior Year"),AJ234,IF(AND($A$2=4,VLOOKUP($A234,'District Level ADM'!$A$5:$W$52,5,FALSE)="3-Year Avg."),V234,IF($A$2=2,AJ234,IF($A$2=3,V234,IF(($AG234&gt;$AU234),V234,AJ234)))))</f>
        <v>0.99766666666666659</v>
      </c>
      <c r="I234" s="317">
        <f>IF(AND($A$2=4,VLOOKUP($A234,'District Level ADM'!$A$5:$W$52,5,FALSE)="Prior Year"),AK234,IF(AND($A$2=4,VLOOKUP($A234,'District Level ADM'!$A$5:$W$52,5,FALSE)="3-Year Avg."),W234,IF($A$2=2,AK234,IF($A$2=3,W234,IF(($AG234&gt;$AU234),W234,AK234)))))</f>
        <v>1.3236666666666668</v>
      </c>
      <c r="J234" s="317">
        <f>IF(AND($A$2=4,VLOOKUP($A234,'District Level ADM'!$A$5:$W$52,5,FALSE)="Prior Year"),AL234,IF(AND($A$2=4,VLOOKUP($A234,'District Level ADM'!$A$5:$W$52,5,FALSE)="3-Year Avg."),X234,IF($A$2=2,AL234,IF($A$2=3,X234,IF(($AG234&gt;$AU234),X234,AL234)))))</f>
        <v>0.66166666666666663</v>
      </c>
      <c r="K234" s="317">
        <f>IF(AND($A$2=4,VLOOKUP($A234,'District Level ADM'!$A$5:$W$52,5,FALSE)="Prior Year"),AM234,IF(AND($A$2=4,VLOOKUP($A234,'District Level ADM'!$A$5:$W$52,5,FALSE)="3-Year Avg."),Y234,IF($A$2=2,AM234,IF($A$2=3,Y234,IF(($AG234&gt;$AU234),Y234,AM234)))))</f>
        <v>0</v>
      </c>
      <c r="L234" s="317">
        <f>IF(AND($A$2=4,VLOOKUP($A234,'District Level ADM'!$A$5:$W$52,5,FALSE)="Prior Year"),AN234,IF(AND($A$2=4,VLOOKUP($A234,'District Level ADM'!$A$5:$W$52,5,FALSE)="3-Year Avg."),Z234,IF($A$2=2,AN234,IF($A$2=3,Z234,IF(($AG234&gt;$AU234),Z234,AN234)))))</f>
        <v>0</v>
      </c>
      <c r="M234" s="317">
        <f>IF(AND($A$2=4,VLOOKUP($A234,'District Level ADM'!$A$5:$W$52,5,FALSE)="Prior Year"),AO234,IF(AND($A$2=4,VLOOKUP($A234,'District Level ADM'!$A$5:$W$52,5,FALSE)="3-Year Avg."),AA234,IF($A$2=2,AO234,IF($A$2=3,AA234,IF(($AG234&gt;$AU234),AA234,AO234)))))</f>
        <v>0</v>
      </c>
      <c r="N234" s="317">
        <f>IF(AND($A$2=4,VLOOKUP($A234,'District Level ADM'!$A$5:$W$52,5,FALSE)="Prior Year"),AP234,IF(AND($A$2=4,VLOOKUP($A234,'District Level ADM'!$A$5:$W$52,5,FALSE)="3-Year Avg."),AB234,IF($A$2=2,AP234,IF($A$2=3,AB234,IF(($AG234&gt;$AU234),AB234,AP234)))))</f>
        <v>0</v>
      </c>
      <c r="O234" s="317">
        <f>IF(AND($A$2=4,VLOOKUP($A234,'District Level ADM'!$A$5:$W$52,5,FALSE)="Prior Year"),AQ234,IF(AND($A$2=4,VLOOKUP($A234,'District Level ADM'!$A$5:$W$52,5,FALSE)="3-Year Avg."),AC234,IF($A$2=2,AQ234,IF($A$2=3,AC234,IF(($AG234&gt;$AU234),AC234,AQ234)))))</f>
        <v>0</v>
      </c>
      <c r="P234" s="317">
        <f>IF(AND($A$2=4,VLOOKUP($A234,'District Level ADM'!$A$5:$W$52,5,FALSE)="Prior Year"),AR234,IF(AND($A$2=4,VLOOKUP($A234,'District Level ADM'!$A$5:$W$52,5,FALSE)="3-Year Avg."),AD234,IF($A$2=2,AR234,IF($A$2=3,AD234,IF(($AG234&gt;$AU234),AD234,AR234)))))</f>
        <v>0</v>
      </c>
      <c r="Q234" s="317">
        <f>IF(AND($A$2=4,VLOOKUP($A234,'District Level ADM'!$A$5:$W$52,5,FALSE)="Prior Year"),AS234,IF(AND($A$2=4,VLOOKUP($A234,'District Level ADM'!$A$5:$W$52,5,FALSE)="3-Year Avg."),AE234,IF($A$2=2,AS234,IF($A$2=3,AE234,IF(($AG234&gt;$AU234),AE234,AS234)))))</f>
        <v>0</v>
      </c>
      <c r="R234" s="317">
        <f>IF(AND($A$2=4,VLOOKUP($A234,'District Level ADM'!$A$5:$W$52,5,FALSE)="Prior Year"),AT234,IF(AND($A$2=4,VLOOKUP($A234,'District Level ADM'!$A$5:$W$52,5,FALSE)="3-Year Avg."),AF234,IF($A$2=2,AT234,IF($A$2=3,AF234,IF(($AG234&gt;$AU234),AF234,AT234)))))</f>
        <v>0</v>
      </c>
      <c r="S234" s="317">
        <f t="shared" si="35"/>
        <v>4.3066666666666666</v>
      </c>
      <c r="T234" s="317">
        <f t="shared" si="34"/>
        <v>0.32833333333333331</v>
      </c>
      <c r="U234" s="317">
        <f t="shared" si="34"/>
        <v>0.9953333333333334</v>
      </c>
      <c r="V234" s="317">
        <f t="shared" si="34"/>
        <v>0.99766666666666659</v>
      </c>
      <c r="W234" s="317">
        <f t="shared" si="34"/>
        <v>1.3236666666666668</v>
      </c>
      <c r="X234" s="317">
        <f t="shared" si="40"/>
        <v>0.66166666666666663</v>
      </c>
      <c r="Y234" s="317">
        <f t="shared" si="40"/>
        <v>0</v>
      </c>
      <c r="Z234" s="317">
        <f t="shared" si="40"/>
        <v>0</v>
      </c>
      <c r="AA234" s="317">
        <f t="shared" si="40"/>
        <v>0</v>
      </c>
      <c r="AB234" s="317">
        <f t="shared" si="40"/>
        <v>0</v>
      </c>
      <c r="AC234" s="317">
        <f t="shared" si="40"/>
        <v>0</v>
      </c>
      <c r="AD234" s="317">
        <f t="shared" si="40"/>
        <v>0</v>
      </c>
      <c r="AE234" s="317">
        <f t="shared" si="40"/>
        <v>0</v>
      </c>
      <c r="AF234" s="317">
        <f t="shared" si="40"/>
        <v>0</v>
      </c>
      <c r="AG234" s="317">
        <f t="shared" si="36"/>
        <v>4.3066666666666666</v>
      </c>
      <c r="AH234" s="318">
        <v>0.98499999999999999</v>
      </c>
      <c r="AI234" s="318">
        <v>0</v>
      </c>
      <c r="AJ234" s="318">
        <v>0</v>
      </c>
      <c r="AK234" s="318">
        <v>0.98499999999999999</v>
      </c>
      <c r="AL234" s="318">
        <v>0.98499999999999999</v>
      </c>
      <c r="AM234" s="318">
        <v>0</v>
      </c>
      <c r="AN234" s="318">
        <v>0</v>
      </c>
      <c r="AO234" s="318">
        <v>0</v>
      </c>
      <c r="AP234" s="318">
        <v>0</v>
      </c>
      <c r="AQ234" s="318">
        <v>0</v>
      </c>
      <c r="AR234" s="318">
        <v>0</v>
      </c>
      <c r="AS234" s="318">
        <v>0</v>
      </c>
      <c r="AT234" s="318">
        <v>0</v>
      </c>
      <c r="AU234" s="317">
        <f t="shared" si="37"/>
        <v>2.9550000000000001</v>
      </c>
      <c r="AV234" s="319">
        <v>0</v>
      </c>
      <c r="AW234" s="319">
        <v>0</v>
      </c>
      <c r="AX234" s="319">
        <v>2</v>
      </c>
      <c r="AY234" s="319">
        <v>1</v>
      </c>
      <c r="AZ234" s="319">
        <v>1</v>
      </c>
      <c r="BA234" s="319">
        <v>0</v>
      </c>
      <c r="BB234" s="319">
        <v>0</v>
      </c>
      <c r="BC234" s="319">
        <v>0</v>
      </c>
      <c r="BD234" s="319">
        <v>0</v>
      </c>
      <c r="BE234" s="319">
        <v>0</v>
      </c>
      <c r="BF234" s="319">
        <v>0</v>
      </c>
      <c r="BG234" s="319">
        <v>0</v>
      </c>
      <c r="BH234" s="319">
        <v>0</v>
      </c>
      <c r="BI234" s="317">
        <f t="shared" si="39"/>
        <v>4</v>
      </c>
      <c r="BJ234" s="316">
        <v>0</v>
      </c>
      <c r="BK234" s="316">
        <v>2.9860000000000002</v>
      </c>
      <c r="BL234" s="316">
        <v>0.99299999999999999</v>
      </c>
      <c r="BM234" s="316">
        <v>1.986</v>
      </c>
      <c r="BN234" s="316">
        <v>0</v>
      </c>
      <c r="BO234" s="316">
        <v>0</v>
      </c>
      <c r="BP234" s="316">
        <v>0</v>
      </c>
      <c r="BQ234" s="316">
        <v>0</v>
      </c>
      <c r="BR234" s="316">
        <v>0</v>
      </c>
      <c r="BS234" s="316">
        <v>0</v>
      </c>
      <c r="BT234" s="316">
        <v>0</v>
      </c>
      <c r="BU234" s="316">
        <v>0</v>
      </c>
      <c r="BV234" s="316">
        <v>0</v>
      </c>
      <c r="BW234" s="317">
        <f t="shared" si="38"/>
        <v>5.9649999999999999</v>
      </c>
    </row>
    <row r="235" spans="1:75" x14ac:dyDescent="0.2">
      <c r="A235" s="20" t="str">
        <f>'School Level Inst. Resources'!A235</f>
        <v>1401000</v>
      </c>
      <c r="B235" s="20" t="str">
        <f>'School Level Inst. Resources'!B235</f>
        <v>Niobrara #1</v>
      </c>
      <c r="C235" s="20" t="str">
        <f>'School Level Inst. Resources'!C235</f>
        <v>1401004</v>
      </c>
      <c r="D235" s="20" t="str">
        <f>'School Level Inst. Resources'!D235</f>
        <v>Lusk Elementary</v>
      </c>
      <c r="E235" s="138" t="str">
        <f>'School Level Inst. Resources'!E235</f>
        <v>K-5</v>
      </c>
      <c r="F235" s="317">
        <f>IF(AND($A$2=4,VLOOKUP($A235,'District Level ADM'!$A$5:$W$52,5,FALSE)="Prior Year"),AH235,IF(AND($A$2=4,VLOOKUP($A235,'District Level ADM'!$A$5:$W$52,5,FALSE)="3-Year Avg."),T235,IF($A$2=2,AH235,IF($A$2=3,T235,IF(($AG235&gt;$AU235),T235,AH235)))))</f>
        <v>47.163999999999994</v>
      </c>
      <c r="G235" s="317">
        <f>IF(AND($A$2=4,VLOOKUP($A235,'District Level ADM'!$A$5:$W$52,5,FALSE)="Prior Year"),AI235,IF(AND($A$2=4,VLOOKUP($A235,'District Level ADM'!$A$5:$W$52,5,FALSE)="3-Year Avg."),U235,IF($A$2=2,AI235,IF($A$2=3,U235,IF(($AG235&gt;$AU235),U235,AI235)))))</f>
        <v>41.843333333333334</v>
      </c>
      <c r="H235" s="317">
        <f>IF(AND($A$2=4,VLOOKUP($A235,'District Level ADM'!$A$5:$W$52,5,FALSE)="Prior Year"),AJ235,IF(AND($A$2=4,VLOOKUP($A235,'District Level ADM'!$A$5:$W$52,5,FALSE)="3-Year Avg."),V235,IF($A$2=2,AJ235,IF($A$2=3,V235,IF(($AG235&gt;$AU235),V235,AJ235)))))</f>
        <v>45.425666666666665</v>
      </c>
      <c r="I235" s="317">
        <f>IF(AND($A$2=4,VLOOKUP($A235,'District Level ADM'!$A$5:$W$52,5,FALSE)="Prior Year"),AK235,IF(AND($A$2=4,VLOOKUP($A235,'District Level ADM'!$A$5:$W$52,5,FALSE)="3-Year Avg."),W235,IF($A$2=2,AK235,IF($A$2=3,W235,IF(($AG235&gt;$AU235),W235,AK235)))))</f>
        <v>46.522666666666659</v>
      </c>
      <c r="J235" s="317">
        <f>IF(AND($A$2=4,VLOOKUP($A235,'District Level ADM'!$A$5:$W$52,5,FALSE)="Prior Year"),AL235,IF(AND($A$2=4,VLOOKUP($A235,'District Level ADM'!$A$5:$W$52,5,FALSE)="3-Year Avg."),X235,IF($A$2=2,AL235,IF($A$2=3,X235,IF(($AG235&gt;$AU235),X235,AL235)))))</f>
        <v>50.040999999999997</v>
      </c>
      <c r="K235" s="317">
        <f>IF(AND($A$2=4,VLOOKUP($A235,'District Level ADM'!$A$5:$W$52,5,FALSE)="Prior Year"),AM235,IF(AND($A$2=4,VLOOKUP($A235,'District Level ADM'!$A$5:$W$52,5,FALSE)="3-Year Avg."),Y235,IF($A$2=2,AM235,IF($A$2=3,Y235,IF(($AG235&gt;$AU235),Y235,AM235)))))</f>
        <v>54.68033333333333</v>
      </c>
      <c r="L235" s="317">
        <f>IF(AND($A$2=4,VLOOKUP($A235,'District Level ADM'!$A$5:$W$52,5,FALSE)="Prior Year"),AN235,IF(AND($A$2=4,VLOOKUP($A235,'District Level ADM'!$A$5:$W$52,5,FALSE)="3-Year Avg."),Z235,IF($A$2=2,AN235,IF($A$2=3,Z235,IF(($AG235&gt;$AU235),Z235,AN235)))))</f>
        <v>0</v>
      </c>
      <c r="M235" s="317">
        <f>IF(AND($A$2=4,VLOOKUP($A235,'District Level ADM'!$A$5:$W$52,5,FALSE)="Prior Year"),AO235,IF(AND($A$2=4,VLOOKUP($A235,'District Level ADM'!$A$5:$W$52,5,FALSE)="3-Year Avg."),AA235,IF($A$2=2,AO235,IF($A$2=3,AA235,IF(($AG235&gt;$AU235),AA235,AO235)))))</f>
        <v>0</v>
      </c>
      <c r="N235" s="317">
        <f>IF(AND($A$2=4,VLOOKUP($A235,'District Level ADM'!$A$5:$W$52,5,FALSE)="Prior Year"),AP235,IF(AND($A$2=4,VLOOKUP($A235,'District Level ADM'!$A$5:$W$52,5,FALSE)="3-Year Avg."),AB235,IF($A$2=2,AP235,IF($A$2=3,AB235,IF(($AG235&gt;$AU235),AB235,AP235)))))</f>
        <v>0</v>
      </c>
      <c r="O235" s="317">
        <f>IF(AND($A$2=4,VLOOKUP($A235,'District Level ADM'!$A$5:$W$52,5,FALSE)="Prior Year"),AQ235,IF(AND($A$2=4,VLOOKUP($A235,'District Level ADM'!$A$5:$W$52,5,FALSE)="3-Year Avg."),AC235,IF($A$2=2,AQ235,IF($A$2=3,AC235,IF(($AG235&gt;$AU235),AC235,AQ235)))))</f>
        <v>0</v>
      </c>
      <c r="P235" s="317">
        <f>IF(AND($A$2=4,VLOOKUP($A235,'District Level ADM'!$A$5:$W$52,5,FALSE)="Prior Year"),AR235,IF(AND($A$2=4,VLOOKUP($A235,'District Level ADM'!$A$5:$W$52,5,FALSE)="3-Year Avg."),AD235,IF($A$2=2,AR235,IF($A$2=3,AD235,IF(($AG235&gt;$AU235),AD235,AR235)))))</f>
        <v>0</v>
      </c>
      <c r="Q235" s="317">
        <f>IF(AND($A$2=4,VLOOKUP($A235,'District Level ADM'!$A$5:$W$52,5,FALSE)="Prior Year"),AS235,IF(AND($A$2=4,VLOOKUP($A235,'District Level ADM'!$A$5:$W$52,5,FALSE)="3-Year Avg."),AE235,IF($A$2=2,AS235,IF($A$2=3,AE235,IF(($AG235&gt;$AU235),AE235,AS235)))))</f>
        <v>0</v>
      </c>
      <c r="R235" s="317">
        <f>IF(AND($A$2=4,VLOOKUP($A235,'District Level ADM'!$A$5:$W$52,5,FALSE)="Prior Year"),AT235,IF(AND($A$2=4,VLOOKUP($A235,'District Level ADM'!$A$5:$W$52,5,FALSE)="3-Year Avg."),AF235,IF($A$2=2,AT235,IF($A$2=3,AF235,IF(($AG235&gt;$AU235),AF235,AT235)))))</f>
        <v>0</v>
      </c>
      <c r="S235" s="317">
        <f t="shared" si="35"/>
        <v>285.67699999999996</v>
      </c>
      <c r="T235" s="317">
        <f t="shared" si="34"/>
        <v>47.163999999999994</v>
      </c>
      <c r="U235" s="317">
        <f t="shared" si="34"/>
        <v>41.843333333333334</v>
      </c>
      <c r="V235" s="317">
        <f t="shared" si="34"/>
        <v>45.425666666666665</v>
      </c>
      <c r="W235" s="317">
        <f t="shared" si="34"/>
        <v>46.522666666666659</v>
      </c>
      <c r="X235" s="317">
        <f t="shared" si="40"/>
        <v>50.040999999999997</v>
      </c>
      <c r="Y235" s="317">
        <f t="shared" si="40"/>
        <v>54.68033333333333</v>
      </c>
      <c r="Z235" s="317">
        <f t="shared" si="40"/>
        <v>0</v>
      </c>
      <c r="AA235" s="317">
        <f t="shared" si="40"/>
        <v>0</v>
      </c>
      <c r="AB235" s="317">
        <f t="shared" si="40"/>
        <v>0</v>
      </c>
      <c r="AC235" s="317">
        <f t="shared" si="40"/>
        <v>0</v>
      </c>
      <c r="AD235" s="317">
        <f t="shared" si="40"/>
        <v>0</v>
      </c>
      <c r="AE235" s="317">
        <f t="shared" si="40"/>
        <v>0</v>
      </c>
      <c r="AF235" s="317">
        <f t="shared" si="40"/>
        <v>0</v>
      </c>
      <c r="AG235" s="317">
        <f t="shared" si="36"/>
        <v>285.67699999999996</v>
      </c>
      <c r="AH235" s="318">
        <v>42.354999999999997</v>
      </c>
      <c r="AI235" s="318">
        <v>40.384999999999998</v>
      </c>
      <c r="AJ235" s="318">
        <v>46.295000000000002</v>
      </c>
      <c r="AK235" s="318">
        <v>51.22</v>
      </c>
      <c r="AL235" s="318">
        <v>45.31</v>
      </c>
      <c r="AM235" s="318">
        <v>55.16</v>
      </c>
      <c r="AN235" s="318">
        <v>0</v>
      </c>
      <c r="AO235" s="318">
        <v>0</v>
      </c>
      <c r="AP235" s="318">
        <v>0</v>
      </c>
      <c r="AQ235" s="318">
        <v>0</v>
      </c>
      <c r="AR235" s="318">
        <v>0</v>
      </c>
      <c r="AS235" s="318">
        <v>0</v>
      </c>
      <c r="AT235" s="318">
        <v>0</v>
      </c>
      <c r="AU235" s="317">
        <f t="shared" si="37"/>
        <v>280.72500000000002</v>
      </c>
      <c r="AV235" s="319">
        <v>43.612000000000002</v>
      </c>
      <c r="AW235" s="319">
        <v>39.151000000000003</v>
      </c>
      <c r="AX235" s="319">
        <v>44.850999999999999</v>
      </c>
      <c r="AY235" s="319">
        <v>40.771000000000001</v>
      </c>
      <c r="AZ235" s="319">
        <v>49.656999999999996</v>
      </c>
      <c r="BA235" s="319">
        <v>51.676000000000002</v>
      </c>
      <c r="BB235" s="319">
        <v>0</v>
      </c>
      <c r="BC235" s="319">
        <v>0</v>
      </c>
      <c r="BD235" s="319">
        <v>0</v>
      </c>
      <c r="BE235" s="319">
        <v>0</v>
      </c>
      <c r="BF235" s="319">
        <v>0</v>
      </c>
      <c r="BG235" s="319">
        <v>0</v>
      </c>
      <c r="BH235" s="319">
        <v>0</v>
      </c>
      <c r="BI235" s="317">
        <f t="shared" si="39"/>
        <v>269.71799999999996</v>
      </c>
      <c r="BJ235" s="316">
        <v>55.524999999999999</v>
      </c>
      <c r="BK235" s="316">
        <v>45.994</v>
      </c>
      <c r="BL235" s="316">
        <v>45.131</v>
      </c>
      <c r="BM235" s="316">
        <v>47.576999999999998</v>
      </c>
      <c r="BN235" s="316">
        <v>55.155999999999999</v>
      </c>
      <c r="BO235" s="316">
        <v>57.204999999999998</v>
      </c>
      <c r="BP235" s="316">
        <v>0</v>
      </c>
      <c r="BQ235" s="316">
        <v>0</v>
      </c>
      <c r="BR235" s="316">
        <v>0</v>
      </c>
      <c r="BS235" s="316">
        <v>0</v>
      </c>
      <c r="BT235" s="316">
        <v>0</v>
      </c>
      <c r="BU235" s="316">
        <v>0</v>
      </c>
      <c r="BV235" s="316">
        <v>0</v>
      </c>
      <c r="BW235" s="317">
        <f t="shared" si="38"/>
        <v>306.58800000000002</v>
      </c>
    </row>
    <row r="236" spans="1:75" x14ac:dyDescent="0.2">
      <c r="A236" s="20" t="str">
        <f>'School Level Inst. Resources'!A236</f>
        <v>1401000</v>
      </c>
      <c r="B236" s="20" t="str">
        <f>'School Level Inst. Resources'!B236</f>
        <v>Niobrara #1</v>
      </c>
      <c r="C236" s="20" t="str">
        <f>'School Level Inst. Resources'!C236</f>
        <v>1401050</v>
      </c>
      <c r="D236" s="20" t="str">
        <f>'School Level Inst. Resources'!D236</f>
        <v>Lusk Middle School</v>
      </c>
      <c r="E236" s="138" t="str">
        <f>'School Level Inst. Resources'!E236</f>
        <v>6-8</v>
      </c>
      <c r="F236" s="317">
        <f>IF(AND($A$2=4,VLOOKUP($A236,'District Level ADM'!$A$5:$W$52,5,FALSE)="Prior Year"),AH236,IF(AND($A$2=4,VLOOKUP($A236,'District Level ADM'!$A$5:$W$52,5,FALSE)="3-Year Avg."),T236,IF($A$2=2,AH236,IF($A$2=3,T236,IF(($AG236&gt;$AU236),T236,AH236)))))</f>
        <v>0</v>
      </c>
      <c r="G236" s="317">
        <f>IF(AND($A$2=4,VLOOKUP($A236,'District Level ADM'!$A$5:$W$52,5,FALSE)="Prior Year"),AI236,IF(AND($A$2=4,VLOOKUP($A236,'District Level ADM'!$A$5:$W$52,5,FALSE)="3-Year Avg."),U236,IF($A$2=2,AI236,IF($A$2=3,U236,IF(($AG236&gt;$AU236),U236,AI236)))))</f>
        <v>0</v>
      </c>
      <c r="H236" s="317">
        <f>IF(AND($A$2=4,VLOOKUP($A236,'District Level ADM'!$A$5:$W$52,5,FALSE)="Prior Year"),AJ236,IF(AND($A$2=4,VLOOKUP($A236,'District Level ADM'!$A$5:$W$52,5,FALSE)="3-Year Avg."),V236,IF($A$2=2,AJ236,IF($A$2=3,V236,IF(($AG236&gt;$AU236),V236,AJ236)))))</f>
        <v>0</v>
      </c>
      <c r="I236" s="317">
        <f>IF(AND($A$2=4,VLOOKUP($A236,'District Level ADM'!$A$5:$W$52,5,FALSE)="Prior Year"),AK236,IF(AND($A$2=4,VLOOKUP($A236,'District Level ADM'!$A$5:$W$52,5,FALSE)="3-Year Avg."),W236,IF($A$2=2,AK236,IF($A$2=3,W236,IF(($AG236&gt;$AU236),W236,AK236)))))</f>
        <v>0</v>
      </c>
      <c r="J236" s="317">
        <f>IF(AND($A$2=4,VLOOKUP($A236,'District Level ADM'!$A$5:$W$52,5,FALSE)="Prior Year"),AL236,IF(AND($A$2=4,VLOOKUP($A236,'District Level ADM'!$A$5:$W$52,5,FALSE)="3-Year Avg."),X236,IF($A$2=2,AL236,IF($A$2=3,X236,IF(($AG236&gt;$AU236),X236,AL236)))))</f>
        <v>0</v>
      </c>
      <c r="K236" s="317">
        <f>IF(AND($A$2=4,VLOOKUP($A236,'District Level ADM'!$A$5:$W$52,5,FALSE)="Prior Year"),AM236,IF(AND($A$2=4,VLOOKUP($A236,'District Level ADM'!$A$5:$W$52,5,FALSE)="3-Year Avg."),Y236,IF($A$2=2,AM236,IF($A$2=3,Y236,IF(($AG236&gt;$AU236),Y236,AM236)))))</f>
        <v>0</v>
      </c>
      <c r="L236" s="317">
        <f>IF(AND($A$2=4,VLOOKUP($A236,'District Level ADM'!$A$5:$W$52,5,FALSE)="Prior Year"),AN236,IF(AND($A$2=4,VLOOKUP($A236,'District Level ADM'!$A$5:$W$52,5,FALSE)="3-Year Avg."),Z236,IF($A$2=2,AN236,IF($A$2=3,Z236,IF(($AG236&gt;$AU236),Z236,AN236)))))</f>
        <v>64.25566666666667</v>
      </c>
      <c r="M236" s="317">
        <f>IF(AND($A$2=4,VLOOKUP($A236,'District Level ADM'!$A$5:$W$52,5,FALSE)="Prior Year"),AO236,IF(AND($A$2=4,VLOOKUP($A236,'District Level ADM'!$A$5:$W$52,5,FALSE)="3-Year Avg."),AA236,IF($A$2=2,AO236,IF($A$2=3,AA236,IF(($AG236&gt;$AU236),AA236,AO236)))))</f>
        <v>76.902666666666676</v>
      </c>
      <c r="N236" s="317">
        <f>IF(AND($A$2=4,VLOOKUP($A236,'District Level ADM'!$A$5:$W$52,5,FALSE)="Prior Year"),AP236,IF(AND($A$2=4,VLOOKUP($A236,'District Level ADM'!$A$5:$W$52,5,FALSE)="3-Year Avg."),AB236,IF($A$2=2,AP236,IF($A$2=3,AB236,IF(($AG236&gt;$AU236),AB236,AP236)))))</f>
        <v>84.23566666666666</v>
      </c>
      <c r="O236" s="317">
        <f>IF(AND($A$2=4,VLOOKUP($A236,'District Level ADM'!$A$5:$W$52,5,FALSE)="Prior Year"),AQ236,IF(AND($A$2=4,VLOOKUP($A236,'District Level ADM'!$A$5:$W$52,5,FALSE)="3-Year Avg."),AC236,IF($A$2=2,AQ236,IF($A$2=3,AC236,IF(($AG236&gt;$AU236),AC236,AQ236)))))</f>
        <v>0</v>
      </c>
      <c r="P236" s="317">
        <f>IF(AND($A$2=4,VLOOKUP($A236,'District Level ADM'!$A$5:$W$52,5,FALSE)="Prior Year"),AR236,IF(AND($A$2=4,VLOOKUP($A236,'District Level ADM'!$A$5:$W$52,5,FALSE)="3-Year Avg."),AD236,IF($A$2=2,AR236,IF($A$2=3,AD236,IF(($AG236&gt;$AU236),AD236,AR236)))))</f>
        <v>0</v>
      </c>
      <c r="Q236" s="317">
        <f>IF(AND($A$2=4,VLOOKUP($A236,'District Level ADM'!$A$5:$W$52,5,FALSE)="Prior Year"),AS236,IF(AND($A$2=4,VLOOKUP($A236,'District Level ADM'!$A$5:$W$52,5,FALSE)="3-Year Avg."),AE236,IF($A$2=2,AS236,IF($A$2=3,AE236,IF(($AG236&gt;$AU236),AE236,AS236)))))</f>
        <v>0</v>
      </c>
      <c r="R236" s="317">
        <f>IF(AND($A$2=4,VLOOKUP($A236,'District Level ADM'!$A$5:$W$52,5,FALSE)="Prior Year"),AT236,IF(AND($A$2=4,VLOOKUP($A236,'District Level ADM'!$A$5:$W$52,5,FALSE)="3-Year Avg."),AF236,IF($A$2=2,AT236,IF($A$2=3,AF236,IF(($AG236&gt;$AU236),AF236,AT236)))))</f>
        <v>0</v>
      </c>
      <c r="S236" s="317">
        <f t="shared" si="35"/>
        <v>225.39400000000001</v>
      </c>
      <c r="T236" s="317">
        <f t="shared" si="34"/>
        <v>0</v>
      </c>
      <c r="U236" s="317">
        <f t="shared" si="34"/>
        <v>0</v>
      </c>
      <c r="V236" s="317">
        <f t="shared" si="34"/>
        <v>0</v>
      </c>
      <c r="W236" s="317">
        <f t="shared" si="34"/>
        <v>0</v>
      </c>
      <c r="X236" s="317">
        <f t="shared" si="40"/>
        <v>0</v>
      </c>
      <c r="Y236" s="317">
        <f t="shared" si="40"/>
        <v>0</v>
      </c>
      <c r="Z236" s="317">
        <f t="shared" si="40"/>
        <v>64.25566666666667</v>
      </c>
      <c r="AA236" s="317">
        <f t="shared" si="40"/>
        <v>76.902666666666676</v>
      </c>
      <c r="AB236" s="317">
        <f t="shared" si="40"/>
        <v>84.23566666666666</v>
      </c>
      <c r="AC236" s="317">
        <f t="shared" si="40"/>
        <v>0</v>
      </c>
      <c r="AD236" s="317">
        <f t="shared" si="40"/>
        <v>0</v>
      </c>
      <c r="AE236" s="317">
        <f t="shared" si="40"/>
        <v>0</v>
      </c>
      <c r="AF236" s="317">
        <f t="shared" si="40"/>
        <v>0</v>
      </c>
      <c r="AG236" s="317">
        <f t="shared" si="36"/>
        <v>225.39400000000001</v>
      </c>
      <c r="AH236" s="318">
        <v>0</v>
      </c>
      <c r="AI236" s="318">
        <v>0</v>
      </c>
      <c r="AJ236" s="318">
        <v>0</v>
      </c>
      <c r="AK236" s="318">
        <v>0</v>
      </c>
      <c r="AL236" s="318">
        <v>0</v>
      </c>
      <c r="AM236" s="318">
        <v>0</v>
      </c>
      <c r="AN236" s="318">
        <v>54.174999999999997</v>
      </c>
      <c r="AO236" s="318">
        <v>65.995000000000005</v>
      </c>
      <c r="AP236" s="318">
        <v>79.784999999999997</v>
      </c>
      <c r="AQ236" s="318">
        <v>0</v>
      </c>
      <c r="AR236" s="318">
        <v>0</v>
      </c>
      <c r="AS236" s="318">
        <v>0</v>
      </c>
      <c r="AT236" s="318">
        <v>0</v>
      </c>
      <c r="AU236" s="317">
        <f t="shared" si="37"/>
        <v>199.95499999999998</v>
      </c>
      <c r="AV236" s="319">
        <v>0</v>
      </c>
      <c r="AW236" s="319">
        <v>0</v>
      </c>
      <c r="AX236" s="319">
        <v>0</v>
      </c>
      <c r="AY236" s="319">
        <v>0</v>
      </c>
      <c r="AZ236" s="319">
        <v>0</v>
      </c>
      <c r="BA236" s="319">
        <v>0</v>
      </c>
      <c r="BB236" s="319">
        <v>67.941000000000003</v>
      </c>
      <c r="BC236" s="319">
        <v>83.674000000000007</v>
      </c>
      <c r="BD236" s="319">
        <v>98.367000000000004</v>
      </c>
      <c r="BE236" s="319">
        <v>0</v>
      </c>
      <c r="BF236" s="319">
        <v>0</v>
      </c>
      <c r="BG236" s="319">
        <v>0</v>
      </c>
      <c r="BH236" s="319">
        <v>0</v>
      </c>
      <c r="BI236" s="317">
        <f t="shared" si="39"/>
        <v>249.98200000000003</v>
      </c>
      <c r="BJ236" s="316">
        <v>0</v>
      </c>
      <c r="BK236" s="316">
        <v>0</v>
      </c>
      <c r="BL236" s="316">
        <v>0</v>
      </c>
      <c r="BM236" s="316">
        <v>0</v>
      </c>
      <c r="BN236" s="316">
        <v>0</v>
      </c>
      <c r="BO236" s="316">
        <v>0</v>
      </c>
      <c r="BP236" s="316">
        <v>70.650999999999996</v>
      </c>
      <c r="BQ236" s="316">
        <v>81.039000000000001</v>
      </c>
      <c r="BR236" s="316">
        <v>74.555000000000007</v>
      </c>
      <c r="BS236" s="316">
        <v>0</v>
      </c>
      <c r="BT236" s="316">
        <v>0</v>
      </c>
      <c r="BU236" s="316">
        <v>0</v>
      </c>
      <c r="BV236" s="316">
        <v>0</v>
      </c>
      <c r="BW236" s="317">
        <f t="shared" si="38"/>
        <v>226.245</v>
      </c>
    </row>
    <row r="237" spans="1:75" x14ac:dyDescent="0.2">
      <c r="A237" s="20" t="str">
        <f>'School Level Inst. Resources'!A237</f>
        <v>1401000</v>
      </c>
      <c r="B237" s="20" t="str">
        <f>'School Level Inst. Resources'!B237</f>
        <v>Niobrara #1</v>
      </c>
      <c r="C237" s="20" t="str">
        <f>'School Level Inst. Resources'!C237</f>
        <v>1401055</v>
      </c>
      <c r="D237" s="20" t="str">
        <f>'School Level Inst. Resources'!D237</f>
        <v>Niobrara County High School</v>
      </c>
      <c r="E237" s="138" t="str">
        <f>'School Level Inst. Resources'!E237</f>
        <v>9-12</v>
      </c>
      <c r="F237" s="317">
        <f>IF(AND($A$2=4,VLOOKUP($A237,'District Level ADM'!$A$5:$W$52,5,FALSE)="Prior Year"),AH237,IF(AND($A$2=4,VLOOKUP($A237,'District Level ADM'!$A$5:$W$52,5,FALSE)="3-Year Avg."),T237,IF($A$2=2,AH237,IF($A$2=3,T237,IF(($AG237&gt;$AU237),T237,AH237)))))</f>
        <v>0</v>
      </c>
      <c r="G237" s="317">
        <f>IF(AND($A$2=4,VLOOKUP($A237,'District Level ADM'!$A$5:$W$52,5,FALSE)="Prior Year"),AI237,IF(AND($A$2=4,VLOOKUP($A237,'District Level ADM'!$A$5:$W$52,5,FALSE)="3-Year Avg."),U237,IF($A$2=2,AI237,IF($A$2=3,U237,IF(($AG237&gt;$AU237),U237,AI237)))))</f>
        <v>0</v>
      </c>
      <c r="H237" s="317">
        <f>IF(AND($A$2=4,VLOOKUP($A237,'District Level ADM'!$A$5:$W$52,5,FALSE)="Prior Year"),AJ237,IF(AND($A$2=4,VLOOKUP($A237,'District Level ADM'!$A$5:$W$52,5,FALSE)="3-Year Avg."),V237,IF($A$2=2,AJ237,IF($A$2=3,V237,IF(($AG237&gt;$AU237),V237,AJ237)))))</f>
        <v>0</v>
      </c>
      <c r="I237" s="317">
        <f>IF(AND($A$2=4,VLOOKUP($A237,'District Level ADM'!$A$5:$W$52,5,FALSE)="Prior Year"),AK237,IF(AND($A$2=4,VLOOKUP($A237,'District Level ADM'!$A$5:$W$52,5,FALSE)="3-Year Avg."),W237,IF($A$2=2,AK237,IF($A$2=3,W237,IF(($AG237&gt;$AU237),W237,AK237)))))</f>
        <v>0</v>
      </c>
      <c r="J237" s="317">
        <f>IF(AND($A$2=4,VLOOKUP($A237,'District Level ADM'!$A$5:$W$52,5,FALSE)="Prior Year"),AL237,IF(AND($A$2=4,VLOOKUP($A237,'District Level ADM'!$A$5:$W$52,5,FALSE)="3-Year Avg."),X237,IF($A$2=2,AL237,IF($A$2=3,X237,IF(($AG237&gt;$AU237),X237,AL237)))))</f>
        <v>0</v>
      </c>
      <c r="K237" s="317">
        <f>IF(AND($A$2=4,VLOOKUP($A237,'District Level ADM'!$A$5:$W$52,5,FALSE)="Prior Year"),AM237,IF(AND($A$2=4,VLOOKUP($A237,'District Level ADM'!$A$5:$W$52,5,FALSE)="3-Year Avg."),Y237,IF($A$2=2,AM237,IF($A$2=3,Y237,IF(($AG237&gt;$AU237),Y237,AM237)))))</f>
        <v>0</v>
      </c>
      <c r="L237" s="317">
        <f>IF(AND($A$2=4,VLOOKUP($A237,'District Level ADM'!$A$5:$W$52,5,FALSE)="Prior Year"),AN237,IF(AND($A$2=4,VLOOKUP($A237,'District Level ADM'!$A$5:$W$52,5,FALSE)="3-Year Avg."),Z237,IF($A$2=2,AN237,IF($A$2=3,Z237,IF(($AG237&gt;$AU237),Z237,AN237)))))</f>
        <v>0</v>
      </c>
      <c r="M237" s="317">
        <f>IF(AND($A$2=4,VLOOKUP($A237,'District Level ADM'!$A$5:$W$52,5,FALSE)="Prior Year"),AO237,IF(AND($A$2=4,VLOOKUP($A237,'District Level ADM'!$A$5:$W$52,5,FALSE)="3-Year Avg."),AA237,IF($A$2=2,AO237,IF($A$2=3,AA237,IF(($AG237&gt;$AU237),AA237,AO237)))))</f>
        <v>0</v>
      </c>
      <c r="N237" s="317">
        <f>IF(AND($A$2=4,VLOOKUP($A237,'District Level ADM'!$A$5:$W$52,5,FALSE)="Prior Year"),AP237,IF(AND($A$2=4,VLOOKUP($A237,'District Level ADM'!$A$5:$W$52,5,FALSE)="3-Year Avg."),AB237,IF($A$2=2,AP237,IF($A$2=3,AB237,IF(($AG237&gt;$AU237),AB237,AP237)))))</f>
        <v>0</v>
      </c>
      <c r="O237" s="317">
        <f>IF(AND($A$2=4,VLOOKUP($A237,'District Level ADM'!$A$5:$W$52,5,FALSE)="Prior Year"),AQ237,IF(AND($A$2=4,VLOOKUP($A237,'District Level ADM'!$A$5:$W$52,5,FALSE)="3-Year Avg."),AC237,IF($A$2=2,AQ237,IF($A$2=3,AC237,IF(($AG237&gt;$AU237),AC237,AQ237)))))</f>
        <v>73.575666666666663</v>
      </c>
      <c r="P237" s="317">
        <f>IF(AND($A$2=4,VLOOKUP($A237,'District Level ADM'!$A$5:$W$52,5,FALSE)="Prior Year"),AR237,IF(AND($A$2=4,VLOOKUP($A237,'District Level ADM'!$A$5:$W$52,5,FALSE)="3-Year Avg."),AD237,IF($A$2=2,AR237,IF($A$2=3,AD237,IF(($AG237&gt;$AU237),AD237,AR237)))))</f>
        <v>76.933000000000007</v>
      </c>
      <c r="Q237" s="317">
        <f>IF(AND($A$2=4,VLOOKUP($A237,'District Level ADM'!$A$5:$W$52,5,FALSE)="Prior Year"),AS237,IF(AND($A$2=4,VLOOKUP($A237,'District Level ADM'!$A$5:$W$52,5,FALSE)="3-Year Avg."),AE237,IF($A$2=2,AS237,IF($A$2=3,AE237,IF(($AG237&gt;$AU237),AE237,AS237)))))</f>
        <v>80.609333333333325</v>
      </c>
      <c r="R237" s="317">
        <f>IF(AND($A$2=4,VLOOKUP($A237,'District Level ADM'!$A$5:$W$52,5,FALSE)="Prior Year"),AT237,IF(AND($A$2=4,VLOOKUP($A237,'District Level ADM'!$A$5:$W$52,5,FALSE)="3-Year Avg."),AF237,IF($A$2=2,AT237,IF($A$2=3,AF237,IF(($AG237&gt;$AU237),AF237,AT237)))))</f>
        <v>71.848333333333343</v>
      </c>
      <c r="S237" s="317">
        <f t="shared" si="35"/>
        <v>302.96633333333335</v>
      </c>
      <c r="T237" s="317">
        <f t="shared" si="34"/>
        <v>0</v>
      </c>
      <c r="U237" s="317">
        <f t="shared" si="34"/>
        <v>0</v>
      </c>
      <c r="V237" s="317">
        <f t="shared" si="34"/>
        <v>0</v>
      </c>
      <c r="W237" s="317">
        <f t="shared" si="34"/>
        <v>0</v>
      </c>
      <c r="X237" s="317">
        <f t="shared" si="40"/>
        <v>0</v>
      </c>
      <c r="Y237" s="317">
        <f t="shared" si="40"/>
        <v>0</v>
      </c>
      <c r="Z237" s="317">
        <f t="shared" si="40"/>
        <v>0</v>
      </c>
      <c r="AA237" s="317">
        <f t="shared" si="40"/>
        <v>0</v>
      </c>
      <c r="AB237" s="317">
        <f t="shared" si="40"/>
        <v>0</v>
      </c>
      <c r="AC237" s="317">
        <f t="shared" si="40"/>
        <v>73.575666666666663</v>
      </c>
      <c r="AD237" s="317">
        <f t="shared" si="40"/>
        <v>76.933000000000007</v>
      </c>
      <c r="AE237" s="317">
        <f t="shared" si="40"/>
        <v>80.609333333333325</v>
      </c>
      <c r="AF237" s="317">
        <f t="shared" si="40"/>
        <v>71.848333333333343</v>
      </c>
      <c r="AG237" s="317">
        <f t="shared" si="36"/>
        <v>302.96633333333335</v>
      </c>
      <c r="AH237" s="318">
        <v>0</v>
      </c>
      <c r="AI237" s="318">
        <v>0</v>
      </c>
      <c r="AJ237" s="318">
        <v>0</v>
      </c>
      <c r="AK237" s="318">
        <v>0</v>
      </c>
      <c r="AL237" s="318">
        <v>0</v>
      </c>
      <c r="AM237" s="318">
        <v>0</v>
      </c>
      <c r="AN237" s="318">
        <v>0</v>
      </c>
      <c r="AO237" s="318">
        <v>0</v>
      </c>
      <c r="AP237" s="318">
        <v>0</v>
      </c>
      <c r="AQ237" s="318">
        <v>92.59</v>
      </c>
      <c r="AR237" s="318">
        <v>67.965000000000003</v>
      </c>
      <c r="AS237" s="318">
        <v>78.8</v>
      </c>
      <c r="AT237" s="318">
        <v>79.784999999999997</v>
      </c>
      <c r="AU237" s="317">
        <f t="shared" si="37"/>
        <v>319.14</v>
      </c>
      <c r="AV237" s="319">
        <v>0</v>
      </c>
      <c r="AW237" s="319">
        <v>0</v>
      </c>
      <c r="AX237" s="319">
        <v>0</v>
      </c>
      <c r="AY237" s="319">
        <v>0</v>
      </c>
      <c r="AZ237" s="319">
        <v>0</v>
      </c>
      <c r="BA237" s="319">
        <v>0</v>
      </c>
      <c r="BB237" s="319">
        <v>0</v>
      </c>
      <c r="BC237" s="319">
        <v>0</v>
      </c>
      <c r="BD237" s="319">
        <v>0</v>
      </c>
      <c r="BE237" s="319">
        <v>55.44</v>
      </c>
      <c r="BF237" s="319">
        <v>71.84</v>
      </c>
      <c r="BG237" s="319">
        <v>82.52</v>
      </c>
      <c r="BH237" s="319">
        <v>67.674000000000007</v>
      </c>
      <c r="BI237" s="317">
        <f t="shared" si="39"/>
        <v>277.47400000000005</v>
      </c>
      <c r="BJ237" s="316">
        <v>0</v>
      </c>
      <c r="BK237" s="316">
        <v>0</v>
      </c>
      <c r="BL237" s="316">
        <v>0</v>
      </c>
      <c r="BM237" s="316">
        <v>0</v>
      </c>
      <c r="BN237" s="316">
        <v>0</v>
      </c>
      <c r="BO237" s="316">
        <v>0</v>
      </c>
      <c r="BP237" s="316">
        <v>0</v>
      </c>
      <c r="BQ237" s="316">
        <v>0</v>
      </c>
      <c r="BR237" s="316">
        <v>0</v>
      </c>
      <c r="BS237" s="316">
        <v>72.697000000000003</v>
      </c>
      <c r="BT237" s="316">
        <v>90.994</v>
      </c>
      <c r="BU237" s="316">
        <v>80.507999999999996</v>
      </c>
      <c r="BV237" s="316">
        <v>68.085999999999999</v>
      </c>
      <c r="BW237" s="317">
        <f t="shared" si="38"/>
        <v>312.28500000000003</v>
      </c>
    </row>
    <row r="238" spans="1:75" x14ac:dyDescent="0.2">
      <c r="A238" s="20" t="str">
        <f>'School Level Inst. Resources'!A238</f>
        <v>1501000</v>
      </c>
      <c r="B238" s="20" t="str">
        <f>'School Level Inst. Resources'!B238</f>
        <v>Park #1</v>
      </c>
      <c r="C238" s="20" t="str">
        <f>'School Level Inst. Resources'!C238</f>
        <v>1501001</v>
      </c>
      <c r="D238" s="20" t="str">
        <f>'School Level Inst. Resources'!D238</f>
        <v>Clark Elementary</v>
      </c>
      <c r="E238" s="138" t="str">
        <f>'School Level Inst. Resources'!E238</f>
        <v>K-5</v>
      </c>
      <c r="F238" s="317">
        <f>IF(AND($A$2=4,VLOOKUP($A238,'District Level ADM'!$A$5:$W$52,5,FALSE)="Prior Year"),AH238,IF(AND($A$2=4,VLOOKUP($A238,'District Level ADM'!$A$5:$W$52,5,FALSE)="3-Year Avg."),T238,IF($A$2=2,AH238,IF($A$2=3,T238,IF(($AG238&gt;$AU238),T238,AH238)))))</f>
        <v>0.98499999999999999</v>
      </c>
      <c r="G238" s="317">
        <f>IF(AND($A$2=4,VLOOKUP($A238,'District Level ADM'!$A$5:$W$52,5,FALSE)="Prior Year"),AI238,IF(AND($A$2=4,VLOOKUP($A238,'District Level ADM'!$A$5:$W$52,5,FALSE)="3-Year Avg."),U238,IF($A$2=2,AI238,IF($A$2=3,U238,IF(($AG238&gt;$AU238),U238,AI238)))))</f>
        <v>3.94</v>
      </c>
      <c r="H238" s="317">
        <f>IF(AND($A$2=4,VLOOKUP($A238,'District Level ADM'!$A$5:$W$52,5,FALSE)="Prior Year"),AJ238,IF(AND($A$2=4,VLOOKUP($A238,'District Level ADM'!$A$5:$W$52,5,FALSE)="3-Year Avg."),V238,IF($A$2=2,AJ238,IF($A$2=3,V238,IF(($AG238&gt;$AU238),V238,AJ238)))))</f>
        <v>2.9550000000000001</v>
      </c>
      <c r="I238" s="317">
        <f>IF(AND($A$2=4,VLOOKUP($A238,'District Level ADM'!$A$5:$W$52,5,FALSE)="Prior Year"),AK238,IF(AND($A$2=4,VLOOKUP($A238,'District Level ADM'!$A$5:$W$52,5,FALSE)="3-Year Avg."),W238,IF($A$2=2,AK238,IF($A$2=3,W238,IF(($AG238&gt;$AU238),W238,AK238)))))</f>
        <v>0</v>
      </c>
      <c r="J238" s="317">
        <f>IF(AND($A$2=4,VLOOKUP($A238,'District Level ADM'!$A$5:$W$52,5,FALSE)="Prior Year"),AL238,IF(AND($A$2=4,VLOOKUP($A238,'District Level ADM'!$A$5:$W$52,5,FALSE)="3-Year Avg."),X238,IF($A$2=2,AL238,IF($A$2=3,X238,IF(($AG238&gt;$AU238),X238,AL238)))))</f>
        <v>1.97</v>
      </c>
      <c r="K238" s="317">
        <f>IF(AND($A$2=4,VLOOKUP($A238,'District Level ADM'!$A$5:$W$52,5,FALSE)="Prior Year"),AM238,IF(AND($A$2=4,VLOOKUP($A238,'District Level ADM'!$A$5:$W$52,5,FALSE)="3-Year Avg."),Y238,IF($A$2=2,AM238,IF($A$2=3,Y238,IF(($AG238&gt;$AU238),Y238,AM238)))))</f>
        <v>3.94</v>
      </c>
      <c r="L238" s="317">
        <f>IF(AND($A$2=4,VLOOKUP($A238,'District Level ADM'!$A$5:$W$52,5,FALSE)="Prior Year"),AN238,IF(AND($A$2=4,VLOOKUP($A238,'District Level ADM'!$A$5:$W$52,5,FALSE)="3-Year Avg."),Z238,IF($A$2=2,AN238,IF($A$2=3,Z238,IF(($AG238&gt;$AU238),Z238,AN238)))))</f>
        <v>0</v>
      </c>
      <c r="M238" s="317">
        <f>IF(AND($A$2=4,VLOOKUP($A238,'District Level ADM'!$A$5:$W$52,5,FALSE)="Prior Year"),AO238,IF(AND($A$2=4,VLOOKUP($A238,'District Level ADM'!$A$5:$W$52,5,FALSE)="3-Year Avg."),AA238,IF($A$2=2,AO238,IF($A$2=3,AA238,IF(($AG238&gt;$AU238),AA238,AO238)))))</f>
        <v>0</v>
      </c>
      <c r="N238" s="317">
        <f>IF(AND($A$2=4,VLOOKUP($A238,'District Level ADM'!$A$5:$W$52,5,FALSE)="Prior Year"),AP238,IF(AND($A$2=4,VLOOKUP($A238,'District Level ADM'!$A$5:$W$52,5,FALSE)="3-Year Avg."),AB238,IF($A$2=2,AP238,IF($A$2=3,AB238,IF(($AG238&gt;$AU238),AB238,AP238)))))</f>
        <v>0</v>
      </c>
      <c r="O238" s="317">
        <f>IF(AND($A$2=4,VLOOKUP($A238,'District Level ADM'!$A$5:$W$52,5,FALSE)="Prior Year"),AQ238,IF(AND($A$2=4,VLOOKUP($A238,'District Level ADM'!$A$5:$W$52,5,FALSE)="3-Year Avg."),AC238,IF($A$2=2,AQ238,IF($A$2=3,AC238,IF(($AG238&gt;$AU238),AC238,AQ238)))))</f>
        <v>0</v>
      </c>
      <c r="P238" s="317">
        <f>IF(AND($A$2=4,VLOOKUP($A238,'District Level ADM'!$A$5:$W$52,5,FALSE)="Prior Year"),AR238,IF(AND($A$2=4,VLOOKUP($A238,'District Level ADM'!$A$5:$W$52,5,FALSE)="3-Year Avg."),AD238,IF($A$2=2,AR238,IF($A$2=3,AD238,IF(($AG238&gt;$AU238),AD238,AR238)))))</f>
        <v>0</v>
      </c>
      <c r="Q238" s="317">
        <f>IF(AND($A$2=4,VLOOKUP($A238,'District Level ADM'!$A$5:$W$52,5,FALSE)="Prior Year"),AS238,IF(AND($A$2=4,VLOOKUP($A238,'District Level ADM'!$A$5:$W$52,5,FALSE)="3-Year Avg."),AE238,IF($A$2=2,AS238,IF($A$2=3,AE238,IF(($AG238&gt;$AU238),AE238,AS238)))))</f>
        <v>0</v>
      </c>
      <c r="R238" s="317">
        <f>IF(AND($A$2=4,VLOOKUP($A238,'District Level ADM'!$A$5:$W$52,5,FALSE)="Prior Year"),AT238,IF(AND($A$2=4,VLOOKUP($A238,'District Level ADM'!$A$5:$W$52,5,FALSE)="3-Year Avg."),AF238,IF($A$2=2,AT238,IF($A$2=3,AF238,IF(($AG238&gt;$AU238),AF238,AT238)))))</f>
        <v>0</v>
      </c>
      <c r="S238" s="317">
        <f t="shared" si="35"/>
        <v>13.79</v>
      </c>
      <c r="T238" s="317">
        <f t="shared" si="34"/>
        <v>3.0896666666666666</v>
      </c>
      <c r="U238" s="317">
        <f t="shared" si="34"/>
        <v>2.3076666666666665</v>
      </c>
      <c r="V238" s="317">
        <f t="shared" si="34"/>
        <v>1.8693333333333335</v>
      </c>
      <c r="W238" s="317">
        <f t="shared" si="34"/>
        <v>1.6610000000000003</v>
      </c>
      <c r="X238" s="317">
        <f t="shared" si="40"/>
        <v>2.0096666666666665</v>
      </c>
      <c r="Y238" s="317">
        <f t="shared" si="40"/>
        <v>2.7490000000000001</v>
      </c>
      <c r="Z238" s="317">
        <f t="shared" si="40"/>
        <v>0</v>
      </c>
      <c r="AA238" s="317">
        <f t="shared" si="40"/>
        <v>0</v>
      </c>
      <c r="AB238" s="317">
        <f t="shared" si="40"/>
        <v>0</v>
      </c>
      <c r="AC238" s="317">
        <f t="shared" si="40"/>
        <v>0</v>
      </c>
      <c r="AD238" s="317">
        <f t="shared" si="40"/>
        <v>0</v>
      </c>
      <c r="AE238" s="317">
        <f t="shared" si="40"/>
        <v>0</v>
      </c>
      <c r="AF238" s="317">
        <f t="shared" si="40"/>
        <v>0</v>
      </c>
      <c r="AG238" s="317">
        <f t="shared" si="36"/>
        <v>13.686333333333334</v>
      </c>
      <c r="AH238" s="318">
        <v>0.98499999999999999</v>
      </c>
      <c r="AI238" s="318">
        <v>3.94</v>
      </c>
      <c r="AJ238" s="318">
        <v>2.9550000000000001</v>
      </c>
      <c r="AK238" s="318">
        <v>0</v>
      </c>
      <c r="AL238" s="318">
        <v>1.97</v>
      </c>
      <c r="AM238" s="318">
        <v>3.94</v>
      </c>
      <c r="AN238" s="318">
        <v>0</v>
      </c>
      <c r="AO238" s="318">
        <v>0</v>
      </c>
      <c r="AP238" s="318">
        <v>0</v>
      </c>
      <c r="AQ238" s="318">
        <v>0</v>
      </c>
      <c r="AR238" s="318">
        <v>0</v>
      </c>
      <c r="AS238" s="318">
        <v>0</v>
      </c>
      <c r="AT238" s="318">
        <v>0</v>
      </c>
      <c r="AU238" s="317">
        <f t="shared" si="37"/>
        <v>13.79</v>
      </c>
      <c r="AV238" s="319">
        <v>3.92</v>
      </c>
      <c r="AW238" s="319">
        <v>2.9830000000000001</v>
      </c>
      <c r="AX238" s="319">
        <v>0</v>
      </c>
      <c r="AY238" s="319">
        <v>2.9830000000000001</v>
      </c>
      <c r="AZ238" s="319">
        <v>3.3490000000000002</v>
      </c>
      <c r="BA238" s="319">
        <v>0</v>
      </c>
      <c r="BB238" s="319">
        <v>0</v>
      </c>
      <c r="BC238" s="319">
        <v>0</v>
      </c>
      <c r="BD238" s="319">
        <v>0</v>
      </c>
      <c r="BE238" s="319">
        <v>0</v>
      </c>
      <c r="BF238" s="319">
        <v>0</v>
      </c>
      <c r="BG238" s="319">
        <v>0</v>
      </c>
      <c r="BH238" s="319">
        <v>0</v>
      </c>
      <c r="BI238" s="317">
        <f t="shared" si="39"/>
        <v>13.235000000000001</v>
      </c>
      <c r="BJ238" s="316">
        <v>4.3639999999999999</v>
      </c>
      <c r="BK238" s="316">
        <v>0</v>
      </c>
      <c r="BL238" s="316">
        <v>2.653</v>
      </c>
      <c r="BM238" s="316">
        <v>2</v>
      </c>
      <c r="BN238" s="316">
        <v>0.71</v>
      </c>
      <c r="BO238" s="316">
        <v>4.3070000000000004</v>
      </c>
      <c r="BP238" s="316">
        <v>0</v>
      </c>
      <c r="BQ238" s="316">
        <v>0</v>
      </c>
      <c r="BR238" s="316">
        <v>0</v>
      </c>
      <c r="BS238" s="316">
        <v>0</v>
      </c>
      <c r="BT238" s="316">
        <v>0</v>
      </c>
      <c r="BU238" s="316">
        <v>0</v>
      </c>
      <c r="BV238" s="316">
        <v>0</v>
      </c>
      <c r="BW238" s="317">
        <f t="shared" si="38"/>
        <v>14.034000000000001</v>
      </c>
    </row>
    <row r="239" spans="1:75" x14ac:dyDescent="0.2">
      <c r="A239" s="20" t="str">
        <f>'School Level Inst. Resources'!A239</f>
        <v>1501000</v>
      </c>
      <c r="B239" s="20" t="str">
        <f>'School Level Inst. Resources'!B239</f>
        <v>Park #1</v>
      </c>
      <c r="C239" s="20" t="str">
        <f>'School Level Inst. Resources'!C239</f>
        <v>1501002</v>
      </c>
      <c r="D239" s="20" t="str">
        <f>'School Level Inst. Resources'!D239</f>
        <v>Parkside Elementary</v>
      </c>
      <c r="E239" s="138" t="str">
        <f>'School Level Inst. Resources'!E239</f>
        <v>K-5</v>
      </c>
      <c r="F239" s="317">
        <f>IF(AND($A$2=4,VLOOKUP($A239,'District Level ADM'!$A$5:$W$52,5,FALSE)="Prior Year"),AH239,IF(AND($A$2=4,VLOOKUP($A239,'District Level ADM'!$A$5:$W$52,5,FALSE)="3-Year Avg."),T239,IF($A$2=2,AH239,IF($A$2=3,T239,IF(($AG239&gt;$AU239),T239,AH239)))))</f>
        <v>32.505000000000003</v>
      </c>
      <c r="G239" s="317">
        <f>IF(AND($A$2=4,VLOOKUP($A239,'District Level ADM'!$A$5:$W$52,5,FALSE)="Prior Year"),AI239,IF(AND($A$2=4,VLOOKUP($A239,'District Level ADM'!$A$5:$W$52,5,FALSE)="3-Year Avg."),U239,IF($A$2=2,AI239,IF($A$2=3,U239,IF(($AG239&gt;$AU239),U239,AI239)))))</f>
        <v>27.58</v>
      </c>
      <c r="H239" s="317">
        <f>IF(AND($A$2=4,VLOOKUP($A239,'District Level ADM'!$A$5:$W$52,5,FALSE)="Prior Year"),AJ239,IF(AND($A$2=4,VLOOKUP($A239,'District Level ADM'!$A$5:$W$52,5,FALSE)="3-Year Avg."),V239,IF($A$2=2,AJ239,IF($A$2=3,V239,IF(($AG239&gt;$AU239),V239,AJ239)))))</f>
        <v>37.43</v>
      </c>
      <c r="I239" s="317">
        <f>IF(AND($A$2=4,VLOOKUP($A239,'District Level ADM'!$A$5:$W$52,5,FALSE)="Prior Year"),AK239,IF(AND($A$2=4,VLOOKUP($A239,'District Level ADM'!$A$5:$W$52,5,FALSE)="3-Year Avg."),W239,IF($A$2=2,AK239,IF($A$2=3,W239,IF(($AG239&gt;$AU239),W239,AK239)))))</f>
        <v>34.475000000000001</v>
      </c>
      <c r="J239" s="317">
        <f>IF(AND($A$2=4,VLOOKUP($A239,'District Level ADM'!$A$5:$W$52,5,FALSE)="Prior Year"),AL239,IF(AND($A$2=4,VLOOKUP($A239,'District Level ADM'!$A$5:$W$52,5,FALSE)="3-Year Avg."),X239,IF($A$2=2,AL239,IF($A$2=3,X239,IF(($AG239&gt;$AU239),X239,AL239)))))</f>
        <v>33.49</v>
      </c>
      <c r="K239" s="317">
        <f>IF(AND($A$2=4,VLOOKUP($A239,'District Level ADM'!$A$5:$W$52,5,FALSE)="Prior Year"),AM239,IF(AND($A$2=4,VLOOKUP($A239,'District Level ADM'!$A$5:$W$52,5,FALSE)="3-Year Avg."),Y239,IF($A$2=2,AM239,IF($A$2=3,Y239,IF(($AG239&gt;$AU239),Y239,AM239)))))</f>
        <v>34.475000000000001</v>
      </c>
      <c r="L239" s="317">
        <f>IF(AND($A$2=4,VLOOKUP($A239,'District Level ADM'!$A$5:$W$52,5,FALSE)="Prior Year"),AN239,IF(AND($A$2=4,VLOOKUP($A239,'District Level ADM'!$A$5:$W$52,5,FALSE)="3-Year Avg."),Z239,IF($A$2=2,AN239,IF($A$2=3,Z239,IF(($AG239&gt;$AU239),Z239,AN239)))))</f>
        <v>0</v>
      </c>
      <c r="M239" s="317">
        <f>IF(AND($A$2=4,VLOOKUP($A239,'District Level ADM'!$A$5:$W$52,5,FALSE)="Prior Year"),AO239,IF(AND($A$2=4,VLOOKUP($A239,'District Level ADM'!$A$5:$W$52,5,FALSE)="3-Year Avg."),AA239,IF($A$2=2,AO239,IF($A$2=3,AA239,IF(($AG239&gt;$AU239),AA239,AO239)))))</f>
        <v>0</v>
      </c>
      <c r="N239" s="317">
        <f>IF(AND($A$2=4,VLOOKUP($A239,'District Level ADM'!$A$5:$W$52,5,FALSE)="Prior Year"),AP239,IF(AND($A$2=4,VLOOKUP($A239,'District Level ADM'!$A$5:$W$52,5,FALSE)="3-Year Avg."),AB239,IF($A$2=2,AP239,IF($A$2=3,AB239,IF(($AG239&gt;$AU239),AB239,AP239)))))</f>
        <v>0</v>
      </c>
      <c r="O239" s="317">
        <f>IF(AND($A$2=4,VLOOKUP($A239,'District Level ADM'!$A$5:$W$52,5,FALSE)="Prior Year"),AQ239,IF(AND($A$2=4,VLOOKUP($A239,'District Level ADM'!$A$5:$W$52,5,FALSE)="3-Year Avg."),AC239,IF($A$2=2,AQ239,IF($A$2=3,AC239,IF(($AG239&gt;$AU239),AC239,AQ239)))))</f>
        <v>0</v>
      </c>
      <c r="P239" s="317">
        <f>IF(AND($A$2=4,VLOOKUP($A239,'District Level ADM'!$A$5:$W$52,5,FALSE)="Prior Year"),AR239,IF(AND($A$2=4,VLOOKUP($A239,'District Level ADM'!$A$5:$W$52,5,FALSE)="3-Year Avg."),AD239,IF($A$2=2,AR239,IF($A$2=3,AD239,IF(($AG239&gt;$AU239),AD239,AR239)))))</f>
        <v>0</v>
      </c>
      <c r="Q239" s="317">
        <f>IF(AND($A$2=4,VLOOKUP($A239,'District Level ADM'!$A$5:$W$52,5,FALSE)="Prior Year"),AS239,IF(AND($A$2=4,VLOOKUP($A239,'District Level ADM'!$A$5:$W$52,5,FALSE)="3-Year Avg."),AE239,IF($A$2=2,AS239,IF($A$2=3,AE239,IF(($AG239&gt;$AU239),AE239,AS239)))))</f>
        <v>0</v>
      </c>
      <c r="R239" s="317">
        <f>IF(AND($A$2=4,VLOOKUP($A239,'District Level ADM'!$A$5:$W$52,5,FALSE)="Prior Year"),AT239,IF(AND($A$2=4,VLOOKUP($A239,'District Level ADM'!$A$5:$W$52,5,FALSE)="3-Year Avg."),AF239,IF($A$2=2,AT239,IF($A$2=3,AF239,IF(($AG239&gt;$AU239),AF239,AT239)))))</f>
        <v>0</v>
      </c>
      <c r="S239" s="317">
        <f t="shared" si="35"/>
        <v>199.95500000000001</v>
      </c>
      <c r="T239" s="317">
        <f t="shared" si="34"/>
        <v>31.912666666666667</v>
      </c>
      <c r="U239" s="317">
        <f t="shared" si="34"/>
        <v>34.384666666666668</v>
      </c>
      <c r="V239" s="317">
        <f t="shared" si="34"/>
        <v>36.031666666666666</v>
      </c>
      <c r="W239" s="317">
        <f t="shared" si="34"/>
        <v>34.559666666666665</v>
      </c>
      <c r="X239" s="317">
        <f t="shared" si="40"/>
        <v>34.301666666666669</v>
      </c>
      <c r="Y239" s="317">
        <f t="shared" si="40"/>
        <v>35.247666666666667</v>
      </c>
      <c r="Z239" s="317">
        <f t="shared" si="40"/>
        <v>0</v>
      </c>
      <c r="AA239" s="317">
        <f t="shared" si="40"/>
        <v>0</v>
      </c>
      <c r="AB239" s="317">
        <f t="shared" si="40"/>
        <v>0</v>
      </c>
      <c r="AC239" s="317">
        <f t="shared" si="40"/>
        <v>0</v>
      </c>
      <c r="AD239" s="317">
        <f t="shared" si="40"/>
        <v>0</v>
      </c>
      <c r="AE239" s="317">
        <f t="shared" si="40"/>
        <v>0</v>
      </c>
      <c r="AF239" s="317">
        <f t="shared" si="40"/>
        <v>0</v>
      </c>
      <c r="AG239" s="317">
        <f t="shared" si="36"/>
        <v>206.43800000000002</v>
      </c>
      <c r="AH239" s="318">
        <v>32.505000000000003</v>
      </c>
      <c r="AI239" s="318">
        <v>27.58</v>
      </c>
      <c r="AJ239" s="318">
        <v>37.43</v>
      </c>
      <c r="AK239" s="318">
        <v>34.475000000000001</v>
      </c>
      <c r="AL239" s="318">
        <v>33.49</v>
      </c>
      <c r="AM239" s="318">
        <v>34.475000000000001</v>
      </c>
      <c r="AN239" s="318">
        <v>0</v>
      </c>
      <c r="AO239" s="318">
        <v>0</v>
      </c>
      <c r="AP239" s="318">
        <v>0</v>
      </c>
      <c r="AQ239" s="318">
        <v>0</v>
      </c>
      <c r="AR239" s="318">
        <v>0</v>
      </c>
      <c r="AS239" s="318">
        <v>0</v>
      </c>
      <c r="AT239" s="318">
        <v>0</v>
      </c>
      <c r="AU239" s="317">
        <f t="shared" si="37"/>
        <v>199.95500000000001</v>
      </c>
      <c r="AV239" s="319">
        <v>27.347000000000001</v>
      </c>
      <c r="AW239" s="319">
        <v>36.198999999999998</v>
      </c>
      <c r="AX239" s="319">
        <v>38.466000000000001</v>
      </c>
      <c r="AY239" s="319">
        <v>32.085000000000001</v>
      </c>
      <c r="AZ239" s="319">
        <v>33.476999999999997</v>
      </c>
      <c r="BA239" s="319">
        <v>34.454999999999998</v>
      </c>
      <c r="BB239" s="319">
        <v>0</v>
      </c>
      <c r="BC239" s="319">
        <v>0</v>
      </c>
      <c r="BD239" s="319">
        <v>0</v>
      </c>
      <c r="BE239" s="319">
        <v>0</v>
      </c>
      <c r="BF239" s="319">
        <v>0</v>
      </c>
      <c r="BG239" s="319">
        <v>0</v>
      </c>
      <c r="BH239" s="319">
        <v>0</v>
      </c>
      <c r="BI239" s="317">
        <f t="shared" si="39"/>
        <v>202.029</v>
      </c>
      <c r="BJ239" s="316">
        <v>35.886000000000003</v>
      </c>
      <c r="BK239" s="316">
        <v>39.375</v>
      </c>
      <c r="BL239" s="316">
        <v>32.198999999999998</v>
      </c>
      <c r="BM239" s="316">
        <v>37.119</v>
      </c>
      <c r="BN239" s="316">
        <v>35.938000000000002</v>
      </c>
      <c r="BO239" s="316">
        <v>36.813000000000002</v>
      </c>
      <c r="BP239" s="316">
        <v>0</v>
      </c>
      <c r="BQ239" s="316">
        <v>0</v>
      </c>
      <c r="BR239" s="316">
        <v>0</v>
      </c>
      <c r="BS239" s="316">
        <v>0</v>
      </c>
      <c r="BT239" s="316">
        <v>0</v>
      </c>
      <c r="BU239" s="316">
        <v>0</v>
      </c>
      <c r="BV239" s="316">
        <v>0</v>
      </c>
      <c r="BW239" s="317">
        <f t="shared" si="38"/>
        <v>217.32999999999998</v>
      </c>
    </row>
    <row r="240" spans="1:75" x14ac:dyDescent="0.2">
      <c r="A240" s="20" t="str">
        <f>'School Level Inst. Resources'!A240</f>
        <v>1501000</v>
      </c>
      <c r="B240" s="20" t="str">
        <f>'School Level Inst. Resources'!B240</f>
        <v>Park #1</v>
      </c>
      <c r="C240" s="20" t="str">
        <f>'School Level Inst. Resources'!C240</f>
        <v>1501003</v>
      </c>
      <c r="D240" s="20" t="str">
        <f>'School Level Inst. Resources'!D240</f>
        <v>Southside Elementary</v>
      </c>
      <c r="E240" s="138" t="str">
        <f>'School Level Inst. Resources'!E240</f>
        <v>K-5</v>
      </c>
      <c r="F240" s="317">
        <f>IF(AND($A$2=4,VLOOKUP($A240,'District Level ADM'!$A$5:$W$52,5,FALSE)="Prior Year"),AH240,IF(AND($A$2=4,VLOOKUP($A240,'District Level ADM'!$A$5:$W$52,5,FALSE)="3-Year Avg."),T240,IF($A$2=2,AH240,IF($A$2=3,T240,IF(($AG240&gt;$AU240),T240,AH240)))))</f>
        <v>53.19</v>
      </c>
      <c r="G240" s="317">
        <f>IF(AND($A$2=4,VLOOKUP($A240,'District Level ADM'!$A$5:$W$52,5,FALSE)="Prior Year"),AI240,IF(AND($A$2=4,VLOOKUP($A240,'District Level ADM'!$A$5:$W$52,5,FALSE)="3-Year Avg."),U240,IF($A$2=2,AI240,IF($A$2=3,U240,IF(($AG240&gt;$AU240),U240,AI240)))))</f>
        <v>44.325000000000003</v>
      </c>
      <c r="H240" s="317">
        <f>IF(AND($A$2=4,VLOOKUP($A240,'District Level ADM'!$A$5:$W$52,5,FALSE)="Prior Year"),AJ240,IF(AND($A$2=4,VLOOKUP($A240,'District Level ADM'!$A$5:$W$52,5,FALSE)="3-Year Avg."),V240,IF($A$2=2,AJ240,IF($A$2=3,V240,IF(($AG240&gt;$AU240),V240,AJ240)))))</f>
        <v>54.174999999999997</v>
      </c>
      <c r="I240" s="317">
        <f>IF(AND($A$2=4,VLOOKUP($A240,'District Level ADM'!$A$5:$W$52,5,FALSE)="Prior Year"),AK240,IF(AND($A$2=4,VLOOKUP($A240,'District Level ADM'!$A$5:$W$52,5,FALSE)="3-Year Avg."),W240,IF($A$2=2,AK240,IF($A$2=3,W240,IF(($AG240&gt;$AU240),W240,AK240)))))</f>
        <v>52.204999999999998</v>
      </c>
      <c r="J240" s="317">
        <f>IF(AND($A$2=4,VLOOKUP($A240,'District Level ADM'!$A$5:$W$52,5,FALSE)="Prior Year"),AL240,IF(AND($A$2=4,VLOOKUP($A240,'District Level ADM'!$A$5:$W$52,5,FALSE)="3-Year Avg."),X240,IF($A$2=2,AL240,IF($A$2=3,X240,IF(($AG240&gt;$AU240),X240,AL240)))))</f>
        <v>52.204999999999998</v>
      </c>
      <c r="K240" s="317">
        <f>IF(AND($A$2=4,VLOOKUP($A240,'District Level ADM'!$A$5:$W$52,5,FALSE)="Prior Year"),AM240,IF(AND($A$2=4,VLOOKUP($A240,'District Level ADM'!$A$5:$W$52,5,FALSE)="3-Year Avg."),Y240,IF($A$2=2,AM240,IF($A$2=3,Y240,IF(($AG240&gt;$AU240),Y240,AM240)))))</f>
        <v>55.16</v>
      </c>
      <c r="L240" s="317">
        <f>IF(AND($A$2=4,VLOOKUP($A240,'District Level ADM'!$A$5:$W$52,5,FALSE)="Prior Year"),AN240,IF(AND($A$2=4,VLOOKUP($A240,'District Level ADM'!$A$5:$W$52,5,FALSE)="3-Year Avg."),Z240,IF($A$2=2,AN240,IF($A$2=3,Z240,IF(($AG240&gt;$AU240),Z240,AN240)))))</f>
        <v>0</v>
      </c>
      <c r="M240" s="317">
        <f>IF(AND($A$2=4,VLOOKUP($A240,'District Level ADM'!$A$5:$W$52,5,FALSE)="Prior Year"),AO240,IF(AND($A$2=4,VLOOKUP($A240,'District Level ADM'!$A$5:$W$52,5,FALSE)="3-Year Avg."),AA240,IF($A$2=2,AO240,IF($A$2=3,AA240,IF(($AG240&gt;$AU240),AA240,AO240)))))</f>
        <v>0</v>
      </c>
      <c r="N240" s="317">
        <f>IF(AND($A$2=4,VLOOKUP($A240,'District Level ADM'!$A$5:$W$52,5,FALSE)="Prior Year"),AP240,IF(AND($A$2=4,VLOOKUP($A240,'District Level ADM'!$A$5:$W$52,5,FALSE)="3-Year Avg."),AB240,IF($A$2=2,AP240,IF($A$2=3,AB240,IF(($AG240&gt;$AU240),AB240,AP240)))))</f>
        <v>0</v>
      </c>
      <c r="O240" s="317">
        <f>IF(AND($A$2=4,VLOOKUP($A240,'District Level ADM'!$A$5:$W$52,5,FALSE)="Prior Year"),AQ240,IF(AND($A$2=4,VLOOKUP($A240,'District Level ADM'!$A$5:$W$52,5,FALSE)="3-Year Avg."),AC240,IF($A$2=2,AQ240,IF($A$2=3,AC240,IF(($AG240&gt;$AU240),AC240,AQ240)))))</f>
        <v>0</v>
      </c>
      <c r="P240" s="317">
        <f>IF(AND($A$2=4,VLOOKUP($A240,'District Level ADM'!$A$5:$W$52,5,FALSE)="Prior Year"),AR240,IF(AND($A$2=4,VLOOKUP($A240,'District Level ADM'!$A$5:$W$52,5,FALSE)="3-Year Avg."),AD240,IF($A$2=2,AR240,IF($A$2=3,AD240,IF(($AG240&gt;$AU240),AD240,AR240)))))</f>
        <v>0</v>
      </c>
      <c r="Q240" s="317">
        <f>IF(AND($A$2=4,VLOOKUP($A240,'District Level ADM'!$A$5:$W$52,5,FALSE)="Prior Year"),AS240,IF(AND($A$2=4,VLOOKUP($A240,'District Level ADM'!$A$5:$W$52,5,FALSE)="3-Year Avg."),AE240,IF($A$2=2,AS240,IF($A$2=3,AE240,IF(($AG240&gt;$AU240),AE240,AS240)))))</f>
        <v>0</v>
      </c>
      <c r="R240" s="317">
        <f>IF(AND($A$2=4,VLOOKUP($A240,'District Level ADM'!$A$5:$W$52,5,FALSE)="Prior Year"),AT240,IF(AND($A$2=4,VLOOKUP($A240,'District Level ADM'!$A$5:$W$52,5,FALSE)="3-Year Avg."),AF240,IF($A$2=2,AT240,IF($A$2=3,AF240,IF(($AG240&gt;$AU240),AF240,AT240)))))</f>
        <v>0</v>
      </c>
      <c r="S240" s="317">
        <f t="shared" si="35"/>
        <v>311.26</v>
      </c>
      <c r="T240" s="317">
        <f t="shared" si="34"/>
        <v>50.489333333333342</v>
      </c>
      <c r="U240" s="317">
        <f t="shared" si="34"/>
        <v>52.147999999999996</v>
      </c>
      <c r="V240" s="317">
        <f t="shared" si="34"/>
        <v>52.967333333333329</v>
      </c>
      <c r="W240" s="317">
        <f t="shared" si="34"/>
        <v>53.102333333333341</v>
      </c>
      <c r="X240" s="317">
        <f t="shared" si="40"/>
        <v>53.176333333333332</v>
      </c>
      <c r="Y240" s="317">
        <f t="shared" si="40"/>
        <v>56.295999999999999</v>
      </c>
      <c r="Z240" s="317">
        <f t="shared" si="40"/>
        <v>0</v>
      </c>
      <c r="AA240" s="317">
        <f t="shared" si="40"/>
        <v>0</v>
      </c>
      <c r="AB240" s="317">
        <f t="shared" si="40"/>
        <v>0</v>
      </c>
      <c r="AC240" s="317">
        <f t="shared" si="40"/>
        <v>0</v>
      </c>
      <c r="AD240" s="317">
        <f t="shared" si="40"/>
        <v>0</v>
      </c>
      <c r="AE240" s="317">
        <f t="shared" si="40"/>
        <v>0</v>
      </c>
      <c r="AF240" s="317">
        <f t="shared" si="40"/>
        <v>0</v>
      </c>
      <c r="AG240" s="317">
        <f t="shared" si="36"/>
        <v>318.17933333333332</v>
      </c>
      <c r="AH240" s="318">
        <v>53.19</v>
      </c>
      <c r="AI240" s="318">
        <v>44.325000000000003</v>
      </c>
      <c r="AJ240" s="318">
        <v>54.174999999999997</v>
      </c>
      <c r="AK240" s="318">
        <v>52.204999999999998</v>
      </c>
      <c r="AL240" s="318">
        <v>52.204999999999998</v>
      </c>
      <c r="AM240" s="318">
        <v>55.16</v>
      </c>
      <c r="AN240" s="318">
        <v>0</v>
      </c>
      <c r="AO240" s="318">
        <v>0</v>
      </c>
      <c r="AP240" s="318">
        <v>0</v>
      </c>
      <c r="AQ240" s="318">
        <v>0</v>
      </c>
      <c r="AR240" s="318">
        <v>0</v>
      </c>
      <c r="AS240" s="318">
        <v>0</v>
      </c>
      <c r="AT240" s="318">
        <v>0</v>
      </c>
      <c r="AU240" s="317">
        <f t="shared" si="37"/>
        <v>311.26</v>
      </c>
      <c r="AV240" s="319">
        <v>42.851999999999997</v>
      </c>
      <c r="AW240" s="319">
        <v>60.101999999999997</v>
      </c>
      <c r="AX240" s="319">
        <v>54.357999999999997</v>
      </c>
      <c r="AY240" s="319">
        <v>50.017000000000003</v>
      </c>
      <c r="AZ240" s="319">
        <v>55</v>
      </c>
      <c r="BA240" s="319">
        <v>58.756</v>
      </c>
      <c r="BB240" s="319">
        <v>0</v>
      </c>
      <c r="BC240" s="319">
        <v>0</v>
      </c>
      <c r="BD240" s="319">
        <v>0</v>
      </c>
      <c r="BE240" s="319">
        <v>0</v>
      </c>
      <c r="BF240" s="319">
        <v>0</v>
      </c>
      <c r="BG240" s="319">
        <v>0</v>
      </c>
      <c r="BH240" s="319">
        <v>0</v>
      </c>
      <c r="BI240" s="317">
        <f t="shared" si="39"/>
        <v>321.08499999999992</v>
      </c>
      <c r="BJ240" s="316">
        <v>55.426000000000002</v>
      </c>
      <c r="BK240" s="316">
        <v>52.017000000000003</v>
      </c>
      <c r="BL240" s="316">
        <v>50.369</v>
      </c>
      <c r="BM240" s="316">
        <v>57.085000000000001</v>
      </c>
      <c r="BN240" s="316">
        <v>52.323999999999998</v>
      </c>
      <c r="BO240" s="316">
        <v>54.972000000000001</v>
      </c>
      <c r="BP240" s="316">
        <v>0</v>
      </c>
      <c r="BQ240" s="316">
        <v>0</v>
      </c>
      <c r="BR240" s="316">
        <v>0</v>
      </c>
      <c r="BS240" s="316">
        <v>0</v>
      </c>
      <c r="BT240" s="316">
        <v>0</v>
      </c>
      <c r="BU240" s="316">
        <v>0</v>
      </c>
      <c r="BV240" s="316">
        <v>0</v>
      </c>
      <c r="BW240" s="317">
        <f t="shared" si="38"/>
        <v>322.19299999999998</v>
      </c>
    </row>
    <row r="241" spans="1:75" x14ac:dyDescent="0.2">
      <c r="A241" s="20" t="str">
        <f>'School Level Inst. Resources'!A241</f>
        <v>1501000</v>
      </c>
      <c r="B241" s="20" t="str">
        <f>'School Level Inst. Resources'!B241</f>
        <v>Park #1</v>
      </c>
      <c r="C241" s="20" t="str">
        <f>'School Level Inst. Resources'!C241</f>
        <v>1501004</v>
      </c>
      <c r="D241" s="20" t="str">
        <f>'School Level Inst. Resources'!D241</f>
        <v>Westside Elementary</v>
      </c>
      <c r="E241" s="138" t="str">
        <f>'School Level Inst. Resources'!E241</f>
        <v>K-5</v>
      </c>
      <c r="F241" s="317">
        <f>IF(AND($A$2=4,VLOOKUP($A241,'District Level ADM'!$A$5:$W$52,5,FALSE)="Prior Year"),AH241,IF(AND($A$2=4,VLOOKUP($A241,'District Level ADM'!$A$5:$W$52,5,FALSE)="3-Year Avg."),T241,IF($A$2=2,AH241,IF($A$2=3,T241,IF(($AG241&gt;$AU241),T241,AH241)))))</f>
        <v>47.28</v>
      </c>
      <c r="G241" s="317">
        <f>IF(AND($A$2=4,VLOOKUP($A241,'District Level ADM'!$A$5:$W$52,5,FALSE)="Prior Year"),AI241,IF(AND($A$2=4,VLOOKUP($A241,'District Level ADM'!$A$5:$W$52,5,FALSE)="3-Year Avg."),U241,IF($A$2=2,AI241,IF($A$2=3,U241,IF(($AG241&gt;$AU241),U241,AI241)))))</f>
        <v>47.28</v>
      </c>
      <c r="H241" s="317">
        <f>IF(AND($A$2=4,VLOOKUP($A241,'District Level ADM'!$A$5:$W$52,5,FALSE)="Prior Year"),AJ241,IF(AND($A$2=4,VLOOKUP($A241,'District Level ADM'!$A$5:$W$52,5,FALSE)="3-Year Avg."),V241,IF($A$2=2,AJ241,IF($A$2=3,V241,IF(($AG241&gt;$AU241),V241,AJ241)))))</f>
        <v>56.145000000000003</v>
      </c>
      <c r="I241" s="317">
        <f>IF(AND($A$2=4,VLOOKUP($A241,'District Level ADM'!$A$5:$W$52,5,FALSE)="Prior Year"),AK241,IF(AND($A$2=4,VLOOKUP($A241,'District Level ADM'!$A$5:$W$52,5,FALSE)="3-Year Avg."),W241,IF($A$2=2,AK241,IF($A$2=3,W241,IF(($AG241&gt;$AU241),W241,AK241)))))</f>
        <v>43.34</v>
      </c>
      <c r="J241" s="317">
        <f>IF(AND($A$2=4,VLOOKUP($A241,'District Level ADM'!$A$5:$W$52,5,FALSE)="Prior Year"),AL241,IF(AND($A$2=4,VLOOKUP($A241,'District Level ADM'!$A$5:$W$52,5,FALSE)="3-Year Avg."),X241,IF($A$2=2,AL241,IF($A$2=3,X241,IF(($AG241&gt;$AU241),X241,AL241)))))</f>
        <v>51.22</v>
      </c>
      <c r="K241" s="317">
        <f>IF(AND($A$2=4,VLOOKUP($A241,'District Level ADM'!$A$5:$W$52,5,FALSE)="Prior Year"),AM241,IF(AND($A$2=4,VLOOKUP($A241,'District Level ADM'!$A$5:$W$52,5,FALSE)="3-Year Avg."),Y241,IF($A$2=2,AM241,IF($A$2=3,Y241,IF(($AG241&gt;$AU241),Y241,AM241)))))</f>
        <v>54.174999999999997</v>
      </c>
      <c r="L241" s="317">
        <f>IF(AND($A$2=4,VLOOKUP($A241,'District Level ADM'!$A$5:$W$52,5,FALSE)="Prior Year"),AN241,IF(AND($A$2=4,VLOOKUP($A241,'District Level ADM'!$A$5:$W$52,5,FALSE)="3-Year Avg."),Z241,IF($A$2=2,AN241,IF($A$2=3,Z241,IF(($AG241&gt;$AU241),Z241,AN241)))))</f>
        <v>0</v>
      </c>
      <c r="M241" s="317">
        <f>IF(AND($A$2=4,VLOOKUP($A241,'District Level ADM'!$A$5:$W$52,5,FALSE)="Prior Year"),AO241,IF(AND($A$2=4,VLOOKUP($A241,'District Level ADM'!$A$5:$W$52,5,FALSE)="3-Year Avg."),AA241,IF($A$2=2,AO241,IF($A$2=3,AA241,IF(($AG241&gt;$AU241),AA241,AO241)))))</f>
        <v>0</v>
      </c>
      <c r="N241" s="317">
        <f>IF(AND($A$2=4,VLOOKUP($A241,'District Level ADM'!$A$5:$W$52,5,FALSE)="Prior Year"),AP241,IF(AND($A$2=4,VLOOKUP($A241,'District Level ADM'!$A$5:$W$52,5,FALSE)="3-Year Avg."),AB241,IF($A$2=2,AP241,IF($A$2=3,AB241,IF(($AG241&gt;$AU241),AB241,AP241)))))</f>
        <v>0</v>
      </c>
      <c r="O241" s="317">
        <f>IF(AND($A$2=4,VLOOKUP($A241,'District Level ADM'!$A$5:$W$52,5,FALSE)="Prior Year"),AQ241,IF(AND($A$2=4,VLOOKUP($A241,'District Level ADM'!$A$5:$W$52,5,FALSE)="3-Year Avg."),AC241,IF($A$2=2,AQ241,IF($A$2=3,AC241,IF(($AG241&gt;$AU241),AC241,AQ241)))))</f>
        <v>0</v>
      </c>
      <c r="P241" s="317">
        <f>IF(AND($A$2=4,VLOOKUP($A241,'District Level ADM'!$A$5:$W$52,5,FALSE)="Prior Year"),AR241,IF(AND($A$2=4,VLOOKUP($A241,'District Level ADM'!$A$5:$W$52,5,FALSE)="3-Year Avg."),AD241,IF($A$2=2,AR241,IF($A$2=3,AD241,IF(($AG241&gt;$AU241),AD241,AR241)))))</f>
        <v>0</v>
      </c>
      <c r="Q241" s="317">
        <f>IF(AND($A$2=4,VLOOKUP($A241,'District Level ADM'!$A$5:$W$52,5,FALSE)="Prior Year"),AS241,IF(AND($A$2=4,VLOOKUP($A241,'District Level ADM'!$A$5:$W$52,5,FALSE)="3-Year Avg."),AE241,IF($A$2=2,AS241,IF($A$2=3,AE241,IF(($AG241&gt;$AU241),AE241,AS241)))))</f>
        <v>0</v>
      </c>
      <c r="R241" s="317">
        <f>IF(AND($A$2=4,VLOOKUP($A241,'District Level ADM'!$A$5:$W$52,5,FALSE)="Prior Year"),AT241,IF(AND($A$2=4,VLOOKUP($A241,'District Level ADM'!$A$5:$W$52,5,FALSE)="3-Year Avg."),AF241,IF($A$2=2,AT241,IF($A$2=3,AF241,IF(($AG241&gt;$AU241),AF241,AT241)))))</f>
        <v>0</v>
      </c>
      <c r="S241" s="317">
        <f t="shared" si="35"/>
        <v>299.44</v>
      </c>
      <c r="T241" s="317">
        <f t="shared" si="34"/>
        <v>49.877333333333333</v>
      </c>
      <c r="U241" s="317">
        <f t="shared" si="34"/>
        <v>51.735333333333337</v>
      </c>
      <c r="V241" s="317">
        <f t="shared" si="34"/>
        <v>51.777666666666669</v>
      </c>
      <c r="W241" s="317">
        <f t="shared" si="34"/>
        <v>49.626666666666665</v>
      </c>
      <c r="X241" s="317">
        <f t="shared" si="40"/>
        <v>53.845999999999997</v>
      </c>
      <c r="Y241" s="317">
        <f t="shared" si="40"/>
        <v>55.361333333333334</v>
      </c>
      <c r="Z241" s="317">
        <f t="shared" si="40"/>
        <v>0</v>
      </c>
      <c r="AA241" s="317">
        <f t="shared" si="40"/>
        <v>0</v>
      </c>
      <c r="AB241" s="317">
        <f t="shared" si="40"/>
        <v>0</v>
      </c>
      <c r="AC241" s="317">
        <f t="shared" si="40"/>
        <v>0</v>
      </c>
      <c r="AD241" s="317">
        <f t="shared" si="40"/>
        <v>0</v>
      </c>
      <c r="AE241" s="317">
        <f t="shared" si="40"/>
        <v>0</v>
      </c>
      <c r="AF241" s="317">
        <f t="shared" si="40"/>
        <v>0</v>
      </c>
      <c r="AG241" s="317">
        <f t="shared" si="36"/>
        <v>312.22433333333333</v>
      </c>
      <c r="AH241" s="318">
        <v>47.28</v>
      </c>
      <c r="AI241" s="318">
        <v>47.28</v>
      </c>
      <c r="AJ241" s="318">
        <v>56.145000000000003</v>
      </c>
      <c r="AK241" s="318">
        <v>43.34</v>
      </c>
      <c r="AL241" s="318">
        <v>51.22</v>
      </c>
      <c r="AM241" s="318">
        <v>54.174999999999997</v>
      </c>
      <c r="AN241" s="318">
        <v>0</v>
      </c>
      <c r="AO241" s="318">
        <v>0</v>
      </c>
      <c r="AP241" s="318">
        <v>0</v>
      </c>
      <c r="AQ241" s="318">
        <v>0</v>
      </c>
      <c r="AR241" s="318">
        <v>0</v>
      </c>
      <c r="AS241" s="318">
        <v>0</v>
      </c>
      <c r="AT241" s="318">
        <v>0</v>
      </c>
      <c r="AU241" s="317">
        <f t="shared" si="37"/>
        <v>299.44</v>
      </c>
      <c r="AV241" s="319">
        <v>43.136000000000003</v>
      </c>
      <c r="AW241" s="319">
        <v>58.875</v>
      </c>
      <c r="AX241" s="319">
        <v>46.113999999999997</v>
      </c>
      <c r="AY241" s="319">
        <v>49.107999999999997</v>
      </c>
      <c r="AZ241" s="319">
        <v>53.783999999999999</v>
      </c>
      <c r="BA241" s="319">
        <v>56.744</v>
      </c>
      <c r="BB241" s="319">
        <v>0</v>
      </c>
      <c r="BC241" s="319">
        <v>0</v>
      </c>
      <c r="BD241" s="319">
        <v>0</v>
      </c>
      <c r="BE241" s="319">
        <v>0</v>
      </c>
      <c r="BF241" s="319">
        <v>0</v>
      </c>
      <c r="BG241" s="319">
        <v>0</v>
      </c>
      <c r="BH241" s="319">
        <v>0</v>
      </c>
      <c r="BI241" s="317">
        <f t="shared" si="39"/>
        <v>307.76099999999997</v>
      </c>
      <c r="BJ241" s="316">
        <v>59.216000000000001</v>
      </c>
      <c r="BK241" s="316">
        <v>49.051000000000002</v>
      </c>
      <c r="BL241" s="316">
        <v>53.073999999999998</v>
      </c>
      <c r="BM241" s="316">
        <v>56.432000000000002</v>
      </c>
      <c r="BN241" s="316">
        <v>56.533999999999999</v>
      </c>
      <c r="BO241" s="316">
        <v>55.164999999999999</v>
      </c>
      <c r="BP241" s="316">
        <v>0</v>
      </c>
      <c r="BQ241" s="316">
        <v>0</v>
      </c>
      <c r="BR241" s="316">
        <v>0</v>
      </c>
      <c r="BS241" s="316">
        <v>0</v>
      </c>
      <c r="BT241" s="316">
        <v>0</v>
      </c>
      <c r="BU241" s="316">
        <v>0</v>
      </c>
      <c r="BV241" s="316">
        <v>0</v>
      </c>
      <c r="BW241" s="317">
        <f t="shared" si="38"/>
        <v>329.47200000000004</v>
      </c>
    </row>
    <row r="242" spans="1:75" x14ac:dyDescent="0.2">
      <c r="A242" s="20" t="str">
        <f>'School Level Inst. Resources'!A242</f>
        <v>1501000</v>
      </c>
      <c r="B242" s="20" t="str">
        <f>'School Level Inst. Resources'!B242</f>
        <v>Park #1</v>
      </c>
      <c r="C242" s="20" t="str">
        <f>'School Level Inst. Resources'!C242</f>
        <v>1501050</v>
      </c>
      <c r="D242" s="20" t="str">
        <f>'School Level Inst. Resources'!D242</f>
        <v>Powell Middle School</v>
      </c>
      <c r="E242" s="138" t="str">
        <f>'School Level Inst. Resources'!E242</f>
        <v>6-8</v>
      </c>
      <c r="F242" s="317">
        <f>IF(AND($A$2=4,VLOOKUP($A242,'District Level ADM'!$A$5:$W$52,5,FALSE)="Prior Year"),AH242,IF(AND($A$2=4,VLOOKUP($A242,'District Level ADM'!$A$5:$W$52,5,FALSE)="3-Year Avg."),T242,IF($A$2=2,AH242,IF($A$2=3,T242,IF(($AG242&gt;$AU242),T242,AH242)))))</f>
        <v>0</v>
      </c>
      <c r="G242" s="317">
        <f>IF(AND($A$2=4,VLOOKUP($A242,'District Level ADM'!$A$5:$W$52,5,FALSE)="Prior Year"),AI242,IF(AND($A$2=4,VLOOKUP($A242,'District Level ADM'!$A$5:$W$52,5,FALSE)="3-Year Avg."),U242,IF($A$2=2,AI242,IF($A$2=3,U242,IF(($AG242&gt;$AU242),U242,AI242)))))</f>
        <v>0</v>
      </c>
      <c r="H242" s="317">
        <f>IF(AND($A$2=4,VLOOKUP($A242,'District Level ADM'!$A$5:$W$52,5,FALSE)="Prior Year"),AJ242,IF(AND($A$2=4,VLOOKUP($A242,'District Level ADM'!$A$5:$W$52,5,FALSE)="3-Year Avg."),V242,IF($A$2=2,AJ242,IF($A$2=3,V242,IF(($AG242&gt;$AU242),V242,AJ242)))))</f>
        <v>0</v>
      </c>
      <c r="I242" s="317">
        <f>IF(AND($A$2=4,VLOOKUP($A242,'District Level ADM'!$A$5:$W$52,5,FALSE)="Prior Year"),AK242,IF(AND($A$2=4,VLOOKUP($A242,'District Level ADM'!$A$5:$W$52,5,FALSE)="3-Year Avg."),W242,IF($A$2=2,AK242,IF($A$2=3,W242,IF(($AG242&gt;$AU242),W242,AK242)))))</f>
        <v>0</v>
      </c>
      <c r="J242" s="317">
        <f>IF(AND($A$2=4,VLOOKUP($A242,'District Level ADM'!$A$5:$W$52,5,FALSE)="Prior Year"),AL242,IF(AND($A$2=4,VLOOKUP($A242,'District Level ADM'!$A$5:$W$52,5,FALSE)="3-Year Avg."),X242,IF($A$2=2,AL242,IF($A$2=3,X242,IF(($AG242&gt;$AU242),X242,AL242)))))</f>
        <v>0</v>
      </c>
      <c r="K242" s="317">
        <f>IF(AND($A$2=4,VLOOKUP($A242,'District Level ADM'!$A$5:$W$52,5,FALSE)="Prior Year"),AM242,IF(AND($A$2=4,VLOOKUP($A242,'District Level ADM'!$A$5:$W$52,5,FALSE)="3-Year Avg."),Y242,IF($A$2=2,AM242,IF($A$2=3,Y242,IF(($AG242&gt;$AU242),Y242,AM242)))))</f>
        <v>0</v>
      </c>
      <c r="L242" s="317">
        <f>IF(AND($A$2=4,VLOOKUP($A242,'District Level ADM'!$A$5:$W$52,5,FALSE)="Prior Year"),AN242,IF(AND($A$2=4,VLOOKUP($A242,'District Level ADM'!$A$5:$W$52,5,FALSE)="3-Year Avg."),Z242,IF($A$2=2,AN242,IF($A$2=3,Z242,IF(($AG242&gt;$AU242),Z242,AN242)))))</f>
        <v>150.70500000000001</v>
      </c>
      <c r="M242" s="317">
        <f>IF(AND($A$2=4,VLOOKUP($A242,'District Level ADM'!$A$5:$W$52,5,FALSE)="Prior Year"),AO242,IF(AND($A$2=4,VLOOKUP($A242,'District Level ADM'!$A$5:$W$52,5,FALSE)="3-Year Avg."),AA242,IF($A$2=2,AO242,IF($A$2=3,AA242,IF(($AG242&gt;$AU242),AA242,AO242)))))</f>
        <v>153.66</v>
      </c>
      <c r="N242" s="317">
        <f>IF(AND($A$2=4,VLOOKUP($A242,'District Level ADM'!$A$5:$W$52,5,FALSE)="Prior Year"),AP242,IF(AND($A$2=4,VLOOKUP($A242,'District Level ADM'!$A$5:$W$52,5,FALSE)="3-Year Avg."),AB242,IF($A$2=2,AP242,IF($A$2=3,AB242,IF(($AG242&gt;$AU242),AB242,AP242)))))</f>
        <v>131.005</v>
      </c>
      <c r="O242" s="317">
        <f>IF(AND($A$2=4,VLOOKUP($A242,'District Level ADM'!$A$5:$W$52,5,FALSE)="Prior Year"),AQ242,IF(AND($A$2=4,VLOOKUP($A242,'District Level ADM'!$A$5:$W$52,5,FALSE)="3-Year Avg."),AC242,IF($A$2=2,AQ242,IF($A$2=3,AC242,IF(($AG242&gt;$AU242),AC242,AQ242)))))</f>
        <v>0</v>
      </c>
      <c r="P242" s="317">
        <f>IF(AND($A$2=4,VLOOKUP($A242,'District Level ADM'!$A$5:$W$52,5,FALSE)="Prior Year"),AR242,IF(AND($A$2=4,VLOOKUP($A242,'District Level ADM'!$A$5:$W$52,5,FALSE)="3-Year Avg."),AD242,IF($A$2=2,AR242,IF($A$2=3,AD242,IF(($AG242&gt;$AU242),AD242,AR242)))))</f>
        <v>0</v>
      </c>
      <c r="Q242" s="317">
        <f>IF(AND($A$2=4,VLOOKUP($A242,'District Level ADM'!$A$5:$W$52,5,FALSE)="Prior Year"),AS242,IF(AND($A$2=4,VLOOKUP($A242,'District Level ADM'!$A$5:$W$52,5,FALSE)="3-Year Avg."),AE242,IF($A$2=2,AS242,IF($A$2=3,AE242,IF(($AG242&gt;$AU242),AE242,AS242)))))</f>
        <v>0</v>
      </c>
      <c r="R242" s="317">
        <f>IF(AND($A$2=4,VLOOKUP($A242,'District Level ADM'!$A$5:$W$52,5,FALSE)="Prior Year"),AT242,IF(AND($A$2=4,VLOOKUP($A242,'District Level ADM'!$A$5:$W$52,5,FALSE)="3-Year Avg."),AF242,IF($A$2=2,AT242,IF($A$2=3,AF242,IF(($AG242&gt;$AU242),AF242,AT242)))))</f>
        <v>0</v>
      </c>
      <c r="S242" s="317">
        <f t="shared" si="35"/>
        <v>435.37</v>
      </c>
      <c r="T242" s="317">
        <f t="shared" si="34"/>
        <v>0</v>
      </c>
      <c r="U242" s="317">
        <f t="shared" si="34"/>
        <v>0</v>
      </c>
      <c r="V242" s="317">
        <f t="shared" si="34"/>
        <v>0</v>
      </c>
      <c r="W242" s="317">
        <f t="shared" si="34"/>
        <v>0</v>
      </c>
      <c r="X242" s="317">
        <f t="shared" si="40"/>
        <v>0</v>
      </c>
      <c r="Y242" s="317">
        <f t="shared" si="40"/>
        <v>0</v>
      </c>
      <c r="Z242" s="317">
        <f t="shared" si="40"/>
        <v>145.53233333333333</v>
      </c>
      <c r="AA242" s="317">
        <f t="shared" si="40"/>
        <v>144.16600000000003</v>
      </c>
      <c r="AB242" s="317">
        <f t="shared" si="40"/>
        <v>138.49033333333333</v>
      </c>
      <c r="AC242" s="317">
        <f t="shared" si="40"/>
        <v>0</v>
      </c>
      <c r="AD242" s="317">
        <f t="shared" si="40"/>
        <v>0</v>
      </c>
      <c r="AE242" s="317">
        <f t="shared" si="40"/>
        <v>0</v>
      </c>
      <c r="AF242" s="317">
        <f t="shared" si="40"/>
        <v>0</v>
      </c>
      <c r="AG242" s="317">
        <f t="shared" si="36"/>
        <v>428.18866666666668</v>
      </c>
      <c r="AH242" s="318">
        <v>0</v>
      </c>
      <c r="AI242" s="318">
        <v>0</v>
      </c>
      <c r="AJ242" s="318">
        <v>0</v>
      </c>
      <c r="AK242" s="318">
        <v>0</v>
      </c>
      <c r="AL242" s="318">
        <v>0</v>
      </c>
      <c r="AM242" s="318">
        <v>0</v>
      </c>
      <c r="AN242" s="318">
        <v>150.70500000000001</v>
      </c>
      <c r="AO242" s="318">
        <v>153.66</v>
      </c>
      <c r="AP242" s="318">
        <v>131.005</v>
      </c>
      <c r="AQ242" s="318">
        <v>0</v>
      </c>
      <c r="AR242" s="318">
        <v>0</v>
      </c>
      <c r="AS242" s="318">
        <v>0</v>
      </c>
      <c r="AT242" s="318">
        <v>0</v>
      </c>
      <c r="AU242" s="317">
        <f t="shared" si="37"/>
        <v>435.37</v>
      </c>
      <c r="AV242" s="319">
        <v>0</v>
      </c>
      <c r="AW242" s="319">
        <v>0</v>
      </c>
      <c r="AX242" s="319">
        <v>0</v>
      </c>
      <c r="AY242" s="319">
        <v>0</v>
      </c>
      <c r="AZ242" s="319">
        <v>0</v>
      </c>
      <c r="BA242" s="319">
        <v>0</v>
      </c>
      <c r="BB242" s="319">
        <v>148.44900000000001</v>
      </c>
      <c r="BC242" s="319">
        <v>129.09899999999999</v>
      </c>
      <c r="BD242" s="319">
        <v>143.68199999999999</v>
      </c>
      <c r="BE242" s="319">
        <v>0</v>
      </c>
      <c r="BF242" s="319">
        <v>0</v>
      </c>
      <c r="BG242" s="319">
        <v>0</v>
      </c>
      <c r="BH242" s="319">
        <v>0</v>
      </c>
      <c r="BI242" s="317">
        <f t="shared" si="39"/>
        <v>421.23</v>
      </c>
      <c r="BJ242" s="316">
        <v>0</v>
      </c>
      <c r="BK242" s="316">
        <v>0</v>
      </c>
      <c r="BL242" s="316">
        <v>0</v>
      </c>
      <c r="BM242" s="316">
        <v>0</v>
      </c>
      <c r="BN242" s="316">
        <v>0</v>
      </c>
      <c r="BO242" s="316">
        <v>0</v>
      </c>
      <c r="BP242" s="316">
        <v>137.44300000000001</v>
      </c>
      <c r="BQ242" s="316">
        <v>149.739</v>
      </c>
      <c r="BR242" s="316">
        <v>140.78399999999999</v>
      </c>
      <c r="BS242" s="316">
        <v>0</v>
      </c>
      <c r="BT242" s="316">
        <v>0</v>
      </c>
      <c r="BU242" s="316">
        <v>0</v>
      </c>
      <c r="BV242" s="316">
        <v>0</v>
      </c>
      <c r="BW242" s="317">
        <f t="shared" si="38"/>
        <v>427.96600000000001</v>
      </c>
    </row>
    <row r="243" spans="1:75" x14ac:dyDescent="0.2">
      <c r="A243" s="20" t="str">
        <f>'School Level Inst. Resources'!A243</f>
        <v>1501000</v>
      </c>
      <c r="B243" s="20" t="str">
        <f>'School Level Inst. Resources'!B243</f>
        <v>Park #1</v>
      </c>
      <c r="C243" s="20" t="str">
        <f>'School Level Inst. Resources'!C243</f>
        <v>1501055</v>
      </c>
      <c r="D243" s="20" t="str">
        <f>'School Level Inst. Resources'!D243</f>
        <v>Powell High School</v>
      </c>
      <c r="E243" s="138" t="str">
        <f>'School Level Inst. Resources'!E243</f>
        <v>9-12</v>
      </c>
      <c r="F243" s="317">
        <f>IF(AND($A$2=4,VLOOKUP($A243,'District Level ADM'!$A$5:$W$52,5,FALSE)="Prior Year"),AH243,IF(AND($A$2=4,VLOOKUP($A243,'District Level ADM'!$A$5:$W$52,5,FALSE)="3-Year Avg."),T243,IF($A$2=2,AH243,IF($A$2=3,T243,IF(($AG243&gt;$AU243),T243,AH243)))))</f>
        <v>0</v>
      </c>
      <c r="G243" s="317">
        <f>IF(AND($A$2=4,VLOOKUP($A243,'District Level ADM'!$A$5:$W$52,5,FALSE)="Prior Year"),AI243,IF(AND($A$2=4,VLOOKUP($A243,'District Level ADM'!$A$5:$W$52,5,FALSE)="3-Year Avg."),U243,IF($A$2=2,AI243,IF($A$2=3,U243,IF(($AG243&gt;$AU243),U243,AI243)))))</f>
        <v>0</v>
      </c>
      <c r="H243" s="317">
        <f>IF(AND($A$2=4,VLOOKUP($A243,'District Level ADM'!$A$5:$W$52,5,FALSE)="Prior Year"),AJ243,IF(AND($A$2=4,VLOOKUP($A243,'District Level ADM'!$A$5:$W$52,5,FALSE)="3-Year Avg."),V243,IF($A$2=2,AJ243,IF($A$2=3,V243,IF(($AG243&gt;$AU243),V243,AJ243)))))</f>
        <v>0</v>
      </c>
      <c r="I243" s="317">
        <f>IF(AND($A$2=4,VLOOKUP($A243,'District Level ADM'!$A$5:$W$52,5,FALSE)="Prior Year"),AK243,IF(AND($A$2=4,VLOOKUP($A243,'District Level ADM'!$A$5:$W$52,5,FALSE)="3-Year Avg."),W243,IF($A$2=2,AK243,IF($A$2=3,W243,IF(($AG243&gt;$AU243),W243,AK243)))))</f>
        <v>0</v>
      </c>
      <c r="J243" s="317">
        <f>IF(AND($A$2=4,VLOOKUP($A243,'District Level ADM'!$A$5:$W$52,5,FALSE)="Prior Year"),AL243,IF(AND($A$2=4,VLOOKUP($A243,'District Level ADM'!$A$5:$W$52,5,FALSE)="3-Year Avg."),X243,IF($A$2=2,AL243,IF($A$2=3,X243,IF(($AG243&gt;$AU243),X243,AL243)))))</f>
        <v>0</v>
      </c>
      <c r="K243" s="317">
        <f>IF(AND($A$2=4,VLOOKUP($A243,'District Level ADM'!$A$5:$W$52,5,FALSE)="Prior Year"),AM243,IF(AND($A$2=4,VLOOKUP($A243,'District Level ADM'!$A$5:$W$52,5,FALSE)="3-Year Avg."),Y243,IF($A$2=2,AM243,IF($A$2=3,Y243,IF(($AG243&gt;$AU243),Y243,AM243)))))</f>
        <v>0</v>
      </c>
      <c r="L243" s="317">
        <f>IF(AND($A$2=4,VLOOKUP($A243,'District Level ADM'!$A$5:$W$52,5,FALSE)="Prior Year"),AN243,IF(AND($A$2=4,VLOOKUP($A243,'District Level ADM'!$A$5:$W$52,5,FALSE)="3-Year Avg."),Z243,IF($A$2=2,AN243,IF($A$2=3,Z243,IF(($AG243&gt;$AU243),Z243,AN243)))))</f>
        <v>0</v>
      </c>
      <c r="M243" s="317">
        <f>IF(AND($A$2=4,VLOOKUP($A243,'District Level ADM'!$A$5:$W$52,5,FALSE)="Prior Year"),AO243,IF(AND($A$2=4,VLOOKUP($A243,'District Level ADM'!$A$5:$W$52,5,FALSE)="3-Year Avg."),AA243,IF($A$2=2,AO243,IF($A$2=3,AA243,IF(($AG243&gt;$AU243),AA243,AO243)))))</f>
        <v>0</v>
      </c>
      <c r="N243" s="317">
        <f>IF(AND($A$2=4,VLOOKUP($A243,'District Level ADM'!$A$5:$W$52,5,FALSE)="Prior Year"),AP243,IF(AND($A$2=4,VLOOKUP($A243,'District Level ADM'!$A$5:$W$52,5,FALSE)="3-Year Avg."),AB243,IF($A$2=2,AP243,IF($A$2=3,AB243,IF(($AG243&gt;$AU243),AB243,AP243)))))</f>
        <v>0</v>
      </c>
      <c r="O243" s="317">
        <f>IF(AND($A$2=4,VLOOKUP($A243,'District Level ADM'!$A$5:$W$52,5,FALSE)="Prior Year"),AQ243,IF(AND($A$2=4,VLOOKUP($A243,'District Level ADM'!$A$5:$W$52,5,FALSE)="3-Year Avg."),AC243,IF($A$2=2,AQ243,IF($A$2=3,AC243,IF(($AG243&gt;$AU243),AC243,AQ243)))))</f>
        <v>142.82499999999999</v>
      </c>
      <c r="P243" s="317">
        <f>IF(AND($A$2=4,VLOOKUP($A243,'District Level ADM'!$A$5:$W$52,5,FALSE)="Prior Year"),AR243,IF(AND($A$2=4,VLOOKUP($A243,'District Level ADM'!$A$5:$W$52,5,FALSE)="3-Year Avg."),AD243,IF($A$2=2,AR243,IF($A$2=3,AD243,IF(($AG243&gt;$AU243),AD243,AR243)))))</f>
        <v>145.78</v>
      </c>
      <c r="Q243" s="317">
        <f>IF(AND($A$2=4,VLOOKUP($A243,'District Level ADM'!$A$5:$W$52,5,FALSE)="Prior Year"),AS243,IF(AND($A$2=4,VLOOKUP($A243,'District Level ADM'!$A$5:$W$52,5,FALSE)="3-Year Avg."),AE243,IF($A$2=2,AS243,IF($A$2=3,AE243,IF(($AG243&gt;$AU243),AE243,AS243)))))</f>
        <v>133.96</v>
      </c>
      <c r="R243" s="317">
        <f>IF(AND($A$2=4,VLOOKUP($A243,'District Level ADM'!$A$5:$W$52,5,FALSE)="Prior Year"),AT243,IF(AND($A$2=4,VLOOKUP($A243,'District Level ADM'!$A$5:$W$52,5,FALSE)="3-Year Avg."),AF243,IF($A$2=2,AT243,IF($A$2=3,AF243,IF(($AG243&gt;$AU243),AF243,AT243)))))</f>
        <v>112.29</v>
      </c>
      <c r="S243" s="317">
        <f t="shared" si="35"/>
        <v>534.85500000000002</v>
      </c>
      <c r="T243" s="317">
        <f t="shared" si="34"/>
        <v>0</v>
      </c>
      <c r="U243" s="317">
        <f t="shared" si="34"/>
        <v>0</v>
      </c>
      <c r="V243" s="317">
        <f t="shared" si="34"/>
        <v>0</v>
      </c>
      <c r="W243" s="317">
        <f t="shared" si="34"/>
        <v>0</v>
      </c>
      <c r="X243" s="317">
        <f t="shared" si="40"/>
        <v>0</v>
      </c>
      <c r="Y243" s="317">
        <f t="shared" si="40"/>
        <v>0</v>
      </c>
      <c r="Z243" s="317">
        <f t="shared" si="40"/>
        <v>0</v>
      </c>
      <c r="AA243" s="317">
        <f t="shared" ref="AA243:AF285" si="41">AVERAGE(AO243,BC243,BQ243)</f>
        <v>0</v>
      </c>
      <c r="AB243" s="317">
        <f t="shared" si="41"/>
        <v>0</v>
      </c>
      <c r="AC243" s="317">
        <f t="shared" si="41"/>
        <v>142.24666666666667</v>
      </c>
      <c r="AD243" s="317">
        <f t="shared" si="41"/>
        <v>135.17566666666667</v>
      </c>
      <c r="AE243" s="317">
        <f t="shared" si="41"/>
        <v>118.04566666666666</v>
      </c>
      <c r="AF243" s="317">
        <f t="shared" si="41"/>
        <v>105.58266666666667</v>
      </c>
      <c r="AG243" s="317">
        <f t="shared" si="36"/>
        <v>501.05066666666664</v>
      </c>
      <c r="AH243" s="318">
        <v>0</v>
      </c>
      <c r="AI243" s="318">
        <v>0</v>
      </c>
      <c r="AJ243" s="318">
        <v>0</v>
      </c>
      <c r="AK243" s="318">
        <v>0</v>
      </c>
      <c r="AL243" s="318">
        <v>0</v>
      </c>
      <c r="AM243" s="318">
        <v>0</v>
      </c>
      <c r="AN243" s="318">
        <v>0</v>
      </c>
      <c r="AO243" s="318">
        <v>0</v>
      </c>
      <c r="AP243" s="318">
        <v>0</v>
      </c>
      <c r="AQ243" s="318">
        <v>142.82499999999999</v>
      </c>
      <c r="AR243" s="318">
        <v>145.78</v>
      </c>
      <c r="AS243" s="318">
        <v>133.96</v>
      </c>
      <c r="AT243" s="318">
        <v>112.29</v>
      </c>
      <c r="AU243" s="317">
        <f t="shared" si="37"/>
        <v>534.85500000000002</v>
      </c>
      <c r="AV243" s="319">
        <v>0</v>
      </c>
      <c r="AW243" s="319">
        <v>0</v>
      </c>
      <c r="AX243" s="319">
        <v>0</v>
      </c>
      <c r="AY243" s="319">
        <v>0</v>
      </c>
      <c r="AZ243" s="319">
        <v>0</v>
      </c>
      <c r="BA243" s="319">
        <v>0</v>
      </c>
      <c r="BB243" s="319">
        <v>0</v>
      </c>
      <c r="BC243" s="319">
        <v>0</v>
      </c>
      <c r="BD243" s="319">
        <v>0</v>
      </c>
      <c r="BE243" s="319">
        <v>143.19900000000001</v>
      </c>
      <c r="BF243" s="319">
        <v>138.858</v>
      </c>
      <c r="BG243" s="319">
        <v>113.364</v>
      </c>
      <c r="BH243" s="319">
        <v>107.324</v>
      </c>
      <c r="BI243" s="317">
        <f t="shared" si="39"/>
        <v>502.74500000000006</v>
      </c>
      <c r="BJ243" s="316">
        <v>0</v>
      </c>
      <c r="BK243" s="316">
        <v>0</v>
      </c>
      <c r="BL243" s="316">
        <v>0</v>
      </c>
      <c r="BM243" s="316">
        <v>0</v>
      </c>
      <c r="BN243" s="316">
        <v>0</v>
      </c>
      <c r="BO243" s="316">
        <v>0</v>
      </c>
      <c r="BP243" s="316">
        <v>0</v>
      </c>
      <c r="BQ243" s="316">
        <v>0</v>
      </c>
      <c r="BR243" s="316">
        <v>0</v>
      </c>
      <c r="BS243" s="316">
        <v>140.71600000000001</v>
      </c>
      <c r="BT243" s="316">
        <v>120.889</v>
      </c>
      <c r="BU243" s="316">
        <v>106.813</v>
      </c>
      <c r="BV243" s="316">
        <v>97.134</v>
      </c>
      <c r="BW243" s="317">
        <f t="shared" si="38"/>
        <v>465.55200000000002</v>
      </c>
    </row>
    <row r="244" spans="1:75" x14ac:dyDescent="0.2">
      <c r="A244" s="20" t="str">
        <f>'School Level Inst. Resources'!A244</f>
        <v>1501000</v>
      </c>
      <c r="B244" s="20" t="str">
        <f>'School Level Inst. Resources'!B244</f>
        <v>Park #1</v>
      </c>
      <c r="C244" s="20" t="str">
        <f>'School Level Inst. Resources'!C244</f>
        <v>1501056</v>
      </c>
      <c r="D244" s="20" t="str">
        <f>'School Level Inst. Resources'!D244</f>
        <v>Shoshone Learning Center</v>
      </c>
      <c r="E244" s="138" t="str">
        <f>'School Level Inst. Resources'!E244</f>
        <v>9-12</v>
      </c>
      <c r="F244" s="317">
        <f>IF(AND($A$2=4,VLOOKUP($A244,'District Level ADM'!$A$5:$W$52,5,FALSE)="Prior Year"),AH244,IF(AND($A$2=4,VLOOKUP($A244,'District Level ADM'!$A$5:$W$52,5,FALSE)="3-Year Avg."),T244,IF($A$2=2,AH244,IF($A$2=3,T244,IF(($AG244&gt;$AU244),T244,AH244)))))</f>
        <v>0</v>
      </c>
      <c r="G244" s="317">
        <f>IF(AND($A$2=4,VLOOKUP($A244,'District Level ADM'!$A$5:$W$52,5,FALSE)="Prior Year"),AI244,IF(AND($A$2=4,VLOOKUP($A244,'District Level ADM'!$A$5:$W$52,5,FALSE)="3-Year Avg."),U244,IF($A$2=2,AI244,IF($A$2=3,U244,IF(($AG244&gt;$AU244),U244,AI244)))))</f>
        <v>0</v>
      </c>
      <c r="H244" s="317">
        <f>IF(AND($A$2=4,VLOOKUP($A244,'District Level ADM'!$A$5:$W$52,5,FALSE)="Prior Year"),AJ244,IF(AND($A$2=4,VLOOKUP($A244,'District Level ADM'!$A$5:$W$52,5,FALSE)="3-Year Avg."),V244,IF($A$2=2,AJ244,IF($A$2=3,V244,IF(($AG244&gt;$AU244),V244,AJ244)))))</f>
        <v>0</v>
      </c>
      <c r="I244" s="317">
        <f>IF(AND($A$2=4,VLOOKUP($A244,'District Level ADM'!$A$5:$W$52,5,FALSE)="Prior Year"),AK244,IF(AND($A$2=4,VLOOKUP($A244,'District Level ADM'!$A$5:$W$52,5,FALSE)="3-Year Avg."),W244,IF($A$2=2,AK244,IF($A$2=3,W244,IF(($AG244&gt;$AU244),W244,AK244)))))</f>
        <v>0</v>
      </c>
      <c r="J244" s="317">
        <f>IF(AND($A$2=4,VLOOKUP($A244,'District Level ADM'!$A$5:$W$52,5,FALSE)="Prior Year"),AL244,IF(AND($A$2=4,VLOOKUP($A244,'District Level ADM'!$A$5:$W$52,5,FALSE)="3-Year Avg."),X244,IF($A$2=2,AL244,IF($A$2=3,X244,IF(($AG244&gt;$AU244),X244,AL244)))))</f>
        <v>0</v>
      </c>
      <c r="K244" s="317">
        <f>IF(AND($A$2=4,VLOOKUP($A244,'District Level ADM'!$A$5:$W$52,5,FALSE)="Prior Year"),AM244,IF(AND($A$2=4,VLOOKUP($A244,'District Level ADM'!$A$5:$W$52,5,FALSE)="3-Year Avg."),Y244,IF($A$2=2,AM244,IF($A$2=3,Y244,IF(($AG244&gt;$AU244),Y244,AM244)))))</f>
        <v>0</v>
      </c>
      <c r="L244" s="317">
        <f>IF(AND($A$2=4,VLOOKUP($A244,'District Level ADM'!$A$5:$W$52,5,FALSE)="Prior Year"),AN244,IF(AND($A$2=4,VLOOKUP($A244,'District Level ADM'!$A$5:$W$52,5,FALSE)="3-Year Avg."),Z244,IF($A$2=2,AN244,IF($A$2=3,Z244,IF(($AG244&gt;$AU244),Z244,AN244)))))</f>
        <v>0</v>
      </c>
      <c r="M244" s="317">
        <f>IF(AND($A$2=4,VLOOKUP($A244,'District Level ADM'!$A$5:$W$52,5,FALSE)="Prior Year"),AO244,IF(AND($A$2=4,VLOOKUP($A244,'District Level ADM'!$A$5:$W$52,5,FALSE)="3-Year Avg."),AA244,IF($A$2=2,AO244,IF($A$2=3,AA244,IF(($AG244&gt;$AU244),AA244,AO244)))))</f>
        <v>0</v>
      </c>
      <c r="N244" s="317">
        <f>IF(AND($A$2=4,VLOOKUP($A244,'District Level ADM'!$A$5:$W$52,5,FALSE)="Prior Year"),AP244,IF(AND($A$2=4,VLOOKUP($A244,'District Level ADM'!$A$5:$W$52,5,FALSE)="3-Year Avg."),AB244,IF($A$2=2,AP244,IF($A$2=3,AB244,IF(($AG244&gt;$AU244),AB244,AP244)))))</f>
        <v>0</v>
      </c>
      <c r="O244" s="317">
        <f>IF(AND($A$2=4,VLOOKUP($A244,'District Level ADM'!$A$5:$W$52,5,FALSE)="Prior Year"),AQ244,IF(AND($A$2=4,VLOOKUP($A244,'District Level ADM'!$A$5:$W$52,5,FALSE)="3-Year Avg."),AC244,IF($A$2=2,AQ244,IF($A$2=3,AC244,IF(($AG244&gt;$AU244),AC244,AQ244)))))</f>
        <v>0.98499999999999999</v>
      </c>
      <c r="P244" s="317">
        <f>IF(AND($A$2=4,VLOOKUP($A244,'District Level ADM'!$A$5:$W$52,5,FALSE)="Prior Year"),AR244,IF(AND($A$2=4,VLOOKUP($A244,'District Level ADM'!$A$5:$W$52,5,FALSE)="3-Year Avg."),AD244,IF($A$2=2,AR244,IF($A$2=3,AD244,IF(($AG244&gt;$AU244),AD244,AR244)))))</f>
        <v>0.98499999999999999</v>
      </c>
      <c r="Q244" s="317">
        <f>IF(AND($A$2=4,VLOOKUP($A244,'District Level ADM'!$A$5:$W$52,5,FALSE)="Prior Year"),AS244,IF(AND($A$2=4,VLOOKUP($A244,'District Level ADM'!$A$5:$W$52,5,FALSE)="3-Year Avg."),AE244,IF($A$2=2,AS244,IF($A$2=3,AE244,IF(($AG244&gt;$AU244),AE244,AS244)))))</f>
        <v>5.91</v>
      </c>
      <c r="R244" s="317">
        <f>IF(AND($A$2=4,VLOOKUP($A244,'District Level ADM'!$A$5:$W$52,5,FALSE)="Prior Year"),AT244,IF(AND($A$2=4,VLOOKUP($A244,'District Level ADM'!$A$5:$W$52,5,FALSE)="3-Year Avg."),AF244,IF($A$2=2,AT244,IF($A$2=3,AF244,IF(($AG244&gt;$AU244),AF244,AT244)))))</f>
        <v>6.8949999999999996</v>
      </c>
      <c r="S244" s="317">
        <f t="shared" si="35"/>
        <v>14.774999999999999</v>
      </c>
      <c r="T244" s="317">
        <f t="shared" ref="T244:Z280" si="42">AVERAGE(AH244,AV244,BJ244)</f>
        <v>0</v>
      </c>
      <c r="U244" s="317">
        <f t="shared" si="42"/>
        <v>0</v>
      </c>
      <c r="V244" s="317">
        <f t="shared" si="42"/>
        <v>0</v>
      </c>
      <c r="W244" s="317">
        <f t="shared" si="42"/>
        <v>0</v>
      </c>
      <c r="X244" s="317">
        <f t="shared" si="42"/>
        <v>0</v>
      </c>
      <c r="Y244" s="317">
        <f t="shared" si="42"/>
        <v>0</v>
      </c>
      <c r="Z244" s="317">
        <f t="shared" si="42"/>
        <v>0</v>
      </c>
      <c r="AA244" s="317">
        <f t="shared" si="41"/>
        <v>0</v>
      </c>
      <c r="AB244" s="317">
        <f t="shared" si="41"/>
        <v>0</v>
      </c>
      <c r="AC244" s="317">
        <f t="shared" si="41"/>
        <v>0.46166666666666667</v>
      </c>
      <c r="AD244" s="317">
        <f t="shared" si="41"/>
        <v>0.96799999999999997</v>
      </c>
      <c r="AE244" s="317">
        <f t="shared" si="41"/>
        <v>3.997666666666666</v>
      </c>
      <c r="AF244" s="317">
        <f t="shared" si="41"/>
        <v>6.0936666666666666</v>
      </c>
      <c r="AG244" s="317">
        <f t="shared" si="36"/>
        <v>11.520999999999999</v>
      </c>
      <c r="AH244" s="318">
        <v>0</v>
      </c>
      <c r="AI244" s="318">
        <v>0</v>
      </c>
      <c r="AJ244" s="318">
        <v>0</v>
      </c>
      <c r="AK244" s="318">
        <v>0</v>
      </c>
      <c r="AL244" s="318">
        <v>0</v>
      </c>
      <c r="AM244" s="318">
        <v>0</v>
      </c>
      <c r="AN244" s="318">
        <v>0</v>
      </c>
      <c r="AO244" s="318">
        <v>0</v>
      </c>
      <c r="AP244" s="318">
        <v>0</v>
      </c>
      <c r="AQ244" s="318">
        <v>0.98499999999999999</v>
      </c>
      <c r="AR244" s="318">
        <v>0.98499999999999999</v>
      </c>
      <c r="AS244" s="318">
        <v>5.91</v>
      </c>
      <c r="AT244" s="318">
        <v>6.8949999999999996</v>
      </c>
      <c r="AU244" s="317">
        <f t="shared" si="37"/>
        <v>14.774999999999999</v>
      </c>
      <c r="AV244" s="319">
        <v>0</v>
      </c>
      <c r="AW244" s="319">
        <v>0</v>
      </c>
      <c r="AX244" s="319">
        <v>0</v>
      </c>
      <c r="AY244" s="319">
        <v>0</v>
      </c>
      <c r="AZ244" s="319">
        <v>0</v>
      </c>
      <c r="BA244" s="319">
        <v>0</v>
      </c>
      <c r="BB244" s="319">
        <v>0</v>
      </c>
      <c r="BC244" s="319">
        <v>0</v>
      </c>
      <c r="BD244" s="319">
        <v>0</v>
      </c>
      <c r="BE244" s="319">
        <v>0.4</v>
      </c>
      <c r="BF244" s="319">
        <v>1.6919999999999999</v>
      </c>
      <c r="BG244" s="319">
        <v>1.395</v>
      </c>
      <c r="BH244" s="319">
        <v>5.8520000000000003</v>
      </c>
      <c r="BI244" s="317">
        <f t="shared" si="39"/>
        <v>9.3390000000000004</v>
      </c>
      <c r="BJ244" s="316">
        <v>0</v>
      </c>
      <c r="BK244" s="316">
        <v>0</v>
      </c>
      <c r="BL244" s="316">
        <v>0</v>
      </c>
      <c r="BM244" s="316">
        <v>0</v>
      </c>
      <c r="BN244" s="316">
        <v>0</v>
      </c>
      <c r="BO244" s="316">
        <v>0</v>
      </c>
      <c r="BP244" s="316">
        <v>0</v>
      </c>
      <c r="BQ244" s="316">
        <v>0</v>
      </c>
      <c r="BR244" s="316">
        <v>0</v>
      </c>
      <c r="BS244" s="316">
        <v>0</v>
      </c>
      <c r="BT244" s="316">
        <v>0.22700000000000001</v>
      </c>
      <c r="BU244" s="316">
        <v>4.6879999999999997</v>
      </c>
      <c r="BV244" s="316">
        <v>5.5339999999999998</v>
      </c>
      <c r="BW244" s="317">
        <f t="shared" si="38"/>
        <v>10.449</v>
      </c>
    </row>
    <row r="245" spans="1:75" x14ac:dyDescent="0.2">
      <c r="A245" s="20" t="str">
        <f>'School Level Inst. Resources'!A245</f>
        <v>1506000</v>
      </c>
      <c r="B245" s="20" t="str">
        <f>'School Level Inst. Resources'!B245</f>
        <v>Park #6</v>
      </c>
      <c r="C245" s="20" t="str">
        <f>'School Level Inst. Resources'!C245</f>
        <v>1506001</v>
      </c>
      <c r="D245" s="20" t="str">
        <f>'School Level Inst. Resources'!D245</f>
        <v>Eastside Elementary</v>
      </c>
      <c r="E245" s="138" t="str">
        <f>'School Level Inst. Resources'!E245</f>
        <v>K-5</v>
      </c>
      <c r="F245" s="317">
        <f>IF(AND($A$2=4,VLOOKUP($A245,'District Level ADM'!$A$5:$W$52,5,FALSE)="Prior Year"),AH245,IF(AND($A$2=4,VLOOKUP($A245,'District Level ADM'!$A$5:$W$52,5,FALSE)="3-Year Avg."),T245,IF($A$2=2,AH245,IF($A$2=3,T245,IF(($AG245&gt;$AU245),T245,AH245)))))</f>
        <v>49.017333333333333</v>
      </c>
      <c r="G245" s="317">
        <f>IF(AND($A$2=4,VLOOKUP($A245,'District Level ADM'!$A$5:$W$52,5,FALSE)="Prior Year"),AI245,IF(AND($A$2=4,VLOOKUP($A245,'District Level ADM'!$A$5:$W$52,5,FALSE)="3-Year Avg."),U245,IF($A$2=2,AI245,IF($A$2=3,U245,IF(($AG245&gt;$AU245),U245,AI245)))))</f>
        <v>46.631333333333338</v>
      </c>
      <c r="H245" s="317">
        <f>IF(AND($A$2=4,VLOOKUP($A245,'District Level ADM'!$A$5:$W$52,5,FALSE)="Prior Year"),AJ245,IF(AND($A$2=4,VLOOKUP($A245,'District Level ADM'!$A$5:$W$52,5,FALSE)="3-Year Avg."),V245,IF($A$2=2,AJ245,IF($A$2=3,V245,IF(($AG245&gt;$AU245),V245,AJ245)))))</f>
        <v>50.44466666666667</v>
      </c>
      <c r="I245" s="317">
        <f>IF(AND($A$2=4,VLOOKUP($A245,'District Level ADM'!$A$5:$W$52,5,FALSE)="Prior Year"),AK245,IF(AND($A$2=4,VLOOKUP($A245,'District Level ADM'!$A$5:$W$52,5,FALSE)="3-Year Avg."),W245,IF($A$2=2,AK245,IF($A$2=3,W245,IF(($AG245&gt;$AU245),W245,AK245)))))</f>
        <v>54.218999999999994</v>
      </c>
      <c r="J245" s="317">
        <f>IF(AND($A$2=4,VLOOKUP($A245,'District Level ADM'!$A$5:$W$52,5,FALSE)="Prior Year"),AL245,IF(AND($A$2=4,VLOOKUP($A245,'District Level ADM'!$A$5:$W$52,5,FALSE)="3-Year Avg."),X245,IF($A$2=2,AL245,IF($A$2=3,X245,IF(($AG245&gt;$AU245),X245,AL245)))))</f>
        <v>50.001333333333328</v>
      </c>
      <c r="K245" s="317">
        <f>IF(AND($A$2=4,VLOOKUP($A245,'District Level ADM'!$A$5:$W$52,5,FALSE)="Prior Year"),AM245,IF(AND($A$2=4,VLOOKUP($A245,'District Level ADM'!$A$5:$W$52,5,FALSE)="3-Year Avg."),Y245,IF($A$2=2,AM245,IF($A$2=3,Y245,IF(($AG245&gt;$AU245),Y245,AM245)))))</f>
        <v>52.458333333333336</v>
      </c>
      <c r="L245" s="317">
        <f>IF(AND($A$2=4,VLOOKUP($A245,'District Level ADM'!$A$5:$W$52,5,FALSE)="Prior Year"),AN245,IF(AND($A$2=4,VLOOKUP($A245,'District Level ADM'!$A$5:$W$52,5,FALSE)="3-Year Avg."),Z245,IF($A$2=2,AN245,IF($A$2=3,Z245,IF(($AG245&gt;$AU245),Z245,AN245)))))</f>
        <v>0</v>
      </c>
      <c r="M245" s="317">
        <f>IF(AND($A$2=4,VLOOKUP($A245,'District Level ADM'!$A$5:$W$52,5,FALSE)="Prior Year"),AO245,IF(AND($A$2=4,VLOOKUP($A245,'District Level ADM'!$A$5:$W$52,5,FALSE)="3-Year Avg."),AA245,IF($A$2=2,AO245,IF($A$2=3,AA245,IF(($AG245&gt;$AU245),AA245,AO245)))))</f>
        <v>0</v>
      </c>
      <c r="N245" s="317">
        <f>IF(AND($A$2=4,VLOOKUP($A245,'District Level ADM'!$A$5:$W$52,5,FALSE)="Prior Year"),AP245,IF(AND($A$2=4,VLOOKUP($A245,'District Level ADM'!$A$5:$W$52,5,FALSE)="3-Year Avg."),AB245,IF($A$2=2,AP245,IF($A$2=3,AB245,IF(($AG245&gt;$AU245),AB245,AP245)))))</f>
        <v>0</v>
      </c>
      <c r="O245" s="317">
        <f>IF(AND($A$2=4,VLOOKUP($A245,'District Level ADM'!$A$5:$W$52,5,FALSE)="Prior Year"),AQ245,IF(AND($A$2=4,VLOOKUP($A245,'District Level ADM'!$A$5:$W$52,5,FALSE)="3-Year Avg."),AC245,IF($A$2=2,AQ245,IF($A$2=3,AC245,IF(($AG245&gt;$AU245),AC245,AQ245)))))</f>
        <v>0</v>
      </c>
      <c r="P245" s="317">
        <f>IF(AND($A$2=4,VLOOKUP($A245,'District Level ADM'!$A$5:$W$52,5,FALSE)="Prior Year"),AR245,IF(AND($A$2=4,VLOOKUP($A245,'District Level ADM'!$A$5:$W$52,5,FALSE)="3-Year Avg."),AD245,IF($A$2=2,AR245,IF($A$2=3,AD245,IF(($AG245&gt;$AU245),AD245,AR245)))))</f>
        <v>0</v>
      </c>
      <c r="Q245" s="317">
        <f>IF(AND($A$2=4,VLOOKUP($A245,'District Level ADM'!$A$5:$W$52,5,FALSE)="Prior Year"),AS245,IF(AND($A$2=4,VLOOKUP($A245,'District Level ADM'!$A$5:$W$52,5,FALSE)="3-Year Avg."),AE245,IF($A$2=2,AS245,IF($A$2=3,AE245,IF(($AG245&gt;$AU245),AE245,AS245)))))</f>
        <v>0</v>
      </c>
      <c r="R245" s="317">
        <f>IF(AND($A$2=4,VLOOKUP($A245,'District Level ADM'!$A$5:$W$52,5,FALSE)="Prior Year"),AT245,IF(AND($A$2=4,VLOOKUP($A245,'District Level ADM'!$A$5:$W$52,5,FALSE)="3-Year Avg."),AF245,IF($A$2=2,AT245,IF($A$2=3,AF245,IF(($AG245&gt;$AU245),AF245,AT245)))))</f>
        <v>0</v>
      </c>
      <c r="S245" s="317">
        <f t="shared" si="35"/>
        <v>302.77199999999999</v>
      </c>
      <c r="T245" s="317">
        <f t="shared" si="42"/>
        <v>49.017333333333333</v>
      </c>
      <c r="U245" s="317">
        <f t="shared" si="42"/>
        <v>46.631333333333338</v>
      </c>
      <c r="V245" s="317">
        <f t="shared" si="42"/>
        <v>50.44466666666667</v>
      </c>
      <c r="W245" s="317">
        <f t="shared" si="42"/>
        <v>54.218999999999994</v>
      </c>
      <c r="X245" s="317">
        <f t="shared" si="42"/>
        <v>50.001333333333328</v>
      </c>
      <c r="Y245" s="317">
        <f t="shared" si="42"/>
        <v>52.458333333333336</v>
      </c>
      <c r="Z245" s="317">
        <f t="shared" si="42"/>
        <v>0</v>
      </c>
      <c r="AA245" s="317">
        <f t="shared" si="41"/>
        <v>0</v>
      </c>
      <c r="AB245" s="317">
        <f t="shared" si="41"/>
        <v>0</v>
      </c>
      <c r="AC245" s="317">
        <f t="shared" si="41"/>
        <v>0</v>
      </c>
      <c r="AD245" s="317">
        <f t="shared" si="41"/>
        <v>0</v>
      </c>
      <c r="AE245" s="317">
        <f t="shared" si="41"/>
        <v>0</v>
      </c>
      <c r="AF245" s="317">
        <f t="shared" si="41"/>
        <v>0</v>
      </c>
      <c r="AG245" s="317">
        <f t="shared" si="36"/>
        <v>302.77199999999999</v>
      </c>
      <c r="AH245" s="318">
        <v>50.234999999999999</v>
      </c>
      <c r="AI245" s="318">
        <v>51.22</v>
      </c>
      <c r="AJ245" s="318">
        <v>40.384999999999998</v>
      </c>
      <c r="AK245" s="318">
        <v>60.085000000000001</v>
      </c>
      <c r="AL245" s="318">
        <v>49.25</v>
      </c>
      <c r="AM245" s="318">
        <v>54.174999999999997</v>
      </c>
      <c r="AN245" s="318">
        <v>0</v>
      </c>
      <c r="AO245" s="318">
        <v>0</v>
      </c>
      <c r="AP245" s="318">
        <v>0</v>
      </c>
      <c r="AQ245" s="318">
        <v>0</v>
      </c>
      <c r="AR245" s="318">
        <v>0</v>
      </c>
      <c r="AS245" s="318">
        <v>0</v>
      </c>
      <c r="AT245" s="318">
        <v>0</v>
      </c>
      <c r="AU245" s="317">
        <f t="shared" si="37"/>
        <v>305.35000000000002</v>
      </c>
      <c r="AV245" s="319">
        <v>53.4</v>
      </c>
      <c r="AW245" s="319">
        <v>40.697000000000003</v>
      </c>
      <c r="AX245" s="319">
        <v>58.383000000000003</v>
      </c>
      <c r="AY245" s="319">
        <v>52.069000000000003</v>
      </c>
      <c r="AZ245" s="319">
        <v>53.16</v>
      </c>
      <c r="BA245" s="319">
        <v>49.725999999999999</v>
      </c>
      <c r="BB245" s="319">
        <v>0</v>
      </c>
      <c r="BC245" s="319">
        <v>0</v>
      </c>
      <c r="BD245" s="319">
        <v>0</v>
      </c>
      <c r="BE245" s="319">
        <v>0</v>
      </c>
      <c r="BF245" s="319">
        <v>0</v>
      </c>
      <c r="BG245" s="319">
        <v>0</v>
      </c>
      <c r="BH245" s="319">
        <v>0</v>
      </c>
      <c r="BI245" s="317">
        <f t="shared" si="39"/>
        <v>307.43500000000006</v>
      </c>
      <c r="BJ245" s="316">
        <v>43.417000000000002</v>
      </c>
      <c r="BK245" s="316">
        <v>47.976999999999997</v>
      </c>
      <c r="BL245" s="316">
        <v>52.566000000000003</v>
      </c>
      <c r="BM245" s="316">
        <v>50.503</v>
      </c>
      <c r="BN245" s="316">
        <v>47.594000000000001</v>
      </c>
      <c r="BO245" s="316">
        <v>53.473999999999997</v>
      </c>
      <c r="BP245" s="316">
        <v>0</v>
      </c>
      <c r="BQ245" s="316">
        <v>0</v>
      </c>
      <c r="BR245" s="316">
        <v>0</v>
      </c>
      <c r="BS245" s="316">
        <v>0</v>
      </c>
      <c r="BT245" s="316">
        <v>0</v>
      </c>
      <c r="BU245" s="316">
        <v>0</v>
      </c>
      <c r="BV245" s="316">
        <v>0</v>
      </c>
      <c r="BW245" s="317">
        <f t="shared" si="38"/>
        <v>295.53100000000001</v>
      </c>
    </row>
    <row r="246" spans="1:75" x14ac:dyDescent="0.2">
      <c r="A246" s="20" t="str">
        <f>'School Level Inst. Resources'!A246</f>
        <v>1506000</v>
      </c>
      <c r="B246" s="20" t="str">
        <f>'School Level Inst. Resources'!B246</f>
        <v>Park #6</v>
      </c>
      <c r="C246" s="20" t="str">
        <f>'School Level Inst. Resources'!C246</f>
        <v>1506002</v>
      </c>
      <c r="D246" s="20" t="str">
        <f>'School Level Inst. Resources'!D246</f>
        <v>Sunset Elementary</v>
      </c>
      <c r="E246" s="138" t="str">
        <f>'School Level Inst. Resources'!E246</f>
        <v>K-5</v>
      </c>
      <c r="F246" s="317">
        <f>IF(AND($A$2=4,VLOOKUP($A246,'District Level ADM'!$A$5:$W$52,5,FALSE)="Prior Year"),AH246,IF(AND($A$2=4,VLOOKUP($A246,'District Level ADM'!$A$5:$W$52,5,FALSE)="3-Year Avg."),T246,IF($A$2=2,AH246,IF($A$2=3,T246,IF(($AG246&gt;$AU246),T246,AH246)))))</f>
        <v>50.505666666666663</v>
      </c>
      <c r="G246" s="317">
        <f>IF(AND($A$2=4,VLOOKUP($A246,'District Level ADM'!$A$5:$W$52,5,FALSE)="Prior Year"),AI246,IF(AND($A$2=4,VLOOKUP($A246,'District Level ADM'!$A$5:$W$52,5,FALSE)="3-Year Avg."),U246,IF($A$2=2,AI246,IF($A$2=3,U246,IF(($AG246&gt;$AU246),U246,AI246)))))</f>
        <v>52.486666666666672</v>
      </c>
      <c r="H246" s="317">
        <f>IF(AND($A$2=4,VLOOKUP($A246,'District Level ADM'!$A$5:$W$52,5,FALSE)="Prior Year"),AJ246,IF(AND($A$2=4,VLOOKUP($A246,'District Level ADM'!$A$5:$W$52,5,FALSE)="3-Year Avg."),V246,IF($A$2=2,AJ246,IF($A$2=3,V246,IF(($AG246&gt;$AU246),V246,AJ246)))))</f>
        <v>52.287333333333343</v>
      </c>
      <c r="I246" s="317">
        <f>IF(AND($A$2=4,VLOOKUP($A246,'District Level ADM'!$A$5:$W$52,5,FALSE)="Prior Year"),AK246,IF(AND($A$2=4,VLOOKUP($A246,'District Level ADM'!$A$5:$W$52,5,FALSE)="3-Year Avg."),W246,IF($A$2=2,AK246,IF($A$2=3,W246,IF(($AG246&gt;$AU246),W246,AK246)))))</f>
        <v>53.713666666666661</v>
      </c>
      <c r="J246" s="317">
        <f>IF(AND($A$2=4,VLOOKUP($A246,'District Level ADM'!$A$5:$W$52,5,FALSE)="Prior Year"),AL246,IF(AND($A$2=4,VLOOKUP($A246,'District Level ADM'!$A$5:$W$52,5,FALSE)="3-Year Avg."),X246,IF($A$2=2,AL246,IF($A$2=3,X246,IF(($AG246&gt;$AU246),X246,AL246)))))</f>
        <v>52.277333333333331</v>
      </c>
      <c r="K246" s="317">
        <f>IF(AND($A$2=4,VLOOKUP($A246,'District Level ADM'!$A$5:$W$52,5,FALSE)="Prior Year"),AM246,IF(AND($A$2=4,VLOOKUP($A246,'District Level ADM'!$A$5:$W$52,5,FALSE)="3-Year Avg."),Y246,IF($A$2=2,AM246,IF($A$2=3,Y246,IF(($AG246&gt;$AU246),Y246,AM246)))))</f>
        <v>52.744</v>
      </c>
      <c r="L246" s="317">
        <f>IF(AND($A$2=4,VLOOKUP($A246,'District Level ADM'!$A$5:$W$52,5,FALSE)="Prior Year"),AN246,IF(AND($A$2=4,VLOOKUP($A246,'District Level ADM'!$A$5:$W$52,5,FALSE)="3-Year Avg."),Z246,IF($A$2=2,AN246,IF($A$2=3,Z246,IF(($AG246&gt;$AU246),Z246,AN246)))))</f>
        <v>0</v>
      </c>
      <c r="M246" s="317">
        <f>IF(AND($A$2=4,VLOOKUP($A246,'District Level ADM'!$A$5:$W$52,5,FALSE)="Prior Year"),AO246,IF(AND($A$2=4,VLOOKUP($A246,'District Level ADM'!$A$5:$W$52,5,FALSE)="3-Year Avg."),AA246,IF($A$2=2,AO246,IF($A$2=3,AA246,IF(($AG246&gt;$AU246),AA246,AO246)))))</f>
        <v>0</v>
      </c>
      <c r="N246" s="317">
        <f>IF(AND($A$2=4,VLOOKUP($A246,'District Level ADM'!$A$5:$W$52,5,FALSE)="Prior Year"),AP246,IF(AND($A$2=4,VLOOKUP($A246,'District Level ADM'!$A$5:$W$52,5,FALSE)="3-Year Avg."),AB246,IF($A$2=2,AP246,IF($A$2=3,AB246,IF(($AG246&gt;$AU246),AB246,AP246)))))</f>
        <v>0</v>
      </c>
      <c r="O246" s="317">
        <f>IF(AND($A$2=4,VLOOKUP($A246,'District Level ADM'!$A$5:$W$52,5,FALSE)="Prior Year"),AQ246,IF(AND($A$2=4,VLOOKUP($A246,'District Level ADM'!$A$5:$W$52,5,FALSE)="3-Year Avg."),AC246,IF($A$2=2,AQ246,IF($A$2=3,AC246,IF(($AG246&gt;$AU246),AC246,AQ246)))))</f>
        <v>0</v>
      </c>
      <c r="P246" s="317">
        <f>IF(AND($A$2=4,VLOOKUP($A246,'District Level ADM'!$A$5:$W$52,5,FALSE)="Prior Year"),AR246,IF(AND($A$2=4,VLOOKUP($A246,'District Level ADM'!$A$5:$W$52,5,FALSE)="3-Year Avg."),AD246,IF($A$2=2,AR246,IF($A$2=3,AD246,IF(($AG246&gt;$AU246),AD246,AR246)))))</f>
        <v>0</v>
      </c>
      <c r="Q246" s="317">
        <f>IF(AND($A$2=4,VLOOKUP($A246,'District Level ADM'!$A$5:$W$52,5,FALSE)="Prior Year"),AS246,IF(AND($A$2=4,VLOOKUP($A246,'District Level ADM'!$A$5:$W$52,5,FALSE)="3-Year Avg."),AE246,IF($A$2=2,AS246,IF($A$2=3,AE246,IF(($AG246&gt;$AU246),AE246,AS246)))))</f>
        <v>0</v>
      </c>
      <c r="R246" s="317">
        <f>IF(AND($A$2=4,VLOOKUP($A246,'District Level ADM'!$A$5:$W$52,5,FALSE)="Prior Year"),AT246,IF(AND($A$2=4,VLOOKUP($A246,'District Level ADM'!$A$5:$W$52,5,FALSE)="3-Year Avg."),AF246,IF($A$2=2,AT246,IF($A$2=3,AF246,IF(($AG246&gt;$AU246),AF246,AT246)))))</f>
        <v>0</v>
      </c>
      <c r="S246" s="317">
        <f t="shared" si="35"/>
        <v>314.0146666666667</v>
      </c>
      <c r="T246" s="317">
        <f t="shared" si="42"/>
        <v>50.505666666666663</v>
      </c>
      <c r="U246" s="317">
        <f t="shared" si="42"/>
        <v>52.486666666666672</v>
      </c>
      <c r="V246" s="317">
        <f t="shared" si="42"/>
        <v>52.287333333333343</v>
      </c>
      <c r="W246" s="317">
        <f t="shared" si="42"/>
        <v>53.713666666666661</v>
      </c>
      <c r="X246" s="317">
        <f t="shared" si="42"/>
        <v>52.277333333333331</v>
      </c>
      <c r="Y246" s="317">
        <f t="shared" si="42"/>
        <v>52.744</v>
      </c>
      <c r="Z246" s="317">
        <f t="shared" si="42"/>
        <v>0</v>
      </c>
      <c r="AA246" s="317">
        <f t="shared" si="41"/>
        <v>0</v>
      </c>
      <c r="AB246" s="317">
        <f t="shared" si="41"/>
        <v>0</v>
      </c>
      <c r="AC246" s="317">
        <f t="shared" si="41"/>
        <v>0</v>
      </c>
      <c r="AD246" s="317">
        <f t="shared" si="41"/>
        <v>0</v>
      </c>
      <c r="AE246" s="317">
        <f t="shared" si="41"/>
        <v>0</v>
      </c>
      <c r="AF246" s="317">
        <f t="shared" si="41"/>
        <v>0</v>
      </c>
      <c r="AG246" s="317">
        <f t="shared" si="36"/>
        <v>314.0146666666667</v>
      </c>
      <c r="AH246" s="318">
        <v>51.22</v>
      </c>
      <c r="AI246" s="318">
        <v>51.22</v>
      </c>
      <c r="AJ246" s="318">
        <v>44.325000000000003</v>
      </c>
      <c r="AK246" s="318">
        <v>57.13</v>
      </c>
      <c r="AL246" s="318">
        <v>49.25</v>
      </c>
      <c r="AM246" s="318">
        <v>54.174999999999997</v>
      </c>
      <c r="AN246" s="318">
        <v>0</v>
      </c>
      <c r="AO246" s="318">
        <v>0</v>
      </c>
      <c r="AP246" s="318">
        <v>0</v>
      </c>
      <c r="AQ246" s="318">
        <v>0</v>
      </c>
      <c r="AR246" s="318">
        <v>0</v>
      </c>
      <c r="AS246" s="318">
        <v>0</v>
      </c>
      <c r="AT246" s="318">
        <v>0</v>
      </c>
      <c r="AU246" s="317">
        <f t="shared" si="37"/>
        <v>307.32</v>
      </c>
      <c r="AV246" s="319">
        <v>52.063000000000002</v>
      </c>
      <c r="AW246" s="319">
        <v>47.383000000000003</v>
      </c>
      <c r="AX246" s="319">
        <v>56.473999999999997</v>
      </c>
      <c r="AY246" s="319">
        <v>52.834000000000003</v>
      </c>
      <c r="AZ246" s="319">
        <v>56.930999999999997</v>
      </c>
      <c r="BA246" s="319">
        <v>48.8</v>
      </c>
      <c r="BB246" s="319">
        <v>0</v>
      </c>
      <c r="BC246" s="319">
        <v>0</v>
      </c>
      <c r="BD246" s="319">
        <v>0</v>
      </c>
      <c r="BE246" s="319">
        <v>0</v>
      </c>
      <c r="BF246" s="319">
        <v>0</v>
      </c>
      <c r="BG246" s="319">
        <v>0</v>
      </c>
      <c r="BH246" s="319">
        <v>0</v>
      </c>
      <c r="BI246" s="317">
        <f t="shared" si="39"/>
        <v>314.48500000000001</v>
      </c>
      <c r="BJ246" s="316">
        <v>48.234000000000002</v>
      </c>
      <c r="BK246" s="316">
        <v>58.856999999999999</v>
      </c>
      <c r="BL246" s="316">
        <v>56.063000000000002</v>
      </c>
      <c r="BM246" s="316">
        <v>51.177</v>
      </c>
      <c r="BN246" s="316">
        <v>50.651000000000003</v>
      </c>
      <c r="BO246" s="316">
        <v>55.256999999999998</v>
      </c>
      <c r="BP246" s="316">
        <v>0</v>
      </c>
      <c r="BQ246" s="316">
        <v>0</v>
      </c>
      <c r="BR246" s="316">
        <v>0</v>
      </c>
      <c r="BS246" s="316">
        <v>0</v>
      </c>
      <c r="BT246" s="316">
        <v>0</v>
      </c>
      <c r="BU246" s="316">
        <v>0</v>
      </c>
      <c r="BV246" s="316">
        <v>0</v>
      </c>
      <c r="BW246" s="317">
        <f t="shared" si="38"/>
        <v>320.23899999999998</v>
      </c>
    </row>
    <row r="247" spans="1:75" x14ac:dyDescent="0.2">
      <c r="A247" s="20" t="str">
        <f>'School Level Inst. Resources'!A247</f>
        <v>1506000</v>
      </c>
      <c r="B247" s="20" t="str">
        <f>'School Level Inst. Resources'!B247</f>
        <v>Park #6</v>
      </c>
      <c r="C247" s="20" t="str">
        <f>'School Level Inst. Resources'!C247</f>
        <v>1506003</v>
      </c>
      <c r="D247" s="20" t="str">
        <f>'School Level Inst. Resources'!D247</f>
        <v>Valley Elementary</v>
      </c>
      <c r="E247" s="138" t="str">
        <f>'School Level Inst. Resources'!E247</f>
        <v>K-5</v>
      </c>
      <c r="F247" s="317">
        <f>IF(AND($A$2=4,VLOOKUP($A247,'District Level ADM'!$A$5:$W$52,5,FALSE)="Prior Year"),AH247,IF(AND($A$2=4,VLOOKUP($A247,'District Level ADM'!$A$5:$W$52,5,FALSE)="3-Year Avg."),T247,IF($A$2=2,AH247,IF($A$2=3,T247,IF(($AG247&gt;$AU247),T247,AH247)))))</f>
        <v>0.98999999999999988</v>
      </c>
      <c r="G247" s="317">
        <f>IF(AND($A$2=4,VLOOKUP($A247,'District Level ADM'!$A$5:$W$52,5,FALSE)="Prior Year"),AI247,IF(AND($A$2=4,VLOOKUP($A247,'District Level ADM'!$A$5:$W$52,5,FALSE)="3-Year Avg."),U247,IF($A$2=2,AI247,IF($A$2=3,U247,IF(($AG247&gt;$AU247),U247,AI247)))))</f>
        <v>1.3283333333333334</v>
      </c>
      <c r="H247" s="317">
        <f>IF(AND($A$2=4,VLOOKUP($A247,'District Level ADM'!$A$5:$W$52,5,FALSE)="Prior Year"),AJ247,IF(AND($A$2=4,VLOOKUP($A247,'District Level ADM'!$A$5:$W$52,5,FALSE)="3-Year Avg."),V247,IF($A$2=2,AJ247,IF($A$2=3,V247,IF(($AG247&gt;$AU247),V247,AJ247)))))</f>
        <v>0.995</v>
      </c>
      <c r="I247" s="317">
        <f>IF(AND($A$2=4,VLOOKUP($A247,'District Level ADM'!$A$5:$W$52,5,FALSE)="Prior Year"),AK247,IF(AND($A$2=4,VLOOKUP($A247,'District Level ADM'!$A$5:$W$52,5,FALSE)="3-Year Avg."),W247,IF($A$2=2,AK247,IF($A$2=3,W247,IF(($AG247&gt;$AU247),W247,AK247)))))</f>
        <v>1.3233333333333333</v>
      </c>
      <c r="J247" s="317">
        <f>IF(AND($A$2=4,VLOOKUP($A247,'District Level ADM'!$A$5:$W$52,5,FALSE)="Prior Year"),AL247,IF(AND($A$2=4,VLOOKUP($A247,'District Level ADM'!$A$5:$W$52,5,FALSE)="3-Year Avg."),X247,IF($A$2=2,AL247,IF($A$2=3,X247,IF(($AG247&gt;$AU247),X247,AL247)))))</f>
        <v>0.33333333333333331</v>
      </c>
      <c r="K247" s="317">
        <f>IF(AND($A$2=4,VLOOKUP($A247,'District Level ADM'!$A$5:$W$52,5,FALSE)="Prior Year"),AM247,IF(AND($A$2=4,VLOOKUP($A247,'District Level ADM'!$A$5:$W$52,5,FALSE)="3-Year Avg."),Y247,IF($A$2=2,AM247,IF($A$2=3,Y247,IF(($AG247&gt;$AU247),Y247,AM247)))))</f>
        <v>0.66166666666666663</v>
      </c>
      <c r="L247" s="317">
        <f>IF(AND($A$2=4,VLOOKUP($A247,'District Level ADM'!$A$5:$W$52,5,FALSE)="Prior Year"),AN247,IF(AND($A$2=4,VLOOKUP($A247,'District Level ADM'!$A$5:$W$52,5,FALSE)="3-Year Avg."),Z247,IF($A$2=2,AN247,IF($A$2=3,Z247,IF(($AG247&gt;$AU247),Z247,AN247)))))</f>
        <v>0</v>
      </c>
      <c r="M247" s="317">
        <f>IF(AND($A$2=4,VLOOKUP($A247,'District Level ADM'!$A$5:$W$52,5,FALSE)="Prior Year"),AO247,IF(AND($A$2=4,VLOOKUP($A247,'District Level ADM'!$A$5:$W$52,5,FALSE)="3-Year Avg."),AA247,IF($A$2=2,AO247,IF($A$2=3,AA247,IF(($AG247&gt;$AU247),AA247,AO247)))))</f>
        <v>0</v>
      </c>
      <c r="N247" s="317">
        <f>IF(AND($A$2=4,VLOOKUP($A247,'District Level ADM'!$A$5:$W$52,5,FALSE)="Prior Year"),AP247,IF(AND($A$2=4,VLOOKUP($A247,'District Level ADM'!$A$5:$W$52,5,FALSE)="3-Year Avg."),AB247,IF($A$2=2,AP247,IF($A$2=3,AB247,IF(($AG247&gt;$AU247),AB247,AP247)))))</f>
        <v>0</v>
      </c>
      <c r="O247" s="317">
        <f>IF(AND($A$2=4,VLOOKUP($A247,'District Level ADM'!$A$5:$W$52,5,FALSE)="Prior Year"),AQ247,IF(AND($A$2=4,VLOOKUP($A247,'District Level ADM'!$A$5:$W$52,5,FALSE)="3-Year Avg."),AC247,IF($A$2=2,AQ247,IF($A$2=3,AC247,IF(($AG247&gt;$AU247),AC247,AQ247)))))</f>
        <v>0</v>
      </c>
      <c r="P247" s="317">
        <f>IF(AND($A$2=4,VLOOKUP($A247,'District Level ADM'!$A$5:$W$52,5,FALSE)="Prior Year"),AR247,IF(AND($A$2=4,VLOOKUP($A247,'District Level ADM'!$A$5:$W$52,5,FALSE)="3-Year Avg."),AD247,IF($A$2=2,AR247,IF($A$2=3,AD247,IF(($AG247&gt;$AU247),AD247,AR247)))))</f>
        <v>0</v>
      </c>
      <c r="Q247" s="317">
        <f>IF(AND($A$2=4,VLOOKUP($A247,'District Level ADM'!$A$5:$W$52,5,FALSE)="Prior Year"),AS247,IF(AND($A$2=4,VLOOKUP($A247,'District Level ADM'!$A$5:$W$52,5,FALSE)="3-Year Avg."),AE247,IF($A$2=2,AS247,IF($A$2=3,AE247,IF(($AG247&gt;$AU247),AE247,AS247)))))</f>
        <v>0</v>
      </c>
      <c r="R247" s="317">
        <f>IF(AND($A$2=4,VLOOKUP($A247,'District Level ADM'!$A$5:$W$52,5,FALSE)="Prior Year"),AT247,IF(AND($A$2=4,VLOOKUP($A247,'District Level ADM'!$A$5:$W$52,5,FALSE)="3-Year Avg."),AF247,IF($A$2=2,AT247,IF($A$2=3,AF247,IF(($AG247&gt;$AU247),AF247,AT247)))))</f>
        <v>0</v>
      </c>
      <c r="S247" s="317">
        <f t="shared" si="35"/>
        <v>5.6316666666666659</v>
      </c>
      <c r="T247" s="317">
        <f t="shared" si="42"/>
        <v>0.98999999999999988</v>
      </c>
      <c r="U247" s="317">
        <f t="shared" si="42"/>
        <v>1.3283333333333334</v>
      </c>
      <c r="V247" s="317">
        <f t="shared" si="42"/>
        <v>0.995</v>
      </c>
      <c r="W247" s="317">
        <f t="shared" si="42"/>
        <v>1.3233333333333333</v>
      </c>
      <c r="X247" s="317">
        <f t="shared" si="42"/>
        <v>0.33333333333333331</v>
      </c>
      <c r="Y247" s="317">
        <f t="shared" si="42"/>
        <v>0.66166666666666663</v>
      </c>
      <c r="Z247" s="317">
        <f t="shared" si="42"/>
        <v>0</v>
      </c>
      <c r="AA247" s="317">
        <f t="shared" si="41"/>
        <v>0</v>
      </c>
      <c r="AB247" s="317">
        <f t="shared" si="41"/>
        <v>0</v>
      </c>
      <c r="AC247" s="317">
        <f t="shared" si="41"/>
        <v>0</v>
      </c>
      <c r="AD247" s="317">
        <f t="shared" si="41"/>
        <v>0</v>
      </c>
      <c r="AE247" s="317">
        <f t="shared" si="41"/>
        <v>0</v>
      </c>
      <c r="AF247" s="317">
        <f t="shared" si="41"/>
        <v>0</v>
      </c>
      <c r="AG247" s="317">
        <f t="shared" si="36"/>
        <v>5.6316666666666659</v>
      </c>
      <c r="AH247" s="318">
        <v>1.97</v>
      </c>
      <c r="AI247" s="318">
        <v>0.98499999999999999</v>
      </c>
      <c r="AJ247" s="318">
        <v>0.98499999999999999</v>
      </c>
      <c r="AK247" s="318">
        <v>1.97</v>
      </c>
      <c r="AL247" s="318">
        <v>0</v>
      </c>
      <c r="AM247" s="318">
        <v>0.98499999999999999</v>
      </c>
      <c r="AN247" s="318">
        <v>0</v>
      </c>
      <c r="AO247" s="318">
        <v>0</v>
      </c>
      <c r="AP247" s="318">
        <v>0</v>
      </c>
      <c r="AQ247" s="318">
        <v>0</v>
      </c>
      <c r="AR247" s="318">
        <v>0</v>
      </c>
      <c r="AS247" s="318">
        <v>0</v>
      </c>
      <c r="AT247" s="318">
        <v>0</v>
      </c>
      <c r="AU247" s="317">
        <f t="shared" si="37"/>
        <v>6.8950000000000005</v>
      </c>
      <c r="AV247" s="319">
        <v>1</v>
      </c>
      <c r="AW247" s="319">
        <v>1</v>
      </c>
      <c r="AX247" s="319">
        <v>2</v>
      </c>
      <c r="AY247" s="319">
        <v>0</v>
      </c>
      <c r="AZ247" s="319">
        <v>1</v>
      </c>
      <c r="BA247" s="319">
        <v>0</v>
      </c>
      <c r="BB247" s="319">
        <v>0</v>
      </c>
      <c r="BC247" s="319">
        <v>0</v>
      </c>
      <c r="BD247" s="319">
        <v>0</v>
      </c>
      <c r="BE247" s="319">
        <v>0</v>
      </c>
      <c r="BF247" s="319">
        <v>0</v>
      </c>
      <c r="BG247" s="319">
        <v>0</v>
      </c>
      <c r="BH247" s="319">
        <v>0</v>
      </c>
      <c r="BI247" s="317">
        <f t="shared" si="39"/>
        <v>5</v>
      </c>
      <c r="BJ247" s="316">
        <v>0</v>
      </c>
      <c r="BK247" s="316">
        <v>2</v>
      </c>
      <c r="BL247" s="316">
        <v>0</v>
      </c>
      <c r="BM247" s="316">
        <v>2</v>
      </c>
      <c r="BN247" s="316">
        <v>0</v>
      </c>
      <c r="BO247" s="316">
        <v>1</v>
      </c>
      <c r="BP247" s="316">
        <v>0</v>
      </c>
      <c r="BQ247" s="316">
        <v>0</v>
      </c>
      <c r="BR247" s="316">
        <v>0</v>
      </c>
      <c r="BS247" s="316">
        <v>0</v>
      </c>
      <c r="BT247" s="316">
        <v>0</v>
      </c>
      <c r="BU247" s="316">
        <v>0</v>
      </c>
      <c r="BV247" s="316">
        <v>0</v>
      </c>
      <c r="BW247" s="317">
        <f t="shared" si="38"/>
        <v>5</v>
      </c>
    </row>
    <row r="248" spans="1:75" x14ac:dyDescent="0.2">
      <c r="A248" s="20" t="str">
        <f>'School Level Inst. Resources'!A248</f>
        <v>1506000</v>
      </c>
      <c r="B248" s="20" t="str">
        <f>'School Level Inst. Resources'!B248</f>
        <v>Park #6</v>
      </c>
      <c r="C248" s="20" t="str">
        <f>'School Level Inst. Resources'!C248</f>
        <v>1506004</v>
      </c>
      <c r="D248" s="20" t="str">
        <f>'School Level Inst. Resources'!D248</f>
        <v>Wapiti Elementary</v>
      </c>
      <c r="E248" s="138" t="str">
        <f>'School Level Inst. Resources'!E248</f>
        <v>K-5</v>
      </c>
      <c r="F248" s="317">
        <f>IF(AND($A$2=4,VLOOKUP($A248,'District Level ADM'!$A$5:$W$52,5,FALSE)="Prior Year"),AH248,IF(AND($A$2=4,VLOOKUP($A248,'District Level ADM'!$A$5:$W$52,5,FALSE)="3-Year Avg."),T248,IF($A$2=2,AH248,IF($A$2=3,T248,IF(($AG248&gt;$AU248),T248,AH248)))))</f>
        <v>1.0443333333333333</v>
      </c>
      <c r="G248" s="317">
        <f>IF(AND($A$2=4,VLOOKUP($A248,'District Level ADM'!$A$5:$W$52,5,FALSE)="Prior Year"),AI248,IF(AND($A$2=4,VLOOKUP($A248,'District Level ADM'!$A$5:$W$52,5,FALSE)="3-Year Avg."),U248,IF($A$2=2,AI248,IF($A$2=3,U248,IF(($AG248&gt;$AU248),U248,AI248)))))</f>
        <v>1.7596666666666667</v>
      </c>
      <c r="H248" s="317">
        <f>IF(AND($A$2=4,VLOOKUP($A248,'District Level ADM'!$A$5:$W$52,5,FALSE)="Prior Year"),AJ248,IF(AND($A$2=4,VLOOKUP($A248,'District Level ADM'!$A$5:$W$52,5,FALSE)="3-Year Avg."),V248,IF($A$2=2,AJ248,IF($A$2=3,V248,IF(($AG248&gt;$AU248),V248,AJ248)))))</f>
        <v>1.6496666666666666</v>
      </c>
      <c r="I248" s="317">
        <f>IF(AND($A$2=4,VLOOKUP($A248,'District Level ADM'!$A$5:$W$52,5,FALSE)="Prior Year"),AK248,IF(AND($A$2=4,VLOOKUP($A248,'District Level ADM'!$A$5:$W$52,5,FALSE)="3-Year Avg."),W248,IF($A$2=2,AK248,IF($A$2=3,W248,IF(($AG248&gt;$AU248),W248,AK248)))))</f>
        <v>1.7596666666666667</v>
      </c>
      <c r="J248" s="317">
        <f>IF(AND($A$2=4,VLOOKUP($A248,'District Level ADM'!$A$5:$W$52,5,FALSE)="Prior Year"),AL248,IF(AND($A$2=4,VLOOKUP($A248,'District Level ADM'!$A$5:$W$52,5,FALSE)="3-Year Avg."),X248,IF($A$2=2,AL248,IF($A$2=3,X248,IF(($AG248&gt;$AU248),X248,AL248)))))</f>
        <v>2.3183333333333334</v>
      </c>
      <c r="K248" s="317">
        <f>IF(AND($A$2=4,VLOOKUP($A248,'District Level ADM'!$A$5:$W$52,5,FALSE)="Prior Year"),AM248,IF(AND($A$2=4,VLOOKUP($A248,'District Level ADM'!$A$5:$W$52,5,FALSE)="3-Year Avg."),Y248,IF($A$2=2,AM248,IF($A$2=3,Y248,IF(($AG248&gt;$AU248),Y248,AM248)))))</f>
        <v>2.6616666666666666</v>
      </c>
      <c r="L248" s="317">
        <f>IF(AND($A$2=4,VLOOKUP($A248,'District Level ADM'!$A$5:$W$52,5,FALSE)="Prior Year"),AN248,IF(AND($A$2=4,VLOOKUP($A248,'District Level ADM'!$A$5:$W$52,5,FALSE)="3-Year Avg."),Z248,IF($A$2=2,AN248,IF($A$2=3,Z248,IF(($AG248&gt;$AU248),Z248,AN248)))))</f>
        <v>0</v>
      </c>
      <c r="M248" s="317">
        <f>IF(AND($A$2=4,VLOOKUP($A248,'District Level ADM'!$A$5:$W$52,5,FALSE)="Prior Year"),AO248,IF(AND($A$2=4,VLOOKUP($A248,'District Level ADM'!$A$5:$W$52,5,FALSE)="3-Year Avg."),AA248,IF($A$2=2,AO248,IF($A$2=3,AA248,IF(($AG248&gt;$AU248),AA248,AO248)))))</f>
        <v>0</v>
      </c>
      <c r="N248" s="317">
        <f>IF(AND($A$2=4,VLOOKUP($A248,'District Level ADM'!$A$5:$W$52,5,FALSE)="Prior Year"),AP248,IF(AND($A$2=4,VLOOKUP($A248,'District Level ADM'!$A$5:$W$52,5,FALSE)="3-Year Avg."),AB248,IF($A$2=2,AP248,IF($A$2=3,AB248,IF(($AG248&gt;$AU248),AB248,AP248)))))</f>
        <v>0</v>
      </c>
      <c r="O248" s="317">
        <f>IF(AND($A$2=4,VLOOKUP($A248,'District Level ADM'!$A$5:$W$52,5,FALSE)="Prior Year"),AQ248,IF(AND($A$2=4,VLOOKUP($A248,'District Level ADM'!$A$5:$W$52,5,FALSE)="3-Year Avg."),AC248,IF($A$2=2,AQ248,IF($A$2=3,AC248,IF(($AG248&gt;$AU248),AC248,AQ248)))))</f>
        <v>0</v>
      </c>
      <c r="P248" s="317">
        <f>IF(AND($A$2=4,VLOOKUP($A248,'District Level ADM'!$A$5:$W$52,5,FALSE)="Prior Year"),AR248,IF(AND($A$2=4,VLOOKUP($A248,'District Level ADM'!$A$5:$W$52,5,FALSE)="3-Year Avg."),AD248,IF($A$2=2,AR248,IF($A$2=3,AD248,IF(($AG248&gt;$AU248),AD248,AR248)))))</f>
        <v>0</v>
      </c>
      <c r="Q248" s="317">
        <f>IF(AND($A$2=4,VLOOKUP($A248,'District Level ADM'!$A$5:$W$52,5,FALSE)="Prior Year"),AS248,IF(AND($A$2=4,VLOOKUP($A248,'District Level ADM'!$A$5:$W$52,5,FALSE)="3-Year Avg."),AE248,IF($A$2=2,AS248,IF($A$2=3,AE248,IF(($AG248&gt;$AU248),AE248,AS248)))))</f>
        <v>0</v>
      </c>
      <c r="R248" s="317">
        <f>IF(AND($A$2=4,VLOOKUP($A248,'District Level ADM'!$A$5:$W$52,5,FALSE)="Prior Year"),AT248,IF(AND($A$2=4,VLOOKUP($A248,'District Level ADM'!$A$5:$W$52,5,FALSE)="3-Year Avg."),AF248,IF($A$2=2,AT248,IF($A$2=3,AF248,IF(($AG248&gt;$AU248),AF248,AT248)))))</f>
        <v>0</v>
      </c>
      <c r="S248" s="317">
        <f t="shared" si="35"/>
        <v>11.193333333333333</v>
      </c>
      <c r="T248" s="317">
        <f t="shared" si="42"/>
        <v>1.0443333333333333</v>
      </c>
      <c r="U248" s="317">
        <f t="shared" si="42"/>
        <v>1.7596666666666667</v>
      </c>
      <c r="V248" s="317">
        <f t="shared" si="42"/>
        <v>1.6496666666666666</v>
      </c>
      <c r="W248" s="317">
        <f t="shared" si="42"/>
        <v>1.7596666666666667</v>
      </c>
      <c r="X248" s="317">
        <f t="shared" si="42"/>
        <v>2.3183333333333334</v>
      </c>
      <c r="Y248" s="317">
        <f t="shared" si="42"/>
        <v>2.6616666666666666</v>
      </c>
      <c r="Z248" s="317">
        <f t="shared" si="42"/>
        <v>0</v>
      </c>
      <c r="AA248" s="317">
        <f t="shared" si="41"/>
        <v>0</v>
      </c>
      <c r="AB248" s="317">
        <f t="shared" si="41"/>
        <v>0</v>
      </c>
      <c r="AC248" s="317">
        <f t="shared" si="41"/>
        <v>0</v>
      </c>
      <c r="AD248" s="317">
        <f t="shared" si="41"/>
        <v>0</v>
      </c>
      <c r="AE248" s="317">
        <f t="shared" si="41"/>
        <v>0</v>
      </c>
      <c r="AF248" s="317">
        <f t="shared" si="41"/>
        <v>0</v>
      </c>
      <c r="AG248" s="317">
        <f t="shared" si="36"/>
        <v>11.193333333333333</v>
      </c>
      <c r="AH248" s="318">
        <v>0.98499999999999999</v>
      </c>
      <c r="AI248" s="318">
        <v>1.97</v>
      </c>
      <c r="AJ248" s="318">
        <v>2.9550000000000001</v>
      </c>
      <c r="AK248" s="318">
        <v>1.97</v>
      </c>
      <c r="AL248" s="318">
        <v>2.9550000000000001</v>
      </c>
      <c r="AM248" s="318">
        <v>0.98499999999999999</v>
      </c>
      <c r="AN248" s="318">
        <v>0</v>
      </c>
      <c r="AO248" s="318">
        <v>0</v>
      </c>
      <c r="AP248" s="318">
        <v>0</v>
      </c>
      <c r="AQ248" s="318">
        <v>0</v>
      </c>
      <c r="AR248" s="318">
        <v>0</v>
      </c>
      <c r="AS248" s="318">
        <v>0</v>
      </c>
      <c r="AT248" s="318">
        <v>0</v>
      </c>
      <c r="AU248" s="317">
        <f t="shared" si="37"/>
        <v>11.82</v>
      </c>
      <c r="AV248" s="319">
        <v>1.5309999999999999</v>
      </c>
      <c r="AW248" s="319">
        <v>1.3089999999999999</v>
      </c>
      <c r="AX248" s="319">
        <v>1.994</v>
      </c>
      <c r="AY248" s="319">
        <v>1.3089999999999999</v>
      </c>
      <c r="AZ248" s="319">
        <v>1</v>
      </c>
      <c r="BA248" s="319">
        <v>3</v>
      </c>
      <c r="BB248" s="319">
        <v>0</v>
      </c>
      <c r="BC248" s="319">
        <v>0</v>
      </c>
      <c r="BD248" s="319">
        <v>0</v>
      </c>
      <c r="BE248" s="319">
        <v>0</v>
      </c>
      <c r="BF248" s="319">
        <v>0</v>
      </c>
      <c r="BG248" s="319">
        <v>0</v>
      </c>
      <c r="BH248" s="319">
        <v>0</v>
      </c>
      <c r="BI248" s="317">
        <f t="shared" si="39"/>
        <v>10.143000000000001</v>
      </c>
      <c r="BJ248" s="316">
        <v>0.61699999999999999</v>
      </c>
      <c r="BK248" s="316">
        <v>2</v>
      </c>
      <c r="BL248" s="316">
        <v>0</v>
      </c>
      <c r="BM248" s="316">
        <v>2</v>
      </c>
      <c r="BN248" s="316">
        <v>3</v>
      </c>
      <c r="BO248" s="316">
        <v>4</v>
      </c>
      <c r="BP248" s="316">
        <v>0</v>
      </c>
      <c r="BQ248" s="316">
        <v>0</v>
      </c>
      <c r="BR248" s="316">
        <v>0</v>
      </c>
      <c r="BS248" s="316">
        <v>0</v>
      </c>
      <c r="BT248" s="316">
        <v>0</v>
      </c>
      <c r="BU248" s="316">
        <v>0</v>
      </c>
      <c r="BV248" s="316">
        <v>0</v>
      </c>
      <c r="BW248" s="317">
        <f t="shared" si="38"/>
        <v>11.617000000000001</v>
      </c>
    </row>
    <row r="249" spans="1:75" x14ac:dyDescent="0.2">
      <c r="A249" s="20" t="str">
        <f>'School Level Inst. Resources'!A249</f>
        <v>1506000</v>
      </c>
      <c r="B249" s="20" t="str">
        <f>'School Level Inst. Resources'!B249</f>
        <v>Park #6</v>
      </c>
      <c r="C249" s="20" t="str">
        <f>'School Level Inst. Resources'!C249</f>
        <v>1506005</v>
      </c>
      <c r="D249" s="20" t="str">
        <f>'School Level Inst. Resources'!D249</f>
        <v>Glenn Livingston Elementary</v>
      </c>
      <c r="E249" s="138" t="str">
        <f>'School Level Inst. Resources'!E249</f>
        <v>K-5</v>
      </c>
      <c r="F249" s="317">
        <f>IF(AND($A$2=4,VLOOKUP($A249,'District Level ADM'!$A$5:$W$52,5,FALSE)="Prior Year"),AH249,IF(AND($A$2=4,VLOOKUP($A249,'District Level ADM'!$A$5:$W$52,5,FALSE)="3-Year Avg."),T249,IF($A$2=2,AH249,IF($A$2=3,T249,IF(($AG249&gt;$AU249),T249,AH249)))))</f>
        <v>52.921999999999997</v>
      </c>
      <c r="G249" s="317">
        <f>IF(AND($A$2=4,VLOOKUP($A249,'District Level ADM'!$A$5:$W$52,5,FALSE)="Prior Year"),AI249,IF(AND($A$2=4,VLOOKUP($A249,'District Level ADM'!$A$5:$W$52,5,FALSE)="3-Year Avg."),U249,IF($A$2=2,AI249,IF($A$2=3,U249,IF(($AG249&gt;$AU249),U249,AI249)))))</f>
        <v>52.588999999999999</v>
      </c>
      <c r="H249" s="317">
        <f>IF(AND($A$2=4,VLOOKUP($A249,'District Level ADM'!$A$5:$W$52,5,FALSE)="Prior Year"),AJ249,IF(AND($A$2=4,VLOOKUP($A249,'District Level ADM'!$A$5:$W$52,5,FALSE)="3-Year Avg."),V249,IF($A$2=2,AJ249,IF($A$2=3,V249,IF(($AG249&gt;$AU249),V249,AJ249)))))</f>
        <v>51.958000000000006</v>
      </c>
      <c r="I249" s="317">
        <f>IF(AND($A$2=4,VLOOKUP($A249,'District Level ADM'!$A$5:$W$52,5,FALSE)="Prior Year"),AK249,IF(AND($A$2=4,VLOOKUP($A249,'District Level ADM'!$A$5:$W$52,5,FALSE)="3-Year Avg."),W249,IF($A$2=2,AK249,IF($A$2=3,W249,IF(($AG249&gt;$AU249),W249,AK249)))))</f>
        <v>57.061999999999991</v>
      </c>
      <c r="J249" s="317">
        <f>IF(AND($A$2=4,VLOOKUP($A249,'District Level ADM'!$A$5:$W$52,5,FALSE)="Prior Year"),AL249,IF(AND($A$2=4,VLOOKUP($A249,'District Level ADM'!$A$5:$W$52,5,FALSE)="3-Year Avg."),X249,IF($A$2=2,AL249,IF($A$2=3,X249,IF(($AG249&gt;$AU249),X249,AL249)))))</f>
        <v>54.748333333333335</v>
      </c>
      <c r="K249" s="317">
        <f>IF(AND($A$2=4,VLOOKUP($A249,'District Level ADM'!$A$5:$W$52,5,FALSE)="Prior Year"),AM249,IF(AND($A$2=4,VLOOKUP($A249,'District Level ADM'!$A$5:$W$52,5,FALSE)="3-Year Avg."),Y249,IF($A$2=2,AM249,IF($A$2=3,Y249,IF(($AG249&gt;$AU249),Y249,AM249)))))</f>
        <v>52.991666666666667</v>
      </c>
      <c r="L249" s="317">
        <f>IF(AND($A$2=4,VLOOKUP($A249,'District Level ADM'!$A$5:$W$52,5,FALSE)="Prior Year"),AN249,IF(AND($A$2=4,VLOOKUP($A249,'District Level ADM'!$A$5:$W$52,5,FALSE)="3-Year Avg."),Z249,IF($A$2=2,AN249,IF($A$2=3,Z249,IF(($AG249&gt;$AU249),Z249,AN249)))))</f>
        <v>0</v>
      </c>
      <c r="M249" s="317">
        <f>IF(AND($A$2=4,VLOOKUP($A249,'District Level ADM'!$A$5:$W$52,5,FALSE)="Prior Year"),AO249,IF(AND($A$2=4,VLOOKUP($A249,'District Level ADM'!$A$5:$W$52,5,FALSE)="3-Year Avg."),AA249,IF($A$2=2,AO249,IF($A$2=3,AA249,IF(($AG249&gt;$AU249),AA249,AO249)))))</f>
        <v>0</v>
      </c>
      <c r="N249" s="317">
        <f>IF(AND($A$2=4,VLOOKUP($A249,'District Level ADM'!$A$5:$W$52,5,FALSE)="Prior Year"),AP249,IF(AND($A$2=4,VLOOKUP($A249,'District Level ADM'!$A$5:$W$52,5,FALSE)="3-Year Avg."),AB249,IF($A$2=2,AP249,IF($A$2=3,AB249,IF(($AG249&gt;$AU249),AB249,AP249)))))</f>
        <v>0</v>
      </c>
      <c r="O249" s="317">
        <f>IF(AND($A$2=4,VLOOKUP($A249,'District Level ADM'!$A$5:$W$52,5,FALSE)="Prior Year"),AQ249,IF(AND($A$2=4,VLOOKUP($A249,'District Level ADM'!$A$5:$W$52,5,FALSE)="3-Year Avg."),AC249,IF($A$2=2,AQ249,IF($A$2=3,AC249,IF(($AG249&gt;$AU249),AC249,AQ249)))))</f>
        <v>0</v>
      </c>
      <c r="P249" s="317">
        <f>IF(AND($A$2=4,VLOOKUP($A249,'District Level ADM'!$A$5:$W$52,5,FALSE)="Prior Year"),AR249,IF(AND($A$2=4,VLOOKUP($A249,'District Level ADM'!$A$5:$W$52,5,FALSE)="3-Year Avg."),AD249,IF($A$2=2,AR249,IF($A$2=3,AD249,IF(($AG249&gt;$AU249),AD249,AR249)))))</f>
        <v>0</v>
      </c>
      <c r="Q249" s="317">
        <f>IF(AND($A$2=4,VLOOKUP($A249,'District Level ADM'!$A$5:$W$52,5,FALSE)="Prior Year"),AS249,IF(AND($A$2=4,VLOOKUP($A249,'District Level ADM'!$A$5:$W$52,5,FALSE)="3-Year Avg."),AE249,IF($A$2=2,AS249,IF($A$2=3,AE249,IF(($AG249&gt;$AU249),AE249,AS249)))))</f>
        <v>0</v>
      </c>
      <c r="R249" s="317">
        <f>IF(AND($A$2=4,VLOOKUP($A249,'District Level ADM'!$A$5:$W$52,5,FALSE)="Prior Year"),AT249,IF(AND($A$2=4,VLOOKUP($A249,'District Level ADM'!$A$5:$W$52,5,FALSE)="3-Year Avg."),AF249,IF($A$2=2,AT249,IF($A$2=3,AF249,IF(($AG249&gt;$AU249),AF249,AT249)))))</f>
        <v>0</v>
      </c>
      <c r="S249" s="317">
        <f t="shared" si="35"/>
        <v>322.27099999999996</v>
      </c>
      <c r="T249" s="317">
        <f t="shared" si="42"/>
        <v>52.921999999999997</v>
      </c>
      <c r="U249" s="317">
        <f t="shared" si="42"/>
        <v>52.588999999999999</v>
      </c>
      <c r="V249" s="317">
        <f t="shared" si="42"/>
        <v>51.958000000000006</v>
      </c>
      <c r="W249" s="317">
        <f t="shared" si="42"/>
        <v>57.061999999999991</v>
      </c>
      <c r="X249" s="317">
        <f t="shared" si="42"/>
        <v>54.748333333333335</v>
      </c>
      <c r="Y249" s="317">
        <f t="shared" si="42"/>
        <v>52.991666666666667</v>
      </c>
      <c r="Z249" s="317">
        <f t="shared" si="42"/>
        <v>0</v>
      </c>
      <c r="AA249" s="317">
        <f t="shared" si="41"/>
        <v>0</v>
      </c>
      <c r="AB249" s="317">
        <f t="shared" si="41"/>
        <v>0</v>
      </c>
      <c r="AC249" s="317">
        <f t="shared" si="41"/>
        <v>0</v>
      </c>
      <c r="AD249" s="317">
        <f t="shared" si="41"/>
        <v>0</v>
      </c>
      <c r="AE249" s="317">
        <f t="shared" si="41"/>
        <v>0</v>
      </c>
      <c r="AF249" s="317">
        <f t="shared" si="41"/>
        <v>0</v>
      </c>
      <c r="AG249" s="317">
        <f t="shared" si="36"/>
        <v>322.27099999999996</v>
      </c>
      <c r="AH249" s="318">
        <v>55.16</v>
      </c>
      <c r="AI249" s="318">
        <v>53.19</v>
      </c>
      <c r="AJ249" s="318">
        <v>43.34</v>
      </c>
      <c r="AK249" s="318">
        <v>62.055</v>
      </c>
      <c r="AL249" s="318">
        <v>55.16</v>
      </c>
      <c r="AM249" s="318">
        <v>54.174999999999997</v>
      </c>
      <c r="AN249" s="318">
        <v>0</v>
      </c>
      <c r="AO249" s="318">
        <v>0</v>
      </c>
      <c r="AP249" s="318">
        <v>0</v>
      </c>
      <c r="AQ249" s="318">
        <v>0</v>
      </c>
      <c r="AR249" s="318">
        <v>0</v>
      </c>
      <c r="AS249" s="318">
        <v>0</v>
      </c>
      <c r="AT249" s="318">
        <v>0</v>
      </c>
      <c r="AU249" s="317">
        <f t="shared" si="37"/>
        <v>323.08</v>
      </c>
      <c r="AV249" s="319">
        <v>54.948999999999998</v>
      </c>
      <c r="AW249" s="319">
        <v>42.765999999999998</v>
      </c>
      <c r="AX249" s="319">
        <v>59.334000000000003</v>
      </c>
      <c r="AY249" s="319">
        <v>53.936999999999998</v>
      </c>
      <c r="AZ249" s="319">
        <v>52.530999999999999</v>
      </c>
      <c r="BA249" s="319">
        <v>50.834000000000003</v>
      </c>
      <c r="BB249" s="319">
        <v>0</v>
      </c>
      <c r="BC249" s="319">
        <v>0</v>
      </c>
      <c r="BD249" s="319">
        <v>0</v>
      </c>
      <c r="BE249" s="319">
        <v>0</v>
      </c>
      <c r="BF249" s="319">
        <v>0</v>
      </c>
      <c r="BG249" s="319">
        <v>0</v>
      </c>
      <c r="BH249" s="319">
        <v>0</v>
      </c>
      <c r="BI249" s="317">
        <f t="shared" si="39"/>
        <v>314.351</v>
      </c>
      <c r="BJ249" s="316">
        <v>48.656999999999996</v>
      </c>
      <c r="BK249" s="316">
        <v>61.811</v>
      </c>
      <c r="BL249" s="316">
        <v>53.2</v>
      </c>
      <c r="BM249" s="316">
        <v>55.194000000000003</v>
      </c>
      <c r="BN249" s="316">
        <v>56.554000000000002</v>
      </c>
      <c r="BO249" s="316">
        <v>53.966000000000001</v>
      </c>
      <c r="BP249" s="316">
        <v>0</v>
      </c>
      <c r="BQ249" s="316">
        <v>0</v>
      </c>
      <c r="BR249" s="316">
        <v>0</v>
      </c>
      <c r="BS249" s="316">
        <v>0</v>
      </c>
      <c r="BT249" s="316">
        <v>0</v>
      </c>
      <c r="BU249" s="316">
        <v>0</v>
      </c>
      <c r="BV249" s="316">
        <v>0</v>
      </c>
      <c r="BW249" s="317">
        <f t="shared" si="38"/>
        <v>329.38200000000006</v>
      </c>
    </row>
    <row r="250" spans="1:75" x14ac:dyDescent="0.2">
      <c r="A250" s="20" t="str">
        <f>'School Level Inst. Resources'!A250</f>
        <v>1506000</v>
      </c>
      <c r="B250" s="20" t="str">
        <f>'School Level Inst. Resources'!B250</f>
        <v>Park #6</v>
      </c>
      <c r="C250" s="20" t="str">
        <f>'School Level Inst. Resources'!C250</f>
        <v>1506050</v>
      </c>
      <c r="D250" s="20" t="str">
        <f>'School Level Inst. Resources'!D250</f>
        <v>Cody Middle School</v>
      </c>
      <c r="E250" s="138" t="str">
        <f>'School Level Inst. Resources'!E250</f>
        <v>6-8</v>
      </c>
      <c r="F250" s="317">
        <f>IF(AND($A$2=4,VLOOKUP($A250,'District Level ADM'!$A$5:$W$52,5,FALSE)="Prior Year"),AH250,IF(AND($A$2=4,VLOOKUP($A250,'District Level ADM'!$A$5:$W$52,5,FALSE)="3-Year Avg."),T250,IF($A$2=2,AH250,IF($A$2=3,T250,IF(($AG250&gt;$AU250),T250,AH250)))))</f>
        <v>0</v>
      </c>
      <c r="G250" s="317">
        <f>IF(AND($A$2=4,VLOOKUP($A250,'District Level ADM'!$A$5:$W$52,5,FALSE)="Prior Year"),AI250,IF(AND($A$2=4,VLOOKUP($A250,'District Level ADM'!$A$5:$W$52,5,FALSE)="3-Year Avg."),U250,IF($A$2=2,AI250,IF($A$2=3,U250,IF(($AG250&gt;$AU250),U250,AI250)))))</f>
        <v>0</v>
      </c>
      <c r="H250" s="317">
        <f>IF(AND($A$2=4,VLOOKUP($A250,'District Level ADM'!$A$5:$W$52,5,FALSE)="Prior Year"),AJ250,IF(AND($A$2=4,VLOOKUP($A250,'District Level ADM'!$A$5:$W$52,5,FALSE)="3-Year Avg."),V250,IF($A$2=2,AJ250,IF($A$2=3,V250,IF(($AG250&gt;$AU250),V250,AJ250)))))</f>
        <v>0</v>
      </c>
      <c r="I250" s="317">
        <f>IF(AND($A$2=4,VLOOKUP($A250,'District Level ADM'!$A$5:$W$52,5,FALSE)="Prior Year"),AK250,IF(AND($A$2=4,VLOOKUP($A250,'District Level ADM'!$A$5:$W$52,5,FALSE)="3-Year Avg."),W250,IF($A$2=2,AK250,IF($A$2=3,W250,IF(($AG250&gt;$AU250),W250,AK250)))))</f>
        <v>0</v>
      </c>
      <c r="J250" s="317">
        <f>IF(AND($A$2=4,VLOOKUP($A250,'District Level ADM'!$A$5:$W$52,5,FALSE)="Prior Year"),AL250,IF(AND($A$2=4,VLOOKUP($A250,'District Level ADM'!$A$5:$W$52,5,FALSE)="3-Year Avg."),X250,IF($A$2=2,AL250,IF($A$2=3,X250,IF(($AG250&gt;$AU250),X250,AL250)))))</f>
        <v>0</v>
      </c>
      <c r="K250" s="317">
        <f>IF(AND($A$2=4,VLOOKUP($A250,'District Level ADM'!$A$5:$W$52,5,FALSE)="Prior Year"),AM250,IF(AND($A$2=4,VLOOKUP($A250,'District Level ADM'!$A$5:$W$52,5,FALSE)="3-Year Avg."),Y250,IF($A$2=2,AM250,IF($A$2=3,Y250,IF(($AG250&gt;$AU250),Y250,AM250)))))</f>
        <v>0</v>
      </c>
      <c r="L250" s="317">
        <f>IF(AND($A$2=4,VLOOKUP($A250,'District Level ADM'!$A$5:$W$52,5,FALSE)="Prior Year"),AN250,IF(AND($A$2=4,VLOOKUP($A250,'District Level ADM'!$A$5:$W$52,5,FALSE)="3-Year Avg."),Z250,IF($A$2=2,AN250,IF($A$2=3,Z250,IF(($AG250&gt;$AU250),Z250,AN250)))))</f>
        <v>161.02000000000001</v>
      </c>
      <c r="M250" s="317">
        <f>IF(AND($A$2=4,VLOOKUP($A250,'District Level ADM'!$A$5:$W$52,5,FALSE)="Prior Year"),AO250,IF(AND($A$2=4,VLOOKUP($A250,'District Level ADM'!$A$5:$W$52,5,FALSE)="3-Year Avg."),AA250,IF($A$2=2,AO250,IF($A$2=3,AA250,IF(($AG250&gt;$AU250),AA250,AO250)))))</f>
        <v>154.31966666666668</v>
      </c>
      <c r="N250" s="317">
        <f>IF(AND($A$2=4,VLOOKUP($A250,'District Level ADM'!$A$5:$W$52,5,FALSE)="Prior Year"),AP250,IF(AND($A$2=4,VLOOKUP($A250,'District Level ADM'!$A$5:$W$52,5,FALSE)="3-Year Avg."),AB250,IF($A$2=2,AP250,IF($A$2=3,AB250,IF(($AG250&gt;$AU250),AB250,AP250)))))</f>
        <v>150.10833333333335</v>
      </c>
      <c r="O250" s="317">
        <f>IF(AND($A$2=4,VLOOKUP($A250,'District Level ADM'!$A$5:$W$52,5,FALSE)="Prior Year"),AQ250,IF(AND($A$2=4,VLOOKUP($A250,'District Level ADM'!$A$5:$W$52,5,FALSE)="3-Year Avg."),AC250,IF($A$2=2,AQ250,IF($A$2=3,AC250,IF(($AG250&gt;$AU250),AC250,AQ250)))))</f>
        <v>0</v>
      </c>
      <c r="P250" s="317">
        <f>IF(AND($A$2=4,VLOOKUP($A250,'District Level ADM'!$A$5:$W$52,5,FALSE)="Prior Year"),AR250,IF(AND($A$2=4,VLOOKUP($A250,'District Level ADM'!$A$5:$W$52,5,FALSE)="3-Year Avg."),AD250,IF($A$2=2,AR250,IF($A$2=3,AD250,IF(($AG250&gt;$AU250),AD250,AR250)))))</f>
        <v>0</v>
      </c>
      <c r="Q250" s="317">
        <f>IF(AND($A$2=4,VLOOKUP($A250,'District Level ADM'!$A$5:$W$52,5,FALSE)="Prior Year"),AS250,IF(AND($A$2=4,VLOOKUP($A250,'District Level ADM'!$A$5:$W$52,5,FALSE)="3-Year Avg."),AE250,IF($A$2=2,AS250,IF($A$2=3,AE250,IF(($AG250&gt;$AU250),AE250,AS250)))))</f>
        <v>0</v>
      </c>
      <c r="R250" s="317">
        <f>IF(AND($A$2=4,VLOOKUP($A250,'District Level ADM'!$A$5:$W$52,5,FALSE)="Prior Year"),AT250,IF(AND($A$2=4,VLOOKUP($A250,'District Level ADM'!$A$5:$W$52,5,FALSE)="3-Year Avg."),AF250,IF($A$2=2,AT250,IF($A$2=3,AF250,IF(($AG250&gt;$AU250),AF250,AT250)))))</f>
        <v>0</v>
      </c>
      <c r="S250" s="317">
        <f t="shared" si="35"/>
        <v>465.44800000000004</v>
      </c>
      <c r="T250" s="317">
        <f t="shared" si="42"/>
        <v>0</v>
      </c>
      <c r="U250" s="317">
        <f t="shared" si="42"/>
        <v>0</v>
      </c>
      <c r="V250" s="317">
        <f t="shared" si="42"/>
        <v>0</v>
      </c>
      <c r="W250" s="317">
        <f t="shared" si="42"/>
        <v>0</v>
      </c>
      <c r="X250" s="317">
        <f t="shared" si="42"/>
        <v>0</v>
      </c>
      <c r="Y250" s="317">
        <f t="shared" si="42"/>
        <v>0</v>
      </c>
      <c r="Z250" s="317">
        <f t="shared" si="42"/>
        <v>161.02000000000001</v>
      </c>
      <c r="AA250" s="317">
        <f t="shared" si="41"/>
        <v>154.31966666666668</v>
      </c>
      <c r="AB250" s="317">
        <f t="shared" si="41"/>
        <v>150.10833333333335</v>
      </c>
      <c r="AC250" s="317">
        <f t="shared" si="41"/>
        <v>0</v>
      </c>
      <c r="AD250" s="317">
        <f t="shared" si="41"/>
        <v>0</v>
      </c>
      <c r="AE250" s="317">
        <f t="shared" si="41"/>
        <v>0</v>
      </c>
      <c r="AF250" s="317">
        <f t="shared" si="41"/>
        <v>0</v>
      </c>
      <c r="AG250" s="317">
        <f t="shared" si="36"/>
        <v>465.44800000000004</v>
      </c>
      <c r="AH250" s="318">
        <v>0</v>
      </c>
      <c r="AI250" s="318">
        <v>0</v>
      </c>
      <c r="AJ250" s="318">
        <v>0</v>
      </c>
      <c r="AK250" s="318">
        <v>0</v>
      </c>
      <c r="AL250" s="318">
        <v>0</v>
      </c>
      <c r="AM250" s="318">
        <v>0</v>
      </c>
      <c r="AN250" s="318">
        <v>152.67500000000001</v>
      </c>
      <c r="AO250" s="318">
        <v>167.45</v>
      </c>
      <c r="AP250" s="318">
        <v>151.69</v>
      </c>
      <c r="AQ250" s="318">
        <v>0</v>
      </c>
      <c r="AR250" s="318">
        <v>0</v>
      </c>
      <c r="AS250" s="318">
        <v>0</v>
      </c>
      <c r="AT250" s="318">
        <v>0</v>
      </c>
      <c r="AU250" s="317">
        <f t="shared" si="37"/>
        <v>471.815</v>
      </c>
      <c r="AV250" s="319">
        <v>0</v>
      </c>
      <c r="AW250" s="319">
        <v>0</v>
      </c>
      <c r="AX250" s="319">
        <v>0</v>
      </c>
      <c r="AY250" s="319">
        <v>0</v>
      </c>
      <c r="AZ250" s="319">
        <v>0</v>
      </c>
      <c r="BA250" s="319">
        <v>0</v>
      </c>
      <c r="BB250" s="319">
        <v>172.03100000000001</v>
      </c>
      <c r="BC250" s="319">
        <v>157.64599999999999</v>
      </c>
      <c r="BD250" s="319">
        <v>137.309</v>
      </c>
      <c r="BE250" s="319">
        <v>0</v>
      </c>
      <c r="BF250" s="319">
        <v>0</v>
      </c>
      <c r="BG250" s="319">
        <v>0</v>
      </c>
      <c r="BH250" s="319">
        <v>0</v>
      </c>
      <c r="BI250" s="317">
        <f t="shared" si="39"/>
        <v>466.98599999999999</v>
      </c>
      <c r="BJ250" s="316">
        <v>0</v>
      </c>
      <c r="BK250" s="316">
        <v>0</v>
      </c>
      <c r="BL250" s="316">
        <v>0</v>
      </c>
      <c r="BM250" s="316">
        <v>0</v>
      </c>
      <c r="BN250" s="316">
        <v>0</v>
      </c>
      <c r="BO250" s="316">
        <v>0</v>
      </c>
      <c r="BP250" s="316">
        <v>158.35400000000001</v>
      </c>
      <c r="BQ250" s="316">
        <v>137.863</v>
      </c>
      <c r="BR250" s="316">
        <v>161.32599999999999</v>
      </c>
      <c r="BS250" s="316">
        <v>0</v>
      </c>
      <c r="BT250" s="316">
        <v>0</v>
      </c>
      <c r="BU250" s="316">
        <v>0</v>
      </c>
      <c r="BV250" s="316">
        <v>0</v>
      </c>
      <c r="BW250" s="317">
        <f t="shared" si="38"/>
        <v>457.54300000000001</v>
      </c>
    </row>
    <row r="251" spans="1:75" x14ac:dyDescent="0.2">
      <c r="A251" s="20" t="str">
        <f>'School Level Inst. Resources'!A251</f>
        <v>1506000</v>
      </c>
      <c r="B251" s="20" t="str">
        <f>'School Level Inst. Resources'!B251</f>
        <v>Park #6</v>
      </c>
      <c r="C251" s="20" t="str">
        <f>'School Level Inst. Resources'!C251</f>
        <v>1506055</v>
      </c>
      <c r="D251" s="20" t="str">
        <f>'School Level Inst. Resources'!D251</f>
        <v>Cody High School</v>
      </c>
      <c r="E251" s="138" t="str">
        <f>'School Level Inst. Resources'!E251</f>
        <v>9-12</v>
      </c>
      <c r="F251" s="317">
        <f>IF(AND($A$2=4,VLOOKUP($A251,'District Level ADM'!$A$5:$W$52,5,FALSE)="Prior Year"),AH251,IF(AND($A$2=4,VLOOKUP($A251,'District Level ADM'!$A$5:$W$52,5,FALSE)="3-Year Avg."),T251,IF($A$2=2,AH251,IF($A$2=3,T251,IF(($AG251&gt;$AU251),T251,AH251)))))</f>
        <v>0</v>
      </c>
      <c r="G251" s="317">
        <f>IF(AND($A$2=4,VLOOKUP($A251,'District Level ADM'!$A$5:$W$52,5,FALSE)="Prior Year"),AI251,IF(AND($A$2=4,VLOOKUP($A251,'District Level ADM'!$A$5:$W$52,5,FALSE)="3-Year Avg."),U251,IF($A$2=2,AI251,IF($A$2=3,U251,IF(($AG251&gt;$AU251),U251,AI251)))))</f>
        <v>0</v>
      </c>
      <c r="H251" s="317">
        <f>IF(AND($A$2=4,VLOOKUP($A251,'District Level ADM'!$A$5:$W$52,5,FALSE)="Prior Year"),AJ251,IF(AND($A$2=4,VLOOKUP($A251,'District Level ADM'!$A$5:$W$52,5,FALSE)="3-Year Avg."),V251,IF($A$2=2,AJ251,IF($A$2=3,V251,IF(($AG251&gt;$AU251),V251,AJ251)))))</f>
        <v>0</v>
      </c>
      <c r="I251" s="317">
        <f>IF(AND($A$2=4,VLOOKUP($A251,'District Level ADM'!$A$5:$W$52,5,FALSE)="Prior Year"),AK251,IF(AND($A$2=4,VLOOKUP($A251,'District Level ADM'!$A$5:$W$52,5,FALSE)="3-Year Avg."),W251,IF($A$2=2,AK251,IF($A$2=3,W251,IF(($AG251&gt;$AU251),W251,AK251)))))</f>
        <v>0</v>
      </c>
      <c r="J251" s="317">
        <f>IF(AND($A$2=4,VLOOKUP($A251,'District Level ADM'!$A$5:$W$52,5,FALSE)="Prior Year"),AL251,IF(AND($A$2=4,VLOOKUP($A251,'District Level ADM'!$A$5:$W$52,5,FALSE)="3-Year Avg."),X251,IF($A$2=2,AL251,IF($A$2=3,X251,IF(($AG251&gt;$AU251),X251,AL251)))))</f>
        <v>0</v>
      </c>
      <c r="K251" s="317">
        <f>IF(AND($A$2=4,VLOOKUP($A251,'District Level ADM'!$A$5:$W$52,5,FALSE)="Prior Year"),AM251,IF(AND($A$2=4,VLOOKUP($A251,'District Level ADM'!$A$5:$W$52,5,FALSE)="3-Year Avg."),Y251,IF($A$2=2,AM251,IF($A$2=3,Y251,IF(($AG251&gt;$AU251),Y251,AM251)))))</f>
        <v>0</v>
      </c>
      <c r="L251" s="317">
        <f>IF(AND($A$2=4,VLOOKUP($A251,'District Level ADM'!$A$5:$W$52,5,FALSE)="Prior Year"),AN251,IF(AND($A$2=4,VLOOKUP($A251,'District Level ADM'!$A$5:$W$52,5,FALSE)="3-Year Avg."),Z251,IF($A$2=2,AN251,IF($A$2=3,Z251,IF(($AG251&gt;$AU251),Z251,AN251)))))</f>
        <v>0</v>
      </c>
      <c r="M251" s="317">
        <f>IF(AND($A$2=4,VLOOKUP($A251,'District Level ADM'!$A$5:$W$52,5,FALSE)="Prior Year"),AO251,IF(AND($A$2=4,VLOOKUP($A251,'District Level ADM'!$A$5:$W$52,5,FALSE)="3-Year Avg."),AA251,IF($A$2=2,AO251,IF($A$2=3,AA251,IF(($AG251&gt;$AU251),AA251,AO251)))))</f>
        <v>0</v>
      </c>
      <c r="N251" s="317">
        <f>IF(AND($A$2=4,VLOOKUP($A251,'District Level ADM'!$A$5:$W$52,5,FALSE)="Prior Year"),AP251,IF(AND($A$2=4,VLOOKUP($A251,'District Level ADM'!$A$5:$W$52,5,FALSE)="3-Year Avg."),AB251,IF($A$2=2,AP251,IF($A$2=3,AB251,IF(($AG251&gt;$AU251),AB251,AP251)))))</f>
        <v>0</v>
      </c>
      <c r="O251" s="317">
        <f>IF(AND($A$2=4,VLOOKUP($A251,'District Level ADM'!$A$5:$W$52,5,FALSE)="Prior Year"),AQ251,IF(AND($A$2=4,VLOOKUP($A251,'District Level ADM'!$A$5:$W$52,5,FALSE)="3-Year Avg."),AC251,IF($A$2=2,AQ251,IF($A$2=3,AC251,IF(($AG251&gt;$AU251),AC251,AQ251)))))</f>
        <v>148.84599999999998</v>
      </c>
      <c r="P251" s="317">
        <f>IF(AND($A$2=4,VLOOKUP($A251,'District Level ADM'!$A$5:$W$52,5,FALSE)="Prior Year"),AR251,IF(AND($A$2=4,VLOOKUP($A251,'District Level ADM'!$A$5:$W$52,5,FALSE)="3-Year Avg."),AD251,IF($A$2=2,AR251,IF($A$2=3,AD251,IF(($AG251&gt;$AU251),AD251,AR251)))))</f>
        <v>148.92066666666668</v>
      </c>
      <c r="Q251" s="317">
        <f>IF(AND($A$2=4,VLOOKUP($A251,'District Level ADM'!$A$5:$W$52,5,FALSE)="Prior Year"),AS251,IF(AND($A$2=4,VLOOKUP($A251,'District Level ADM'!$A$5:$W$52,5,FALSE)="3-Year Avg."),AE251,IF($A$2=2,AS251,IF($A$2=3,AE251,IF(($AG251&gt;$AU251),AE251,AS251)))))</f>
        <v>141.309</v>
      </c>
      <c r="R251" s="317">
        <f>IF(AND($A$2=4,VLOOKUP($A251,'District Level ADM'!$A$5:$W$52,5,FALSE)="Prior Year"),AT251,IF(AND($A$2=4,VLOOKUP($A251,'District Level ADM'!$A$5:$W$52,5,FALSE)="3-Year Avg."),AF251,IF($A$2=2,AT251,IF($A$2=3,AF251,IF(($AG251&gt;$AU251),AF251,AT251)))))</f>
        <v>150.49866666666665</v>
      </c>
      <c r="S251" s="317">
        <f t="shared" si="35"/>
        <v>589.57433333333324</v>
      </c>
      <c r="T251" s="317">
        <f t="shared" si="42"/>
        <v>0</v>
      </c>
      <c r="U251" s="317">
        <f t="shared" si="42"/>
        <v>0</v>
      </c>
      <c r="V251" s="317">
        <f t="shared" si="42"/>
        <v>0</v>
      </c>
      <c r="W251" s="317">
        <f t="shared" si="42"/>
        <v>0</v>
      </c>
      <c r="X251" s="317">
        <f t="shared" si="42"/>
        <v>0</v>
      </c>
      <c r="Y251" s="317">
        <f t="shared" si="42"/>
        <v>0</v>
      </c>
      <c r="Z251" s="317">
        <f t="shared" si="42"/>
        <v>0</v>
      </c>
      <c r="AA251" s="317">
        <f t="shared" si="41"/>
        <v>0</v>
      </c>
      <c r="AB251" s="317">
        <f t="shared" si="41"/>
        <v>0</v>
      </c>
      <c r="AC251" s="317">
        <f t="shared" si="41"/>
        <v>148.84599999999998</v>
      </c>
      <c r="AD251" s="317">
        <f t="shared" si="41"/>
        <v>148.92066666666668</v>
      </c>
      <c r="AE251" s="317">
        <f t="shared" si="41"/>
        <v>141.309</v>
      </c>
      <c r="AF251" s="317">
        <f t="shared" si="41"/>
        <v>150.49866666666665</v>
      </c>
      <c r="AG251" s="317">
        <f t="shared" si="36"/>
        <v>589.57433333333324</v>
      </c>
      <c r="AH251" s="318">
        <v>0</v>
      </c>
      <c r="AI251" s="318">
        <v>0</v>
      </c>
      <c r="AJ251" s="318">
        <v>0</v>
      </c>
      <c r="AK251" s="318">
        <v>0</v>
      </c>
      <c r="AL251" s="318">
        <v>0</v>
      </c>
      <c r="AM251" s="318">
        <v>0</v>
      </c>
      <c r="AN251" s="318">
        <v>0</v>
      </c>
      <c r="AO251" s="318">
        <v>0</v>
      </c>
      <c r="AP251" s="318">
        <v>0</v>
      </c>
      <c r="AQ251" s="318">
        <v>134.94499999999999</v>
      </c>
      <c r="AR251" s="318">
        <v>153.66</v>
      </c>
      <c r="AS251" s="318">
        <v>139.87</v>
      </c>
      <c r="AT251" s="318">
        <v>144.79499999999999</v>
      </c>
      <c r="AU251" s="317">
        <f t="shared" si="37"/>
        <v>573.27</v>
      </c>
      <c r="AV251" s="319">
        <v>0</v>
      </c>
      <c r="AW251" s="319">
        <v>0</v>
      </c>
      <c r="AX251" s="319">
        <v>0</v>
      </c>
      <c r="AY251" s="319">
        <v>0</v>
      </c>
      <c r="AZ251" s="319">
        <v>0</v>
      </c>
      <c r="BA251" s="319">
        <v>0</v>
      </c>
      <c r="BB251" s="319">
        <v>0</v>
      </c>
      <c r="BC251" s="319">
        <v>0</v>
      </c>
      <c r="BD251" s="319">
        <v>0</v>
      </c>
      <c r="BE251" s="319">
        <v>159.00399999999999</v>
      </c>
      <c r="BF251" s="319">
        <v>143.71299999999999</v>
      </c>
      <c r="BG251" s="319">
        <v>138.93700000000001</v>
      </c>
      <c r="BH251" s="319">
        <v>142.16999999999999</v>
      </c>
      <c r="BI251" s="317">
        <f t="shared" si="39"/>
        <v>583.82399999999996</v>
      </c>
      <c r="BJ251" s="316">
        <v>0</v>
      </c>
      <c r="BK251" s="316">
        <v>0</v>
      </c>
      <c r="BL251" s="316">
        <v>0</v>
      </c>
      <c r="BM251" s="316">
        <v>0</v>
      </c>
      <c r="BN251" s="316">
        <v>0</v>
      </c>
      <c r="BO251" s="316">
        <v>0</v>
      </c>
      <c r="BP251" s="316">
        <v>0</v>
      </c>
      <c r="BQ251" s="316">
        <v>0</v>
      </c>
      <c r="BR251" s="316">
        <v>0</v>
      </c>
      <c r="BS251" s="316">
        <v>152.589</v>
      </c>
      <c r="BT251" s="316">
        <v>149.38900000000001</v>
      </c>
      <c r="BU251" s="316">
        <v>145.12</v>
      </c>
      <c r="BV251" s="316">
        <v>164.53100000000001</v>
      </c>
      <c r="BW251" s="317">
        <f t="shared" si="38"/>
        <v>611.62900000000002</v>
      </c>
    </row>
    <row r="252" spans="1:75" x14ac:dyDescent="0.2">
      <c r="A252" s="20" t="str">
        <f>'School Level Inst. Resources'!A252</f>
        <v>1506000</v>
      </c>
      <c r="B252" s="20" t="str">
        <f>'School Level Inst. Resources'!B252</f>
        <v>Park #6</v>
      </c>
      <c r="C252" s="20" t="str">
        <f>'School Level Inst. Resources'!C252</f>
        <v>1506056</v>
      </c>
      <c r="D252" s="20" t="str">
        <f>'School Level Inst. Resources'!D252</f>
        <v>Heart Mountain Academy</v>
      </c>
      <c r="E252" s="138" t="str">
        <f>'School Level Inst. Resources'!E252</f>
        <v>9-12</v>
      </c>
      <c r="F252" s="317">
        <f>IF(AND($A$2=4,VLOOKUP($A252,'District Level ADM'!$A$5:$W$52,5,FALSE)="Prior Year"),AH252,IF(AND($A$2=4,VLOOKUP($A252,'District Level ADM'!$A$5:$W$52,5,FALSE)="3-Year Avg."),T252,IF($A$2=2,AH252,IF($A$2=3,T252,IF(($AG252&gt;$AU252),T252,AH252)))))</f>
        <v>0</v>
      </c>
      <c r="G252" s="317">
        <f>IF(AND($A$2=4,VLOOKUP($A252,'District Level ADM'!$A$5:$W$52,5,FALSE)="Prior Year"),AI252,IF(AND($A$2=4,VLOOKUP($A252,'District Level ADM'!$A$5:$W$52,5,FALSE)="3-Year Avg."),U252,IF($A$2=2,AI252,IF($A$2=3,U252,IF(($AG252&gt;$AU252),U252,AI252)))))</f>
        <v>0</v>
      </c>
      <c r="H252" s="317">
        <f>IF(AND($A$2=4,VLOOKUP($A252,'District Level ADM'!$A$5:$W$52,5,FALSE)="Prior Year"),AJ252,IF(AND($A$2=4,VLOOKUP($A252,'District Level ADM'!$A$5:$W$52,5,FALSE)="3-Year Avg."),V252,IF($A$2=2,AJ252,IF($A$2=3,V252,IF(($AG252&gt;$AU252),V252,AJ252)))))</f>
        <v>0</v>
      </c>
      <c r="I252" s="317">
        <f>IF(AND($A$2=4,VLOOKUP($A252,'District Level ADM'!$A$5:$W$52,5,FALSE)="Prior Year"),AK252,IF(AND($A$2=4,VLOOKUP($A252,'District Level ADM'!$A$5:$W$52,5,FALSE)="3-Year Avg."),W252,IF($A$2=2,AK252,IF($A$2=3,W252,IF(($AG252&gt;$AU252),W252,AK252)))))</f>
        <v>0</v>
      </c>
      <c r="J252" s="317">
        <f>IF(AND($A$2=4,VLOOKUP($A252,'District Level ADM'!$A$5:$W$52,5,FALSE)="Prior Year"),AL252,IF(AND($A$2=4,VLOOKUP($A252,'District Level ADM'!$A$5:$W$52,5,FALSE)="3-Year Avg."),X252,IF($A$2=2,AL252,IF($A$2=3,X252,IF(($AG252&gt;$AU252),X252,AL252)))))</f>
        <v>0</v>
      </c>
      <c r="K252" s="317">
        <f>IF(AND($A$2=4,VLOOKUP($A252,'District Level ADM'!$A$5:$W$52,5,FALSE)="Prior Year"),AM252,IF(AND($A$2=4,VLOOKUP($A252,'District Level ADM'!$A$5:$W$52,5,FALSE)="3-Year Avg."),Y252,IF($A$2=2,AM252,IF($A$2=3,Y252,IF(($AG252&gt;$AU252),Y252,AM252)))))</f>
        <v>0</v>
      </c>
      <c r="L252" s="317">
        <f>IF(AND($A$2=4,VLOOKUP($A252,'District Level ADM'!$A$5:$W$52,5,FALSE)="Prior Year"),AN252,IF(AND($A$2=4,VLOOKUP($A252,'District Level ADM'!$A$5:$W$52,5,FALSE)="3-Year Avg."),Z252,IF($A$2=2,AN252,IF($A$2=3,Z252,IF(($AG252&gt;$AU252),Z252,AN252)))))</f>
        <v>0</v>
      </c>
      <c r="M252" s="317">
        <f>IF(AND($A$2=4,VLOOKUP($A252,'District Level ADM'!$A$5:$W$52,5,FALSE)="Prior Year"),AO252,IF(AND($A$2=4,VLOOKUP($A252,'District Level ADM'!$A$5:$W$52,5,FALSE)="3-Year Avg."),AA252,IF($A$2=2,AO252,IF($A$2=3,AA252,IF(($AG252&gt;$AU252),AA252,AO252)))))</f>
        <v>0</v>
      </c>
      <c r="N252" s="317">
        <f>IF(AND($A$2=4,VLOOKUP($A252,'District Level ADM'!$A$5:$W$52,5,FALSE)="Prior Year"),AP252,IF(AND($A$2=4,VLOOKUP($A252,'District Level ADM'!$A$5:$W$52,5,FALSE)="3-Year Avg."),AB252,IF($A$2=2,AP252,IF($A$2=3,AB252,IF(($AG252&gt;$AU252),AB252,AP252)))))</f>
        <v>0</v>
      </c>
      <c r="O252" s="317">
        <f>IF(AND($A$2=4,VLOOKUP($A252,'District Level ADM'!$A$5:$W$52,5,FALSE)="Prior Year"),AQ252,IF(AND($A$2=4,VLOOKUP($A252,'District Level ADM'!$A$5:$W$52,5,FALSE)="3-Year Avg."),AC252,IF($A$2=2,AQ252,IF($A$2=3,AC252,IF(($AG252&gt;$AU252),AC252,AQ252)))))</f>
        <v>1.6780000000000002</v>
      </c>
      <c r="P252" s="317">
        <f>IF(AND($A$2=4,VLOOKUP($A252,'District Level ADM'!$A$5:$W$52,5,FALSE)="Prior Year"),AR252,IF(AND($A$2=4,VLOOKUP($A252,'District Level ADM'!$A$5:$W$52,5,FALSE)="3-Year Avg."),AD252,IF($A$2=2,AR252,IF($A$2=3,AD252,IF(($AG252&gt;$AU252),AD252,AR252)))))</f>
        <v>5.4316666666666675</v>
      </c>
      <c r="Q252" s="317">
        <f>IF(AND($A$2=4,VLOOKUP($A252,'District Level ADM'!$A$5:$W$52,5,FALSE)="Prior Year"),AS252,IF(AND($A$2=4,VLOOKUP($A252,'District Level ADM'!$A$5:$W$52,5,FALSE)="3-Year Avg."),AE252,IF($A$2=2,AS252,IF($A$2=3,AE252,IF(($AG252&gt;$AU252),AE252,AS252)))))</f>
        <v>9.814333333333332</v>
      </c>
      <c r="R252" s="317">
        <f>IF(AND($A$2=4,VLOOKUP($A252,'District Level ADM'!$A$5:$W$52,5,FALSE)="Prior Year"),AT252,IF(AND($A$2=4,VLOOKUP($A252,'District Level ADM'!$A$5:$W$52,5,FALSE)="3-Year Avg."),AF252,IF($A$2=2,AT252,IF($A$2=3,AF252,IF(($AG252&gt;$AU252),AF252,AT252)))))</f>
        <v>10.385666666666665</v>
      </c>
      <c r="S252" s="317">
        <f t="shared" si="35"/>
        <v>27.309666666666665</v>
      </c>
      <c r="T252" s="317">
        <f t="shared" si="42"/>
        <v>0</v>
      </c>
      <c r="U252" s="317">
        <f t="shared" si="42"/>
        <v>0</v>
      </c>
      <c r="V252" s="317">
        <f t="shared" si="42"/>
        <v>0</v>
      </c>
      <c r="W252" s="317">
        <f t="shared" si="42"/>
        <v>0</v>
      </c>
      <c r="X252" s="317">
        <f t="shared" si="42"/>
        <v>0</v>
      </c>
      <c r="Y252" s="317">
        <f t="shared" si="42"/>
        <v>0</v>
      </c>
      <c r="Z252" s="317">
        <f t="shared" si="42"/>
        <v>0</v>
      </c>
      <c r="AA252" s="317">
        <f t="shared" si="41"/>
        <v>0</v>
      </c>
      <c r="AB252" s="317">
        <f t="shared" si="41"/>
        <v>0</v>
      </c>
      <c r="AC252" s="317">
        <f t="shared" si="41"/>
        <v>1.6780000000000002</v>
      </c>
      <c r="AD252" s="317">
        <f t="shared" si="41"/>
        <v>5.4316666666666675</v>
      </c>
      <c r="AE252" s="317">
        <f t="shared" si="41"/>
        <v>9.814333333333332</v>
      </c>
      <c r="AF252" s="317">
        <f t="shared" si="41"/>
        <v>10.385666666666665</v>
      </c>
      <c r="AG252" s="317">
        <f t="shared" si="36"/>
        <v>27.309666666666665</v>
      </c>
      <c r="AH252" s="318">
        <v>0</v>
      </c>
      <c r="AI252" s="318">
        <v>0</v>
      </c>
      <c r="AJ252" s="318">
        <v>0</v>
      </c>
      <c r="AK252" s="318">
        <v>0</v>
      </c>
      <c r="AL252" s="318">
        <v>0</v>
      </c>
      <c r="AM252" s="318">
        <v>0</v>
      </c>
      <c r="AN252" s="318">
        <v>0</v>
      </c>
      <c r="AO252" s="318">
        <v>0</v>
      </c>
      <c r="AP252" s="318">
        <v>0</v>
      </c>
      <c r="AQ252" s="318">
        <v>0</v>
      </c>
      <c r="AR252" s="318">
        <v>6.8949999999999996</v>
      </c>
      <c r="AS252" s="318">
        <v>8.8650000000000002</v>
      </c>
      <c r="AT252" s="318">
        <v>11.82</v>
      </c>
      <c r="AU252" s="317">
        <f t="shared" si="37"/>
        <v>27.58</v>
      </c>
      <c r="AV252" s="319">
        <v>0</v>
      </c>
      <c r="AW252" s="319">
        <v>0</v>
      </c>
      <c r="AX252" s="319">
        <v>0</v>
      </c>
      <c r="AY252" s="319">
        <v>0</v>
      </c>
      <c r="AZ252" s="319">
        <v>0</v>
      </c>
      <c r="BA252" s="319">
        <v>0</v>
      </c>
      <c r="BB252" s="319">
        <v>0</v>
      </c>
      <c r="BC252" s="319">
        <v>0</v>
      </c>
      <c r="BD252" s="319">
        <v>0</v>
      </c>
      <c r="BE252" s="319">
        <v>0.52</v>
      </c>
      <c r="BF252" s="319">
        <v>5.6459999999999999</v>
      </c>
      <c r="BG252" s="319">
        <v>9.2690000000000001</v>
      </c>
      <c r="BH252" s="319">
        <v>9.5310000000000006</v>
      </c>
      <c r="BI252" s="317">
        <f t="shared" si="39"/>
        <v>24.966000000000001</v>
      </c>
      <c r="BJ252" s="316">
        <v>0</v>
      </c>
      <c r="BK252" s="316">
        <v>0</v>
      </c>
      <c r="BL252" s="316">
        <v>0</v>
      </c>
      <c r="BM252" s="316">
        <v>0</v>
      </c>
      <c r="BN252" s="316">
        <v>0</v>
      </c>
      <c r="BO252" s="316">
        <v>0</v>
      </c>
      <c r="BP252" s="316">
        <v>0</v>
      </c>
      <c r="BQ252" s="316">
        <v>0</v>
      </c>
      <c r="BR252" s="316">
        <v>0</v>
      </c>
      <c r="BS252" s="316">
        <v>4.5140000000000002</v>
      </c>
      <c r="BT252" s="316">
        <v>3.754</v>
      </c>
      <c r="BU252" s="316">
        <v>11.308999999999999</v>
      </c>
      <c r="BV252" s="316">
        <v>9.8059999999999992</v>
      </c>
      <c r="BW252" s="317">
        <f t="shared" si="38"/>
        <v>29.382999999999996</v>
      </c>
    </row>
    <row r="253" spans="1:75" x14ac:dyDescent="0.2">
      <c r="A253" s="20" t="str">
        <f>'School Level Inst. Resources'!A253</f>
        <v>1516000</v>
      </c>
      <c r="B253" s="20" t="str">
        <f>'School Level Inst. Resources'!B253</f>
        <v>Park #16</v>
      </c>
      <c r="C253" s="20" t="str">
        <f>'School Level Inst. Resources'!C253</f>
        <v>1516049</v>
      </c>
      <c r="D253" s="20" t="str">
        <f>'School Level Inst. Resources'!D253</f>
        <v>Meeteetse School</v>
      </c>
      <c r="E253" s="138" t="str">
        <f>'School Level Inst. Resources'!E253</f>
        <v>P-12</v>
      </c>
      <c r="F253" s="317">
        <f>IF(AND($A$2=4,VLOOKUP($A253,'District Level ADM'!$A$5:$W$52,5,FALSE)="Prior Year"),AH253,IF(AND($A$2=4,VLOOKUP($A253,'District Level ADM'!$A$5:$W$52,5,FALSE)="3-Year Avg."),T253,IF($A$2=2,AH253,IF($A$2=3,T253,IF(($AG253&gt;$AU253),T253,AH253)))))</f>
        <v>9.85</v>
      </c>
      <c r="G253" s="317">
        <f>IF(AND($A$2=4,VLOOKUP($A253,'District Level ADM'!$A$5:$W$52,5,FALSE)="Prior Year"),AI253,IF(AND($A$2=4,VLOOKUP($A253,'District Level ADM'!$A$5:$W$52,5,FALSE)="3-Year Avg."),U253,IF($A$2=2,AI253,IF($A$2=3,U253,IF(($AG253&gt;$AU253),U253,AI253)))))</f>
        <v>10.835000000000001</v>
      </c>
      <c r="H253" s="317">
        <f>IF(AND($A$2=4,VLOOKUP($A253,'District Level ADM'!$A$5:$W$52,5,FALSE)="Prior Year"),AJ253,IF(AND($A$2=4,VLOOKUP($A253,'District Level ADM'!$A$5:$W$52,5,FALSE)="3-Year Avg."),V253,IF($A$2=2,AJ253,IF($A$2=3,V253,IF(($AG253&gt;$AU253),V253,AJ253)))))</f>
        <v>4.9249999999999998</v>
      </c>
      <c r="I253" s="317">
        <f>IF(AND($A$2=4,VLOOKUP($A253,'District Level ADM'!$A$5:$W$52,5,FALSE)="Prior Year"),AK253,IF(AND($A$2=4,VLOOKUP($A253,'District Level ADM'!$A$5:$W$52,5,FALSE)="3-Year Avg."),W253,IF($A$2=2,AK253,IF($A$2=3,W253,IF(($AG253&gt;$AU253),W253,AK253)))))</f>
        <v>9.85</v>
      </c>
      <c r="J253" s="317">
        <f>IF(AND($A$2=4,VLOOKUP($A253,'District Level ADM'!$A$5:$W$52,5,FALSE)="Prior Year"),AL253,IF(AND($A$2=4,VLOOKUP($A253,'District Level ADM'!$A$5:$W$52,5,FALSE)="3-Year Avg."),X253,IF($A$2=2,AL253,IF($A$2=3,X253,IF(($AG253&gt;$AU253),X253,AL253)))))</f>
        <v>10.835000000000001</v>
      </c>
      <c r="K253" s="317">
        <f>IF(AND($A$2=4,VLOOKUP($A253,'District Level ADM'!$A$5:$W$52,5,FALSE)="Prior Year"),AM253,IF(AND($A$2=4,VLOOKUP($A253,'District Level ADM'!$A$5:$W$52,5,FALSE)="3-Year Avg."),Y253,IF($A$2=2,AM253,IF($A$2=3,Y253,IF(($AG253&gt;$AU253),Y253,AM253)))))</f>
        <v>4.9249999999999998</v>
      </c>
      <c r="L253" s="317">
        <f>IF(AND($A$2=4,VLOOKUP($A253,'District Level ADM'!$A$5:$W$52,5,FALSE)="Prior Year"),AN253,IF(AND($A$2=4,VLOOKUP($A253,'District Level ADM'!$A$5:$W$52,5,FALSE)="3-Year Avg."),Z253,IF($A$2=2,AN253,IF($A$2=3,Z253,IF(($AG253&gt;$AU253),Z253,AN253)))))</f>
        <v>8.8650000000000002</v>
      </c>
      <c r="M253" s="317">
        <f>IF(AND($A$2=4,VLOOKUP($A253,'District Level ADM'!$A$5:$W$52,5,FALSE)="Prior Year"),AO253,IF(AND($A$2=4,VLOOKUP($A253,'District Level ADM'!$A$5:$W$52,5,FALSE)="3-Year Avg."),AA253,IF($A$2=2,AO253,IF($A$2=3,AA253,IF(($AG253&gt;$AU253),AA253,AO253)))))</f>
        <v>9.85</v>
      </c>
      <c r="N253" s="317">
        <f>IF(AND($A$2=4,VLOOKUP($A253,'District Level ADM'!$A$5:$W$52,5,FALSE)="Prior Year"),AP253,IF(AND($A$2=4,VLOOKUP($A253,'District Level ADM'!$A$5:$W$52,5,FALSE)="3-Year Avg."),AB253,IF($A$2=2,AP253,IF($A$2=3,AB253,IF(($AG253&gt;$AU253),AB253,AP253)))))</f>
        <v>12.805</v>
      </c>
      <c r="O253" s="317">
        <f>IF(AND($A$2=4,VLOOKUP($A253,'District Level ADM'!$A$5:$W$52,5,FALSE)="Prior Year"),AQ253,IF(AND($A$2=4,VLOOKUP($A253,'District Level ADM'!$A$5:$W$52,5,FALSE)="3-Year Avg."),AC253,IF($A$2=2,AQ253,IF($A$2=3,AC253,IF(($AG253&gt;$AU253),AC253,AQ253)))))</f>
        <v>8.8650000000000002</v>
      </c>
      <c r="P253" s="317">
        <f>IF(AND($A$2=4,VLOOKUP($A253,'District Level ADM'!$A$5:$W$52,5,FALSE)="Prior Year"),AR253,IF(AND($A$2=4,VLOOKUP($A253,'District Level ADM'!$A$5:$W$52,5,FALSE)="3-Year Avg."),AD253,IF($A$2=2,AR253,IF($A$2=3,AD253,IF(($AG253&gt;$AU253),AD253,AR253)))))</f>
        <v>8.8650000000000002</v>
      </c>
      <c r="Q253" s="317">
        <f>IF(AND($A$2=4,VLOOKUP($A253,'District Level ADM'!$A$5:$W$52,5,FALSE)="Prior Year"),AS253,IF(AND($A$2=4,VLOOKUP($A253,'District Level ADM'!$A$5:$W$52,5,FALSE)="3-Year Avg."),AE253,IF($A$2=2,AS253,IF($A$2=3,AE253,IF(($AG253&gt;$AU253),AE253,AS253)))))</f>
        <v>8.8650000000000002</v>
      </c>
      <c r="R253" s="317">
        <f>IF(AND($A$2=4,VLOOKUP($A253,'District Level ADM'!$A$5:$W$52,5,FALSE)="Prior Year"),AT253,IF(AND($A$2=4,VLOOKUP($A253,'District Level ADM'!$A$5:$W$52,5,FALSE)="3-Year Avg."),AF253,IF($A$2=2,AT253,IF($A$2=3,AF253,IF(($AG253&gt;$AU253),AF253,AT253)))))</f>
        <v>9.85</v>
      </c>
      <c r="S253" s="317">
        <f t="shared" si="35"/>
        <v>119.18499999999999</v>
      </c>
      <c r="T253" s="317">
        <f t="shared" si="42"/>
        <v>7.325333333333333</v>
      </c>
      <c r="U253" s="317">
        <f t="shared" si="42"/>
        <v>8.7070000000000007</v>
      </c>
      <c r="V253" s="317">
        <f t="shared" si="42"/>
        <v>7.081666666666667</v>
      </c>
      <c r="W253" s="317">
        <f t="shared" si="42"/>
        <v>9.1863333333333319</v>
      </c>
      <c r="X253" s="317">
        <f t="shared" si="42"/>
        <v>7.7583333333333329</v>
      </c>
      <c r="Y253" s="317">
        <f t="shared" si="42"/>
        <v>7.7369999999999992</v>
      </c>
      <c r="Z253" s="317">
        <f t="shared" si="42"/>
        <v>10.315</v>
      </c>
      <c r="AA253" s="317">
        <f t="shared" si="41"/>
        <v>10.843333333333334</v>
      </c>
      <c r="AB253" s="317">
        <f t="shared" si="41"/>
        <v>9.9826666666666668</v>
      </c>
      <c r="AC253" s="317">
        <f t="shared" si="41"/>
        <v>9.288333333333334</v>
      </c>
      <c r="AD253" s="317">
        <f t="shared" si="41"/>
        <v>9.3340000000000014</v>
      </c>
      <c r="AE253" s="317">
        <f t="shared" si="41"/>
        <v>10.387333333333334</v>
      </c>
      <c r="AF253" s="317">
        <f t="shared" si="41"/>
        <v>10.950000000000001</v>
      </c>
      <c r="AG253" s="317">
        <f t="shared" si="36"/>
        <v>118.89633333333333</v>
      </c>
      <c r="AH253" s="318">
        <v>9.85</v>
      </c>
      <c r="AI253" s="318">
        <v>10.835000000000001</v>
      </c>
      <c r="AJ253" s="318">
        <v>4.9249999999999998</v>
      </c>
      <c r="AK253" s="318">
        <v>9.85</v>
      </c>
      <c r="AL253" s="318">
        <v>10.835000000000001</v>
      </c>
      <c r="AM253" s="318">
        <v>4.9249999999999998</v>
      </c>
      <c r="AN253" s="318">
        <v>8.8650000000000002</v>
      </c>
      <c r="AO253" s="318">
        <v>9.85</v>
      </c>
      <c r="AP253" s="318">
        <v>12.805</v>
      </c>
      <c r="AQ253" s="318">
        <v>8.8650000000000002</v>
      </c>
      <c r="AR253" s="318">
        <v>8.8650000000000002</v>
      </c>
      <c r="AS253" s="318">
        <v>8.8650000000000002</v>
      </c>
      <c r="AT253" s="318">
        <v>9.85</v>
      </c>
      <c r="AU253" s="317">
        <f t="shared" si="37"/>
        <v>119.18499999999999</v>
      </c>
      <c r="AV253" s="319">
        <v>10.125999999999999</v>
      </c>
      <c r="AW253" s="319">
        <v>4</v>
      </c>
      <c r="AX253" s="319">
        <v>8.8170000000000002</v>
      </c>
      <c r="AY253" s="319">
        <v>10.709</v>
      </c>
      <c r="AZ253" s="319">
        <v>4.8109999999999999</v>
      </c>
      <c r="BA253" s="319">
        <v>8.0860000000000003</v>
      </c>
      <c r="BB253" s="319">
        <v>11.08</v>
      </c>
      <c r="BC253" s="319">
        <v>13</v>
      </c>
      <c r="BD253" s="319">
        <v>10.353999999999999</v>
      </c>
      <c r="BE253" s="319">
        <v>8.5429999999999993</v>
      </c>
      <c r="BF253" s="319">
        <v>10.457000000000001</v>
      </c>
      <c r="BG253" s="319">
        <v>10</v>
      </c>
      <c r="BH253" s="319">
        <v>13</v>
      </c>
      <c r="BI253" s="317">
        <f t="shared" si="39"/>
        <v>122.98299999999998</v>
      </c>
      <c r="BJ253" s="316">
        <v>2</v>
      </c>
      <c r="BK253" s="316">
        <v>11.286</v>
      </c>
      <c r="BL253" s="316">
        <v>7.5030000000000001</v>
      </c>
      <c r="BM253" s="316">
        <v>7</v>
      </c>
      <c r="BN253" s="316">
        <v>7.6289999999999996</v>
      </c>
      <c r="BO253" s="316">
        <v>10.199999999999999</v>
      </c>
      <c r="BP253" s="316">
        <v>11</v>
      </c>
      <c r="BQ253" s="316">
        <v>9.68</v>
      </c>
      <c r="BR253" s="316">
        <v>6.7889999999999997</v>
      </c>
      <c r="BS253" s="316">
        <v>10.457000000000001</v>
      </c>
      <c r="BT253" s="316">
        <v>8.68</v>
      </c>
      <c r="BU253" s="316">
        <v>12.297000000000001</v>
      </c>
      <c r="BV253" s="316">
        <v>10</v>
      </c>
      <c r="BW253" s="317">
        <f t="shared" si="38"/>
        <v>114.52100000000002</v>
      </c>
    </row>
    <row r="254" spans="1:75" x14ac:dyDescent="0.2">
      <c r="A254" s="20" t="str">
        <f>'School Level Inst. Resources'!A254</f>
        <v>1601000</v>
      </c>
      <c r="B254" s="20" t="str">
        <f>'School Level Inst. Resources'!B254</f>
        <v>Platte #1</v>
      </c>
      <c r="C254" s="20" t="str">
        <f>'School Level Inst. Resources'!C254</f>
        <v>1601001</v>
      </c>
      <c r="D254" s="20" t="str">
        <f>'School Level Inst. Resources'!D254</f>
        <v>Chugwater Elementary</v>
      </c>
      <c r="E254" s="138" t="str">
        <f>'School Level Inst. Resources'!E254</f>
        <v>K-6</v>
      </c>
      <c r="F254" s="317">
        <f>IF(AND($A$2=4,VLOOKUP($A254,'District Level ADM'!$A$5:$W$52,5,FALSE)="Prior Year"),AH254,IF(AND($A$2=4,VLOOKUP($A254,'District Level ADM'!$A$5:$W$52,5,FALSE)="3-Year Avg."),T254,IF($A$2=2,AH254,IF($A$2=3,T254,IF(($AG254&gt;$AU254),T254,AH254)))))</f>
        <v>5.91</v>
      </c>
      <c r="G254" s="317">
        <f>IF(AND($A$2=4,VLOOKUP($A254,'District Level ADM'!$A$5:$W$52,5,FALSE)="Prior Year"),AI254,IF(AND($A$2=4,VLOOKUP($A254,'District Level ADM'!$A$5:$W$52,5,FALSE)="3-Year Avg."),U254,IF($A$2=2,AI254,IF($A$2=3,U254,IF(($AG254&gt;$AU254),U254,AI254)))))</f>
        <v>0.98499999999999999</v>
      </c>
      <c r="H254" s="317">
        <f>IF(AND($A$2=4,VLOOKUP($A254,'District Level ADM'!$A$5:$W$52,5,FALSE)="Prior Year"),AJ254,IF(AND($A$2=4,VLOOKUP($A254,'District Level ADM'!$A$5:$W$52,5,FALSE)="3-Year Avg."),V254,IF($A$2=2,AJ254,IF($A$2=3,V254,IF(($AG254&gt;$AU254),V254,AJ254)))))</f>
        <v>5.91</v>
      </c>
      <c r="I254" s="317">
        <f>IF(AND($A$2=4,VLOOKUP($A254,'District Level ADM'!$A$5:$W$52,5,FALSE)="Prior Year"),AK254,IF(AND($A$2=4,VLOOKUP($A254,'District Level ADM'!$A$5:$W$52,5,FALSE)="3-Year Avg."),W254,IF($A$2=2,AK254,IF($A$2=3,W254,IF(($AG254&gt;$AU254),W254,AK254)))))</f>
        <v>4.9249999999999998</v>
      </c>
      <c r="J254" s="317">
        <f>IF(AND($A$2=4,VLOOKUP($A254,'District Level ADM'!$A$5:$W$52,5,FALSE)="Prior Year"),AL254,IF(AND($A$2=4,VLOOKUP($A254,'District Level ADM'!$A$5:$W$52,5,FALSE)="3-Year Avg."),X254,IF($A$2=2,AL254,IF($A$2=3,X254,IF(($AG254&gt;$AU254),X254,AL254)))))</f>
        <v>4.9249999999999998</v>
      </c>
      <c r="K254" s="317">
        <f>IF(AND($A$2=4,VLOOKUP($A254,'District Level ADM'!$A$5:$W$52,5,FALSE)="Prior Year"),AM254,IF(AND($A$2=4,VLOOKUP($A254,'District Level ADM'!$A$5:$W$52,5,FALSE)="3-Year Avg."),Y254,IF($A$2=2,AM254,IF($A$2=3,Y254,IF(($AG254&gt;$AU254),Y254,AM254)))))</f>
        <v>5.91</v>
      </c>
      <c r="L254" s="317">
        <f>IF(AND($A$2=4,VLOOKUP($A254,'District Level ADM'!$A$5:$W$52,5,FALSE)="Prior Year"),AN254,IF(AND($A$2=4,VLOOKUP($A254,'District Level ADM'!$A$5:$W$52,5,FALSE)="3-Year Avg."),Z254,IF($A$2=2,AN254,IF($A$2=3,Z254,IF(($AG254&gt;$AU254),Z254,AN254)))))</f>
        <v>2.9550000000000001</v>
      </c>
      <c r="M254" s="317">
        <f>IF(AND($A$2=4,VLOOKUP($A254,'District Level ADM'!$A$5:$W$52,5,FALSE)="Prior Year"),AO254,IF(AND($A$2=4,VLOOKUP($A254,'District Level ADM'!$A$5:$W$52,5,FALSE)="3-Year Avg."),AA254,IF($A$2=2,AO254,IF($A$2=3,AA254,IF(($AG254&gt;$AU254),AA254,AO254)))))</f>
        <v>0</v>
      </c>
      <c r="N254" s="317">
        <f>IF(AND($A$2=4,VLOOKUP($A254,'District Level ADM'!$A$5:$W$52,5,FALSE)="Prior Year"),AP254,IF(AND($A$2=4,VLOOKUP($A254,'District Level ADM'!$A$5:$W$52,5,FALSE)="3-Year Avg."),AB254,IF($A$2=2,AP254,IF($A$2=3,AB254,IF(($AG254&gt;$AU254),AB254,AP254)))))</f>
        <v>0</v>
      </c>
      <c r="O254" s="317">
        <f>IF(AND($A$2=4,VLOOKUP($A254,'District Level ADM'!$A$5:$W$52,5,FALSE)="Prior Year"),AQ254,IF(AND($A$2=4,VLOOKUP($A254,'District Level ADM'!$A$5:$W$52,5,FALSE)="3-Year Avg."),AC254,IF($A$2=2,AQ254,IF($A$2=3,AC254,IF(($AG254&gt;$AU254),AC254,AQ254)))))</f>
        <v>0</v>
      </c>
      <c r="P254" s="317">
        <f>IF(AND($A$2=4,VLOOKUP($A254,'District Level ADM'!$A$5:$W$52,5,FALSE)="Prior Year"),AR254,IF(AND($A$2=4,VLOOKUP($A254,'District Level ADM'!$A$5:$W$52,5,FALSE)="3-Year Avg."),AD254,IF($A$2=2,AR254,IF($A$2=3,AD254,IF(($AG254&gt;$AU254),AD254,AR254)))))</f>
        <v>0</v>
      </c>
      <c r="Q254" s="317">
        <f>IF(AND($A$2=4,VLOOKUP($A254,'District Level ADM'!$A$5:$W$52,5,FALSE)="Prior Year"),AS254,IF(AND($A$2=4,VLOOKUP($A254,'District Level ADM'!$A$5:$W$52,5,FALSE)="3-Year Avg."),AE254,IF($A$2=2,AS254,IF($A$2=3,AE254,IF(($AG254&gt;$AU254),AE254,AS254)))))</f>
        <v>0</v>
      </c>
      <c r="R254" s="317">
        <f>IF(AND($A$2=4,VLOOKUP($A254,'District Level ADM'!$A$5:$W$52,5,FALSE)="Prior Year"),AT254,IF(AND($A$2=4,VLOOKUP($A254,'District Level ADM'!$A$5:$W$52,5,FALSE)="3-Year Avg."),AF254,IF($A$2=2,AT254,IF($A$2=3,AF254,IF(($AG254&gt;$AU254),AF254,AT254)))))</f>
        <v>0</v>
      </c>
      <c r="S254" s="317">
        <f t="shared" si="35"/>
        <v>31.520000000000003</v>
      </c>
      <c r="T254" s="317">
        <f t="shared" si="42"/>
        <v>4.6640000000000006</v>
      </c>
      <c r="U254" s="317">
        <f t="shared" si="42"/>
        <v>3.5739999999999998</v>
      </c>
      <c r="V254" s="317">
        <f t="shared" si="42"/>
        <v>5.2196666666666669</v>
      </c>
      <c r="W254" s="317">
        <f t="shared" si="42"/>
        <v>5.7519999999999998</v>
      </c>
      <c r="X254" s="317">
        <f t="shared" si="42"/>
        <v>5.3273333333333337</v>
      </c>
      <c r="Y254" s="317">
        <f t="shared" si="42"/>
        <v>3.6366666666666667</v>
      </c>
      <c r="Z254" s="317">
        <f t="shared" si="42"/>
        <v>1.9850000000000001</v>
      </c>
      <c r="AA254" s="317">
        <f t="shared" si="41"/>
        <v>0</v>
      </c>
      <c r="AB254" s="317">
        <f t="shared" si="41"/>
        <v>0</v>
      </c>
      <c r="AC254" s="317">
        <f t="shared" si="41"/>
        <v>0</v>
      </c>
      <c r="AD254" s="317">
        <f t="shared" si="41"/>
        <v>0</v>
      </c>
      <c r="AE254" s="317">
        <f t="shared" si="41"/>
        <v>0</v>
      </c>
      <c r="AF254" s="317">
        <f t="shared" si="41"/>
        <v>0</v>
      </c>
      <c r="AG254" s="317">
        <f t="shared" si="36"/>
        <v>30.158666666666665</v>
      </c>
      <c r="AH254" s="318">
        <v>5.91</v>
      </c>
      <c r="AI254" s="318">
        <v>0.98499999999999999</v>
      </c>
      <c r="AJ254" s="318">
        <v>5.91</v>
      </c>
      <c r="AK254" s="318">
        <v>4.9249999999999998</v>
      </c>
      <c r="AL254" s="318">
        <v>4.9249999999999998</v>
      </c>
      <c r="AM254" s="318">
        <v>5.91</v>
      </c>
      <c r="AN254" s="318">
        <v>2.9550000000000001</v>
      </c>
      <c r="AO254" s="318">
        <v>0</v>
      </c>
      <c r="AP254" s="318">
        <v>0</v>
      </c>
      <c r="AQ254" s="318">
        <v>0</v>
      </c>
      <c r="AR254" s="318">
        <v>0</v>
      </c>
      <c r="AS254" s="318">
        <v>0</v>
      </c>
      <c r="AT254" s="318">
        <v>0</v>
      </c>
      <c r="AU254" s="317">
        <f t="shared" si="37"/>
        <v>31.520000000000003</v>
      </c>
      <c r="AV254" s="319">
        <v>6.1109999999999998</v>
      </c>
      <c r="AW254" s="319">
        <v>3</v>
      </c>
      <c r="AX254" s="319">
        <v>7.28</v>
      </c>
      <c r="AY254" s="319">
        <v>4.3310000000000004</v>
      </c>
      <c r="AZ254" s="319">
        <v>7</v>
      </c>
      <c r="BA254" s="319">
        <v>4</v>
      </c>
      <c r="BB254" s="319">
        <v>1</v>
      </c>
      <c r="BC254" s="319">
        <v>0</v>
      </c>
      <c r="BD254" s="319">
        <v>0</v>
      </c>
      <c r="BE254" s="319">
        <v>0</v>
      </c>
      <c r="BF254" s="319">
        <v>0</v>
      </c>
      <c r="BG254" s="319">
        <v>0</v>
      </c>
      <c r="BH254" s="319">
        <v>0</v>
      </c>
      <c r="BI254" s="317">
        <f t="shared" si="39"/>
        <v>32.722000000000001</v>
      </c>
      <c r="BJ254" s="316">
        <v>1.9710000000000001</v>
      </c>
      <c r="BK254" s="316">
        <v>6.7370000000000001</v>
      </c>
      <c r="BL254" s="316">
        <v>2.4689999999999999</v>
      </c>
      <c r="BM254" s="316">
        <v>8</v>
      </c>
      <c r="BN254" s="316">
        <v>4.0570000000000004</v>
      </c>
      <c r="BO254" s="316">
        <v>1</v>
      </c>
      <c r="BP254" s="316">
        <v>2</v>
      </c>
      <c r="BQ254" s="316">
        <v>0</v>
      </c>
      <c r="BR254" s="316">
        <v>0</v>
      </c>
      <c r="BS254" s="316">
        <v>0</v>
      </c>
      <c r="BT254" s="316">
        <v>0</v>
      </c>
      <c r="BU254" s="316">
        <v>0</v>
      </c>
      <c r="BV254" s="316">
        <v>0</v>
      </c>
      <c r="BW254" s="317">
        <f t="shared" si="38"/>
        <v>26.234000000000002</v>
      </c>
    </row>
    <row r="255" spans="1:75" x14ac:dyDescent="0.2">
      <c r="A255" s="20" t="str">
        <f>'School Level Inst. Resources'!A255</f>
        <v>1601000</v>
      </c>
      <c r="B255" s="20" t="str">
        <f>'School Level Inst. Resources'!B255</f>
        <v>Platte #1</v>
      </c>
      <c r="C255" s="20" t="str">
        <f>'School Level Inst. Resources'!C255</f>
        <v>1601002</v>
      </c>
      <c r="D255" s="20" t="str">
        <f>'School Level Inst. Resources'!D255</f>
        <v>Glendo Elementary</v>
      </c>
      <c r="E255" s="138" t="str">
        <f>'School Level Inst. Resources'!E255</f>
        <v>K-6</v>
      </c>
      <c r="F255" s="317">
        <f>IF(AND($A$2=4,VLOOKUP($A255,'District Level ADM'!$A$5:$W$52,5,FALSE)="Prior Year"),AH255,IF(AND($A$2=4,VLOOKUP($A255,'District Level ADM'!$A$5:$W$52,5,FALSE)="3-Year Avg."),T255,IF($A$2=2,AH255,IF($A$2=3,T255,IF(($AG255&gt;$AU255),T255,AH255)))))</f>
        <v>5.91</v>
      </c>
      <c r="G255" s="317">
        <f>IF(AND($A$2=4,VLOOKUP($A255,'District Level ADM'!$A$5:$W$52,5,FALSE)="Prior Year"),AI255,IF(AND($A$2=4,VLOOKUP($A255,'District Level ADM'!$A$5:$W$52,5,FALSE)="3-Year Avg."),U255,IF($A$2=2,AI255,IF($A$2=3,U255,IF(($AG255&gt;$AU255),U255,AI255)))))</f>
        <v>7.88</v>
      </c>
      <c r="H255" s="317">
        <f>IF(AND($A$2=4,VLOOKUP($A255,'District Level ADM'!$A$5:$W$52,5,FALSE)="Prior Year"),AJ255,IF(AND($A$2=4,VLOOKUP($A255,'District Level ADM'!$A$5:$W$52,5,FALSE)="3-Year Avg."),V255,IF($A$2=2,AJ255,IF($A$2=3,V255,IF(($AG255&gt;$AU255),V255,AJ255)))))</f>
        <v>2.9550000000000001</v>
      </c>
      <c r="I255" s="317">
        <f>IF(AND($A$2=4,VLOOKUP($A255,'District Level ADM'!$A$5:$W$52,5,FALSE)="Prior Year"),AK255,IF(AND($A$2=4,VLOOKUP($A255,'District Level ADM'!$A$5:$W$52,5,FALSE)="3-Year Avg."),W255,IF($A$2=2,AK255,IF($A$2=3,W255,IF(($AG255&gt;$AU255),W255,AK255)))))</f>
        <v>2.9550000000000001</v>
      </c>
      <c r="J255" s="317">
        <f>IF(AND($A$2=4,VLOOKUP($A255,'District Level ADM'!$A$5:$W$52,5,FALSE)="Prior Year"),AL255,IF(AND($A$2=4,VLOOKUP($A255,'District Level ADM'!$A$5:$W$52,5,FALSE)="3-Year Avg."),X255,IF($A$2=2,AL255,IF($A$2=3,X255,IF(($AG255&gt;$AU255),X255,AL255)))))</f>
        <v>6.8949999999999996</v>
      </c>
      <c r="K255" s="317">
        <f>IF(AND($A$2=4,VLOOKUP($A255,'District Level ADM'!$A$5:$W$52,5,FALSE)="Prior Year"),AM255,IF(AND($A$2=4,VLOOKUP($A255,'District Level ADM'!$A$5:$W$52,5,FALSE)="3-Year Avg."),Y255,IF($A$2=2,AM255,IF($A$2=3,Y255,IF(($AG255&gt;$AU255),Y255,AM255)))))</f>
        <v>0.98499999999999999</v>
      </c>
      <c r="L255" s="317">
        <f>IF(AND($A$2=4,VLOOKUP($A255,'District Level ADM'!$A$5:$W$52,5,FALSE)="Prior Year"),AN255,IF(AND($A$2=4,VLOOKUP($A255,'District Level ADM'!$A$5:$W$52,5,FALSE)="3-Year Avg."),Z255,IF($A$2=2,AN255,IF($A$2=3,Z255,IF(($AG255&gt;$AU255),Z255,AN255)))))</f>
        <v>2.9550000000000001</v>
      </c>
      <c r="M255" s="317">
        <f>IF(AND($A$2=4,VLOOKUP($A255,'District Level ADM'!$A$5:$W$52,5,FALSE)="Prior Year"),AO255,IF(AND($A$2=4,VLOOKUP($A255,'District Level ADM'!$A$5:$W$52,5,FALSE)="3-Year Avg."),AA255,IF($A$2=2,AO255,IF($A$2=3,AA255,IF(($AG255&gt;$AU255),AA255,AO255)))))</f>
        <v>0</v>
      </c>
      <c r="N255" s="317">
        <f>IF(AND($A$2=4,VLOOKUP($A255,'District Level ADM'!$A$5:$W$52,5,FALSE)="Prior Year"),AP255,IF(AND($A$2=4,VLOOKUP($A255,'District Level ADM'!$A$5:$W$52,5,FALSE)="3-Year Avg."),AB255,IF($A$2=2,AP255,IF($A$2=3,AB255,IF(($AG255&gt;$AU255),AB255,AP255)))))</f>
        <v>0</v>
      </c>
      <c r="O255" s="317">
        <f>IF(AND($A$2=4,VLOOKUP($A255,'District Level ADM'!$A$5:$W$52,5,FALSE)="Prior Year"),AQ255,IF(AND($A$2=4,VLOOKUP($A255,'District Level ADM'!$A$5:$W$52,5,FALSE)="3-Year Avg."),AC255,IF($A$2=2,AQ255,IF($A$2=3,AC255,IF(($AG255&gt;$AU255),AC255,AQ255)))))</f>
        <v>0</v>
      </c>
      <c r="P255" s="317">
        <f>IF(AND($A$2=4,VLOOKUP($A255,'District Level ADM'!$A$5:$W$52,5,FALSE)="Prior Year"),AR255,IF(AND($A$2=4,VLOOKUP($A255,'District Level ADM'!$A$5:$W$52,5,FALSE)="3-Year Avg."),AD255,IF($A$2=2,AR255,IF($A$2=3,AD255,IF(($AG255&gt;$AU255),AD255,AR255)))))</f>
        <v>0</v>
      </c>
      <c r="Q255" s="317">
        <f>IF(AND($A$2=4,VLOOKUP($A255,'District Level ADM'!$A$5:$W$52,5,FALSE)="Prior Year"),AS255,IF(AND($A$2=4,VLOOKUP($A255,'District Level ADM'!$A$5:$W$52,5,FALSE)="3-Year Avg."),AE255,IF($A$2=2,AS255,IF($A$2=3,AE255,IF(($AG255&gt;$AU255),AE255,AS255)))))</f>
        <v>0</v>
      </c>
      <c r="R255" s="317">
        <f>IF(AND($A$2=4,VLOOKUP($A255,'District Level ADM'!$A$5:$W$52,5,FALSE)="Prior Year"),AT255,IF(AND($A$2=4,VLOOKUP($A255,'District Level ADM'!$A$5:$W$52,5,FALSE)="3-Year Avg."),AF255,IF($A$2=2,AT255,IF($A$2=3,AF255,IF(($AG255&gt;$AU255),AF255,AT255)))))</f>
        <v>0</v>
      </c>
      <c r="S255" s="317">
        <f t="shared" si="35"/>
        <v>30.534999999999997</v>
      </c>
      <c r="T255" s="317">
        <f t="shared" si="42"/>
        <v>4.3033333333333337</v>
      </c>
      <c r="U255" s="317">
        <f t="shared" si="42"/>
        <v>3.6876666666666669</v>
      </c>
      <c r="V255" s="317">
        <f t="shared" si="42"/>
        <v>4.8820000000000006</v>
      </c>
      <c r="W255" s="317">
        <f t="shared" si="42"/>
        <v>2.9849999999999999</v>
      </c>
      <c r="X255" s="317">
        <f t="shared" si="42"/>
        <v>3.109666666666667</v>
      </c>
      <c r="Y255" s="317">
        <f t="shared" si="42"/>
        <v>3.9949999999999997</v>
      </c>
      <c r="Z255" s="317">
        <f t="shared" si="42"/>
        <v>5.2439999999999998</v>
      </c>
      <c r="AA255" s="317">
        <f t="shared" si="41"/>
        <v>0</v>
      </c>
      <c r="AB255" s="317">
        <f t="shared" si="41"/>
        <v>0</v>
      </c>
      <c r="AC255" s="317">
        <f t="shared" si="41"/>
        <v>0</v>
      </c>
      <c r="AD255" s="317">
        <f t="shared" si="41"/>
        <v>0</v>
      </c>
      <c r="AE255" s="317">
        <f t="shared" si="41"/>
        <v>0</v>
      </c>
      <c r="AF255" s="317">
        <f t="shared" si="41"/>
        <v>0</v>
      </c>
      <c r="AG255" s="317">
        <f t="shared" si="36"/>
        <v>28.206666666666667</v>
      </c>
      <c r="AH255" s="318">
        <v>5.91</v>
      </c>
      <c r="AI255" s="318">
        <v>7.88</v>
      </c>
      <c r="AJ255" s="318">
        <v>2.9550000000000001</v>
      </c>
      <c r="AK255" s="318">
        <v>2.9550000000000001</v>
      </c>
      <c r="AL255" s="318">
        <v>6.8949999999999996</v>
      </c>
      <c r="AM255" s="318">
        <v>0.98499999999999999</v>
      </c>
      <c r="AN255" s="318">
        <v>2.9550000000000001</v>
      </c>
      <c r="AO255" s="318">
        <v>0</v>
      </c>
      <c r="AP255" s="318">
        <v>0</v>
      </c>
      <c r="AQ255" s="318">
        <v>0</v>
      </c>
      <c r="AR255" s="318">
        <v>0</v>
      </c>
      <c r="AS255" s="318">
        <v>0</v>
      </c>
      <c r="AT255" s="318">
        <v>0</v>
      </c>
      <c r="AU255" s="317">
        <f t="shared" si="37"/>
        <v>30.534999999999997</v>
      </c>
      <c r="AV255" s="319">
        <v>6</v>
      </c>
      <c r="AW255" s="319">
        <v>0.88600000000000001</v>
      </c>
      <c r="AX255" s="319">
        <v>4.6909999999999998</v>
      </c>
      <c r="AY255" s="319">
        <v>6</v>
      </c>
      <c r="AZ255" s="319">
        <v>0</v>
      </c>
      <c r="BA255" s="319">
        <v>3</v>
      </c>
      <c r="BB255" s="319">
        <v>7.9370000000000003</v>
      </c>
      <c r="BC255" s="319">
        <v>0</v>
      </c>
      <c r="BD255" s="319">
        <v>0</v>
      </c>
      <c r="BE255" s="319">
        <v>0</v>
      </c>
      <c r="BF255" s="319">
        <v>0</v>
      </c>
      <c r="BG255" s="319">
        <v>0</v>
      </c>
      <c r="BH255" s="319">
        <v>0</v>
      </c>
      <c r="BI255" s="317">
        <f t="shared" si="39"/>
        <v>28.513999999999999</v>
      </c>
      <c r="BJ255" s="316">
        <v>1</v>
      </c>
      <c r="BK255" s="316">
        <v>2.2970000000000002</v>
      </c>
      <c r="BL255" s="316">
        <v>7</v>
      </c>
      <c r="BM255" s="316">
        <v>0</v>
      </c>
      <c r="BN255" s="316">
        <v>2.4340000000000002</v>
      </c>
      <c r="BO255" s="316">
        <v>8</v>
      </c>
      <c r="BP255" s="316">
        <v>4.84</v>
      </c>
      <c r="BQ255" s="316">
        <v>0</v>
      </c>
      <c r="BR255" s="316">
        <v>0</v>
      </c>
      <c r="BS255" s="316">
        <v>0</v>
      </c>
      <c r="BT255" s="316">
        <v>0</v>
      </c>
      <c r="BU255" s="316">
        <v>0</v>
      </c>
      <c r="BV255" s="316">
        <v>0</v>
      </c>
      <c r="BW255" s="317">
        <f t="shared" si="38"/>
        <v>25.571000000000002</v>
      </c>
    </row>
    <row r="256" spans="1:75" x14ac:dyDescent="0.2">
      <c r="A256" s="20" t="str">
        <f>'School Level Inst. Resources'!A256</f>
        <v>1601000</v>
      </c>
      <c r="B256" s="20" t="str">
        <f>'School Level Inst. Resources'!B256</f>
        <v>Platte #1</v>
      </c>
      <c r="C256" s="20" t="str">
        <f>'School Level Inst. Resources'!C256</f>
        <v>1601003</v>
      </c>
      <c r="D256" s="20" t="str">
        <f>'School Level Inst. Resources'!D256</f>
        <v>Libbey Elementary</v>
      </c>
      <c r="E256" s="138" t="str">
        <f>'School Level Inst. Resources'!E256</f>
        <v>K-2</v>
      </c>
      <c r="F256" s="317">
        <f>IF(AND($A$2=4,VLOOKUP($A256,'District Level ADM'!$A$5:$W$52,5,FALSE)="Prior Year"),AH256,IF(AND($A$2=4,VLOOKUP($A256,'District Level ADM'!$A$5:$W$52,5,FALSE)="3-Year Avg."),T256,IF($A$2=2,AH256,IF($A$2=3,T256,IF(($AG256&gt;$AU256),T256,AH256)))))</f>
        <v>77.814999999999998</v>
      </c>
      <c r="G256" s="317">
        <f>IF(AND($A$2=4,VLOOKUP($A256,'District Level ADM'!$A$5:$W$52,5,FALSE)="Prior Year"),AI256,IF(AND($A$2=4,VLOOKUP($A256,'District Level ADM'!$A$5:$W$52,5,FALSE)="3-Year Avg."),U256,IF($A$2=2,AI256,IF($A$2=3,U256,IF(($AG256&gt;$AU256),U256,AI256)))))</f>
        <v>63.04</v>
      </c>
      <c r="H256" s="317">
        <f>IF(AND($A$2=4,VLOOKUP($A256,'District Level ADM'!$A$5:$W$52,5,FALSE)="Prior Year"),AJ256,IF(AND($A$2=4,VLOOKUP($A256,'District Level ADM'!$A$5:$W$52,5,FALSE)="3-Year Avg."),V256,IF($A$2=2,AJ256,IF($A$2=3,V256,IF(($AG256&gt;$AU256),V256,AJ256)))))</f>
        <v>65.995000000000005</v>
      </c>
      <c r="I256" s="317">
        <f>IF(AND($A$2=4,VLOOKUP($A256,'District Level ADM'!$A$5:$W$52,5,FALSE)="Prior Year"),AK256,IF(AND($A$2=4,VLOOKUP($A256,'District Level ADM'!$A$5:$W$52,5,FALSE)="3-Year Avg."),W256,IF($A$2=2,AK256,IF($A$2=3,W256,IF(($AG256&gt;$AU256),W256,AK256)))))</f>
        <v>0</v>
      </c>
      <c r="J256" s="317">
        <f>IF(AND($A$2=4,VLOOKUP($A256,'District Level ADM'!$A$5:$W$52,5,FALSE)="Prior Year"),AL256,IF(AND($A$2=4,VLOOKUP($A256,'District Level ADM'!$A$5:$W$52,5,FALSE)="3-Year Avg."),X256,IF($A$2=2,AL256,IF($A$2=3,X256,IF(($AG256&gt;$AU256),X256,AL256)))))</f>
        <v>0</v>
      </c>
      <c r="K256" s="317">
        <f>IF(AND($A$2=4,VLOOKUP($A256,'District Level ADM'!$A$5:$W$52,5,FALSE)="Prior Year"),AM256,IF(AND($A$2=4,VLOOKUP($A256,'District Level ADM'!$A$5:$W$52,5,FALSE)="3-Year Avg."),Y256,IF($A$2=2,AM256,IF($A$2=3,Y256,IF(($AG256&gt;$AU256),Y256,AM256)))))</f>
        <v>0</v>
      </c>
      <c r="L256" s="317">
        <f>IF(AND($A$2=4,VLOOKUP($A256,'District Level ADM'!$A$5:$W$52,5,FALSE)="Prior Year"),AN256,IF(AND($A$2=4,VLOOKUP($A256,'District Level ADM'!$A$5:$W$52,5,FALSE)="3-Year Avg."),Z256,IF($A$2=2,AN256,IF($A$2=3,Z256,IF(($AG256&gt;$AU256),Z256,AN256)))))</f>
        <v>0</v>
      </c>
      <c r="M256" s="317">
        <f>IF(AND($A$2=4,VLOOKUP($A256,'District Level ADM'!$A$5:$W$52,5,FALSE)="Prior Year"),AO256,IF(AND($A$2=4,VLOOKUP($A256,'District Level ADM'!$A$5:$W$52,5,FALSE)="3-Year Avg."),AA256,IF($A$2=2,AO256,IF($A$2=3,AA256,IF(($AG256&gt;$AU256),AA256,AO256)))))</f>
        <v>0</v>
      </c>
      <c r="N256" s="317">
        <f>IF(AND($A$2=4,VLOOKUP($A256,'District Level ADM'!$A$5:$W$52,5,FALSE)="Prior Year"),AP256,IF(AND($A$2=4,VLOOKUP($A256,'District Level ADM'!$A$5:$W$52,5,FALSE)="3-Year Avg."),AB256,IF($A$2=2,AP256,IF($A$2=3,AB256,IF(($AG256&gt;$AU256),AB256,AP256)))))</f>
        <v>0</v>
      </c>
      <c r="O256" s="317">
        <f>IF(AND($A$2=4,VLOOKUP($A256,'District Level ADM'!$A$5:$W$52,5,FALSE)="Prior Year"),AQ256,IF(AND($A$2=4,VLOOKUP($A256,'District Level ADM'!$A$5:$W$52,5,FALSE)="3-Year Avg."),AC256,IF($A$2=2,AQ256,IF($A$2=3,AC256,IF(($AG256&gt;$AU256),AC256,AQ256)))))</f>
        <v>0</v>
      </c>
      <c r="P256" s="317">
        <f>IF(AND($A$2=4,VLOOKUP($A256,'District Level ADM'!$A$5:$W$52,5,FALSE)="Prior Year"),AR256,IF(AND($A$2=4,VLOOKUP($A256,'District Level ADM'!$A$5:$W$52,5,FALSE)="3-Year Avg."),AD256,IF($A$2=2,AR256,IF($A$2=3,AD256,IF(($AG256&gt;$AU256),AD256,AR256)))))</f>
        <v>0</v>
      </c>
      <c r="Q256" s="317">
        <f>IF(AND($A$2=4,VLOOKUP($A256,'District Level ADM'!$A$5:$W$52,5,FALSE)="Prior Year"),AS256,IF(AND($A$2=4,VLOOKUP($A256,'District Level ADM'!$A$5:$W$52,5,FALSE)="3-Year Avg."),AE256,IF($A$2=2,AS256,IF($A$2=3,AE256,IF(($AG256&gt;$AU256),AE256,AS256)))))</f>
        <v>0</v>
      </c>
      <c r="R256" s="317">
        <f>IF(AND($A$2=4,VLOOKUP($A256,'District Level ADM'!$A$5:$W$52,5,FALSE)="Prior Year"),AT256,IF(AND($A$2=4,VLOOKUP($A256,'District Level ADM'!$A$5:$W$52,5,FALSE)="3-Year Avg."),AF256,IF($A$2=2,AT256,IF($A$2=3,AF256,IF(($AG256&gt;$AU256),AF256,AT256)))))</f>
        <v>0</v>
      </c>
      <c r="S256" s="317">
        <f t="shared" si="35"/>
        <v>206.85</v>
      </c>
      <c r="T256" s="317">
        <f t="shared" si="42"/>
        <v>75.597333333333339</v>
      </c>
      <c r="U256" s="317">
        <f t="shared" si="42"/>
        <v>61.899000000000001</v>
      </c>
      <c r="V256" s="317">
        <f t="shared" si="42"/>
        <v>59.064999999999998</v>
      </c>
      <c r="W256" s="317">
        <f t="shared" si="42"/>
        <v>0</v>
      </c>
      <c r="X256" s="317">
        <f t="shared" si="42"/>
        <v>0</v>
      </c>
      <c r="Y256" s="317">
        <f t="shared" si="42"/>
        <v>0</v>
      </c>
      <c r="Z256" s="317">
        <f t="shared" si="42"/>
        <v>0</v>
      </c>
      <c r="AA256" s="317">
        <f t="shared" si="41"/>
        <v>0</v>
      </c>
      <c r="AB256" s="317">
        <f t="shared" si="41"/>
        <v>0</v>
      </c>
      <c r="AC256" s="317">
        <f t="shared" si="41"/>
        <v>0</v>
      </c>
      <c r="AD256" s="317">
        <f t="shared" si="41"/>
        <v>0</v>
      </c>
      <c r="AE256" s="317">
        <f t="shared" si="41"/>
        <v>0</v>
      </c>
      <c r="AF256" s="317">
        <f t="shared" si="41"/>
        <v>0</v>
      </c>
      <c r="AG256" s="317">
        <f t="shared" si="36"/>
        <v>196.56133333333332</v>
      </c>
      <c r="AH256" s="318">
        <v>77.814999999999998</v>
      </c>
      <c r="AI256" s="318">
        <v>63.04</v>
      </c>
      <c r="AJ256" s="318">
        <v>65.995000000000005</v>
      </c>
      <c r="AK256" s="318">
        <v>0</v>
      </c>
      <c r="AL256" s="318">
        <v>0</v>
      </c>
      <c r="AM256" s="318">
        <v>0</v>
      </c>
      <c r="AN256" s="318">
        <v>0</v>
      </c>
      <c r="AO256" s="318">
        <v>0</v>
      </c>
      <c r="AP256" s="318">
        <v>0</v>
      </c>
      <c r="AQ256" s="318">
        <v>0</v>
      </c>
      <c r="AR256" s="318">
        <v>0</v>
      </c>
      <c r="AS256" s="318">
        <v>0</v>
      </c>
      <c r="AT256" s="318">
        <v>0</v>
      </c>
      <c r="AU256" s="317">
        <f t="shared" si="37"/>
        <v>206.85</v>
      </c>
      <c r="AV256" s="319">
        <v>75.977000000000004</v>
      </c>
      <c r="AW256" s="319">
        <v>61.445999999999998</v>
      </c>
      <c r="AX256" s="319">
        <v>59.616999999999997</v>
      </c>
      <c r="AY256" s="319">
        <v>0</v>
      </c>
      <c r="AZ256" s="319">
        <v>0</v>
      </c>
      <c r="BA256" s="319">
        <v>0</v>
      </c>
      <c r="BB256" s="319">
        <v>0</v>
      </c>
      <c r="BC256" s="319">
        <v>0</v>
      </c>
      <c r="BD256" s="319">
        <v>0</v>
      </c>
      <c r="BE256" s="319">
        <v>0</v>
      </c>
      <c r="BF256" s="319">
        <v>0</v>
      </c>
      <c r="BG256" s="319">
        <v>0</v>
      </c>
      <c r="BH256" s="319">
        <v>0</v>
      </c>
      <c r="BI256" s="317">
        <f t="shared" si="39"/>
        <v>197.04</v>
      </c>
      <c r="BJ256" s="316">
        <v>73</v>
      </c>
      <c r="BK256" s="316">
        <v>61.210999999999999</v>
      </c>
      <c r="BL256" s="316">
        <v>51.582999999999998</v>
      </c>
      <c r="BM256" s="316">
        <v>0</v>
      </c>
      <c r="BN256" s="316">
        <v>0</v>
      </c>
      <c r="BO256" s="316">
        <v>0</v>
      </c>
      <c r="BP256" s="316">
        <v>0</v>
      </c>
      <c r="BQ256" s="316">
        <v>0</v>
      </c>
      <c r="BR256" s="316">
        <v>0</v>
      </c>
      <c r="BS256" s="316">
        <v>0</v>
      </c>
      <c r="BT256" s="316">
        <v>0</v>
      </c>
      <c r="BU256" s="316">
        <v>0</v>
      </c>
      <c r="BV256" s="316">
        <v>0</v>
      </c>
      <c r="BW256" s="317">
        <f t="shared" si="38"/>
        <v>185.79400000000001</v>
      </c>
    </row>
    <row r="257" spans="1:75" x14ac:dyDescent="0.2">
      <c r="A257" s="20" t="str">
        <f>'School Level Inst. Resources'!A257</f>
        <v>1601000</v>
      </c>
      <c r="B257" s="20" t="str">
        <f>'School Level Inst. Resources'!B257</f>
        <v>Platte #1</v>
      </c>
      <c r="C257" s="20" t="str">
        <f>'School Level Inst. Resources'!C257</f>
        <v>1601005</v>
      </c>
      <c r="D257" s="20" t="str">
        <f>'School Level Inst. Resources'!D257</f>
        <v>West Elementary</v>
      </c>
      <c r="E257" s="138" t="str">
        <f>'School Level Inst. Resources'!E257</f>
        <v>3-5</v>
      </c>
      <c r="F257" s="317">
        <f>IF(AND($A$2=4,VLOOKUP($A257,'District Level ADM'!$A$5:$W$52,5,FALSE)="Prior Year"),AH257,IF(AND($A$2=4,VLOOKUP($A257,'District Level ADM'!$A$5:$W$52,5,FALSE)="3-Year Avg."),T257,IF($A$2=2,AH257,IF($A$2=3,T257,IF(($AG257&gt;$AU257),T257,AH257)))))</f>
        <v>0</v>
      </c>
      <c r="G257" s="317">
        <f>IF(AND($A$2=4,VLOOKUP($A257,'District Level ADM'!$A$5:$W$52,5,FALSE)="Prior Year"),AI257,IF(AND($A$2=4,VLOOKUP($A257,'District Level ADM'!$A$5:$W$52,5,FALSE)="3-Year Avg."),U257,IF($A$2=2,AI257,IF($A$2=3,U257,IF(($AG257&gt;$AU257),U257,AI257)))))</f>
        <v>0</v>
      </c>
      <c r="H257" s="317">
        <f>IF(AND($A$2=4,VLOOKUP($A257,'District Level ADM'!$A$5:$W$52,5,FALSE)="Prior Year"),AJ257,IF(AND($A$2=4,VLOOKUP($A257,'District Level ADM'!$A$5:$W$52,5,FALSE)="3-Year Avg."),V257,IF($A$2=2,AJ257,IF($A$2=3,V257,IF(($AG257&gt;$AU257),V257,AJ257)))))</f>
        <v>0</v>
      </c>
      <c r="I257" s="317">
        <f>IF(AND($A$2=4,VLOOKUP($A257,'District Level ADM'!$A$5:$W$52,5,FALSE)="Prior Year"),AK257,IF(AND($A$2=4,VLOOKUP($A257,'District Level ADM'!$A$5:$W$52,5,FALSE)="3-Year Avg."),W257,IF($A$2=2,AK257,IF($A$2=3,W257,IF(($AG257&gt;$AU257),W257,AK257)))))</f>
        <v>58.115000000000002</v>
      </c>
      <c r="J257" s="317">
        <f>IF(AND($A$2=4,VLOOKUP($A257,'District Level ADM'!$A$5:$W$52,5,FALSE)="Prior Year"),AL257,IF(AND($A$2=4,VLOOKUP($A257,'District Level ADM'!$A$5:$W$52,5,FALSE)="3-Year Avg."),X257,IF($A$2=2,AL257,IF($A$2=3,X257,IF(($AG257&gt;$AU257),X257,AL257)))))</f>
        <v>52.204999999999998</v>
      </c>
      <c r="K257" s="317">
        <f>IF(AND($A$2=4,VLOOKUP($A257,'District Level ADM'!$A$5:$W$52,5,FALSE)="Prior Year"),AM257,IF(AND($A$2=4,VLOOKUP($A257,'District Level ADM'!$A$5:$W$52,5,FALSE)="3-Year Avg."),Y257,IF($A$2=2,AM257,IF($A$2=3,Y257,IF(($AG257&gt;$AU257),Y257,AM257)))))</f>
        <v>83.724999999999994</v>
      </c>
      <c r="L257" s="317">
        <f>IF(AND($A$2=4,VLOOKUP($A257,'District Level ADM'!$A$5:$W$52,5,FALSE)="Prior Year"),AN257,IF(AND($A$2=4,VLOOKUP($A257,'District Level ADM'!$A$5:$W$52,5,FALSE)="3-Year Avg."),Z257,IF($A$2=2,AN257,IF($A$2=3,Z257,IF(($AG257&gt;$AU257),Z257,AN257)))))</f>
        <v>0</v>
      </c>
      <c r="M257" s="317">
        <f>IF(AND($A$2=4,VLOOKUP($A257,'District Level ADM'!$A$5:$W$52,5,FALSE)="Prior Year"),AO257,IF(AND($A$2=4,VLOOKUP($A257,'District Level ADM'!$A$5:$W$52,5,FALSE)="3-Year Avg."),AA257,IF($A$2=2,AO257,IF($A$2=3,AA257,IF(($AG257&gt;$AU257),AA257,AO257)))))</f>
        <v>0</v>
      </c>
      <c r="N257" s="317">
        <f>IF(AND($A$2=4,VLOOKUP($A257,'District Level ADM'!$A$5:$W$52,5,FALSE)="Prior Year"),AP257,IF(AND($A$2=4,VLOOKUP($A257,'District Level ADM'!$A$5:$W$52,5,FALSE)="3-Year Avg."),AB257,IF($A$2=2,AP257,IF($A$2=3,AB257,IF(($AG257&gt;$AU257),AB257,AP257)))))</f>
        <v>0</v>
      </c>
      <c r="O257" s="317">
        <f>IF(AND($A$2=4,VLOOKUP($A257,'District Level ADM'!$A$5:$W$52,5,FALSE)="Prior Year"),AQ257,IF(AND($A$2=4,VLOOKUP($A257,'District Level ADM'!$A$5:$W$52,5,FALSE)="3-Year Avg."),AC257,IF($A$2=2,AQ257,IF($A$2=3,AC257,IF(($AG257&gt;$AU257),AC257,AQ257)))))</f>
        <v>0</v>
      </c>
      <c r="P257" s="317">
        <f>IF(AND($A$2=4,VLOOKUP($A257,'District Level ADM'!$A$5:$W$52,5,FALSE)="Prior Year"),AR257,IF(AND($A$2=4,VLOOKUP($A257,'District Level ADM'!$A$5:$W$52,5,FALSE)="3-Year Avg."),AD257,IF($A$2=2,AR257,IF($A$2=3,AD257,IF(($AG257&gt;$AU257),AD257,AR257)))))</f>
        <v>0</v>
      </c>
      <c r="Q257" s="317">
        <f>IF(AND($A$2=4,VLOOKUP($A257,'District Level ADM'!$A$5:$W$52,5,FALSE)="Prior Year"),AS257,IF(AND($A$2=4,VLOOKUP($A257,'District Level ADM'!$A$5:$W$52,5,FALSE)="3-Year Avg."),AE257,IF($A$2=2,AS257,IF($A$2=3,AE257,IF(($AG257&gt;$AU257),AE257,AS257)))))</f>
        <v>0</v>
      </c>
      <c r="R257" s="317">
        <f>IF(AND($A$2=4,VLOOKUP($A257,'District Level ADM'!$A$5:$W$52,5,FALSE)="Prior Year"),AT257,IF(AND($A$2=4,VLOOKUP($A257,'District Level ADM'!$A$5:$W$52,5,FALSE)="3-Year Avg."),AF257,IF($A$2=2,AT257,IF($A$2=3,AF257,IF(($AG257&gt;$AU257),AF257,AT257)))))</f>
        <v>0</v>
      </c>
      <c r="S257" s="317">
        <f t="shared" si="35"/>
        <v>194.04499999999999</v>
      </c>
      <c r="T257" s="317">
        <f t="shared" si="42"/>
        <v>0</v>
      </c>
      <c r="U257" s="317">
        <f t="shared" si="42"/>
        <v>0</v>
      </c>
      <c r="V257" s="317">
        <f t="shared" si="42"/>
        <v>0</v>
      </c>
      <c r="W257" s="317">
        <f t="shared" si="42"/>
        <v>63.541333333333341</v>
      </c>
      <c r="X257" s="317">
        <f t="shared" si="42"/>
        <v>69.911333333333332</v>
      </c>
      <c r="Y257" s="317">
        <f t="shared" si="42"/>
        <v>77.533333333333331</v>
      </c>
      <c r="Z257" s="317">
        <f t="shared" si="42"/>
        <v>0</v>
      </c>
      <c r="AA257" s="317">
        <f t="shared" si="41"/>
        <v>0</v>
      </c>
      <c r="AB257" s="317">
        <f t="shared" si="41"/>
        <v>0</v>
      </c>
      <c r="AC257" s="317">
        <f t="shared" si="41"/>
        <v>0</v>
      </c>
      <c r="AD257" s="317">
        <f t="shared" si="41"/>
        <v>0</v>
      </c>
      <c r="AE257" s="317">
        <f t="shared" si="41"/>
        <v>0</v>
      </c>
      <c r="AF257" s="317">
        <f t="shared" si="41"/>
        <v>0</v>
      </c>
      <c r="AG257" s="317">
        <f t="shared" si="36"/>
        <v>210.98600000000002</v>
      </c>
      <c r="AH257" s="318">
        <v>0</v>
      </c>
      <c r="AI257" s="318">
        <v>0</v>
      </c>
      <c r="AJ257" s="318">
        <v>0</v>
      </c>
      <c r="AK257" s="318">
        <v>58.115000000000002</v>
      </c>
      <c r="AL257" s="318">
        <v>52.204999999999998</v>
      </c>
      <c r="AM257" s="318">
        <v>83.724999999999994</v>
      </c>
      <c r="AN257" s="318">
        <v>0</v>
      </c>
      <c r="AO257" s="318">
        <v>0</v>
      </c>
      <c r="AP257" s="318">
        <v>0</v>
      </c>
      <c r="AQ257" s="318">
        <v>0</v>
      </c>
      <c r="AR257" s="318">
        <v>0</v>
      </c>
      <c r="AS257" s="318">
        <v>0</v>
      </c>
      <c r="AT257" s="318">
        <v>0</v>
      </c>
      <c r="AU257" s="317">
        <f t="shared" si="37"/>
        <v>194.04499999999999</v>
      </c>
      <c r="AV257" s="319">
        <v>0</v>
      </c>
      <c r="AW257" s="319">
        <v>0</v>
      </c>
      <c r="AX257" s="319">
        <v>0</v>
      </c>
      <c r="AY257" s="319">
        <v>51.709000000000003</v>
      </c>
      <c r="AZ257" s="319">
        <v>83.94</v>
      </c>
      <c r="BA257" s="319">
        <v>73.445999999999998</v>
      </c>
      <c r="BB257" s="319">
        <v>0</v>
      </c>
      <c r="BC257" s="319">
        <v>0</v>
      </c>
      <c r="BD257" s="319">
        <v>0</v>
      </c>
      <c r="BE257" s="319">
        <v>0</v>
      </c>
      <c r="BF257" s="319">
        <v>0</v>
      </c>
      <c r="BG257" s="319">
        <v>0</v>
      </c>
      <c r="BH257" s="319">
        <v>0</v>
      </c>
      <c r="BI257" s="317">
        <f t="shared" si="39"/>
        <v>209.095</v>
      </c>
      <c r="BJ257" s="316">
        <v>0</v>
      </c>
      <c r="BK257" s="316">
        <v>0</v>
      </c>
      <c r="BL257" s="316">
        <v>0</v>
      </c>
      <c r="BM257" s="316">
        <v>80.8</v>
      </c>
      <c r="BN257" s="316">
        <v>73.588999999999999</v>
      </c>
      <c r="BO257" s="316">
        <v>75.429000000000002</v>
      </c>
      <c r="BP257" s="316">
        <v>0</v>
      </c>
      <c r="BQ257" s="316">
        <v>0</v>
      </c>
      <c r="BR257" s="316">
        <v>0</v>
      </c>
      <c r="BS257" s="316">
        <v>0</v>
      </c>
      <c r="BT257" s="316">
        <v>0</v>
      </c>
      <c r="BU257" s="316">
        <v>0</v>
      </c>
      <c r="BV257" s="316">
        <v>0</v>
      </c>
      <c r="BW257" s="317">
        <f t="shared" si="38"/>
        <v>229.81800000000001</v>
      </c>
    </row>
    <row r="258" spans="1:75" x14ac:dyDescent="0.2">
      <c r="A258" s="20" t="str">
        <f>'School Level Inst. Resources'!A258</f>
        <v>1601000</v>
      </c>
      <c r="B258" s="20" t="str">
        <f>'School Level Inst. Resources'!B258</f>
        <v>Platte #1</v>
      </c>
      <c r="C258" s="20" t="str">
        <f>'School Level Inst. Resources'!C258</f>
        <v>1601050</v>
      </c>
      <c r="D258" s="20" t="str">
        <f>'School Level Inst. Resources'!D258</f>
        <v>Wheatland Middle School</v>
      </c>
      <c r="E258" s="138" t="str">
        <f>'School Level Inst. Resources'!E258</f>
        <v>6-8</v>
      </c>
      <c r="F258" s="317">
        <f>IF(AND($A$2=4,VLOOKUP($A258,'District Level ADM'!$A$5:$W$52,5,FALSE)="Prior Year"),AH258,IF(AND($A$2=4,VLOOKUP($A258,'District Level ADM'!$A$5:$W$52,5,FALSE)="3-Year Avg."),T258,IF($A$2=2,AH258,IF($A$2=3,T258,IF(($AG258&gt;$AU258),T258,AH258)))))</f>
        <v>0</v>
      </c>
      <c r="G258" s="317">
        <f>IF(AND($A$2=4,VLOOKUP($A258,'District Level ADM'!$A$5:$W$52,5,FALSE)="Prior Year"),AI258,IF(AND($A$2=4,VLOOKUP($A258,'District Level ADM'!$A$5:$W$52,5,FALSE)="3-Year Avg."),U258,IF($A$2=2,AI258,IF($A$2=3,U258,IF(($AG258&gt;$AU258),U258,AI258)))))</f>
        <v>0</v>
      </c>
      <c r="H258" s="317">
        <f>IF(AND($A$2=4,VLOOKUP($A258,'District Level ADM'!$A$5:$W$52,5,FALSE)="Prior Year"),AJ258,IF(AND($A$2=4,VLOOKUP($A258,'District Level ADM'!$A$5:$W$52,5,FALSE)="3-Year Avg."),V258,IF($A$2=2,AJ258,IF($A$2=3,V258,IF(($AG258&gt;$AU258),V258,AJ258)))))</f>
        <v>0</v>
      </c>
      <c r="I258" s="317">
        <f>IF(AND($A$2=4,VLOOKUP($A258,'District Level ADM'!$A$5:$W$52,5,FALSE)="Prior Year"),AK258,IF(AND($A$2=4,VLOOKUP($A258,'District Level ADM'!$A$5:$W$52,5,FALSE)="3-Year Avg."),W258,IF($A$2=2,AK258,IF($A$2=3,W258,IF(($AG258&gt;$AU258),W258,AK258)))))</f>
        <v>0</v>
      </c>
      <c r="J258" s="317">
        <f>IF(AND($A$2=4,VLOOKUP($A258,'District Level ADM'!$A$5:$W$52,5,FALSE)="Prior Year"),AL258,IF(AND($A$2=4,VLOOKUP($A258,'District Level ADM'!$A$5:$W$52,5,FALSE)="3-Year Avg."),X258,IF($A$2=2,AL258,IF($A$2=3,X258,IF(($AG258&gt;$AU258),X258,AL258)))))</f>
        <v>0</v>
      </c>
      <c r="K258" s="317">
        <f>IF(AND($A$2=4,VLOOKUP($A258,'District Level ADM'!$A$5:$W$52,5,FALSE)="Prior Year"),AM258,IF(AND($A$2=4,VLOOKUP($A258,'District Level ADM'!$A$5:$W$52,5,FALSE)="3-Year Avg."),Y258,IF($A$2=2,AM258,IF($A$2=3,Y258,IF(($AG258&gt;$AU258),Y258,AM258)))))</f>
        <v>0</v>
      </c>
      <c r="L258" s="317">
        <f>IF(AND($A$2=4,VLOOKUP($A258,'District Level ADM'!$A$5:$W$52,5,FALSE)="Prior Year"),AN258,IF(AND($A$2=4,VLOOKUP($A258,'District Level ADM'!$A$5:$W$52,5,FALSE)="3-Year Avg."),Z258,IF($A$2=2,AN258,IF($A$2=3,Z258,IF(($AG258&gt;$AU258),Z258,AN258)))))</f>
        <v>71.905000000000001</v>
      </c>
      <c r="M258" s="317">
        <f>IF(AND($A$2=4,VLOOKUP($A258,'District Level ADM'!$A$5:$W$52,5,FALSE)="Prior Year"),AO258,IF(AND($A$2=4,VLOOKUP($A258,'District Level ADM'!$A$5:$W$52,5,FALSE)="3-Year Avg."),AA258,IF($A$2=2,AO258,IF($A$2=3,AA258,IF(($AG258&gt;$AU258),AA258,AO258)))))</f>
        <v>73.875</v>
      </c>
      <c r="N258" s="317">
        <f>IF(AND($A$2=4,VLOOKUP($A258,'District Level ADM'!$A$5:$W$52,5,FALSE)="Prior Year"),AP258,IF(AND($A$2=4,VLOOKUP($A258,'District Level ADM'!$A$5:$W$52,5,FALSE)="3-Year Avg."),AB258,IF($A$2=2,AP258,IF($A$2=3,AB258,IF(($AG258&gt;$AU258),AB258,AP258)))))</f>
        <v>57.13</v>
      </c>
      <c r="O258" s="317">
        <f>IF(AND($A$2=4,VLOOKUP($A258,'District Level ADM'!$A$5:$W$52,5,FALSE)="Prior Year"),AQ258,IF(AND($A$2=4,VLOOKUP($A258,'District Level ADM'!$A$5:$W$52,5,FALSE)="3-Year Avg."),AC258,IF($A$2=2,AQ258,IF($A$2=3,AC258,IF(($AG258&gt;$AU258),AC258,AQ258)))))</f>
        <v>0</v>
      </c>
      <c r="P258" s="317">
        <f>IF(AND($A$2=4,VLOOKUP($A258,'District Level ADM'!$A$5:$W$52,5,FALSE)="Prior Year"),AR258,IF(AND($A$2=4,VLOOKUP($A258,'District Level ADM'!$A$5:$W$52,5,FALSE)="3-Year Avg."),AD258,IF($A$2=2,AR258,IF($A$2=3,AD258,IF(($AG258&gt;$AU258),AD258,AR258)))))</f>
        <v>0</v>
      </c>
      <c r="Q258" s="317">
        <f>IF(AND($A$2=4,VLOOKUP($A258,'District Level ADM'!$A$5:$W$52,5,FALSE)="Prior Year"),AS258,IF(AND($A$2=4,VLOOKUP($A258,'District Level ADM'!$A$5:$W$52,5,FALSE)="3-Year Avg."),AE258,IF($A$2=2,AS258,IF($A$2=3,AE258,IF(($AG258&gt;$AU258),AE258,AS258)))))</f>
        <v>0</v>
      </c>
      <c r="R258" s="317">
        <f>IF(AND($A$2=4,VLOOKUP($A258,'District Level ADM'!$A$5:$W$52,5,FALSE)="Prior Year"),AT258,IF(AND($A$2=4,VLOOKUP($A258,'District Level ADM'!$A$5:$W$52,5,FALSE)="3-Year Avg."),AF258,IF($A$2=2,AT258,IF($A$2=3,AF258,IF(($AG258&gt;$AU258),AF258,AT258)))))</f>
        <v>0</v>
      </c>
      <c r="S258" s="317">
        <f t="shared" si="35"/>
        <v>202.91</v>
      </c>
      <c r="T258" s="317">
        <f t="shared" si="42"/>
        <v>0</v>
      </c>
      <c r="U258" s="317">
        <f t="shared" si="42"/>
        <v>0</v>
      </c>
      <c r="V258" s="317">
        <f t="shared" si="42"/>
        <v>0</v>
      </c>
      <c r="W258" s="317">
        <f t="shared" si="42"/>
        <v>0</v>
      </c>
      <c r="X258" s="317">
        <f t="shared" si="42"/>
        <v>0</v>
      </c>
      <c r="Y258" s="317">
        <f t="shared" si="42"/>
        <v>0</v>
      </c>
      <c r="Z258" s="317">
        <f t="shared" si="42"/>
        <v>68.181666666666658</v>
      </c>
      <c r="AA258" s="317">
        <f t="shared" si="41"/>
        <v>68.540333333333336</v>
      </c>
      <c r="AB258" s="317">
        <f t="shared" si="41"/>
        <v>67.609666666666669</v>
      </c>
      <c r="AC258" s="317">
        <f t="shared" si="41"/>
        <v>0</v>
      </c>
      <c r="AD258" s="317">
        <f t="shared" si="41"/>
        <v>0</v>
      </c>
      <c r="AE258" s="317">
        <f t="shared" si="41"/>
        <v>0</v>
      </c>
      <c r="AF258" s="317">
        <f t="shared" si="41"/>
        <v>0</v>
      </c>
      <c r="AG258" s="317">
        <f t="shared" si="36"/>
        <v>204.33166666666665</v>
      </c>
      <c r="AH258" s="318">
        <v>0</v>
      </c>
      <c r="AI258" s="318">
        <v>0</v>
      </c>
      <c r="AJ258" s="318">
        <v>0</v>
      </c>
      <c r="AK258" s="318">
        <v>0</v>
      </c>
      <c r="AL258" s="318">
        <v>0</v>
      </c>
      <c r="AM258" s="318">
        <v>0</v>
      </c>
      <c r="AN258" s="318">
        <v>71.905000000000001</v>
      </c>
      <c r="AO258" s="318">
        <v>73.875</v>
      </c>
      <c r="AP258" s="318">
        <v>57.13</v>
      </c>
      <c r="AQ258" s="318">
        <v>0</v>
      </c>
      <c r="AR258" s="318">
        <v>0</v>
      </c>
      <c r="AS258" s="318">
        <v>0</v>
      </c>
      <c r="AT258" s="318">
        <v>0</v>
      </c>
      <c r="AU258" s="317">
        <f t="shared" ref="AU258:AU321" si="43">SUM(AH258:AT258)</f>
        <v>202.91</v>
      </c>
      <c r="AV258" s="319">
        <v>0</v>
      </c>
      <c r="AW258" s="319">
        <v>0</v>
      </c>
      <c r="AX258" s="319">
        <v>0</v>
      </c>
      <c r="AY258" s="319">
        <v>0</v>
      </c>
      <c r="AZ258" s="319">
        <v>0</v>
      </c>
      <c r="BA258" s="319">
        <v>0</v>
      </c>
      <c r="BB258" s="319">
        <v>76.462999999999994</v>
      </c>
      <c r="BC258" s="319">
        <v>56.734999999999999</v>
      </c>
      <c r="BD258" s="319">
        <v>75.185000000000002</v>
      </c>
      <c r="BE258" s="319">
        <v>0</v>
      </c>
      <c r="BF258" s="319">
        <v>0</v>
      </c>
      <c r="BG258" s="319">
        <v>0</v>
      </c>
      <c r="BH258" s="319">
        <v>0</v>
      </c>
      <c r="BI258" s="317">
        <f t="shared" si="39"/>
        <v>208.38299999999998</v>
      </c>
      <c r="BJ258" s="316">
        <v>0</v>
      </c>
      <c r="BK258" s="316">
        <v>0</v>
      </c>
      <c r="BL258" s="316">
        <v>0</v>
      </c>
      <c r="BM258" s="316">
        <v>0</v>
      </c>
      <c r="BN258" s="316">
        <v>0</v>
      </c>
      <c r="BO258" s="316">
        <v>0</v>
      </c>
      <c r="BP258" s="316">
        <v>56.177</v>
      </c>
      <c r="BQ258" s="316">
        <v>75.010999999999996</v>
      </c>
      <c r="BR258" s="316">
        <v>70.513999999999996</v>
      </c>
      <c r="BS258" s="316">
        <v>0</v>
      </c>
      <c r="BT258" s="316">
        <v>0</v>
      </c>
      <c r="BU258" s="316">
        <v>0</v>
      </c>
      <c r="BV258" s="316">
        <v>0</v>
      </c>
      <c r="BW258" s="317">
        <f t="shared" si="38"/>
        <v>201.702</v>
      </c>
    </row>
    <row r="259" spans="1:75" x14ac:dyDescent="0.2">
      <c r="A259" s="20" t="str">
        <f>'School Level Inst. Resources'!A259</f>
        <v>1601000</v>
      </c>
      <c r="B259" s="20" t="str">
        <f>'School Level Inst. Resources'!B259</f>
        <v>Platte #1</v>
      </c>
      <c r="C259" s="20" t="str">
        <f>'School Level Inst. Resources'!C259</f>
        <v>1601051</v>
      </c>
      <c r="D259" s="20" t="str">
        <f>'School Level Inst. Resources'!D259</f>
        <v>Chugwater Junior High School</v>
      </c>
      <c r="E259" s="138" t="str">
        <f>'School Level Inst. Resources'!E259</f>
        <v>7-8</v>
      </c>
      <c r="F259" s="317">
        <f>IF(AND($A$2=4,VLOOKUP($A259,'District Level ADM'!$A$5:$W$52,5,FALSE)="Prior Year"),AH259,IF(AND($A$2=4,VLOOKUP($A259,'District Level ADM'!$A$5:$W$52,5,FALSE)="3-Year Avg."),T259,IF($A$2=2,AH259,IF($A$2=3,T259,IF(($AG259&gt;$AU259),T259,AH259)))))</f>
        <v>0</v>
      </c>
      <c r="G259" s="317">
        <f>IF(AND($A$2=4,VLOOKUP($A259,'District Level ADM'!$A$5:$W$52,5,FALSE)="Prior Year"),AI259,IF(AND($A$2=4,VLOOKUP($A259,'District Level ADM'!$A$5:$W$52,5,FALSE)="3-Year Avg."),U259,IF($A$2=2,AI259,IF($A$2=3,U259,IF(($AG259&gt;$AU259),U259,AI259)))))</f>
        <v>0</v>
      </c>
      <c r="H259" s="317">
        <f>IF(AND($A$2=4,VLOOKUP($A259,'District Level ADM'!$A$5:$W$52,5,FALSE)="Prior Year"),AJ259,IF(AND($A$2=4,VLOOKUP($A259,'District Level ADM'!$A$5:$W$52,5,FALSE)="3-Year Avg."),V259,IF($A$2=2,AJ259,IF($A$2=3,V259,IF(($AG259&gt;$AU259),V259,AJ259)))))</f>
        <v>0</v>
      </c>
      <c r="I259" s="317">
        <f>IF(AND($A$2=4,VLOOKUP($A259,'District Level ADM'!$A$5:$W$52,5,FALSE)="Prior Year"),AK259,IF(AND($A$2=4,VLOOKUP($A259,'District Level ADM'!$A$5:$W$52,5,FALSE)="3-Year Avg."),W259,IF($A$2=2,AK259,IF($A$2=3,W259,IF(($AG259&gt;$AU259),W259,AK259)))))</f>
        <v>0</v>
      </c>
      <c r="J259" s="317">
        <f>IF(AND($A$2=4,VLOOKUP($A259,'District Level ADM'!$A$5:$W$52,5,FALSE)="Prior Year"),AL259,IF(AND($A$2=4,VLOOKUP($A259,'District Level ADM'!$A$5:$W$52,5,FALSE)="3-Year Avg."),X259,IF($A$2=2,AL259,IF($A$2=3,X259,IF(($AG259&gt;$AU259),X259,AL259)))))</f>
        <v>0</v>
      </c>
      <c r="K259" s="317">
        <f>IF(AND($A$2=4,VLOOKUP($A259,'District Level ADM'!$A$5:$W$52,5,FALSE)="Prior Year"),AM259,IF(AND($A$2=4,VLOOKUP($A259,'District Level ADM'!$A$5:$W$52,5,FALSE)="3-Year Avg."),Y259,IF($A$2=2,AM259,IF($A$2=3,Y259,IF(($AG259&gt;$AU259),Y259,AM259)))))</f>
        <v>0</v>
      </c>
      <c r="L259" s="317">
        <f>IF(AND($A$2=4,VLOOKUP($A259,'District Level ADM'!$A$5:$W$52,5,FALSE)="Prior Year"),AN259,IF(AND($A$2=4,VLOOKUP($A259,'District Level ADM'!$A$5:$W$52,5,FALSE)="3-Year Avg."),Z259,IF($A$2=2,AN259,IF($A$2=3,Z259,IF(($AG259&gt;$AU259),Z259,AN259)))))</f>
        <v>0</v>
      </c>
      <c r="M259" s="317">
        <f>IF(AND($A$2=4,VLOOKUP($A259,'District Level ADM'!$A$5:$W$52,5,FALSE)="Prior Year"),AO259,IF(AND($A$2=4,VLOOKUP($A259,'District Level ADM'!$A$5:$W$52,5,FALSE)="3-Year Avg."),AA259,IF($A$2=2,AO259,IF($A$2=3,AA259,IF(($AG259&gt;$AU259),AA259,AO259)))))</f>
        <v>0.98499999999999999</v>
      </c>
      <c r="N259" s="317">
        <f>IF(AND($A$2=4,VLOOKUP($A259,'District Level ADM'!$A$5:$W$52,5,FALSE)="Prior Year"),AP259,IF(AND($A$2=4,VLOOKUP($A259,'District Level ADM'!$A$5:$W$52,5,FALSE)="3-Year Avg."),AB259,IF($A$2=2,AP259,IF($A$2=3,AB259,IF(($AG259&gt;$AU259),AB259,AP259)))))</f>
        <v>1.97</v>
      </c>
      <c r="O259" s="317">
        <f>IF(AND($A$2=4,VLOOKUP($A259,'District Level ADM'!$A$5:$W$52,5,FALSE)="Prior Year"),AQ259,IF(AND($A$2=4,VLOOKUP($A259,'District Level ADM'!$A$5:$W$52,5,FALSE)="3-Year Avg."),AC259,IF($A$2=2,AQ259,IF($A$2=3,AC259,IF(($AG259&gt;$AU259),AC259,AQ259)))))</f>
        <v>0</v>
      </c>
      <c r="P259" s="317">
        <f>IF(AND($A$2=4,VLOOKUP($A259,'District Level ADM'!$A$5:$W$52,5,FALSE)="Prior Year"),AR259,IF(AND($A$2=4,VLOOKUP($A259,'District Level ADM'!$A$5:$W$52,5,FALSE)="3-Year Avg."),AD259,IF($A$2=2,AR259,IF($A$2=3,AD259,IF(($AG259&gt;$AU259),AD259,AR259)))))</f>
        <v>0</v>
      </c>
      <c r="Q259" s="317">
        <f>IF(AND($A$2=4,VLOOKUP($A259,'District Level ADM'!$A$5:$W$52,5,FALSE)="Prior Year"),AS259,IF(AND($A$2=4,VLOOKUP($A259,'District Level ADM'!$A$5:$W$52,5,FALSE)="3-Year Avg."),AE259,IF($A$2=2,AS259,IF($A$2=3,AE259,IF(($AG259&gt;$AU259),AE259,AS259)))))</f>
        <v>0</v>
      </c>
      <c r="R259" s="317">
        <f>IF(AND($A$2=4,VLOOKUP($A259,'District Level ADM'!$A$5:$W$52,5,FALSE)="Prior Year"),AT259,IF(AND($A$2=4,VLOOKUP($A259,'District Level ADM'!$A$5:$W$52,5,FALSE)="3-Year Avg."),AF259,IF($A$2=2,AT259,IF($A$2=3,AF259,IF(($AG259&gt;$AU259),AF259,AT259)))))</f>
        <v>0</v>
      </c>
      <c r="S259" s="317">
        <f t="shared" si="35"/>
        <v>2.9550000000000001</v>
      </c>
      <c r="T259" s="317">
        <f t="shared" si="42"/>
        <v>0</v>
      </c>
      <c r="U259" s="317">
        <f t="shared" si="42"/>
        <v>0</v>
      </c>
      <c r="V259" s="317">
        <f t="shared" si="42"/>
        <v>0</v>
      </c>
      <c r="W259" s="317">
        <f t="shared" si="42"/>
        <v>0</v>
      </c>
      <c r="X259" s="317">
        <f t="shared" si="42"/>
        <v>0</v>
      </c>
      <c r="Y259" s="317">
        <f t="shared" si="42"/>
        <v>0</v>
      </c>
      <c r="Z259" s="317">
        <f t="shared" si="42"/>
        <v>0</v>
      </c>
      <c r="AA259" s="317">
        <f t="shared" si="41"/>
        <v>1.6616666666666664</v>
      </c>
      <c r="AB259" s="317">
        <f t="shared" si="41"/>
        <v>3.2623333333333329</v>
      </c>
      <c r="AC259" s="317">
        <f t="shared" si="41"/>
        <v>0</v>
      </c>
      <c r="AD259" s="317">
        <f t="shared" si="41"/>
        <v>0</v>
      </c>
      <c r="AE259" s="317">
        <f t="shared" si="41"/>
        <v>0</v>
      </c>
      <c r="AF259" s="317">
        <f t="shared" si="41"/>
        <v>0</v>
      </c>
      <c r="AG259" s="317">
        <f t="shared" si="36"/>
        <v>4.9239999999999995</v>
      </c>
      <c r="AH259" s="318">
        <v>0</v>
      </c>
      <c r="AI259" s="318">
        <v>0</v>
      </c>
      <c r="AJ259" s="318">
        <v>0</v>
      </c>
      <c r="AK259" s="318">
        <v>0</v>
      </c>
      <c r="AL259" s="318">
        <v>0</v>
      </c>
      <c r="AM259" s="318">
        <v>0</v>
      </c>
      <c r="AN259" s="318">
        <v>0</v>
      </c>
      <c r="AO259" s="318">
        <v>0.98499999999999999</v>
      </c>
      <c r="AP259" s="318">
        <v>1.97</v>
      </c>
      <c r="AQ259" s="318">
        <v>0</v>
      </c>
      <c r="AR259" s="318">
        <v>0</v>
      </c>
      <c r="AS259" s="318">
        <v>0</v>
      </c>
      <c r="AT259" s="318">
        <v>0</v>
      </c>
      <c r="AU259" s="317">
        <f t="shared" si="43"/>
        <v>2.9550000000000001</v>
      </c>
      <c r="AV259" s="319">
        <v>0</v>
      </c>
      <c r="AW259" s="319">
        <v>0</v>
      </c>
      <c r="AX259" s="319">
        <v>0</v>
      </c>
      <c r="AY259" s="319">
        <v>0</v>
      </c>
      <c r="AZ259" s="319">
        <v>0</v>
      </c>
      <c r="BA259" s="319">
        <v>0</v>
      </c>
      <c r="BB259" s="319">
        <v>0</v>
      </c>
      <c r="BC259" s="319">
        <v>2</v>
      </c>
      <c r="BD259" s="319">
        <v>2.8170000000000002</v>
      </c>
      <c r="BE259" s="319">
        <v>0</v>
      </c>
      <c r="BF259" s="319">
        <v>0</v>
      </c>
      <c r="BG259" s="319">
        <v>0</v>
      </c>
      <c r="BH259" s="319">
        <v>0</v>
      </c>
      <c r="BI259" s="317">
        <f t="shared" si="39"/>
        <v>4.8170000000000002</v>
      </c>
      <c r="BJ259" s="316">
        <v>0</v>
      </c>
      <c r="BK259" s="316">
        <v>0</v>
      </c>
      <c r="BL259" s="316">
        <v>0</v>
      </c>
      <c r="BM259" s="316">
        <v>0</v>
      </c>
      <c r="BN259" s="316">
        <v>0</v>
      </c>
      <c r="BO259" s="316">
        <v>0</v>
      </c>
      <c r="BP259" s="316">
        <v>0</v>
      </c>
      <c r="BQ259" s="316">
        <v>2</v>
      </c>
      <c r="BR259" s="316">
        <v>5</v>
      </c>
      <c r="BS259" s="316">
        <v>0</v>
      </c>
      <c r="BT259" s="316">
        <v>0</v>
      </c>
      <c r="BU259" s="316">
        <v>0</v>
      </c>
      <c r="BV259" s="316">
        <v>0</v>
      </c>
      <c r="BW259" s="317">
        <f t="shared" si="38"/>
        <v>7</v>
      </c>
    </row>
    <row r="260" spans="1:75" x14ac:dyDescent="0.2">
      <c r="A260" s="20" t="str">
        <f>'School Level Inst. Resources'!A260</f>
        <v>1601000</v>
      </c>
      <c r="B260" s="20" t="str">
        <f>'School Level Inst. Resources'!B260</f>
        <v>Platte #1</v>
      </c>
      <c r="C260" s="20" t="str">
        <f>'School Level Inst. Resources'!C260</f>
        <v>1601052</v>
      </c>
      <c r="D260" s="20" t="str">
        <f>'School Level Inst. Resources'!D260</f>
        <v>Glendo Junior High School</v>
      </c>
      <c r="E260" s="138" t="str">
        <f>'School Level Inst. Resources'!E260</f>
        <v>7-8</v>
      </c>
      <c r="F260" s="317">
        <f>IF(AND($A$2=4,VLOOKUP($A260,'District Level ADM'!$A$5:$W$52,5,FALSE)="Prior Year"),AH260,IF(AND($A$2=4,VLOOKUP($A260,'District Level ADM'!$A$5:$W$52,5,FALSE)="3-Year Avg."),T260,IF($A$2=2,AH260,IF($A$2=3,T260,IF(($AG260&gt;$AU260),T260,AH260)))))</f>
        <v>0</v>
      </c>
      <c r="G260" s="317">
        <f>IF(AND($A$2=4,VLOOKUP($A260,'District Level ADM'!$A$5:$W$52,5,FALSE)="Prior Year"),AI260,IF(AND($A$2=4,VLOOKUP($A260,'District Level ADM'!$A$5:$W$52,5,FALSE)="3-Year Avg."),U260,IF($A$2=2,AI260,IF($A$2=3,U260,IF(($AG260&gt;$AU260),U260,AI260)))))</f>
        <v>0</v>
      </c>
      <c r="H260" s="317">
        <f>IF(AND($A$2=4,VLOOKUP($A260,'District Level ADM'!$A$5:$W$52,5,FALSE)="Prior Year"),AJ260,IF(AND($A$2=4,VLOOKUP($A260,'District Level ADM'!$A$5:$W$52,5,FALSE)="3-Year Avg."),V260,IF($A$2=2,AJ260,IF($A$2=3,V260,IF(($AG260&gt;$AU260),V260,AJ260)))))</f>
        <v>0</v>
      </c>
      <c r="I260" s="317">
        <f>IF(AND($A$2=4,VLOOKUP($A260,'District Level ADM'!$A$5:$W$52,5,FALSE)="Prior Year"),AK260,IF(AND($A$2=4,VLOOKUP($A260,'District Level ADM'!$A$5:$W$52,5,FALSE)="3-Year Avg."),W260,IF($A$2=2,AK260,IF($A$2=3,W260,IF(($AG260&gt;$AU260),W260,AK260)))))</f>
        <v>0</v>
      </c>
      <c r="J260" s="317">
        <f>IF(AND($A$2=4,VLOOKUP($A260,'District Level ADM'!$A$5:$W$52,5,FALSE)="Prior Year"),AL260,IF(AND($A$2=4,VLOOKUP($A260,'District Level ADM'!$A$5:$W$52,5,FALSE)="3-Year Avg."),X260,IF($A$2=2,AL260,IF($A$2=3,X260,IF(($AG260&gt;$AU260),X260,AL260)))))</f>
        <v>0</v>
      </c>
      <c r="K260" s="317">
        <f>IF(AND($A$2=4,VLOOKUP($A260,'District Level ADM'!$A$5:$W$52,5,FALSE)="Prior Year"),AM260,IF(AND($A$2=4,VLOOKUP($A260,'District Level ADM'!$A$5:$W$52,5,FALSE)="3-Year Avg."),Y260,IF($A$2=2,AM260,IF($A$2=3,Y260,IF(($AG260&gt;$AU260),Y260,AM260)))))</f>
        <v>0</v>
      </c>
      <c r="L260" s="317">
        <f>IF(AND($A$2=4,VLOOKUP($A260,'District Level ADM'!$A$5:$W$52,5,FALSE)="Prior Year"),AN260,IF(AND($A$2=4,VLOOKUP($A260,'District Level ADM'!$A$5:$W$52,5,FALSE)="3-Year Avg."),Z260,IF($A$2=2,AN260,IF($A$2=3,Z260,IF(($AG260&gt;$AU260),Z260,AN260)))))</f>
        <v>0</v>
      </c>
      <c r="M260" s="317">
        <f>IF(AND($A$2=4,VLOOKUP($A260,'District Level ADM'!$A$5:$W$52,5,FALSE)="Prior Year"),AO260,IF(AND($A$2=4,VLOOKUP($A260,'District Level ADM'!$A$5:$W$52,5,FALSE)="3-Year Avg."),AA260,IF($A$2=2,AO260,IF($A$2=3,AA260,IF(($AG260&gt;$AU260),AA260,AO260)))))</f>
        <v>7.88</v>
      </c>
      <c r="N260" s="317">
        <f>IF(AND($A$2=4,VLOOKUP($A260,'District Level ADM'!$A$5:$W$52,5,FALSE)="Prior Year"),AP260,IF(AND($A$2=4,VLOOKUP($A260,'District Level ADM'!$A$5:$W$52,5,FALSE)="3-Year Avg."),AB260,IF($A$2=2,AP260,IF($A$2=3,AB260,IF(($AG260&gt;$AU260),AB260,AP260)))))</f>
        <v>5.91</v>
      </c>
      <c r="O260" s="317">
        <f>IF(AND($A$2=4,VLOOKUP($A260,'District Level ADM'!$A$5:$W$52,5,FALSE)="Prior Year"),AQ260,IF(AND($A$2=4,VLOOKUP($A260,'District Level ADM'!$A$5:$W$52,5,FALSE)="3-Year Avg."),AC260,IF($A$2=2,AQ260,IF($A$2=3,AC260,IF(($AG260&gt;$AU260),AC260,AQ260)))))</f>
        <v>0</v>
      </c>
      <c r="P260" s="317">
        <f>IF(AND($A$2=4,VLOOKUP($A260,'District Level ADM'!$A$5:$W$52,5,FALSE)="Prior Year"),AR260,IF(AND($A$2=4,VLOOKUP($A260,'District Level ADM'!$A$5:$W$52,5,FALSE)="3-Year Avg."),AD260,IF($A$2=2,AR260,IF($A$2=3,AD260,IF(($AG260&gt;$AU260),AD260,AR260)))))</f>
        <v>0</v>
      </c>
      <c r="Q260" s="317">
        <f>IF(AND($A$2=4,VLOOKUP($A260,'District Level ADM'!$A$5:$W$52,5,FALSE)="Prior Year"),AS260,IF(AND($A$2=4,VLOOKUP($A260,'District Level ADM'!$A$5:$W$52,5,FALSE)="3-Year Avg."),AE260,IF($A$2=2,AS260,IF($A$2=3,AE260,IF(($AG260&gt;$AU260),AE260,AS260)))))</f>
        <v>0</v>
      </c>
      <c r="R260" s="317">
        <f>IF(AND($A$2=4,VLOOKUP($A260,'District Level ADM'!$A$5:$W$52,5,FALSE)="Prior Year"),AT260,IF(AND($A$2=4,VLOOKUP($A260,'District Level ADM'!$A$5:$W$52,5,FALSE)="3-Year Avg."),AF260,IF($A$2=2,AT260,IF($A$2=3,AF260,IF(($AG260&gt;$AU260),AF260,AT260)))))</f>
        <v>0</v>
      </c>
      <c r="S260" s="317">
        <f t="shared" si="35"/>
        <v>13.79</v>
      </c>
      <c r="T260" s="317">
        <f t="shared" si="42"/>
        <v>0</v>
      </c>
      <c r="U260" s="317">
        <f t="shared" si="42"/>
        <v>0</v>
      </c>
      <c r="V260" s="317">
        <f t="shared" si="42"/>
        <v>0</v>
      </c>
      <c r="W260" s="317">
        <f t="shared" si="42"/>
        <v>0</v>
      </c>
      <c r="X260" s="317">
        <f t="shared" si="42"/>
        <v>0</v>
      </c>
      <c r="Y260" s="317">
        <f t="shared" si="42"/>
        <v>0</v>
      </c>
      <c r="Z260" s="317">
        <f t="shared" si="42"/>
        <v>0</v>
      </c>
      <c r="AA260" s="317">
        <f t="shared" si="41"/>
        <v>5.6113333333333335</v>
      </c>
      <c r="AB260" s="317">
        <f t="shared" si="41"/>
        <v>5.6423333333333332</v>
      </c>
      <c r="AC260" s="317">
        <f t="shared" si="41"/>
        <v>0</v>
      </c>
      <c r="AD260" s="317">
        <f t="shared" si="41"/>
        <v>0</v>
      </c>
      <c r="AE260" s="317">
        <f t="shared" si="41"/>
        <v>0</v>
      </c>
      <c r="AF260" s="317">
        <f t="shared" si="41"/>
        <v>0</v>
      </c>
      <c r="AG260" s="317">
        <f t="shared" si="36"/>
        <v>11.253666666666668</v>
      </c>
      <c r="AH260" s="318">
        <v>0</v>
      </c>
      <c r="AI260" s="318">
        <v>0</v>
      </c>
      <c r="AJ260" s="318">
        <v>0</v>
      </c>
      <c r="AK260" s="318">
        <v>0</v>
      </c>
      <c r="AL260" s="318">
        <v>0</v>
      </c>
      <c r="AM260" s="318">
        <v>0</v>
      </c>
      <c r="AN260" s="318">
        <v>0</v>
      </c>
      <c r="AO260" s="318">
        <v>7.88</v>
      </c>
      <c r="AP260" s="318">
        <v>5.91</v>
      </c>
      <c r="AQ260" s="318">
        <v>0</v>
      </c>
      <c r="AR260" s="318">
        <v>0</v>
      </c>
      <c r="AS260" s="318">
        <v>0</v>
      </c>
      <c r="AT260" s="318">
        <v>0</v>
      </c>
      <c r="AU260" s="317">
        <f t="shared" si="43"/>
        <v>13.79</v>
      </c>
      <c r="AV260" s="319">
        <v>0</v>
      </c>
      <c r="AW260" s="319">
        <v>0</v>
      </c>
      <c r="AX260" s="319">
        <v>0</v>
      </c>
      <c r="AY260" s="319">
        <v>0</v>
      </c>
      <c r="AZ260" s="319">
        <v>0</v>
      </c>
      <c r="BA260" s="319">
        <v>0</v>
      </c>
      <c r="BB260" s="319">
        <v>0</v>
      </c>
      <c r="BC260" s="319">
        <v>4.5199999999999996</v>
      </c>
      <c r="BD260" s="319">
        <v>4.5540000000000003</v>
      </c>
      <c r="BE260" s="319">
        <v>0</v>
      </c>
      <c r="BF260" s="319">
        <v>0</v>
      </c>
      <c r="BG260" s="319">
        <v>0</v>
      </c>
      <c r="BH260" s="319">
        <v>0</v>
      </c>
      <c r="BI260" s="317">
        <f t="shared" si="39"/>
        <v>9.0739999999999998</v>
      </c>
      <c r="BJ260" s="316">
        <v>0</v>
      </c>
      <c r="BK260" s="316">
        <v>0</v>
      </c>
      <c r="BL260" s="316">
        <v>0</v>
      </c>
      <c r="BM260" s="316">
        <v>0</v>
      </c>
      <c r="BN260" s="316">
        <v>0</v>
      </c>
      <c r="BO260" s="316">
        <v>0</v>
      </c>
      <c r="BP260" s="316">
        <v>0</v>
      </c>
      <c r="BQ260" s="316">
        <v>4.4340000000000002</v>
      </c>
      <c r="BR260" s="316">
        <v>6.4630000000000001</v>
      </c>
      <c r="BS260" s="316">
        <v>0</v>
      </c>
      <c r="BT260" s="316">
        <v>0</v>
      </c>
      <c r="BU260" s="316">
        <v>0</v>
      </c>
      <c r="BV260" s="316">
        <v>0</v>
      </c>
      <c r="BW260" s="317">
        <f t="shared" si="38"/>
        <v>10.897</v>
      </c>
    </row>
    <row r="261" spans="1:75" x14ac:dyDescent="0.2">
      <c r="A261" s="20" t="str">
        <f>'School Level Inst. Resources'!A261</f>
        <v>1601000</v>
      </c>
      <c r="B261" s="20" t="str">
        <f>'School Level Inst. Resources'!B261</f>
        <v>Platte #1</v>
      </c>
      <c r="C261" s="20" t="str">
        <f>'School Level Inst. Resources'!C261</f>
        <v>1601055</v>
      </c>
      <c r="D261" s="20" t="str">
        <f>'School Level Inst. Resources'!D261</f>
        <v>Chugwater High School</v>
      </c>
      <c r="E261" s="138" t="str">
        <f>'School Level Inst. Resources'!E261</f>
        <v>9-12</v>
      </c>
      <c r="F261" s="317">
        <f>IF(AND($A$2=4,VLOOKUP($A261,'District Level ADM'!$A$5:$W$52,5,FALSE)="Prior Year"),AH261,IF(AND($A$2=4,VLOOKUP($A261,'District Level ADM'!$A$5:$W$52,5,FALSE)="3-Year Avg."),T261,IF($A$2=2,AH261,IF($A$2=3,T261,IF(($AG261&gt;$AU261),T261,AH261)))))</f>
        <v>0</v>
      </c>
      <c r="G261" s="317">
        <f>IF(AND($A$2=4,VLOOKUP($A261,'District Level ADM'!$A$5:$W$52,5,FALSE)="Prior Year"),AI261,IF(AND($A$2=4,VLOOKUP($A261,'District Level ADM'!$A$5:$W$52,5,FALSE)="3-Year Avg."),U261,IF($A$2=2,AI261,IF($A$2=3,U261,IF(($AG261&gt;$AU261),U261,AI261)))))</f>
        <v>0</v>
      </c>
      <c r="H261" s="317">
        <f>IF(AND($A$2=4,VLOOKUP($A261,'District Level ADM'!$A$5:$W$52,5,FALSE)="Prior Year"),AJ261,IF(AND($A$2=4,VLOOKUP($A261,'District Level ADM'!$A$5:$W$52,5,FALSE)="3-Year Avg."),V261,IF($A$2=2,AJ261,IF($A$2=3,V261,IF(($AG261&gt;$AU261),V261,AJ261)))))</f>
        <v>0</v>
      </c>
      <c r="I261" s="317">
        <f>IF(AND($A$2=4,VLOOKUP($A261,'District Level ADM'!$A$5:$W$52,5,FALSE)="Prior Year"),AK261,IF(AND($A$2=4,VLOOKUP($A261,'District Level ADM'!$A$5:$W$52,5,FALSE)="3-Year Avg."),W261,IF($A$2=2,AK261,IF($A$2=3,W261,IF(($AG261&gt;$AU261),W261,AK261)))))</f>
        <v>0</v>
      </c>
      <c r="J261" s="317">
        <f>IF(AND($A$2=4,VLOOKUP($A261,'District Level ADM'!$A$5:$W$52,5,FALSE)="Prior Year"),AL261,IF(AND($A$2=4,VLOOKUP($A261,'District Level ADM'!$A$5:$W$52,5,FALSE)="3-Year Avg."),X261,IF($A$2=2,AL261,IF($A$2=3,X261,IF(($AG261&gt;$AU261),X261,AL261)))))</f>
        <v>0</v>
      </c>
      <c r="K261" s="317">
        <f>IF(AND($A$2=4,VLOOKUP($A261,'District Level ADM'!$A$5:$W$52,5,FALSE)="Prior Year"),AM261,IF(AND($A$2=4,VLOOKUP($A261,'District Level ADM'!$A$5:$W$52,5,FALSE)="3-Year Avg."),Y261,IF($A$2=2,AM261,IF($A$2=3,Y261,IF(($AG261&gt;$AU261),Y261,AM261)))))</f>
        <v>0</v>
      </c>
      <c r="L261" s="317">
        <f>IF(AND($A$2=4,VLOOKUP($A261,'District Level ADM'!$A$5:$W$52,5,FALSE)="Prior Year"),AN261,IF(AND($A$2=4,VLOOKUP($A261,'District Level ADM'!$A$5:$W$52,5,FALSE)="3-Year Avg."),Z261,IF($A$2=2,AN261,IF($A$2=3,Z261,IF(($AG261&gt;$AU261),Z261,AN261)))))</f>
        <v>0</v>
      </c>
      <c r="M261" s="317">
        <f>IF(AND($A$2=4,VLOOKUP($A261,'District Level ADM'!$A$5:$W$52,5,FALSE)="Prior Year"),AO261,IF(AND($A$2=4,VLOOKUP($A261,'District Level ADM'!$A$5:$W$52,5,FALSE)="3-Year Avg."),AA261,IF($A$2=2,AO261,IF($A$2=3,AA261,IF(($AG261&gt;$AU261),AA261,AO261)))))</f>
        <v>0</v>
      </c>
      <c r="N261" s="317">
        <f>IF(AND($A$2=4,VLOOKUP($A261,'District Level ADM'!$A$5:$W$52,5,FALSE)="Prior Year"),AP261,IF(AND($A$2=4,VLOOKUP($A261,'District Level ADM'!$A$5:$W$52,5,FALSE)="3-Year Avg."),AB261,IF($A$2=2,AP261,IF($A$2=3,AB261,IF(($AG261&gt;$AU261),AB261,AP261)))))</f>
        <v>0</v>
      </c>
      <c r="O261" s="317">
        <f>IF(AND($A$2=4,VLOOKUP($A261,'District Level ADM'!$A$5:$W$52,5,FALSE)="Prior Year"),AQ261,IF(AND($A$2=4,VLOOKUP($A261,'District Level ADM'!$A$5:$W$52,5,FALSE)="3-Year Avg."),AC261,IF($A$2=2,AQ261,IF($A$2=3,AC261,IF(($AG261&gt;$AU261),AC261,AQ261)))))</f>
        <v>2.9550000000000001</v>
      </c>
      <c r="P261" s="317">
        <f>IF(AND($A$2=4,VLOOKUP($A261,'District Level ADM'!$A$5:$W$52,5,FALSE)="Prior Year"),AR261,IF(AND($A$2=4,VLOOKUP($A261,'District Level ADM'!$A$5:$W$52,5,FALSE)="3-Year Avg."),AD261,IF($A$2=2,AR261,IF($A$2=3,AD261,IF(($AG261&gt;$AU261),AD261,AR261)))))</f>
        <v>4.9249999999999998</v>
      </c>
      <c r="Q261" s="317">
        <f>IF(AND($A$2=4,VLOOKUP($A261,'District Level ADM'!$A$5:$W$52,5,FALSE)="Prior Year"),AS261,IF(AND($A$2=4,VLOOKUP($A261,'District Level ADM'!$A$5:$W$52,5,FALSE)="3-Year Avg."),AE261,IF($A$2=2,AS261,IF($A$2=3,AE261,IF(($AG261&gt;$AU261),AE261,AS261)))))</f>
        <v>3.94</v>
      </c>
      <c r="R261" s="317">
        <f>IF(AND($A$2=4,VLOOKUP($A261,'District Level ADM'!$A$5:$W$52,5,FALSE)="Prior Year"),AT261,IF(AND($A$2=4,VLOOKUP($A261,'District Level ADM'!$A$5:$W$52,5,FALSE)="3-Year Avg."),AF261,IF($A$2=2,AT261,IF($A$2=3,AF261,IF(($AG261&gt;$AU261),AF261,AT261)))))</f>
        <v>2.9550000000000001</v>
      </c>
      <c r="S261" s="317">
        <f t="shared" si="35"/>
        <v>14.775</v>
      </c>
      <c r="T261" s="317">
        <f t="shared" si="42"/>
        <v>0</v>
      </c>
      <c r="U261" s="317">
        <f t="shared" si="42"/>
        <v>0</v>
      </c>
      <c r="V261" s="317">
        <f t="shared" si="42"/>
        <v>0</v>
      </c>
      <c r="W261" s="317">
        <f t="shared" si="42"/>
        <v>0</v>
      </c>
      <c r="X261" s="317">
        <f t="shared" si="42"/>
        <v>0</v>
      </c>
      <c r="Y261" s="317">
        <f t="shared" si="42"/>
        <v>0</v>
      </c>
      <c r="Z261" s="317">
        <f t="shared" si="42"/>
        <v>0</v>
      </c>
      <c r="AA261" s="317">
        <f t="shared" si="41"/>
        <v>0</v>
      </c>
      <c r="AB261" s="317">
        <f t="shared" si="41"/>
        <v>0</v>
      </c>
      <c r="AC261" s="317">
        <f t="shared" si="41"/>
        <v>3.5849999999999995</v>
      </c>
      <c r="AD261" s="317">
        <f t="shared" si="41"/>
        <v>4.4929999999999994</v>
      </c>
      <c r="AE261" s="317">
        <f t="shared" si="41"/>
        <v>4.0273333333333339</v>
      </c>
      <c r="AF261" s="317">
        <f t="shared" si="41"/>
        <v>3.9450000000000003</v>
      </c>
      <c r="AG261" s="317">
        <f t="shared" si="36"/>
        <v>16.050333333333334</v>
      </c>
      <c r="AH261" s="318">
        <v>0</v>
      </c>
      <c r="AI261" s="318">
        <v>0</v>
      </c>
      <c r="AJ261" s="318">
        <v>0</v>
      </c>
      <c r="AK261" s="318">
        <v>0</v>
      </c>
      <c r="AL261" s="318">
        <v>0</v>
      </c>
      <c r="AM261" s="318">
        <v>0</v>
      </c>
      <c r="AN261" s="318">
        <v>0</v>
      </c>
      <c r="AO261" s="318">
        <v>0</v>
      </c>
      <c r="AP261" s="318">
        <v>0</v>
      </c>
      <c r="AQ261" s="318">
        <v>2.9550000000000001</v>
      </c>
      <c r="AR261" s="318">
        <v>4.9249999999999998</v>
      </c>
      <c r="AS261" s="318">
        <v>3.94</v>
      </c>
      <c r="AT261" s="318">
        <v>2.9550000000000001</v>
      </c>
      <c r="AU261" s="317">
        <f t="shared" si="43"/>
        <v>14.775</v>
      </c>
      <c r="AV261" s="319">
        <v>0</v>
      </c>
      <c r="AW261" s="319">
        <v>0</v>
      </c>
      <c r="AX261" s="319">
        <v>0</v>
      </c>
      <c r="AY261" s="319">
        <v>0</v>
      </c>
      <c r="AZ261" s="319">
        <v>0</v>
      </c>
      <c r="BA261" s="319">
        <v>0</v>
      </c>
      <c r="BB261" s="319">
        <v>0</v>
      </c>
      <c r="BC261" s="319">
        <v>0</v>
      </c>
      <c r="BD261" s="319">
        <v>0</v>
      </c>
      <c r="BE261" s="319">
        <v>5</v>
      </c>
      <c r="BF261" s="319">
        <v>3.56</v>
      </c>
      <c r="BG261" s="319">
        <v>4.3310000000000004</v>
      </c>
      <c r="BH261" s="319">
        <v>4</v>
      </c>
      <c r="BI261" s="317">
        <f t="shared" si="39"/>
        <v>16.891000000000002</v>
      </c>
      <c r="BJ261" s="316">
        <v>0</v>
      </c>
      <c r="BK261" s="316">
        <v>0</v>
      </c>
      <c r="BL261" s="316">
        <v>0</v>
      </c>
      <c r="BM261" s="316">
        <v>0</v>
      </c>
      <c r="BN261" s="316">
        <v>0</v>
      </c>
      <c r="BO261" s="316">
        <v>0</v>
      </c>
      <c r="BP261" s="316">
        <v>0</v>
      </c>
      <c r="BQ261" s="316">
        <v>0</v>
      </c>
      <c r="BR261" s="316">
        <v>0</v>
      </c>
      <c r="BS261" s="316">
        <v>2.8</v>
      </c>
      <c r="BT261" s="316">
        <v>4.9939999999999998</v>
      </c>
      <c r="BU261" s="316">
        <v>3.8109999999999999</v>
      </c>
      <c r="BV261" s="316">
        <v>4.88</v>
      </c>
      <c r="BW261" s="317">
        <f t="shared" si="38"/>
        <v>16.484999999999999</v>
      </c>
    </row>
    <row r="262" spans="1:75" x14ac:dyDescent="0.2">
      <c r="A262" s="20" t="str">
        <f>'School Level Inst. Resources'!A262</f>
        <v>1601000</v>
      </c>
      <c r="B262" s="20" t="str">
        <f>'School Level Inst. Resources'!B262</f>
        <v>Platte #1</v>
      </c>
      <c r="C262" s="20" t="str">
        <f>'School Level Inst. Resources'!C262</f>
        <v>1601056</v>
      </c>
      <c r="D262" s="20" t="str">
        <f>'School Level Inst. Resources'!D262</f>
        <v>Glendo High School</v>
      </c>
      <c r="E262" s="138" t="str">
        <f>'School Level Inst. Resources'!E262</f>
        <v>9-12</v>
      </c>
      <c r="F262" s="317">
        <f>IF(AND($A$2=4,VLOOKUP($A262,'District Level ADM'!$A$5:$W$52,5,FALSE)="Prior Year"),AH262,IF(AND($A$2=4,VLOOKUP($A262,'District Level ADM'!$A$5:$W$52,5,FALSE)="3-Year Avg."),T262,IF($A$2=2,AH262,IF($A$2=3,T262,IF(($AG262&gt;$AU262),T262,AH262)))))</f>
        <v>0</v>
      </c>
      <c r="G262" s="317">
        <f>IF(AND($A$2=4,VLOOKUP($A262,'District Level ADM'!$A$5:$W$52,5,FALSE)="Prior Year"),AI262,IF(AND($A$2=4,VLOOKUP($A262,'District Level ADM'!$A$5:$W$52,5,FALSE)="3-Year Avg."),U262,IF($A$2=2,AI262,IF($A$2=3,U262,IF(($AG262&gt;$AU262),U262,AI262)))))</f>
        <v>0</v>
      </c>
      <c r="H262" s="317">
        <f>IF(AND($A$2=4,VLOOKUP($A262,'District Level ADM'!$A$5:$W$52,5,FALSE)="Prior Year"),AJ262,IF(AND($A$2=4,VLOOKUP($A262,'District Level ADM'!$A$5:$W$52,5,FALSE)="3-Year Avg."),V262,IF($A$2=2,AJ262,IF($A$2=3,V262,IF(($AG262&gt;$AU262),V262,AJ262)))))</f>
        <v>0</v>
      </c>
      <c r="I262" s="317">
        <f>IF(AND($A$2=4,VLOOKUP($A262,'District Level ADM'!$A$5:$W$52,5,FALSE)="Prior Year"),AK262,IF(AND($A$2=4,VLOOKUP($A262,'District Level ADM'!$A$5:$W$52,5,FALSE)="3-Year Avg."),W262,IF($A$2=2,AK262,IF($A$2=3,W262,IF(($AG262&gt;$AU262),W262,AK262)))))</f>
        <v>0</v>
      </c>
      <c r="J262" s="317">
        <f>IF(AND($A$2=4,VLOOKUP($A262,'District Level ADM'!$A$5:$W$52,5,FALSE)="Prior Year"),AL262,IF(AND($A$2=4,VLOOKUP($A262,'District Level ADM'!$A$5:$W$52,5,FALSE)="3-Year Avg."),X262,IF($A$2=2,AL262,IF($A$2=3,X262,IF(($AG262&gt;$AU262),X262,AL262)))))</f>
        <v>0</v>
      </c>
      <c r="K262" s="317">
        <f>IF(AND($A$2=4,VLOOKUP($A262,'District Level ADM'!$A$5:$W$52,5,FALSE)="Prior Year"),AM262,IF(AND($A$2=4,VLOOKUP($A262,'District Level ADM'!$A$5:$W$52,5,FALSE)="3-Year Avg."),Y262,IF($A$2=2,AM262,IF($A$2=3,Y262,IF(($AG262&gt;$AU262),Y262,AM262)))))</f>
        <v>0</v>
      </c>
      <c r="L262" s="317">
        <f>IF(AND($A$2=4,VLOOKUP($A262,'District Level ADM'!$A$5:$W$52,5,FALSE)="Prior Year"),AN262,IF(AND($A$2=4,VLOOKUP($A262,'District Level ADM'!$A$5:$W$52,5,FALSE)="3-Year Avg."),Z262,IF($A$2=2,AN262,IF($A$2=3,Z262,IF(($AG262&gt;$AU262),Z262,AN262)))))</f>
        <v>0</v>
      </c>
      <c r="M262" s="317">
        <f>IF(AND($A$2=4,VLOOKUP($A262,'District Level ADM'!$A$5:$W$52,5,FALSE)="Prior Year"),AO262,IF(AND($A$2=4,VLOOKUP($A262,'District Level ADM'!$A$5:$W$52,5,FALSE)="3-Year Avg."),AA262,IF($A$2=2,AO262,IF($A$2=3,AA262,IF(($AG262&gt;$AU262),AA262,AO262)))))</f>
        <v>0</v>
      </c>
      <c r="N262" s="317">
        <f>IF(AND($A$2=4,VLOOKUP($A262,'District Level ADM'!$A$5:$W$52,5,FALSE)="Prior Year"),AP262,IF(AND($A$2=4,VLOOKUP($A262,'District Level ADM'!$A$5:$W$52,5,FALSE)="3-Year Avg."),AB262,IF($A$2=2,AP262,IF($A$2=3,AB262,IF(($AG262&gt;$AU262),AB262,AP262)))))</f>
        <v>0</v>
      </c>
      <c r="O262" s="317">
        <f>IF(AND($A$2=4,VLOOKUP($A262,'District Level ADM'!$A$5:$W$52,5,FALSE)="Prior Year"),AQ262,IF(AND($A$2=4,VLOOKUP($A262,'District Level ADM'!$A$5:$W$52,5,FALSE)="3-Year Avg."),AC262,IF($A$2=2,AQ262,IF($A$2=3,AC262,IF(($AG262&gt;$AU262),AC262,AQ262)))))</f>
        <v>1.97</v>
      </c>
      <c r="P262" s="317">
        <f>IF(AND($A$2=4,VLOOKUP($A262,'District Level ADM'!$A$5:$W$52,5,FALSE)="Prior Year"),AR262,IF(AND($A$2=4,VLOOKUP($A262,'District Level ADM'!$A$5:$W$52,5,FALSE)="3-Year Avg."),AD262,IF($A$2=2,AR262,IF($A$2=3,AD262,IF(($AG262&gt;$AU262),AD262,AR262)))))</f>
        <v>6.8949999999999996</v>
      </c>
      <c r="Q262" s="317">
        <f>IF(AND($A$2=4,VLOOKUP($A262,'District Level ADM'!$A$5:$W$52,5,FALSE)="Prior Year"),AS262,IF(AND($A$2=4,VLOOKUP($A262,'District Level ADM'!$A$5:$W$52,5,FALSE)="3-Year Avg."),AE262,IF($A$2=2,AS262,IF($A$2=3,AE262,IF(($AG262&gt;$AU262),AE262,AS262)))))</f>
        <v>2.9550000000000001</v>
      </c>
      <c r="R262" s="317">
        <f>IF(AND($A$2=4,VLOOKUP($A262,'District Level ADM'!$A$5:$W$52,5,FALSE)="Prior Year"),AT262,IF(AND($A$2=4,VLOOKUP($A262,'District Level ADM'!$A$5:$W$52,5,FALSE)="3-Year Avg."),AF262,IF($A$2=2,AT262,IF($A$2=3,AF262,IF(($AG262&gt;$AU262),AF262,AT262)))))</f>
        <v>4.9249999999999998</v>
      </c>
      <c r="S262" s="317">
        <f t="shared" ref="S262:S325" si="44">SUM(F262:R262)</f>
        <v>16.745000000000001</v>
      </c>
      <c r="T262" s="317">
        <f t="shared" si="42"/>
        <v>0</v>
      </c>
      <c r="U262" s="317">
        <f t="shared" si="42"/>
        <v>0</v>
      </c>
      <c r="V262" s="317">
        <f t="shared" si="42"/>
        <v>0</v>
      </c>
      <c r="W262" s="317">
        <f t="shared" si="42"/>
        <v>0</v>
      </c>
      <c r="X262" s="317">
        <f t="shared" si="42"/>
        <v>0</v>
      </c>
      <c r="Y262" s="317">
        <f t="shared" si="42"/>
        <v>0</v>
      </c>
      <c r="Z262" s="317">
        <f t="shared" si="42"/>
        <v>0</v>
      </c>
      <c r="AA262" s="317">
        <f t="shared" si="41"/>
        <v>0</v>
      </c>
      <c r="AB262" s="317">
        <f t="shared" si="41"/>
        <v>0</v>
      </c>
      <c r="AC262" s="317">
        <f t="shared" si="41"/>
        <v>3.4909999999999997</v>
      </c>
      <c r="AD262" s="317">
        <f t="shared" si="41"/>
        <v>3.9649999999999999</v>
      </c>
      <c r="AE262" s="317">
        <f t="shared" si="41"/>
        <v>3.5813333333333333</v>
      </c>
      <c r="AF262" s="317">
        <f t="shared" si="41"/>
        <v>4.4216666666666669</v>
      </c>
      <c r="AG262" s="317">
        <f t="shared" ref="AG262:AG325" si="45">SUM(T262:AF262)</f>
        <v>15.459</v>
      </c>
      <c r="AH262" s="318">
        <v>0</v>
      </c>
      <c r="AI262" s="318">
        <v>0</v>
      </c>
      <c r="AJ262" s="318">
        <v>0</v>
      </c>
      <c r="AK262" s="318">
        <v>0</v>
      </c>
      <c r="AL262" s="318">
        <v>0</v>
      </c>
      <c r="AM262" s="318">
        <v>0</v>
      </c>
      <c r="AN262" s="318">
        <v>0</v>
      </c>
      <c r="AO262" s="318">
        <v>0</v>
      </c>
      <c r="AP262" s="318">
        <v>0</v>
      </c>
      <c r="AQ262" s="318">
        <v>1.97</v>
      </c>
      <c r="AR262" s="318">
        <v>6.8949999999999996</v>
      </c>
      <c r="AS262" s="318">
        <v>2.9550000000000001</v>
      </c>
      <c r="AT262" s="318">
        <v>4.9249999999999998</v>
      </c>
      <c r="AU262" s="317">
        <f t="shared" si="43"/>
        <v>16.745000000000001</v>
      </c>
      <c r="AV262" s="319">
        <v>0</v>
      </c>
      <c r="AW262" s="319">
        <v>0</v>
      </c>
      <c r="AX262" s="319">
        <v>0</v>
      </c>
      <c r="AY262" s="319">
        <v>0</v>
      </c>
      <c r="AZ262" s="319">
        <v>0</v>
      </c>
      <c r="BA262" s="319">
        <v>0</v>
      </c>
      <c r="BB262" s="319">
        <v>0</v>
      </c>
      <c r="BC262" s="319">
        <v>0</v>
      </c>
      <c r="BD262" s="319">
        <v>0</v>
      </c>
      <c r="BE262" s="319">
        <v>6</v>
      </c>
      <c r="BF262" s="319">
        <v>2</v>
      </c>
      <c r="BG262" s="319">
        <v>3.109</v>
      </c>
      <c r="BH262" s="319">
        <v>4.5090000000000003</v>
      </c>
      <c r="BI262" s="317">
        <f t="shared" si="39"/>
        <v>15.618</v>
      </c>
      <c r="BJ262" s="316">
        <v>0</v>
      </c>
      <c r="BK262" s="316">
        <v>0</v>
      </c>
      <c r="BL262" s="316">
        <v>0</v>
      </c>
      <c r="BM262" s="316">
        <v>0</v>
      </c>
      <c r="BN262" s="316">
        <v>0</v>
      </c>
      <c r="BO262" s="316">
        <v>0</v>
      </c>
      <c r="BP262" s="316">
        <v>0</v>
      </c>
      <c r="BQ262" s="316">
        <v>0</v>
      </c>
      <c r="BR262" s="316">
        <v>0</v>
      </c>
      <c r="BS262" s="316">
        <v>2.5030000000000001</v>
      </c>
      <c r="BT262" s="316">
        <v>3</v>
      </c>
      <c r="BU262" s="316">
        <v>4.68</v>
      </c>
      <c r="BV262" s="316">
        <v>3.831</v>
      </c>
      <c r="BW262" s="317">
        <f t="shared" si="38"/>
        <v>14.013999999999999</v>
      </c>
    </row>
    <row r="263" spans="1:75" x14ac:dyDescent="0.2">
      <c r="A263" s="20" t="str">
        <f>'School Level Inst. Resources'!A263</f>
        <v>1601000</v>
      </c>
      <c r="B263" s="20" t="str">
        <f>'School Level Inst. Resources'!B263</f>
        <v>Platte #1</v>
      </c>
      <c r="C263" s="20" t="str">
        <f>'School Level Inst. Resources'!C263</f>
        <v>1601057</v>
      </c>
      <c r="D263" s="20" t="str">
        <f>'School Level Inst. Resources'!D263</f>
        <v>Wheatland High School</v>
      </c>
      <c r="E263" s="138" t="str">
        <f>'School Level Inst. Resources'!E263</f>
        <v>9-12</v>
      </c>
      <c r="F263" s="317">
        <f>IF(AND($A$2=4,VLOOKUP($A263,'District Level ADM'!$A$5:$W$52,5,FALSE)="Prior Year"),AH263,IF(AND($A$2=4,VLOOKUP($A263,'District Level ADM'!$A$5:$W$52,5,FALSE)="3-Year Avg."),T263,IF($A$2=2,AH263,IF($A$2=3,T263,IF(($AG263&gt;$AU263),T263,AH263)))))</f>
        <v>0</v>
      </c>
      <c r="G263" s="317">
        <f>IF(AND($A$2=4,VLOOKUP($A263,'District Level ADM'!$A$5:$W$52,5,FALSE)="Prior Year"),AI263,IF(AND($A$2=4,VLOOKUP($A263,'District Level ADM'!$A$5:$W$52,5,FALSE)="3-Year Avg."),U263,IF($A$2=2,AI263,IF($A$2=3,U263,IF(($AG263&gt;$AU263),U263,AI263)))))</f>
        <v>0</v>
      </c>
      <c r="H263" s="317">
        <f>IF(AND($A$2=4,VLOOKUP($A263,'District Level ADM'!$A$5:$W$52,5,FALSE)="Prior Year"),AJ263,IF(AND($A$2=4,VLOOKUP($A263,'District Level ADM'!$A$5:$W$52,5,FALSE)="3-Year Avg."),V263,IF($A$2=2,AJ263,IF($A$2=3,V263,IF(($AG263&gt;$AU263),V263,AJ263)))))</f>
        <v>0</v>
      </c>
      <c r="I263" s="317">
        <f>IF(AND($A$2=4,VLOOKUP($A263,'District Level ADM'!$A$5:$W$52,5,FALSE)="Prior Year"),AK263,IF(AND($A$2=4,VLOOKUP($A263,'District Level ADM'!$A$5:$W$52,5,FALSE)="3-Year Avg."),W263,IF($A$2=2,AK263,IF($A$2=3,W263,IF(($AG263&gt;$AU263),W263,AK263)))))</f>
        <v>0</v>
      </c>
      <c r="J263" s="317">
        <f>IF(AND($A$2=4,VLOOKUP($A263,'District Level ADM'!$A$5:$W$52,5,FALSE)="Prior Year"),AL263,IF(AND($A$2=4,VLOOKUP($A263,'District Level ADM'!$A$5:$W$52,5,FALSE)="3-Year Avg."),X263,IF($A$2=2,AL263,IF($A$2=3,X263,IF(($AG263&gt;$AU263),X263,AL263)))))</f>
        <v>0</v>
      </c>
      <c r="K263" s="317">
        <f>IF(AND($A$2=4,VLOOKUP($A263,'District Level ADM'!$A$5:$W$52,5,FALSE)="Prior Year"),AM263,IF(AND($A$2=4,VLOOKUP($A263,'District Level ADM'!$A$5:$W$52,5,FALSE)="3-Year Avg."),Y263,IF($A$2=2,AM263,IF($A$2=3,Y263,IF(($AG263&gt;$AU263),Y263,AM263)))))</f>
        <v>0</v>
      </c>
      <c r="L263" s="317">
        <f>IF(AND($A$2=4,VLOOKUP($A263,'District Level ADM'!$A$5:$W$52,5,FALSE)="Prior Year"),AN263,IF(AND($A$2=4,VLOOKUP($A263,'District Level ADM'!$A$5:$W$52,5,FALSE)="3-Year Avg."),Z263,IF($A$2=2,AN263,IF($A$2=3,Z263,IF(($AG263&gt;$AU263),Z263,AN263)))))</f>
        <v>0</v>
      </c>
      <c r="M263" s="317">
        <f>IF(AND($A$2=4,VLOOKUP($A263,'District Level ADM'!$A$5:$W$52,5,FALSE)="Prior Year"),AO263,IF(AND($A$2=4,VLOOKUP($A263,'District Level ADM'!$A$5:$W$52,5,FALSE)="3-Year Avg."),AA263,IF($A$2=2,AO263,IF($A$2=3,AA263,IF(($AG263&gt;$AU263),AA263,AO263)))))</f>
        <v>0</v>
      </c>
      <c r="N263" s="317">
        <f>IF(AND($A$2=4,VLOOKUP($A263,'District Level ADM'!$A$5:$W$52,5,FALSE)="Prior Year"),AP263,IF(AND($A$2=4,VLOOKUP($A263,'District Level ADM'!$A$5:$W$52,5,FALSE)="3-Year Avg."),AB263,IF($A$2=2,AP263,IF($A$2=3,AB263,IF(($AG263&gt;$AU263),AB263,AP263)))))</f>
        <v>0</v>
      </c>
      <c r="O263" s="317">
        <f>IF(AND($A$2=4,VLOOKUP($A263,'District Level ADM'!$A$5:$W$52,5,FALSE)="Prior Year"),AQ263,IF(AND($A$2=4,VLOOKUP($A263,'District Level ADM'!$A$5:$W$52,5,FALSE)="3-Year Avg."),AC263,IF($A$2=2,AQ263,IF($A$2=3,AC263,IF(($AG263&gt;$AU263),AC263,AQ263)))))</f>
        <v>74.86</v>
      </c>
      <c r="P263" s="317">
        <f>IF(AND($A$2=4,VLOOKUP($A263,'District Level ADM'!$A$5:$W$52,5,FALSE)="Prior Year"),AR263,IF(AND($A$2=4,VLOOKUP($A263,'District Level ADM'!$A$5:$W$52,5,FALSE)="3-Year Avg."),AD263,IF($A$2=2,AR263,IF($A$2=3,AD263,IF(($AG263&gt;$AU263),AD263,AR263)))))</f>
        <v>74.86</v>
      </c>
      <c r="Q263" s="317">
        <f>IF(AND($A$2=4,VLOOKUP($A263,'District Level ADM'!$A$5:$W$52,5,FALSE)="Prior Year"),AS263,IF(AND($A$2=4,VLOOKUP($A263,'District Level ADM'!$A$5:$W$52,5,FALSE)="3-Year Avg."),AE263,IF($A$2=2,AS263,IF($A$2=3,AE263,IF(($AG263&gt;$AU263),AE263,AS263)))))</f>
        <v>62.055</v>
      </c>
      <c r="R263" s="317">
        <f>IF(AND($A$2=4,VLOOKUP($A263,'District Level ADM'!$A$5:$W$52,5,FALSE)="Prior Year"),AT263,IF(AND($A$2=4,VLOOKUP($A263,'District Level ADM'!$A$5:$W$52,5,FALSE)="3-Year Avg."),AF263,IF($A$2=2,AT263,IF($A$2=3,AF263,IF(($AG263&gt;$AU263),AF263,AT263)))))</f>
        <v>63.04</v>
      </c>
      <c r="S263" s="317">
        <f t="shared" si="44"/>
        <v>274.815</v>
      </c>
      <c r="T263" s="317">
        <f t="shared" si="42"/>
        <v>0</v>
      </c>
      <c r="U263" s="317">
        <f t="shared" si="42"/>
        <v>0</v>
      </c>
      <c r="V263" s="317">
        <f t="shared" si="42"/>
        <v>0</v>
      </c>
      <c r="W263" s="317">
        <f t="shared" si="42"/>
        <v>0</v>
      </c>
      <c r="X263" s="317">
        <f t="shared" si="42"/>
        <v>0</v>
      </c>
      <c r="Y263" s="317">
        <f t="shared" si="42"/>
        <v>0</v>
      </c>
      <c r="Z263" s="317">
        <f t="shared" si="42"/>
        <v>0</v>
      </c>
      <c r="AA263" s="317">
        <f t="shared" si="41"/>
        <v>0</v>
      </c>
      <c r="AB263" s="317">
        <f t="shared" si="41"/>
        <v>0</v>
      </c>
      <c r="AC263" s="317">
        <f t="shared" si="41"/>
        <v>73.584666666666664</v>
      </c>
      <c r="AD263" s="317">
        <f t="shared" si="41"/>
        <v>66.540333333333336</v>
      </c>
      <c r="AE263" s="317">
        <f t="shared" si="41"/>
        <v>64.778333333333322</v>
      </c>
      <c r="AF263" s="317">
        <f t="shared" si="41"/>
        <v>66.297666666666657</v>
      </c>
      <c r="AG263" s="317">
        <f t="shared" si="45"/>
        <v>271.20099999999996</v>
      </c>
      <c r="AH263" s="318">
        <v>0</v>
      </c>
      <c r="AI263" s="318">
        <v>0</v>
      </c>
      <c r="AJ263" s="318">
        <v>0</v>
      </c>
      <c r="AK263" s="318">
        <v>0</v>
      </c>
      <c r="AL263" s="318">
        <v>0</v>
      </c>
      <c r="AM263" s="318">
        <v>0</v>
      </c>
      <c r="AN263" s="318">
        <v>0</v>
      </c>
      <c r="AO263" s="318">
        <v>0</v>
      </c>
      <c r="AP263" s="318">
        <v>0</v>
      </c>
      <c r="AQ263" s="318">
        <v>74.86</v>
      </c>
      <c r="AR263" s="318">
        <v>74.86</v>
      </c>
      <c r="AS263" s="318">
        <v>62.055</v>
      </c>
      <c r="AT263" s="318">
        <v>63.04</v>
      </c>
      <c r="AU263" s="317">
        <f t="shared" si="43"/>
        <v>274.815</v>
      </c>
      <c r="AV263" s="319">
        <v>0</v>
      </c>
      <c r="AW263" s="319">
        <v>0</v>
      </c>
      <c r="AX263" s="319">
        <v>0</v>
      </c>
      <c r="AY263" s="319">
        <v>0</v>
      </c>
      <c r="AZ263" s="319">
        <v>0</v>
      </c>
      <c r="BA263" s="319">
        <v>0</v>
      </c>
      <c r="BB263" s="319">
        <v>0</v>
      </c>
      <c r="BC263" s="319">
        <v>0</v>
      </c>
      <c r="BD263" s="319">
        <v>0</v>
      </c>
      <c r="BE263" s="319">
        <v>75.792000000000002</v>
      </c>
      <c r="BF263" s="319">
        <v>66.081999999999994</v>
      </c>
      <c r="BG263" s="319">
        <v>58.731000000000002</v>
      </c>
      <c r="BH263" s="319">
        <v>71.69</v>
      </c>
      <c r="BI263" s="317">
        <f t="shared" si="39"/>
        <v>272.29499999999996</v>
      </c>
      <c r="BJ263" s="316">
        <v>0</v>
      </c>
      <c r="BK263" s="316">
        <v>0</v>
      </c>
      <c r="BL263" s="316">
        <v>0</v>
      </c>
      <c r="BM263" s="316">
        <v>0</v>
      </c>
      <c r="BN263" s="316">
        <v>0</v>
      </c>
      <c r="BO263" s="316">
        <v>0</v>
      </c>
      <c r="BP263" s="316">
        <v>0</v>
      </c>
      <c r="BQ263" s="316">
        <v>0</v>
      </c>
      <c r="BR263" s="316">
        <v>0</v>
      </c>
      <c r="BS263" s="316">
        <v>70.102000000000004</v>
      </c>
      <c r="BT263" s="316">
        <v>58.679000000000002</v>
      </c>
      <c r="BU263" s="316">
        <v>73.548999999999992</v>
      </c>
      <c r="BV263" s="316">
        <v>64.162999999999997</v>
      </c>
      <c r="BW263" s="317">
        <f t="shared" ref="BW263:BW326" si="46">SUM(BJ263:BV263)</f>
        <v>266.49299999999999</v>
      </c>
    </row>
    <row r="264" spans="1:75" x14ac:dyDescent="0.2">
      <c r="A264" s="20" t="str">
        <f>'School Level Inst. Resources'!A264</f>
        <v>1601000</v>
      </c>
      <c r="B264" s="20" t="str">
        <f>'School Level Inst. Resources'!B264</f>
        <v>Platte #1</v>
      </c>
      <c r="C264" s="20" t="str">
        <f>'School Level Inst. Resources'!C264</f>
        <v>1601058</v>
      </c>
      <c r="D264" s="20" t="str">
        <f>'School Level Inst. Resources'!D264</f>
        <v>Peak High School</v>
      </c>
      <c r="E264" s="138" t="str">
        <f>'School Level Inst. Resources'!E264</f>
        <v>9-12</v>
      </c>
      <c r="F264" s="317">
        <f>IF(AND($A$2=4,VLOOKUP($A264,'District Level ADM'!$A$5:$W$52,5,FALSE)="Prior Year"),AH264,IF(AND($A$2=4,VLOOKUP($A264,'District Level ADM'!$A$5:$W$52,5,FALSE)="3-Year Avg."),T264,IF($A$2=2,AH264,IF($A$2=3,T264,IF(($AG264&gt;$AU264),T264,AH264)))))</f>
        <v>0</v>
      </c>
      <c r="G264" s="317">
        <f>IF(AND($A$2=4,VLOOKUP($A264,'District Level ADM'!$A$5:$W$52,5,FALSE)="Prior Year"),AI264,IF(AND($A$2=4,VLOOKUP($A264,'District Level ADM'!$A$5:$W$52,5,FALSE)="3-Year Avg."),U264,IF($A$2=2,AI264,IF($A$2=3,U264,IF(($AG264&gt;$AU264),U264,AI264)))))</f>
        <v>0</v>
      </c>
      <c r="H264" s="317">
        <f>IF(AND($A$2=4,VLOOKUP($A264,'District Level ADM'!$A$5:$W$52,5,FALSE)="Prior Year"),AJ264,IF(AND($A$2=4,VLOOKUP($A264,'District Level ADM'!$A$5:$W$52,5,FALSE)="3-Year Avg."),V264,IF($A$2=2,AJ264,IF($A$2=3,V264,IF(($AG264&gt;$AU264),V264,AJ264)))))</f>
        <v>0</v>
      </c>
      <c r="I264" s="317">
        <f>IF(AND($A$2=4,VLOOKUP($A264,'District Level ADM'!$A$5:$W$52,5,FALSE)="Prior Year"),AK264,IF(AND($A$2=4,VLOOKUP($A264,'District Level ADM'!$A$5:$W$52,5,FALSE)="3-Year Avg."),W264,IF($A$2=2,AK264,IF($A$2=3,W264,IF(($AG264&gt;$AU264),W264,AK264)))))</f>
        <v>0</v>
      </c>
      <c r="J264" s="317">
        <f>IF(AND($A$2=4,VLOOKUP($A264,'District Level ADM'!$A$5:$W$52,5,FALSE)="Prior Year"),AL264,IF(AND($A$2=4,VLOOKUP($A264,'District Level ADM'!$A$5:$W$52,5,FALSE)="3-Year Avg."),X264,IF($A$2=2,AL264,IF($A$2=3,X264,IF(($AG264&gt;$AU264),X264,AL264)))))</f>
        <v>0</v>
      </c>
      <c r="K264" s="317">
        <f>IF(AND($A$2=4,VLOOKUP($A264,'District Level ADM'!$A$5:$W$52,5,FALSE)="Prior Year"),AM264,IF(AND($A$2=4,VLOOKUP($A264,'District Level ADM'!$A$5:$W$52,5,FALSE)="3-Year Avg."),Y264,IF($A$2=2,AM264,IF($A$2=3,Y264,IF(($AG264&gt;$AU264),Y264,AM264)))))</f>
        <v>0</v>
      </c>
      <c r="L264" s="317">
        <f>IF(AND($A$2=4,VLOOKUP($A264,'District Level ADM'!$A$5:$W$52,5,FALSE)="Prior Year"),AN264,IF(AND($A$2=4,VLOOKUP($A264,'District Level ADM'!$A$5:$W$52,5,FALSE)="3-Year Avg."),Z264,IF($A$2=2,AN264,IF($A$2=3,Z264,IF(($AG264&gt;$AU264),Z264,AN264)))))</f>
        <v>0</v>
      </c>
      <c r="M264" s="317">
        <f>IF(AND($A$2=4,VLOOKUP($A264,'District Level ADM'!$A$5:$W$52,5,FALSE)="Prior Year"),AO264,IF(AND($A$2=4,VLOOKUP($A264,'District Level ADM'!$A$5:$W$52,5,FALSE)="3-Year Avg."),AA264,IF($A$2=2,AO264,IF($A$2=3,AA264,IF(($AG264&gt;$AU264),AA264,AO264)))))</f>
        <v>0</v>
      </c>
      <c r="N264" s="317">
        <f>IF(AND($A$2=4,VLOOKUP($A264,'District Level ADM'!$A$5:$W$52,5,FALSE)="Prior Year"),AP264,IF(AND($A$2=4,VLOOKUP($A264,'District Level ADM'!$A$5:$W$52,5,FALSE)="3-Year Avg."),AB264,IF($A$2=2,AP264,IF($A$2=3,AB264,IF(($AG264&gt;$AU264),AB264,AP264)))))</f>
        <v>0</v>
      </c>
      <c r="O264" s="317">
        <f>IF(AND($A$2=4,VLOOKUP($A264,'District Level ADM'!$A$5:$W$52,5,FALSE)="Prior Year"),AQ264,IF(AND($A$2=4,VLOOKUP($A264,'District Level ADM'!$A$5:$W$52,5,FALSE)="3-Year Avg."),AC264,IF($A$2=2,AQ264,IF($A$2=3,AC264,IF(($AG264&gt;$AU264),AC264,AQ264)))))</f>
        <v>0</v>
      </c>
      <c r="P264" s="317">
        <f>IF(AND($A$2=4,VLOOKUP($A264,'District Level ADM'!$A$5:$W$52,5,FALSE)="Prior Year"),AR264,IF(AND($A$2=4,VLOOKUP($A264,'District Level ADM'!$A$5:$W$52,5,FALSE)="3-Year Avg."),AD264,IF($A$2=2,AR264,IF($A$2=3,AD264,IF(($AG264&gt;$AU264),AD264,AR264)))))</f>
        <v>4.9249999999999998</v>
      </c>
      <c r="Q264" s="317">
        <f>IF(AND($A$2=4,VLOOKUP($A264,'District Level ADM'!$A$5:$W$52,5,FALSE)="Prior Year"),AS264,IF(AND($A$2=4,VLOOKUP($A264,'District Level ADM'!$A$5:$W$52,5,FALSE)="3-Year Avg."),AE264,IF($A$2=2,AS264,IF($A$2=3,AE264,IF(($AG264&gt;$AU264),AE264,AS264)))))</f>
        <v>5.91</v>
      </c>
      <c r="R264" s="317">
        <f>IF(AND($A$2=4,VLOOKUP($A264,'District Level ADM'!$A$5:$W$52,5,FALSE)="Prior Year"),AT264,IF(AND($A$2=4,VLOOKUP($A264,'District Level ADM'!$A$5:$W$52,5,FALSE)="3-Year Avg."),AF264,IF($A$2=2,AT264,IF($A$2=3,AF264,IF(($AG264&gt;$AU264),AF264,AT264)))))</f>
        <v>7.88</v>
      </c>
      <c r="S264" s="317">
        <f t="shared" si="44"/>
        <v>18.715</v>
      </c>
      <c r="T264" s="317">
        <f t="shared" si="42"/>
        <v>0</v>
      </c>
      <c r="U264" s="317">
        <f t="shared" si="42"/>
        <v>0</v>
      </c>
      <c r="V264" s="317">
        <f t="shared" si="42"/>
        <v>0</v>
      </c>
      <c r="W264" s="317">
        <f t="shared" si="42"/>
        <v>0</v>
      </c>
      <c r="X264" s="317">
        <f t="shared" si="42"/>
        <v>0</v>
      </c>
      <c r="Y264" s="317">
        <f t="shared" si="42"/>
        <v>0</v>
      </c>
      <c r="Z264" s="317">
        <f t="shared" si="42"/>
        <v>0</v>
      </c>
      <c r="AA264" s="317">
        <f t="shared" si="41"/>
        <v>0</v>
      </c>
      <c r="AB264" s="317">
        <f t="shared" si="41"/>
        <v>0</v>
      </c>
      <c r="AC264" s="317">
        <f t="shared" si="41"/>
        <v>0.13799999999999998</v>
      </c>
      <c r="AD264" s="317">
        <f t="shared" si="41"/>
        <v>2.0066666666666664</v>
      </c>
      <c r="AE264" s="317">
        <f t="shared" si="41"/>
        <v>2.4513333333333334</v>
      </c>
      <c r="AF264" s="317">
        <f t="shared" si="41"/>
        <v>6.6166666666666671</v>
      </c>
      <c r="AG264" s="317">
        <f t="shared" si="45"/>
        <v>11.212666666666667</v>
      </c>
      <c r="AH264" s="318">
        <v>0</v>
      </c>
      <c r="AI264" s="318">
        <v>0</v>
      </c>
      <c r="AJ264" s="318">
        <v>0</v>
      </c>
      <c r="AK264" s="318">
        <v>0</v>
      </c>
      <c r="AL264" s="318">
        <v>0</v>
      </c>
      <c r="AM264" s="318">
        <v>0</v>
      </c>
      <c r="AN264" s="318">
        <v>0</v>
      </c>
      <c r="AO264" s="318">
        <v>0</v>
      </c>
      <c r="AP264" s="318">
        <v>0</v>
      </c>
      <c r="AQ264" s="318">
        <v>0</v>
      </c>
      <c r="AR264" s="318">
        <v>4.9249999999999998</v>
      </c>
      <c r="AS264" s="318">
        <v>5.91</v>
      </c>
      <c r="AT264" s="318">
        <v>7.88</v>
      </c>
      <c r="AU264" s="317">
        <f t="shared" si="43"/>
        <v>18.715</v>
      </c>
      <c r="AV264" s="319">
        <v>0</v>
      </c>
      <c r="AW264" s="319">
        <v>0</v>
      </c>
      <c r="AX264" s="319">
        <v>0</v>
      </c>
      <c r="AY264" s="319">
        <v>0</v>
      </c>
      <c r="AZ264" s="319">
        <v>0</v>
      </c>
      <c r="BA264" s="319">
        <v>0</v>
      </c>
      <c r="BB264" s="319">
        <v>0</v>
      </c>
      <c r="BC264" s="319">
        <v>0</v>
      </c>
      <c r="BD264" s="319">
        <v>0</v>
      </c>
      <c r="BE264" s="319">
        <v>0.41399999999999998</v>
      </c>
      <c r="BF264" s="319">
        <v>1.095</v>
      </c>
      <c r="BG264" s="319">
        <v>1.444</v>
      </c>
      <c r="BH264" s="319">
        <v>11.97</v>
      </c>
      <c r="BI264" s="317">
        <f t="shared" si="39"/>
        <v>14.923</v>
      </c>
      <c r="BJ264" s="316">
        <v>0</v>
      </c>
      <c r="BK264" s="316">
        <v>0</v>
      </c>
      <c r="BL264" s="316">
        <v>0</v>
      </c>
      <c r="BM264" s="316">
        <v>0</v>
      </c>
      <c r="BN264" s="316">
        <v>0</v>
      </c>
      <c r="BO264" s="316">
        <v>0</v>
      </c>
      <c r="BP264" s="316">
        <v>0</v>
      </c>
      <c r="BQ264" s="316">
        <v>0</v>
      </c>
      <c r="BR264" s="316">
        <v>0</v>
      </c>
      <c r="BS264" s="316">
        <v>0</v>
      </c>
      <c r="BT264" s="316">
        <v>0</v>
      </c>
      <c r="BU264" s="316">
        <v>0</v>
      </c>
      <c r="BV264" s="316">
        <v>0</v>
      </c>
      <c r="BW264" s="317">
        <f t="shared" ref="BW264" si="47">SUM(BJ264:BV264)</f>
        <v>0</v>
      </c>
    </row>
    <row r="265" spans="1:75" x14ac:dyDescent="0.2">
      <c r="A265" s="20" t="str">
        <f>'School Level Inst. Resources'!A265</f>
        <v>1602000</v>
      </c>
      <c r="B265" s="20" t="str">
        <f>'School Level Inst. Resources'!B265</f>
        <v>Platte #2</v>
      </c>
      <c r="C265" s="20" t="str">
        <f>'School Level Inst. Resources'!C265</f>
        <v>1602001</v>
      </c>
      <c r="D265" s="20" t="str">
        <f>'School Level Inst. Resources'!D265</f>
        <v>Guernsey-Sunrise Elementary</v>
      </c>
      <c r="E265" s="138" t="str">
        <f>'School Level Inst. Resources'!E265</f>
        <v>K-6</v>
      </c>
      <c r="F265" s="317">
        <f>IF(AND($A$2=4,VLOOKUP($A265,'District Level ADM'!$A$5:$W$52,5,FALSE)="Prior Year"),AH265,IF(AND($A$2=4,VLOOKUP($A265,'District Level ADM'!$A$5:$W$52,5,FALSE)="3-Year Avg."),T265,IF($A$2=2,AH265,IF($A$2=3,T265,IF(($AG265&gt;$AU265),T265,AH265)))))</f>
        <v>25.389333333333337</v>
      </c>
      <c r="G265" s="317">
        <f>IF(AND($A$2=4,VLOOKUP($A265,'District Level ADM'!$A$5:$W$52,5,FALSE)="Prior Year"),AI265,IF(AND($A$2=4,VLOOKUP($A265,'District Level ADM'!$A$5:$W$52,5,FALSE)="3-Year Avg."),U265,IF($A$2=2,AI265,IF($A$2=3,U265,IF(($AG265&gt;$AU265),U265,AI265)))))</f>
        <v>19.453666666666667</v>
      </c>
      <c r="H265" s="317">
        <f>IF(AND($A$2=4,VLOOKUP($A265,'District Level ADM'!$A$5:$W$52,5,FALSE)="Prior Year"),AJ265,IF(AND($A$2=4,VLOOKUP($A265,'District Level ADM'!$A$5:$W$52,5,FALSE)="3-Year Avg."),V265,IF($A$2=2,AJ265,IF($A$2=3,V265,IF(($AG265&gt;$AU265),V265,AJ265)))))</f>
        <v>19.294</v>
      </c>
      <c r="I265" s="317">
        <f>IF(AND($A$2=4,VLOOKUP($A265,'District Level ADM'!$A$5:$W$52,5,FALSE)="Prior Year"),AK265,IF(AND($A$2=4,VLOOKUP($A265,'District Level ADM'!$A$5:$W$52,5,FALSE)="3-Year Avg."),W265,IF($A$2=2,AK265,IF($A$2=3,W265,IF(($AG265&gt;$AU265),W265,AK265)))))</f>
        <v>20.098333333333333</v>
      </c>
      <c r="J265" s="317">
        <f>IF(AND($A$2=4,VLOOKUP($A265,'District Level ADM'!$A$5:$W$52,5,FALSE)="Prior Year"),AL265,IF(AND($A$2=4,VLOOKUP($A265,'District Level ADM'!$A$5:$W$52,5,FALSE)="3-Year Avg."),X265,IF($A$2=2,AL265,IF($A$2=3,X265,IF(($AG265&gt;$AU265),X265,AL265)))))</f>
        <v>21.434333333333331</v>
      </c>
      <c r="K265" s="317">
        <f>IF(AND($A$2=4,VLOOKUP($A265,'District Level ADM'!$A$5:$W$52,5,FALSE)="Prior Year"),AM265,IF(AND($A$2=4,VLOOKUP($A265,'District Level ADM'!$A$5:$W$52,5,FALSE)="3-Year Avg."),Y265,IF($A$2=2,AM265,IF($A$2=3,Y265,IF(($AG265&gt;$AU265),Y265,AM265)))))</f>
        <v>17.008666666666667</v>
      </c>
      <c r="L265" s="317">
        <f>IF(AND($A$2=4,VLOOKUP($A265,'District Level ADM'!$A$5:$W$52,5,FALSE)="Prior Year"),AN265,IF(AND($A$2=4,VLOOKUP($A265,'District Level ADM'!$A$5:$W$52,5,FALSE)="3-Year Avg."),Z265,IF($A$2=2,AN265,IF($A$2=3,Z265,IF(($AG265&gt;$AU265),Z265,AN265)))))</f>
        <v>16.940666666666669</v>
      </c>
      <c r="M265" s="317">
        <f>IF(AND($A$2=4,VLOOKUP($A265,'District Level ADM'!$A$5:$W$52,5,FALSE)="Prior Year"),AO265,IF(AND($A$2=4,VLOOKUP($A265,'District Level ADM'!$A$5:$W$52,5,FALSE)="3-Year Avg."),AA265,IF($A$2=2,AO265,IF($A$2=3,AA265,IF(($AG265&gt;$AU265),AA265,AO265)))))</f>
        <v>0</v>
      </c>
      <c r="N265" s="317">
        <f>IF(AND($A$2=4,VLOOKUP($A265,'District Level ADM'!$A$5:$W$52,5,FALSE)="Prior Year"),AP265,IF(AND($A$2=4,VLOOKUP($A265,'District Level ADM'!$A$5:$W$52,5,FALSE)="3-Year Avg."),AB265,IF($A$2=2,AP265,IF($A$2=3,AB265,IF(($AG265&gt;$AU265),AB265,AP265)))))</f>
        <v>0</v>
      </c>
      <c r="O265" s="317">
        <f>IF(AND($A$2=4,VLOOKUP($A265,'District Level ADM'!$A$5:$W$52,5,FALSE)="Prior Year"),AQ265,IF(AND($A$2=4,VLOOKUP($A265,'District Level ADM'!$A$5:$W$52,5,FALSE)="3-Year Avg."),AC265,IF($A$2=2,AQ265,IF($A$2=3,AC265,IF(($AG265&gt;$AU265),AC265,AQ265)))))</f>
        <v>0</v>
      </c>
      <c r="P265" s="317">
        <f>IF(AND($A$2=4,VLOOKUP($A265,'District Level ADM'!$A$5:$W$52,5,FALSE)="Prior Year"),AR265,IF(AND($A$2=4,VLOOKUP($A265,'District Level ADM'!$A$5:$W$52,5,FALSE)="3-Year Avg."),AD265,IF($A$2=2,AR265,IF($A$2=3,AD265,IF(($AG265&gt;$AU265),AD265,AR265)))))</f>
        <v>0</v>
      </c>
      <c r="Q265" s="317">
        <f>IF(AND($A$2=4,VLOOKUP($A265,'District Level ADM'!$A$5:$W$52,5,FALSE)="Prior Year"),AS265,IF(AND($A$2=4,VLOOKUP($A265,'District Level ADM'!$A$5:$W$52,5,FALSE)="3-Year Avg."),AE265,IF($A$2=2,AS265,IF($A$2=3,AE265,IF(($AG265&gt;$AU265),AE265,AS265)))))</f>
        <v>0</v>
      </c>
      <c r="R265" s="317">
        <f>IF(AND($A$2=4,VLOOKUP($A265,'District Level ADM'!$A$5:$W$52,5,FALSE)="Prior Year"),AT265,IF(AND($A$2=4,VLOOKUP($A265,'District Level ADM'!$A$5:$W$52,5,FALSE)="3-Year Avg."),AF265,IF($A$2=2,AT265,IF($A$2=3,AF265,IF(($AG265&gt;$AU265),AF265,AT265)))))</f>
        <v>0</v>
      </c>
      <c r="S265" s="317">
        <f t="shared" si="44"/>
        <v>139.619</v>
      </c>
      <c r="T265" s="317">
        <f t="shared" si="42"/>
        <v>25.389333333333337</v>
      </c>
      <c r="U265" s="317">
        <f t="shared" si="42"/>
        <v>19.453666666666667</v>
      </c>
      <c r="V265" s="317">
        <f t="shared" si="42"/>
        <v>19.294</v>
      </c>
      <c r="W265" s="317">
        <f t="shared" si="42"/>
        <v>20.098333333333333</v>
      </c>
      <c r="X265" s="317">
        <f t="shared" si="42"/>
        <v>21.434333333333331</v>
      </c>
      <c r="Y265" s="317">
        <f t="shared" si="42"/>
        <v>17.008666666666667</v>
      </c>
      <c r="Z265" s="317">
        <f t="shared" si="42"/>
        <v>16.940666666666669</v>
      </c>
      <c r="AA265" s="317">
        <f t="shared" si="41"/>
        <v>0</v>
      </c>
      <c r="AB265" s="317">
        <f t="shared" si="41"/>
        <v>0</v>
      </c>
      <c r="AC265" s="317">
        <f t="shared" si="41"/>
        <v>0</v>
      </c>
      <c r="AD265" s="317">
        <f t="shared" si="41"/>
        <v>0</v>
      </c>
      <c r="AE265" s="317">
        <f t="shared" si="41"/>
        <v>0</v>
      </c>
      <c r="AF265" s="317">
        <f t="shared" si="41"/>
        <v>0</v>
      </c>
      <c r="AG265" s="317">
        <f t="shared" si="45"/>
        <v>139.619</v>
      </c>
      <c r="AH265" s="318">
        <v>19.7</v>
      </c>
      <c r="AI265" s="318">
        <v>21.67</v>
      </c>
      <c r="AJ265" s="318">
        <v>21.67</v>
      </c>
      <c r="AK265" s="318">
        <v>14.775</v>
      </c>
      <c r="AL265" s="318">
        <v>26.594999999999999</v>
      </c>
      <c r="AM265" s="318">
        <v>19.7</v>
      </c>
      <c r="AN265" s="318">
        <v>17.73</v>
      </c>
      <c r="AO265" s="318">
        <v>0</v>
      </c>
      <c r="AP265" s="318">
        <v>0</v>
      </c>
      <c r="AQ265" s="318">
        <v>0</v>
      </c>
      <c r="AR265" s="318">
        <v>0</v>
      </c>
      <c r="AS265" s="318">
        <v>0</v>
      </c>
      <c r="AT265" s="318">
        <v>0</v>
      </c>
      <c r="AU265" s="317">
        <f t="shared" si="43"/>
        <v>141.84</v>
      </c>
      <c r="AV265" s="319">
        <v>30.417000000000002</v>
      </c>
      <c r="AW265" s="319">
        <v>18.48</v>
      </c>
      <c r="AX265" s="319">
        <v>16.702999999999999</v>
      </c>
      <c r="AY265" s="319">
        <v>23.611000000000001</v>
      </c>
      <c r="AZ265" s="319">
        <v>20.411000000000001</v>
      </c>
      <c r="BA265" s="319">
        <v>16</v>
      </c>
      <c r="BB265" s="319">
        <v>17.286000000000001</v>
      </c>
      <c r="BC265" s="319">
        <v>0</v>
      </c>
      <c r="BD265" s="319">
        <v>0</v>
      </c>
      <c r="BE265" s="319">
        <v>0</v>
      </c>
      <c r="BF265" s="319">
        <v>0</v>
      </c>
      <c r="BG265" s="319">
        <v>0</v>
      </c>
      <c r="BH265" s="319">
        <v>0</v>
      </c>
      <c r="BI265" s="317">
        <f t="shared" ref="BI265:BI328" si="48">SUM(AV265:BH265)</f>
        <v>142.90800000000002</v>
      </c>
      <c r="BJ265" s="316">
        <v>26.050999999999998</v>
      </c>
      <c r="BK265" s="316">
        <v>18.210999999999999</v>
      </c>
      <c r="BL265" s="316">
        <v>19.509</v>
      </c>
      <c r="BM265" s="316">
        <v>21.908999999999999</v>
      </c>
      <c r="BN265" s="316">
        <v>17.297000000000001</v>
      </c>
      <c r="BO265" s="316">
        <v>15.326000000000001</v>
      </c>
      <c r="BP265" s="316">
        <v>15.805999999999999</v>
      </c>
      <c r="BQ265" s="316">
        <v>0</v>
      </c>
      <c r="BR265" s="316">
        <v>0</v>
      </c>
      <c r="BS265" s="316">
        <v>0</v>
      </c>
      <c r="BT265" s="316">
        <v>0</v>
      </c>
      <c r="BU265" s="316">
        <v>0</v>
      </c>
      <c r="BV265" s="316">
        <v>0</v>
      </c>
      <c r="BW265" s="317">
        <f t="shared" si="46"/>
        <v>134.10900000000001</v>
      </c>
    </row>
    <row r="266" spans="1:75" x14ac:dyDescent="0.2">
      <c r="A266" s="20" t="str">
        <f>'School Level Inst. Resources'!A266</f>
        <v>1602000</v>
      </c>
      <c r="B266" s="20" t="str">
        <f>'School Level Inst. Resources'!B266</f>
        <v>Platte #2</v>
      </c>
      <c r="C266" s="20" t="str">
        <f>'School Level Inst. Resources'!C266</f>
        <v>1602050</v>
      </c>
      <c r="D266" s="20" t="str">
        <f>'School Level Inst. Resources'!D266</f>
        <v>Guernsey-Sunrise Junior High</v>
      </c>
      <c r="E266" s="138" t="str">
        <f>'School Level Inst. Resources'!E266</f>
        <v>7-8</v>
      </c>
      <c r="F266" s="317">
        <f>IF(AND($A$2=4,VLOOKUP($A266,'District Level ADM'!$A$5:$W$52,5,FALSE)="Prior Year"),AH266,IF(AND($A$2=4,VLOOKUP($A266,'District Level ADM'!$A$5:$W$52,5,FALSE)="3-Year Avg."),T266,IF($A$2=2,AH266,IF($A$2=3,T266,IF(($AG266&gt;$AU266),T266,AH266)))))</f>
        <v>0</v>
      </c>
      <c r="G266" s="317">
        <f>IF(AND($A$2=4,VLOOKUP($A266,'District Level ADM'!$A$5:$W$52,5,FALSE)="Prior Year"),AI266,IF(AND($A$2=4,VLOOKUP($A266,'District Level ADM'!$A$5:$W$52,5,FALSE)="3-Year Avg."),U266,IF($A$2=2,AI266,IF($A$2=3,U266,IF(($AG266&gt;$AU266),U266,AI266)))))</f>
        <v>0</v>
      </c>
      <c r="H266" s="317">
        <f>IF(AND($A$2=4,VLOOKUP($A266,'District Level ADM'!$A$5:$W$52,5,FALSE)="Prior Year"),AJ266,IF(AND($A$2=4,VLOOKUP($A266,'District Level ADM'!$A$5:$W$52,5,FALSE)="3-Year Avg."),V266,IF($A$2=2,AJ266,IF($A$2=3,V266,IF(($AG266&gt;$AU266),V266,AJ266)))))</f>
        <v>0</v>
      </c>
      <c r="I266" s="317">
        <f>IF(AND($A$2=4,VLOOKUP($A266,'District Level ADM'!$A$5:$W$52,5,FALSE)="Prior Year"),AK266,IF(AND($A$2=4,VLOOKUP($A266,'District Level ADM'!$A$5:$W$52,5,FALSE)="3-Year Avg."),W266,IF($A$2=2,AK266,IF($A$2=3,W266,IF(($AG266&gt;$AU266),W266,AK266)))))</f>
        <v>0</v>
      </c>
      <c r="J266" s="317">
        <f>IF(AND($A$2=4,VLOOKUP($A266,'District Level ADM'!$A$5:$W$52,5,FALSE)="Prior Year"),AL266,IF(AND($A$2=4,VLOOKUP($A266,'District Level ADM'!$A$5:$W$52,5,FALSE)="3-Year Avg."),X266,IF($A$2=2,AL266,IF($A$2=3,X266,IF(($AG266&gt;$AU266),X266,AL266)))))</f>
        <v>0</v>
      </c>
      <c r="K266" s="317">
        <f>IF(AND($A$2=4,VLOOKUP($A266,'District Level ADM'!$A$5:$W$52,5,FALSE)="Prior Year"),AM266,IF(AND($A$2=4,VLOOKUP($A266,'District Level ADM'!$A$5:$W$52,5,FALSE)="3-Year Avg."),Y266,IF($A$2=2,AM266,IF($A$2=3,Y266,IF(($AG266&gt;$AU266),Y266,AM266)))))</f>
        <v>0</v>
      </c>
      <c r="L266" s="317">
        <f>IF(AND($A$2=4,VLOOKUP($A266,'District Level ADM'!$A$5:$W$52,5,FALSE)="Prior Year"),AN266,IF(AND($A$2=4,VLOOKUP($A266,'District Level ADM'!$A$5:$W$52,5,FALSE)="3-Year Avg."),Z266,IF($A$2=2,AN266,IF($A$2=3,Z266,IF(($AG266&gt;$AU266),Z266,AN266)))))</f>
        <v>0</v>
      </c>
      <c r="M266" s="317">
        <f>IF(AND($A$2=4,VLOOKUP($A266,'District Level ADM'!$A$5:$W$52,5,FALSE)="Prior Year"),AO266,IF(AND($A$2=4,VLOOKUP($A266,'District Level ADM'!$A$5:$W$52,5,FALSE)="3-Year Avg."),AA266,IF($A$2=2,AO266,IF($A$2=3,AA266,IF(($AG266&gt;$AU266),AA266,AO266)))))</f>
        <v>16.939000000000004</v>
      </c>
      <c r="N266" s="317">
        <f>IF(AND($A$2=4,VLOOKUP($A266,'District Level ADM'!$A$5:$W$52,5,FALSE)="Prior Year"),AP266,IF(AND($A$2=4,VLOOKUP($A266,'District Level ADM'!$A$5:$W$52,5,FALSE)="3-Year Avg."),AB266,IF($A$2=2,AP266,IF($A$2=3,AB266,IF(($AG266&gt;$AU266),AB266,AP266)))))</f>
        <v>16.959666666666667</v>
      </c>
      <c r="O266" s="317">
        <f>IF(AND($A$2=4,VLOOKUP($A266,'District Level ADM'!$A$5:$W$52,5,FALSE)="Prior Year"),AQ266,IF(AND($A$2=4,VLOOKUP($A266,'District Level ADM'!$A$5:$W$52,5,FALSE)="3-Year Avg."),AC266,IF($A$2=2,AQ266,IF($A$2=3,AC266,IF(($AG266&gt;$AU266),AC266,AQ266)))))</f>
        <v>0</v>
      </c>
      <c r="P266" s="317">
        <f>IF(AND($A$2=4,VLOOKUP($A266,'District Level ADM'!$A$5:$W$52,5,FALSE)="Prior Year"),AR266,IF(AND($A$2=4,VLOOKUP($A266,'District Level ADM'!$A$5:$W$52,5,FALSE)="3-Year Avg."),AD266,IF($A$2=2,AR266,IF($A$2=3,AD266,IF(($AG266&gt;$AU266),AD266,AR266)))))</f>
        <v>0</v>
      </c>
      <c r="Q266" s="317">
        <f>IF(AND($A$2=4,VLOOKUP($A266,'District Level ADM'!$A$5:$W$52,5,FALSE)="Prior Year"),AS266,IF(AND($A$2=4,VLOOKUP($A266,'District Level ADM'!$A$5:$W$52,5,FALSE)="3-Year Avg."),AE266,IF($A$2=2,AS266,IF($A$2=3,AE266,IF(($AG266&gt;$AU266),AE266,AS266)))))</f>
        <v>0</v>
      </c>
      <c r="R266" s="317">
        <f>IF(AND($A$2=4,VLOOKUP($A266,'District Level ADM'!$A$5:$W$52,5,FALSE)="Prior Year"),AT266,IF(AND($A$2=4,VLOOKUP($A266,'District Level ADM'!$A$5:$W$52,5,FALSE)="3-Year Avg."),AF266,IF($A$2=2,AT266,IF($A$2=3,AF266,IF(($AG266&gt;$AU266),AF266,AT266)))))</f>
        <v>0</v>
      </c>
      <c r="S266" s="317">
        <f t="shared" si="44"/>
        <v>33.898666666666671</v>
      </c>
      <c r="T266" s="317">
        <f t="shared" si="42"/>
        <v>0</v>
      </c>
      <c r="U266" s="317">
        <f t="shared" si="42"/>
        <v>0</v>
      </c>
      <c r="V266" s="317">
        <f t="shared" si="42"/>
        <v>0</v>
      </c>
      <c r="W266" s="317">
        <f t="shared" si="42"/>
        <v>0</v>
      </c>
      <c r="X266" s="317">
        <f t="shared" si="42"/>
        <v>0</v>
      </c>
      <c r="Y266" s="317">
        <f t="shared" si="42"/>
        <v>0</v>
      </c>
      <c r="Z266" s="317">
        <f t="shared" si="42"/>
        <v>0</v>
      </c>
      <c r="AA266" s="317">
        <f t="shared" si="41"/>
        <v>16.939000000000004</v>
      </c>
      <c r="AB266" s="317">
        <f t="shared" si="41"/>
        <v>16.959666666666667</v>
      </c>
      <c r="AC266" s="317">
        <f t="shared" si="41"/>
        <v>0</v>
      </c>
      <c r="AD266" s="317">
        <f t="shared" si="41"/>
        <v>0</v>
      </c>
      <c r="AE266" s="317">
        <f t="shared" si="41"/>
        <v>0</v>
      </c>
      <c r="AF266" s="317">
        <f t="shared" si="41"/>
        <v>0</v>
      </c>
      <c r="AG266" s="317">
        <f t="shared" si="45"/>
        <v>33.898666666666671</v>
      </c>
      <c r="AH266" s="318">
        <v>0</v>
      </c>
      <c r="AI266" s="318">
        <v>0</v>
      </c>
      <c r="AJ266" s="318">
        <v>0</v>
      </c>
      <c r="AK266" s="318">
        <v>0</v>
      </c>
      <c r="AL266" s="318">
        <v>0</v>
      </c>
      <c r="AM266" s="318">
        <v>0</v>
      </c>
      <c r="AN266" s="318">
        <v>0</v>
      </c>
      <c r="AO266" s="318">
        <v>15.76</v>
      </c>
      <c r="AP266" s="318">
        <v>17.73</v>
      </c>
      <c r="AQ266" s="318">
        <v>0</v>
      </c>
      <c r="AR266" s="318">
        <v>0</v>
      </c>
      <c r="AS266" s="318">
        <v>0</v>
      </c>
      <c r="AT266" s="318">
        <v>0</v>
      </c>
      <c r="AU266" s="317">
        <f t="shared" si="43"/>
        <v>33.49</v>
      </c>
      <c r="AV266" s="319">
        <v>0</v>
      </c>
      <c r="AW266" s="319">
        <v>0</v>
      </c>
      <c r="AX266" s="319">
        <v>0</v>
      </c>
      <c r="AY266" s="319">
        <v>0</v>
      </c>
      <c r="AZ266" s="319">
        <v>0</v>
      </c>
      <c r="BA266" s="319">
        <v>0</v>
      </c>
      <c r="BB266" s="319">
        <v>0</v>
      </c>
      <c r="BC266" s="319">
        <v>16.251000000000001</v>
      </c>
      <c r="BD266" s="319">
        <v>16.143000000000001</v>
      </c>
      <c r="BE266" s="319">
        <v>0</v>
      </c>
      <c r="BF266" s="319">
        <v>0</v>
      </c>
      <c r="BG266" s="319">
        <v>0</v>
      </c>
      <c r="BH266" s="319">
        <v>0</v>
      </c>
      <c r="BI266" s="317">
        <f t="shared" si="48"/>
        <v>32.394000000000005</v>
      </c>
      <c r="BJ266" s="316">
        <v>0</v>
      </c>
      <c r="BK266" s="316">
        <v>0</v>
      </c>
      <c r="BL266" s="316">
        <v>0</v>
      </c>
      <c r="BM266" s="316">
        <v>0</v>
      </c>
      <c r="BN266" s="316">
        <v>0</v>
      </c>
      <c r="BO266" s="316">
        <v>0</v>
      </c>
      <c r="BP266" s="316">
        <v>0</v>
      </c>
      <c r="BQ266" s="316">
        <v>18.806000000000001</v>
      </c>
      <c r="BR266" s="316">
        <v>17.006</v>
      </c>
      <c r="BS266" s="316">
        <v>0</v>
      </c>
      <c r="BT266" s="316">
        <v>0</v>
      </c>
      <c r="BU266" s="316">
        <v>0</v>
      </c>
      <c r="BV266" s="316">
        <v>0</v>
      </c>
      <c r="BW266" s="317">
        <f t="shared" si="46"/>
        <v>35.811999999999998</v>
      </c>
    </row>
    <row r="267" spans="1:75" x14ac:dyDescent="0.2">
      <c r="A267" s="20" t="str">
        <f>'School Level Inst. Resources'!A267</f>
        <v>1602000</v>
      </c>
      <c r="B267" s="20" t="str">
        <f>'School Level Inst. Resources'!B267</f>
        <v>Platte #2</v>
      </c>
      <c r="C267" s="20" t="str">
        <f>'School Level Inst. Resources'!C267</f>
        <v>1602055</v>
      </c>
      <c r="D267" s="20" t="str">
        <f>'School Level Inst. Resources'!D267</f>
        <v>Guernsey-Sunrise High School</v>
      </c>
      <c r="E267" s="138" t="str">
        <f>'School Level Inst. Resources'!E267</f>
        <v>9-12</v>
      </c>
      <c r="F267" s="317">
        <f>IF(AND($A$2=4,VLOOKUP($A267,'District Level ADM'!$A$5:$W$52,5,FALSE)="Prior Year"),AH267,IF(AND($A$2=4,VLOOKUP($A267,'District Level ADM'!$A$5:$W$52,5,FALSE)="3-Year Avg."),T267,IF($A$2=2,AH267,IF($A$2=3,T267,IF(($AG267&gt;$AU267),T267,AH267)))))</f>
        <v>0</v>
      </c>
      <c r="G267" s="317">
        <f>IF(AND($A$2=4,VLOOKUP($A267,'District Level ADM'!$A$5:$W$52,5,FALSE)="Prior Year"),AI267,IF(AND($A$2=4,VLOOKUP($A267,'District Level ADM'!$A$5:$W$52,5,FALSE)="3-Year Avg."),U267,IF($A$2=2,AI267,IF($A$2=3,U267,IF(($AG267&gt;$AU267),U267,AI267)))))</f>
        <v>0</v>
      </c>
      <c r="H267" s="317">
        <f>IF(AND($A$2=4,VLOOKUP($A267,'District Level ADM'!$A$5:$W$52,5,FALSE)="Prior Year"),AJ267,IF(AND($A$2=4,VLOOKUP($A267,'District Level ADM'!$A$5:$W$52,5,FALSE)="3-Year Avg."),V267,IF($A$2=2,AJ267,IF($A$2=3,V267,IF(($AG267&gt;$AU267),V267,AJ267)))))</f>
        <v>0</v>
      </c>
      <c r="I267" s="317">
        <f>IF(AND($A$2=4,VLOOKUP($A267,'District Level ADM'!$A$5:$W$52,5,FALSE)="Prior Year"),AK267,IF(AND($A$2=4,VLOOKUP($A267,'District Level ADM'!$A$5:$W$52,5,FALSE)="3-Year Avg."),W267,IF($A$2=2,AK267,IF($A$2=3,W267,IF(($AG267&gt;$AU267),W267,AK267)))))</f>
        <v>0</v>
      </c>
      <c r="J267" s="317">
        <f>IF(AND($A$2=4,VLOOKUP($A267,'District Level ADM'!$A$5:$W$52,5,FALSE)="Prior Year"),AL267,IF(AND($A$2=4,VLOOKUP($A267,'District Level ADM'!$A$5:$W$52,5,FALSE)="3-Year Avg."),X267,IF($A$2=2,AL267,IF($A$2=3,X267,IF(($AG267&gt;$AU267),X267,AL267)))))</f>
        <v>0</v>
      </c>
      <c r="K267" s="317">
        <f>IF(AND($A$2=4,VLOOKUP($A267,'District Level ADM'!$A$5:$W$52,5,FALSE)="Prior Year"),AM267,IF(AND($A$2=4,VLOOKUP($A267,'District Level ADM'!$A$5:$W$52,5,FALSE)="3-Year Avg."),Y267,IF($A$2=2,AM267,IF($A$2=3,Y267,IF(($AG267&gt;$AU267),Y267,AM267)))))</f>
        <v>0</v>
      </c>
      <c r="L267" s="317">
        <f>IF(AND($A$2=4,VLOOKUP($A267,'District Level ADM'!$A$5:$W$52,5,FALSE)="Prior Year"),AN267,IF(AND($A$2=4,VLOOKUP($A267,'District Level ADM'!$A$5:$W$52,5,FALSE)="3-Year Avg."),Z267,IF($A$2=2,AN267,IF($A$2=3,Z267,IF(($AG267&gt;$AU267),Z267,AN267)))))</f>
        <v>0</v>
      </c>
      <c r="M267" s="317">
        <f>IF(AND($A$2=4,VLOOKUP($A267,'District Level ADM'!$A$5:$W$52,5,FALSE)="Prior Year"),AO267,IF(AND($A$2=4,VLOOKUP($A267,'District Level ADM'!$A$5:$W$52,5,FALSE)="3-Year Avg."),AA267,IF($A$2=2,AO267,IF($A$2=3,AA267,IF(($AG267&gt;$AU267),AA267,AO267)))))</f>
        <v>0</v>
      </c>
      <c r="N267" s="317">
        <f>IF(AND($A$2=4,VLOOKUP($A267,'District Level ADM'!$A$5:$W$52,5,FALSE)="Prior Year"),AP267,IF(AND($A$2=4,VLOOKUP($A267,'District Level ADM'!$A$5:$W$52,5,FALSE)="3-Year Avg."),AB267,IF($A$2=2,AP267,IF($A$2=3,AB267,IF(($AG267&gt;$AU267),AB267,AP267)))))</f>
        <v>0</v>
      </c>
      <c r="O267" s="317">
        <f>IF(AND($A$2=4,VLOOKUP($A267,'District Level ADM'!$A$5:$W$52,5,FALSE)="Prior Year"),AQ267,IF(AND($A$2=4,VLOOKUP($A267,'District Level ADM'!$A$5:$W$52,5,FALSE)="3-Year Avg."),AC267,IF($A$2=2,AQ267,IF($A$2=3,AC267,IF(($AG267&gt;$AU267),AC267,AQ267)))))</f>
        <v>17.591666666666665</v>
      </c>
      <c r="P267" s="317">
        <f>IF(AND($A$2=4,VLOOKUP($A267,'District Level ADM'!$A$5:$W$52,5,FALSE)="Prior Year"),AR267,IF(AND($A$2=4,VLOOKUP($A267,'District Level ADM'!$A$5:$W$52,5,FALSE)="3-Year Avg."),AD267,IF($A$2=2,AR267,IF($A$2=3,AD267,IF(($AG267&gt;$AU267),AD267,AR267)))))</f>
        <v>17.400333333333332</v>
      </c>
      <c r="Q267" s="317">
        <f>IF(AND($A$2=4,VLOOKUP($A267,'District Level ADM'!$A$5:$W$52,5,FALSE)="Prior Year"),AS267,IF(AND($A$2=4,VLOOKUP($A267,'District Level ADM'!$A$5:$W$52,5,FALSE)="3-Year Avg."),AE267,IF($A$2=2,AS267,IF($A$2=3,AE267,IF(($AG267&gt;$AU267),AE267,AS267)))))</f>
        <v>16.099666666666668</v>
      </c>
      <c r="R267" s="317">
        <f>IF(AND($A$2=4,VLOOKUP($A267,'District Level ADM'!$A$5:$W$52,5,FALSE)="Prior Year"),AT267,IF(AND($A$2=4,VLOOKUP($A267,'District Level ADM'!$A$5:$W$52,5,FALSE)="3-Year Avg."),AF267,IF($A$2=2,AT267,IF($A$2=3,AF267,IF(($AG267&gt;$AU267),AF267,AT267)))))</f>
        <v>16.251999999999999</v>
      </c>
      <c r="S267" s="317">
        <f t="shared" si="44"/>
        <v>67.343666666666664</v>
      </c>
      <c r="T267" s="317">
        <f t="shared" si="42"/>
        <v>0</v>
      </c>
      <c r="U267" s="317">
        <f t="shared" si="42"/>
        <v>0</v>
      </c>
      <c r="V267" s="317">
        <f t="shared" si="42"/>
        <v>0</v>
      </c>
      <c r="W267" s="317">
        <f t="shared" si="42"/>
        <v>0</v>
      </c>
      <c r="X267" s="317">
        <f t="shared" si="42"/>
        <v>0</v>
      </c>
      <c r="Y267" s="317">
        <f t="shared" si="42"/>
        <v>0</v>
      </c>
      <c r="Z267" s="317">
        <f t="shared" si="42"/>
        <v>0</v>
      </c>
      <c r="AA267" s="317">
        <f t="shared" si="41"/>
        <v>0</v>
      </c>
      <c r="AB267" s="317">
        <f t="shared" si="41"/>
        <v>0</v>
      </c>
      <c r="AC267" s="317">
        <f t="shared" si="41"/>
        <v>17.591666666666665</v>
      </c>
      <c r="AD267" s="317">
        <f t="shared" si="41"/>
        <v>17.400333333333332</v>
      </c>
      <c r="AE267" s="317">
        <f t="shared" si="41"/>
        <v>16.099666666666668</v>
      </c>
      <c r="AF267" s="317">
        <f t="shared" si="41"/>
        <v>16.251999999999999</v>
      </c>
      <c r="AG267" s="317">
        <f t="shared" si="45"/>
        <v>67.343666666666664</v>
      </c>
      <c r="AH267" s="318">
        <v>0</v>
      </c>
      <c r="AI267" s="318">
        <v>0</v>
      </c>
      <c r="AJ267" s="318">
        <v>0</v>
      </c>
      <c r="AK267" s="318">
        <v>0</v>
      </c>
      <c r="AL267" s="318">
        <v>0</v>
      </c>
      <c r="AM267" s="318">
        <v>0</v>
      </c>
      <c r="AN267" s="318">
        <v>0</v>
      </c>
      <c r="AO267" s="318">
        <v>0</v>
      </c>
      <c r="AP267" s="318">
        <v>0</v>
      </c>
      <c r="AQ267" s="318">
        <v>14.775</v>
      </c>
      <c r="AR267" s="318">
        <v>18.715</v>
      </c>
      <c r="AS267" s="318">
        <v>16.745000000000001</v>
      </c>
      <c r="AT267" s="318">
        <v>13.79</v>
      </c>
      <c r="AU267" s="317">
        <f t="shared" si="43"/>
        <v>64.025000000000006</v>
      </c>
      <c r="AV267" s="319">
        <v>0</v>
      </c>
      <c r="AW267" s="319">
        <v>0</v>
      </c>
      <c r="AX267" s="319">
        <v>0</v>
      </c>
      <c r="AY267" s="319">
        <v>0</v>
      </c>
      <c r="AZ267" s="319">
        <v>0</v>
      </c>
      <c r="BA267" s="319">
        <v>0</v>
      </c>
      <c r="BB267" s="319">
        <v>0</v>
      </c>
      <c r="BC267" s="319">
        <v>0</v>
      </c>
      <c r="BD267" s="319">
        <v>0</v>
      </c>
      <c r="BE267" s="319">
        <v>17</v>
      </c>
      <c r="BF267" s="319">
        <v>18.536999999999999</v>
      </c>
      <c r="BG267" s="319">
        <v>13.154</v>
      </c>
      <c r="BH267" s="319">
        <v>19.343</v>
      </c>
      <c r="BI267" s="317">
        <f t="shared" si="48"/>
        <v>68.034000000000006</v>
      </c>
      <c r="BJ267" s="316">
        <v>0</v>
      </c>
      <c r="BK267" s="316">
        <v>0</v>
      </c>
      <c r="BL267" s="316">
        <v>0</v>
      </c>
      <c r="BM267" s="316">
        <v>0</v>
      </c>
      <c r="BN267" s="316">
        <v>0</v>
      </c>
      <c r="BO267" s="316">
        <v>0</v>
      </c>
      <c r="BP267" s="316">
        <v>0</v>
      </c>
      <c r="BQ267" s="316">
        <v>0</v>
      </c>
      <c r="BR267" s="316">
        <v>0</v>
      </c>
      <c r="BS267" s="316">
        <v>21</v>
      </c>
      <c r="BT267" s="316">
        <v>14.949</v>
      </c>
      <c r="BU267" s="316">
        <v>18.399999999999999</v>
      </c>
      <c r="BV267" s="316">
        <v>15.622999999999999</v>
      </c>
      <c r="BW267" s="317">
        <f t="shared" si="46"/>
        <v>69.971999999999994</v>
      </c>
    </row>
    <row r="268" spans="1:75" x14ac:dyDescent="0.2">
      <c r="A268" s="20" t="str">
        <f>'School Level Inst. Resources'!A268</f>
        <v>1701000</v>
      </c>
      <c r="B268" s="20" t="str">
        <f>'School Level Inst. Resources'!B268</f>
        <v>Sheridan #1</v>
      </c>
      <c r="C268" s="20" t="str">
        <f>'School Level Inst. Resources'!C268</f>
        <v>1701001</v>
      </c>
      <c r="D268" s="20" t="str">
        <f>'School Level Inst. Resources'!D268</f>
        <v>Big Horn Elementary</v>
      </c>
      <c r="E268" s="138" t="str">
        <f>'School Level Inst. Resources'!E268</f>
        <v>K-5</v>
      </c>
      <c r="F268" s="317">
        <f>IF(AND($A$2=4,VLOOKUP($A268,'District Level ADM'!$A$5:$W$52,5,FALSE)="Prior Year"),AH268,IF(AND($A$2=4,VLOOKUP($A268,'District Level ADM'!$A$5:$W$52,5,FALSE)="3-Year Avg."),T268,IF($A$2=2,AH268,IF($A$2=3,T268,IF(($AG268&gt;$AU268),T268,AH268)))))</f>
        <v>43.220666666666659</v>
      </c>
      <c r="G268" s="317">
        <f>IF(AND($A$2=4,VLOOKUP($A268,'District Level ADM'!$A$5:$W$52,5,FALSE)="Prior Year"),AI268,IF(AND($A$2=4,VLOOKUP($A268,'District Level ADM'!$A$5:$W$52,5,FALSE)="3-Year Avg."),U268,IF($A$2=2,AI268,IF($A$2=3,U268,IF(($AG268&gt;$AU268),U268,AI268)))))</f>
        <v>31.878333333333334</v>
      </c>
      <c r="H268" s="317">
        <f>IF(AND($A$2=4,VLOOKUP($A268,'District Level ADM'!$A$5:$W$52,5,FALSE)="Prior Year"),AJ268,IF(AND($A$2=4,VLOOKUP($A268,'District Level ADM'!$A$5:$W$52,5,FALSE)="3-Year Avg."),V268,IF($A$2=2,AJ268,IF($A$2=3,V268,IF(($AG268&gt;$AU268),V268,AJ268)))))</f>
        <v>33.053333333333335</v>
      </c>
      <c r="I268" s="317">
        <f>IF(AND($A$2=4,VLOOKUP($A268,'District Level ADM'!$A$5:$W$52,5,FALSE)="Prior Year"),AK268,IF(AND($A$2=4,VLOOKUP($A268,'District Level ADM'!$A$5:$W$52,5,FALSE)="3-Year Avg."),W268,IF($A$2=2,AK268,IF($A$2=3,W268,IF(($AG268&gt;$AU268),W268,AK268)))))</f>
        <v>32.277999999999999</v>
      </c>
      <c r="J268" s="317">
        <f>IF(AND($A$2=4,VLOOKUP($A268,'District Level ADM'!$A$5:$W$52,5,FALSE)="Prior Year"),AL268,IF(AND($A$2=4,VLOOKUP($A268,'District Level ADM'!$A$5:$W$52,5,FALSE)="3-Year Avg."),X268,IF($A$2=2,AL268,IF($A$2=3,X268,IF(($AG268&gt;$AU268),X268,AL268)))))</f>
        <v>31.441999999999997</v>
      </c>
      <c r="K268" s="317">
        <f>IF(AND($A$2=4,VLOOKUP($A268,'District Level ADM'!$A$5:$W$52,5,FALSE)="Prior Year"),AM268,IF(AND($A$2=4,VLOOKUP($A268,'District Level ADM'!$A$5:$W$52,5,FALSE)="3-Year Avg."),Y268,IF($A$2=2,AM268,IF($A$2=3,Y268,IF(($AG268&gt;$AU268),Y268,AM268)))))</f>
        <v>28.332333333333334</v>
      </c>
      <c r="L268" s="317">
        <f>IF(AND($A$2=4,VLOOKUP($A268,'District Level ADM'!$A$5:$W$52,5,FALSE)="Prior Year"),AN268,IF(AND($A$2=4,VLOOKUP($A268,'District Level ADM'!$A$5:$W$52,5,FALSE)="3-Year Avg."),Z268,IF($A$2=2,AN268,IF($A$2=3,Z268,IF(($AG268&gt;$AU268),Z268,AN268)))))</f>
        <v>0</v>
      </c>
      <c r="M268" s="317">
        <f>IF(AND($A$2=4,VLOOKUP($A268,'District Level ADM'!$A$5:$W$52,5,FALSE)="Prior Year"),AO268,IF(AND($A$2=4,VLOOKUP($A268,'District Level ADM'!$A$5:$W$52,5,FALSE)="3-Year Avg."),AA268,IF($A$2=2,AO268,IF($A$2=3,AA268,IF(($AG268&gt;$AU268),AA268,AO268)))))</f>
        <v>0</v>
      </c>
      <c r="N268" s="317">
        <f>IF(AND($A$2=4,VLOOKUP($A268,'District Level ADM'!$A$5:$W$52,5,FALSE)="Prior Year"),AP268,IF(AND($A$2=4,VLOOKUP($A268,'District Level ADM'!$A$5:$W$52,5,FALSE)="3-Year Avg."),AB268,IF($A$2=2,AP268,IF($A$2=3,AB268,IF(($AG268&gt;$AU268),AB268,AP268)))))</f>
        <v>0</v>
      </c>
      <c r="O268" s="317">
        <f>IF(AND($A$2=4,VLOOKUP($A268,'District Level ADM'!$A$5:$W$52,5,FALSE)="Prior Year"),AQ268,IF(AND($A$2=4,VLOOKUP($A268,'District Level ADM'!$A$5:$W$52,5,FALSE)="3-Year Avg."),AC268,IF($A$2=2,AQ268,IF($A$2=3,AC268,IF(($AG268&gt;$AU268),AC268,AQ268)))))</f>
        <v>0</v>
      </c>
      <c r="P268" s="317">
        <f>IF(AND($A$2=4,VLOOKUP($A268,'District Level ADM'!$A$5:$W$52,5,FALSE)="Prior Year"),AR268,IF(AND($A$2=4,VLOOKUP($A268,'District Level ADM'!$A$5:$W$52,5,FALSE)="3-Year Avg."),AD268,IF($A$2=2,AR268,IF($A$2=3,AD268,IF(($AG268&gt;$AU268),AD268,AR268)))))</f>
        <v>0</v>
      </c>
      <c r="Q268" s="317">
        <f>IF(AND($A$2=4,VLOOKUP($A268,'District Level ADM'!$A$5:$W$52,5,FALSE)="Prior Year"),AS268,IF(AND($A$2=4,VLOOKUP($A268,'District Level ADM'!$A$5:$W$52,5,FALSE)="3-Year Avg."),AE268,IF($A$2=2,AS268,IF($A$2=3,AE268,IF(($AG268&gt;$AU268),AE268,AS268)))))</f>
        <v>0</v>
      </c>
      <c r="R268" s="317">
        <f>IF(AND($A$2=4,VLOOKUP($A268,'District Level ADM'!$A$5:$W$52,5,FALSE)="Prior Year"),AT268,IF(AND($A$2=4,VLOOKUP($A268,'District Level ADM'!$A$5:$W$52,5,FALSE)="3-Year Avg."),AF268,IF($A$2=2,AT268,IF($A$2=3,AF268,IF(($AG268&gt;$AU268),AF268,AT268)))))</f>
        <v>0</v>
      </c>
      <c r="S268" s="317">
        <f t="shared" si="44"/>
        <v>200.20466666666667</v>
      </c>
      <c r="T268" s="317">
        <f t="shared" si="42"/>
        <v>43.220666666666659</v>
      </c>
      <c r="U268" s="317">
        <f t="shared" si="42"/>
        <v>31.878333333333334</v>
      </c>
      <c r="V268" s="317">
        <f t="shared" si="42"/>
        <v>33.053333333333335</v>
      </c>
      <c r="W268" s="317">
        <f t="shared" si="42"/>
        <v>32.277999999999999</v>
      </c>
      <c r="X268" s="317">
        <f t="shared" si="42"/>
        <v>31.441999999999997</v>
      </c>
      <c r="Y268" s="317">
        <f t="shared" si="42"/>
        <v>28.332333333333334</v>
      </c>
      <c r="Z268" s="317">
        <f t="shared" si="42"/>
        <v>0</v>
      </c>
      <c r="AA268" s="317">
        <f t="shared" si="41"/>
        <v>0</v>
      </c>
      <c r="AB268" s="317">
        <f t="shared" si="41"/>
        <v>0</v>
      </c>
      <c r="AC268" s="317">
        <f t="shared" si="41"/>
        <v>0</v>
      </c>
      <c r="AD268" s="317">
        <f t="shared" si="41"/>
        <v>0</v>
      </c>
      <c r="AE268" s="317">
        <f t="shared" si="41"/>
        <v>0</v>
      </c>
      <c r="AF268" s="317">
        <f t="shared" si="41"/>
        <v>0</v>
      </c>
      <c r="AG268" s="317">
        <f t="shared" si="45"/>
        <v>200.20466666666667</v>
      </c>
      <c r="AH268" s="318">
        <v>40.384999999999998</v>
      </c>
      <c r="AI268" s="318">
        <v>31.52</v>
      </c>
      <c r="AJ268" s="318">
        <v>32.505000000000003</v>
      </c>
      <c r="AK268" s="318">
        <v>38.414999999999999</v>
      </c>
      <c r="AL268" s="318">
        <v>30.535</v>
      </c>
      <c r="AM268" s="318">
        <v>28.565000000000001</v>
      </c>
      <c r="AN268" s="318">
        <v>0</v>
      </c>
      <c r="AO268" s="318">
        <v>0</v>
      </c>
      <c r="AP268" s="318">
        <v>0</v>
      </c>
      <c r="AQ268" s="318">
        <v>0</v>
      </c>
      <c r="AR268" s="318">
        <v>0</v>
      </c>
      <c r="AS268" s="318">
        <v>0</v>
      </c>
      <c r="AT268" s="318">
        <v>0</v>
      </c>
      <c r="AU268" s="317">
        <f t="shared" si="43"/>
        <v>201.92499999999998</v>
      </c>
      <c r="AV268" s="319">
        <v>46.094999999999999</v>
      </c>
      <c r="AW268" s="319">
        <v>32.561</v>
      </c>
      <c r="AX268" s="319">
        <v>37</v>
      </c>
      <c r="AY268" s="319">
        <v>32.100999999999999</v>
      </c>
      <c r="AZ268" s="319">
        <v>29.391999999999999</v>
      </c>
      <c r="BA268" s="319">
        <v>35.222999999999999</v>
      </c>
      <c r="BB268" s="319">
        <v>0</v>
      </c>
      <c r="BC268" s="319">
        <v>0</v>
      </c>
      <c r="BD268" s="319">
        <v>0</v>
      </c>
      <c r="BE268" s="319">
        <v>0</v>
      </c>
      <c r="BF268" s="319">
        <v>0</v>
      </c>
      <c r="BG268" s="319">
        <v>0</v>
      </c>
      <c r="BH268" s="319">
        <v>0</v>
      </c>
      <c r="BI268" s="317">
        <f t="shared" si="48"/>
        <v>212.37200000000001</v>
      </c>
      <c r="BJ268" s="316">
        <v>43.182000000000002</v>
      </c>
      <c r="BK268" s="316">
        <v>31.553999999999998</v>
      </c>
      <c r="BL268" s="316">
        <v>29.655000000000001</v>
      </c>
      <c r="BM268" s="316">
        <v>26.318000000000001</v>
      </c>
      <c r="BN268" s="316">
        <v>34.399000000000001</v>
      </c>
      <c r="BO268" s="316">
        <v>21.209</v>
      </c>
      <c r="BP268" s="316">
        <v>0</v>
      </c>
      <c r="BQ268" s="316">
        <v>0</v>
      </c>
      <c r="BR268" s="316">
        <v>0</v>
      </c>
      <c r="BS268" s="316">
        <v>0</v>
      </c>
      <c r="BT268" s="316">
        <v>0</v>
      </c>
      <c r="BU268" s="316">
        <v>0</v>
      </c>
      <c r="BV268" s="316">
        <v>0</v>
      </c>
      <c r="BW268" s="317">
        <f t="shared" si="46"/>
        <v>186.31700000000001</v>
      </c>
    </row>
    <row r="269" spans="1:75" x14ac:dyDescent="0.2">
      <c r="A269" s="20" t="str">
        <f>'School Level Inst. Resources'!A269</f>
        <v>1701000</v>
      </c>
      <c r="B269" s="20" t="str">
        <f>'School Level Inst. Resources'!B269</f>
        <v>Sheridan #1</v>
      </c>
      <c r="C269" s="20" t="str">
        <f>'School Level Inst. Resources'!C269</f>
        <v>1701002</v>
      </c>
      <c r="D269" s="20" t="str">
        <f>'School Level Inst. Resources'!D269</f>
        <v>Slack Elementary</v>
      </c>
      <c r="E269" s="138" t="str">
        <f>'School Level Inst. Resources'!E269</f>
        <v>K-5</v>
      </c>
      <c r="F269" s="317">
        <f>IF(AND($A$2=4,VLOOKUP($A269,'District Level ADM'!$A$5:$W$52,5,FALSE)="Prior Year"),AH269,IF(AND($A$2=4,VLOOKUP($A269,'District Level ADM'!$A$5:$W$52,5,FALSE)="3-Year Avg."),T269,IF($A$2=2,AH269,IF($A$2=3,T269,IF(($AG269&gt;$AU269),T269,AH269)))))</f>
        <v>0.66166666666666663</v>
      </c>
      <c r="G269" s="317">
        <f>IF(AND($A$2=4,VLOOKUP($A269,'District Level ADM'!$A$5:$W$52,5,FALSE)="Prior Year"),AI269,IF(AND($A$2=4,VLOOKUP($A269,'District Level ADM'!$A$5:$W$52,5,FALSE)="3-Year Avg."),U269,IF($A$2=2,AI269,IF($A$2=3,U269,IF(($AG269&gt;$AU269),U269,AI269)))))</f>
        <v>1.1206666666666667</v>
      </c>
      <c r="H269" s="317">
        <f>IF(AND($A$2=4,VLOOKUP($A269,'District Level ADM'!$A$5:$W$52,5,FALSE)="Prior Year"),AJ269,IF(AND($A$2=4,VLOOKUP($A269,'District Level ADM'!$A$5:$W$52,5,FALSE)="3-Year Avg."),V269,IF($A$2=2,AJ269,IF($A$2=3,V269,IF(($AG269&gt;$AU269),V269,AJ269)))))</f>
        <v>0.6306666666666666</v>
      </c>
      <c r="I269" s="317">
        <f>IF(AND($A$2=4,VLOOKUP($A269,'District Level ADM'!$A$5:$W$52,5,FALSE)="Prior Year"),AK269,IF(AND($A$2=4,VLOOKUP($A269,'District Level ADM'!$A$5:$W$52,5,FALSE)="3-Year Avg."),W269,IF($A$2=2,AK269,IF($A$2=3,W269,IF(($AG269&gt;$AU269),W269,AK269)))))</f>
        <v>0.80766666666666664</v>
      </c>
      <c r="J269" s="317">
        <f>IF(AND($A$2=4,VLOOKUP($A269,'District Level ADM'!$A$5:$W$52,5,FALSE)="Prior Year"),AL269,IF(AND($A$2=4,VLOOKUP($A269,'District Level ADM'!$A$5:$W$52,5,FALSE)="3-Year Avg."),X269,IF($A$2=2,AL269,IF($A$2=3,X269,IF(($AG269&gt;$AU269),X269,AL269)))))</f>
        <v>0.7546666666666666</v>
      </c>
      <c r="K269" s="317">
        <f>IF(AND($A$2=4,VLOOKUP($A269,'District Level ADM'!$A$5:$W$52,5,FALSE)="Prior Year"),AM269,IF(AND($A$2=4,VLOOKUP($A269,'District Level ADM'!$A$5:$W$52,5,FALSE)="3-Year Avg."),Y269,IF($A$2=2,AM269,IF($A$2=3,Y269,IF(($AG269&gt;$AU269),Y269,AM269)))))</f>
        <v>0.39633333333333337</v>
      </c>
      <c r="L269" s="317">
        <f>IF(AND($A$2=4,VLOOKUP($A269,'District Level ADM'!$A$5:$W$52,5,FALSE)="Prior Year"),AN269,IF(AND($A$2=4,VLOOKUP($A269,'District Level ADM'!$A$5:$W$52,5,FALSE)="3-Year Avg."),Z269,IF($A$2=2,AN269,IF($A$2=3,Z269,IF(($AG269&gt;$AU269),Z269,AN269)))))</f>
        <v>0</v>
      </c>
      <c r="M269" s="317">
        <f>IF(AND($A$2=4,VLOOKUP($A269,'District Level ADM'!$A$5:$W$52,5,FALSE)="Prior Year"),AO269,IF(AND($A$2=4,VLOOKUP($A269,'District Level ADM'!$A$5:$W$52,5,FALSE)="3-Year Avg."),AA269,IF($A$2=2,AO269,IF($A$2=3,AA269,IF(($AG269&gt;$AU269),AA269,AO269)))))</f>
        <v>0</v>
      </c>
      <c r="N269" s="317">
        <f>IF(AND($A$2=4,VLOOKUP($A269,'District Level ADM'!$A$5:$W$52,5,FALSE)="Prior Year"),AP269,IF(AND($A$2=4,VLOOKUP($A269,'District Level ADM'!$A$5:$W$52,5,FALSE)="3-Year Avg."),AB269,IF($A$2=2,AP269,IF($A$2=3,AB269,IF(($AG269&gt;$AU269),AB269,AP269)))))</f>
        <v>0</v>
      </c>
      <c r="O269" s="317">
        <f>IF(AND($A$2=4,VLOOKUP($A269,'District Level ADM'!$A$5:$W$52,5,FALSE)="Prior Year"),AQ269,IF(AND($A$2=4,VLOOKUP($A269,'District Level ADM'!$A$5:$W$52,5,FALSE)="3-Year Avg."),AC269,IF($A$2=2,AQ269,IF($A$2=3,AC269,IF(($AG269&gt;$AU269),AC269,AQ269)))))</f>
        <v>0</v>
      </c>
      <c r="P269" s="317">
        <f>IF(AND($A$2=4,VLOOKUP($A269,'District Level ADM'!$A$5:$W$52,5,FALSE)="Prior Year"),AR269,IF(AND($A$2=4,VLOOKUP($A269,'District Level ADM'!$A$5:$W$52,5,FALSE)="3-Year Avg."),AD269,IF($A$2=2,AR269,IF($A$2=3,AD269,IF(($AG269&gt;$AU269),AD269,AR269)))))</f>
        <v>0</v>
      </c>
      <c r="Q269" s="317">
        <f>IF(AND($A$2=4,VLOOKUP($A269,'District Level ADM'!$A$5:$W$52,5,FALSE)="Prior Year"),AS269,IF(AND($A$2=4,VLOOKUP($A269,'District Level ADM'!$A$5:$W$52,5,FALSE)="3-Year Avg."),AE269,IF($A$2=2,AS269,IF($A$2=3,AE269,IF(($AG269&gt;$AU269),AE269,AS269)))))</f>
        <v>0</v>
      </c>
      <c r="R269" s="317">
        <f>IF(AND($A$2=4,VLOOKUP($A269,'District Level ADM'!$A$5:$W$52,5,FALSE)="Prior Year"),AT269,IF(AND($A$2=4,VLOOKUP($A269,'District Level ADM'!$A$5:$W$52,5,FALSE)="3-Year Avg."),AF269,IF($A$2=2,AT269,IF($A$2=3,AF269,IF(($AG269&gt;$AU269),AF269,AT269)))))</f>
        <v>0</v>
      </c>
      <c r="S269" s="317">
        <f t="shared" si="44"/>
        <v>4.3716666666666661</v>
      </c>
      <c r="T269" s="317">
        <f t="shared" si="42"/>
        <v>0.66166666666666663</v>
      </c>
      <c r="U269" s="317">
        <f t="shared" si="42"/>
        <v>1.1206666666666667</v>
      </c>
      <c r="V269" s="317">
        <f t="shared" si="42"/>
        <v>0.6306666666666666</v>
      </c>
      <c r="W269" s="317">
        <f t="shared" si="42"/>
        <v>0.80766666666666664</v>
      </c>
      <c r="X269" s="317">
        <f t="shared" si="42"/>
        <v>0.7546666666666666</v>
      </c>
      <c r="Y269" s="317">
        <f t="shared" si="42"/>
        <v>0.39633333333333337</v>
      </c>
      <c r="Z269" s="317">
        <f t="shared" si="42"/>
        <v>0</v>
      </c>
      <c r="AA269" s="317">
        <f t="shared" si="41"/>
        <v>0</v>
      </c>
      <c r="AB269" s="317">
        <f t="shared" si="41"/>
        <v>0</v>
      </c>
      <c r="AC269" s="317">
        <f t="shared" si="41"/>
        <v>0</v>
      </c>
      <c r="AD269" s="317">
        <f t="shared" si="41"/>
        <v>0</v>
      </c>
      <c r="AE269" s="317">
        <f t="shared" si="41"/>
        <v>0</v>
      </c>
      <c r="AF269" s="317">
        <f t="shared" si="41"/>
        <v>0</v>
      </c>
      <c r="AG269" s="317">
        <f t="shared" si="45"/>
        <v>4.3716666666666661</v>
      </c>
      <c r="AH269" s="318">
        <v>0.98499999999999999</v>
      </c>
      <c r="AI269" s="318">
        <v>1.97</v>
      </c>
      <c r="AJ269" s="318">
        <v>0</v>
      </c>
      <c r="AK269" s="318">
        <v>1.97</v>
      </c>
      <c r="AL269" s="318">
        <v>0</v>
      </c>
      <c r="AM269" s="318">
        <v>0</v>
      </c>
      <c r="AN269" s="318">
        <v>0</v>
      </c>
      <c r="AO269" s="318">
        <v>0</v>
      </c>
      <c r="AP269" s="318">
        <v>0</v>
      </c>
      <c r="AQ269" s="318">
        <v>0</v>
      </c>
      <c r="AR269" s="318">
        <v>0</v>
      </c>
      <c r="AS269" s="318">
        <v>0</v>
      </c>
      <c r="AT269" s="318">
        <v>0</v>
      </c>
      <c r="AU269" s="317">
        <f t="shared" si="43"/>
        <v>4.9249999999999998</v>
      </c>
      <c r="AV269" s="319">
        <v>1</v>
      </c>
      <c r="AW269" s="319">
        <v>0</v>
      </c>
      <c r="AX269" s="319">
        <v>1.1890000000000001</v>
      </c>
      <c r="AY269" s="319">
        <v>0</v>
      </c>
      <c r="AZ269" s="319">
        <v>0</v>
      </c>
      <c r="BA269" s="319">
        <v>1.1890000000000001</v>
      </c>
      <c r="BB269" s="319">
        <v>0</v>
      </c>
      <c r="BC269" s="319">
        <v>0</v>
      </c>
      <c r="BD269" s="319">
        <v>0</v>
      </c>
      <c r="BE269" s="319">
        <v>0</v>
      </c>
      <c r="BF269" s="319">
        <v>0</v>
      </c>
      <c r="BG269" s="319">
        <v>0</v>
      </c>
      <c r="BH269" s="319">
        <v>0</v>
      </c>
      <c r="BI269" s="317">
        <f t="shared" si="48"/>
        <v>3.3780000000000001</v>
      </c>
      <c r="BJ269" s="316">
        <v>0</v>
      </c>
      <c r="BK269" s="316">
        <v>1.3919999999999999</v>
      </c>
      <c r="BL269" s="316">
        <v>0.70299999999999996</v>
      </c>
      <c r="BM269" s="316">
        <v>0.45300000000000001</v>
      </c>
      <c r="BN269" s="316">
        <v>2.2639999999999998</v>
      </c>
      <c r="BO269" s="316">
        <v>0</v>
      </c>
      <c r="BP269" s="316">
        <v>0</v>
      </c>
      <c r="BQ269" s="316">
        <v>0</v>
      </c>
      <c r="BR269" s="316">
        <v>0</v>
      </c>
      <c r="BS269" s="316">
        <v>0</v>
      </c>
      <c r="BT269" s="316">
        <v>0</v>
      </c>
      <c r="BU269" s="316">
        <v>0</v>
      </c>
      <c r="BV269" s="316">
        <v>0</v>
      </c>
      <c r="BW269" s="317">
        <f t="shared" si="46"/>
        <v>4.8119999999999994</v>
      </c>
    </row>
    <row r="270" spans="1:75" x14ac:dyDescent="0.2">
      <c r="A270" s="20" t="str">
        <f>'School Level Inst. Resources'!A270</f>
        <v>1701000</v>
      </c>
      <c r="B270" s="20" t="str">
        <f>'School Level Inst. Resources'!B270</f>
        <v>Sheridan #1</v>
      </c>
      <c r="C270" s="20" t="str">
        <f>'School Level Inst. Resources'!C270</f>
        <v>1701003</v>
      </c>
      <c r="D270" s="20" t="str">
        <f>'School Level Inst. Resources'!D270</f>
        <v>Tongue River Elementary</v>
      </c>
      <c r="E270" s="138" t="str">
        <f>'School Level Inst. Resources'!E270</f>
        <v>K-5</v>
      </c>
      <c r="F270" s="317">
        <f>IF(AND($A$2=4,VLOOKUP($A270,'District Level ADM'!$A$5:$W$52,5,FALSE)="Prior Year"),AH270,IF(AND($A$2=4,VLOOKUP($A270,'District Level ADM'!$A$5:$W$52,5,FALSE)="3-Year Avg."),T270,IF($A$2=2,AH270,IF($A$2=3,T270,IF(($AG270&gt;$AU270),T270,AH270)))))</f>
        <v>47.480333333333327</v>
      </c>
      <c r="G270" s="317">
        <f>IF(AND($A$2=4,VLOOKUP($A270,'District Level ADM'!$A$5:$W$52,5,FALSE)="Prior Year"),AI270,IF(AND($A$2=4,VLOOKUP($A270,'District Level ADM'!$A$5:$W$52,5,FALSE)="3-Year Avg."),U270,IF($A$2=2,AI270,IF($A$2=3,U270,IF(($AG270&gt;$AU270),U270,AI270)))))</f>
        <v>37.04633333333333</v>
      </c>
      <c r="H270" s="317">
        <f>IF(AND($A$2=4,VLOOKUP($A270,'District Level ADM'!$A$5:$W$52,5,FALSE)="Prior Year"),AJ270,IF(AND($A$2=4,VLOOKUP($A270,'District Level ADM'!$A$5:$W$52,5,FALSE)="3-Year Avg."),V270,IF($A$2=2,AJ270,IF($A$2=3,V270,IF(($AG270&gt;$AU270),V270,AJ270)))))</f>
        <v>36.626000000000005</v>
      </c>
      <c r="I270" s="317">
        <f>IF(AND($A$2=4,VLOOKUP($A270,'District Level ADM'!$A$5:$W$52,5,FALSE)="Prior Year"),AK270,IF(AND($A$2=4,VLOOKUP($A270,'District Level ADM'!$A$5:$W$52,5,FALSE)="3-Year Avg."),W270,IF($A$2=2,AK270,IF($A$2=3,W270,IF(($AG270&gt;$AU270),W270,AK270)))))</f>
        <v>39.790666666666674</v>
      </c>
      <c r="J270" s="317">
        <f>IF(AND($A$2=4,VLOOKUP($A270,'District Level ADM'!$A$5:$W$52,5,FALSE)="Prior Year"),AL270,IF(AND($A$2=4,VLOOKUP($A270,'District Level ADM'!$A$5:$W$52,5,FALSE)="3-Year Avg."),X270,IF($A$2=2,AL270,IF($A$2=3,X270,IF(($AG270&gt;$AU270),X270,AL270)))))</f>
        <v>42.492333333333335</v>
      </c>
      <c r="K270" s="317">
        <f>IF(AND($A$2=4,VLOOKUP($A270,'District Level ADM'!$A$5:$W$52,5,FALSE)="Prior Year"),AM270,IF(AND($A$2=4,VLOOKUP($A270,'District Level ADM'!$A$5:$W$52,5,FALSE)="3-Year Avg."),Y270,IF($A$2=2,AM270,IF($A$2=3,Y270,IF(($AG270&gt;$AU270),Y270,AM270)))))</f>
        <v>44.054333333333339</v>
      </c>
      <c r="L270" s="317">
        <f>IF(AND($A$2=4,VLOOKUP($A270,'District Level ADM'!$A$5:$W$52,5,FALSE)="Prior Year"),AN270,IF(AND($A$2=4,VLOOKUP($A270,'District Level ADM'!$A$5:$W$52,5,FALSE)="3-Year Avg."),Z270,IF($A$2=2,AN270,IF($A$2=3,Z270,IF(($AG270&gt;$AU270),Z270,AN270)))))</f>
        <v>0</v>
      </c>
      <c r="M270" s="317">
        <f>IF(AND($A$2=4,VLOOKUP($A270,'District Level ADM'!$A$5:$W$52,5,FALSE)="Prior Year"),AO270,IF(AND($A$2=4,VLOOKUP($A270,'District Level ADM'!$A$5:$W$52,5,FALSE)="3-Year Avg."),AA270,IF($A$2=2,AO270,IF($A$2=3,AA270,IF(($AG270&gt;$AU270),AA270,AO270)))))</f>
        <v>0</v>
      </c>
      <c r="N270" s="317">
        <f>IF(AND($A$2=4,VLOOKUP($A270,'District Level ADM'!$A$5:$W$52,5,FALSE)="Prior Year"),AP270,IF(AND($A$2=4,VLOOKUP($A270,'District Level ADM'!$A$5:$W$52,5,FALSE)="3-Year Avg."),AB270,IF($A$2=2,AP270,IF($A$2=3,AB270,IF(($AG270&gt;$AU270),AB270,AP270)))))</f>
        <v>0</v>
      </c>
      <c r="O270" s="317">
        <f>IF(AND($A$2=4,VLOOKUP($A270,'District Level ADM'!$A$5:$W$52,5,FALSE)="Prior Year"),AQ270,IF(AND($A$2=4,VLOOKUP($A270,'District Level ADM'!$A$5:$W$52,5,FALSE)="3-Year Avg."),AC270,IF($A$2=2,AQ270,IF($A$2=3,AC270,IF(($AG270&gt;$AU270),AC270,AQ270)))))</f>
        <v>0</v>
      </c>
      <c r="P270" s="317">
        <f>IF(AND($A$2=4,VLOOKUP($A270,'District Level ADM'!$A$5:$W$52,5,FALSE)="Prior Year"),AR270,IF(AND($A$2=4,VLOOKUP($A270,'District Level ADM'!$A$5:$W$52,5,FALSE)="3-Year Avg."),AD270,IF($A$2=2,AR270,IF($A$2=3,AD270,IF(($AG270&gt;$AU270),AD270,AR270)))))</f>
        <v>0</v>
      </c>
      <c r="Q270" s="317">
        <f>IF(AND($A$2=4,VLOOKUP($A270,'District Level ADM'!$A$5:$W$52,5,FALSE)="Prior Year"),AS270,IF(AND($A$2=4,VLOOKUP($A270,'District Level ADM'!$A$5:$W$52,5,FALSE)="3-Year Avg."),AE270,IF($A$2=2,AS270,IF($A$2=3,AE270,IF(($AG270&gt;$AU270),AE270,AS270)))))</f>
        <v>0</v>
      </c>
      <c r="R270" s="317">
        <f>IF(AND($A$2=4,VLOOKUP($A270,'District Level ADM'!$A$5:$W$52,5,FALSE)="Prior Year"),AT270,IF(AND($A$2=4,VLOOKUP($A270,'District Level ADM'!$A$5:$W$52,5,FALSE)="3-Year Avg."),AF270,IF($A$2=2,AT270,IF($A$2=3,AF270,IF(($AG270&gt;$AU270),AF270,AT270)))))</f>
        <v>0</v>
      </c>
      <c r="S270" s="317">
        <f t="shared" si="44"/>
        <v>247.49</v>
      </c>
      <c r="T270" s="317">
        <f t="shared" si="42"/>
        <v>47.480333333333327</v>
      </c>
      <c r="U270" s="317">
        <f t="shared" si="42"/>
        <v>37.04633333333333</v>
      </c>
      <c r="V270" s="317">
        <f t="shared" si="42"/>
        <v>36.626000000000005</v>
      </c>
      <c r="W270" s="317">
        <f t="shared" si="42"/>
        <v>39.790666666666674</v>
      </c>
      <c r="X270" s="317">
        <f t="shared" si="42"/>
        <v>42.492333333333335</v>
      </c>
      <c r="Y270" s="317">
        <f t="shared" si="42"/>
        <v>44.054333333333339</v>
      </c>
      <c r="Z270" s="317">
        <f t="shared" si="42"/>
        <v>0</v>
      </c>
      <c r="AA270" s="317">
        <f t="shared" si="41"/>
        <v>0</v>
      </c>
      <c r="AB270" s="317">
        <f t="shared" si="41"/>
        <v>0</v>
      </c>
      <c r="AC270" s="317">
        <f t="shared" si="41"/>
        <v>0</v>
      </c>
      <c r="AD270" s="317">
        <f t="shared" si="41"/>
        <v>0</v>
      </c>
      <c r="AE270" s="317">
        <f t="shared" si="41"/>
        <v>0</v>
      </c>
      <c r="AF270" s="317">
        <f t="shared" si="41"/>
        <v>0</v>
      </c>
      <c r="AG270" s="317">
        <f t="shared" si="45"/>
        <v>247.49</v>
      </c>
      <c r="AH270" s="318">
        <v>39.4</v>
      </c>
      <c r="AI270" s="318">
        <v>42.354999999999997</v>
      </c>
      <c r="AJ270" s="318">
        <v>36.445</v>
      </c>
      <c r="AK270" s="318">
        <v>35.46</v>
      </c>
      <c r="AL270" s="318">
        <v>42.354999999999997</v>
      </c>
      <c r="AM270" s="318">
        <v>44.325000000000003</v>
      </c>
      <c r="AN270" s="318">
        <v>0</v>
      </c>
      <c r="AO270" s="318">
        <v>0</v>
      </c>
      <c r="AP270" s="318">
        <v>0</v>
      </c>
      <c r="AQ270" s="318">
        <v>0</v>
      </c>
      <c r="AR270" s="318">
        <v>0</v>
      </c>
      <c r="AS270" s="318">
        <v>0</v>
      </c>
      <c r="AT270" s="318">
        <v>0</v>
      </c>
      <c r="AU270" s="317">
        <f t="shared" si="43"/>
        <v>240.33999999999997</v>
      </c>
      <c r="AV270" s="319">
        <v>53.168999999999997</v>
      </c>
      <c r="AW270" s="319">
        <v>38</v>
      </c>
      <c r="AX270" s="319">
        <v>33.668999999999997</v>
      </c>
      <c r="AY270" s="319">
        <v>39.703000000000003</v>
      </c>
      <c r="AZ270" s="319">
        <v>40.222999999999999</v>
      </c>
      <c r="BA270" s="319">
        <v>44.622</v>
      </c>
      <c r="BB270" s="319">
        <v>0</v>
      </c>
      <c r="BC270" s="319">
        <v>0</v>
      </c>
      <c r="BD270" s="319">
        <v>0</v>
      </c>
      <c r="BE270" s="319">
        <v>0</v>
      </c>
      <c r="BF270" s="319">
        <v>0</v>
      </c>
      <c r="BG270" s="319">
        <v>0</v>
      </c>
      <c r="BH270" s="319">
        <v>0</v>
      </c>
      <c r="BI270" s="317">
        <f t="shared" si="48"/>
        <v>249.38600000000002</v>
      </c>
      <c r="BJ270" s="316">
        <v>49.872</v>
      </c>
      <c r="BK270" s="316">
        <v>30.783999999999999</v>
      </c>
      <c r="BL270" s="316">
        <v>39.764000000000003</v>
      </c>
      <c r="BM270" s="316">
        <v>44.209000000000003</v>
      </c>
      <c r="BN270" s="316">
        <v>44.899000000000001</v>
      </c>
      <c r="BO270" s="316">
        <v>43.216000000000001</v>
      </c>
      <c r="BP270" s="316">
        <v>0</v>
      </c>
      <c r="BQ270" s="316">
        <v>0</v>
      </c>
      <c r="BR270" s="316">
        <v>0</v>
      </c>
      <c r="BS270" s="316">
        <v>0</v>
      </c>
      <c r="BT270" s="316">
        <v>0</v>
      </c>
      <c r="BU270" s="316">
        <v>0</v>
      </c>
      <c r="BV270" s="316">
        <v>0</v>
      </c>
      <c r="BW270" s="317">
        <f t="shared" si="46"/>
        <v>252.74400000000003</v>
      </c>
    </row>
    <row r="271" spans="1:75" x14ac:dyDescent="0.2">
      <c r="A271" s="20" t="str">
        <f>'School Level Inst. Resources'!A271</f>
        <v>1701000</v>
      </c>
      <c r="B271" s="20" t="str">
        <f>'School Level Inst. Resources'!B271</f>
        <v>Sheridan #1</v>
      </c>
      <c r="C271" s="20" t="str">
        <f>'School Level Inst. Resources'!C271</f>
        <v>1701048</v>
      </c>
      <c r="D271" s="20" t="str">
        <f>'School Level Inst. Resources'!D271</f>
        <v>The Bridge School</v>
      </c>
      <c r="E271" s="138" t="str">
        <f>'School Level Inst. Resources'!E271</f>
        <v>6-12</v>
      </c>
      <c r="F271" s="317">
        <f>IF(AND($A$2=4,VLOOKUP($A271,'District Level ADM'!$A$5:$W$52,5,FALSE)="Prior Year"),AH271,IF(AND($A$2=4,VLOOKUP($A271,'District Level ADM'!$A$5:$W$52,5,FALSE)="3-Year Avg."),T271,IF($A$2=2,AH271,IF($A$2=3,T271,IF(($AG271&gt;$AU271),T271,AH271)))))</f>
        <v>0</v>
      </c>
      <c r="G271" s="317">
        <f>IF(AND($A$2=4,VLOOKUP($A271,'District Level ADM'!$A$5:$W$52,5,FALSE)="Prior Year"),AI271,IF(AND($A$2=4,VLOOKUP($A271,'District Level ADM'!$A$5:$W$52,5,FALSE)="3-Year Avg."),U271,IF($A$2=2,AI271,IF($A$2=3,U271,IF(($AG271&gt;$AU271),U271,AI271)))))</f>
        <v>0</v>
      </c>
      <c r="H271" s="317">
        <f>IF(AND($A$2=4,VLOOKUP($A271,'District Level ADM'!$A$5:$W$52,5,FALSE)="Prior Year"),AJ271,IF(AND($A$2=4,VLOOKUP($A271,'District Level ADM'!$A$5:$W$52,5,FALSE)="3-Year Avg."),V271,IF($A$2=2,AJ271,IF($A$2=3,V271,IF(($AG271&gt;$AU271),V271,AJ271)))))</f>
        <v>0</v>
      </c>
      <c r="I271" s="317">
        <f>IF(AND($A$2=4,VLOOKUP($A271,'District Level ADM'!$A$5:$W$52,5,FALSE)="Prior Year"),AK271,IF(AND($A$2=4,VLOOKUP($A271,'District Level ADM'!$A$5:$W$52,5,FALSE)="3-Year Avg."),W271,IF($A$2=2,AK271,IF($A$2=3,W271,IF(($AG271&gt;$AU271),W271,AK271)))))</f>
        <v>0</v>
      </c>
      <c r="J271" s="317">
        <f>IF(AND($A$2=4,VLOOKUP($A271,'District Level ADM'!$A$5:$W$52,5,FALSE)="Prior Year"),AL271,IF(AND($A$2=4,VLOOKUP($A271,'District Level ADM'!$A$5:$W$52,5,FALSE)="3-Year Avg."),X271,IF($A$2=2,AL271,IF($A$2=3,X271,IF(($AG271&gt;$AU271),X271,AL271)))))</f>
        <v>0</v>
      </c>
      <c r="K271" s="317">
        <f>IF(AND($A$2=4,VLOOKUP($A271,'District Level ADM'!$A$5:$W$52,5,FALSE)="Prior Year"),AM271,IF(AND($A$2=4,VLOOKUP($A271,'District Level ADM'!$A$5:$W$52,5,FALSE)="3-Year Avg."),Y271,IF($A$2=2,AM271,IF($A$2=3,Y271,IF(($AG271&gt;$AU271),Y271,AM271)))))</f>
        <v>0</v>
      </c>
      <c r="L271" s="317">
        <f>IF(AND($A$2=4,VLOOKUP($A271,'District Level ADM'!$A$5:$W$52,5,FALSE)="Prior Year"),AN271,IF(AND($A$2=4,VLOOKUP($A271,'District Level ADM'!$A$5:$W$52,5,FALSE)="3-Year Avg."),Z271,IF($A$2=2,AN271,IF($A$2=3,Z271,IF(($AG271&gt;$AU271),Z271,AN271)))))</f>
        <v>0</v>
      </c>
      <c r="M271" s="317">
        <f>IF(AND($A$2=4,VLOOKUP($A271,'District Level ADM'!$A$5:$W$52,5,FALSE)="Prior Year"),AO271,IF(AND($A$2=4,VLOOKUP($A271,'District Level ADM'!$A$5:$W$52,5,FALSE)="3-Year Avg."),AA271,IF($A$2=2,AO271,IF($A$2=3,AA271,IF(($AG271&gt;$AU271),AA271,AO271)))))</f>
        <v>0</v>
      </c>
      <c r="N271" s="317">
        <f>IF(AND($A$2=4,VLOOKUP($A271,'District Level ADM'!$A$5:$W$52,5,FALSE)="Prior Year"),AP271,IF(AND($A$2=4,VLOOKUP($A271,'District Level ADM'!$A$5:$W$52,5,FALSE)="3-Year Avg."),AB271,IF($A$2=2,AP271,IF($A$2=3,AB271,IF(($AG271&gt;$AU271),AB271,AP271)))))</f>
        <v>0</v>
      </c>
      <c r="O271" s="317">
        <f>IF(AND($A$2=4,VLOOKUP($A271,'District Level ADM'!$A$5:$W$52,5,FALSE)="Prior Year"),AQ271,IF(AND($A$2=4,VLOOKUP($A271,'District Level ADM'!$A$5:$W$52,5,FALSE)="3-Year Avg."),AC271,IF($A$2=2,AQ271,IF($A$2=3,AC271,IF(($AG271&gt;$AU271),AC271,AQ271)))))</f>
        <v>0.12166666666666666</v>
      </c>
      <c r="P271" s="317">
        <f>IF(AND($A$2=4,VLOOKUP($A271,'District Level ADM'!$A$5:$W$52,5,FALSE)="Prior Year"),AR271,IF(AND($A$2=4,VLOOKUP($A271,'District Level ADM'!$A$5:$W$52,5,FALSE)="3-Year Avg."),AD271,IF($A$2=2,AR271,IF($A$2=3,AD271,IF(($AG271&gt;$AU271),AD271,AR271)))))</f>
        <v>1.081</v>
      </c>
      <c r="Q271" s="317">
        <f>IF(AND($A$2=4,VLOOKUP($A271,'District Level ADM'!$A$5:$W$52,5,FALSE)="Prior Year"),AS271,IF(AND($A$2=4,VLOOKUP($A271,'District Level ADM'!$A$5:$W$52,5,FALSE)="3-Year Avg."),AE271,IF($A$2=2,AS271,IF($A$2=3,AE271,IF(($AG271&gt;$AU271),AE271,AS271)))))</f>
        <v>6.9666666666666668E-2</v>
      </c>
      <c r="R271" s="317">
        <f>IF(AND($A$2=4,VLOOKUP($A271,'District Level ADM'!$A$5:$W$52,5,FALSE)="Prior Year"),AT271,IF(AND($A$2=4,VLOOKUP($A271,'District Level ADM'!$A$5:$W$52,5,FALSE)="3-Year Avg."),AF271,IF($A$2=2,AT271,IF($A$2=3,AF271,IF(($AG271&gt;$AU271),AF271,AT271)))))</f>
        <v>0.80200000000000005</v>
      </c>
      <c r="S271" s="317">
        <f t="shared" si="44"/>
        <v>2.0743333333333336</v>
      </c>
      <c r="T271" s="317">
        <f t="shared" si="42"/>
        <v>0</v>
      </c>
      <c r="U271" s="317">
        <f t="shared" si="42"/>
        <v>0</v>
      </c>
      <c r="V271" s="317">
        <f t="shared" si="42"/>
        <v>0</v>
      </c>
      <c r="W271" s="317">
        <f t="shared" si="42"/>
        <v>0</v>
      </c>
      <c r="X271" s="317">
        <f t="shared" si="42"/>
        <v>0</v>
      </c>
      <c r="Y271" s="317">
        <f t="shared" si="42"/>
        <v>0</v>
      </c>
      <c r="Z271" s="317">
        <f t="shared" si="42"/>
        <v>0</v>
      </c>
      <c r="AA271" s="317">
        <f t="shared" si="41"/>
        <v>0</v>
      </c>
      <c r="AB271" s="317">
        <f t="shared" si="41"/>
        <v>0</v>
      </c>
      <c r="AC271" s="317">
        <f t="shared" si="41"/>
        <v>0.12166666666666666</v>
      </c>
      <c r="AD271" s="317">
        <f t="shared" si="41"/>
        <v>1.081</v>
      </c>
      <c r="AE271" s="317">
        <f t="shared" si="41"/>
        <v>6.9666666666666668E-2</v>
      </c>
      <c r="AF271" s="317">
        <f t="shared" si="41"/>
        <v>0.80200000000000005</v>
      </c>
      <c r="AG271" s="317">
        <f t="shared" si="45"/>
        <v>2.0743333333333336</v>
      </c>
      <c r="AH271" s="318">
        <v>0</v>
      </c>
      <c r="AI271" s="318">
        <v>0</v>
      </c>
      <c r="AJ271" s="318">
        <v>0</v>
      </c>
      <c r="AK271" s="318">
        <v>0</v>
      </c>
      <c r="AL271" s="318">
        <v>0</v>
      </c>
      <c r="AM271" s="318">
        <v>0</v>
      </c>
      <c r="AN271" s="318">
        <v>0</v>
      </c>
      <c r="AO271" s="318">
        <v>0</v>
      </c>
      <c r="AP271" s="318">
        <v>0</v>
      </c>
      <c r="AQ271" s="318">
        <v>0</v>
      </c>
      <c r="AR271" s="318">
        <v>0.99299999999999999</v>
      </c>
      <c r="AS271" s="318">
        <v>0</v>
      </c>
      <c r="AT271" s="318">
        <v>0.56100000000000005</v>
      </c>
      <c r="AU271" s="317">
        <f t="shared" si="43"/>
        <v>1.554</v>
      </c>
      <c r="AV271" s="319">
        <v>0</v>
      </c>
      <c r="AW271" s="319">
        <v>0</v>
      </c>
      <c r="AX271" s="319">
        <v>0</v>
      </c>
      <c r="AY271" s="319">
        <v>0</v>
      </c>
      <c r="AZ271" s="319">
        <v>0</v>
      </c>
      <c r="BA271" s="319">
        <v>0</v>
      </c>
      <c r="BB271" s="319">
        <v>0</v>
      </c>
      <c r="BC271" s="319">
        <v>0</v>
      </c>
      <c r="BD271" s="319">
        <v>0</v>
      </c>
      <c r="BE271" s="319">
        <v>0</v>
      </c>
      <c r="BF271" s="319">
        <v>0.99299999999999999</v>
      </c>
      <c r="BG271" s="319">
        <v>0</v>
      </c>
      <c r="BH271" s="319">
        <v>0.56100000000000005</v>
      </c>
      <c r="BI271" s="317">
        <f t="shared" si="48"/>
        <v>1.554</v>
      </c>
      <c r="BJ271" s="316">
        <v>0</v>
      </c>
      <c r="BK271" s="316">
        <v>0</v>
      </c>
      <c r="BL271" s="316">
        <v>0</v>
      </c>
      <c r="BM271" s="316">
        <v>0</v>
      </c>
      <c r="BN271" s="316">
        <v>0</v>
      </c>
      <c r="BO271" s="316">
        <v>0</v>
      </c>
      <c r="BP271" s="316">
        <v>0</v>
      </c>
      <c r="BQ271" s="316">
        <v>0</v>
      </c>
      <c r="BR271" s="316">
        <v>0</v>
      </c>
      <c r="BS271" s="316">
        <v>0.36499999999999999</v>
      </c>
      <c r="BT271" s="316">
        <v>1.2569999999999999</v>
      </c>
      <c r="BU271" s="316">
        <v>0.20899999999999999</v>
      </c>
      <c r="BV271" s="316">
        <v>1.284</v>
      </c>
      <c r="BW271" s="317">
        <f t="shared" si="46"/>
        <v>3.1150000000000002</v>
      </c>
    </row>
    <row r="272" spans="1:75" x14ac:dyDescent="0.2">
      <c r="A272" s="20" t="str">
        <f>'School Level Inst. Resources'!A272</f>
        <v>1701000</v>
      </c>
      <c r="B272" s="20" t="str">
        <f>'School Level Inst. Resources'!B272</f>
        <v>Sheridan #1</v>
      </c>
      <c r="C272" s="20" t="str">
        <f>'School Level Inst. Resources'!C272</f>
        <v>1701050</v>
      </c>
      <c r="D272" s="20" t="str">
        <f>'School Level Inst. Resources'!D272</f>
        <v>Big Horn Middle School</v>
      </c>
      <c r="E272" s="138" t="str">
        <f>'School Level Inst. Resources'!E272</f>
        <v>6-8</v>
      </c>
      <c r="F272" s="317">
        <f>IF(AND($A$2=4,VLOOKUP($A272,'District Level ADM'!$A$5:$W$52,5,FALSE)="Prior Year"),AH272,IF(AND($A$2=4,VLOOKUP($A272,'District Level ADM'!$A$5:$W$52,5,FALSE)="3-Year Avg."),T272,IF($A$2=2,AH272,IF($A$2=3,T272,IF(($AG272&gt;$AU272),T272,AH272)))))</f>
        <v>0</v>
      </c>
      <c r="G272" s="317">
        <f>IF(AND($A$2=4,VLOOKUP($A272,'District Level ADM'!$A$5:$W$52,5,FALSE)="Prior Year"),AI272,IF(AND($A$2=4,VLOOKUP($A272,'District Level ADM'!$A$5:$W$52,5,FALSE)="3-Year Avg."),U272,IF($A$2=2,AI272,IF($A$2=3,U272,IF(($AG272&gt;$AU272),U272,AI272)))))</f>
        <v>0</v>
      </c>
      <c r="H272" s="317">
        <f>IF(AND($A$2=4,VLOOKUP($A272,'District Level ADM'!$A$5:$W$52,5,FALSE)="Prior Year"),AJ272,IF(AND($A$2=4,VLOOKUP($A272,'District Level ADM'!$A$5:$W$52,5,FALSE)="3-Year Avg."),V272,IF($A$2=2,AJ272,IF($A$2=3,V272,IF(($AG272&gt;$AU272),V272,AJ272)))))</f>
        <v>0</v>
      </c>
      <c r="I272" s="317">
        <f>IF(AND($A$2=4,VLOOKUP($A272,'District Level ADM'!$A$5:$W$52,5,FALSE)="Prior Year"),AK272,IF(AND($A$2=4,VLOOKUP($A272,'District Level ADM'!$A$5:$W$52,5,FALSE)="3-Year Avg."),W272,IF($A$2=2,AK272,IF($A$2=3,W272,IF(($AG272&gt;$AU272),W272,AK272)))))</f>
        <v>0</v>
      </c>
      <c r="J272" s="317">
        <f>IF(AND($A$2=4,VLOOKUP($A272,'District Level ADM'!$A$5:$W$52,5,FALSE)="Prior Year"),AL272,IF(AND($A$2=4,VLOOKUP($A272,'District Level ADM'!$A$5:$W$52,5,FALSE)="3-Year Avg."),X272,IF($A$2=2,AL272,IF($A$2=3,X272,IF(($AG272&gt;$AU272),X272,AL272)))))</f>
        <v>0</v>
      </c>
      <c r="K272" s="317">
        <f>IF(AND($A$2=4,VLOOKUP($A272,'District Level ADM'!$A$5:$W$52,5,FALSE)="Prior Year"),AM272,IF(AND($A$2=4,VLOOKUP($A272,'District Level ADM'!$A$5:$W$52,5,FALSE)="3-Year Avg."),Y272,IF($A$2=2,AM272,IF($A$2=3,Y272,IF(($AG272&gt;$AU272),Y272,AM272)))))</f>
        <v>0</v>
      </c>
      <c r="L272" s="317">
        <f>IF(AND($A$2=4,VLOOKUP($A272,'District Level ADM'!$A$5:$W$52,5,FALSE)="Prior Year"),AN272,IF(AND($A$2=4,VLOOKUP($A272,'District Level ADM'!$A$5:$W$52,5,FALSE)="3-Year Avg."),Z272,IF($A$2=2,AN272,IF($A$2=3,Z272,IF(($AG272&gt;$AU272),Z272,AN272)))))</f>
        <v>27.594666666666665</v>
      </c>
      <c r="M272" s="317">
        <f>IF(AND($A$2=4,VLOOKUP($A272,'District Level ADM'!$A$5:$W$52,5,FALSE)="Prior Year"),AO272,IF(AND($A$2=4,VLOOKUP($A272,'District Level ADM'!$A$5:$W$52,5,FALSE)="3-Year Avg."),AA272,IF($A$2=2,AO272,IF($A$2=3,AA272,IF(($AG272&gt;$AU272),AA272,AO272)))))</f>
        <v>32.269666666666666</v>
      </c>
      <c r="N272" s="317">
        <f>IF(AND($A$2=4,VLOOKUP($A272,'District Level ADM'!$A$5:$W$52,5,FALSE)="Prior Year"),AP272,IF(AND($A$2=4,VLOOKUP($A272,'District Level ADM'!$A$5:$W$52,5,FALSE)="3-Year Avg."),AB272,IF($A$2=2,AP272,IF($A$2=3,AB272,IF(($AG272&gt;$AU272),AB272,AP272)))))</f>
        <v>36.238</v>
      </c>
      <c r="O272" s="317">
        <f>IF(AND($A$2=4,VLOOKUP($A272,'District Level ADM'!$A$5:$W$52,5,FALSE)="Prior Year"),AQ272,IF(AND($A$2=4,VLOOKUP($A272,'District Level ADM'!$A$5:$W$52,5,FALSE)="3-Year Avg."),AC272,IF($A$2=2,AQ272,IF($A$2=3,AC272,IF(($AG272&gt;$AU272),AC272,AQ272)))))</f>
        <v>0</v>
      </c>
      <c r="P272" s="317">
        <f>IF(AND($A$2=4,VLOOKUP($A272,'District Level ADM'!$A$5:$W$52,5,FALSE)="Prior Year"),AR272,IF(AND($A$2=4,VLOOKUP($A272,'District Level ADM'!$A$5:$W$52,5,FALSE)="3-Year Avg."),AD272,IF($A$2=2,AR272,IF($A$2=3,AD272,IF(($AG272&gt;$AU272),AD272,AR272)))))</f>
        <v>0</v>
      </c>
      <c r="Q272" s="317">
        <f>IF(AND($A$2=4,VLOOKUP($A272,'District Level ADM'!$A$5:$W$52,5,FALSE)="Prior Year"),AS272,IF(AND($A$2=4,VLOOKUP($A272,'District Level ADM'!$A$5:$W$52,5,FALSE)="3-Year Avg."),AE272,IF($A$2=2,AS272,IF($A$2=3,AE272,IF(($AG272&gt;$AU272),AE272,AS272)))))</f>
        <v>0</v>
      </c>
      <c r="R272" s="317">
        <f>IF(AND($A$2=4,VLOOKUP($A272,'District Level ADM'!$A$5:$W$52,5,FALSE)="Prior Year"),AT272,IF(AND($A$2=4,VLOOKUP($A272,'District Level ADM'!$A$5:$W$52,5,FALSE)="3-Year Avg."),AF272,IF($A$2=2,AT272,IF($A$2=3,AF272,IF(($AG272&gt;$AU272),AF272,AT272)))))</f>
        <v>0</v>
      </c>
      <c r="S272" s="317">
        <f t="shared" si="44"/>
        <v>96.102333333333334</v>
      </c>
      <c r="T272" s="317">
        <f t="shared" si="42"/>
        <v>0</v>
      </c>
      <c r="U272" s="317">
        <f t="shared" si="42"/>
        <v>0</v>
      </c>
      <c r="V272" s="317">
        <f t="shared" si="42"/>
        <v>0</v>
      </c>
      <c r="W272" s="317">
        <f t="shared" si="42"/>
        <v>0</v>
      </c>
      <c r="X272" s="317">
        <f t="shared" si="42"/>
        <v>0</v>
      </c>
      <c r="Y272" s="317">
        <f t="shared" si="42"/>
        <v>0</v>
      </c>
      <c r="Z272" s="317">
        <f t="shared" si="42"/>
        <v>27.594666666666665</v>
      </c>
      <c r="AA272" s="317">
        <f t="shared" si="41"/>
        <v>32.269666666666666</v>
      </c>
      <c r="AB272" s="317">
        <f t="shared" si="41"/>
        <v>36.238</v>
      </c>
      <c r="AC272" s="317">
        <f t="shared" si="41"/>
        <v>0</v>
      </c>
      <c r="AD272" s="317">
        <f t="shared" si="41"/>
        <v>0</v>
      </c>
      <c r="AE272" s="317">
        <f t="shared" si="41"/>
        <v>0</v>
      </c>
      <c r="AF272" s="317">
        <f t="shared" si="41"/>
        <v>0</v>
      </c>
      <c r="AG272" s="317">
        <f t="shared" si="45"/>
        <v>96.102333333333334</v>
      </c>
      <c r="AH272" s="318">
        <v>0</v>
      </c>
      <c r="AI272" s="318">
        <v>0</v>
      </c>
      <c r="AJ272" s="318">
        <v>0</v>
      </c>
      <c r="AK272" s="318">
        <v>0</v>
      </c>
      <c r="AL272" s="318">
        <v>0</v>
      </c>
      <c r="AM272" s="318">
        <v>0</v>
      </c>
      <c r="AN272" s="318">
        <v>26.594999999999999</v>
      </c>
      <c r="AO272" s="318">
        <v>23.64</v>
      </c>
      <c r="AP272" s="318">
        <v>31.52</v>
      </c>
      <c r="AQ272" s="318">
        <v>0</v>
      </c>
      <c r="AR272" s="318">
        <v>0</v>
      </c>
      <c r="AS272" s="318">
        <v>0</v>
      </c>
      <c r="AT272" s="318">
        <v>0</v>
      </c>
      <c r="AU272" s="317">
        <f t="shared" si="43"/>
        <v>81.754999999999995</v>
      </c>
      <c r="AV272" s="319">
        <v>0</v>
      </c>
      <c r="AW272" s="319">
        <v>0</v>
      </c>
      <c r="AX272" s="319">
        <v>0</v>
      </c>
      <c r="AY272" s="319">
        <v>0</v>
      </c>
      <c r="AZ272" s="319">
        <v>0</v>
      </c>
      <c r="BA272" s="319">
        <v>0</v>
      </c>
      <c r="BB272" s="319">
        <v>22.027000000000001</v>
      </c>
      <c r="BC272" s="319">
        <v>33.304000000000002</v>
      </c>
      <c r="BD272" s="319">
        <v>36.774999999999999</v>
      </c>
      <c r="BE272" s="319">
        <v>0</v>
      </c>
      <c r="BF272" s="319">
        <v>0</v>
      </c>
      <c r="BG272" s="319">
        <v>0</v>
      </c>
      <c r="BH272" s="319">
        <v>0</v>
      </c>
      <c r="BI272" s="317">
        <f t="shared" si="48"/>
        <v>92.105999999999995</v>
      </c>
      <c r="BJ272" s="316">
        <v>0</v>
      </c>
      <c r="BK272" s="316">
        <v>0</v>
      </c>
      <c r="BL272" s="316">
        <v>0</v>
      </c>
      <c r="BM272" s="316">
        <v>0</v>
      </c>
      <c r="BN272" s="316">
        <v>0</v>
      </c>
      <c r="BO272" s="316">
        <v>0</v>
      </c>
      <c r="BP272" s="316">
        <v>34.161999999999999</v>
      </c>
      <c r="BQ272" s="316">
        <v>39.865000000000002</v>
      </c>
      <c r="BR272" s="316">
        <v>40.418999999999997</v>
      </c>
      <c r="BS272" s="316">
        <v>0</v>
      </c>
      <c r="BT272" s="316">
        <v>0</v>
      </c>
      <c r="BU272" s="316">
        <v>0</v>
      </c>
      <c r="BV272" s="316">
        <v>0</v>
      </c>
      <c r="BW272" s="317">
        <f t="shared" si="46"/>
        <v>114.446</v>
      </c>
    </row>
    <row r="273" spans="1:75" x14ac:dyDescent="0.2">
      <c r="A273" s="20" t="str">
        <f>'School Level Inst. Resources'!A273</f>
        <v>1701000</v>
      </c>
      <c r="B273" s="20" t="str">
        <f>'School Level Inst. Resources'!B273</f>
        <v>Sheridan #1</v>
      </c>
      <c r="C273" s="20" t="str">
        <f>'School Level Inst. Resources'!C273</f>
        <v>1701051</v>
      </c>
      <c r="D273" s="20" t="str">
        <f>'School Level Inst. Resources'!D273</f>
        <v>Tongue River Middle School</v>
      </c>
      <c r="E273" s="138" t="str">
        <f>'School Level Inst. Resources'!E273</f>
        <v>6-8</v>
      </c>
      <c r="F273" s="317">
        <f>IF(AND($A$2=4,VLOOKUP($A273,'District Level ADM'!$A$5:$W$52,5,FALSE)="Prior Year"),AH273,IF(AND($A$2=4,VLOOKUP($A273,'District Level ADM'!$A$5:$W$52,5,FALSE)="3-Year Avg."),T273,IF($A$2=2,AH273,IF($A$2=3,T273,IF(($AG273&gt;$AU273),T273,AH273)))))</f>
        <v>0</v>
      </c>
      <c r="G273" s="317">
        <f>IF(AND($A$2=4,VLOOKUP($A273,'District Level ADM'!$A$5:$W$52,5,FALSE)="Prior Year"),AI273,IF(AND($A$2=4,VLOOKUP($A273,'District Level ADM'!$A$5:$W$52,5,FALSE)="3-Year Avg."),U273,IF($A$2=2,AI273,IF($A$2=3,U273,IF(($AG273&gt;$AU273),U273,AI273)))))</f>
        <v>0</v>
      </c>
      <c r="H273" s="317">
        <f>IF(AND($A$2=4,VLOOKUP($A273,'District Level ADM'!$A$5:$W$52,5,FALSE)="Prior Year"),AJ273,IF(AND($A$2=4,VLOOKUP($A273,'District Level ADM'!$A$5:$W$52,5,FALSE)="3-Year Avg."),V273,IF($A$2=2,AJ273,IF($A$2=3,V273,IF(($AG273&gt;$AU273),V273,AJ273)))))</f>
        <v>0</v>
      </c>
      <c r="I273" s="317">
        <f>IF(AND($A$2=4,VLOOKUP($A273,'District Level ADM'!$A$5:$W$52,5,FALSE)="Prior Year"),AK273,IF(AND($A$2=4,VLOOKUP($A273,'District Level ADM'!$A$5:$W$52,5,FALSE)="3-Year Avg."),W273,IF($A$2=2,AK273,IF($A$2=3,W273,IF(($AG273&gt;$AU273),W273,AK273)))))</f>
        <v>0</v>
      </c>
      <c r="J273" s="317">
        <f>IF(AND($A$2=4,VLOOKUP($A273,'District Level ADM'!$A$5:$W$52,5,FALSE)="Prior Year"),AL273,IF(AND($A$2=4,VLOOKUP($A273,'District Level ADM'!$A$5:$W$52,5,FALSE)="3-Year Avg."),X273,IF($A$2=2,AL273,IF($A$2=3,X273,IF(($AG273&gt;$AU273),X273,AL273)))))</f>
        <v>0</v>
      </c>
      <c r="K273" s="317">
        <f>IF(AND($A$2=4,VLOOKUP($A273,'District Level ADM'!$A$5:$W$52,5,FALSE)="Prior Year"),AM273,IF(AND($A$2=4,VLOOKUP($A273,'District Level ADM'!$A$5:$W$52,5,FALSE)="3-Year Avg."),Y273,IF($A$2=2,AM273,IF($A$2=3,Y273,IF(($AG273&gt;$AU273),Y273,AM273)))))</f>
        <v>0</v>
      </c>
      <c r="L273" s="317">
        <f>IF(AND($A$2=4,VLOOKUP($A273,'District Level ADM'!$A$5:$W$52,5,FALSE)="Prior Year"),AN273,IF(AND($A$2=4,VLOOKUP($A273,'District Level ADM'!$A$5:$W$52,5,FALSE)="3-Year Avg."),Z273,IF($A$2=2,AN273,IF($A$2=3,Z273,IF(($AG273&gt;$AU273),Z273,AN273)))))</f>
        <v>43.526000000000003</v>
      </c>
      <c r="M273" s="317">
        <f>IF(AND($A$2=4,VLOOKUP($A273,'District Level ADM'!$A$5:$W$52,5,FALSE)="Prior Year"),AO273,IF(AND($A$2=4,VLOOKUP($A273,'District Level ADM'!$A$5:$W$52,5,FALSE)="3-Year Avg."),AA273,IF($A$2=2,AO273,IF($A$2=3,AA273,IF(($AG273&gt;$AU273),AA273,AO273)))))</f>
        <v>39.229666666666667</v>
      </c>
      <c r="N273" s="317">
        <f>IF(AND($A$2=4,VLOOKUP($A273,'District Level ADM'!$A$5:$W$52,5,FALSE)="Prior Year"),AP273,IF(AND($A$2=4,VLOOKUP($A273,'District Level ADM'!$A$5:$W$52,5,FALSE)="3-Year Avg."),AB273,IF($A$2=2,AP273,IF($A$2=3,AB273,IF(($AG273&gt;$AU273),AB273,AP273)))))</f>
        <v>37.577999999999996</v>
      </c>
      <c r="O273" s="317">
        <f>IF(AND($A$2=4,VLOOKUP($A273,'District Level ADM'!$A$5:$W$52,5,FALSE)="Prior Year"),AQ273,IF(AND($A$2=4,VLOOKUP($A273,'District Level ADM'!$A$5:$W$52,5,FALSE)="3-Year Avg."),AC273,IF($A$2=2,AQ273,IF($A$2=3,AC273,IF(($AG273&gt;$AU273),AC273,AQ273)))))</f>
        <v>0</v>
      </c>
      <c r="P273" s="317">
        <f>IF(AND($A$2=4,VLOOKUP($A273,'District Level ADM'!$A$5:$W$52,5,FALSE)="Prior Year"),AR273,IF(AND($A$2=4,VLOOKUP($A273,'District Level ADM'!$A$5:$W$52,5,FALSE)="3-Year Avg."),AD273,IF($A$2=2,AR273,IF($A$2=3,AD273,IF(($AG273&gt;$AU273),AD273,AR273)))))</f>
        <v>0</v>
      </c>
      <c r="Q273" s="317">
        <f>IF(AND($A$2=4,VLOOKUP($A273,'District Level ADM'!$A$5:$W$52,5,FALSE)="Prior Year"),AS273,IF(AND($A$2=4,VLOOKUP($A273,'District Level ADM'!$A$5:$W$52,5,FALSE)="3-Year Avg."),AE273,IF($A$2=2,AS273,IF($A$2=3,AE273,IF(($AG273&gt;$AU273),AE273,AS273)))))</f>
        <v>0</v>
      </c>
      <c r="R273" s="317">
        <f>IF(AND($A$2=4,VLOOKUP($A273,'District Level ADM'!$A$5:$W$52,5,FALSE)="Prior Year"),AT273,IF(AND($A$2=4,VLOOKUP($A273,'District Level ADM'!$A$5:$W$52,5,FALSE)="3-Year Avg."),AF273,IF($A$2=2,AT273,IF($A$2=3,AF273,IF(($AG273&gt;$AU273),AF273,AT273)))))</f>
        <v>0</v>
      </c>
      <c r="S273" s="317">
        <f t="shared" si="44"/>
        <v>120.33366666666666</v>
      </c>
      <c r="T273" s="317">
        <f t="shared" si="42"/>
        <v>0</v>
      </c>
      <c r="U273" s="317">
        <f t="shared" si="42"/>
        <v>0</v>
      </c>
      <c r="V273" s="317">
        <f t="shared" si="42"/>
        <v>0</v>
      </c>
      <c r="W273" s="317">
        <f t="shared" si="42"/>
        <v>0</v>
      </c>
      <c r="X273" s="317">
        <f t="shared" si="42"/>
        <v>0</v>
      </c>
      <c r="Y273" s="317">
        <f t="shared" si="42"/>
        <v>0</v>
      </c>
      <c r="Z273" s="317">
        <f t="shared" si="42"/>
        <v>43.526000000000003</v>
      </c>
      <c r="AA273" s="317">
        <f t="shared" si="41"/>
        <v>39.229666666666667</v>
      </c>
      <c r="AB273" s="317">
        <f t="shared" si="41"/>
        <v>37.577999999999996</v>
      </c>
      <c r="AC273" s="317">
        <f t="shared" si="41"/>
        <v>0</v>
      </c>
      <c r="AD273" s="317">
        <f t="shared" si="41"/>
        <v>0</v>
      </c>
      <c r="AE273" s="317">
        <f t="shared" si="41"/>
        <v>0</v>
      </c>
      <c r="AF273" s="317">
        <f t="shared" si="41"/>
        <v>0</v>
      </c>
      <c r="AG273" s="317">
        <f t="shared" si="45"/>
        <v>120.33366666666666</v>
      </c>
      <c r="AH273" s="318">
        <v>0</v>
      </c>
      <c r="AI273" s="318">
        <v>0</v>
      </c>
      <c r="AJ273" s="318">
        <v>0</v>
      </c>
      <c r="AK273" s="318">
        <v>0</v>
      </c>
      <c r="AL273" s="318">
        <v>0</v>
      </c>
      <c r="AM273" s="318">
        <v>0</v>
      </c>
      <c r="AN273" s="318">
        <v>47.28</v>
      </c>
      <c r="AO273" s="318">
        <v>40.384999999999998</v>
      </c>
      <c r="AP273" s="318">
        <v>37.43</v>
      </c>
      <c r="AQ273" s="318">
        <v>0</v>
      </c>
      <c r="AR273" s="318">
        <v>0</v>
      </c>
      <c r="AS273" s="318">
        <v>0</v>
      </c>
      <c r="AT273" s="318">
        <v>0</v>
      </c>
      <c r="AU273" s="317">
        <f t="shared" si="43"/>
        <v>125.095</v>
      </c>
      <c r="AV273" s="319">
        <v>0</v>
      </c>
      <c r="AW273" s="319">
        <v>0</v>
      </c>
      <c r="AX273" s="319">
        <v>0</v>
      </c>
      <c r="AY273" s="319">
        <v>0</v>
      </c>
      <c r="AZ273" s="319">
        <v>0</v>
      </c>
      <c r="BA273" s="319">
        <v>0</v>
      </c>
      <c r="BB273" s="319">
        <v>44.122</v>
      </c>
      <c r="BC273" s="319">
        <v>38.128</v>
      </c>
      <c r="BD273" s="319">
        <v>36.506999999999998</v>
      </c>
      <c r="BE273" s="319">
        <v>0</v>
      </c>
      <c r="BF273" s="319">
        <v>0</v>
      </c>
      <c r="BG273" s="319">
        <v>0</v>
      </c>
      <c r="BH273" s="319">
        <v>0</v>
      </c>
      <c r="BI273" s="317">
        <f t="shared" si="48"/>
        <v>118.75700000000001</v>
      </c>
      <c r="BJ273" s="316">
        <v>0</v>
      </c>
      <c r="BK273" s="316">
        <v>0</v>
      </c>
      <c r="BL273" s="316">
        <v>0</v>
      </c>
      <c r="BM273" s="316">
        <v>0</v>
      </c>
      <c r="BN273" s="316">
        <v>0</v>
      </c>
      <c r="BO273" s="316">
        <v>0</v>
      </c>
      <c r="BP273" s="316">
        <v>39.176000000000002</v>
      </c>
      <c r="BQ273" s="316">
        <v>39.176000000000002</v>
      </c>
      <c r="BR273" s="316">
        <v>38.796999999999997</v>
      </c>
      <c r="BS273" s="316">
        <v>0</v>
      </c>
      <c r="BT273" s="316">
        <v>0</v>
      </c>
      <c r="BU273" s="316">
        <v>0</v>
      </c>
      <c r="BV273" s="316">
        <v>0</v>
      </c>
      <c r="BW273" s="317">
        <f t="shared" si="46"/>
        <v>117.149</v>
      </c>
    </row>
    <row r="274" spans="1:75" x14ac:dyDescent="0.2">
      <c r="A274" s="20" t="str">
        <f>'School Level Inst. Resources'!A274</f>
        <v>1701000</v>
      </c>
      <c r="B274" s="20" t="str">
        <f>'School Level Inst. Resources'!B274</f>
        <v>Sheridan #1</v>
      </c>
      <c r="C274" s="20" t="str">
        <f>'School Level Inst. Resources'!C274</f>
        <v>1701055</v>
      </c>
      <c r="D274" s="20" t="str">
        <f>'School Level Inst. Resources'!D274</f>
        <v>Big Horn High School</v>
      </c>
      <c r="E274" s="138" t="str">
        <f>'School Level Inst. Resources'!E274</f>
        <v>9-12</v>
      </c>
      <c r="F274" s="317">
        <f>IF(AND($A$2=4,VLOOKUP($A274,'District Level ADM'!$A$5:$W$52,5,FALSE)="Prior Year"),AH274,IF(AND($A$2=4,VLOOKUP($A274,'District Level ADM'!$A$5:$W$52,5,FALSE)="3-Year Avg."),T274,IF($A$2=2,AH274,IF($A$2=3,T274,IF(($AG274&gt;$AU274),T274,AH274)))))</f>
        <v>0</v>
      </c>
      <c r="G274" s="317">
        <f>IF(AND($A$2=4,VLOOKUP($A274,'District Level ADM'!$A$5:$W$52,5,FALSE)="Prior Year"),AI274,IF(AND($A$2=4,VLOOKUP($A274,'District Level ADM'!$A$5:$W$52,5,FALSE)="3-Year Avg."),U274,IF($A$2=2,AI274,IF($A$2=3,U274,IF(($AG274&gt;$AU274),U274,AI274)))))</f>
        <v>0</v>
      </c>
      <c r="H274" s="317">
        <f>IF(AND($A$2=4,VLOOKUP($A274,'District Level ADM'!$A$5:$W$52,5,FALSE)="Prior Year"),AJ274,IF(AND($A$2=4,VLOOKUP($A274,'District Level ADM'!$A$5:$W$52,5,FALSE)="3-Year Avg."),V274,IF($A$2=2,AJ274,IF($A$2=3,V274,IF(($AG274&gt;$AU274),V274,AJ274)))))</f>
        <v>0</v>
      </c>
      <c r="I274" s="317">
        <f>IF(AND($A$2=4,VLOOKUP($A274,'District Level ADM'!$A$5:$W$52,5,FALSE)="Prior Year"),AK274,IF(AND($A$2=4,VLOOKUP($A274,'District Level ADM'!$A$5:$W$52,5,FALSE)="3-Year Avg."),W274,IF($A$2=2,AK274,IF($A$2=3,W274,IF(($AG274&gt;$AU274),W274,AK274)))))</f>
        <v>0</v>
      </c>
      <c r="J274" s="317">
        <f>IF(AND($A$2=4,VLOOKUP($A274,'District Level ADM'!$A$5:$W$52,5,FALSE)="Prior Year"),AL274,IF(AND($A$2=4,VLOOKUP($A274,'District Level ADM'!$A$5:$W$52,5,FALSE)="3-Year Avg."),X274,IF($A$2=2,AL274,IF($A$2=3,X274,IF(($AG274&gt;$AU274),X274,AL274)))))</f>
        <v>0</v>
      </c>
      <c r="K274" s="317">
        <f>IF(AND($A$2=4,VLOOKUP($A274,'District Level ADM'!$A$5:$W$52,5,FALSE)="Prior Year"),AM274,IF(AND($A$2=4,VLOOKUP($A274,'District Level ADM'!$A$5:$W$52,5,FALSE)="3-Year Avg."),Y274,IF($A$2=2,AM274,IF($A$2=3,Y274,IF(($AG274&gt;$AU274),Y274,AM274)))))</f>
        <v>0</v>
      </c>
      <c r="L274" s="317">
        <f>IF(AND($A$2=4,VLOOKUP($A274,'District Level ADM'!$A$5:$W$52,5,FALSE)="Prior Year"),AN274,IF(AND($A$2=4,VLOOKUP($A274,'District Level ADM'!$A$5:$W$52,5,FALSE)="3-Year Avg."),Z274,IF($A$2=2,AN274,IF($A$2=3,Z274,IF(($AG274&gt;$AU274),Z274,AN274)))))</f>
        <v>0</v>
      </c>
      <c r="M274" s="317">
        <f>IF(AND($A$2=4,VLOOKUP($A274,'District Level ADM'!$A$5:$W$52,5,FALSE)="Prior Year"),AO274,IF(AND($A$2=4,VLOOKUP($A274,'District Level ADM'!$A$5:$W$52,5,FALSE)="3-Year Avg."),AA274,IF($A$2=2,AO274,IF($A$2=3,AA274,IF(($AG274&gt;$AU274),AA274,AO274)))))</f>
        <v>0</v>
      </c>
      <c r="N274" s="317">
        <f>IF(AND($A$2=4,VLOOKUP($A274,'District Level ADM'!$A$5:$W$52,5,FALSE)="Prior Year"),AP274,IF(AND($A$2=4,VLOOKUP($A274,'District Level ADM'!$A$5:$W$52,5,FALSE)="3-Year Avg."),AB274,IF($A$2=2,AP274,IF($A$2=3,AB274,IF(($AG274&gt;$AU274),AB274,AP274)))))</f>
        <v>0</v>
      </c>
      <c r="O274" s="317">
        <f>IF(AND($A$2=4,VLOOKUP($A274,'District Level ADM'!$A$5:$W$52,5,FALSE)="Prior Year"),AQ274,IF(AND($A$2=4,VLOOKUP($A274,'District Level ADM'!$A$5:$W$52,5,FALSE)="3-Year Avg."),AC274,IF($A$2=2,AQ274,IF($A$2=3,AC274,IF(($AG274&gt;$AU274),AC274,AQ274)))))</f>
        <v>36.92966666666667</v>
      </c>
      <c r="P274" s="317">
        <f>IF(AND($A$2=4,VLOOKUP($A274,'District Level ADM'!$A$5:$W$52,5,FALSE)="Prior Year"),AR274,IF(AND($A$2=4,VLOOKUP($A274,'District Level ADM'!$A$5:$W$52,5,FALSE)="3-Year Avg."),AD274,IF($A$2=2,AR274,IF($A$2=3,AD274,IF(($AG274&gt;$AU274),AD274,AR274)))))</f>
        <v>34.69</v>
      </c>
      <c r="Q274" s="317">
        <f>IF(AND($A$2=4,VLOOKUP($A274,'District Level ADM'!$A$5:$W$52,5,FALSE)="Prior Year"),AS274,IF(AND($A$2=4,VLOOKUP($A274,'District Level ADM'!$A$5:$W$52,5,FALSE)="3-Year Avg."),AE274,IF($A$2=2,AS274,IF($A$2=3,AE274,IF(($AG274&gt;$AU274),AE274,AS274)))))</f>
        <v>34.071000000000005</v>
      </c>
      <c r="R274" s="317">
        <f>IF(AND($A$2=4,VLOOKUP($A274,'District Level ADM'!$A$5:$W$52,5,FALSE)="Prior Year"),AT274,IF(AND($A$2=4,VLOOKUP($A274,'District Level ADM'!$A$5:$W$52,5,FALSE)="3-Year Avg."),AF274,IF($A$2=2,AT274,IF($A$2=3,AF274,IF(($AG274&gt;$AU274),AF274,AT274)))))</f>
        <v>34.853666666666669</v>
      </c>
      <c r="S274" s="317">
        <f t="shared" si="44"/>
        <v>140.54433333333333</v>
      </c>
      <c r="T274" s="317">
        <f t="shared" si="42"/>
        <v>0</v>
      </c>
      <c r="U274" s="317">
        <f t="shared" si="42"/>
        <v>0</v>
      </c>
      <c r="V274" s="317">
        <f t="shared" si="42"/>
        <v>0</v>
      </c>
      <c r="W274" s="317">
        <f t="shared" si="42"/>
        <v>0</v>
      </c>
      <c r="X274" s="317">
        <f t="shared" si="42"/>
        <v>0</v>
      </c>
      <c r="Y274" s="317">
        <f t="shared" si="42"/>
        <v>0</v>
      </c>
      <c r="Z274" s="317">
        <f t="shared" si="42"/>
        <v>0</v>
      </c>
      <c r="AA274" s="317">
        <f t="shared" si="41"/>
        <v>0</v>
      </c>
      <c r="AB274" s="317">
        <f t="shared" si="41"/>
        <v>0</v>
      </c>
      <c r="AC274" s="317">
        <f t="shared" si="41"/>
        <v>36.92966666666667</v>
      </c>
      <c r="AD274" s="317">
        <f t="shared" si="41"/>
        <v>34.69</v>
      </c>
      <c r="AE274" s="317">
        <f t="shared" si="41"/>
        <v>34.071000000000005</v>
      </c>
      <c r="AF274" s="317">
        <f t="shared" si="41"/>
        <v>34.853666666666669</v>
      </c>
      <c r="AG274" s="317">
        <f t="shared" si="45"/>
        <v>140.54433333333333</v>
      </c>
      <c r="AH274" s="318">
        <v>0</v>
      </c>
      <c r="AI274" s="318">
        <v>0</v>
      </c>
      <c r="AJ274" s="318">
        <v>0</v>
      </c>
      <c r="AK274" s="318">
        <v>0</v>
      </c>
      <c r="AL274" s="318">
        <v>0</v>
      </c>
      <c r="AM274" s="318">
        <v>0</v>
      </c>
      <c r="AN274" s="318">
        <v>0</v>
      </c>
      <c r="AO274" s="318">
        <v>0</v>
      </c>
      <c r="AP274" s="318">
        <v>0</v>
      </c>
      <c r="AQ274" s="318">
        <v>32.505000000000003</v>
      </c>
      <c r="AR274" s="318">
        <v>34.475000000000001</v>
      </c>
      <c r="AS274" s="318">
        <v>33.49</v>
      </c>
      <c r="AT274" s="318">
        <v>31.52</v>
      </c>
      <c r="AU274" s="317">
        <f t="shared" si="43"/>
        <v>131.99</v>
      </c>
      <c r="AV274" s="319">
        <v>0</v>
      </c>
      <c r="AW274" s="319">
        <v>0</v>
      </c>
      <c r="AX274" s="319">
        <v>0</v>
      </c>
      <c r="AY274" s="319">
        <v>0</v>
      </c>
      <c r="AZ274" s="319">
        <v>0</v>
      </c>
      <c r="BA274" s="319">
        <v>0</v>
      </c>
      <c r="BB274" s="319">
        <v>0</v>
      </c>
      <c r="BC274" s="319">
        <v>0</v>
      </c>
      <c r="BD274" s="319">
        <v>0</v>
      </c>
      <c r="BE274" s="319">
        <v>39.939</v>
      </c>
      <c r="BF274" s="319">
        <v>37.561</v>
      </c>
      <c r="BG274" s="319">
        <v>31</v>
      </c>
      <c r="BH274" s="319">
        <v>37.514000000000003</v>
      </c>
      <c r="BI274" s="317">
        <f t="shared" si="48"/>
        <v>146.01400000000001</v>
      </c>
      <c r="BJ274" s="316">
        <v>0</v>
      </c>
      <c r="BK274" s="316">
        <v>0</v>
      </c>
      <c r="BL274" s="316">
        <v>0</v>
      </c>
      <c r="BM274" s="316">
        <v>0</v>
      </c>
      <c r="BN274" s="316">
        <v>0</v>
      </c>
      <c r="BO274" s="316">
        <v>0</v>
      </c>
      <c r="BP274" s="316">
        <v>0</v>
      </c>
      <c r="BQ274" s="316">
        <v>0</v>
      </c>
      <c r="BR274" s="316">
        <v>0</v>
      </c>
      <c r="BS274" s="316">
        <v>38.344999999999999</v>
      </c>
      <c r="BT274" s="316">
        <v>32.033999999999999</v>
      </c>
      <c r="BU274" s="316">
        <v>37.722999999999999</v>
      </c>
      <c r="BV274" s="316">
        <v>35.527000000000001</v>
      </c>
      <c r="BW274" s="317">
        <f t="shared" si="46"/>
        <v>143.62899999999999</v>
      </c>
    </row>
    <row r="275" spans="1:75" x14ac:dyDescent="0.2">
      <c r="A275" s="20" t="str">
        <f>'School Level Inst. Resources'!A275</f>
        <v>1701000</v>
      </c>
      <c r="B275" s="20" t="str">
        <f>'School Level Inst. Resources'!B275</f>
        <v>Sheridan #1</v>
      </c>
      <c r="C275" s="20" t="str">
        <f>'School Level Inst. Resources'!C275</f>
        <v>1701056</v>
      </c>
      <c r="D275" s="20" t="str">
        <f>'School Level Inst. Resources'!D275</f>
        <v>Tongue River High School</v>
      </c>
      <c r="E275" s="138" t="str">
        <f>'School Level Inst. Resources'!E275</f>
        <v>9-12</v>
      </c>
      <c r="F275" s="317">
        <f>IF(AND($A$2=4,VLOOKUP($A275,'District Level ADM'!$A$5:$W$52,5,FALSE)="Prior Year"),AH275,IF(AND($A$2=4,VLOOKUP($A275,'District Level ADM'!$A$5:$W$52,5,FALSE)="3-Year Avg."),T275,IF($A$2=2,AH275,IF($A$2=3,T275,IF(($AG275&gt;$AU275),T275,AH275)))))</f>
        <v>0</v>
      </c>
      <c r="G275" s="317">
        <f>IF(AND($A$2=4,VLOOKUP($A275,'District Level ADM'!$A$5:$W$52,5,FALSE)="Prior Year"),AI275,IF(AND($A$2=4,VLOOKUP($A275,'District Level ADM'!$A$5:$W$52,5,FALSE)="3-Year Avg."),U275,IF($A$2=2,AI275,IF($A$2=3,U275,IF(($AG275&gt;$AU275),U275,AI275)))))</f>
        <v>0</v>
      </c>
      <c r="H275" s="317">
        <f>IF(AND($A$2=4,VLOOKUP($A275,'District Level ADM'!$A$5:$W$52,5,FALSE)="Prior Year"),AJ275,IF(AND($A$2=4,VLOOKUP($A275,'District Level ADM'!$A$5:$W$52,5,FALSE)="3-Year Avg."),V275,IF($A$2=2,AJ275,IF($A$2=3,V275,IF(($AG275&gt;$AU275),V275,AJ275)))))</f>
        <v>0</v>
      </c>
      <c r="I275" s="317">
        <f>IF(AND($A$2=4,VLOOKUP($A275,'District Level ADM'!$A$5:$W$52,5,FALSE)="Prior Year"),AK275,IF(AND($A$2=4,VLOOKUP($A275,'District Level ADM'!$A$5:$W$52,5,FALSE)="3-Year Avg."),W275,IF($A$2=2,AK275,IF($A$2=3,W275,IF(($AG275&gt;$AU275),W275,AK275)))))</f>
        <v>0</v>
      </c>
      <c r="J275" s="317">
        <f>IF(AND($A$2=4,VLOOKUP($A275,'District Level ADM'!$A$5:$W$52,5,FALSE)="Prior Year"),AL275,IF(AND($A$2=4,VLOOKUP($A275,'District Level ADM'!$A$5:$W$52,5,FALSE)="3-Year Avg."),X275,IF($A$2=2,AL275,IF($A$2=3,X275,IF(($AG275&gt;$AU275),X275,AL275)))))</f>
        <v>0</v>
      </c>
      <c r="K275" s="317">
        <f>IF(AND($A$2=4,VLOOKUP($A275,'District Level ADM'!$A$5:$W$52,5,FALSE)="Prior Year"),AM275,IF(AND($A$2=4,VLOOKUP($A275,'District Level ADM'!$A$5:$W$52,5,FALSE)="3-Year Avg."),Y275,IF($A$2=2,AM275,IF($A$2=3,Y275,IF(($AG275&gt;$AU275),Y275,AM275)))))</f>
        <v>0</v>
      </c>
      <c r="L275" s="317">
        <f>IF(AND($A$2=4,VLOOKUP($A275,'District Level ADM'!$A$5:$W$52,5,FALSE)="Prior Year"),AN275,IF(AND($A$2=4,VLOOKUP($A275,'District Level ADM'!$A$5:$W$52,5,FALSE)="3-Year Avg."),Z275,IF($A$2=2,AN275,IF($A$2=3,Z275,IF(($AG275&gt;$AU275),Z275,AN275)))))</f>
        <v>0</v>
      </c>
      <c r="M275" s="317">
        <f>IF(AND($A$2=4,VLOOKUP($A275,'District Level ADM'!$A$5:$W$52,5,FALSE)="Prior Year"),AO275,IF(AND($A$2=4,VLOOKUP($A275,'District Level ADM'!$A$5:$W$52,5,FALSE)="3-Year Avg."),AA275,IF($A$2=2,AO275,IF($A$2=3,AA275,IF(($AG275&gt;$AU275),AA275,AO275)))))</f>
        <v>0</v>
      </c>
      <c r="N275" s="317">
        <f>IF(AND($A$2=4,VLOOKUP($A275,'District Level ADM'!$A$5:$W$52,5,FALSE)="Prior Year"),AP275,IF(AND($A$2=4,VLOOKUP($A275,'District Level ADM'!$A$5:$W$52,5,FALSE)="3-Year Avg."),AB275,IF($A$2=2,AP275,IF($A$2=3,AB275,IF(($AG275&gt;$AU275),AB275,AP275)))))</f>
        <v>0</v>
      </c>
      <c r="O275" s="317">
        <f>IF(AND($A$2=4,VLOOKUP($A275,'District Level ADM'!$A$5:$W$52,5,FALSE)="Prior Year"),AQ275,IF(AND($A$2=4,VLOOKUP($A275,'District Level ADM'!$A$5:$W$52,5,FALSE)="3-Year Avg."),AC275,IF($A$2=2,AQ275,IF($A$2=3,AC275,IF(($AG275&gt;$AU275),AC275,AQ275)))))</f>
        <v>37.56066666666667</v>
      </c>
      <c r="P275" s="317">
        <f>IF(AND($A$2=4,VLOOKUP($A275,'District Level ADM'!$A$5:$W$52,5,FALSE)="Prior Year"),AR275,IF(AND($A$2=4,VLOOKUP($A275,'District Level ADM'!$A$5:$W$52,5,FALSE)="3-Year Avg."),AD275,IF($A$2=2,AR275,IF($A$2=3,AD275,IF(($AG275&gt;$AU275),AD275,AR275)))))</f>
        <v>31.722666666666665</v>
      </c>
      <c r="Q275" s="317">
        <f>IF(AND($A$2=4,VLOOKUP($A275,'District Level ADM'!$A$5:$W$52,5,FALSE)="Prior Year"),AS275,IF(AND($A$2=4,VLOOKUP($A275,'District Level ADM'!$A$5:$W$52,5,FALSE)="3-Year Avg."),AE275,IF($A$2=2,AS275,IF($A$2=3,AE275,IF(($AG275&gt;$AU275),AE275,AS275)))))</f>
        <v>30.632333333333335</v>
      </c>
      <c r="R275" s="317">
        <f>IF(AND($A$2=4,VLOOKUP($A275,'District Level ADM'!$A$5:$W$52,5,FALSE)="Prior Year"),AT275,IF(AND($A$2=4,VLOOKUP($A275,'District Level ADM'!$A$5:$W$52,5,FALSE)="3-Year Avg."),AF275,IF($A$2=2,AT275,IF($A$2=3,AF275,IF(($AG275&gt;$AU275),AF275,AT275)))))</f>
        <v>25.176666666666666</v>
      </c>
      <c r="S275" s="317">
        <f t="shared" si="44"/>
        <v>125.09233333333333</v>
      </c>
      <c r="T275" s="317">
        <f t="shared" si="42"/>
        <v>0</v>
      </c>
      <c r="U275" s="317">
        <f t="shared" si="42"/>
        <v>0</v>
      </c>
      <c r="V275" s="317">
        <f t="shared" si="42"/>
        <v>0</v>
      </c>
      <c r="W275" s="317">
        <f t="shared" si="42"/>
        <v>0</v>
      </c>
      <c r="X275" s="317">
        <f t="shared" si="42"/>
        <v>0</v>
      </c>
      <c r="Y275" s="317">
        <f t="shared" si="42"/>
        <v>0</v>
      </c>
      <c r="Z275" s="317">
        <f t="shared" si="42"/>
        <v>0</v>
      </c>
      <c r="AA275" s="317">
        <f t="shared" si="41"/>
        <v>0</v>
      </c>
      <c r="AB275" s="317">
        <f t="shared" si="41"/>
        <v>0</v>
      </c>
      <c r="AC275" s="317">
        <f t="shared" si="41"/>
        <v>37.56066666666667</v>
      </c>
      <c r="AD275" s="317">
        <f t="shared" si="41"/>
        <v>31.722666666666665</v>
      </c>
      <c r="AE275" s="317">
        <f t="shared" si="41"/>
        <v>30.632333333333335</v>
      </c>
      <c r="AF275" s="317">
        <f t="shared" si="41"/>
        <v>25.176666666666666</v>
      </c>
      <c r="AG275" s="317">
        <f t="shared" si="45"/>
        <v>125.09233333333333</v>
      </c>
      <c r="AH275" s="318">
        <v>0</v>
      </c>
      <c r="AI275" s="318">
        <v>0</v>
      </c>
      <c r="AJ275" s="318">
        <v>0</v>
      </c>
      <c r="AK275" s="318">
        <v>0</v>
      </c>
      <c r="AL275" s="318">
        <v>0</v>
      </c>
      <c r="AM275" s="318">
        <v>0</v>
      </c>
      <c r="AN275" s="318">
        <v>0</v>
      </c>
      <c r="AO275" s="318">
        <v>0</v>
      </c>
      <c r="AP275" s="318">
        <v>0</v>
      </c>
      <c r="AQ275" s="318">
        <v>40.384999999999998</v>
      </c>
      <c r="AR275" s="318">
        <v>36.445</v>
      </c>
      <c r="AS275" s="318">
        <v>32.505000000000003</v>
      </c>
      <c r="AT275" s="318">
        <v>20.684999999999999</v>
      </c>
      <c r="AU275" s="317">
        <f t="shared" si="43"/>
        <v>130.02000000000001</v>
      </c>
      <c r="AV275" s="319">
        <v>0</v>
      </c>
      <c r="AW275" s="319">
        <v>0</v>
      </c>
      <c r="AX275" s="319">
        <v>0</v>
      </c>
      <c r="AY275" s="319">
        <v>0</v>
      </c>
      <c r="AZ275" s="319">
        <v>0</v>
      </c>
      <c r="BA275" s="319">
        <v>0</v>
      </c>
      <c r="BB275" s="319">
        <v>0</v>
      </c>
      <c r="BC275" s="319">
        <v>0</v>
      </c>
      <c r="BD275" s="319">
        <v>0</v>
      </c>
      <c r="BE275" s="319">
        <v>38.993000000000002</v>
      </c>
      <c r="BF275" s="319">
        <v>29.675999999999998</v>
      </c>
      <c r="BG275" s="319">
        <v>23.492999999999999</v>
      </c>
      <c r="BH275" s="319">
        <v>33.094999999999999</v>
      </c>
      <c r="BI275" s="317">
        <f t="shared" si="48"/>
        <v>125.25699999999999</v>
      </c>
      <c r="BJ275" s="316">
        <v>0</v>
      </c>
      <c r="BK275" s="316">
        <v>0</v>
      </c>
      <c r="BL275" s="316">
        <v>0</v>
      </c>
      <c r="BM275" s="316">
        <v>0</v>
      </c>
      <c r="BN275" s="316">
        <v>0</v>
      </c>
      <c r="BO275" s="316">
        <v>0</v>
      </c>
      <c r="BP275" s="316">
        <v>0</v>
      </c>
      <c r="BQ275" s="316">
        <v>0</v>
      </c>
      <c r="BR275" s="316">
        <v>0</v>
      </c>
      <c r="BS275" s="316">
        <v>33.304000000000002</v>
      </c>
      <c r="BT275" s="316">
        <v>29.047000000000001</v>
      </c>
      <c r="BU275" s="316">
        <v>35.899000000000001</v>
      </c>
      <c r="BV275" s="316">
        <v>21.75</v>
      </c>
      <c r="BW275" s="317">
        <f t="shared" si="46"/>
        <v>120</v>
      </c>
    </row>
    <row r="276" spans="1:75" x14ac:dyDescent="0.2">
      <c r="A276" s="20" t="str">
        <f>'School Level Inst. Resources'!A276</f>
        <v>1702000</v>
      </c>
      <c r="B276" s="20" t="str">
        <f>'School Level Inst. Resources'!B276</f>
        <v>Sheridan #2</v>
      </c>
      <c r="C276" s="20" t="str">
        <f>'School Level Inst. Resources'!C276</f>
        <v>1702002</v>
      </c>
      <c r="D276" s="20" t="str">
        <f>'School Level Inst. Resources'!D276</f>
        <v>Coffeen Elementary</v>
      </c>
      <c r="E276" s="138" t="str">
        <f>'School Level Inst. Resources'!E276</f>
        <v>K-5</v>
      </c>
      <c r="F276" s="317">
        <f>IF(AND($A$2=4,VLOOKUP($A276,'District Level ADM'!$A$5:$W$52,5,FALSE)="Prior Year"),AH276,IF(AND($A$2=4,VLOOKUP($A276,'District Level ADM'!$A$5:$W$52,5,FALSE)="3-Year Avg."),T276,IF($A$2=2,AH276,IF($A$2=3,T276,IF(($AG276&gt;$AU276),T276,AH276)))))</f>
        <v>56.145000000000003</v>
      </c>
      <c r="G276" s="317">
        <f>IF(AND($A$2=4,VLOOKUP($A276,'District Level ADM'!$A$5:$W$52,5,FALSE)="Prior Year"),AI276,IF(AND($A$2=4,VLOOKUP($A276,'District Level ADM'!$A$5:$W$52,5,FALSE)="3-Year Avg."),U276,IF($A$2=2,AI276,IF($A$2=3,U276,IF(($AG276&gt;$AU276),U276,AI276)))))</f>
        <v>58.115000000000002</v>
      </c>
      <c r="H276" s="317">
        <f>IF(AND($A$2=4,VLOOKUP($A276,'District Level ADM'!$A$5:$W$52,5,FALSE)="Prior Year"),AJ276,IF(AND($A$2=4,VLOOKUP($A276,'District Level ADM'!$A$5:$W$52,5,FALSE)="3-Year Avg."),V276,IF($A$2=2,AJ276,IF($A$2=3,V276,IF(($AG276&gt;$AU276),V276,AJ276)))))</f>
        <v>62.055</v>
      </c>
      <c r="I276" s="317">
        <f>IF(AND($A$2=4,VLOOKUP($A276,'District Level ADM'!$A$5:$W$52,5,FALSE)="Prior Year"),AK276,IF(AND($A$2=4,VLOOKUP($A276,'District Level ADM'!$A$5:$W$52,5,FALSE)="3-Year Avg."),W276,IF($A$2=2,AK276,IF($A$2=3,W276,IF(($AG276&gt;$AU276),W276,AK276)))))</f>
        <v>57.13</v>
      </c>
      <c r="J276" s="317">
        <f>IF(AND($A$2=4,VLOOKUP($A276,'District Level ADM'!$A$5:$W$52,5,FALSE)="Prior Year"),AL276,IF(AND($A$2=4,VLOOKUP($A276,'District Level ADM'!$A$5:$W$52,5,FALSE)="3-Year Avg."),X276,IF($A$2=2,AL276,IF($A$2=3,X276,IF(($AG276&gt;$AU276),X276,AL276)))))</f>
        <v>60.085000000000001</v>
      </c>
      <c r="K276" s="317">
        <f>IF(AND($A$2=4,VLOOKUP($A276,'District Level ADM'!$A$5:$W$52,5,FALSE)="Prior Year"),AM276,IF(AND($A$2=4,VLOOKUP($A276,'District Level ADM'!$A$5:$W$52,5,FALSE)="3-Year Avg."),Y276,IF($A$2=2,AM276,IF($A$2=3,Y276,IF(($AG276&gt;$AU276),Y276,AM276)))))</f>
        <v>50.234999999999999</v>
      </c>
      <c r="L276" s="317">
        <f>IF(AND($A$2=4,VLOOKUP($A276,'District Level ADM'!$A$5:$W$52,5,FALSE)="Prior Year"),AN276,IF(AND($A$2=4,VLOOKUP($A276,'District Level ADM'!$A$5:$W$52,5,FALSE)="3-Year Avg."),Z276,IF($A$2=2,AN276,IF($A$2=3,Z276,IF(($AG276&gt;$AU276),Z276,AN276)))))</f>
        <v>0</v>
      </c>
      <c r="M276" s="317">
        <f>IF(AND($A$2=4,VLOOKUP($A276,'District Level ADM'!$A$5:$W$52,5,FALSE)="Prior Year"),AO276,IF(AND($A$2=4,VLOOKUP($A276,'District Level ADM'!$A$5:$W$52,5,FALSE)="3-Year Avg."),AA276,IF($A$2=2,AO276,IF($A$2=3,AA276,IF(($AG276&gt;$AU276),AA276,AO276)))))</f>
        <v>0</v>
      </c>
      <c r="N276" s="317">
        <f>IF(AND($A$2=4,VLOOKUP($A276,'District Level ADM'!$A$5:$W$52,5,FALSE)="Prior Year"),AP276,IF(AND($A$2=4,VLOOKUP($A276,'District Level ADM'!$A$5:$W$52,5,FALSE)="3-Year Avg."),AB276,IF($A$2=2,AP276,IF($A$2=3,AB276,IF(($AG276&gt;$AU276),AB276,AP276)))))</f>
        <v>0</v>
      </c>
      <c r="O276" s="317">
        <f>IF(AND($A$2=4,VLOOKUP($A276,'District Level ADM'!$A$5:$W$52,5,FALSE)="Prior Year"),AQ276,IF(AND($A$2=4,VLOOKUP($A276,'District Level ADM'!$A$5:$W$52,5,FALSE)="3-Year Avg."),AC276,IF($A$2=2,AQ276,IF($A$2=3,AC276,IF(($AG276&gt;$AU276),AC276,AQ276)))))</f>
        <v>0</v>
      </c>
      <c r="P276" s="317">
        <f>IF(AND($A$2=4,VLOOKUP($A276,'District Level ADM'!$A$5:$W$52,5,FALSE)="Prior Year"),AR276,IF(AND($A$2=4,VLOOKUP($A276,'District Level ADM'!$A$5:$W$52,5,FALSE)="3-Year Avg."),AD276,IF($A$2=2,AR276,IF($A$2=3,AD276,IF(($AG276&gt;$AU276),AD276,AR276)))))</f>
        <v>0</v>
      </c>
      <c r="Q276" s="317">
        <f>IF(AND($A$2=4,VLOOKUP($A276,'District Level ADM'!$A$5:$W$52,5,FALSE)="Prior Year"),AS276,IF(AND($A$2=4,VLOOKUP($A276,'District Level ADM'!$A$5:$W$52,5,FALSE)="3-Year Avg."),AE276,IF($A$2=2,AS276,IF($A$2=3,AE276,IF(($AG276&gt;$AU276),AE276,AS276)))))</f>
        <v>0</v>
      </c>
      <c r="R276" s="317">
        <f>IF(AND($A$2=4,VLOOKUP($A276,'District Level ADM'!$A$5:$W$52,5,FALSE)="Prior Year"),AT276,IF(AND($A$2=4,VLOOKUP($A276,'District Level ADM'!$A$5:$W$52,5,FALSE)="3-Year Avg."),AF276,IF($A$2=2,AT276,IF($A$2=3,AF276,IF(($AG276&gt;$AU276),AF276,AT276)))))</f>
        <v>0</v>
      </c>
      <c r="S276" s="317">
        <f t="shared" si="44"/>
        <v>343.76499999999999</v>
      </c>
      <c r="T276" s="317">
        <f t="shared" si="42"/>
        <v>63.18366666666666</v>
      </c>
      <c r="U276" s="317">
        <f t="shared" si="42"/>
        <v>63.887999999999998</v>
      </c>
      <c r="V276" s="317">
        <f t="shared" si="42"/>
        <v>62.384000000000007</v>
      </c>
      <c r="W276" s="317">
        <f t="shared" si="42"/>
        <v>58.593999999999994</v>
      </c>
      <c r="X276" s="317">
        <f t="shared" si="42"/>
        <v>50.146333333333331</v>
      </c>
      <c r="Y276" s="317">
        <f t="shared" si="42"/>
        <v>48.601999999999997</v>
      </c>
      <c r="Z276" s="317">
        <f t="shared" si="42"/>
        <v>0</v>
      </c>
      <c r="AA276" s="317">
        <f t="shared" si="41"/>
        <v>0</v>
      </c>
      <c r="AB276" s="317">
        <f t="shared" si="41"/>
        <v>0</v>
      </c>
      <c r="AC276" s="317">
        <f t="shared" si="41"/>
        <v>0</v>
      </c>
      <c r="AD276" s="317">
        <f t="shared" si="41"/>
        <v>0</v>
      </c>
      <c r="AE276" s="317">
        <f t="shared" si="41"/>
        <v>0</v>
      </c>
      <c r="AF276" s="317">
        <f t="shared" si="41"/>
        <v>0</v>
      </c>
      <c r="AG276" s="317">
        <f t="shared" si="45"/>
        <v>346.798</v>
      </c>
      <c r="AH276" s="318">
        <v>56.145000000000003</v>
      </c>
      <c r="AI276" s="318">
        <v>58.115000000000002</v>
      </c>
      <c r="AJ276" s="318">
        <v>62.055</v>
      </c>
      <c r="AK276" s="318">
        <v>57.13</v>
      </c>
      <c r="AL276" s="318">
        <v>60.085000000000001</v>
      </c>
      <c r="AM276" s="318">
        <v>50.234999999999999</v>
      </c>
      <c r="AN276" s="318">
        <v>0</v>
      </c>
      <c r="AO276" s="318">
        <v>0</v>
      </c>
      <c r="AP276" s="318">
        <v>0</v>
      </c>
      <c r="AQ276" s="318">
        <v>0</v>
      </c>
      <c r="AR276" s="318">
        <v>0</v>
      </c>
      <c r="AS276" s="318">
        <v>0</v>
      </c>
      <c r="AT276" s="318">
        <v>0</v>
      </c>
      <c r="AU276" s="317">
        <f t="shared" si="43"/>
        <v>343.76499999999999</v>
      </c>
      <c r="AV276" s="319">
        <v>68.748999999999995</v>
      </c>
      <c r="AW276" s="319">
        <v>61.222999999999999</v>
      </c>
      <c r="AX276" s="319">
        <v>61.411000000000001</v>
      </c>
      <c r="AY276" s="319">
        <v>63.006</v>
      </c>
      <c r="AZ276" s="319">
        <v>49.930999999999997</v>
      </c>
      <c r="BA276" s="319">
        <v>42.234000000000002</v>
      </c>
      <c r="BB276" s="319">
        <v>0</v>
      </c>
      <c r="BC276" s="319">
        <v>0</v>
      </c>
      <c r="BD276" s="319">
        <v>0</v>
      </c>
      <c r="BE276" s="319">
        <v>0</v>
      </c>
      <c r="BF276" s="319">
        <v>0</v>
      </c>
      <c r="BG276" s="319">
        <v>0</v>
      </c>
      <c r="BH276" s="319">
        <v>0</v>
      </c>
      <c r="BI276" s="317">
        <f t="shared" si="48"/>
        <v>346.55399999999997</v>
      </c>
      <c r="BJ276" s="316">
        <v>64.656999999999996</v>
      </c>
      <c r="BK276" s="316">
        <v>72.325999999999993</v>
      </c>
      <c r="BL276" s="316">
        <v>63.686</v>
      </c>
      <c r="BM276" s="316">
        <v>55.646000000000001</v>
      </c>
      <c r="BN276" s="316">
        <v>40.423000000000002</v>
      </c>
      <c r="BO276" s="316">
        <v>53.337000000000003</v>
      </c>
      <c r="BP276" s="316">
        <v>0</v>
      </c>
      <c r="BQ276" s="316">
        <v>0</v>
      </c>
      <c r="BR276" s="316">
        <v>0</v>
      </c>
      <c r="BS276" s="316">
        <v>0</v>
      </c>
      <c r="BT276" s="316">
        <v>0</v>
      </c>
      <c r="BU276" s="316">
        <v>0</v>
      </c>
      <c r="BV276" s="316">
        <v>0</v>
      </c>
      <c r="BW276" s="317">
        <f t="shared" si="46"/>
        <v>350.07499999999999</v>
      </c>
    </row>
    <row r="277" spans="1:75" x14ac:dyDescent="0.2">
      <c r="A277" s="20" t="str">
        <f>'School Level Inst. Resources'!A277</f>
        <v>1702000</v>
      </c>
      <c r="B277" s="20" t="str">
        <f>'School Level Inst. Resources'!B277</f>
        <v>Sheridan #2</v>
      </c>
      <c r="C277" s="20" t="str">
        <f>'School Level Inst. Resources'!C277</f>
        <v>1702003</v>
      </c>
      <c r="D277" s="20" t="str">
        <f>'School Level Inst. Resources'!D277</f>
        <v>Highland Park Elementary</v>
      </c>
      <c r="E277" s="138" t="str">
        <f>'School Level Inst. Resources'!E277</f>
        <v>K-5</v>
      </c>
      <c r="F277" s="317">
        <f>IF(AND($A$2=4,VLOOKUP($A277,'District Level ADM'!$A$5:$W$52,5,FALSE)="Prior Year"),AH277,IF(AND($A$2=4,VLOOKUP($A277,'District Level ADM'!$A$5:$W$52,5,FALSE)="3-Year Avg."),T277,IF($A$2=2,AH277,IF($A$2=3,T277,IF(($AG277&gt;$AU277),T277,AH277)))))</f>
        <v>66.98</v>
      </c>
      <c r="G277" s="317">
        <f>IF(AND($A$2=4,VLOOKUP($A277,'District Level ADM'!$A$5:$W$52,5,FALSE)="Prior Year"),AI277,IF(AND($A$2=4,VLOOKUP($A277,'District Level ADM'!$A$5:$W$52,5,FALSE)="3-Year Avg."),U277,IF($A$2=2,AI277,IF($A$2=3,U277,IF(($AG277&gt;$AU277),U277,AI277)))))</f>
        <v>55.16</v>
      </c>
      <c r="H277" s="317">
        <f>IF(AND($A$2=4,VLOOKUP($A277,'District Level ADM'!$A$5:$W$52,5,FALSE)="Prior Year"),AJ277,IF(AND($A$2=4,VLOOKUP($A277,'District Level ADM'!$A$5:$W$52,5,FALSE)="3-Year Avg."),V277,IF($A$2=2,AJ277,IF($A$2=3,V277,IF(($AG277&gt;$AU277),V277,AJ277)))))</f>
        <v>50.234999999999999</v>
      </c>
      <c r="I277" s="317">
        <f>IF(AND($A$2=4,VLOOKUP($A277,'District Level ADM'!$A$5:$W$52,5,FALSE)="Prior Year"),AK277,IF(AND($A$2=4,VLOOKUP($A277,'District Level ADM'!$A$5:$W$52,5,FALSE)="3-Year Avg."),W277,IF($A$2=2,AK277,IF($A$2=3,W277,IF(($AG277&gt;$AU277),W277,AK277)))))</f>
        <v>62.055</v>
      </c>
      <c r="J277" s="317">
        <f>IF(AND($A$2=4,VLOOKUP($A277,'District Level ADM'!$A$5:$W$52,5,FALSE)="Prior Year"),AL277,IF(AND($A$2=4,VLOOKUP($A277,'District Level ADM'!$A$5:$W$52,5,FALSE)="3-Year Avg."),X277,IF($A$2=2,AL277,IF($A$2=3,X277,IF(($AG277&gt;$AU277),X277,AL277)))))</f>
        <v>64.025000000000006</v>
      </c>
      <c r="K277" s="317">
        <f>IF(AND($A$2=4,VLOOKUP($A277,'District Level ADM'!$A$5:$W$52,5,FALSE)="Prior Year"),AM277,IF(AND($A$2=4,VLOOKUP($A277,'District Level ADM'!$A$5:$W$52,5,FALSE)="3-Year Avg."),Y277,IF($A$2=2,AM277,IF($A$2=3,Y277,IF(($AG277&gt;$AU277),Y277,AM277)))))</f>
        <v>65.010000000000005</v>
      </c>
      <c r="L277" s="317">
        <f>IF(AND($A$2=4,VLOOKUP($A277,'District Level ADM'!$A$5:$W$52,5,FALSE)="Prior Year"),AN277,IF(AND($A$2=4,VLOOKUP($A277,'District Level ADM'!$A$5:$W$52,5,FALSE)="3-Year Avg."),Z277,IF($A$2=2,AN277,IF($A$2=3,Z277,IF(($AG277&gt;$AU277),Z277,AN277)))))</f>
        <v>0</v>
      </c>
      <c r="M277" s="317">
        <f>IF(AND($A$2=4,VLOOKUP($A277,'District Level ADM'!$A$5:$W$52,5,FALSE)="Prior Year"),AO277,IF(AND($A$2=4,VLOOKUP($A277,'District Level ADM'!$A$5:$W$52,5,FALSE)="3-Year Avg."),AA277,IF($A$2=2,AO277,IF($A$2=3,AA277,IF(($AG277&gt;$AU277),AA277,AO277)))))</f>
        <v>0</v>
      </c>
      <c r="N277" s="317">
        <f>IF(AND($A$2=4,VLOOKUP($A277,'District Level ADM'!$A$5:$W$52,5,FALSE)="Prior Year"),AP277,IF(AND($A$2=4,VLOOKUP($A277,'District Level ADM'!$A$5:$W$52,5,FALSE)="3-Year Avg."),AB277,IF($A$2=2,AP277,IF($A$2=3,AB277,IF(($AG277&gt;$AU277),AB277,AP277)))))</f>
        <v>0</v>
      </c>
      <c r="O277" s="317">
        <f>IF(AND($A$2=4,VLOOKUP($A277,'District Level ADM'!$A$5:$W$52,5,FALSE)="Prior Year"),AQ277,IF(AND($A$2=4,VLOOKUP($A277,'District Level ADM'!$A$5:$W$52,5,FALSE)="3-Year Avg."),AC277,IF($A$2=2,AQ277,IF($A$2=3,AC277,IF(($AG277&gt;$AU277),AC277,AQ277)))))</f>
        <v>0</v>
      </c>
      <c r="P277" s="317">
        <f>IF(AND($A$2=4,VLOOKUP($A277,'District Level ADM'!$A$5:$W$52,5,FALSE)="Prior Year"),AR277,IF(AND($A$2=4,VLOOKUP($A277,'District Level ADM'!$A$5:$W$52,5,FALSE)="3-Year Avg."),AD277,IF($A$2=2,AR277,IF($A$2=3,AD277,IF(($AG277&gt;$AU277),AD277,AR277)))))</f>
        <v>0</v>
      </c>
      <c r="Q277" s="317">
        <f>IF(AND($A$2=4,VLOOKUP($A277,'District Level ADM'!$A$5:$W$52,5,FALSE)="Prior Year"),AS277,IF(AND($A$2=4,VLOOKUP($A277,'District Level ADM'!$A$5:$W$52,5,FALSE)="3-Year Avg."),AE277,IF($A$2=2,AS277,IF($A$2=3,AE277,IF(($AG277&gt;$AU277),AE277,AS277)))))</f>
        <v>0</v>
      </c>
      <c r="R277" s="317">
        <f>IF(AND($A$2=4,VLOOKUP($A277,'District Level ADM'!$A$5:$W$52,5,FALSE)="Prior Year"),AT277,IF(AND($A$2=4,VLOOKUP($A277,'District Level ADM'!$A$5:$W$52,5,FALSE)="3-Year Avg."),AF277,IF($A$2=2,AT277,IF($A$2=3,AF277,IF(($AG277&gt;$AU277),AF277,AT277)))))</f>
        <v>0</v>
      </c>
      <c r="S277" s="317">
        <f t="shared" si="44"/>
        <v>363.46500000000003</v>
      </c>
      <c r="T277" s="317">
        <f t="shared" si="42"/>
        <v>61.526666666666664</v>
      </c>
      <c r="U277" s="317">
        <f t="shared" si="42"/>
        <v>60.568666666666672</v>
      </c>
      <c r="V277" s="317">
        <f t="shared" si="42"/>
        <v>58.750666666666667</v>
      </c>
      <c r="W277" s="317">
        <f t="shared" si="42"/>
        <v>63.746000000000002</v>
      </c>
      <c r="X277" s="317">
        <f t="shared" si="42"/>
        <v>63.888333333333343</v>
      </c>
      <c r="Y277" s="317">
        <f t="shared" si="42"/>
        <v>61.730666666666671</v>
      </c>
      <c r="Z277" s="317">
        <f t="shared" si="42"/>
        <v>0</v>
      </c>
      <c r="AA277" s="317">
        <f t="shared" si="41"/>
        <v>0</v>
      </c>
      <c r="AB277" s="317">
        <f t="shared" si="41"/>
        <v>0</v>
      </c>
      <c r="AC277" s="317">
        <f t="shared" si="41"/>
        <v>0</v>
      </c>
      <c r="AD277" s="317">
        <f t="shared" si="41"/>
        <v>0</v>
      </c>
      <c r="AE277" s="317">
        <f t="shared" si="41"/>
        <v>0</v>
      </c>
      <c r="AF277" s="317">
        <f t="shared" si="41"/>
        <v>0</v>
      </c>
      <c r="AG277" s="317">
        <f t="shared" si="45"/>
        <v>370.21100000000001</v>
      </c>
      <c r="AH277" s="318">
        <v>66.98</v>
      </c>
      <c r="AI277" s="318">
        <v>55.16</v>
      </c>
      <c r="AJ277" s="318">
        <v>50.234999999999999</v>
      </c>
      <c r="AK277" s="318">
        <v>62.055</v>
      </c>
      <c r="AL277" s="318">
        <v>64.025000000000006</v>
      </c>
      <c r="AM277" s="318">
        <v>65.010000000000005</v>
      </c>
      <c r="AN277" s="318">
        <v>0</v>
      </c>
      <c r="AO277" s="318">
        <v>0</v>
      </c>
      <c r="AP277" s="318">
        <v>0</v>
      </c>
      <c r="AQ277" s="318">
        <v>0</v>
      </c>
      <c r="AR277" s="318">
        <v>0</v>
      </c>
      <c r="AS277" s="318">
        <v>0</v>
      </c>
      <c r="AT277" s="318">
        <v>0</v>
      </c>
      <c r="AU277" s="317">
        <f t="shared" si="43"/>
        <v>363.46500000000003</v>
      </c>
      <c r="AV277" s="319">
        <v>56.548999999999999</v>
      </c>
      <c r="AW277" s="319">
        <v>55.143000000000001</v>
      </c>
      <c r="AX277" s="319">
        <v>66.52</v>
      </c>
      <c r="AY277" s="319">
        <v>63.749000000000002</v>
      </c>
      <c r="AZ277" s="319">
        <v>67.777000000000001</v>
      </c>
      <c r="BA277" s="319">
        <v>59.731000000000002</v>
      </c>
      <c r="BB277" s="319">
        <v>0</v>
      </c>
      <c r="BC277" s="319">
        <v>0</v>
      </c>
      <c r="BD277" s="319">
        <v>0</v>
      </c>
      <c r="BE277" s="319">
        <v>0</v>
      </c>
      <c r="BF277" s="319">
        <v>0</v>
      </c>
      <c r="BG277" s="319">
        <v>0</v>
      </c>
      <c r="BH277" s="319">
        <v>0</v>
      </c>
      <c r="BI277" s="317">
        <f t="shared" si="48"/>
        <v>369.46899999999999</v>
      </c>
      <c r="BJ277" s="316">
        <v>61.051000000000002</v>
      </c>
      <c r="BK277" s="316">
        <v>71.403000000000006</v>
      </c>
      <c r="BL277" s="316">
        <v>59.497</v>
      </c>
      <c r="BM277" s="316">
        <v>65.433999999999997</v>
      </c>
      <c r="BN277" s="316">
        <v>59.863</v>
      </c>
      <c r="BO277" s="316">
        <v>60.451000000000001</v>
      </c>
      <c r="BP277" s="316">
        <v>0</v>
      </c>
      <c r="BQ277" s="316">
        <v>0</v>
      </c>
      <c r="BR277" s="316">
        <v>0</v>
      </c>
      <c r="BS277" s="316">
        <v>0</v>
      </c>
      <c r="BT277" s="316">
        <v>0</v>
      </c>
      <c r="BU277" s="316">
        <v>0</v>
      </c>
      <c r="BV277" s="316">
        <v>0</v>
      </c>
      <c r="BW277" s="317">
        <f t="shared" si="46"/>
        <v>377.69900000000001</v>
      </c>
    </row>
    <row r="278" spans="1:75" x14ac:dyDescent="0.2">
      <c r="A278" s="20" t="str">
        <f>'School Level Inst. Resources'!A278</f>
        <v>1702000</v>
      </c>
      <c r="B278" s="20" t="str">
        <f>'School Level Inst. Resources'!B278</f>
        <v>Sheridan #2</v>
      </c>
      <c r="C278" s="20" t="str">
        <f>'School Level Inst. Resources'!C278</f>
        <v>1702005</v>
      </c>
      <c r="D278" s="20" t="str">
        <f>'School Level Inst. Resources'!D278</f>
        <v>Story Elementary</v>
      </c>
      <c r="E278" s="138" t="str">
        <f>'School Level Inst. Resources'!E278</f>
        <v>K-5</v>
      </c>
      <c r="F278" s="317">
        <f>IF(AND($A$2=4,VLOOKUP($A278,'District Level ADM'!$A$5:$W$52,5,FALSE)="Prior Year"),AH278,IF(AND($A$2=4,VLOOKUP($A278,'District Level ADM'!$A$5:$W$52,5,FALSE)="3-Year Avg."),T278,IF($A$2=2,AH278,IF($A$2=3,T278,IF(($AG278&gt;$AU278),T278,AH278)))))</f>
        <v>1.97</v>
      </c>
      <c r="G278" s="317">
        <f>IF(AND($A$2=4,VLOOKUP($A278,'District Level ADM'!$A$5:$W$52,5,FALSE)="Prior Year"),AI278,IF(AND($A$2=4,VLOOKUP($A278,'District Level ADM'!$A$5:$W$52,5,FALSE)="3-Year Avg."),U278,IF($A$2=2,AI278,IF($A$2=3,U278,IF(($AG278&gt;$AU278),U278,AI278)))))</f>
        <v>2.9550000000000001</v>
      </c>
      <c r="H278" s="317">
        <f>IF(AND($A$2=4,VLOOKUP($A278,'District Level ADM'!$A$5:$W$52,5,FALSE)="Prior Year"),AJ278,IF(AND($A$2=4,VLOOKUP($A278,'District Level ADM'!$A$5:$W$52,5,FALSE)="3-Year Avg."),V278,IF($A$2=2,AJ278,IF($A$2=3,V278,IF(($AG278&gt;$AU278),V278,AJ278)))))</f>
        <v>2.9550000000000001</v>
      </c>
      <c r="I278" s="317">
        <f>IF(AND($A$2=4,VLOOKUP($A278,'District Level ADM'!$A$5:$W$52,5,FALSE)="Prior Year"),AK278,IF(AND($A$2=4,VLOOKUP($A278,'District Level ADM'!$A$5:$W$52,5,FALSE)="3-Year Avg."),W278,IF($A$2=2,AK278,IF($A$2=3,W278,IF(($AG278&gt;$AU278),W278,AK278)))))</f>
        <v>1.97</v>
      </c>
      <c r="J278" s="317">
        <f>IF(AND($A$2=4,VLOOKUP($A278,'District Level ADM'!$A$5:$W$52,5,FALSE)="Prior Year"),AL278,IF(AND($A$2=4,VLOOKUP($A278,'District Level ADM'!$A$5:$W$52,5,FALSE)="3-Year Avg."),X278,IF($A$2=2,AL278,IF($A$2=3,X278,IF(($AG278&gt;$AU278),X278,AL278)))))</f>
        <v>3.94</v>
      </c>
      <c r="K278" s="317">
        <f>IF(AND($A$2=4,VLOOKUP($A278,'District Level ADM'!$A$5:$W$52,5,FALSE)="Prior Year"),AM278,IF(AND($A$2=4,VLOOKUP($A278,'District Level ADM'!$A$5:$W$52,5,FALSE)="3-Year Avg."),Y278,IF($A$2=2,AM278,IF($A$2=3,Y278,IF(($AG278&gt;$AU278),Y278,AM278)))))</f>
        <v>4.9249999999999998</v>
      </c>
      <c r="L278" s="317">
        <f>IF(AND($A$2=4,VLOOKUP($A278,'District Level ADM'!$A$5:$W$52,5,FALSE)="Prior Year"),AN278,IF(AND($A$2=4,VLOOKUP($A278,'District Level ADM'!$A$5:$W$52,5,FALSE)="3-Year Avg."),Z278,IF($A$2=2,AN278,IF($A$2=3,Z278,IF(($AG278&gt;$AU278),Z278,AN278)))))</f>
        <v>0</v>
      </c>
      <c r="M278" s="317">
        <f>IF(AND($A$2=4,VLOOKUP($A278,'District Level ADM'!$A$5:$W$52,5,FALSE)="Prior Year"),AO278,IF(AND($A$2=4,VLOOKUP($A278,'District Level ADM'!$A$5:$W$52,5,FALSE)="3-Year Avg."),AA278,IF($A$2=2,AO278,IF($A$2=3,AA278,IF(($AG278&gt;$AU278),AA278,AO278)))))</f>
        <v>0</v>
      </c>
      <c r="N278" s="317">
        <f>IF(AND($A$2=4,VLOOKUP($A278,'District Level ADM'!$A$5:$W$52,5,FALSE)="Prior Year"),AP278,IF(AND($A$2=4,VLOOKUP($A278,'District Level ADM'!$A$5:$W$52,5,FALSE)="3-Year Avg."),AB278,IF($A$2=2,AP278,IF($A$2=3,AB278,IF(($AG278&gt;$AU278),AB278,AP278)))))</f>
        <v>0</v>
      </c>
      <c r="O278" s="317">
        <f>IF(AND($A$2=4,VLOOKUP($A278,'District Level ADM'!$A$5:$W$52,5,FALSE)="Prior Year"),AQ278,IF(AND($A$2=4,VLOOKUP($A278,'District Level ADM'!$A$5:$W$52,5,FALSE)="3-Year Avg."),AC278,IF($A$2=2,AQ278,IF($A$2=3,AC278,IF(($AG278&gt;$AU278),AC278,AQ278)))))</f>
        <v>0</v>
      </c>
      <c r="P278" s="317">
        <f>IF(AND($A$2=4,VLOOKUP($A278,'District Level ADM'!$A$5:$W$52,5,FALSE)="Prior Year"),AR278,IF(AND($A$2=4,VLOOKUP($A278,'District Level ADM'!$A$5:$W$52,5,FALSE)="3-Year Avg."),AD278,IF($A$2=2,AR278,IF($A$2=3,AD278,IF(($AG278&gt;$AU278),AD278,AR278)))))</f>
        <v>0</v>
      </c>
      <c r="Q278" s="317">
        <f>IF(AND($A$2=4,VLOOKUP($A278,'District Level ADM'!$A$5:$W$52,5,FALSE)="Prior Year"),AS278,IF(AND($A$2=4,VLOOKUP($A278,'District Level ADM'!$A$5:$W$52,5,FALSE)="3-Year Avg."),AE278,IF($A$2=2,AS278,IF($A$2=3,AE278,IF(($AG278&gt;$AU278),AE278,AS278)))))</f>
        <v>0</v>
      </c>
      <c r="R278" s="317">
        <f>IF(AND($A$2=4,VLOOKUP($A278,'District Level ADM'!$A$5:$W$52,5,FALSE)="Prior Year"),AT278,IF(AND($A$2=4,VLOOKUP($A278,'District Level ADM'!$A$5:$W$52,5,FALSE)="3-Year Avg."),AF278,IF($A$2=2,AT278,IF($A$2=3,AF278,IF(($AG278&gt;$AU278),AF278,AT278)))))</f>
        <v>0</v>
      </c>
      <c r="S278" s="317">
        <f t="shared" si="44"/>
        <v>18.715</v>
      </c>
      <c r="T278" s="317">
        <f t="shared" si="42"/>
        <v>2.9899999999999998</v>
      </c>
      <c r="U278" s="317">
        <f t="shared" si="42"/>
        <v>3.0686666666666667</v>
      </c>
      <c r="V278" s="317">
        <f t="shared" si="42"/>
        <v>2.347</v>
      </c>
      <c r="W278" s="317">
        <f t="shared" si="42"/>
        <v>3.4413333333333331</v>
      </c>
      <c r="X278" s="317">
        <f t="shared" si="42"/>
        <v>4.2503333333333337</v>
      </c>
      <c r="Y278" s="317">
        <f t="shared" si="42"/>
        <v>3.3083333333333336</v>
      </c>
      <c r="Z278" s="317">
        <f t="shared" si="42"/>
        <v>0</v>
      </c>
      <c r="AA278" s="317">
        <f t="shared" si="41"/>
        <v>0</v>
      </c>
      <c r="AB278" s="317">
        <f t="shared" si="41"/>
        <v>0</v>
      </c>
      <c r="AC278" s="317">
        <f t="shared" si="41"/>
        <v>0</v>
      </c>
      <c r="AD278" s="317">
        <f t="shared" si="41"/>
        <v>0</v>
      </c>
      <c r="AE278" s="317">
        <f t="shared" si="41"/>
        <v>0</v>
      </c>
      <c r="AF278" s="317">
        <f t="shared" si="41"/>
        <v>0</v>
      </c>
      <c r="AG278" s="317">
        <f t="shared" si="45"/>
        <v>19.405666666666665</v>
      </c>
      <c r="AH278" s="318">
        <v>1.97</v>
      </c>
      <c r="AI278" s="318">
        <v>2.9550000000000001</v>
      </c>
      <c r="AJ278" s="318">
        <v>2.9550000000000001</v>
      </c>
      <c r="AK278" s="318">
        <v>1.97</v>
      </c>
      <c r="AL278" s="318">
        <v>3.94</v>
      </c>
      <c r="AM278" s="318">
        <v>4.9249999999999998</v>
      </c>
      <c r="AN278" s="318">
        <v>0</v>
      </c>
      <c r="AO278" s="318">
        <v>0</v>
      </c>
      <c r="AP278" s="318">
        <v>0</v>
      </c>
      <c r="AQ278" s="318">
        <v>0</v>
      </c>
      <c r="AR278" s="318">
        <v>0</v>
      </c>
      <c r="AS278" s="318">
        <v>0</v>
      </c>
      <c r="AT278" s="318">
        <v>0</v>
      </c>
      <c r="AU278" s="317">
        <f t="shared" si="43"/>
        <v>18.715</v>
      </c>
      <c r="AV278" s="319">
        <v>3</v>
      </c>
      <c r="AW278" s="319">
        <v>4</v>
      </c>
      <c r="AX278" s="319">
        <v>2</v>
      </c>
      <c r="AY278" s="319">
        <v>4.3540000000000001</v>
      </c>
      <c r="AZ278" s="319">
        <v>5.3310000000000004</v>
      </c>
      <c r="BA278" s="319">
        <v>4</v>
      </c>
      <c r="BB278" s="319">
        <v>0</v>
      </c>
      <c r="BC278" s="319">
        <v>0</v>
      </c>
      <c r="BD278" s="319">
        <v>0</v>
      </c>
      <c r="BE278" s="319">
        <v>0</v>
      </c>
      <c r="BF278" s="319">
        <v>0</v>
      </c>
      <c r="BG278" s="319">
        <v>0</v>
      </c>
      <c r="BH278" s="319">
        <v>0</v>
      </c>
      <c r="BI278" s="317">
        <f t="shared" si="48"/>
        <v>22.684999999999999</v>
      </c>
      <c r="BJ278" s="316">
        <v>4</v>
      </c>
      <c r="BK278" s="316">
        <v>2.2509999999999999</v>
      </c>
      <c r="BL278" s="316">
        <v>2.0859999999999999</v>
      </c>
      <c r="BM278" s="316">
        <v>4</v>
      </c>
      <c r="BN278" s="316">
        <v>3.48</v>
      </c>
      <c r="BO278" s="316">
        <v>1</v>
      </c>
      <c r="BP278" s="316">
        <v>0</v>
      </c>
      <c r="BQ278" s="316">
        <v>0</v>
      </c>
      <c r="BR278" s="316">
        <v>0</v>
      </c>
      <c r="BS278" s="316">
        <v>0</v>
      </c>
      <c r="BT278" s="316">
        <v>0</v>
      </c>
      <c r="BU278" s="316">
        <v>0</v>
      </c>
      <c r="BV278" s="316">
        <v>0</v>
      </c>
      <c r="BW278" s="317">
        <f t="shared" si="46"/>
        <v>16.817</v>
      </c>
    </row>
    <row r="279" spans="1:75" x14ac:dyDescent="0.2">
      <c r="A279" s="20" t="str">
        <f>'School Level Inst. Resources'!A279</f>
        <v>1702000</v>
      </c>
      <c r="B279" s="20" t="str">
        <f>'School Level Inst. Resources'!B279</f>
        <v>Sheridan #2</v>
      </c>
      <c r="C279" s="20" t="str">
        <f>'School Level Inst. Resources'!C279</f>
        <v>1702007</v>
      </c>
      <c r="D279" s="20" t="str">
        <f>'School Level Inst. Resources'!D279</f>
        <v>Woodland Park Elementary</v>
      </c>
      <c r="E279" s="138" t="str">
        <f>'School Level Inst. Resources'!E279</f>
        <v>K-5</v>
      </c>
      <c r="F279" s="317">
        <f>IF(AND($A$2=4,VLOOKUP($A279,'District Level ADM'!$A$5:$W$52,5,FALSE)="Prior Year"),AH279,IF(AND($A$2=4,VLOOKUP($A279,'District Level ADM'!$A$5:$W$52,5,FALSE)="3-Year Avg."),T279,IF($A$2=2,AH279,IF($A$2=3,T279,IF(($AG279&gt;$AU279),T279,AH279)))))</f>
        <v>68.95</v>
      </c>
      <c r="G279" s="317">
        <f>IF(AND($A$2=4,VLOOKUP($A279,'District Level ADM'!$A$5:$W$52,5,FALSE)="Prior Year"),AI279,IF(AND($A$2=4,VLOOKUP($A279,'District Level ADM'!$A$5:$W$52,5,FALSE)="3-Year Avg."),U279,IF($A$2=2,AI279,IF($A$2=3,U279,IF(($AG279&gt;$AU279),U279,AI279)))))</f>
        <v>51.22</v>
      </c>
      <c r="H279" s="317">
        <f>IF(AND($A$2=4,VLOOKUP($A279,'District Level ADM'!$A$5:$W$52,5,FALSE)="Prior Year"),AJ279,IF(AND($A$2=4,VLOOKUP($A279,'District Level ADM'!$A$5:$W$52,5,FALSE)="3-Year Avg."),V279,IF($A$2=2,AJ279,IF($A$2=3,V279,IF(($AG279&gt;$AU279),V279,AJ279)))))</f>
        <v>52.204999999999998</v>
      </c>
      <c r="I279" s="317">
        <f>IF(AND($A$2=4,VLOOKUP($A279,'District Level ADM'!$A$5:$W$52,5,FALSE)="Prior Year"),AK279,IF(AND($A$2=4,VLOOKUP($A279,'District Level ADM'!$A$5:$W$52,5,FALSE)="3-Year Avg."),W279,IF($A$2=2,AK279,IF($A$2=3,W279,IF(($AG279&gt;$AU279),W279,AK279)))))</f>
        <v>44.325000000000003</v>
      </c>
      <c r="J279" s="317">
        <f>IF(AND($A$2=4,VLOOKUP($A279,'District Level ADM'!$A$5:$W$52,5,FALSE)="Prior Year"),AL279,IF(AND($A$2=4,VLOOKUP($A279,'District Level ADM'!$A$5:$W$52,5,FALSE)="3-Year Avg."),X279,IF($A$2=2,AL279,IF($A$2=3,X279,IF(($AG279&gt;$AU279),X279,AL279)))))</f>
        <v>44.325000000000003</v>
      </c>
      <c r="K279" s="317">
        <f>IF(AND($A$2=4,VLOOKUP($A279,'District Level ADM'!$A$5:$W$52,5,FALSE)="Prior Year"),AM279,IF(AND($A$2=4,VLOOKUP($A279,'District Level ADM'!$A$5:$W$52,5,FALSE)="3-Year Avg."),Y279,IF($A$2=2,AM279,IF($A$2=3,Y279,IF(($AG279&gt;$AU279),Y279,AM279)))))</f>
        <v>53.19</v>
      </c>
      <c r="L279" s="317">
        <f>IF(AND($A$2=4,VLOOKUP($A279,'District Level ADM'!$A$5:$W$52,5,FALSE)="Prior Year"),AN279,IF(AND($A$2=4,VLOOKUP($A279,'District Level ADM'!$A$5:$W$52,5,FALSE)="3-Year Avg."),Z279,IF($A$2=2,AN279,IF($A$2=3,Z279,IF(($AG279&gt;$AU279),Z279,AN279)))))</f>
        <v>0</v>
      </c>
      <c r="M279" s="317">
        <f>IF(AND($A$2=4,VLOOKUP($A279,'District Level ADM'!$A$5:$W$52,5,FALSE)="Prior Year"),AO279,IF(AND($A$2=4,VLOOKUP($A279,'District Level ADM'!$A$5:$W$52,5,FALSE)="3-Year Avg."),AA279,IF($A$2=2,AO279,IF($A$2=3,AA279,IF(($AG279&gt;$AU279),AA279,AO279)))))</f>
        <v>0</v>
      </c>
      <c r="N279" s="317">
        <f>IF(AND($A$2=4,VLOOKUP($A279,'District Level ADM'!$A$5:$W$52,5,FALSE)="Prior Year"),AP279,IF(AND($A$2=4,VLOOKUP($A279,'District Level ADM'!$A$5:$W$52,5,FALSE)="3-Year Avg."),AB279,IF($A$2=2,AP279,IF($A$2=3,AB279,IF(($AG279&gt;$AU279),AB279,AP279)))))</f>
        <v>0</v>
      </c>
      <c r="O279" s="317">
        <f>IF(AND($A$2=4,VLOOKUP($A279,'District Level ADM'!$A$5:$W$52,5,FALSE)="Prior Year"),AQ279,IF(AND($A$2=4,VLOOKUP($A279,'District Level ADM'!$A$5:$W$52,5,FALSE)="3-Year Avg."),AC279,IF($A$2=2,AQ279,IF($A$2=3,AC279,IF(($AG279&gt;$AU279),AC279,AQ279)))))</f>
        <v>0</v>
      </c>
      <c r="P279" s="317">
        <f>IF(AND($A$2=4,VLOOKUP($A279,'District Level ADM'!$A$5:$W$52,5,FALSE)="Prior Year"),AR279,IF(AND($A$2=4,VLOOKUP($A279,'District Level ADM'!$A$5:$W$52,5,FALSE)="3-Year Avg."),AD279,IF($A$2=2,AR279,IF($A$2=3,AD279,IF(($AG279&gt;$AU279),AD279,AR279)))))</f>
        <v>0</v>
      </c>
      <c r="Q279" s="317">
        <f>IF(AND($A$2=4,VLOOKUP($A279,'District Level ADM'!$A$5:$W$52,5,FALSE)="Prior Year"),AS279,IF(AND($A$2=4,VLOOKUP($A279,'District Level ADM'!$A$5:$W$52,5,FALSE)="3-Year Avg."),AE279,IF($A$2=2,AS279,IF($A$2=3,AE279,IF(($AG279&gt;$AU279),AE279,AS279)))))</f>
        <v>0</v>
      </c>
      <c r="R279" s="317">
        <f>IF(AND($A$2=4,VLOOKUP($A279,'District Level ADM'!$A$5:$W$52,5,FALSE)="Prior Year"),AT279,IF(AND($A$2=4,VLOOKUP($A279,'District Level ADM'!$A$5:$W$52,5,FALSE)="3-Year Avg."),AF279,IF($A$2=2,AT279,IF($A$2=3,AF279,IF(($AG279&gt;$AU279),AF279,AT279)))))</f>
        <v>0</v>
      </c>
      <c r="S279" s="317">
        <f t="shared" si="44"/>
        <v>314.21499999999997</v>
      </c>
      <c r="T279" s="317">
        <f t="shared" si="42"/>
        <v>61.826999999999998</v>
      </c>
      <c r="U279" s="317">
        <f t="shared" si="42"/>
        <v>51.206666666666671</v>
      </c>
      <c r="V279" s="317">
        <f t="shared" si="42"/>
        <v>50.268333333333338</v>
      </c>
      <c r="W279" s="317">
        <f t="shared" si="42"/>
        <v>49.175999999999995</v>
      </c>
      <c r="X279" s="317">
        <f t="shared" si="42"/>
        <v>47.599666666666671</v>
      </c>
      <c r="Y279" s="317">
        <f t="shared" si="42"/>
        <v>45.840333333333341</v>
      </c>
      <c r="Z279" s="317">
        <f t="shared" si="42"/>
        <v>0</v>
      </c>
      <c r="AA279" s="317">
        <f t="shared" si="41"/>
        <v>0</v>
      </c>
      <c r="AB279" s="317">
        <f t="shared" si="41"/>
        <v>0</v>
      </c>
      <c r="AC279" s="317">
        <f t="shared" si="41"/>
        <v>0</v>
      </c>
      <c r="AD279" s="317">
        <f t="shared" si="41"/>
        <v>0</v>
      </c>
      <c r="AE279" s="317">
        <f t="shared" si="41"/>
        <v>0</v>
      </c>
      <c r="AF279" s="317">
        <f t="shared" si="41"/>
        <v>0</v>
      </c>
      <c r="AG279" s="317">
        <f t="shared" si="45"/>
        <v>305.91800000000001</v>
      </c>
      <c r="AH279" s="318">
        <v>68.95</v>
      </c>
      <c r="AI279" s="318">
        <v>51.22</v>
      </c>
      <c r="AJ279" s="318">
        <v>52.204999999999998</v>
      </c>
      <c r="AK279" s="318">
        <v>44.325000000000003</v>
      </c>
      <c r="AL279" s="318">
        <v>44.325000000000003</v>
      </c>
      <c r="AM279" s="318">
        <v>53.19</v>
      </c>
      <c r="AN279" s="318">
        <v>0</v>
      </c>
      <c r="AO279" s="318">
        <v>0</v>
      </c>
      <c r="AP279" s="318">
        <v>0</v>
      </c>
      <c r="AQ279" s="318">
        <v>0</v>
      </c>
      <c r="AR279" s="318">
        <v>0</v>
      </c>
      <c r="AS279" s="318">
        <v>0</v>
      </c>
      <c r="AT279" s="318">
        <v>0</v>
      </c>
      <c r="AU279" s="317">
        <f t="shared" si="43"/>
        <v>314.21499999999997</v>
      </c>
      <c r="AV279" s="319">
        <v>53.28</v>
      </c>
      <c r="AW279" s="319">
        <v>49.96</v>
      </c>
      <c r="AX279" s="319">
        <v>47.765999999999998</v>
      </c>
      <c r="AY279" s="319">
        <v>45.746000000000002</v>
      </c>
      <c r="AZ279" s="319">
        <v>54.353999999999999</v>
      </c>
      <c r="BA279" s="319">
        <v>45.976999999999997</v>
      </c>
      <c r="BB279" s="319">
        <v>0</v>
      </c>
      <c r="BC279" s="319">
        <v>0</v>
      </c>
      <c r="BD279" s="319">
        <v>0</v>
      </c>
      <c r="BE279" s="319">
        <v>0</v>
      </c>
      <c r="BF279" s="319">
        <v>0</v>
      </c>
      <c r="BG279" s="319">
        <v>0</v>
      </c>
      <c r="BH279" s="319">
        <v>0</v>
      </c>
      <c r="BI279" s="317">
        <f t="shared" si="48"/>
        <v>297.08299999999997</v>
      </c>
      <c r="BJ279" s="316">
        <v>63.250999999999998</v>
      </c>
      <c r="BK279" s="316">
        <v>52.44</v>
      </c>
      <c r="BL279" s="316">
        <v>50.834000000000003</v>
      </c>
      <c r="BM279" s="316">
        <v>57.457000000000001</v>
      </c>
      <c r="BN279" s="316">
        <v>44.12</v>
      </c>
      <c r="BO279" s="316">
        <v>38.353999999999999</v>
      </c>
      <c r="BP279" s="316">
        <v>0</v>
      </c>
      <c r="BQ279" s="316">
        <v>0</v>
      </c>
      <c r="BR279" s="316">
        <v>0</v>
      </c>
      <c r="BS279" s="316">
        <v>0</v>
      </c>
      <c r="BT279" s="316">
        <v>0</v>
      </c>
      <c r="BU279" s="316">
        <v>0</v>
      </c>
      <c r="BV279" s="316">
        <v>0</v>
      </c>
      <c r="BW279" s="317">
        <f t="shared" si="46"/>
        <v>306.45599999999996</v>
      </c>
    </row>
    <row r="280" spans="1:75" x14ac:dyDescent="0.2">
      <c r="A280" s="20" t="str">
        <f>'School Level Inst. Resources'!A280</f>
        <v>1702000</v>
      </c>
      <c r="B280" s="20" t="str">
        <f>'School Level Inst. Resources'!B280</f>
        <v>Sheridan #2</v>
      </c>
      <c r="C280" s="20" t="str">
        <f>'School Level Inst. Resources'!C280</f>
        <v>1702009</v>
      </c>
      <c r="D280" s="20" t="str">
        <f>'School Level Inst. Resources'!D280</f>
        <v>Meadowlark Elementary</v>
      </c>
      <c r="E280" s="138" t="str">
        <f>'School Level Inst. Resources'!E280</f>
        <v>K-5</v>
      </c>
      <c r="F280" s="317">
        <f>IF(AND($A$2=4,VLOOKUP($A280,'District Level ADM'!$A$5:$W$52,5,FALSE)="Prior Year"),AH280,IF(AND($A$2=4,VLOOKUP($A280,'District Level ADM'!$A$5:$W$52,5,FALSE)="3-Year Avg."),T280,IF($A$2=2,AH280,IF($A$2=3,T280,IF(($AG280&gt;$AU280),T280,AH280)))))</f>
        <v>50.234999999999999</v>
      </c>
      <c r="G280" s="317">
        <f>IF(AND($A$2=4,VLOOKUP($A280,'District Level ADM'!$A$5:$W$52,5,FALSE)="Prior Year"),AI280,IF(AND($A$2=4,VLOOKUP($A280,'District Level ADM'!$A$5:$W$52,5,FALSE)="3-Year Avg."),U280,IF($A$2=2,AI280,IF($A$2=3,U280,IF(($AG280&gt;$AU280),U280,AI280)))))</f>
        <v>47.28</v>
      </c>
      <c r="H280" s="317">
        <f>IF(AND($A$2=4,VLOOKUP($A280,'District Level ADM'!$A$5:$W$52,5,FALSE)="Prior Year"),AJ280,IF(AND($A$2=4,VLOOKUP($A280,'District Level ADM'!$A$5:$W$52,5,FALSE)="3-Year Avg."),V280,IF($A$2=2,AJ280,IF($A$2=3,V280,IF(($AG280&gt;$AU280),V280,AJ280)))))</f>
        <v>50.234999999999999</v>
      </c>
      <c r="I280" s="317">
        <f>IF(AND($A$2=4,VLOOKUP($A280,'District Level ADM'!$A$5:$W$52,5,FALSE)="Prior Year"),AK280,IF(AND($A$2=4,VLOOKUP($A280,'District Level ADM'!$A$5:$W$52,5,FALSE)="3-Year Avg."),W280,IF($A$2=2,AK280,IF($A$2=3,W280,IF(($AG280&gt;$AU280),W280,AK280)))))</f>
        <v>64.025000000000006</v>
      </c>
      <c r="J280" s="317">
        <f>IF(AND($A$2=4,VLOOKUP($A280,'District Level ADM'!$A$5:$W$52,5,FALSE)="Prior Year"),AL280,IF(AND($A$2=4,VLOOKUP($A280,'District Level ADM'!$A$5:$W$52,5,FALSE)="3-Year Avg."),X280,IF($A$2=2,AL280,IF($A$2=3,X280,IF(($AG280&gt;$AU280),X280,AL280)))))</f>
        <v>55.16</v>
      </c>
      <c r="K280" s="317">
        <f>IF(AND($A$2=4,VLOOKUP($A280,'District Level ADM'!$A$5:$W$52,5,FALSE)="Prior Year"),AM280,IF(AND($A$2=4,VLOOKUP($A280,'District Level ADM'!$A$5:$W$52,5,FALSE)="3-Year Avg."),Y280,IF($A$2=2,AM280,IF($A$2=3,Y280,IF(($AG280&gt;$AU280),Y280,AM280)))))</f>
        <v>64.025000000000006</v>
      </c>
      <c r="L280" s="317">
        <f>IF(AND($A$2=4,VLOOKUP($A280,'District Level ADM'!$A$5:$W$52,5,FALSE)="Prior Year"),AN280,IF(AND($A$2=4,VLOOKUP($A280,'District Level ADM'!$A$5:$W$52,5,FALSE)="3-Year Avg."),Z280,IF($A$2=2,AN280,IF($A$2=3,Z280,IF(($AG280&gt;$AU280),Z280,AN280)))))</f>
        <v>0</v>
      </c>
      <c r="M280" s="317">
        <f>IF(AND($A$2=4,VLOOKUP($A280,'District Level ADM'!$A$5:$W$52,5,FALSE)="Prior Year"),AO280,IF(AND($A$2=4,VLOOKUP($A280,'District Level ADM'!$A$5:$W$52,5,FALSE)="3-Year Avg."),AA280,IF($A$2=2,AO280,IF($A$2=3,AA280,IF(($AG280&gt;$AU280),AA280,AO280)))))</f>
        <v>0</v>
      </c>
      <c r="N280" s="317">
        <f>IF(AND($A$2=4,VLOOKUP($A280,'District Level ADM'!$A$5:$W$52,5,FALSE)="Prior Year"),AP280,IF(AND($A$2=4,VLOOKUP($A280,'District Level ADM'!$A$5:$W$52,5,FALSE)="3-Year Avg."),AB280,IF($A$2=2,AP280,IF($A$2=3,AB280,IF(($AG280&gt;$AU280),AB280,AP280)))))</f>
        <v>0</v>
      </c>
      <c r="O280" s="317">
        <f>IF(AND($A$2=4,VLOOKUP($A280,'District Level ADM'!$A$5:$W$52,5,FALSE)="Prior Year"),AQ280,IF(AND($A$2=4,VLOOKUP($A280,'District Level ADM'!$A$5:$W$52,5,FALSE)="3-Year Avg."),AC280,IF($A$2=2,AQ280,IF($A$2=3,AC280,IF(($AG280&gt;$AU280),AC280,AQ280)))))</f>
        <v>0</v>
      </c>
      <c r="P280" s="317">
        <f>IF(AND($A$2=4,VLOOKUP($A280,'District Level ADM'!$A$5:$W$52,5,FALSE)="Prior Year"),AR280,IF(AND($A$2=4,VLOOKUP($A280,'District Level ADM'!$A$5:$W$52,5,FALSE)="3-Year Avg."),AD280,IF($A$2=2,AR280,IF($A$2=3,AD280,IF(($AG280&gt;$AU280),AD280,AR280)))))</f>
        <v>0</v>
      </c>
      <c r="Q280" s="317">
        <f>IF(AND($A$2=4,VLOOKUP($A280,'District Level ADM'!$A$5:$W$52,5,FALSE)="Prior Year"),AS280,IF(AND($A$2=4,VLOOKUP($A280,'District Level ADM'!$A$5:$W$52,5,FALSE)="3-Year Avg."),AE280,IF($A$2=2,AS280,IF($A$2=3,AE280,IF(($AG280&gt;$AU280),AE280,AS280)))))</f>
        <v>0</v>
      </c>
      <c r="R280" s="317">
        <f>IF(AND($A$2=4,VLOOKUP($A280,'District Level ADM'!$A$5:$W$52,5,FALSE)="Prior Year"),AT280,IF(AND($A$2=4,VLOOKUP($A280,'District Level ADM'!$A$5:$W$52,5,FALSE)="3-Year Avg."),AF280,IF($A$2=2,AT280,IF($A$2=3,AF280,IF(($AG280&gt;$AU280),AF280,AT280)))))</f>
        <v>0</v>
      </c>
      <c r="S280" s="317">
        <f t="shared" si="44"/>
        <v>330.96000000000004</v>
      </c>
      <c r="T280" s="317">
        <f t="shared" si="42"/>
        <v>50.024333333333338</v>
      </c>
      <c r="U280" s="317">
        <f t="shared" si="42"/>
        <v>52.809666666666665</v>
      </c>
      <c r="V280" s="317">
        <f t="shared" si="42"/>
        <v>55.37166666666667</v>
      </c>
      <c r="W280" s="317">
        <f t="shared" ref="W280:AC318" si="49">AVERAGE(AK280,AY280,BM280)</f>
        <v>59.156000000000006</v>
      </c>
      <c r="X280" s="317">
        <f t="shared" si="49"/>
        <v>60.411333333333324</v>
      </c>
      <c r="Y280" s="317">
        <f t="shared" si="49"/>
        <v>61.469333333333338</v>
      </c>
      <c r="Z280" s="317">
        <f t="shared" si="49"/>
        <v>0</v>
      </c>
      <c r="AA280" s="317">
        <f t="shared" si="41"/>
        <v>0</v>
      </c>
      <c r="AB280" s="317">
        <f t="shared" si="41"/>
        <v>0</v>
      </c>
      <c r="AC280" s="317">
        <f t="shared" si="41"/>
        <v>0</v>
      </c>
      <c r="AD280" s="317">
        <f t="shared" si="41"/>
        <v>0</v>
      </c>
      <c r="AE280" s="317">
        <f t="shared" si="41"/>
        <v>0</v>
      </c>
      <c r="AF280" s="317">
        <f t="shared" si="41"/>
        <v>0</v>
      </c>
      <c r="AG280" s="317">
        <f t="shared" si="45"/>
        <v>339.24233333333336</v>
      </c>
      <c r="AH280" s="318">
        <v>50.234999999999999</v>
      </c>
      <c r="AI280" s="318">
        <v>47.28</v>
      </c>
      <c r="AJ280" s="318">
        <v>50.234999999999999</v>
      </c>
      <c r="AK280" s="318">
        <v>64.025000000000006</v>
      </c>
      <c r="AL280" s="318">
        <v>55.16</v>
      </c>
      <c r="AM280" s="318">
        <v>64.025000000000006</v>
      </c>
      <c r="AN280" s="318">
        <v>0</v>
      </c>
      <c r="AO280" s="318">
        <v>0</v>
      </c>
      <c r="AP280" s="318">
        <v>0</v>
      </c>
      <c r="AQ280" s="318">
        <v>0</v>
      </c>
      <c r="AR280" s="318">
        <v>0</v>
      </c>
      <c r="AS280" s="318">
        <v>0</v>
      </c>
      <c r="AT280" s="318">
        <v>0</v>
      </c>
      <c r="AU280" s="317">
        <f t="shared" si="43"/>
        <v>330.96000000000004</v>
      </c>
      <c r="AV280" s="319">
        <v>49.469000000000001</v>
      </c>
      <c r="AW280" s="319">
        <v>53.268999999999998</v>
      </c>
      <c r="AX280" s="319">
        <v>59.582999999999998</v>
      </c>
      <c r="AY280" s="319">
        <v>54.442999999999998</v>
      </c>
      <c r="AZ280" s="319">
        <v>65.239999999999995</v>
      </c>
      <c r="BA280" s="319">
        <v>58.143000000000001</v>
      </c>
      <c r="BB280" s="319">
        <v>0</v>
      </c>
      <c r="BC280" s="319">
        <v>0</v>
      </c>
      <c r="BD280" s="319">
        <v>0</v>
      </c>
      <c r="BE280" s="319">
        <v>0</v>
      </c>
      <c r="BF280" s="319">
        <v>0</v>
      </c>
      <c r="BG280" s="319">
        <v>0</v>
      </c>
      <c r="BH280" s="319">
        <v>0</v>
      </c>
      <c r="BI280" s="317">
        <f t="shared" si="48"/>
        <v>340.14700000000005</v>
      </c>
      <c r="BJ280" s="316">
        <v>50.369</v>
      </c>
      <c r="BK280" s="316">
        <v>57.88</v>
      </c>
      <c r="BL280" s="316">
        <v>56.296999999999997</v>
      </c>
      <c r="BM280" s="316">
        <v>59</v>
      </c>
      <c r="BN280" s="316">
        <v>60.834000000000003</v>
      </c>
      <c r="BO280" s="316">
        <v>62.24</v>
      </c>
      <c r="BP280" s="316">
        <v>0</v>
      </c>
      <c r="BQ280" s="316">
        <v>0</v>
      </c>
      <c r="BR280" s="316">
        <v>0</v>
      </c>
      <c r="BS280" s="316">
        <v>0</v>
      </c>
      <c r="BT280" s="316">
        <v>0</v>
      </c>
      <c r="BU280" s="316">
        <v>0</v>
      </c>
      <c r="BV280" s="316">
        <v>0</v>
      </c>
      <c r="BW280" s="317">
        <f t="shared" si="46"/>
        <v>346.62</v>
      </c>
    </row>
    <row r="281" spans="1:75" x14ac:dyDescent="0.2">
      <c r="A281" s="20" t="str">
        <f>'School Level Inst. Resources'!A281</f>
        <v>1702000</v>
      </c>
      <c r="B281" s="20" t="str">
        <f>'School Level Inst. Resources'!B281</f>
        <v>Sheridan #2</v>
      </c>
      <c r="C281" s="20" t="str">
        <f>'School Level Inst. Resources'!C281</f>
        <v>1702010</v>
      </c>
      <c r="D281" s="20" t="str">
        <f>'School Level Inst. Resources'!D281</f>
        <v>Sagebrush Elementary</v>
      </c>
      <c r="E281" s="138" t="str">
        <f>'School Level Inst. Resources'!E281</f>
        <v>K-5</v>
      </c>
      <c r="F281" s="317">
        <f>IF(AND($A$2=4,VLOOKUP($A281,'District Level ADM'!$A$5:$W$52,5,FALSE)="Prior Year"),AH281,IF(AND($A$2=4,VLOOKUP($A281,'District Level ADM'!$A$5:$W$52,5,FALSE)="3-Year Avg."),T281,IF($A$2=2,AH281,IF($A$2=3,T281,IF(($AG281&gt;$AU281),T281,AH281)))))</f>
        <v>54.174999999999997</v>
      </c>
      <c r="G281" s="317">
        <f>IF(AND($A$2=4,VLOOKUP($A281,'District Level ADM'!$A$5:$W$52,5,FALSE)="Prior Year"),AI281,IF(AND($A$2=4,VLOOKUP($A281,'District Level ADM'!$A$5:$W$52,5,FALSE)="3-Year Avg."),U281,IF($A$2=2,AI281,IF($A$2=3,U281,IF(($AG281&gt;$AU281),U281,AI281)))))</f>
        <v>53.19</v>
      </c>
      <c r="H281" s="317">
        <f>IF(AND($A$2=4,VLOOKUP($A281,'District Level ADM'!$A$5:$W$52,5,FALSE)="Prior Year"),AJ281,IF(AND($A$2=4,VLOOKUP($A281,'District Level ADM'!$A$5:$W$52,5,FALSE)="3-Year Avg."),V281,IF($A$2=2,AJ281,IF($A$2=3,V281,IF(($AG281&gt;$AU281),V281,AJ281)))))</f>
        <v>49.25</v>
      </c>
      <c r="I281" s="317">
        <f>IF(AND($A$2=4,VLOOKUP($A281,'District Level ADM'!$A$5:$W$52,5,FALSE)="Prior Year"),AK281,IF(AND($A$2=4,VLOOKUP($A281,'District Level ADM'!$A$5:$W$52,5,FALSE)="3-Year Avg."),W281,IF($A$2=2,AK281,IF($A$2=3,W281,IF(($AG281&gt;$AU281),W281,AK281)))))</f>
        <v>51.22</v>
      </c>
      <c r="J281" s="317">
        <f>IF(AND($A$2=4,VLOOKUP($A281,'District Level ADM'!$A$5:$W$52,5,FALSE)="Prior Year"),AL281,IF(AND($A$2=4,VLOOKUP($A281,'District Level ADM'!$A$5:$W$52,5,FALSE)="3-Year Avg."),X281,IF($A$2=2,AL281,IF($A$2=3,X281,IF(($AG281&gt;$AU281),X281,AL281)))))</f>
        <v>55.16</v>
      </c>
      <c r="K281" s="317">
        <f>IF(AND($A$2=4,VLOOKUP($A281,'District Level ADM'!$A$5:$W$52,5,FALSE)="Prior Year"),AM281,IF(AND($A$2=4,VLOOKUP($A281,'District Level ADM'!$A$5:$W$52,5,FALSE)="3-Year Avg."),Y281,IF($A$2=2,AM281,IF($A$2=3,Y281,IF(($AG281&gt;$AU281),Y281,AM281)))))</f>
        <v>58.115000000000002</v>
      </c>
      <c r="L281" s="317">
        <f>IF(AND($A$2=4,VLOOKUP($A281,'District Level ADM'!$A$5:$W$52,5,FALSE)="Prior Year"),AN281,IF(AND($A$2=4,VLOOKUP($A281,'District Level ADM'!$A$5:$W$52,5,FALSE)="3-Year Avg."),Z281,IF($A$2=2,AN281,IF($A$2=3,Z281,IF(($AG281&gt;$AU281),Z281,AN281)))))</f>
        <v>0</v>
      </c>
      <c r="M281" s="317">
        <f>IF(AND($A$2=4,VLOOKUP($A281,'District Level ADM'!$A$5:$W$52,5,FALSE)="Prior Year"),AO281,IF(AND($A$2=4,VLOOKUP($A281,'District Level ADM'!$A$5:$W$52,5,FALSE)="3-Year Avg."),AA281,IF($A$2=2,AO281,IF($A$2=3,AA281,IF(($AG281&gt;$AU281),AA281,AO281)))))</f>
        <v>0</v>
      </c>
      <c r="N281" s="317">
        <f>IF(AND($A$2=4,VLOOKUP($A281,'District Level ADM'!$A$5:$W$52,5,FALSE)="Prior Year"),AP281,IF(AND($A$2=4,VLOOKUP($A281,'District Level ADM'!$A$5:$W$52,5,FALSE)="3-Year Avg."),AB281,IF($A$2=2,AP281,IF($A$2=3,AB281,IF(($AG281&gt;$AU281),AB281,AP281)))))</f>
        <v>0</v>
      </c>
      <c r="O281" s="317">
        <f>IF(AND($A$2=4,VLOOKUP($A281,'District Level ADM'!$A$5:$W$52,5,FALSE)="Prior Year"),AQ281,IF(AND($A$2=4,VLOOKUP($A281,'District Level ADM'!$A$5:$W$52,5,FALSE)="3-Year Avg."),AC281,IF($A$2=2,AQ281,IF($A$2=3,AC281,IF(($AG281&gt;$AU281),AC281,AQ281)))))</f>
        <v>0</v>
      </c>
      <c r="P281" s="317">
        <f>IF(AND($A$2=4,VLOOKUP($A281,'District Level ADM'!$A$5:$W$52,5,FALSE)="Prior Year"),AR281,IF(AND($A$2=4,VLOOKUP($A281,'District Level ADM'!$A$5:$W$52,5,FALSE)="3-Year Avg."),AD281,IF($A$2=2,AR281,IF($A$2=3,AD281,IF(($AG281&gt;$AU281),AD281,AR281)))))</f>
        <v>0</v>
      </c>
      <c r="Q281" s="317">
        <f>IF(AND($A$2=4,VLOOKUP($A281,'District Level ADM'!$A$5:$W$52,5,FALSE)="Prior Year"),AS281,IF(AND($A$2=4,VLOOKUP($A281,'District Level ADM'!$A$5:$W$52,5,FALSE)="3-Year Avg."),AE281,IF($A$2=2,AS281,IF($A$2=3,AE281,IF(($AG281&gt;$AU281),AE281,AS281)))))</f>
        <v>0</v>
      </c>
      <c r="R281" s="317">
        <f>IF(AND($A$2=4,VLOOKUP($A281,'District Level ADM'!$A$5:$W$52,5,FALSE)="Prior Year"),AT281,IF(AND($A$2=4,VLOOKUP($A281,'District Level ADM'!$A$5:$W$52,5,FALSE)="3-Year Avg."),AF281,IF($A$2=2,AT281,IF($A$2=3,AF281,IF(($AG281&gt;$AU281),AF281,AT281)))))</f>
        <v>0</v>
      </c>
      <c r="S281" s="317">
        <f t="shared" si="44"/>
        <v>321.11</v>
      </c>
      <c r="T281" s="317">
        <f t="shared" ref="T281:AC333" si="50">AVERAGE(AH281,AV281,BJ281)</f>
        <v>62.359333333333332</v>
      </c>
      <c r="U281" s="317">
        <f t="shared" si="50"/>
        <v>49.455999999999996</v>
      </c>
      <c r="V281" s="317">
        <f t="shared" si="50"/>
        <v>51.085333333333331</v>
      </c>
      <c r="W281" s="317">
        <f t="shared" si="49"/>
        <v>55.31133333333333</v>
      </c>
      <c r="X281" s="317">
        <f t="shared" si="49"/>
        <v>57.325666666666656</v>
      </c>
      <c r="Y281" s="317">
        <f t="shared" si="49"/>
        <v>57.967666666666673</v>
      </c>
      <c r="Z281" s="317">
        <f t="shared" si="49"/>
        <v>0</v>
      </c>
      <c r="AA281" s="317">
        <f t="shared" si="41"/>
        <v>0</v>
      </c>
      <c r="AB281" s="317">
        <f t="shared" si="41"/>
        <v>0</v>
      </c>
      <c r="AC281" s="317">
        <f t="shared" si="41"/>
        <v>0</v>
      </c>
      <c r="AD281" s="317">
        <f t="shared" si="41"/>
        <v>0</v>
      </c>
      <c r="AE281" s="317">
        <f t="shared" si="41"/>
        <v>0</v>
      </c>
      <c r="AF281" s="317">
        <f t="shared" si="41"/>
        <v>0</v>
      </c>
      <c r="AG281" s="317">
        <f t="shared" si="45"/>
        <v>333.50533333333334</v>
      </c>
      <c r="AH281" s="318">
        <v>54.174999999999997</v>
      </c>
      <c r="AI281" s="318">
        <v>53.19</v>
      </c>
      <c r="AJ281" s="318">
        <v>49.25</v>
      </c>
      <c r="AK281" s="318">
        <v>51.22</v>
      </c>
      <c r="AL281" s="318">
        <v>55.16</v>
      </c>
      <c r="AM281" s="318">
        <v>58.115000000000002</v>
      </c>
      <c r="AN281" s="318">
        <v>0</v>
      </c>
      <c r="AO281" s="318">
        <v>0</v>
      </c>
      <c r="AP281" s="318">
        <v>0</v>
      </c>
      <c r="AQ281" s="318">
        <v>0</v>
      </c>
      <c r="AR281" s="318">
        <v>0</v>
      </c>
      <c r="AS281" s="318">
        <v>0</v>
      </c>
      <c r="AT281" s="318">
        <v>0</v>
      </c>
      <c r="AU281" s="317">
        <f t="shared" si="43"/>
        <v>321.11</v>
      </c>
      <c r="AV281" s="319">
        <v>68.56</v>
      </c>
      <c r="AW281" s="319">
        <v>46.749000000000002</v>
      </c>
      <c r="AX281" s="319">
        <v>47.966000000000001</v>
      </c>
      <c r="AY281" s="319">
        <v>58.554000000000002</v>
      </c>
      <c r="AZ281" s="319">
        <v>53.16</v>
      </c>
      <c r="BA281" s="319">
        <v>60.651000000000003</v>
      </c>
      <c r="BB281" s="319">
        <v>0</v>
      </c>
      <c r="BC281" s="319">
        <v>0</v>
      </c>
      <c r="BD281" s="319">
        <v>0</v>
      </c>
      <c r="BE281" s="319">
        <v>0</v>
      </c>
      <c r="BF281" s="319">
        <v>0</v>
      </c>
      <c r="BG281" s="319">
        <v>0</v>
      </c>
      <c r="BH281" s="319">
        <v>0</v>
      </c>
      <c r="BI281" s="317">
        <f t="shared" si="48"/>
        <v>335.64000000000004</v>
      </c>
      <c r="BJ281" s="316">
        <v>64.343000000000004</v>
      </c>
      <c r="BK281" s="316">
        <v>48.429000000000002</v>
      </c>
      <c r="BL281" s="316">
        <v>56.04</v>
      </c>
      <c r="BM281" s="316">
        <v>56.16</v>
      </c>
      <c r="BN281" s="316">
        <v>63.656999999999996</v>
      </c>
      <c r="BO281" s="316">
        <v>55.137</v>
      </c>
      <c r="BP281" s="316">
        <v>0</v>
      </c>
      <c r="BQ281" s="316">
        <v>0</v>
      </c>
      <c r="BR281" s="316">
        <v>0</v>
      </c>
      <c r="BS281" s="316">
        <v>0</v>
      </c>
      <c r="BT281" s="316">
        <v>0</v>
      </c>
      <c r="BU281" s="316">
        <v>0</v>
      </c>
      <c r="BV281" s="316">
        <v>0</v>
      </c>
      <c r="BW281" s="317">
        <f t="shared" si="46"/>
        <v>343.76600000000002</v>
      </c>
    </row>
    <row r="282" spans="1:75" x14ac:dyDescent="0.2">
      <c r="A282" s="20" t="str">
        <f>'School Level Inst. Resources'!A282</f>
        <v>1702000</v>
      </c>
      <c r="B282" s="20" t="str">
        <f>'School Level Inst. Resources'!B282</f>
        <v>Sheridan #2</v>
      </c>
      <c r="C282" s="20" t="str">
        <f>'School Level Inst. Resources'!C282</f>
        <v>1702050</v>
      </c>
      <c r="D282" s="20" t="str">
        <f>'School Level Inst. Resources'!D282</f>
        <v>Sheridan Junior High School</v>
      </c>
      <c r="E282" s="138" t="str">
        <f>'School Level Inst. Resources'!E282</f>
        <v>6-8</v>
      </c>
      <c r="F282" s="317">
        <f>IF(AND($A$2=4,VLOOKUP($A282,'District Level ADM'!$A$5:$W$52,5,FALSE)="Prior Year"),AH282,IF(AND($A$2=4,VLOOKUP($A282,'District Level ADM'!$A$5:$W$52,5,FALSE)="3-Year Avg."),T282,IF($A$2=2,AH282,IF($A$2=3,T282,IF(($AG282&gt;$AU282),T282,AH282)))))</f>
        <v>0</v>
      </c>
      <c r="G282" s="317">
        <f>IF(AND($A$2=4,VLOOKUP($A282,'District Level ADM'!$A$5:$W$52,5,FALSE)="Prior Year"),AI282,IF(AND($A$2=4,VLOOKUP($A282,'District Level ADM'!$A$5:$W$52,5,FALSE)="3-Year Avg."),U282,IF($A$2=2,AI282,IF($A$2=3,U282,IF(($AG282&gt;$AU282),U282,AI282)))))</f>
        <v>0</v>
      </c>
      <c r="H282" s="317">
        <f>IF(AND($A$2=4,VLOOKUP($A282,'District Level ADM'!$A$5:$W$52,5,FALSE)="Prior Year"),AJ282,IF(AND($A$2=4,VLOOKUP($A282,'District Level ADM'!$A$5:$W$52,5,FALSE)="3-Year Avg."),V282,IF($A$2=2,AJ282,IF($A$2=3,V282,IF(($AG282&gt;$AU282),V282,AJ282)))))</f>
        <v>0</v>
      </c>
      <c r="I282" s="317">
        <f>IF(AND($A$2=4,VLOOKUP($A282,'District Level ADM'!$A$5:$W$52,5,FALSE)="Prior Year"),AK282,IF(AND($A$2=4,VLOOKUP($A282,'District Level ADM'!$A$5:$W$52,5,FALSE)="3-Year Avg."),W282,IF($A$2=2,AK282,IF($A$2=3,W282,IF(($AG282&gt;$AU282),W282,AK282)))))</f>
        <v>0</v>
      </c>
      <c r="J282" s="317">
        <f>IF(AND($A$2=4,VLOOKUP($A282,'District Level ADM'!$A$5:$W$52,5,FALSE)="Prior Year"),AL282,IF(AND($A$2=4,VLOOKUP($A282,'District Level ADM'!$A$5:$W$52,5,FALSE)="3-Year Avg."),X282,IF($A$2=2,AL282,IF($A$2=3,X282,IF(($AG282&gt;$AU282),X282,AL282)))))</f>
        <v>0</v>
      </c>
      <c r="K282" s="317">
        <f>IF(AND($A$2=4,VLOOKUP($A282,'District Level ADM'!$A$5:$W$52,5,FALSE)="Prior Year"),AM282,IF(AND($A$2=4,VLOOKUP($A282,'District Level ADM'!$A$5:$W$52,5,FALSE)="3-Year Avg."),Y282,IF($A$2=2,AM282,IF($A$2=3,Y282,IF(($AG282&gt;$AU282),Y282,AM282)))))</f>
        <v>0</v>
      </c>
      <c r="L282" s="317">
        <f>IF(AND($A$2=4,VLOOKUP($A282,'District Level ADM'!$A$5:$W$52,5,FALSE)="Prior Year"),AN282,IF(AND($A$2=4,VLOOKUP($A282,'District Level ADM'!$A$5:$W$52,5,FALSE)="3-Year Avg."),Z282,IF($A$2=2,AN282,IF($A$2=3,Z282,IF(($AG282&gt;$AU282),Z282,AN282)))))</f>
        <v>273.83</v>
      </c>
      <c r="M282" s="317">
        <f>IF(AND($A$2=4,VLOOKUP($A282,'District Level ADM'!$A$5:$W$52,5,FALSE)="Prior Year"),AO282,IF(AND($A$2=4,VLOOKUP($A282,'District Level ADM'!$A$5:$W$52,5,FALSE)="3-Year Avg."),AA282,IF($A$2=2,AO282,IF($A$2=3,AA282,IF(($AG282&gt;$AU282),AA282,AO282)))))</f>
        <v>272.84500000000003</v>
      </c>
      <c r="N282" s="317">
        <f>IF(AND($A$2=4,VLOOKUP($A282,'District Level ADM'!$A$5:$W$52,5,FALSE)="Prior Year"),AP282,IF(AND($A$2=4,VLOOKUP($A282,'District Level ADM'!$A$5:$W$52,5,FALSE)="3-Year Avg."),AB282,IF($A$2=2,AP282,IF($A$2=3,AB282,IF(($AG282&gt;$AU282),AB282,AP282)))))</f>
        <v>255.11500000000001</v>
      </c>
      <c r="O282" s="317">
        <f>IF(AND($A$2=4,VLOOKUP($A282,'District Level ADM'!$A$5:$W$52,5,FALSE)="Prior Year"),AQ282,IF(AND($A$2=4,VLOOKUP($A282,'District Level ADM'!$A$5:$W$52,5,FALSE)="3-Year Avg."),AC282,IF($A$2=2,AQ282,IF($A$2=3,AC282,IF(($AG282&gt;$AU282),AC282,AQ282)))))</f>
        <v>0</v>
      </c>
      <c r="P282" s="317">
        <f>IF(AND($A$2=4,VLOOKUP($A282,'District Level ADM'!$A$5:$W$52,5,FALSE)="Prior Year"),AR282,IF(AND($A$2=4,VLOOKUP($A282,'District Level ADM'!$A$5:$W$52,5,FALSE)="3-Year Avg."),AD282,IF($A$2=2,AR282,IF($A$2=3,AD282,IF(($AG282&gt;$AU282),AD282,AR282)))))</f>
        <v>0</v>
      </c>
      <c r="Q282" s="317">
        <f>IF(AND($A$2=4,VLOOKUP($A282,'District Level ADM'!$A$5:$W$52,5,FALSE)="Prior Year"),AS282,IF(AND($A$2=4,VLOOKUP($A282,'District Level ADM'!$A$5:$W$52,5,FALSE)="3-Year Avg."),AE282,IF($A$2=2,AS282,IF($A$2=3,AE282,IF(($AG282&gt;$AU282),AE282,AS282)))))</f>
        <v>0</v>
      </c>
      <c r="R282" s="317">
        <f>IF(AND($A$2=4,VLOOKUP($A282,'District Level ADM'!$A$5:$W$52,5,FALSE)="Prior Year"),AT282,IF(AND($A$2=4,VLOOKUP($A282,'District Level ADM'!$A$5:$W$52,5,FALSE)="3-Year Avg."),AF282,IF($A$2=2,AT282,IF($A$2=3,AF282,IF(($AG282&gt;$AU282),AF282,AT282)))))</f>
        <v>0</v>
      </c>
      <c r="S282" s="317">
        <f t="shared" si="44"/>
        <v>801.79</v>
      </c>
      <c r="T282" s="317">
        <f t="shared" si="50"/>
        <v>0</v>
      </c>
      <c r="U282" s="317">
        <f t="shared" si="50"/>
        <v>0</v>
      </c>
      <c r="V282" s="317">
        <f t="shared" si="50"/>
        <v>0</v>
      </c>
      <c r="W282" s="317">
        <f t="shared" si="49"/>
        <v>0</v>
      </c>
      <c r="X282" s="317">
        <f t="shared" si="49"/>
        <v>0</v>
      </c>
      <c r="Y282" s="317">
        <f t="shared" si="49"/>
        <v>0</v>
      </c>
      <c r="Z282" s="317">
        <f t="shared" si="49"/>
        <v>264.69166666666666</v>
      </c>
      <c r="AA282" s="317">
        <f t="shared" si="41"/>
        <v>254.21199999999999</v>
      </c>
      <c r="AB282" s="317">
        <f t="shared" si="41"/>
        <v>232.53466666666668</v>
      </c>
      <c r="AC282" s="317">
        <f t="shared" si="41"/>
        <v>0</v>
      </c>
      <c r="AD282" s="317">
        <f t="shared" si="41"/>
        <v>0</v>
      </c>
      <c r="AE282" s="317">
        <f t="shared" si="41"/>
        <v>0</v>
      </c>
      <c r="AF282" s="317">
        <f t="shared" si="41"/>
        <v>0</v>
      </c>
      <c r="AG282" s="317">
        <f t="shared" si="45"/>
        <v>751.43833333333328</v>
      </c>
      <c r="AH282" s="318">
        <v>0</v>
      </c>
      <c r="AI282" s="318">
        <v>0</v>
      </c>
      <c r="AJ282" s="318">
        <v>0</v>
      </c>
      <c r="AK282" s="318">
        <v>0</v>
      </c>
      <c r="AL282" s="318">
        <v>0</v>
      </c>
      <c r="AM282" s="318">
        <v>0</v>
      </c>
      <c r="AN282" s="318">
        <v>273.83</v>
      </c>
      <c r="AO282" s="318">
        <v>272.84500000000003</v>
      </c>
      <c r="AP282" s="318">
        <v>255.11500000000001</v>
      </c>
      <c r="AQ282" s="318">
        <v>0</v>
      </c>
      <c r="AR282" s="318">
        <v>0</v>
      </c>
      <c r="AS282" s="318">
        <v>0</v>
      </c>
      <c r="AT282" s="318">
        <v>0</v>
      </c>
      <c r="AU282" s="317">
        <f t="shared" si="43"/>
        <v>801.79</v>
      </c>
      <c r="AV282" s="319">
        <v>0</v>
      </c>
      <c r="AW282" s="319">
        <v>0</v>
      </c>
      <c r="AX282" s="319">
        <v>0</v>
      </c>
      <c r="AY282" s="319">
        <v>0</v>
      </c>
      <c r="AZ282" s="319">
        <v>0</v>
      </c>
      <c r="BA282" s="319">
        <v>0</v>
      </c>
      <c r="BB282" s="319">
        <v>270.51100000000002</v>
      </c>
      <c r="BC282" s="319">
        <v>246.76</v>
      </c>
      <c r="BD282" s="319">
        <v>247.589</v>
      </c>
      <c r="BE282" s="319">
        <v>0</v>
      </c>
      <c r="BF282" s="319">
        <v>0</v>
      </c>
      <c r="BG282" s="319">
        <v>0</v>
      </c>
      <c r="BH282" s="319">
        <v>0</v>
      </c>
      <c r="BI282" s="317">
        <f t="shared" si="48"/>
        <v>764.8599999999999</v>
      </c>
      <c r="BJ282" s="316">
        <v>0</v>
      </c>
      <c r="BK282" s="316">
        <v>0</v>
      </c>
      <c r="BL282" s="316">
        <v>0</v>
      </c>
      <c r="BM282" s="316">
        <v>0</v>
      </c>
      <c r="BN282" s="316">
        <v>0</v>
      </c>
      <c r="BO282" s="316">
        <v>0</v>
      </c>
      <c r="BP282" s="316">
        <v>249.73400000000001</v>
      </c>
      <c r="BQ282" s="316">
        <v>243.03100000000001</v>
      </c>
      <c r="BR282" s="316">
        <v>194.9</v>
      </c>
      <c r="BS282" s="316">
        <v>0</v>
      </c>
      <c r="BT282" s="316">
        <v>0</v>
      </c>
      <c r="BU282" s="316">
        <v>0</v>
      </c>
      <c r="BV282" s="316">
        <v>0</v>
      </c>
      <c r="BW282" s="317">
        <f t="shared" si="46"/>
        <v>687.66499999999996</v>
      </c>
    </row>
    <row r="283" spans="1:75" x14ac:dyDescent="0.2">
      <c r="A283" s="20" t="str">
        <f>'School Level Inst. Resources'!A283</f>
        <v>1702000</v>
      </c>
      <c r="B283" s="20" t="str">
        <f>'School Level Inst. Resources'!B283</f>
        <v>Sheridan #2</v>
      </c>
      <c r="C283" s="20" t="str">
        <f>'School Level Inst. Resources'!C283</f>
        <v>1702052</v>
      </c>
      <c r="D283" s="20" t="str">
        <f>'School Level Inst. Resources'!D283</f>
        <v>The Wright Place</v>
      </c>
      <c r="E283" s="138" t="str">
        <f>'School Level Inst. Resources'!E283</f>
        <v>6-8</v>
      </c>
      <c r="F283" s="317">
        <f>IF(AND($A$2=4,VLOOKUP($A283,'District Level ADM'!$A$5:$W$52,5,FALSE)="Prior Year"),AH283,IF(AND($A$2=4,VLOOKUP($A283,'District Level ADM'!$A$5:$W$52,5,FALSE)="3-Year Avg."),T283,IF($A$2=2,AH283,IF($A$2=3,T283,IF(($AG283&gt;$AU283),T283,AH283)))))</f>
        <v>0</v>
      </c>
      <c r="G283" s="317">
        <f>IF(AND($A$2=4,VLOOKUP($A283,'District Level ADM'!$A$5:$W$52,5,FALSE)="Prior Year"),AI283,IF(AND($A$2=4,VLOOKUP($A283,'District Level ADM'!$A$5:$W$52,5,FALSE)="3-Year Avg."),U283,IF($A$2=2,AI283,IF($A$2=3,U283,IF(($AG283&gt;$AU283),U283,AI283)))))</f>
        <v>0</v>
      </c>
      <c r="H283" s="317">
        <f>IF(AND($A$2=4,VLOOKUP($A283,'District Level ADM'!$A$5:$W$52,5,FALSE)="Prior Year"),AJ283,IF(AND($A$2=4,VLOOKUP($A283,'District Level ADM'!$A$5:$W$52,5,FALSE)="3-Year Avg."),V283,IF($A$2=2,AJ283,IF($A$2=3,V283,IF(($AG283&gt;$AU283),V283,AJ283)))))</f>
        <v>0</v>
      </c>
      <c r="I283" s="317">
        <f>IF(AND($A$2=4,VLOOKUP($A283,'District Level ADM'!$A$5:$W$52,5,FALSE)="Prior Year"),AK283,IF(AND($A$2=4,VLOOKUP($A283,'District Level ADM'!$A$5:$W$52,5,FALSE)="3-Year Avg."),W283,IF($A$2=2,AK283,IF($A$2=3,W283,IF(($AG283&gt;$AU283),W283,AK283)))))</f>
        <v>0</v>
      </c>
      <c r="J283" s="317">
        <f>IF(AND($A$2=4,VLOOKUP($A283,'District Level ADM'!$A$5:$W$52,5,FALSE)="Prior Year"),AL283,IF(AND($A$2=4,VLOOKUP($A283,'District Level ADM'!$A$5:$W$52,5,FALSE)="3-Year Avg."),X283,IF($A$2=2,AL283,IF($A$2=3,X283,IF(($AG283&gt;$AU283),X283,AL283)))))</f>
        <v>0</v>
      </c>
      <c r="K283" s="317">
        <f>IF(AND($A$2=4,VLOOKUP($A283,'District Level ADM'!$A$5:$W$52,5,FALSE)="Prior Year"),AM283,IF(AND($A$2=4,VLOOKUP($A283,'District Level ADM'!$A$5:$W$52,5,FALSE)="3-Year Avg."),Y283,IF($A$2=2,AM283,IF($A$2=3,Y283,IF(($AG283&gt;$AU283),Y283,AM283)))))</f>
        <v>0</v>
      </c>
      <c r="L283" s="317">
        <f>IF(AND($A$2=4,VLOOKUP($A283,'District Level ADM'!$A$5:$W$52,5,FALSE)="Prior Year"),AN283,IF(AND($A$2=4,VLOOKUP($A283,'District Level ADM'!$A$5:$W$52,5,FALSE)="3-Year Avg."),Z283,IF($A$2=2,AN283,IF($A$2=3,Z283,IF(($AG283&gt;$AU283),Z283,AN283)))))</f>
        <v>2.9550000000000001</v>
      </c>
      <c r="M283" s="317">
        <f>IF(AND($A$2=4,VLOOKUP($A283,'District Level ADM'!$A$5:$W$52,5,FALSE)="Prior Year"),AO283,IF(AND($A$2=4,VLOOKUP($A283,'District Level ADM'!$A$5:$W$52,5,FALSE)="3-Year Avg."),AA283,IF($A$2=2,AO283,IF($A$2=3,AA283,IF(($AG283&gt;$AU283),AA283,AO283)))))</f>
        <v>3.94</v>
      </c>
      <c r="N283" s="317">
        <f>IF(AND($A$2=4,VLOOKUP($A283,'District Level ADM'!$A$5:$W$52,5,FALSE)="Prior Year"),AP283,IF(AND($A$2=4,VLOOKUP($A283,'District Level ADM'!$A$5:$W$52,5,FALSE)="3-Year Avg."),AB283,IF($A$2=2,AP283,IF($A$2=3,AB283,IF(($AG283&gt;$AU283),AB283,AP283)))))</f>
        <v>10.835000000000001</v>
      </c>
      <c r="O283" s="317">
        <f>IF(AND($A$2=4,VLOOKUP($A283,'District Level ADM'!$A$5:$W$52,5,FALSE)="Prior Year"),AQ283,IF(AND($A$2=4,VLOOKUP($A283,'District Level ADM'!$A$5:$W$52,5,FALSE)="3-Year Avg."),AC283,IF($A$2=2,AQ283,IF($A$2=3,AC283,IF(($AG283&gt;$AU283),AC283,AQ283)))))</f>
        <v>0</v>
      </c>
      <c r="P283" s="317">
        <f>IF(AND($A$2=4,VLOOKUP($A283,'District Level ADM'!$A$5:$W$52,5,FALSE)="Prior Year"),AR283,IF(AND($A$2=4,VLOOKUP($A283,'District Level ADM'!$A$5:$W$52,5,FALSE)="3-Year Avg."),AD283,IF($A$2=2,AR283,IF($A$2=3,AD283,IF(($AG283&gt;$AU283),AD283,AR283)))))</f>
        <v>0</v>
      </c>
      <c r="Q283" s="317">
        <f>IF(AND($A$2=4,VLOOKUP($A283,'District Level ADM'!$A$5:$W$52,5,FALSE)="Prior Year"),AS283,IF(AND($A$2=4,VLOOKUP($A283,'District Level ADM'!$A$5:$W$52,5,FALSE)="3-Year Avg."),AE283,IF($A$2=2,AS283,IF($A$2=3,AE283,IF(($AG283&gt;$AU283),AE283,AS283)))))</f>
        <v>0</v>
      </c>
      <c r="R283" s="317">
        <f>IF(AND($A$2=4,VLOOKUP($A283,'District Level ADM'!$A$5:$W$52,5,FALSE)="Prior Year"),AT283,IF(AND($A$2=4,VLOOKUP($A283,'District Level ADM'!$A$5:$W$52,5,FALSE)="3-Year Avg."),AF283,IF($A$2=2,AT283,IF($A$2=3,AF283,IF(($AG283&gt;$AU283),AF283,AT283)))))</f>
        <v>0</v>
      </c>
      <c r="S283" s="317">
        <f t="shared" si="44"/>
        <v>17.73</v>
      </c>
      <c r="T283" s="317">
        <f t="shared" si="50"/>
        <v>0</v>
      </c>
      <c r="U283" s="317">
        <f t="shared" si="50"/>
        <v>0</v>
      </c>
      <c r="V283" s="317">
        <f t="shared" si="50"/>
        <v>0</v>
      </c>
      <c r="W283" s="317">
        <f t="shared" si="49"/>
        <v>0</v>
      </c>
      <c r="X283" s="317">
        <f t="shared" si="49"/>
        <v>0</v>
      </c>
      <c r="Y283" s="317">
        <f t="shared" si="49"/>
        <v>0</v>
      </c>
      <c r="Z283" s="317">
        <f t="shared" si="49"/>
        <v>4.948666666666667</v>
      </c>
      <c r="AA283" s="317">
        <f t="shared" si="41"/>
        <v>6.2540000000000004</v>
      </c>
      <c r="AB283" s="317">
        <f t="shared" si="41"/>
        <v>8.3336666666666659</v>
      </c>
      <c r="AC283" s="317">
        <f t="shared" si="41"/>
        <v>0</v>
      </c>
      <c r="AD283" s="317">
        <f t="shared" si="41"/>
        <v>0</v>
      </c>
      <c r="AE283" s="317">
        <f t="shared" si="41"/>
        <v>0</v>
      </c>
      <c r="AF283" s="317">
        <f t="shared" si="41"/>
        <v>0</v>
      </c>
      <c r="AG283" s="317">
        <f t="shared" si="45"/>
        <v>19.536333333333332</v>
      </c>
      <c r="AH283" s="318">
        <v>0</v>
      </c>
      <c r="AI283" s="318">
        <v>0</v>
      </c>
      <c r="AJ283" s="318">
        <v>0</v>
      </c>
      <c r="AK283" s="318">
        <v>0</v>
      </c>
      <c r="AL283" s="318">
        <v>0</v>
      </c>
      <c r="AM283" s="318">
        <v>0</v>
      </c>
      <c r="AN283" s="318">
        <v>2.9550000000000001</v>
      </c>
      <c r="AO283" s="318">
        <v>3.94</v>
      </c>
      <c r="AP283" s="318">
        <v>10.835000000000001</v>
      </c>
      <c r="AQ283" s="318">
        <v>0</v>
      </c>
      <c r="AR283" s="318">
        <v>0</v>
      </c>
      <c r="AS283" s="318">
        <v>0</v>
      </c>
      <c r="AT283" s="318">
        <v>0</v>
      </c>
      <c r="AU283" s="317">
        <f t="shared" si="43"/>
        <v>17.73</v>
      </c>
      <c r="AV283" s="319">
        <v>0</v>
      </c>
      <c r="AW283" s="319">
        <v>0</v>
      </c>
      <c r="AX283" s="319">
        <v>0</v>
      </c>
      <c r="AY283" s="319">
        <v>0</v>
      </c>
      <c r="AZ283" s="319">
        <v>0</v>
      </c>
      <c r="BA283" s="319">
        <v>0</v>
      </c>
      <c r="BB283" s="319">
        <v>5.3940000000000001</v>
      </c>
      <c r="BC283" s="319">
        <v>10.250999999999999</v>
      </c>
      <c r="BD283" s="319">
        <v>4.4059999999999997</v>
      </c>
      <c r="BE283" s="319">
        <v>0</v>
      </c>
      <c r="BF283" s="319">
        <v>0</v>
      </c>
      <c r="BG283" s="319">
        <v>0</v>
      </c>
      <c r="BH283" s="319">
        <v>0</v>
      </c>
      <c r="BI283" s="317">
        <f t="shared" si="48"/>
        <v>20.050999999999998</v>
      </c>
      <c r="BJ283" s="316">
        <v>0</v>
      </c>
      <c r="BK283" s="316">
        <v>0</v>
      </c>
      <c r="BL283" s="316">
        <v>0</v>
      </c>
      <c r="BM283" s="316">
        <v>0</v>
      </c>
      <c r="BN283" s="316">
        <v>0</v>
      </c>
      <c r="BO283" s="316">
        <v>0</v>
      </c>
      <c r="BP283" s="316">
        <v>6.4969999999999999</v>
      </c>
      <c r="BQ283" s="316">
        <v>4.5709999999999997</v>
      </c>
      <c r="BR283" s="316">
        <v>9.76</v>
      </c>
      <c r="BS283" s="316">
        <v>0</v>
      </c>
      <c r="BT283" s="316">
        <v>0</v>
      </c>
      <c r="BU283" s="316">
        <v>0</v>
      </c>
      <c r="BV283" s="316">
        <v>0</v>
      </c>
      <c r="BW283" s="317">
        <f t="shared" si="46"/>
        <v>20.827999999999999</v>
      </c>
    </row>
    <row r="284" spans="1:75" x14ac:dyDescent="0.2">
      <c r="A284" s="20" t="str">
        <f>'School Level Inst. Resources'!A284</f>
        <v>1702000</v>
      </c>
      <c r="B284" s="20" t="str">
        <f>'School Level Inst. Resources'!B284</f>
        <v>Sheridan #2</v>
      </c>
      <c r="C284" s="20" t="str">
        <f>'School Level Inst. Resources'!C284</f>
        <v>1702056</v>
      </c>
      <c r="D284" s="20" t="str">
        <f>'School Level Inst. Resources'!D284</f>
        <v>John C. Schiffer Collaborative School</v>
      </c>
      <c r="E284" s="138" t="str">
        <f>'School Level Inst. Resources'!E284</f>
        <v>9-12</v>
      </c>
      <c r="F284" s="317">
        <f>IF(AND($A$2=4,VLOOKUP($A284,'District Level ADM'!$A$5:$W$52,5,FALSE)="Prior Year"),AH284,IF(AND($A$2=4,VLOOKUP($A284,'District Level ADM'!$A$5:$W$52,5,FALSE)="3-Year Avg."),T284,IF($A$2=2,AH284,IF($A$2=3,T284,IF(($AG284&gt;$AU284),T284,AH284)))))</f>
        <v>0</v>
      </c>
      <c r="G284" s="317">
        <f>IF(AND($A$2=4,VLOOKUP($A284,'District Level ADM'!$A$5:$W$52,5,FALSE)="Prior Year"),AI284,IF(AND($A$2=4,VLOOKUP($A284,'District Level ADM'!$A$5:$W$52,5,FALSE)="3-Year Avg."),U284,IF($A$2=2,AI284,IF($A$2=3,U284,IF(($AG284&gt;$AU284),U284,AI284)))))</f>
        <v>0</v>
      </c>
      <c r="H284" s="317">
        <f>IF(AND($A$2=4,VLOOKUP($A284,'District Level ADM'!$A$5:$W$52,5,FALSE)="Prior Year"),AJ284,IF(AND($A$2=4,VLOOKUP($A284,'District Level ADM'!$A$5:$W$52,5,FALSE)="3-Year Avg."),V284,IF($A$2=2,AJ284,IF($A$2=3,V284,IF(($AG284&gt;$AU284),V284,AJ284)))))</f>
        <v>0</v>
      </c>
      <c r="I284" s="317">
        <f>IF(AND($A$2=4,VLOOKUP($A284,'District Level ADM'!$A$5:$W$52,5,FALSE)="Prior Year"),AK284,IF(AND($A$2=4,VLOOKUP($A284,'District Level ADM'!$A$5:$W$52,5,FALSE)="3-Year Avg."),W284,IF($A$2=2,AK284,IF($A$2=3,W284,IF(($AG284&gt;$AU284),W284,AK284)))))</f>
        <v>0</v>
      </c>
      <c r="J284" s="317">
        <f>IF(AND($A$2=4,VLOOKUP($A284,'District Level ADM'!$A$5:$W$52,5,FALSE)="Prior Year"),AL284,IF(AND($A$2=4,VLOOKUP($A284,'District Level ADM'!$A$5:$W$52,5,FALSE)="3-Year Avg."),X284,IF($A$2=2,AL284,IF($A$2=3,X284,IF(($AG284&gt;$AU284),X284,AL284)))))</f>
        <v>0</v>
      </c>
      <c r="K284" s="317">
        <f>IF(AND($A$2=4,VLOOKUP($A284,'District Level ADM'!$A$5:$W$52,5,FALSE)="Prior Year"),AM284,IF(AND($A$2=4,VLOOKUP($A284,'District Level ADM'!$A$5:$W$52,5,FALSE)="3-Year Avg."),Y284,IF($A$2=2,AM284,IF($A$2=3,Y284,IF(($AG284&gt;$AU284),Y284,AM284)))))</f>
        <v>0</v>
      </c>
      <c r="L284" s="317">
        <f>IF(AND($A$2=4,VLOOKUP($A284,'District Level ADM'!$A$5:$W$52,5,FALSE)="Prior Year"),AN284,IF(AND($A$2=4,VLOOKUP($A284,'District Level ADM'!$A$5:$W$52,5,FALSE)="3-Year Avg."),Z284,IF($A$2=2,AN284,IF($A$2=3,Z284,IF(($AG284&gt;$AU284),Z284,AN284)))))</f>
        <v>0</v>
      </c>
      <c r="M284" s="317">
        <f>IF(AND($A$2=4,VLOOKUP($A284,'District Level ADM'!$A$5:$W$52,5,FALSE)="Prior Year"),AO284,IF(AND($A$2=4,VLOOKUP($A284,'District Level ADM'!$A$5:$W$52,5,FALSE)="3-Year Avg."),AA284,IF($A$2=2,AO284,IF($A$2=3,AA284,IF(($AG284&gt;$AU284),AA284,AO284)))))</f>
        <v>0</v>
      </c>
      <c r="N284" s="317">
        <f>IF(AND($A$2=4,VLOOKUP($A284,'District Level ADM'!$A$5:$W$52,5,FALSE)="Prior Year"),AP284,IF(AND($A$2=4,VLOOKUP($A284,'District Level ADM'!$A$5:$W$52,5,FALSE)="3-Year Avg."),AB284,IF($A$2=2,AP284,IF($A$2=3,AB284,IF(($AG284&gt;$AU284),AB284,AP284)))))</f>
        <v>0</v>
      </c>
      <c r="O284" s="317">
        <f>IF(AND($A$2=4,VLOOKUP($A284,'District Level ADM'!$A$5:$W$52,5,FALSE)="Prior Year"),AQ284,IF(AND($A$2=4,VLOOKUP($A284,'District Level ADM'!$A$5:$W$52,5,FALSE)="3-Year Avg."),AC284,IF($A$2=2,AQ284,IF($A$2=3,AC284,IF(($AG284&gt;$AU284),AC284,AQ284)))))</f>
        <v>11.82</v>
      </c>
      <c r="P284" s="317">
        <f>IF(AND($A$2=4,VLOOKUP($A284,'District Level ADM'!$A$5:$W$52,5,FALSE)="Prior Year"),AR284,IF(AND($A$2=4,VLOOKUP($A284,'District Level ADM'!$A$5:$W$52,5,FALSE)="3-Year Avg."),AD284,IF($A$2=2,AR284,IF($A$2=3,AD284,IF(($AG284&gt;$AU284),AD284,AR284)))))</f>
        <v>15.76</v>
      </c>
      <c r="Q284" s="317">
        <f>IF(AND($A$2=4,VLOOKUP($A284,'District Level ADM'!$A$5:$W$52,5,FALSE)="Prior Year"),AS284,IF(AND($A$2=4,VLOOKUP($A284,'District Level ADM'!$A$5:$W$52,5,FALSE)="3-Year Avg."),AE284,IF($A$2=2,AS284,IF($A$2=3,AE284,IF(($AG284&gt;$AU284),AE284,AS284)))))</f>
        <v>11.82</v>
      </c>
      <c r="R284" s="317">
        <f>IF(AND($A$2=4,VLOOKUP($A284,'District Level ADM'!$A$5:$W$52,5,FALSE)="Prior Year"),AT284,IF(AND($A$2=4,VLOOKUP($A284,'District Level ADM'!$A$5:$W$52,5,FALSE)="3-Year Avg."),AF284,IF($A$2=2,AT284,IF($A$2=3,AF284,IF(($AG284&gt;$AU284),AF284,AT284)))))</f>
        <v>14.775</v>
      </c>
      <c r="S284" s="317">
        <f t="shared" si="44"/>
        <v>54.174999999999997</v>
      </c>
      <c r="T284" s="317">
        <f t="shared" si="50"/>
        <v>0</v>
      </c>
      <c r="U284" s="317">
        <f t="shared" si="50"/>
        <v>0</v>
      </c>
      <c r="V284" s="317">
        <f t="shared" si="50"/>
        <v>0</v>
      </c>
      <c r="W284" s="317">
        <f t="shared" si="49"/>
        <v>0</v>
      </c>
      <c r="X284" s="317">
        <f t="shared" si="49"/>
        <v>0</v>
      </c>
      <c r="Y284" s="317">
        <f t="shared" si="49"/>
        <v>0</v>
      </c>
      <c r="Z284" s="317">
        <f t="shared" si="49"/>
        <v>0</v>
      </c>
      <c r="AA284" s="317">
        <f t="shared" si="41"/>
        <v>0</v>
      </c>
      <c r="AB284" s="317">
        <f t="shared" si="41"/>
        <v>0</v>
      </c>
      <c r="AC284" s="317">
        <f t="shared" si="41"/>
        <v>12.639000000000001</v>
      </c>
      <c r="AD284" s="317">
        <f t="shared" si="41"/>
        <v>13.660666666666666</v>
      </c>
      <c r="AE284" s="317">
        <f t="shared" si="41"/>
        <v>13.873333333333335</v>
      </c>
      <c r="AF284" s="317">
        <f t="shared" si="41"/>
        <v>10.519</v>
      </c>
      <c r="AG284" s="317">
        <f t="shared" si="45"/>
        <v>50.692</v>
      </c>
      <c r="AH284" s="318">
        <v>0</v>
      </c>
      <c r="AI284" s="318">
        <v>0</v>
      </c>
      <c r="AJ284" s="318">
        <v>0</v>
      </c>
      <c r="AK284" s="318">
        <v>0</v>
      </c>
      <c r="AL284" s="318">
        <v>0</v>
      </c>
      <c r="AM284" s="318">
        <v>0</v>
      </c>
      <c r="AN284" s="318">
        <v>0</v>
      </c>
      <c r="AO284" s="318">
        <v>0</v>
      </c>
      <c r="AP284" s="318">
        <v>0</v>
      </c>
      <c r="AQ284" s="318">
        <v>11.82</v>
      </c>
      <c r="AR284" s="318">
        <v>15.76</v>
      </c>
      <c r="AS284" s="318">
        <v>11.82</v>
      </c>
      <c r="AT284" s="318">
        <v>14.775</v>
      </c>
      <c r="AU284" s="317">
        <f t="shared" si="43"/>
        <v>54.174999999999997</v>
      </c>
      <c r="AV284" s="319">
        <v>0</v>
      </c>
      <c r="AW284" s="319">
        <v>0</v>
      </c>
      <c r="AX284" s="319">
        <v>0</v>
      </c>
      <c r="AY284" s="319">
        <v>0</v>
      </c>
      <c r="AZ284" s="319">
        <v>0</v>
      </c>
      <c r="BA284" s="319">
        <v>0</v>
      </c>
      <c r="BB284" s="319">
        <v>0</v>
      </c>
      <c r="BC284" s="319">
        <v>0</v>
      </c>
      <c r="BD284" s="319">
        <v>0</v>
      </c>
      <c r="BE284" s="319">
        <v>15.811</v>
      </c>
      <c r="BF284" s="319">
        <v>12.331</v>
      </c>
      <c r="BG284" s="319">
        <v>14.343</v>
      </c>
      <c r="BH284" s="319">
        <v>10.571</v>
      </c>
      <c r="BI284" s="317">
        <f t="shared" si="48"/>
        <v>53.055999999999997</v>
      </c>
      <c r="BJ284" s="316">
        <v>0</v>
      </c>
      <c r="BK284" s="316">
        <v>0</v>
      </c>
      <c r="BL284" s="316">
        <v>0</v>
      </c>
      <c r="BM284" s="316">
        <v>0</v>
      </c>
      <c r="BN284" s="316">
        <v>0</v>
      </c>
      <c r="BO284" s="316">
        <v>0</v>
      </c>
      <c r="BP284" s="316">
        <v>0</v>
      </c>
      <c r="BQ284" s="316">
        <v>0</v>
      </c>
      <c r="BR284" s="316">
        <v>0</v>
      </c>
      <c r="BS284" s="316">
        <v>10.286</v>
      </c>
      <c r="BT284" s="316">
        <v>12.891</v>
      </c>
      <c r="BU284" s="316">
        <v>15.457000000000001</v>
      </c>
      <c r="BV284" s="316">
        <v>6.2110000000000003</v>
      </c>
      <c r="BW284" s="317">
        <f t="shared" si="46"/>
        <v>44.844999999999999</v>
      </c>
    </row>
    <row r="285" spans="1:75" x14ac:dyDescent="0.2">
      <c r="A285" s="20" t="str">
        <f>'School Level Inst. Resources'!A285</f>
        <v>1702000</v>
      </c>
      <c r="B285" s="20" t="str">
        <f>'School Level Inst. Resources'!B285</f>
        <v>Sheridan #2</v>
      </c>
      <c r="C285" s="20" t="str">
        <f>'School Level Inst. Resources'!C285</f>
        <v>1702057</v>
      </c>
      <c r="D285" s="20" t="str">
        <f>'School Level Inst. Resources'!D285</f>
        <v>Sheridan High School</v>
      </c>
      <c r="E285" s="138" t="str">
        <f>'School Level Inst. Resources'!E285</f>
        <v>9-12</v>
      </c>
      <c r="F285" s="317">
        <f>IF(AND($A$2=4,VLOOKUP($A285,'District Level ADM'!$A$5:$W$52,5,FALSE)="Prior Year"),AH285,IF(AND($A$2=4,VLOOKUP($A285,'District Level ADM'!$A$5:$W$52,5,FALSE)="3-Year Avg."),T285,IF($A$2=2,AH285,IF($A$2=3,T285,IF(($AG285&gt;$AU285),T285,AH285)))))</f>
        <v>0</v>
      </c>
      <c r="G285" s="317">
        <f>IF(AND($A$2=4,VLOOKUP($A285,'District Level ADM'!$A$5:$W$52,5,FALSE)="Prior Year"),AI285,IF(AND($A$2=4,VLOOKUP($A285,'District Level ADM'!$A$5:$W$52,5,FALSE)="3-Year Avg."),U285,IF($A$2=2,AI285,IF($A$2=3,U285,IF(($AG285&gt;$AU285),U285,AI285)))))</f>
        <v>0</v>
      </c>
      <c r="H285" s="317">
        <f>IF(AND($A$2=4,VLOOKUP($A285,'District Level ADM'!$A$5:$W$52,5,FALSE)="Prior Year"),AJ285,IF(AND($A$2=4,VLOOKUP($A285,'District Level ADM'!$A$5:$W$52,5,FALSE)="3-Year Avg."),V285,IF($A$2=2,AJ285,IF($A$2=3,V285,IF(($AG285&gt;$AU285),V285,AJ285)))))</f>
        <v>0</v>
      </c>
      <c r="I285" s="317">
        <f>IF(AND($A$2=4,VLOOKUP($A285,'District Level ADM'!$A$5:$W$52,5,FALSE)="Prior Year"),AK285,IF(AND($A$2=4,VLOOKUP($A285,'District Level ADM'!$A$5:$W$52,5,FALSE)="3-Year Avg."),W285,IF($A$2=2,AK285,IF($A$2=3,W285,IF(($AG285&gt;$AU285),W285,AK285)))))</f>
        <v>0</v>
      </c>
      <c r="J285" s="317">
        <f>IF(AND($A$2=4,VLOOKUP($A285,'District Level ADM'!$A$5:$W$52,5,FALSE)="Prior Year"),AL285,IF(AND($A$2=4,VLOOKUP($A285,'District Level ADM'!$A$5:$W$52,5,FALSE)="3-Year Avg."),X285,IF($A$2=2,AL285,IF($A$2=3,X285,IF(($AG285&gt;$AU285),X285,AL285)))))</f>
        <v>0</v>
      </c>
      <c r="K285" s="317">
        <f>IF(AND($A$2=4,VLOOKUP($A285,'District Level ADM'!$A$5:$W$52,5,FALSE)="Prior Year"),AM285,IF(AND($A$2=4,VLOOKUP($A285,'District Level ADM'!$A$5:$W$52,5,FALSE)="3-Year Avg."),Y285,IF($A$2=2,AM285,IF($A$2=3,Y285,IF(($AG285&gt;$AU285),Y285,AM285)))))</f>
        <v>0</v>
      </c>
      <c r="L285" s="317">
        <f>IF(AND($A$2=4,VLOOKUP($A285,'District Level ADM'!$A$5:$W$52,5,FALSE)="Prior Year"),AN285,IF(AND($A$2=4,VLOOKUP($A285,'District Level ADM'!$A$5:$W$52,5,FALSE)="3-Year Avg."),Z285,IF($A$2=2,AN285,IF($A$2=3,Z285,IF(($AG285&gt;$AU285),Z285,AN285)))))</f>
        <v>0</v>
      </c>
      <c r="M285" s="317">
        <f>IF(AND($A$2=4,VLOOKUP($A285,'District Level ADM'!$A$5:$W$52,5,FALSE)="Prior Year"),AO285,IF(AND($A$2=4,VLOOKUP($A285,'District Level ADM'!$A$5:$W$52,5,FALSE)="3-Year Avg."),AA285,IF($A$2=2,AO285,IF($A$2=3,AA285,IF(($AG285&gt;$AU285),AA285,AO285)))))</f>
        <v>0</v>
      </c>
      <c r="N285" s="317">
        <f>IF(AND($A$2=4,VLOOKUP($A285,'District Level ADM'!$A$5:$W$52,5,FALSE)="Prior Year"),AP285,IF(AND($A$2=4,VLOOKUP($A285,'District Level ADM'!$A$5:$W$52,5,FALSE)="3-Year Avg."),AB285,IF($A$2=2,AP285,IF($A$2=3,AB285,IF(($AG285&gt;$AU285),AB285,AP285)))))</f>
        <v>0</v>
      </c>
      <c r="O285" s="317">
        <f>IF(AND($A$2=4,VLOOKUP($A285,'District Level ADM'!$A$5:$W$52,5,FALSE)="Prior Year"),AQ285,IF(AND($A$2=4,VLOOKUP($A285,'District Level ADM'!$A$5:$W$52,5,FALSE)="3-Year Avg."),AC285,IF($A$2=2,AQ285,IF($A$2=3,AC285,IF(($AG285&gt;$AU285),AC285,AQ285)))))</f>
        <v>262.01</v>
      </c>
      <c r="P285" s="317">
        <f>IF(AND($A$2=4,VLOOKUP($A285,'District Level ADM'!$A$5:$W$52,5,FALSE)="Prior Year"),AR285,IF(AND($A$2=4,VLOOKUP($A285,'District Level ADM'!$A$5:$W$52,5,FALSE)="3-Year Avg."),AD285,IF($A$2=2,AR285,IF($A$2=3,AD285,IF(($AG285&gt;$AU285),AD285,AR285)))))</f>
        <v>201.92500000000001</v>
      </c>
      <c r="Q285" s="317">
        <f>IF(AND($A$2=4,VLOOKUP($A285,'District Level ADM'!$A$5:$W$52,5,FALSE)="Prior Year"),AS285,IF(AND($A$2=4,VLOOKUP($A285,'District Level ADM'!$A$5:$W$52,5,FALSE)="3-Year Avg."),AE285,IF($A$2=2,AS285,IF($A$2=3,AE285,IF(($AG285&gt;$AU285),AE285,AS285)))))</f>
        <v>223.595</v>
      </c>
      <c r="R285" s="317">
        <f>IF(AND($A$2=4,VLOOKUP($A285,'District Level ADM'!$A$5:$W$52,5,FALSE)="Prior Year"),AT285,IF(AND($A$2=4,VLOOKUP($A285,'District Level ADM'!$A$5:$W$52,5,FALSE)="3-Year Avg."),AF285,IF($A$2=2,AT285,IF($A$2=3,AF285,IF(($AG285&gt;$AU285),AF285,AT285)))))</f>
        <v>242.31</v>
      </c>
      <c r="S285" s="317">
        <f t="shared" si="44"/>
        <v>929.83999999999992</v>
      </c>
      <c r="T285" s="317">
        <f t="shared" si="50"/>
        <v>0</v>
      </c>
      <c r="U285" s="317">
        <f t="shared" si="50"/>
        <v>0</v>
      </c>
      <c r="V285" s="317">
        <f t="shared" si="50"/>
        <v>0</v>
      </c>
      <c r="W285" s="317">
        <f t="shared" si="49"/>
        <v>0</v>
      </c>
      <c r="X285" s="317">
        <f t="shared" si="49"/>
        <v>0</v>
      </c>
      <c r="Y285" s="317">
        <f t="shared" si="49"/>
        <v>0</v>
      </c>
      <c r="Z285" s="317">
        <f t="shared" si="49"/>
        <v>0</v>
      </c>
      <c r="AA285" s="317">
        <f t="shared" si="41"/>
        <v>0</v>
      </c>
      <c r="AB285" s="317">
        <f t="shared" si="41"/>
        <v>0</v>
      </c>
      <c r="AC285" s="317">
        <f t="shared" si="41"/>
        <v>234.31466666666665</v>
      </c>
      <c r="AD285" s="317">
        <f t="shared" ref="AD285:AF347" si="51">AVERAGE(AR285,BF285,BT285)</f>
        <v>236.26933333333332</v>
      </c>
      <c r="AE285" s="317">
        <f t="shared" si="51"/>
        <v>231.88300000000001</v>
      </c>
      <c r="AF285" s="317">
        <f t="shared" si="51"/>
        <v>222.71466666666666</v>
      </c>
      <c r="AG285" s="317">
        <f t="shared" si="45"/>
        <v>925.18166666666662</v>
      </c>
      <c r="AH285" s="318">
        <v>0</v>
      </c>
      <c r="AI285" s="318">
        <v>0</v>
      </c>
      <c r="AJ285" s="318">
        <v>0</v>
      </c>
      <c r="AK285" s="318">
        <v>0</v>
      </c>
      <c r="AL285" s="318">
        <v>0</v>
      </c>
      <c r="AM285" s="318">
        <v>0</v>
      </c>
      <c r="AN285" s="318">
        <v>0</v>
      </c>
      <c r="AO285" s="318">
        <v>0</v>
      </c>
      <c r="AP285" s="318">
        <v>0</v>
      </c>
      <c r="AQ285" s="318">
        <v>262.01</v>
      </c>
      <c r="AR285" s="318">
        <v>201.92500000000001</v>
      </c>
      <c r="AS285" s="318">
        <v>223.595</v>
      </c>
      <c r="AT285" s="318">
        <v>242.31</v>
      </c>
      <c r="AU285" s="317">
        <f t="shared" si="43"/>
        <v>929.83999999999992</v>
      </c>
      <c r="AV285" s="319">
        <v>0</v>
      </c>
      <c r="AW285" s="319">
        <v>0</v>
      </c>
      <c r="AX285" s="319">
        <v>0</v>
      </c>
      <c r="AY285" s="319">
        <v>0</v>
      </c>
      <c r="AZ285" s="319">
        <v>0</v>
      </c>
      <c r="BA285" s="319">
        <v>0</v>
      </c>
      <c r="BB285" s="319">
        <v>0</v>
      </c>
      <c r="BC285" s="319">
        <v>0</v>
      </c>
      <c r="BD285" s="319">
        <v>0</v>
      </c>
      <c r="BE285" s="319">
        <v>208.977</v>
      </c>
      <c r="BF285" s="319">
        <v>239.4</v>
      </c>
      <c r="BG285" s="319">
        <v>253.82</v>
      </c>
      <c r="BH285" s="319">
        <v>205.214</v>
      </c>
      <c r="BI285" s="317">
        <f t="shared" si="48"/>
        <v>907.41100000000006</v>
      </c>
      <c r="BJ285" s="316">
        <v>0</v>
      </c>
      <c r="BK285" s="316">
        <v>0</v>
      </c>
      <c r="BL285" s="316">
        <v>0</v>
      </c>
      <c r="BM285" s="316">
        <v>0</v>
      </c>
      <c r="BN285" s="316">
        <v>0</v>
      </c>
      <c r="BO285" s="316">
        <v>0</v>
      </c>
      <c r="BP285" s="316">
        <v>0</v>
      </c>
      <c r="BQ285" s="316">
        <v>0</v>
      </c>
      <c r="BR285" s="316">
        <v>0</v>
      </c>
      <c r="BS285" s="316">
        <v>231.95699999999999</v>
      </c>
      <c r="BT285" s="316">
        <v>267.483</v>
      </c>
      <c r="BU285" s="316">
        <v>218.23400000000001</v>
      </c>
      <c r="BV285" s="316">
        <v>220.62</v>
      </c>
      <c r="BW285" s="317">
        <f t="shared" si="46"/>
        <v>938.29399999999998</v>
      </c>
    </row>
    <row r="286" spans="1:75" x14ac:dyDescent="0.2">
      <c r="A286" s="20" t="str">
        <f>'School Level Inst. Resources'!A286</f>
        <v>1703000</v>
      </c>
      <c r="B286" s="20" t="str">
        <f>'School Level Inst. Resources'!B286</f>
        <v>Sheridan #3</v>
      </c>
      <c r="C286" s="20" t="str">
        <f>'School Level Inst. Resources'!C286</f>
        <v>1703001</v>
      </c>
      <c r="D286" s="20" t="str">
        <f>'School Level Inst. Resources'!D286</f>
        <v>Arvada Elementary</v>
      </c>
      <c r="E286" s="138" t="str">
        <f>'School Level Inst. Resources'!E286</f>
        <v>K-6</v>
      </c>
      <c r="F286" s="317">
        <f>IF(AND($A$2=4,VLOOKUP($A286,'District Level ADM'!$A$5:$W$52,5,FALSE)="Prior Year"),AH286,IF(AND($A$2=4,VLOOKUP($A286,'District Level ADM'!$A$5:$W$52,5,FALSE)="3-Year Avg."),T286,IF($A$2=2,AH286,IF($A$2=3,T286,IF(($AG286&gt;$AU286),T286,AH286)))))</f>
        <v>0.98499999999999999</v>
      </c>
      <c r="G286" s="317">
        <f>IF(AND($A$2=4,VLOOKUP($A286,'District Level ADM'!$A$5:$W$52,5,FALSE)="Prior Year"),AI286,IF(AND($A$2=4,VLOOKUP($A286,'District Level ADM'!$A$5:$W$52,5,FALSE)="3-Year Avg."),U286,IF($A$2=2,AI286,IF($A$2=3,U286,IF(($AG286&gt;$AU286),U286,AI286)))))</f>
        <v>2.9550000000000001</v>
      </c>
      <c r="H286" s="317">
        <f>IF(AND($A$2=4,VLOOKUP($A286,'District Level ADM'!$A$5:$W$52,5,FALSE)="Prior Year"),AJ286,IF(AND($A$2=4,VLOOKUP($A286,'District Level ADM'!$A$5:$W$52,5,FALSE)="3-Year Avg."),V286,IF($A$2=2,AJ286,IF($A$2=3,V286,IF(($AG286&gt;$AU286),V286,AJ286)))))</f>
        <v>2.9550000000000001</v>
      </c>
      <c r="I286" s="317">
        <f>IF(AND($A$2=4,VLOOKUP($A286,'District Level ADM'!$A$5:$W$52,5,FALSE)="Prior Year"),AK286,IF(AND($A$2=4,VLOOKUP($A286,'District Level ADM'!$A$5:$W$52,5,FALSE)="3-Year Avg."),W286,IF($A$2=2,AK286,IF($A$2=3,W286,IF(($AG286&gt;$AU286),W286,AK286)))))</f>
        <v>0</v>
      </c>
      <c r="J286" s="317">
        <f>IF(AND($A$2=4,VLOOKUP($A286,'District Level ADM'!$A$5:$W$52,5,FALSE)="Prior Year"),AL286,IF(AND($A$2=4,VLOOKUP($A286,'District Level ADM'!$A$5:$W$52,5,FALSE)="3-Year Avg."),X286,IF($A$2=2,AL286,IF($A$2=3,X286,IF(($AG286&gt;$AU286),X286,AL286)))))</f>
        <v>3.94</v>
      </c>
      <c r="K286" s="317">
        <f>IF(AND($A$2=4,VLOOKUP($A286,'District Level ADM'!$A$5:$W$52,5,FALSE)="Prior Year"),AM286,IF(AND($A$2=4,VLOOKUP($A286,'District Level ADM'!$A$5:$W$52,5,FALSE)="3-Year Avg."),Y286,IF($A$2=2,AM286,IF($A$2=3,Y286,IF(($AG286&gt;$AU286),Y286,AM286)))))</f>
        <v>0</v>
      </c>
      <c r="L286" s="317">
        <f>IF(AND($A$2=4,VLOOKUP($A286,'District Level ADM'!$A$5:$W$52,5,FALSE)="Prior Year"),AN286,IF(AND($A$2=4,VLOOKUP($A286,'District Level ADM'!$A$5:$W$52,5,FALSE)="3-Year Avg."),Z286,IF($A$2=2,AN286,IF($A$2=3,Z286,IF(($AG286&gt;$AU286),Z286,AN286)))))</f>
        <v>0</v>
      </c>
      <c r="M286" s="317">
        <f>IF(AND($A$2=4,VLOOKUP($A286,'District Level ADM'!$A$5:$W$52,5,FALSE)="Prior Year"),AO286,IF(AND($A$2=4,VLOOKUP($A286,'District Level ADM'!$A$5:$W$52,5,FALSE)="3-Year Avg."),AA286,IF($A$2=2,AO286,IF($A$2=3,AA286,IF(($AG286&gt;$AU286),AA286,AO286)))))</f>
        <v>0</v>
      </c>
      <c r="N286" s="317">
        <f>IF(AND($A$2=4,VLOOKUP($A286,'District Level ADM'!$A$5:$W$52,5,FALSE)="Prior Year"),AP286,IF(AND($A$2=4,VLOOKUP($A286,'District Level ADM'!$A$5:$W$52,5,FALSE)="3-Year Avg."),AB286,IF($A$2=2,AP286,IF($A$2=3,AB286,IF(($AG286&gt;$AU286),AB286,AP286)))))</f>
        <v>0</v>
      </c>
      <c r="O286" s="317">
        <f>IF(AND($A$2=4,VLOOKUP($A286,'District Level ADM'!$A$5:$W$52,5,FALSE)="Prior Year"),AQ286,IF(AND($A$2=4,VLOOKUP($A286,'District Level ADM'!$A$5:$W$52,5,FALSE)="3-Year Avg."),AC286,IF($A$2=2,AQ286,IF($A$2=3,AC286,IF(($AG286&gt;$AU286),AC286,AQ286)))))</f>
        <v>0</v>
      </c>
      <c r="P286" s="317">
        <f>IF(AND($A$2=4,VLOOKUP($A286,'District Level ADM'!$A$5:$W$52,5,FALSE)="Prior Year"),AR286,IF(AND($A$2=4,VLOOKUP($A286,'District Level ADM'!$A$5:$W$52,5,FALSE)="3-Year Avg."),AD286,IF($A$2=2,AR286,IF($A$2=3,AD286,IF(($AG286&gt;$AU286),AD286,AR286)))))</f>
        <v>0</v>
      </c>
      <c r="Q286" s="317">
        <f>IF(AND($A$2=4,VLOOKUP($A286,'District Level ADM'!$A$5:$W$52,5,FALSE)="Prior Year"),AS286,IF(AND($A$2=4,VLOOKUP($A286,'District Level ADM'!$A$5:$W$52,5,FALSE)="3-Year Avg."),AE286,IF($A$2=2,AS286,IF($A$2=3,AE286,IF(($AG286&gt;$AU286),AE286,AS286)))))</f>
        <v>0</v>
      </c>
      <c r="R286" s="317">
        <f>IF(AND($A$2=4,VLOOKUP($A286,'District Level ADM'!$A$5:$W$52,5,FALSE)="Prior Year"),AT286,IF(AND($A$2=4,VLOOKUP($A286,'District Level ADM'!$A$5:$W$52,5,FALSE)="3-Year Avg."),AF286,IF($A$2=2,AT286,IF($A$2=3,AF286,IF(($AG286&gt;$AU286),AF286,AT286)))))</f>
        <v>0</v>
      </c>
      <c r="S286" s="317">
        <f t="shared" si="44"/>
        <v>10.834999999999999</v>
      </c>
      <c r="T286" s="317">
        <f t="shared" si="50"/>
        <v>1.9949999999999999</v>
      </c>
      <c r="U286" s="317">
        <f t="shared" si="50"/>
        <v>2.1336666666666666</v>
      </c>
      <c r="V286" s="317">
        <f t="shared" si="50"/>
        <v>1.9850000000000001</v>
      </c>
      <c r="W286" s="317">
        <f t="shared" si="49"/>
        <v>1.3333333333333333</v>
      </c>
      <c r="X286" s="317">
        <f t="shared" si="49"/>
        <v>1.6466666666666665</v>
      </c>
      <c r="Y286" s="317">
        <f t="shared" si="49"/>
        <v>0</v>
      </c>
      <c r="Z286" s="317">
        <f t="shared" si="49"/>
        <v>0</v>
      </c>
      <c r="AA286" s="317">
        <f t="shared" si="49"/>
        <v>0</v>
      </c>
      <c r="AB286" s="317">
        <f t="shared" si="49"/>
        <v>0</v>
      </c>
      <c r="AC286" s="317">
        <f t="shared" si="49"/>
        <v>0</v>
      </c>
      <c r="AD286" s="317">
        <f t="shared" si="51"/>
        <v>0</v>
      </c>
      <c r="AE286" s="317">
        <f t="shared" si="51"/>
        <v>0</v>
      </c>
      <c r="AF286" s="317">
        <f t="shared" si="51"/>
        <v>0</v>
      </c>
      <c r="AG286" s="317">
        <f t="shared" si="45"/>
        <v>9.0936666666666675</v>
      </c>
      <c r="AH286" s="318">
        <v>0.98499999999999999</v>
      </c>
      <c r="AI286" s="318">
        <v>2.9550000000000001</v>
      </c>
      <c r="AJ286" s="318">
        <v>2.9550000000000001</v>
      </c>
      <c r="AK286" s="318">
        <v>0</v>
      </c>
      <c r="AL286" s="318">
        <v>3.94</v>
      </c>
      <c r="AM286" s="318">
        <v>0</v>
      </c>
      <c r="AN286" s="318">
        <v>0</v>
      </c>
      <c r="AO286" s="318">
        <v>0</v>
      </c>
      <c r="AP286" s="318">
        <v>0</v>
      </c>
      <c r="AQ286" s="318">
        <v>0</v>
      </c>
      <c r="AR286" s="318">
        <v>0</v>
      </c>
      <c r="AS286" s="318">
        <v>0</v>
      </c>
      <c r="AT286" s="318">
        <v>0</v>
      </c>
      <c r="AU286" s="317">
        <f t="shared" si="43"/>
        <v>10.834999999999999</v>
      </c>
      <c r="AV286" s="319">
        <v>3</v>
      </c>
      <c r="AW286" s="319">
        <v>3</v>
      </c>
      <c r="AX286" s="319">
        <v>0</v>
      </c>
      <c r="AY286" s="319">
        <v>4</v>
      </c>
      <c r="AZ286" s="319">
        <v>0</v>
      </c>
      <c r="BA286" s="319">
        <v>0</v>
      </c>
      <c r="BB286" s="319">
        <v>0</v>
      </c>
      <c r="BC286" s="319">
        <v>0</v>
      </c>
      <c r="BD286" s="319">
        <v>0</v>
      </c>
      <c r="BE286" s="319">
        <v>0</v>
      </c>
      <c r="BF286" s="319">
        <v>0</v>
      </c>
      <c r="BG286" s="319">
        <v>0</v>
      </c>
      <c r="BH286" s="319">
        <v>0</v>
      </c>
      <c r="BI286" s="317">
        <f t="shared" si="48"/>
        <v>10</v>
      </c>
      <c r="BJ286" s="316">
        <v>2</v>
      </c>
      <c r="BK286" s="316">
        <v>0.44600000000000001</v>
      </c>
      <c r="BL286" s="316">
        <v>3</v>
      </c>
      <c r="BM286" s="316">
        <v>0</v>
      </c>
      <c r="BN286" s="316">
        <v>1</v>
      </c>
      <c r="BO286" s="316">
        <v>0</v>
      </c>
      <c r="BP286" s="316">
        <v>0</v>
      </c>
      <c r="BQ286" s="316">
        <v>0</v>
      </c>
      <c r="BR286" s="316">
        <v>0</v>
      </c>
      <c r="BS286" s="316">
        <v>0</v>
      </c>
      <c r="BT286" s="316">
        <v>0</v>
      </c>
      <c r="BU286" s="316">
        <v>0</v>
      </c>
      <c r="BV286" s="316">
        <v>0</v>
      </c>
      <c r="BW286" s="317">
        <f t="shared" si="46"/>
        <v>6.4459999999999997</v>
      </c>
    </row>
    <row r="287" spans="1:75" x14ac:dyDescent="0.2">
      <c r="A287" s="20" t="str">
        <f>'School Level Inst. Resources'!A287</f>
        <v>1703000</v>
      </c>
      <c r="B287" s="20" t="str">
        <f>'School Level Inst. Resources'!B287</f>
        <v>Sheridan #3</v>
      </c>
      <c r="C287" s="20" t="str">
        <f>'School Level Inst. Resources'!C287</f>
        <v>1703049</v>
      </c>
      <c r="D287" s="20" t="str">
        <f>'School Level Inst. Resources'!D287</f>
        <v>Clearmont K-12</v>
      </c>
      <c r="E287" s="138" t="str">
        <f>'School Level Inst. Resources'!E287</f>
        <v>K-12</v>
      </c>
      <c r="F287" s="317">
        <f>IF(AND($A$2=4,VLOOKUP($A287,'District Level ADM'!$A$5:$W$52,5,FALSE)="Prior Year"),AH287,IF(AND($A$2=4,VLOOKUP($A287,'District Level ADM'!$A$5:$W$52,5,FALSE)="3-Year Avg."),T287,IF($A$2=2,AH287,IF($A$2=3,T287,IF(($AG287&gt;$AU287),T287,AH287)))))</f>
        <v>5.91</v>
      </c>
      <c r="G287" s="317">
        <f>IF(AND($A$2=4,VLOOKUP($A287,'District Level ADM'!$A$5:$W$52,5,FALSE)="Prior Year"),AI287,IF(AND($A$2=4,VLOOKUP($A287,'District Level ADM'!$A$5:$W$52,5,FALSE)="3-Year Avg."),U287,IF($A$2=2,AI287,IF($A$2=3,U287,IF(($AG287&gt;$AU287),U287,AI287)))))</f>
        <v>2.9550000000000001</v>
      </c>
      <c r="H287" s="317">
        <f>IF(AND($A$2=4,VLOOKUP($A287,'District Level ADM'!$A$5:$W$52,5,FALSE)="Prior Year"),AJ287,IF(AND($A$2=4,VLOOKUP($A287,'District Level ADM'!$A$5:$W$52,5,FALSE)="3-Year Avg."),V287,IF($A$2=2,AJ287,IF($A$2=3,V287,IF(($AG287&gt;$AU287),V287,AJ287)))))</f>
        <v>3.94</v>
      </c>
      <c r="I287" s="317">
        <f>IF(AND($A$2=4,VLOOKUP($A287,'District Level ADM'!$A$5:$W$52,5,FALSE)="Prior Year"),AK287,IF(AND($A$2=4,VLOOKUP($A287,'District Level ADM'!$A$5:$W$52,5,FALSE)="3-Year Avg."),W287,IF($A$2=2,AK287,IF($A$2=3,W287,IF(($AG287&gt;$AU287),W287,AK287)))))</f>
        <v>1.97</v>
      </c>
      <c r="J287" s="317">
        <f>IF(AND($A$2=4,VLOOKUP($A287,'District Level ADM'!$A$5:$W$52,5,FALSE)="Prior Year"),AL287,IF(AND($A$2=4,VLOOKUP($A287,'District Level ADM'!$A$5:$W$52,5,FALSE)="3-Year Avg."),X287,IF($A$2=2,AL287,IF($A$2=3,X287,IF(($AG287&gt;$AU287),X287,AL287)))))</f>
        <v>4.9249999999999998</v>
      </c>
      <c r="K287" s="317">
        <f>IF(AND($A$2=4,VLOOKUP($A287,'District Level ADM'!$A$5:$W$52,5,FALSE)="Prior Year"),AM287,IF(AND($A$2=4,VLOOKUP($A287,'District Level ADM'!$A$5:$W$52,5,FALSE)="3-Year Avg."),Y287,IF($A$2=2,AM287,IF($A$2=3,Y287,IF(($AG287&gt;$AU287),Y287,AM287)))))</f>
        <v>6.8949999999999996</v>
      </c>
      <c r="L287" s="317">
        <f>IF(AND($A$2=4,VLOOKUP($A287,'District Level ADM'!$A$5:$W$52,5,FALSE)="Prior Year"),AN287,IF(AND($A$2=4,VLOOKUP($A287,'District Level ADM'!$A$5:$W$52,5,FALSE)="3-Year Avg."),Z287,IF($A$2=2,AN287,IF($A$2=3,Z287,IF(($AG287&gt;$AU287),Z287,AN287)))))</f>
        <v>9.85</v>
      </c>
      <c r="M287" s="317">
        <f>IF(AND($A$2=4,VLOOKUP($A287,'District Level ADM'!$A$5:$W$52,5,FALSE)="Prior Year"),AO287,IF(AND($A$2=4,VLOOKUP($A287,'District Level ADM'!$A$5:$W$52,5,FALSE)="3-Year Avg."),AA287,IF($A$2=2,AO287,IF($A$2=3,AA287,IF(($AG287&gt;$AU287),AA287,AO287)))))</f>
        <v>5.91</v>
      </c>
      <c r="N287" s="317">
        <f>IF(AND($A$2=4,VLOOKUP($A287,'District Level ADM'!$A$5:$W$52,5,FALSE)="Prior Year"),AP287,IF(AND($A$2=4,VLOOKUP($A287,'District Level ADM'!$A$5:$W$52,5,FALSE)="3-Year Avg."),AB287,IF($A$2=2,AP287,IF($A$2=3,AB287,IF(($AG287&gt;$AU287),AB287,AP287)))))</f>
        <v>4.9249999999999998</v>
      </c>
      <c r="O287" s="317">
        <f>IF(AND($A$2=4,VLOOKUP($A287,'District Level ADM'!$A$5:$W$52,5,FALSE)="Prior Year"),AQ287,IF(AND($A$2=4,VLOOKUP($A287,'District Level ADM'!$A$5:$W$52,5,FALSE)="3-Year Avg."),AC287,IF($A$2=2,AQ287,IF($A$2=3,AC287,IF(($AG287&gt;$AU287),AC287,AQ287)))))</f>
        <v>11.82</v>
      </c>
      <c r="P287" s="317">
        <f>IF(AND($A$2=4,VLOOKUP($A287,'District Level ADM'!$A$5:$W$52,5,FALSE)="Prior Year"),AR287,IF(AND($A$2=4,VLOOKUP($A287,'District Level ADM'!$A$5:$W$52,5,FALSE)="3-Year Avg."),AD287,IF($A$2=2,AR287,IF($A$2=3,AD287,IF(($AG287&gt;$AU287),AD287,AR287)))))</f>
        <v>8.8650000000000002</v>
      </c>
      <c r="Q287" s="317">
        <f>IF(AND($A$2=4,VLOOKUP($A287,'District Level ADM'!$A$5:$W$52,5,FALSE)="Prior Year"),AS287,IF(AND($A$2=4,VLOOKUP($A287,'District Level ADM'!$A$5:$W$52,5,FALSE)="3-Year Avg."),AE287,IF($A$2=2,AS287,IF($A$2=3,AE287,IF(($AG287&gt;$AU287),AE287,AS287)))))</f>
        <v>7.88</v>
      </c>
      <c r="R287" s="317">
        <f>IF(AND($A$2=4,VLOOKUP($A287,'District Level ADM'!$A$5:$W$52,5,FALSE)="Prior Year"),AT287,IF(AND($A$2=4,VLOOKUP($A287,'District Level ADM'!$A$5:$W$52,5,FALSE)="3-Year Avg."),AF287,IF($A$2=2,AT287,IF($A$2=3,AF287,IF(($AG287&gt;$AU287),AF287,AT287)))))</f>
        <v>8.8650000000000002</v>
      </c>
      <c r="S287" s="317">
        <f t="shared" si="44"/>
        <v>84.71</v>
      </c>
      <c r="T287" s="317">
        <f t="shared" si="50"/>
        <v>4.5060000000000002</v>
      </c>
      <c r="U287" s="317">
        <f t="shared" si="50"/>
        <v>3.798</v>
      </c>
      <c r="V287" s="317">
        <f t="shared" si="50"/>
        <v>3.313333333333333</v>
      </c>
      <c r="W287" s="317">
        <f t="shared" si="49"/>
        <v>3.6543333333333337</v>
      </c>
      <c r="X287" s="317">
        <f t="shared" si="49"/>
        <v>5.3083333333333336</v>
      </c>
      <c r="Y287" s="317">
        <f t="shared" si="49"/>
        <v>6.9649999999999999</v>
      </c>
      <c r="Z287" s="317">
        <f t="shared" si="49"/>
        <v>6.7156666666666665</v>
      </c>
      <c r="AA287" s="317">
        <f t="shared" si="49"/>
        <v>7.1366666666666667</v>
      </c>
      <c r="AB287" s="317">
        <f t="shared" si="49"/>
        <v>9.3149999999999995</v>
      </c>
      <c r="AC287" s="317">
        <f t="shared" si="49"/>
        <v>9.7889999999999997</v>
      </c>
      <c r="AD287" s="317">
        <f t="shared" si="51"/>
        <v>8.5023333333333344</v>
      </c>
      <c r="AE287" s="317">
        <f t="shared" si="51"/>
        <v>9.4666666666666668</v>
      </c>
      <c r="AF287" s="317">
        <f t="shared" si="51"/>
        <v>7.6193333333333335</v>
      </c>
      <c r="AG287" s="317">
        <f t="shared" si="45"/>
        <v>86.089666666666673</v>
      </c>
      <c r="AH287" s="318">
        <v>5.91</v>
      </c>
      <c r="AI287" s="318">
        <v>2.9550000000000001</v>
      </c>
      <c r="AJ287" s="318">
        <v>3.94</v>
      </c>
      <c r="AK287" s="318">
        <v>1.97</v>
      </c>
      <c r="AL287" s="318">
        <v>4.9249999999999998</v>
      </c>
      <c r="AM287" s="318">
        <v>6.8949999999999996</v>
      </c>
      <c r="AN287" s="318">
        <v>9.85</v>
      </c>
      <c r="AO287" s="318">
        <v>5.91</v>
      </c>
      <c r="AP287" s="318">
        <v>4.9249999999999998</v>
      </c>
      <c r="AQ287" s="318">
        <v>11.82</v>
      </c>
      <c r="AR287" s="318">
        <v>8.8650000000000002</v>
      </c>
      <c r="AS287" s="318">
        <v>7.88</v>
      </c>
      <c r="AT287" s="318">
        <v>8.8650000000000002</v>
      </c>
      <c r="AU287" s="317">
        <f t="shared" si="43"/>
        <v>84.71</v>
      </c>
      <c r="AV287" s="319">
        <v>3</v>
      </c>
      <c r="AW287" s="319">
        <v>4.101</v>
      </c>
      <c r="AX287" s="319">
        <v>2</v>
      </c>
      <c r="AY287" s="319">
        <v>4.9930000000000003</v>
      </c>
      <c r="AZ287" s="319">
        <v>4</v>
      </c>
      <c r="BA287" s="319">
        <v>9</v>
      </c>
      <c r="BB287" s="319">
        <v>6</v>
      </c>
      <c r="BC287" s="319">
        <v>5.7969999999999997</v>
      </c>
      <c r="BD287" s="319">
        <v>11.77</v>
      </c>
      <c r="BE287" s="319">
        <v>10.276999999999999</v>
      </c>
      <c r="BF287" s="319">
        <v>9</v>
      </c>
      <c r="BG287" s="319">
        <v>10.337999999999999</v>
      </c>
      <c r="BH287" s="319">
        <v>9.9930000000000003</v>
      </c>
      <c r="BI287" s="317">
        <f t="shared" si="48"/>
        <v>90.268999999999991</v>
      </c>
      <c r="BJ287" s="316">
        <v>4.6079999999999997</v>
      </c>
      <c r="BK287" s="316">
        <v>4.3380000000000001</v>
      </c>
      <c r="BL287" s="316">
        <v>4</v>
      </c>
      <c r="BM287" s="316">
        <v>4</v>
      </c>
      <c r="BN287" s="316">
        <v>7</v>
      </c>
      <c r="BO287" s="316">
        <v>5</v>
      </c>
      <c r="BP287" s="316">
        <v>4.2969999999999997</v>
      </c>
      <c r="BQ287" s="316">
        <v>9.7029999999999994</v>
      </c>
      <c r="BR287" s="316">
        <v>11.25</v>
      </c>
      <c r="BS287" s="316">
        <v>7.27</v>
      </c>
      <c r="BT287" s="316">
        <v>7.6420000000000003</v>
      </c>
      <c r="BU287" s="316">
        <v>10.182</v>
      </c>
      <c r="BV287" s="316">
        <v>4</v>
      </c>
      <c r="BW287" s="317">
        <f t="shared" si="46"/>
        <v>83.289999999999992</v>
      </c>
    </row>
    <row r="288" spans="1:75" x14ac:dyDescent="0.2">
      <c r="A288" s="20" t="str">
        <f>'School Level Inst. Resources'!A288</f>
        <v>1801000</v>
      </c>
      <c r="B288" s="20" t="str">
        <f>'School Level Inst. Resources'!B288</f>
        <v>Sublette #1</v>
      </c>
      <c r="C288" s="20" t="str">
        <f>'School Level Inst. Resources'!C288</f>
        <v>1801001</v>
      </c>
      <c r="D288" s="20" t="str">
        <f>'School Level Inst. Resources'!D288</f>
        <v>Bondurant Elementary</v>
      </c>
      <c r="E288" s="138" t="str">
        <f>'School Level Inst. Resources'!E288</f>
        <v>K-5</v>
      </c>
      <c r="F288" s="317">
        <f>IF(AND($A$2=4,VLOOKUP($A288,'District Level ADM'!$A$5:$W$52,5,FALSE)="Prior Year"),AH288,IF(AND($A$2=4,VLOOKUP($A288,'District Level ADM'!$A$5:$W$52,5,FALSE)="3-Year Avg."),T288,IF($A$2=2,AH288,IF($A$2=3,T288,IF(($AG288&gt;$AU288),T288,AH288)))))</f>
        <v>1.97</v>
      </c>
      <c r="G288" s="317">
        <f>IF(AND($A$2=4,VLOOKUP($A288,'District Level ADM'!$A$5:$W$52,5,FALSE)="Prior Year"),AI288,IF(AND($A$2=4,VLOOKUP($A288,'District Level ADM'!$A$5:$W$52,5,FALSE)="3-Year Avg."),U288,IF($A$2=2,AI288,IF($A$2=3,U288,IF(($AG288&gt;$AU288),U288,AI288)))))</f>
        <v>2.9550000000000001</v>
      </c>
      <c r="H288" s="317">
        <f>IF(AND($A$2=4,VLOOKUP($A288,'District Level ADM'!$A$5:$W$52,5,FALSE)="Prior Year"),AJ288,IF(AND($A$2=4,VLOOKUP($A288,'District Level ADM'!$A$5:$W$52,5,FALSE)="3-Year Avg."),V288,IF($A$2=2,AJ288,IF($A$2=3,V288,IF(($AG288&gt;$AU288),V288,AJ288)))))</f>
        <v>0</v>
      </c>
      <c r="I288" s="317">
        <f>IF(AND($A$2=4,VLOOKUP($A288,'District Level ADM'!$A$5:$W$52,5,FALSE)="Prior Year"),AK288,IF(AND($A$2=4,VLOOKUP($A288,'District Level ADM'!$A$5:$W$52,5,FALSE)="3-Year Avg."),W288,IF($A$2=2,AK288,IF($A$2=3,W288,IF(($AG288&gt;$AU288),W288,AK288)))))</f>
        <v>0</v>
      </c>
      <c r="J288" s="317">
        <f>IF(AND($A$2=4,VLOOKUP($A288,'District Level ADM'!$A$5:$W$52,5,FALSE)="Prior Year"),AL288,IF(AND($A$2=4,VLOOKUP($A288,'District Level ADM'!$A$5:$W$52,5,FALSE)="3-Year Avg."),X288,IF($A$2=2,AL288,IF($A$2=3,X288,IF(($AG288&gt;$AU288),X288,AL288)))))</f>
        <v>0.98499999999999999</v>
      </c>
      <c r="K288" s="317">
        <f>IF(AND($A$2=4,VLOOKUP($A288,'District Level ADM'!$A$5:$W$52,5,FALSE)="Prior Year"),AM288,IF(AND($A$2=4,VLOOKUP($A288,'District Level ADM'!$A$5:$W$52,5,FALSE)="3-Year Avg."),Y288,IF($A$2=2,AM288,IF($A$2=3,Y288,IF(($AG288&gt;$AU288),Y288,AM288)))))</f>
        <v>0</v>
      </c>
      <c r="L288" s="317">
        <f>IF(AND($A$2=4,VLOOKUP($A288,'District Level ADM'!$A$5:$W$52,5,FALSE)="Prior Year"),AN288,IF(AND($A$2=4,VLOOKUP($A288,'District Level ADM'!$A$5:$W$52,5,FALSE)="3-Year Avg."),Z288,IF($A$2=2,AN288,IF($A$2=3,Z288,IF(($AG288&gt;$AU288),Z288,AN288)))))</f>
        <v>0</v>
      </c>
      <c r="M288" s="317">
        <f>IF(AND($A$2=4,VLOOKUP($A288,'District Level ADM'!$A$5:$W$52,5,FALSE)="Prior Year"),AO288,IF(AND($A$2=4,VLOOKUP($A288,'District Level ADM'!$A$5:$W$52,5,FALSE)="3-Year Avg."),AA288,IF($A$2=2,AO288,IF($A$2=3,AA288,IF(($AG288&gt;$AU288),AA288,AO288)))))</f>
        <v>0</v>
      </c>
      <c r="N288" s="317">
        <f>IF(AND($A$2=4,VLOOKUP($A288,'District Level ADM'!$A$5:$W$52,5,FALSE)="Prior Year"),AP288,IF(AND($A$2=4,VLOOKUP($A288,'District Level ADM'!$A$5:$W$52,5,FALSE)="3-Year Avg."),AB288,IF($A$2=2,AP288,IF($A$2=3,AB288,IF(($AG288&gt;$AU288),AB288,AP288)))))</f>
        <v>0</v>
      </c>
      <c r="O288" s="317">
        <f>IF(AND($A$2=4,VLOOKUP($A288,'District Level ADM'!$A$5:$W$52,5,FALSE)="Prior Year"),AQ288,IF(AND($A$2=4,VLOOKUP($A288,'District Level ADM'!$A$5:$W$52,5,FALSE)="3-Year Avg."),AC288,IF($A$2=2,AQ288,IF($A$2=3,AC288,IF(($AG288&gt;$AU288),AC288,AQ288)))))</f>
        <v>0</v>
      </c>
      <c r="P288" s="317">
        <f>IF(AND($A$2=4,VLOOKUP($A288,'District Level ADM'!$A$5:$W$52,5,FALSE)="Prior Year"),AR288,IF(AND($A$2=4,VLOOKUP($A288,'District Level ADM'!$A$5:$W$52,5,FALSE)="3-Year Avg."),AD288,IF($A$2=2,AR288,IF($A$2=3,AD288,IF(($AG288&gt;$AU288),AD288,AR288)))))</f>
        <v>0</v>
      </c>
      <c r="Q288" s="317">
        <f>IF(AND($A$2=4,VLOOKUP($A288,'District Level ADM'!$A$5:$W$52,5,FALSE)="Prior Year"),AS288,IF(AND($A$2=4,VLOOKUP($A288,'District Level ADM'!$A$5:$W$52,5,FALSE)="3-Year Avg."),AE288,IF($A$2=2,AS288,IF($A$2=3,AE288,IF(($AG288&gt;$AU288),AE288,AS288)))))</f>
        <v>0</v>
      </c>
      <c r="R288" s="317">
        <f>IF(AND($A$2=4,VLOOKUP($A288,'District Level ADM'!$A$5:$W$52,5,FALSE)="Prior Year"),AT288,IF(AND($A$2=4,VLOOKUP($A288,'District Level ADM'!$A$5:$W$52,5,FALSE)="3-Year Avg."),AF288,IF($A$2=2,AT288,IF($A$2=3,AF288,IF(($AG288&gt;$AU288),AF288,AT288)))))</f>
        <v>0</v>
      </c>
      <c r="S288" s="317">
        <f t="shared" si="44"/>
        <v>5.91</v>
      </c>
      <c r="T288" s="317">
        <f t="shared" si="50"/>
        <v>1.8623333333333332</v>
      </c>
      <c r="U288" s="317">
        <f t="shared" si="50"/>
        <v>1.0820000000000001</v>
      </c>
      <c r="V288" s="317">
        <f t="shared" si="50"/>
        <v>0.59466666666666668</v>
      </c>
      <c r="W288" s="317">
        <f t="shared" si="49"/>
        <v>0.66666666666666663</v>
      </c>
      <c r="X288" s="317">
        <f t="shared" si="49"/>
        <v>0.58199999999999996</v>
      </c>
      <c r="Y288" s="317">
        <f t="shared" si="49"/>
        <v>0</v>
      </c>
      <c r="Z288" s="317">
        <f t="shared" si="49"/>
        <v>0</v>
      </c>
      <c r="AA288" s="317">
        <f t="shared" si="49"/>
        <v>0</v>
      </c>
      <c r="AB288" s="317">
        <f t="shared" si="49"/>
        <v>0</v>
      </c>
      <c r="AC288" s="317">
        <f t="shared" si="49"/>
        <v>0</v>
      </c>
      <c r="AD288" s="317">
        <f t="shared" si="51"/>
        <v>0</v>
      </c>
      <c r="AE288" s="317">
        <f t="shared" si="51"/>
        <v>0</v>
      </c>
      <c r="AF288" s="317">
        <f t="shared" si="51"/>
        <v>0</v>
      </c>
      <c r="AG288" s="317">
        <f t="shared" si="45"/>
        <v>4.7876666666666665</v>
      </c>
      <c r="AH288" s="318">
        <v>1.97</v>
      </c>
      <c r="AI288" s="318">
        <v>2.9550000000000001</v>
      </c>
      <c r="AJ288" s="318">
        <v>0</v>
      </c>
      <c r="AK288" s="318">
        <v>0</v>
      </c>
      <c r="AL288" s="318">
        <v>0.98499999999999999</v>
      </c>
      <c r="AM288" s="318">
        <v>0</v>
      </c>
      <c r="AN288" s="318">
        <v>0</v>
      </c>
      <c r="AO288" s="318">
        <v>0</v>
      </c>
      <c r="AP288" s="318">
        <v>0</v>
      </c>
      <c r="AQ288" s="318">
        <v>0</v>
      </c>
      <c r="AR288" s="318">
        <v>0</v>
      </c>
      <c r="AS288" s="318">
        <v>0</v>
      </c>
      <c r="AT288" s="318">
        <v>0</v>
      </c>
      <c r="AU288" s="317">
        <f t="shared" si="43"/>
        <v>5.91</v>
      </c>
      <c r="AV288" s="319">
        <v>3.617</v>
      </c>
      <c r="AW288" s="319">
        <v>0.29099999999999998</v>
      </c>
      <c r="AX288" s="319">
        <v>0</v>
      </c>
      <c r="AY288" s="319">
        <v>1</v>
      </c>
      <c r="AZ288" s="319">
        <v>0</v>
      </c>
      <c r="BA288" s="319">
        <v>0</v>
      </c>
      <c r="BB288" s="319">
        <v>0</v>
      </c>
      <c r="BC288" s="319">
        <v>0</v>
      </c>
      <c r="BD288" s="319">
        <v>0</v>
      </c>
      <c r="BE288" s="319">
        <v>0</v>
      </c>
      <c r="BF288" s="319">
        <v>0</v>
      </c>
      <c r="BG288" s="319">
        <v>0</v>
      </c>
      <c r="BH288" s="319">
        <v>0</v>
      </c>
      <c r="BI288" s="317">
        <f t="shared" si="48"/>
        <v>4.9079999999999995</v>
      </c>
      <c r="BJ288" s="316">
        <v>0</v>
      </c>
      <c r="BK288" s="316">
        <v>0</v>
      </c>
      <c r="BL288" s="316">
        <v>1.784</v>
      </c>
      <c r="BM288" s="316">
        <v>1</v>
      </c>
      <c r="BN288" s="316">
        <v>0.76100000000000001</v>
      </c>
      <c r="BO288" s="316">
        <v>0</v>
      </c>
      <c r="BP288" s="316">
        <v>0</v>
      </c>
      <c r="BQ288" s="316">
        <v>0</v>
      </c>
      <c r="BR288" s="316">
        <v>0</v>
      </c>
      <c r="BS288" s="316">
        <v>0</v>
      </c>
      <c r="BT288" s="316">
        <v>0</v>
      </c>
      <c r="BU288" s="316">
        <v>0</v>
      </c>
      <c r="BV288" s="316">
        <v>0</v>
      </c>
      <c r="BW288" s="317">
        <f t="shared" si="46"/>
        <v>3.5449999999999999</v>
      </c>
    </row>
    <row r="289" spans="1:75" x14ac:dyDescent="0.2">
      <c r="A289" s="20" t="str">
        <f>'School Level Inst. Resources'!A289</f>
        <v>1801000</v>
      </c>
      <c r="B289" s="20" t="str">
        <f>'School Level Inst. Resources'!B289</f>
        <v>Sublette #1</v>
      </c>
      <c r="C289" s="20" t="str">
        <f>'School Level Inst. Resources'!C289</f>
        <v>1801002</v>
      </c>
      <c r="D289" s="20" t="str">
        <f>'School Level Inst. Resources'!D289</f>
        <v>Pinedale Elementary</v>
      </c>
      <c r="E289" s="138" t="str">
        <f>'School Level Inst. Resources'!E289</f>
        <v>K-5</v>
      </c>
      <c r="F289" s="317">
        <f>IF(AND($A$2=4,VLOOKUP($A289,'District Level ADM'!$A$5:$W$52,5,FALSE)="Prior Year"),AH289,IF(AND($A$2=4,VLOOKUP($A289,'District Level ADM'!$A$5:$W$52,5,FALSE)="3-Year Avg."),T289,IF($A$2=2,AH289,IF($A$2=3,T289,IF(($AG289&gt;$AU289),T289,AH289)))))</f>
        <v>70.92</v>
      </c>
      <c r="G289" s="317">
        <f>IF(AND($A$2=4,VLOOKUP($A289,'District Level ADM'!$A$5:$W$52,5,FALSE)="Prior Year"),AI289,IF(AND($A$2=4,VLOOKUP($A289,'District Level ADM'!$A$5:$W$52,5,FALSE)="3-Year Avg."),U289,IF($A$2=2,AI289,IF($A$2=3,U289,IF(($AG289&gt;$AU289),U289,AI289)))))</f>
        <v>83.724999999999994</v>
      </c>
      <c r="H289" s="317">
        <f>IF(AND($A$2=4,VLOOKUP($A289,'District Level ADM'!$A$5:$W$52,5,FALSE)="Prior Year"),AJ289,IF(AND($A$2=4,VLOOKUP($A289,'District Level ADM'!$A$5:$W$52,5,FALSE)="3-Year Avg."),V289,IF($A$2=2,AJ289,IF($A$2=3,V289,IF(($AG289&gt;$AU289),V289,AJ289)))))</f>
        <v>86.68</v>
      </c>
      <c r="I289" s="317">
        <f>IF(AND($A$2=4,VLOOKUP($A289,'District Level ADM'!$A$5:$W$52,5,FALSE)="Prior Year"),AK289,IF(AND($A$2=4,VLOOKUP($A289,'District Level ADM'!$A$5:$W$52,5,FALSE)="3-Year Avg."),W289,IF($A$2=2,AK289,IF($A$2=3,W289,IF(($AG289&gt;$AU289),W289,AK289)))))</f>
        <v>68.95</v>
      </c>
      <c r="J289" s="317">
        <f>IF(AND($A$2=4,VLOOKUP($A289,'District Level ADM'!$A$5:$W$52,5,FALSE)="Prior Year"),AL289,IF(AND($A$2=4,VLOOKUP($A289,'District Level ADM'!$A$5:$W$52,5,FALSE)="3-Year Avg."),X289,IF($A$2=2,AL289,IF($A$2=3,X289,IF(($AG289&gt;$AU289),X289,AL289)))))</f>
        <v>92.59</v>
      </c>
      <c r="K289" s="317">
        <f>IF(AND($A$2=4,VLOOKUP($A289,'District Level ADM'!$A$5:$W$52,5,FALSE)="Prior Year"),AM289,IF(AND($A$2=4,VLOOKUP($A289,'District Level ADM'!$A$5:$W$52,5,FALSE)="3-Year Avg."),Y289,IF($A$2=2,AM289,IF($A$2=3,Y289,IF(($AG289&gt;$AU289),Y289,AM289)))))</f>
        <v>96.53</v>
      </c>
      <c r="L289" s="317">
        <f>IF(AND($A$2=4,VLOOKUP($A289,'District Level ADM'!$A$5:$W$52,5,FALSE)="Prior Year"),AN289,IF(AND($A$2=4,VLOOKUP($A289,'District Level ADM'!$A$5:$W$52,5,FALSE)="3-Year Avg."),Z289,IF($A$2=2,AN289,IF($A$2=3,Z289,IF(($AG289&gt;$AU289),Z289,AN289)))))</f>
        <v>0</v>
      </c>
      <c r="M289" s="317">
        <f>IF(AND($A$2=4,VLOOKUP($A289,'District Level ADM'!$A$5:$W$52,5,FALSE)="Prior Year"),AO289,IF(AND($A$2=4,VLOOKUP($A289,'District Level ADM'!$A$5:$W$52,5,FALSE)="3-Year Avg."),AA289,IF($A$2=2,AO289,IF($A$2=3,AA289,IF(($AG289&gt;$AU289),AA289,AO289)))))</f>
        <v>0</v>
      </c>
      <c r="N289" s="317">
        <f>IF(AND($A$2=4,VLOOKUP($A289,'District Level ADM'!$A$5:$W$52,5,FALSE)="Prior Year"),AP289,IF(AND($A$2=4,VLOOKUP($A289,'District Level ADM'!$A$5:$W$52,5,FALSE)="3-Year Avg."),AB289,IF($A$2=2,AP289,IF($A$2=3,AB289,IF(($AG289&gt;$AU289),AB289,AP289)))))</f>
        <v>0</v>
      </c>
      <c r="O289" s="317">
        <f>IF(AND($A$2=4,VLOOKUP($A289,'District Level ADM'!$A$5:$W$52,5,FALSE)="Prior Year"),AQ289,IF(AND($A$2=4,VLOOKUP($A289,'District Level ADM'!$A$5:$W$52,5,FALSE)="3-Year Avg."),AC289,IF($A$2=2,AQ289,IF($A$2=3,AC289,IF(($AG289&gt;$AU289),AC289,AQ289)))))</f>
        <v>0</v>
      </c>
      <c r="P289" s="317">
        <f>IF(AND($A$2=4,VLOOKUP($A289,'District Level ADM'!$A$5:$W$52,5,FALSE)="Prior Year"),AR289,IF(AND($A$2=4,VLOOKUP($A289,'District Level ADM'!$A$5:$W$52,5,FALSE)="3-Year Avg."),AD289,IF($A$2=2,AR289,IF($A$2=3,AD289,IF(($AG289&gt;$AU289),AD289,AR289)))))</f>
        <v>0</v>
      </c>
      <c r="Q289" s="317">
        <f>IF(AND($A$2=4,VLOOKUP($A289,'District Level ADM'!$A$5:$W$52,5,FALSE)="Prior Year"),AS289,IF(AND($A$2=4,VLOOKUP($A289,'District Level ADM'!$A$5:$W$52,5,FALSE)="3-Year Avg."),AE289,IF($A$2=2,AS289,IF($A$2=3,AE289,IF(($AG289&gt;$AU289),AE289,AS289)))))</f>
        <v>0</v>
      </c>
      <c r="R289" s="317">
        <f>IF(AND($A$2=4,VLOOKUP($A289,'District Level ADM'!$A$5:$W$52,5,FALSE)="Prior Year"),AT289,IF(AND($A$2=4,VLOOKUP($A289,'District Level ADM'!$A$5:$W$52,5,FALSE)="3-Year Avg."),AF289,IF($A$2=2,AT289,IF($A$2=3,AF289,IF(($AG289&gt;$AU289),AF289,AT289)))))</f>
        <v>0</v>
      </c>
      <c r="S289" s="317">
        <f t="shared" si="44"/>
        <v>499.39499999999998</v>
      </c>
      <c r="T289" s="317">
        <f t="shared" si="50"/>
        <v>78.593000000000004</v>
      </c>
      <c r="U289" s="317">
        <f t="shared" si="50"/>
        <v>80.214999999999989</v>
      </c>
      <c r="V289" s="317">
        <f t="shared" si="50"/>
        <v>83.552666666666667</v>
      </c>
      <c r="W289" s="317">
        <f t="shared" si="49"/>
        <v>83.937666666666672</v>
      </c>
      <c r="X289" s="317">
        <f t="shared" si="49"/>
        <v>89.431666666666672</v>
      </c>
      <c r="Y289" s="317">
        <f t="shared" si="49"/>
        <v>82.641666666666666</v>
      </c>
      <c r="Z289" s="317">
        <f t="shared" si="49"/>
        <v>0</v>
      </c>
      <c r="AA289" s="317">
        <f t="shared" si="49"/>
        <v>0</v>
      </c>
      <c r="AB289" s="317">
        <f t="shared" si="49"/>
        <v>0</v>
      </c>
      <c r="AC289" s="317">
        <f t="shared" si="49"/>
        <v>0</v>
      </c>
      <c r="AD289" s="317">
        <f t="shared" si="51"/>
        <v>0</v>
      </c>
      <c r="AE289" s="317">
        <f t="shared" si="51"/>
        <v>0</v>
      </c>
      <c r="AF289" s="317">
        <f t="shared" si="51"/>
        <v>0</v>
      </c>
      <c r="AG289" s="317">
        <f t="shared" si="45"/>
        <v>498.37166666666661</v>
      </c>
      <c r="AH289" s="318">
        <v>70.92</v>
      </c>
      <c r="AI289" s="318">
        <v>83.724999999999994</v>
      </c>
      <c r="AJ289" s="318">
        <v>86.68</v>
      </c>
      <c r="AK289" s="318">
        <v>68.95</v>
      </c>
      <c r="AL289" s="318">
        <v>92.59</v>
      </c>
      <c r="AM289" s="318">
        <v>96.53</v>
      </c>
      <c r="AN289" s="318">
        <v>0</v>
      </c>
      <c r="AO289" s="318">
        <v>0</v>
      </c>
      <c r="AP289" s="318">
        <v>0</v>
      </c>
      <c r="AQ289" s="318">
        <v>0</v>
      </c>
      <c r="AR289" s="318">
        <v>0</v>
      </c>
      <c r="AS289" s="318">
        <v>0</v>
      </c>
      <c r="AT289" s="318">
        <v>0</v>
      </c>
      <c r="AU289" s="317">
        <f t="shared" si="43"/>
        <v>499.39499999999998</v>
      </c>
      <c r="AV289" s="319">
        <v>79.188999999999993</v>
      </c>
      <c r="AW289" s="319">
        <v>85.856999999999999</v>
      </c>
      <c r="AX289" s="319">
        <v>71.069000000000003</v>
      </c>
      <c r="AY289" s="319">
        <v>90.885999999999996</v>
      </c>
      <c r="AZ289" s="319">
        <v>95.022999999999996</v>
      </c>
      <c r="BA289" s="319">
        <v>75.617000000000004</v>
      </c>
      <c r="BB289" s="319">
        <v>0</v>
      </c>
      <c r="BC289" s="319">
        <v>0</v>
      </c>
      <c r="BD289" s="319">
        <v>0</v>
      </c>
      <c r="BE289" s="319">
        <v>0</v>
      </c>
      <c r="BF289" s="319">
        <v>0</v>
      </c>
      <c r="BG289" s="319">
        <v>0</v>
      </c>
      <c r="BH289" s="319">
        <v>0</v>
      </c>
      <c r="BI289" s="317">
        <f t="shared" si="48"/>
        <v>497.64100000000002</v>
      </c>
      <c r="BJ289" s="316">
        <v>85.67</v>
      </c>
      <c r="BK289" s="316">
        <v>71.063000000000002</v>
      </c>
      <c r="BL289" s="316">
        <v>92.909000000000006</v>
      </c>
      <c r="BM289" s="316">
        <v>91.977000000000004</v>
      </c>
      <c r="BN289" s="316">
        <v>80.682000000000002</v>
      </c>
      <c r="BO289" s="316">
        <v>75.778000000000006</v>
      </c>
      <c r="BP289" s="316">
        <v>0</v>
      </c>
      <c r="BQ289" s="316">
        <v>0</v>
      </c>
      <c r="BR289" s="316">
        <v>0</v>
      </c>
      <c r="BS289" s="316">
        <v>0</v>
      </c>
      <c r="BT289" s="316">
        <v>0</v>
      </c>
      <c r="BU289" s="316">
        <v>0</v>
      </c>
      <c r="BV289" s="316">
        <v>0</v>
      </c>
      <c r="BW289" s="317">
        <f t="shared" si="46"/>
        <v>498.07900000000006</v>
      </c>
    </row>
    <row r="290" spans="1:75" x14ac:dyDescent="0.2">
      <c r="A290" s="20" t="str">
        <f>'School Level Inst. Resources'!A290</f>
        <v>1801000</v>
      </c>
      <c r="B290" s="20" t="str">
        <f>'School Level Inst. Resources'!B290</f>
        <v>Sublette #1</v>
      </c>
      <c r="C290" s="20" t="str">
        <f>'School Level Inst. Resources'!C290</f>
        <v>1801050</v>
      </c>
      <c r="D290" s="20" t="str">
        <f>'School Level Inst. Resources'!D290</f>
        <v>Pinedale Middle School</v>
      </c>
      <c r="E290" s="138" t="str">
        <f>'School Level Inst. Resources'!E290</f>
        <v>6-8</v>
      </c>
      <c r="F290" s="317">
        <f>IF(AND($A$2=4,VLOOKUP($A290,'District Level ADM'!$A$5:$W$52,5,FALSE)="Prior Year"),AH290,IF(AND($A$2=4,VLOOKUP($A290,'District Level ADM'!$A$5:$W$52,5,FALSE)="3-Year Avg."),T290,IF($A$2=2,AH290,IF($A$2=3,T290,IF(($AG290&gt;$AU290),T290,AH290)))))</f>
        <v>0</v>
      </c>
      <c r="G290" s="317">
        <f>IF(AND($A$2=4,VLOOKUP($A290,'District Level ADM'!$A$5:$W$52,5,FALSE)="Prior Year"),AI290,IF(AND($A$2=4,VLOOKUP($A290,'District Level ADM'!$A$5:$W$52,5,FALSE)="3-Year Avg."),U290,IF($A$2=2,AI290,IF($A$2=3,U290,IF(($AG290&gt;$AU290),U290,AI290)))))</f>
        <v>0</v>
      </c>
      <c r="H290" s="317">
        <f>IF(AND($A$2=4,VLOOKUP($A290,'District Level ADM'!$A$5:$W$52,5,FALSE)="Prior Year"),AJ290,IF(AND($A$2=4,VLOOKUP($A290,'District Level ADM'!$A$5:$W$52,5,FALSE)="3-Year Avg."),V290,IF($A$2=2,AJ290,IF($A$2=3,V290,IF(($AG290&gt;$AU290),V290,AJ290)))))</f>
        <v>0</v>
      </c>
      <c r="I290" s="317">
        <f>IF(AND($A$2=4,VLOOKUP($A290,'District Level ADM'!$A$5:$W$52,5,FALSE)="Prior Year"),AK290,IF(AND($A$2=4,VLOOKUP($A290,'District Level ADM'!$A$5:$W$52,5,FALSE)="3-Year Avg."),W290,IF($A$2=2,AK290,IF($A$2=3,W290,IF(($AG290&gt;$AU290),W290,AK290)))))</f>
        <v>0</v>
      </c>
      <c r="J290" s="317">
        <f>IF(AND($A$2=4,VLOOKUP($A290,'District Level ADM'!$A$5:$W$52,5,FALSE)="Prior Year"),AL290,IF(AND($A$2=4,VLOOKUP($A290,'District Level ADM'!$A$5:$W$52,5,FALSE)="3-Year Avg."),X290,IF($A$2=2,AL290,IF($A$2=3,X290,IF(($AG290&gt;$AU290),X290,AL290)))))</f>
        <v>0</v>
      </c>
      <c r="K290" s="317">
        <f>IF(AND($A$2=4,VLOOKUP($A290,'District Level ADM'!$A$5:$W$52,5,FALSE)="Prior Year"),AM290,IF(AND($A$2=4,VLOOKUP($A290,'District Level ADM'!$A$5:$W$52,5,FALSE)="3-Year Avg."),Y290,IF($A$2=2,AM290,IF($A$2=3,Y290,IF(($AG290&gt;$AU290),Y290,AM290)))))</f>
        <v>0</v>
      </c>
      <c r="L290" s="317">
        <f>IF(AND($A$2=4,VLOOKUP($A290,'District Level ADM'!$A$5:$W$52,5,FALSE)="Prior Year"),AN290,IF(AND($A$2=4,VLOOKUP($A290,'District Level ADM'!$A$5:$W$52,5,FALSE)="3-Year Avg."),Z290,IF($A$2=2,AN290,IF($A$2=3,Z290,IF(($AG290&gt;$AU290),Z290,AN290)))))</f>
        <v>81.754999999999995</v>
      </c>
      <c r="M290" s="317">
        <f>IF(AND($A$2=4,VLOOKUP($A290,'District Level ADM'!$A$5:$W$52,5,FALSE)="Prior Year"),AO290,IF(AND($A$2=4,VLOOKUP($A290,'District Level ADM'!$A$5:$W$52,5,FALSE)="3-Year Avg."),AA290,IF($A$2=2,AO290,IF($A$2=3,AA290,IF(($AG290&gt;$AU290),AA290,AO290)))))</f>
        <v>79.784999999999997</v>
      </c>
      <c r="N290" s="317">
        <f>IF(AND($A$2=4,VLOOKUP($A290,'District Level ADM'!$A$5:$W$52,5,FALSE)="Prior Year"),AP290,IF(AND($A$2=4,VLOOKUP($A290,'District Level ADM'!$A$5:$W$52,5,FALSE)="3-Year Avg."),AB290,IF($A$2=2,AP290,IF($A$2=3,AB290,IF(($AG290&gt;$AU290),AB290,AP290)))))</f>
        <v>81.754999999999995</v>
      </c>
      <c r="O290" s="317">
        <f>IF(AND($A$2=4,VLOOKUP($A290,'District Level ADM'!$A$5:$W$52,5,FALSE)="Prior Year"),AQ290,IF(AND($A$2=4,VLOOKUP($A290,'District Level ADM'!$A$5:$W$52,5,FALSE)="3-Year Avg."),AC290,IF($A$2=2,AQ290,IF($A$2=3,AC290,IF(($AG290&gt;$AU290),AC290,AQ290)))))</f>
        <v>0</v>
      </c>
      <c r="P290" s="317">
        <f>IF(AND($A$2=4,VLOOKUP($A290,'District Level ADM'!$A$5:$W$52,5,FALSE)="Prior Year"),AR290,IF(AND($A$2=4,VLOOKUP($A290,'District Level ADM'!$A$5:$W$52,5,FALSE)="3-Year Avg."),AD290,IF($A$2=2,AR290,IF($A$2=3,AD290,IF(($AG290&gt;$AU290),AD290,AR290)))))</f>
        <v>0</v>
      </c>
      <c r="Q290" s="317">
        <f>IF(AND($A$2=4,VLOOKUP($A290,'District Level ADM'!$A$5:$W$52,5,FALSE)="Prior Year"),AS290,IF(AND($A$2=4,VLOOKUP($A290,'District Level ADM'!$A$5:$W$52,5,FALSE)="3-Year Avg."),AE290,IF($A$2=2,AS290,IF($A$2=3,AE290,IF(($AG290&gt;$AU290),AE290,AS290)))))</f>
        <v>0</v>
      </c>
      <c r="R290" s="317">
        <f>IF(AND($A$2=4,VLOOKUP($A290,'District Level ADM'!$A$5:$W$52,5,FALSE)="Prior Year"),AT290,IF(AND($A$2=4,VLOOKUP($A290,'District Level ADM'!$A$5:$W$52,5,FALSE)="3-Year Avg."),AF290,IF($A$2=2,AT290,IF($A$2=3,AF290,IF(($AG290&gt;$AU290),AF290,AT290)))))</f>
        <v>0</v>
      </c>
      <c r="S290" s="317">
        <f t="shared" si="44"/>
        <v>243.29499999999999</v>
      </c>
      <c r="T290" s="317">
        <f t="shared" si="50"/>
        <v>0</v>
      </c>
      <c r="U290" s="317">
        <f t="shared" si="50"/>
        <v>0</v>
      </c>
      <c r="V290" s="317">
        <f t="shared" si="50"/>
        <v>0</v>
      </c>
      <c r="W290" s="317">
        <f t="shared" si="49"/>
        <v>0</v>
      </c>
      <c r="X290" s="317">
        <f t="shared" si="49"/>
        <v>0</v>
      </c>
      <c r="Y290" s="317">
        <f t="shared" si="49"/>
        <v>0</v>
      </c>
      <c r="Z290" s="317">
        <f t="shared" si="49"/>
        <v>82.297666666666657</v>
      </c>
      <c r="AA290" s="317">
        <f t="shared" si="49"/>
        <v>83.296000000000006</v>
      </c>
      <c r="AB290" s="317">
        <f t="shared" si="49"/>
        <v>78.327333333333328</v>
      </c>
      <c r="AC290" s="317">
        <f t="shared" si="49"/>
        <v>0</v>
      </c>
      <c r="AD290" s="317">
        <f t="shared" si="51"/>
        <v>0</v>
      </c>
      <c r="AE290" s="317">
        <f t="shared" si="51"/>
        <v>0</v>
      </c>
      <c r="AF290" s="317">
        <f t="shared" si="51"/>
        <v>0</v>
      </c>
      <c r="AG290" s="317">
        <f t="shared" si="45"/>
        <v>243.92099999999999</v>
      </c>
      <c r="AH290" s="318">
        <v>0</v>
      </c>
      <c r="AI290" s="318">
        <v>0</v>
      </c>
      <c r="AJ290" s="318">
        <v>0</v>
      </c>
      <c r="AK290" s="318">
        <v>0</v>
      </c>
      <c r="AL290" s="318">
        <v>0</v>
      </c>
      <c r="AM290" s="318">
        <v>0</v>
      </c>
      <c r="AN290" s="318">
        <v>81.754999999999995</v>
      </c>
      <c r="AO290" s="318">
        <v>79.784999999999997</v>
      </c>
      <c r="AP290" s="318">
        <v>81.754999999999995</v>
      </c>
      <c r="AQ290" s="318">
        <v>0</v>
      </c>
      <c r="AR290" s="318">
        <v>0</v>
      </c>
      <c r="AS290" s="318">
        <v>0</v>
      </c>
      <c r="AT290" s="318">
        <v>0</v>
      </c>
      <c r="AU290" s="317">
        <f t="shared" si="43"/>
        <v>243.29499999999999</v>
      </c>
      <c r="AV290" s="319">
        <v>0</v>
      </c>
      <c r="AW290" s="319">
        <v>0</v>
      </c>
      <c r="AX290" s="319">
        <v>0</v>
      </c>
      <c r="AY290" s="319">
        <v>0</v>
      </c>
      <c r="AZ290" s="319">
        <v>0</v>
      </c>
      <c r="BA290" s="319">
        <v>0</v>
      </c>
      <c r="BB290" s="319">
        <v>77.296999999999997</v>
      </c>
      <c r="BC290" s="319">
        <v>82.251000000000005</v>
      </c>
      <c r="BD290" s="319">
        <v>82.909000000000006</v>
      </c>
      <c r="BE290" s="319">
        <v>0</v>
      </c>
      <c r="BF290" s="319">
        <v>0</v>
      </c>
      <c r="BG290" s="319">
        <v>0</v>
      </c>
      <c r="BH290" s="319">
        <v>0</v>
      </c>
      <c r="BI290" s="317">
        <f t="shared" si="48"/>
        <v>242.45699999999999</v>
      </c>
      <c r="BJ290" s="316">
        <v>0</v>
      </c>
      <c r="BK290" s="316">
        <v>0</v>
      </c>
      <c r="BL290" s="316">
        <v>0</v>
      </c>
      <c r="BM290" s="316">
        <v>0</v>
      </c>
      <c r="BN290" s="316">
        <v>0</v>
      </c>
      <c r="BO290" s="316">
        <v>0</v>
      </c>
      <c r="BP290" s="316">
        <v>87.840999999999994</v>
      </c>
      <c r="BQ290" s="316">
        <v>87.852000000000004</v>
      </c>
      <c r="BR290" s="316">
        <v>70.317999999999998</v>
      </c>
      <c r="BS290" s="316">
        <v>0</v>
      </c>
      <c r="BT290" s="316">
        <v>0</v>
      </c>
      <c r="BU290" s="316">
        <v>0</v>
      </c>
      <c r="BV290" s="316">
        <v>0</v>
      </c>
      <c r="BW290" s="317">
        <f t="shared" si="46"/>
        <v>246.01099999999997</v>
      </c>
    </row>
    <row r="291" spans="1:75" x14ac:dyDescent="0.2">
      <c r="A291" s="20" t="str">
        <f>'School Level Inst. Resources'!A291</f>
        <v>1801000</v>
      </c>
      <c r="B291" s="20" t="str">
        <f>'School Level Inst. Resources'!B291</f>
        <v>Sublette #1</v>
      </c>
      <c r="C291" s="20" t="str">
        <f>'School Level Inst. Resources'!C291</f>
        <v>1801055</v>
      </c>
      <c r="D291" s="20" t="str">
        <f>'School Level Inst. Resources'!D291</f>
        <v>Pinedale High School</v>
      </c>
      <c r="E291" s="138" t="str">
        <f>'School Level Inst. Resources'!E291</f>
        <v>9-12</v>
      </c>
      <c r="F291" s="317">
        <f>IF(AND($A$2=4,VLOOKUP($A291,'District Level ADM'!$A$5:$W$52,5,FALSE)="Prior Year"),AH291,IF(AND($A$2=4,VLOOKUP($A291,'District Level ADM'!$A$5:$W$52,5,FALSE)="3-Year Avg."),T291,IF($A$2=2,AH291,IF($A$2=3,T291,IF(($AG291&gt;$AU291),T291,AH291)))))</f>
        <v>0</v>
      </c>
      <c r="G291" s="317">
        <f>IF(AND($A$2=4,VLOOKUP($A291,'District Level ADM'!$A$5:$W$52,5,FALSE)="Prior Year"),AI291,IF(AND($A$2=4,VLOOKUP($A291,'District Level ADM'!$A$5:$W$52,5,FALSE)="3-Year Avg."),U291,IF($A$2=2,AI291,IF($A$2=3,U291,IF(($AG291&gt;$AU291),U291,AI291)))))</f>
        <v>0</v>
      </c>
      <c r="H291" s="317">
        <f>IF(AND($A$2=4,VLOOKUP($A291,'District Level ADM'!$A$5:$W$52,5,FALSE)="Prior Year"),AJ291,IF(AND($A$2=4,VLOOKUP($A291,'District Level ADM'!$A$5:$W$52,5,FALSE)="3-Year Avg."),V291,IF($A$2=2,AJ291,IF($A$2=3,V291,IF(($AG291&gt;$AU291),V291,AJ291)))))</f>
        <v>0</v>
      </c>
      <c r="I291" s="317">
        <f>IF(AND($A$2=4,VLOOKUP($A291,'District Level ADM'!$A$5:$W$52,5,FALSE)="Prior Year"),AK291,IF(AND($A$2=4,VLOOKUP($A291,'District Level ADM'!$A$5:$W$52,5,FALSE)="3-Year Avg."),W291,IF($A$2=2,AK291,IF($A$2=3,W291,IF(($AG291&gt;$AU291),W291,AK291)))))</f>
        <v>0</v>
      </c>
      <c r="J291" s="317">
        <f>IF(AND($A$2=4,VLOOKUP($A291,'District Level ADM'!$A$5:$W$52,5,FALSE)="Prior Year"),AL291,IF(AND($A$2=4,VLOOKUP($A291,'District Level ADM'!$A$5:$W$52,5,FALSE)="3-Year Avg."),X291,IF($A$2=2,AL291,IF($A$2=3,X291,IF(($AG291&gt;$AU291),X291,AL291)))))</f>
        <v>0</v>
      </c>
      <c r="K291" s="317">
        <f>IF(AND($A$2=4,VLOOKUP($A291,'District Level ADM'!$A$5:$W$52,5,FALSE)="Prior Year"),AM291,IF(AND($A$2=4,VLOOKUP($A291,'District Level ADM'!$A$5:$W$52,5,FALSE)="3-Year Avg."),Y291,IF($A$2=2,AM291,IF($A$2=3,Y291,IF(($AG291&gt;$AU291),Y291,AM291)))))</f>
        <v>0</v>
      </c>
      <c r="L291" s="317">
        <f>IF(AND($A$2=4,VLOOKUP($A291,'District Level ADM'!$A$5:$W$52,5,FALSE)="Prior Year"),AN291,IF(AND($A$2=4,VLOOKUP($A291,'District Level ADM'!$A$5:$W$52,5,FALSE)="3-Year Avg."),Z291,IF($A$2=2,AN291,IF($A$2=3,Z291,IF(($AG291&gt;$AU291),Z291,AN291)))))</f>
        <v>0</v>
      </c>
      <c r="M291" s="317">
        <f>IF(AND($A$2=4,VLOOKUP($A291,'District Level ADM'!$A$5:$W$52,5,FALSE)="Prior Year"),AO291,IF(AND($A$2=4,VLOOKUP($A291,'District Level ADM'!$A$5:$W$52,5,FALSE)="3-Year Avg."),AA291,IF($A$2=2,AO291,IF($A$2=3,AA291,IF(($AG291&gt;$AU291),AA291,AO291)))))</f>
        <v>0</v>
      </c>
      <c r="N291" s="317">
        <f>IF(AND($A$2=4,VLOOKUP($A291,'District Level ADM'!$A$5:$W$52,5,FALSE)="Prior Year"),AP291,IF(AND($A$2=4,VLOOKUP($A291,'District Level ADM'!$A$5:$W$52,5,FALSE)="3-Year Avg."),AB291,IF($A$2=2,AP291,IF($A$2=3,AB291,IF(($AG291&gt;$AU291),AB291,AP291)))))</f>
        <v>0</v>
      </c>
      <c r="O291" s="317">
        <f>IF(AND($A$2=4,VLOOKUP($A291,'District Level ADM'!$A$5:$W$52,5,FALSE)="Prior Year"),AQ291,IF(AND($A$2=4,VLOOKUP($A291,'District Level ADM'!$A$5:$W$52,5,FALSE)="3-Year Avg."),AC291,IF($A$2=2,AQ291,IF($A$2=3,AC291,IF(($AG291&gt;$AU291),AC291,AQ291)))))</f>
        <v>81.754999999999995</v>
      </c>
      <c r="P291" s="317">
        <f>IF(AND($A$2=4,VLOOKUP($A291,'District Level ADM'!$A$5:$W$52,5,FALSE)="Prior Year"),AR291,IF(AND($A$2=4,VLOOKUP($A291,'District Level ADM'!$A$5:$W$52,5,FALSE)="3-Year Avg."),AD291,IF($A$2=2,AR291,IF($A$2=3,AD291,IF(($AG291&gt;$AU291),AD291,AR291)))))</f>
        <v>69.935000000000002</v>
      </c>
      <c r="Q291" s="317">
        <f>IF(AND($A$2=4,VLOOKUP($A291,'District Level ADM'!$A$5:$W$52,5,FALSE)="Prior Year"),AS291,IF(AND($A$2=4,VLOOKUP($A291,'District Level ADM'!$A$5:$W$52,5,FALSE)="3-Year Avg."),AE291,IF($A$2=2,AS291,IF($A$2=3,AE291,IF(($AG291&gt;$AU291),AE291,AS291)))))</f>
        <v>70.92</v>
      </c>
      <c r="R291" s="317">
        <f>IF(AND($A$2=4,VLOOKUP($A291,'District Level ADM'!$A$5:$W$52,5,FALSE)="Prior Year"),AT291,IF(AND($A$2=4,VLOOKUP($A291,'District Level ADM'!$A$5:$W$52,5,FALSE)="3-Year Avg."),AF291,IF($A$2=2,AT291,IF($A$2=3,AF291,IF(($AG291&gt;$AU291),AF291,AT291)))))</f>
        <v>56.145000000000003</v>
      </c>
      <c r="S291" s="317">
        <f t="shared" si="44"/>
        <v>278.755</v>
      </c>
      <c r="T291" s="317">
        <f t="shared" si="50"/>
        <v>0</v>
      </c>
      <c r="U291" s="317">
        <f t="shared" si="50"/>
        <v>0</v>
      </c>
      <c r="V291" s="317">
        <f t="shared" si="50"/>
        <v>0</v>
      </c>
      <c r="W291" s="317">
        <f t="shared" si="49"/>
        <v>0</v>
      </c>
      <c r="X291" s="317">
        <f t="shared" si="49"/>
        <v>0</v>
      </c>
      <c r="Y291" s="317">
        <f t="shared" si="49"/>
        <v>0</v>
      </c>
      <c r="Z291" s="317">
        <f t="shared" si="49"/>
        <v>0</v>
      </c>
      <c r="AA291" s="317">
        <f t="shared" si="49"/>
        <v>0</v>
      </c>
      <c r="AB291" s="317">
        <f t="shared" si="49"/>
        <v>0</v>
      </c>
      <c r="AC291" s="317">
        <f t="shared" si="49"/>
        <v>76.716999999999999</v>
      </c>
      <c r="AD291" s="317">
        <f t="shared" si="51"/>
        <v>70.322666666666663</v>
      </c>
      <c r="AE291" s="317">
        <f t="shared" si="51"/>
        <v>63.68533333333334</v>
      </c>
      <c r="AF291" s="317">
        <f t="shared" si="51"/>
        <v>55.890666666666675</v>
      </c>
      <c r="AG291" s="317">
        <f t="shared" si="45"/>
        <v>266.6156666666667</v>
      </c>
      <c r="AH291" s="318">
        <v>0</v>
      </c>
      <c r="AI291" s="318">
        <v>0</v>
      </c>
      <c r="AJ291" s="318">
        <v>0</v>
      </c>
      <c r="AK291" s="318">
        <v>0</v>
      </c>
      <c r="AL291" s="318">
        <v>0</v>
      </c>
      <c r="AM291" s="318">
        <v>0</v>
      </c>
      <c r="AN291" s="318">
        <v>0</v>
      </c>
      <c r="AO291" s="318">
        <v>0</v>
      </c>
      <c r="AP291" s="318">
        <v>0</v>
      </c>
      <c r="AQ291" s="318">
        <v>81.754999999999995</v>
      </c>
      <c r="AR291" s="318">
        <v>69.935000000000002</v>
      </c>
      <c r="AS291" s="318">
        <v>70.92</v>
      </c>
      <c r="AT291" s="318">
        <v>56.145000000000003</v>
      </c>
      <c r="AU291" s="317">
        <f t="shared" si="43"/>
        <v>278.755</v>
      </c>
      <c r="AV291" s="319">
        <v>0</v>
      </c>
      <c r="AW291" s="319">
        <v>0</v>
      </c>
      <c r="AX291" s="319">
        <v>0</v>
      </c>
      <c r="AY291" s="319">
        <v>0</v>
      </c>
      <c r="AZ291" s="319">
        <v>0</v>
      </c>
      <c r="BA291" s="319">
        <v>0</v>
      </c>
      <c r="BB291" s="319">
        <v>0</v>
      </c>
      <c r="BC291" s="319">
        <v>0</v>
      </c>
      <c r="BD291" s="319">
        <v>0</v>
      </c>
      <c r="BE291" s="319">
        <v>74.754000000000005</v>
      </c>
      <c r="BF291" s="319">
        <v>76.319999999999993</v>
      </c>
      <c r="BG291" s="319">
        <v>57.051000000000002</v>
      </c>
      <c r="BH291" s="319">
        <v>59.713999999999999</v>
      </c>
      <c r="BI291" s="317">
        <f t="shared" si="48"/>
        <v>267.839</v>
      </c>
      <c r="BJ291" s="316">
        <v>0</v>
      </c>
      <c r="BK291" s="316">
        <v>0</v>
      </c>
      <c r="BL291" s="316">
        <v>0</v>
      </c>
      <c r="BM291" s="316">
        <v>0</v>
      </c>
      <c r="BN291" s="316">
        <v>0</v>
      </c>
      <c r="BO291" s="316">
        <v>0</v>
      </c>
      <c r="BP291" s="316">
        <v>0</v>
      </c>
      <c r="BQ291" s="316">
        <v>0</v>
      </c>
      <c r="BR291" s="316">
        <v>0</v>
      </c>
      <c r="BS291" s="316">
        <v>73.641999999999996</v>
      </c>
      <c r="BT291" s="316">
        <v>64.712999999999994</v>
      </c>
      <c r="BU291" s="316">
        <v>63.085000000000001</v>
      </c>
      <c r="BV291" s="316">
        <v>51.813000000000002</v>
      </c>
      <c r="BW291" s="317">
        <f t="shared" si="46"/>
        <v>253.25299999999999</v>
      </c>
    </row>
    <row r="292" spans="1:75" x14ac:dyDescent="0.2">
      <c r="A292" s="20" t="str">
        <f>'School Level Inst. Resources'!A292</f>
        <v>1801000</v>
      </c>
      <c r="B292" s="20" t="str">
        <f>'School Level Inst. Resources'!B292</f>
        <v>Sublette #1</v>
      </c>
      <c r="C292" s="20" t="str">
        <f>'School Level Inst. Resources'!C292</f>
        <v>1801056</v>
      </c>
      <c r="D292" s="20" t="str">
        <f>'School Level Inst. Resources'!D292</f>
        <v>Skyline Academy</v>
      </c>
      <c r="E292" s="138" t="str">
        <f>'School Level Inst. Resources'!E292</f>
        <v>9-12</v>
      </c>
      <c r="F292" s="317">
        <f>IF(AND($A$2=4,VLOOKUP($A292,'District Level ADM'!$A$5:$W$52,5,FALSE)="Prior Year"),AH292,IF(AND($A$2=4,VLOOKUP($A292,'District Level ADM'!$A$5:$W$52,5,FALSE)="3-Year Avg."),T292,IF($A$2=2,AH292,IF($A$2=3,T292,IF(($AG292&gt;$AU292),T292,AH292)))))</f>
        <v>0</v>
      </c>
      <c r="G292" s="317">
        <f>IF(AND($A$2=4,VLOOKUP($A292,'District Level ADM'!$A$5:$W$52,5,FALSE)="Prior Year"),AI292,IF(AND($A$2=4,VLOOKUP($A292,'District Level ADM'!$A$5:$W$52,5,FALSE)="3-Year Avg."),U292,IF($A$2=2,AI292,IF($A$2=3,U292,IF(($AG292&gt;$AU292),U292,AI292)))))</f>
        <v>0</v>
      </c>
      <c r="H292" s="317">
        <f>IF(AND($A$2=4,VLOOKUP($A292,'District Level ADM'!$A$5:$W$52,5,FALSE)="Prior Year"),AJ292,IF(AND($A$2=4,VLOOKUP($A292,'District Level ADM'!$A$5:$W$52,5,FALSE)="3-Year Avg."),V292,IF($A$2=2,AJ292,IF($A$2=3,V292,IF(($AG292&gt;$AU292),V292,AJ292)))))</f>
        <v>0</v>
      </c>
      <c r="I292" s="317">
        <f>IF(AND($A$2=4,VLOOKUP($A292,'District Level ADM'!$A$5:$W$52,5,FALSE)="Prior Year"),AK292,IF(AND($A$2=4,VLOOKUP($A292,'District Level ADM'!$A$5:$W$52,5,FALSE)="3-Year Avg."),W292,IF($A$2=2,AK292,IF($A$2=3,W292,IF(($AG292&gt;$AU292),W292,AK292)))))</f>
        <v>0</v>
      </c>
      <c r="J292" s="317">
        <f>IF(AND($A$2=4,VLOOKUP($A292,'District Level ADM'!$A$5:$W$52,5,FALSE)="Prior Year"),AL292,IF(AND($A$2=4,VLOOKUP($A292,'District Level ADM'!$A$5:$W$52,5,FALSE)="3-Year Avg."),X292,IF($A$2=2,AL292,IF($A$2=3,X292,IF(($AG292&gt;$AU292),X292,AL292)))))</f>
        <v>0</v>
      </c>
      <c r="K292" s="317">
        <f>IF(AND($A$2=4,VLOOKUP($A292,'District Level ADM'!$A$5:$W$52,5,FALSE)="Prior Year"),AM292,IF(AND($A$2=4,VLOOKUP($A292,'District Level ADM'!$A$5:$W$52,5,FALSE)="3-Year Avg."),Y292,IF($A$2=2,AM292,IF($A$2=3,Y292,IF(($AG292&gt;$AU292),Y292,AM292)))))</f>
        <v>0</v>
      </c>
      <c r="L292" s="317">
        <f>IF(AND($A$2=4,VLOOKUP($A292,'District Level ADM'!$A$5:$W$52,5,FALSE)="Prior Year"),AN292,IF(AND($A$2=4,VLOOKUP($A292,'District Level ADM'!$A$5:$W$52,5,FALSE)="3-Year Avg."),Z292,IF($A$2=2,AN292,IF($A$2=3,Z292,IF(($AG292&gt;$AU292),Z292,AN292)))))</f>
        <v>0</v>
      </c>
      <c r="M292" s="317">
        <f>IF(AND($A$2=4,VLOOKUP($A292,'District Level ADM'!$A$5:$W$52,5,FALSE)="Prior Year"),AO292,IF(AND($A$2=4,VLOOKUP($A292,'District Level ADM'!$A$5:$W$52,5,FALSE)="3-Year Avg."),AA292,IF($A$2=2,AO292,IF($A$2=3,AA292,IF(($AG292&gt;$AU292),AA292,AO292)))))</f>
        <v>0</v>
      </c>
      <c r="N292" s="317">
        <f>IF(AND($A$2=4,VLOOKUP($A292,'District Level ADM'!$A$5:$W$52,5,FALSE)="Prior Year"),AP292,IF(AND($A$2=4,VLOOKUP($A292,'District Level ADM'!$A$5:$W$52,5,FALSE)="3-Year Avg."),AB292,IF($A$2=2,AP292,IF($A$2=3,AB292,IF(($AG292&gt;$AU292),AB292,AP292)))))</f>
        <v>0</v>
      </c>
      <c r="O292" s="317">
        <f>IF(AND($A$2=4,VLOOKUP($A292,'District Level ADM'!$A$5:$W$52,5,FALSE)="Prior Year"),AQ292,IF(AND($A$2=4,VLOOKUP($A292,'District Level ADM'!$A$5:$W$52,5,FALSE)="3-Year Avg."),AC292,IF($A$2=2,AQ292,IF($A$2=3,AC292,IF(($AG292&gt;$AU292),AC292,AQ292)))))</f>
        <v>0</v>
      </c>
      <c r="P292" s="317">
        <f>IF(AND($A$2=4,VLOOKUP($A292,'District Level ADM'!$A$5:$W$52,5,FALSE)="Prior Year"),AR292,IF(AND($A$2=4,VLOOKUP($A292,'District Level ADM'!$A$5:$W$52,5,FALSE)="3-Year Avg."),AD292,IF($A$2=2,AR292,IF($A$2=3,AD292,IF(($AG292&gt;$AU292),AD292,AR292)))))</f>
        <v>3.94</v>
      </c>
      <c r="Q292" s="317">
        <f>IF(AND($A$2=4,VLOOKUP($A292,'District Level ADM'!$A$5:$W$52,5,FALSE)="Prior Year"),AS292,IF(AND($A$2=4,VLOOKUP($A292,'District Level ADM'!$A$5:$W$52,5,FALSE)="3-Year Avg."),AE292,IF($A$2=2,AS292,IF($A$2=3,AE292,IF(($AG292&gt;$AU292),AE292,AS292)))))</f>
        <v>10.835000000000001</v>
      </c>
      <c r="R292" s="317">
        <f>IF(AND($A$2=4,VLOOKUP($A292,'District Level ADM'!$A$5:$W$52,5,FALSE)="Prior Year"),AT292,IF(AND($A$2=4,VLOOKUP($A292,'District Level ADM'!$A$5:$W$52,5,FALSE)="3-Year Avg."),AF292,IF($A$2=2,AT292,IF($A$2=3,AF292,IF(($AG292&gt;$AU292),AF292,AT292)))))</f>
        <v>5.91</v>
      </c>
      <c r="S292" s="317">
        <f t="shared" si="44"/>
        <v>20.685000000000002</v>
      </c>
      <c r="T292" s="317">
        <f t="shared" si="50"/>
        <v>0</v>
      </c>
      <c r="U292" s="317">
        <f t="shared" si="50"/>
        <v>0</v>
      </c>
      <c r="V292" s="317">
        <f t="shared" si="50"/>
        <v>0</v>
      </c>
      <c r="W292" s="317">
        <f t="shared" si="49"/>
        <v>0</v>
      </c>
      <c r="X292" s="317">
        <f t="shared" si="49"/>
        <v>0</v>
      </c>
      <c r="Y292" s="317">
        <f t="shared" si="49"/>
        <v>0</v>
      </c>
      <c r="Z292" s="317">
        <f t="shared" si="49"/>
        <v>0</v>
      </c>
      <c r="AA292" s="317">
        <f t="shared" si="49"/>
        <v>0</v>
      </c>
      <c r="AB292" s="317">
        <f t="shared" si="49"/>
        <v>0</v>
      </c>
      <c r="AC292" s="317">
        <f t="shared" si="49"/>
        <v>1.0963333333333334</v>
      </c>
      <c r="AD292" s="317">
        <f t="shared" si="51"/>
        <v>5.7363333333333335</v>
      </c>
      <c r="AE292" s="317">
        <f t="shared" si="51"/>
        <v>8.5500000000000007</v>
      </c>
      <c r="AF292" s="317">
        <f t="shared" si="51"/>
        <v>6.3993333333333338</v>
      </c>
      <c r="AG292" s="317">
        <f t="shared" si="45"/>
        <v>21.782</v>
      </c>
      <c r="AH292" s="318">
        <v>0</v>
      </c>
      <c r="AI292" s="318">
        <v>0</v>
      </c>
      <c r="AJ292" s="318">
        <v>0</v>
      </c>
      <c r="AK292" s="318">
        <v>0</v>
      </c>
      <c r="AL292" s="318">
        <v>0</v>
      </c>
      <c r="AM292" s="318">
        <v>0</v>
      </c>
      <c r="AN292" s="318">
        <v>0</v>
      </c>
      <c r="AO292" s="318">
        <v>0</v>
      </c>
      <c r="AP292" s="318">
        <v>0</v>
      </c>
      <c r="AQ292" s="318">
        <v>0</v>
      </c>
      <c r="AR292" s="318">
        <v>3.94</v>
      </c>
      <c r="AS292" s="318">
        <v>10.835000000000001</v>
      </c>
      <c r="AT292" s="318">
        <v>5.91</v>
      </c>
      <c r="AU292" s="317">
        <f t="shared" si="43"/>
        <v>20.685000000000002</v>
      </c>
      <c r="AV292" s="319">
        <v>0</v>
      </c>
      <c r="AW292" s="319">
        <v>0</v>
      </c>
      <c r="AX292" s="319">
        <v>0</v>
      </c>
      <c r="AY292" s="319">
        <v>0</v>
      </c>
      <c r="AZ292" s="319">
        <v>0</v>
      </c>
      <c r="BA292" s="319">
        <v>0</v>
      </c>
      <c r="BB292" s="319">
        <v>0</v>
      </c>
      <c r="BC292" s="319">
        <v>0</v>
      </c>
      <c r="BD292" s="319">
        <v>0</v>
      </c>
      <c r="BE292" s="319">
        <v>0.93100000000000005</v>
      </c>
      <c r="BF292" s="319">
        <v>7.2460000000000004</v>
      </c>
      <c r="BG292" s="319">
        <v>8.423</v>
      </c>
      <c r="BH292" s="319">
        <v>8.5660000000000007</v>
      </c>
      <c r="BI292" s="317">
        <f t="shared" si="48"/>
        <v>25.166000000000004</v>
      </c>
      <c r="BJ292" s="316">
        <v>0</v>
      </c>
      <c r="BK292" s="316">
        <v>0</v>
      </c>
      <c r="BL292" s="316">
        <v>0</v>
      </c>
      <c r="BM292" s="316">
        <v>0</v>
      </c>
      <c r="BN292" s="316">
        <v>0</v>
      </c>
      <c r="BO292" s="316">
        <v>0</v>
      </c>
      <c r="BP292" s="316">
        <v>0</v>
      </c>
      <c r="BQ292" s="316">
        <v>0</v>
      </c>
      <c r="BR292" s="316">
        <v>0</v>
      </c>
      <c r="BS292" s="316">
        <v>2.3580000000000001</v>
      </c>
      <c r="BT292" s="316">
        <v>6.0229999999999997</v>
      </c>
      <c r="BU292" s="316">
        <v>6.3920000000000003</v>
      </c>
      <c r="BV292" s="316">
        <v>4.7220000000000004</v>
      </c>
      <c r="BW292" s="317">
        <f t="shared" si="46"/>
        <v>19.495000000000001</v>
      </c>
    </row>
    <row r="293" spans="1:75" x14ac:dyDescent="0.2">
      <c r="A293" s="20" t="str">
        <f>'School Level Inst. Resources'!A293</f>
        <v>1809000</v>
      </c>
      <c r="B293" s="20" t="str">
        <f>'School Level Inst. Resources'!B293</f>
        <v>Sublette #9</v>
      </c>
      <c r="C293" s="20" t="str">
        <f>'School Level Inst. Resources'!C293</f>
        <v>1809001</v>
      </c>
      <c r="D293" s="20" t="str">
        <f>'School Level Inst. Resources'!D293</f>
        <v>Big Piney Elementary</v>
      </c>
      <c r="E293" s="138" t="str">
        <f>'School Level Inst. Resources'!E293</f>
        <v>K-5</v>
      </c>
      <c r="F293" s="317">
        <f>IF(AND($A$2=4,VLOOKUP($A293,'District Level ADM'!$A$5:$W$52,5,FALSE)="Prior Year"),AH293,IF(AND($A$2=4,VLOOKUP($A293,'District Level ADM'!$A$5:$W$52,5,FALSE)="3-Year Avg."),T293,IF($A$2=2,AH293,IF($A$2=3,T293,IF(($AG293&gt;$AU293),T293,AH293)))))</f>
        <v>26.248999999999999</v>
      </c>
      <c r="G293" s="317">
        <f>IF(AND($A$2=4,VLOOKUP($A293,'District Level ADM'!$A$5:$W$52,5,FALSE)="Prior Year"),AI293,IF(AND($A$2=4,VLOOKUP($A293,'District Level ADM'!$A$5:$W$52,5,FALSE)="3-Year Avg."),U293,IF($A$2=2,AI293,IF($A$2=3,U293,IF(($AG293&gt;$AU293),U293,AI293)))))</f>
        <v>29.132666666666665</v>
      </c>
      <c r="H293" s="317">
        <f>IF(AND($A$2=4,VLOOKUP($A293,'District Level ADM'!$A$5:$W$52,5,FALSE)="Prior Year"),AJ293,IF(AND($A$2=4,VLOOKUP($A293,'District Level ADM'!$A$5:$W$52,5,FALSE)="3-Year Avg."),V293,IF($A$2=2,AJ293,IF($A$2=3,V293,IF(($AG293&gt;$AU293),V293,AJ293)))))</f>
        <v>33.010333333333335</v>
      </c>
      <c r="I293" s="317">
        <f>IF(AND($A$2=4,VLOOKUP($A293,'District Level ADM'!$A$5:$W$52,5,FALSE)="Prior Year"),AK293,IF(AND($A$2=4,VLOOKUP($A293,'District Level ADM'!$A$5:$W$52,5,FALSE)="3-Year Avg."),W293,IF($A$2=2,AK293,IF($A$2=3,W293,IF(($AG293&gt;$AU293),W293,AK293)))))</f>
        <v>37.835000000000001</v>
      </c>
      <c r="J293" s="317">
        <f>IF(AND($A$2=4,VLOOKUP($A293,'District Level ADM'!$A$5:$W$52,5,FALSE)="Prior Year"),AL293,IF(AND($A$2=4,VLOOKUP($A293,'District Level ADM'!$A$5:$W$52,5,FALSE)="3-Year Avg."),X293,IF($A$2=2,AL293,IF($A$2=3,X293,IF(($AG293&gt;$AU293),X293,AL293)))))</f>
        <v>35.409333333333329</v>
      </c>
      <c r="K293" s="317">
        <f>IF(AND($A$2=4,VLOOKUP($A293,'District Level ADM'!$A$5:$W$52,5,FALSE)="Prior Year"),AM293,IF(AND($A$2=4,VLOOKUP($A293,'District Level ADM'!$A$5:$W$52,5,FALSE)="3-Year Avg."),Y293,IF($A$2=2,AM293,IF($A$2=3,Y293,IF(($AG293&gt;$AU293),Y293,AM293)))))</f>
        <v>33.583333333333336</v>
      </c>
      <c r="L293" s="317">
        <f>IF(AND($A$2=4,VLOOKUP($A293,'District Level ADM'!$A$5:$W$52,5,FALSE)="Prior Year"),AN293,IF(AND($A$2=4,VLOOKUP($A293,'District Level ADM'!$A$5:$W$52,5,FALSE)="3-Year Avg."),Z293,IF($A$2=2,AN293,IF($A$2=3,Z293,IF(($AG293&gt;$AU293),Z293,AN293)))))</f>
        <v>0</v>
      </c>
      <c r="M293" s="317">
        <f>IF(AND($A$2=4,VLOOKUP($A293,'District Level ADM'!$A$5:$W$52,5,FALSE)="Prior Year"),AO293,IF(AND($A$2=4,VLOOKUP($A293,'District Level ADM'!$A$5:$W$52,5,FALSE)="3-Year Avg."),AA293,IF($A$2=2,AO293,IF($A$2=3,AA293,IF(($AG293&gt;$AU293),AA293,AO293)))))</f>
        <v>0</v>
      </c>
      <c r="N293" s="317">
        <f>IF(AND($A$2=4,VLOOKUP($A293,'District Level ADM'!$A$5:$W$52,5,FALSE)="Prior Year"),AP293,IF(AND($A$2=4,VLOOKUP($A293,'District Level ADM'!$A$5:$W$52,5,FALSE)="3-Year Avg."),AB293,IF($A$2=2,AP293,IF($A$2=3,AB293,IF(($AG293&gt;$AU293),AB293,AP293)))))</f>
        <v>0</v>
      </c>
      <c r="O293" s="317">
        <f>IF(AND($A$2=4,VLOOKUP($A293,'District Level ADM'!$A$5:$W$52,5,FALSE)="Prior Year"),AQ293,IF(AND($A$2=4,VLOOKUP($A293,'District Level ADM'!$A$5:$W$52,5,FALSE)="3-Year Avg."),AC293,IF($A$2=2,AQ293,IF($A$2=3,AC293,IF(($AG293&gt;$AU293),AC293,AQ293)))))</f>
        <v>0</v>
      </c>
      <c r="P293" s="317">
        <f>IF(AND($A$2=4,VLOOKUP($A293,'District Level ADM'!$A$5:$W$52,5,FALSE)="Prior Year"),AR293,IF(AND($A$2=4,VLOOKUP($A293,'District Level ADM'!$A$5:$W$52,5,FALSE)="3-Year Avg."),AD293,IF($A$2=2,AR293,IF($A$2=3,AD293,IF(($AG293&gt;$AU293),AD293,AR293)))))</f>
        <v>0</v>
      </c>
      <c r="Q293" s="317">
        <f>IF(AND($A$2=4,VLOOKUP($A293,'District Level ADM'!$A$5:$W$52,5,FALSE)="Prior Year"),AS293,IF(AND($A$2=4,VLOOKUP($A293,'District Level ADM'!$A$5:$W$52,5,FALSE)="3-Year Avg."),AE293,IF($A$2=2,AS293,IF($A$2=3,AE293,IF(($AG293&gt;$AU293),AE293,AS293)))))</f>
        <v>0</v>
      </c>
      <c r="R293" s="317">
        <f>IF(AND($A$2=4,VLOOKUP($A293,'District Level ADM'!$A$5:$W$52,5,FALSE)="Prior Year"),AT293,IF(AND($A$2=4,VLOOKUP($A293,'District Level ADM'!$A$5:$W$52,5,FALSE)="3-Year Avg."),AF293,IF($A$2=2,AT293,IF($A$2=3,AF293,IF(($AG293&gt;$AU293),AF293,AT293)))))</f>
        <v>0</v>
      </c>
      <c r="S293" s="317">
        <f t="shared" si="44"/>
        <v>195.21966666666668</v>
      </c>
      <c r="T293" s="317">
        <f t="shared" si="50"/>
        <v>26.248999999999999</v>
      </c>
      <c r="U293" s="317">
        <f t="shared" si="50"/>
        <v>29.132666666666665</v>
      </c>
      <c r="V293" s="317">
        <f t="shared" si="50"/>
        <v>33.010333333333335</v>
      </c>
      <c r="W293" s="317">
        <f t="shared" si="49"/>
        <v>37.835000000000001</v>
      </c>
      <c r="X293" s="317">
        <f t="shared" si="49"/>
        <v>35.409333333333329</v>
      </c>
      <c r="Y293" s="317">
        <f t="shared" si="49"/>
        <v>33.583333333333336</v>
      </c>
      <c r="Z293" s="317">
        <f t="shared" si="49"/>
        <v>0</v>
      </c>
      <c r="AA293" s="317">
        <f t="shared" si="49"/>
        <v>0</v>
      </c>
      <c r="AB293" s="317">
        <f t="shared" si="49"/>
        <v>0</v>
      </c>
      <c r="AC293" s="317">
        <f t="shared" si="49"/>
        <v>0</v>
      </c>
      <c r="AD293" s="317">
        <f t="shared" si="51"/>
        <v>0</v>
      </c>
      <c r="AE293" s="317">
        <f t="shared" si="51"/>
        <v>0</v>
      </c>
      <c r="AF293" s="317">
        <f t="shared" si="51"/>
        <v>0</v>
      </c>
      <c r="AG293" s="317">
        <f t="shared" si="45"/>
        <v>195.21966666666668</v>
      </c>
      <c r="AH293" s="318">
        <v>25.61</v>
      </c>
      <c r="AI293" s="318">
        <v>30.535</v>
      </c>
      <c r="AJ293" s="318">
        <v>19.7</v>
      </c>
      <c r="AK293" s="318">
        <v>32.505000000000003</v>
      </c>
      <c r="AL293" s="318">
        <v>39.4</v>
      </c>
      <c r="AM293" s="318">
        <v>37.43</v>
      </c>
      <c r="AN293" s="318">
        <v>0</v>
      </c>
      <c r="AO293" s="318">
        <v>0</v>
      </c>
      <c r="AP293" s="318">
        <v>0</v>
      </c>
      <c r="AQ293" s="318">
        <v>0</v>
      </c>
      <c r="AR293" s="318">
        <v>0</v>
      </c>
      <c r="AS293" s="318">
        <v>0</v>
      </c>
      <c r="AT293" s="318">
        <v>0</v>
      </c>
      <c r="AU293" s="317">
        <f t="shared" si="43"/>
        <v>185.18</v>
      </c>
      <c r="AV293" s="319">
        <v>33.006</v>
      </c>
      <c r="AW293" s="319">
        <v>19.966000000000001</v>
      </c>
      <c r="AX293" s="319">
        <v>35.451000000000001</v>
      </c>
      <c r="AY293" s="319">
        <v>42.28</v>
      </c>
      <c r="AZ293" s="319">
        <v>36.771000000000001</v>
      </c>
      <c r="BA293" s="319">
        <v>30.954000000000001</v>
      </c>
      <c r="BB293" s="319">
        <v>0</v>
      </c>
      <c r="BC293" s="319">
        <v>0</v>
      </c>
      <c r="BD293" s="319">
        <v>0</v>
      </c>
      <c r="BE293" s="319">
        <v>0</v>
      </c>
      <c r="BF293" s="319">
        <v>0</v>
      </c>
      <c r="BG293" s="319">
        <v>0</v>
      </c>
      <c r="BH293" s="319">
        <v>0</v>
      </c>
      <c r="BI293" s="317">
        <f t="shared" si="48"/>
        <v>198.428</v>
      </c>
      <c r="BJ293" s="316">
        <v>20.131</v>
      </c>
      <c r="BK293" s="316">
        <v>36.896999999999998</v>
      </c>
      <c r="BL293" s="316">
        <v>43.88</v>
      </c>
      <c r="BM293" s="316">
        <v>38.72</v>
      </c>
      <c r="BN293" s="316">
        <v>30.056999999999999</v>
      </c>
      <c r="BO293" s="316">
        <v>32.366</v>
      </c>
      <c r="BP293" s="316">
        <v>0</v>
      </c>
      <c r="BQ293" s="316">
        <v>0</v>
      </c>
      <c r="BR293" s="316">
        <v>0</v>
      </c>
      <c r="BS293" s="316">
        <v>0</v>
      </c>
      <c r="BT293" s="316">
        <v>0</v>
      </c>
      <c r="BU293" s="316">
        <v>0</v>
      </c>
      <c r="BV293" s="316">
        <v>0</v>
      </c>
      <c r="BW293" s="317">
        <f t="shared" si="46"/>
        <v>202.05099999999999</v>
      </c>
    </row>
    <row r="294" spans="1:75" x14ac:dyDescent="0.2">
      <c r="A294" s="20" t="str">
        <f>'School Level Inst. Resources'!A294</f>
        <v>1809000</v>
      </c>
      <c r="B294" s="20" t="str">
        <f>'School Level Inst. Resources'!B294</f>
        <v>Sublette #9</v>
      </c>
      <c r="C294" s="20" t="str">
        <f>'School Level Inst. Resources'!C294</f>
        <v>1809002</v>
      </c>
      <c r="D294" s="20" t="str">
        <f>'School Level Inst. Resources'!D294</f>
        <v>La Barge Elementary</v>
      </c>
      <c r="E294" s="138" t="str">
        <f>'School Level Inst. Resources'!E294</f>
        <v>K-5</v>
      </c>
      <c r="F294" s="317">
        <f>IF(AND($A$2=4,VLOOKUP($A294,'District Level ADM'!$A$5:$W$52,5,FALSE)="Prior Year"),AH294,IF(AND($A$2=4,VLOOKUP($A294,'District Level ADM'!$A$5:$W$52,5,FALSE)="3-Year Avg."),T294,IF($A$2=2,AH294,IF($A$2=3,T294,IF(($AG294&gt;$AU294),T294,AH294)))))</f>
        <v>8.0546666666666678</v>
      </c>
      <c r="G294" s="317">
        <f>IF(AND($A$2=4,VLOOKUP($A294,'District Level ADM'!$A$5:$W$52,5,FALSE)="Prior Year"),AI294,IF(AND($A$2=4,VLOOKUP($A294,'District Level ADM'!$A$5:$W$52,5,FALSE)="3-Year Avg."),U294,IF($A$2=2,AI294,IF($A$2=3,U294,IF(($AG294&gt;$AU294),U294,AI294)))))</f>
        <v>8.9640000000000004</v>
      </c>
      <c r="H294" s="317">
        <f>IF(AND($A$2=4,VLOOKUP($A294,'District Level ADM'!$A$5:$W$52,5,FALSE)="Prior Year"),AJ294,IF(AND($A$2=4,VLOOKUP($A294,'District Level ADM'!$A$5:$W$52,5,FALSE)="3-Year Avg."),V294,IF($A$2=2,AJ294,IF($A$2=3,V294,IF(($AG294&gt;$AU294),V294,AJ294)))))</f>
        <v>8.8260000000000005</v>
      </c>
      <c r="I294" s="317">
        <f>IF(AND($A$2=4,VLOOKUP($A294,'District Level ADM'!$A$5:$W$52,5,FALSE)="Prior Year"),AK294,IF(AND($A$2=4,VLOOKUP($A294,'District Level ADM'!$A$5:$W$52,5,FALSE)="3-Year Avg."),W294,IF($A$2=2,AK294,IF($A$2=3,W294,IF(($AG294&gt;$AU294),W294,AK294)))))</f>
        <v>9.754666666666667</v>
      </c>
      <c r="J294" s="317">
        <f>IF(AND($A$2=4,VLOOKUP($A294,'District Level ADM'!$A$5:$W$52,5,FALSE)="Prior Year"),AL294,IF(AND($A$2=4,VLOOKUP($A294,'District Level ADM'!$A$5:$W$52,5,FALSE)="3-Year Avg."),X294,IF($A$2=2,AL294,IF($A$2=3,X294,IF(($AG294&gt;$AU294),X294,AL294)))))</f>
        <v>9.0713333333333335</v>
      </c>
      <c r="K294" s="317">
        <f>IF(AND($A$2=4,VLOOKUP($A294,'District Level ADM'!$A$5:$W$52,5,FALSE)="Prior Year"),AM294,IF(AND($A$2=4,VLOOKUP($A294,'District Level ADM'!$A$5:$W$52,5,FALSE)="3-Year Avg."),Y294,IF($A$2=2,AM294,IF($A$2=3,Y294,IF(($AG294&gt;$AU294),Y294,AM294)))))</f>
        <v>7.5933333333333337</v>
      </c>
      <c r="L294" s="317">
        <f>IF(AND($A$2=4,VLOOKUP($A294,'District Level ADM'!$A$5:$W$52,5,FALSE)="Prior Year"),AN294,IF(AND($A$2=4,VLOOKUP($A294,'District Level ADM'!$A$5:$W$52,5,FALSE)="3-Year Avg."),Z294,IF($A$2=2,AN294,IF($A$2=3,Z294,IF(($AG294&gt;$AU294),Z294,AN294)))))</f>
        <v>0</v>
      </c>
      <c r="M294" s="317">
        <f>IF(AND($A$2=4,VLOOKUP($A294,'District Level ADM'!$A$5:$W$52,5,FALSE)="Prior Year"),AO294,IF(AND($A$2=4,VLOOKUP($A294,'District Level ADM'!$A$5:$W$52,5,FALSE)="3-Year Avg."),AA294,IF($A$2=2,AO294,IF($A$2=3,AA294,IF(($AG294&gt;$AU294),AA294,AO294)))))</f>
        <v>0</v>
      </c>
      <c r="N294" s="317">
        <f>IF(AND($A$2=4,VLOOKUP($A294,'District Level ADM'!$A$5:$W$52,5,FALSE)="Prior Year"),AP294,IF(AND($A$2=4,VLOOKUP($A294,'District Level ADM'!$A$5:$W$52,5,FALSE)="3-Year Avg."),AB294,IF($A$2=2,AP294,IF($A$2=3,AB294,IF(($AG294&gt;$AU294),AB294,AP294)))))</f>
        <v>0</v>
      </c>
      <c r="O294" s="317">
        <f>IF(AND($A$2=4,VLOOKUP($A294,'District Level ADM'!$A$5:$W$52,5,FALSE)="Prior Year"),AQ294,IF(AND($A$2=4,VLOOKUP($A294,'District Level ADM'!$A$5:$W$52,5,FALSE)="3-Year Avg."),AC294,IF($A$2=2,AQ294,IF($A$2=3,AC294,IF(($AG294&gt;$AU294),AC294,AQ294)))))</f>
        <v>0</v>
      </c>
      <c r="P294" s="317">
        <f>IF(AND($A$2=4,VLOOKUP($A294,'District Level ADM'!$A$5:$W$52,5,FALSE)="Prior Year"),AR294,IF(AND($A$2=4,VLOOKUP($A294,'District Level ADM'!$A$5:$W$52,5,FALSE)="3-Year Avg."),AD294,IF($A$2=2,AR294,IF($A$2=3,AD294,IF(($AG294&gt;$AU294),AD294,AR294)))))</f>
        <v>0</v>
      </c>
      <c r="Q294" s="317">
        <f>IF(AND($A$2=4,VLOOKUP($A294,'District Level ADM'!$A$5:$W$52,5,FALSE)="Prior Year"),AS294,IF(AND($A$2=4,VLOOKUP($A294,'District Level ADM'!$A$5:$W$52,5,FALSE)="3-Year Avg."),AE294,IF($A$2=2,AS294,IF($A$2=3,AE294,IF(($AG294&gt;$AU294),AE294,AS294)))))</f>
        <v>0</v>
      </c>
      <c r="R294" s="317">
        <f>IF(AND($A$2=4,VLOOKUP($A294,'District Level ADM'!$A$5:$W$52,5,FALSE)="Prior Year"),AT294,IF(AND($A$2=4,VLOOKUP($A294,'District Level ADM'!$A$5:$W$52,5,FALSE)="3-Year Avg."),AF294,IF($A$2=2,AT294,IF($A$2=3,AF294,IF(($AG294&gt;$AU294),AF294,AT294)))))</f>
        <v>0</v>
      </c>
      <c r="S294" s="317">
        <f t="shared" si="44"/>
        <v>52.264000000000003</v>
      </c>
      <c r="T294" s="317">
        <f t="shared" si="50"/>
        <v>8.0546666666666678</v>
      </c>
      <c r="U294" s="317">
        <f t="shared" si="50"/>
        <v>8.9640000000000004</v>
      </c>
      <c r="V294" s="317">
        <f t="shared" si="50"/>
        <v>8.8260000000000005</v>
      </c>
      <c r="W294" s="317">
        <f t="shared" si="49"/>
        <v>9.754666666666667</v>
      </c>
      <c r="X294" s="317">
        <f t="shared" si="49"/>
        <v>9.0713333333333335</v>
      </c>
      <c r="Y294" s="317">
        <f t="shared" si="49"/>
        <v>7.5933333333333337</v>
      </c>
      <c r="Z294" s="317">
        <f t="shared" si="49"/>
        <v>0</v>
      </c>
      <c r="AA294" s="317">
        <f t="shared" si="49"/>
        <v>0</v>
      </c>
      <c r="AB294" s="317">
        <f t="shared" si="49"/>
        <v>0</v>
      </c>
      <c r="AC294" s="317">
        <f t="shared" si="49"/>
        <v>0</v>
      </c>
      <c r="AD294" s="317">
        <f t="shared" si="51"/>
        <v>0</v>
      </c>
      <c r="AE294" s="317">
        <f t="shared" si="51"/>
        <v>0</v>
      </c>
      <c r="AF294" s="317">
        <f t="shared" si="51"/>
        <v>0</v>
      </c>
      <c r="AG294" s="317">
        <f t="shared" si="45"/>
        <v>52.264000000000003</v>
      </c>
      <c r="AH294" s="318">
        <v>6.8949999999999996</v>
      </c>
      <c r="AI294" s="318">
        <v>10.835000000000001</v>
      </c>
      <c r="AJ294" s="318">
        <v>6.8949999999999996</v>
      </c>
      <c r="AK294" s="318">
        <v>10.835000000000001</v>
      </c>
      <c r="AL294" s="318">
        <v>11.82</v>
      </c>
      <c r="AM294" s="318">
        <v>6.8949999999999996</v>
      </c>
      <c r="AN294" s="318">
        <v>0</v>
      </c>
      <c r="AO294" s="318">
        <v>0</v>
      </c>
      <c r="AP294" s="318">
        <v>0</v>
      </c>
      <c r="AQ294" s="318">
        <v>0</v>
      </c>
      <c r="AR294" s="318">
        <v>0</v>
      </c>
      <c r="AS294" s="318">
        <v>0</v>
      </c>
      <c r="AT294" s="318">
        <v>0</v>
      </c>
      <c r="AU294" s="317">
        <f t="shared" si="43"/>
        <v>54.174999999999997</v>
      </c>
      <c r="AV294" s="319">
        <v>10</v>
      </c>
      <c r="AW294" s="319">
        <v>7.3940000000000001</v>
      </c>
      <c r="AX294" s="319">
        <v>8</v>
      </c>
      <c r="AY294" s="319">
        <v>9</v>
      </c>
      <c r="AZ294" s="319">
        <v>7.3940000000000001</v>
      </c>
      <c r="BA294" s="319">
        <v>4.7140000000000004</v>
      </c>
      <c r="BB294" s="319">
        <v>0</v>
      </c>
      <c r="BC294" s="319">
        <v>0</v>
      </c>
      <c r="BD294" s="319">
        <v>0</v>
      </c>
      <c r="BE294" s="319">
        <v>0</v>
      </c>
      <c r="BF294" s="319">
        <v>0</v>
      </c>
      <c r="BG294" s="319">
        <v>0</v>
      </c>
      <c r="BH294" s="319">
        <v>0</v>
      </c>
      <c r="BI294" s="317">
        <f t="shared" si="48"/>
        <v>46.501999999999995</v>
      </c>
      <c r="BJ294" s="316">
        <v>7.2690000000000001</v>
      </c>
      <c r="BK294" s="316">
        <v>8.6630000000000003</v>
      </c>
      <c r="BL294" s="316">
        <v>11.583</v>
      </c>
      <c r="BM294" s="316">
        <v>9.4290000000000003</v>
      </c>
      <c r="BN294" s="316">
        <v>8</v>
      </c>
      <c r="BO294" s="316">
        <v>11.170999999999999</v>
      </c>
      <c r="BP294" s="316">
        <v>0</v>
      </c>
      <c r="BQ294" s="316">
        <v>0</v>
      </c>
      <c r="BR294" s="316">
        <v>0</v>
      </c>
      <c r="BS294" s="316">
        <v>0</v>
      </c>
      <c r="BT294" s="316">
        <v>0</v>
      </c>
      <c r="BU294" s="316">
        <v>0</v>
      </c>
      <c r="BV294" s="316">
        <v>0</v>
      </c>
      <c r="BW294" s="317">
        <f t="shared" si="46"/>
        <v>56.115000000000002</v>
      </c>
    </row>
    <row r="295" spans="1:75" x14ac:dyDescent="0.2">
      <c r="A295" s="20" t="str">
        <f>'School Level Inst. Resources'!A295</f>
        <v>1809000</v>
      </c>
      <c r="B295" s="20" t="str">
        <f>'School Level Inst. Resources'!B295</f>
        <v>Sublette #9</v>
      </c>
      <c r="C295" s="20" t="str">
        <f>'School Level Inst. Resources'!C295</f>
        <v>1809050</v>
      </c>
      <c r="D295" s="20" t="str">
        <f>'School Level Inst. Resources'!D295</f>
        <v>Big Piney Middle School</v>
      </c>
      <c r="E295" s="138" t="str">
        <f>'School Level Inst. Resources'!E295</f>
        <v>6-8</v>
      </c>
      <c r="F295" s="317">
        <f>IF(AND($A$2=4,VLOOKUP($A295,'District Level ADM'!$A$5:$W$52,5,FALSE)="Prior Year"),AH295,IF(AND($A$2=4,VLOOKUP($A295,'District Level ADM'!$A$5:$W$52,5,FALSE)="3-Year Avg."),T295,IF($A$2=2,AH295,IF($A$2=3,T295,IF(($AG295&gt;$AU295),T295,AH295)))))</f>
        <v>0</v>
      </c>
      <c r="G295" s="317">
        <f>IF(AND($A$2=4,VLOOKUP($A295,'District Level ADM'!$A$5:$W$52,5,FALSE)="Prior Year"),AI295,IF(AND($A$2=4,VLOOKUP($A295,'District Level ADM'!$A$5:$W$52,5,FALSE)="3-Year Avg."),U295,IF($A$2=2,AI295,IF($A$2=3,U295,IF(($AG295&gt;$AU295),U295,AI295)))))</f>
        <v>0</v>
      </c>
      <c r="H295" s="317">
        <f>IF(AND($A$2=4,VLOOKUP($A295,'District Level ADM'!$A$5:$W$52,5,FALSE)="Prior Year"),AJ295,IF(AND($A$2=4,VLOOKUP($A295,'District Level ADM'!$A$5:$W$52,5,FALSE)="3-Year Avg."),V295,IF($A$2=2,AJ295,IF($A$2=3,V295,IF(($AG295&gt;$AU295),V295,AJ295)))))</f>
        <v>0</v>
      </c>
      <c r="I295" s="317">
        <f>IF(AND($A$2=4,VLOOKUP($A295,'District Level ADM'!$A$5:$W$52,5,FALSE)="Prior Year"),AK295,IF(AND($A$2=4,VLOOKUP($A295,'District Level ADM'!$A$5:$W$52,5,FALSE)="3-Year Avg."),W295,IF($A$2=2,AK295,IF($A$2=3,W295,IF(($AG295&gt;$AU295),W295,AK295)))))</f>
        <v>0</v>
      </c>
      <c r="J295" s="317">
        <f>IF(AND($A$2=4,VLOOKUP($A295,'District Level ADM'!$A$5:$W$52,5,FALSE)="Prior Year"),AL295,IF(AND($A$2=4,VLOOKUP($A295,'District Level ADM'!$A$5:$W$52,5,FALSE)="3-Year Avg."),X295,IF($A$2=2,AL295,IF($A$2=3,X295,IF(($AG295&gt;$AU295),X295,AL295)))))</f>
        <v>0</v>
      </c>
      <c r="K295" s="317">
        <f>IF(AND($A$2=4,VLOOKUP($A295,'District Level ADM'!$A$5:$W$52,5,FALSE)="Prior Year"),AM295,IF(AND($A$2=4,VLOOKUP($A295,'District Level ADM'!$A$5:$W$52,5,FALSE)="3-Year Avg."),Y295,IF($A$2=2,AM295,IF($A$2=3,Y295,IF(($AG295&gt;$AU295),Y295,AM295)))))</f>
        <v>0</v>
      </c>
      <c r="L295" s="317">
        <f>IF(AND($A$2=4,VLOOKUP($A295,'District Level ADM'!$A$5:$W$52,5,FALSE)="Prior Year"),AN295,IF(AND($A$2=4,VLOOKUP($A295,'District Level ADM'!$A$5:$W$52,5,FALSE)="3-Year Avg."),Z295,IF($A$2=2,AN295,IF($A$2=3,Z295,IF(($AG295&gt;$AU295),Z295,AN295)))))</f>
        <v>38.606000000000002</v>
      </c>
      <c r="M295" s="317">
        <f>IF(AND($A$2=4,VLOOKUP($A295,'District Level ADM'!$A$5:$W$52,5,FALSE)="Prior Year"),AO295,IF(AND($A$2=4,VLOOKUP($A295,'District Level ADM'!$A$5:$W$52,5,FALSE)="3-Year Avg."),AA295,IF($A$2=2,AO295,IF($A$2=3,AA295,IF(($AG295&gt;$AU295),AA295,AO295)))))</f>
        <v>45.027333333333331</v>
      </c>
      <c r="N295" s="317">
        <f>IF(AND($A$2=4,VLOOKUP($A295,'District Level ADM'!$A$5:$W$52,5,FALSE)="Prior Year"),AP295,IF(AND($A$2=4,VLOOKUP($A295,'District Level ADM'!$A$5:$W$52,5,FALSE)="3-Year Avg."),AB295,IF($A$2=2,AP295,IF($A$2=3,AB295,IF(($AG295&gt;$AU295),AB295,AP295)))))</f>
        <v>48.145666666666671</v>
      </c>
      <c r="O295" s="317">
        <f>IF(AND($A$2=4,VLOOKUP($A295,'District Level ADM'!$A$5:$W$52,5,FALSE)="Prior Year"),AQ295,IF(AND($A$2=4,VLOOKUP($A295,'District Level ADM'!$A$5:$W$52,5,FALSE)="3-Year Avg."),AC295,IF($A$2=2,AQ295,IF($A$2=3,AC295,IF(($AG295&gt;$AU295),AC295,AQ295)))))</f>
        <v>0</v>
      </c>
      <c r="P295" s="317">
        <f>IF(AND($A$2=4,VLOOKUP($A295,'District Level ADM'!$A$5:$W$52,5,FALSE)="Prior Year"),AR295,IF(AND($A$2=4,VLOOKUP($A295,'District Level ADM'!$A$5:$W$52,5,FALSE)="3-Year Avg."),AD295,IF($A$2=2,AR295,IF($A$2=3,AD295,IF(($AG295&gt;$AU295),AD295,AR295)))))</f>
        <v>0</v>
      </c>
      <c r="Q295" s="317">
        <f>IF(AND($A$2=4,VLOOKUP($A295,'District Level ADM'!$A$5:$W$52,5,FALSE)="Prior Year"),AS295,IF(AND($A$2=4,VLOOKUP($A295,'District Level ADM'!$A$5:$W$52,5,FALSE)="3-Year Avg."),AE295,IF($A$2=2,AS295,IF($A$2=3,AE295,IF(($AG295&gt;$AU295),AE295,AS295)))))</f>
        <v>0</v>
      </c>
      <c r="R295" s="317">
        <f>IF(AND($A$2=4,VLOOKUP($A295,'District Level ADM'!$A$5:$W$52,5,FALSE)="Prior Year"),AT295,IF(AND($A$2=4,VLOOKUP($A295,'District Level ADM'!$A$5:$W$52,5,FALSE)="3-Year Avg."),AF295,IF($A$2=2,AT295,IF($A$2=3,AF295,IF(($AG295&gt;$AU295),AF295,AT295)))))</f>
        <v>0</v>
      </c>
      <c r="S295" s="317">
        <f t="shared" si="44"/>
        <v>131.779</v>
      </c>
      <c r="T295" s="317">
        <f t="shared" si="50"/>
        <v>0</v>
      </c>
      <c r="U295" s="317">
        <f t="shared" si="50"/>
        <v>0</v>
      </c>
      <c r="V295" s="317">
        <f t="shared" si="50"/>
        <v>0</v>
      </c>
      <c r="W295" s="317">
        <f t="shared" si="49"/>
        <v>0</v>
      </c>
      <c r="X295" s="317">
        <f t="shared" si="49"/>
        <v>0</v>
      </c>
      <c r="Y295" s="317">
        <f t="shared" si="49"/>
        <v>0</v>
      </c>
      <c r="Z295" s="317">
        <f t="shared" si="49"/>
        <v>38.606000000000002</v>
      </c>
      <c r="AA295" s="317">
        <f t="shared" si="49"/>
        <v>45.027333333333331</v>
      </c>
      <c r="AB295" s="317">
        <f t="shared" si="49"/>
        <v>48.145666666666671</v>
      </c>
      <c r="AC295" s="317">
        <f t="shared" si="49"/>
        <v>0</v>
      </c>
      <c r="AD295" s="317">
        <f t="shared" si="51"/>
        <v>0</v>
      </c>
      <c r="AE295" s="317">
        <f t="shared" si="51"/>
        <v>0</v>
      </c>
      <c r="AF295" s="317">
        <f t="shared" si="51"/>
        <v>0</v>
      </c>
      <c r="AG295" s="317">
        <f t="shared" si="45"/>
        <v>131.779</v>
      </c>
      <c r="AH295" s="318">
        <v>0</v>
      </c>
      <c r="AI295" s="318">
        <v>0</v>
      </c>
      <c r="AJ295" s="318">
        <v>0</v>
      </c>
      <c r="AK295" s="318">
        <v>0</v>
      </c>
      <c r="AL295" s="318">
        <v>0</v>
      </c>
      <c r="AM295" s="318">
        <v>0</v>
      </c>
      <c r="AN295" s="318">
        <v>29.55</v>
      </c>
      <c r="AO295" s="318">
        <v>43.34</v>
      </c>
      <c r="AP295" s="318">
        <v>43.34</v>
      </c>
      <c r="AQ295" s="318">
        <v>0</v>
      </c>
      <c r="AR295" s="318">
        <v>0</v>
      </c>
      <c r="AS295" s="318">
        <v>0</v>
      </c>
      <c r="AT295" s="318">
        <v>0</v>
      </c>
      <c r="AU295" s="317">
        <f t="shared" si="43"/>
        <v>116.23</v>
      </c>
      <c r="AV295" s="319">
        <v>0</v>
      </c>
      <c r="AW295" s="319">
        <v>0</v>
      </c>
      <c r="AX295" s="319">
        <v>0</v>
      </c>
      <c r="AY295" s="319">
        <v>0</v>
      </c>
      <c r="AZ295" s="319">
        <v>0</v>
      </c>
      <c r="BA295" s="319">
        <v>0</v>
      </c>
      <c r="BB295" s="319">
        <v>42.811</v>
      </c>
      <c r="BC295" s="319">
        <v>42.290999999999997</v>
      </c>
      <c r="BD295" s="319">
        <v>50.28</v>
      </c>
      <c r="BE295" s="319">
        <v>0</v>
      </c>
      <c r="BF295" s="319">
        <v>0</v>
      </c>
      <c r="BG295" s="319">
        <v>0</v>
      </c>
      <c r="BH295" s="319">
        <v>0</v>
      </c>
      <c r="BI295" s="317">
        <f t="shared" si="48"/>
        <v>135.38200000000001</v>
      </c>
      <c r="BJ295" s="316">
        <v>0</v>
      </c>
      <c r="BK295" s="316">
        <v>0</v>
      </c>
      <c r="BL295" s="316">
        <v>0</v>
      </c>
      <c r="BM295" s="316">
        <v>0</v>
      </c>
      <c r="BN295" s="316">
        <v>0</v>
      </c>
      <c r="BO295" s="316">
        <v>0</v>
      </c>
      <c r="BP295" s="316">
        <v>43.457000000000001</v>
      </c>
      <c r="BQ295" s="316">
        <v>49.451000000000001</v>
      </c>
      <c r="BR295" s="316">
        <v>50.817</v>
      </c>
      <c r="BS295" s="316">
        <v>0</v>
      </c>
      <c r="BT295" s="316">
        <v>0</v>
      </c>
      <c r="BU295" s="316">
        <v>0</v>
      </c>
      <c r="BV295" s="316">
        <v>0</v>
      </c>
      <c r="BW295" s="317">
        <f t="shared" si="46"/>
        <v>143.72499999999999</v>
      </c>
    </row>
    <row r="296" spans="1:75" x14ac:dyDescent="0.2">
      <c r="A296" s="20" t="str">
        <f>'School Level Inst. Resources'!A296</f>
        <v>1809000</v>
      </c>
      <c r="B296" s="20" t="str">
        <f>'School Level Inst. Resources'!B296</f>
        <v>Sublette #9</v>
      </c>
      <c r="C296" s="20" t="str">
        <f>'School Level Inst. Resources'!C296</f>
        <v>1809055</v>
      </c>
      <c r="D296" s="20" t="str">
        <f>'School Level Inst. Resources'!D296</f>
        <v>Big Piney High School</v>
      </c>
      <c r="E296" s="138" t="str">
        <f>'School Level Inst. Resources'!E296</f>
        <v>9-12</v>
      </c>
      <c r="F296" s="317">
        <f>IF(AND($A$2=4,VLOOKUP($A296,'District Level ADM'!$A$5:$W$52,5,FALSE)="Prior Year"),AH296,IF(AND($A$2=4,VLOOKUP($A296,'District Level ADM'!$A$5:$W$52,5,FALSE)="3-Year Avg."),T296,IF($A$2=2,AH296,IF($A$2=3,T296,IF(($AG296&gt;$AU296),T296,AH296)))))</f>
        <v>0</v>
      </c>
      <c r="G296" s="317">
        <f>IF(AND($A$2=4,VLOOKUP($A296,'District Level ADM'!$A$5:$W$52,5,FALSE)="Prior Year"),AI296,IF(AND($A$2=4,VLOOKUP($A296,'District Level ADM'!$A$5:$W$52,5,FALSE)="3-Year Avg."),U296,IF($A$2=2,AI296,IF($A$2=3,U296,IF(($AG296&gt;$AU296),U296,AI296)))))</f>
        <v>0</v>
      </c>
      <c r="H296" s="317">
        <f>IF(AND($A$2=4,VLOOKUP($A296,'District Level ADM'!$A$5:$W$52,5,FALSE)="Prior Year"),AJ296,IF(AND($A$2=4,VLOOKUP($A296,'District Level ADM'!$A$5:$W$52,5,FALSE)="3-Year Avg."),V296,IF($A$2=2,AJ296,IF($A$2=3,V296,IF(($AG296&gt;$AU296),V296,AJ296)))))</f>
        <v>0</v>
      </c>
      <c r="I296" s="317">
        <f>IF(AND($A$2=4,VLOOKUP($A296,'District Level ADM'!$A$5:$W$52,5,FALSE)="Prior Year"),AK296,IF(AND($A$2=4,VLOOKUP($A296,'District Level ADM'!$A$5:$W$52,5,FALSE)="3-Year Avg."),W296,IF($A$2=2,AK296,IF($A$2=3,W296,IF(($AG296&gt;$AU296),W296,AK296)))))</f>
        <v>0</v>
      </c>
      <c r="J296" s="317">
        <f>IF(AND($A$2=4,VLOOKUP($A296,'District Level ADM'!$A$5:$W$52,5,FALSE)="Prior Year"),AL296,IF(AND($A$2=4,VLOOKUP($A296,'District Level ADM'!$A$5:$W$52,5,FALSE)="3-Year Avg."),X296,IF($A$2=2,AL296,IF($A$2=3,X296,IF(($AG296&gt;$AU296),X296,AL296)))))</f>
        <v>0</v>
      </c>
      <c r="K296" s="317">
        <f>IF(AND($A$2=4,VLOOKUP($A296,'District Level ADM'!$A$5:$W$52,5,FALSE)="Prior Year"),AM296,IF(AND($A$2=4,VLOOKUP($A296,'District Level ADM'!$A$5:$W$52,5,FALSE)="3-Year Avg."),Y296,IF($A$2=2,AM296,IF($A$2=3,Y296,IF(($AG296&gt;$AU296),Y296,AM296)))))</f>
        <v>0</v>
      </c>
      <c r="L296" s="317">
        <f>IF(AND($A$2=4,VLOOKUP($A296,'District Level ADM'!$A$5:$W$52,5,FALSE)="Prior Year"),AN296,IF(AND($A$2=4,VLOOKUP($A296,'District Level ADM'!$A$5:$W$52,5,FALSE)="3-Year Avg."),Z296,IF($A$2=2,AN296,IF($A$2=3,Z296,IF(($AG296&gt;$AU296),Z296,AN296)))))</f>
        <v>0</v>
      </c>
      <c r="M296" s="317">
        <f>IF(AND($A$2=4,VLOOKUP($A296,'District Level ADM'!$A$5:$W$52,5,FALSE)="Prior Year"),AO296,IF(AND($A$2=4,VLOOKUP($A296,'District Level ADM'!$A$5:$W$52,5,FALSE)="3-Year Avg."),AA296,IF($A$2=2,AO296,IF($A$2=3,AA296,IF(($AG296&gt;$AU296),AA296,AO296)))))</f>
        <v>0</v>
      </c>
      <c r="N296" s="317">
        <f>IF(AND($A$2=4,VLOOKUP($A296,'District Level ADM'!$A$5:$W$52,5,FALSE)="Prior Year"),AP296,IF(AND($A$2=4,VLOOKUP($A296,'District Level ADM'!$A$5:$W$52,5,FALSE)="3-Year Avg."),AB296,IF($A$2=2,AP296,IF($A$2=3,AB296,IF(($AG296&gt;$AU296),AB296,AP296)))))</f>
        <v>0</v>
      </c>
      <c r="O296" s="317">
        <f>IF(AND($A$2=4,VLOOKUP($A296,'District Level ADM'!$A$5:$W$52,5,FALSE)="Prior Year"),AQ296,IF(AND($A$2=4,VLOOKUP($A296,'District Level ADM'!$A$5:$W$52,5,FALSE)="3-Year Avg."),AC296,IF($A$2=2,AQ296,IF($A$2=3,AC296,IF(($AG296&gt;$AU296),AC296,AQ296)))))</f>
        <v>47.645999999999994</v>
      </c>
      <c r="P296" s="317">
        <f>IF(AND($A$2=4,VLOOKUP($A296,'District Level ADM'!$A$5:$W$52,5,FALSE)="Prior Year"),AR296,IF(AND($A$2=4,VLOOKUP($A296,'District Level ADM'!$A$5:$W$52,5,FALSE)="3-Year Avg."),AD296,IF($A$2=2,AR296,IF($A$2=3,AD296,IF(($AG296&gt;$AU296),AD296,AR296)))))</f>
        <v>46.949000000000005</v>
      </c>
      <c r="Q296" s="317">
        <f>IF(AND($A$2=4,VLOOKUP($A296,'District Level ADM'!$A$5:$W$52,5,FALSE)="Prior Year"),AS296,IF(AND($A$2=4,VLOOKUP($A296,'District Level ADM'!$A$5:$W$52,5,FALSE)="3-Year Avg."),AE296,IF($A$2=2,AS296,IF($A$2=3,AE296,IF(($AG296&gt;$AU296),AE296,AS296)))))</f>
        <v>41.907333333333334</v>
      </c>
      <c r="R296" s="317">
        <f>IF(AND($A$2=4,VLOOKUP($A296,'District Level ADM'!$A$5:$W$52,5,FALSE)="Prior Year"),AT296,IF(AND($A$2=4,VLOOKUP($A296,'District Level ADM'!$A$5:$W$52,5,FALSE)="3-Year Avg."),AF296,IF($A$2=2,AT296,IF($A$2=3,AF296,IF(($AG296&gt;$AU296),AF296,AT296)))))</f>
        <v>51.308</v>
      </c>
      <c r="S296" s="317">
        <f t="shared" si="44"/>
        <v>187.81033333333332</v>
      </c>
      <c r="T296" s="317">
        <f t="shared" si="50"/>
        <v>0</v>
      </c>
      <c r="U296" s="317">
        <f t="shared" si="50"/>
        <v>0</v>
      </c>
      <c r="V296" s="317">
        <f t="shared" si="50"/>
        <v>0</v>
      </c>
      <c r="W296" s="317">
        <f t="shared" si="49"/>
        <v>0</v>
      </c>
      <c r="X296" s="317">
        <f t="shared" si="49"/>
        <v>0</v>
      </c>
      <c r="Y296" s="317">
        <f t="shared" si="49"/>
        <v>0</v>
      </c>
      <c r="Z296" s="317">
        <f t="shared" si="49"/>
        <v>0</v>
      </c>
      <c r="AA296" s="317">
        <f t="shared" si="49"/>
        <v>0</v>
      </c>
      <c r="AB296" s="317">
        <f t="shared" si="49"/>
        <v>0</v>
      </c>
      <c r="AC296" s="317">
        <f t="shared" si="49"/>
        <v>47.645999999999994</v>
      </c>
      <c r="AD296" s="317">
        <f t="shared" si="51"/>
        <v>46.949000000000005</v>
      </c>
      <c r="AE296" s="317">
        <f t="shared" si="51"/>
        <v>41.907333333333334</v>
      </c>
      <c r="AF296" s="317">
        <f t="shared" si="51"/>
        <v>51.308</v>
      </c>
      <c r="AG296" s="317">
        <f t="shared" si="45"/>
        <v>187.81033333333332</v>
      </c>
      <c r="AH296" s="318">
        <v>0</v>
      </c>
      <c r="AI296" s="318">
        <v>0</v>
      </c>
      <c r="AJ296" s="318">
        <v>0</v>
      </c>
      <c r="AK296" s="318">
        <v>0</v>
      </c>
      <c r="AL296" s="318">
        <v>0</v>
      </c>
      <c r="AM296" s="318">
        <v>0</v>
      </c>
      <c r="AN296" s="318">
        <v>0</v>
      </c>
      <c r="AO296" s="318">
        <v>0</v>
      </c>
      <c r="AP296" s="318">
        <v>0</v>
      </c>
      <c r="AQ296" s="318">
        <v>50.234999999999999</v>
      </c>
      <c r="AR296" s="318">
        <v>50.234999999999999</v>
      </c>
      <c r="AS296" s="318">
        <v>32.505000000000003</v>
      </c>
      <c r="AT296" s="318">
        <v>49.25</v>
      </c>
      <c r="AU296" s="317">
        <f t="shared" si="43"/>
        <v>182.22499999999999</v>
      </c>
      <c r="AV296" s="319">
        <v>0</v>
      </c>
      <c r="AW296" s="319">
        <v>0</v>
      </c>
      <c r="AX296" s="319">
        <v>0</v>
      </c>
      <c r="AY296" s="319">
        <v>0</v>
      </c>
      <c r="AZ296" s="319">
        <v>0</v>
      </c>
      <c r="BA296" s="319">
        <v>0</v>
      </c>
      <c r="BB296" s="319">
        <v>0</v>
      </c>
      <c r="BC296" s="319">
        <v>0</v>
      </c>
      <c r="BD296" s="319">
        <v>0</v>
      </c>
      <c r="BE296" s="319">
        <v>55.045999999999999</v>
      </c>
      <c r="BF296" s="319">
        <v>37.228999999999999</v>
      </c>
      <c r="BG296" s="319">
        <v>48.033999999999999</v>
      </c>
      <c r="BH296" s="319">
        <v>49.914000000000001</v>
      </c>
      <c r="BI296" s="317">
        <f t="shared" si="48"/>
        <v>190.22300000000001</v>
      </c>
      <c r="BJ296" s="316">
        <v>0</v>
      </c>
      <c r="BK296" s="316">
        <v>0</v>
      </c>
      <c r="BL296" s="316">
        <v>0</v>
      </c>
      <c r="BM296" s="316">
        <v>0</v>
      </c>
      <c r="BN296" s="316">
        <v>0</v>
      </c>
      <c r="BO296" s="316">
        <v>0</v>
      </c>
      <c r="BP296" s="316">
        <v>0</v>
      </c>
      <c r="BQ296" s="316">
        <v>0</v>
      </c>
      <c r="BR296" s="316">
        <v>0</v>
      </c>
      <c r="BS296" s="316">
        <v>37.656999999999996</v>
      </c>
      <c r="BT296" s="316">
        <v>53.383000000000003</v>
      </c>
      <c r="BU296" s="316">
        <v>45.183</v>
      </c>
      <c r="BV296" s="316">
        <v>54.76</v>
      </c>
      <c r="BW296" s="317">
        <f t="shared" si="46"/>
        <v>190.98299999999998</v>
      </c>
    </row>
    <row r="297" spans="1:75" x14ac:dyDescent="0.2">
      <c r="A297" s="20" t="str">
        <f>'School Level Inst. Resources'!A297</f>
        <v>1901000</v>
      </c>
      <c r="B297" s="20" t="str">
        <f>'School Level Inst. Resources'!B297</f>
        <v>Sweetwater #1</v>
      </c>
      <c r="C297" s="20" t="str">
        <f>'School Level Inst. Resources'!C297</f>
        <v>1901001</v>
      </c>
      <c r="D297" s="20" t="str">
        <f>'School Level Inst. Resources'!D297</f>
        <v>Desert Elementary</v>
      </c>
      <c r="E297" s="138" t="str">
        <f>'School Level Inst. Resources'!E297</f>
        <v>K-6</v>
      </c>
      <c r="F297" s="317">
        <f>IF(AND($A$2=4,VLOOKUP($A297,'District Level ADM'!$A$5:$W$52,5,FALSE)="Prior Year"),AH297,IF(AND($A$2=4,VLOOKUP($A297,'District Level ADM'!$A$5:$W$52,5,FALSE)="3-Year Avg."),T297,IF($A$2=2,AH297,IF($A$2=3,T297,IF(($AG297&gt;$AU297),T297,AH297)))))</f>
        <v>3.9120000000000004</v>
      </c>
      <c r="G297" s="317">
        <f>IF(AND($A$2=4,VLOOKUP($A297,'District Level ADM'!$A$5:$W$52,5,FALSE)="Prior Year"),AI297,IF(AND($A$2=4,VLOOKUP($A297,'District Level ADM'!$A$5:$W$52,5,FALSE)="3-Year Avg."),U297,IF($A$2=2,AI297,IF($A$2=3,U297,IF(($AG297&gt;$AU297),U297,AI297)))))</f>
        <v>3.5233333333333334</v>
      </c>
      <c r="H297" s="317">
        <f>IF(AND($A$2=4,VLOOKUP($A297,'District Level ADM'!$A$5:$W$52,5,FALSE)="Prior Year"),AJ297,IF(AND($A$2=4,VLOOKUP($A297,'District Level ADM'!$A$5:$W$52,5,FALSE)="3-Year Avg."),V297,IF($A$2=2,AJ297,IF($A$2=3,V297,IF(($AG297&gt;$AU297),V297,AJ297)))))</f>
        <v>5.0409999999999995</v>
      </c>
      <c r="I297" s="317">
        <f>IF(AND($A$2=4,VLOOKUP($A297,'District Level ADM'!$A$5:$W$52,5,FALSE)="Prior Year"),AK297,IF(AND($A$2=4,VLOOKUP($A297,'District Level ADM'!$A$5:$W$52,5,FALSE)="3-Year Avg."),W297,IF($A$2=2,AK297,IF($A$2=3,W297,IF(($AG297&gt;$AU297),W297,AK297)))))</f>
        <v>4.2176666666666671</v>
      </c>
      <c r="J297" s="317">
        <f>IF(AND($A$2=4,VLOOKUP($A297,'District Level ADM'!$A$5:$W$52,5,FALSE)="Prior Year"),AL297,IF(AND($A$2=4,VLOOKUP($A297,'District Level ADM'!$A$5:$W$52,5,FALSE)="3-Year Avg."),X297,IF($A$2=2,AL297,IF($A$2=3,X297,IF(($AG297&gt;$AU297),X297,AL297)))))</f>
        <v>2.9773333333333336</v>
      </c>
      <c r="K297" s="317">
        <f>IF(AND($A$2=4,VLOOKUP($A297,'District Level ADM'!$A$5:$W$52,5,FALSE)="Prior Year"),AM297,IF(AND($A$2=4,VLOOKUP($A297,'District Level ADM'!$A$5:$W$52,5,FALSE)="3-Year Avg."),Y297,IF($A$2=2,AM297,IF($A$2=3,Y297,IF(($AG297&gt;$AU297),Y297,AM297)))))</f>
        <v>3.7520000000000002</v>
      </c>
      <c r="L297" s="317">
        <f>IF(AND($A$2=4,VLOOKUP($A297,'District Level ADM'!$A$5:$W$52,5,FALSE)="Prior Year"),AN297,IF(AND($A$2=4,VLOOKUP($A297,'District Level ADM'!$A$5:$W$52,5,FALSE)="3-Year Avg."),Z297,IF($A$2=2,AN297,IF($A$2=3,Z297,IF(($AG297&gt;$AU297),Z297,AN297)))))</f>
        <v>4.2573333333333334</v>
      </c>
      <c r="M297" s="317">
        <f>IF(AND($A$2=4,VLOOKUP($A297,'District Level ADM'!$A$5:$W$52,5,FALSE)="Prior Year"),AO297,IF(AND($A$2=4,VLOOKUP($A297,'District Level ADM'!$A$5:$W$52,5,FALSE)="3-Year Avg."),AA297,IF($A$2=2,AO297,IF($A$2=3,AA297,IF(($AG297&gt;$AU297),AA297,AO297)))))</f>
        <v>0</v>
      </c>
      <c r="N297" s="317">
        <f>IF(AND($A$2=4,VLOOKUP($A297,'District Level ADM'!$A$5:$W$52,5,FALSE)="Prior Year"),AP297,IF(AND($A$2=4,VLOOKUP($A297,'District Level ADM'!$A$5:$W$52,5,FALSE)="3-Year Avg."),AB297,IF($A$2=2,AP297,IF($A$2=3,AB297,IF(($AG297&gt;$AU297),AB297,AP297)))))</f>
        <v>0</v>
      </c>
      <c r="O297" s="317">
        <f>IF(AND($A$2=4,VLOOKUP($A297,'District Level ADM'!$A$5:$W$52,5,FALSE)="Prior Year"),AQ297,IF(AND($A$2=4,VLOOKUP($A297,'District Level ADM'!$A$5:$W$52,5,FALSE)="3-Year Avg."),AC297,IF($A$2=2,AQ297,IF($A$2=3,AC297,IF(($AG297&gt;$AU297),AC297,AQ297)))))</f>
        <v>0</v>
      </c>
      <c r="P297" s="317">
        <f>IF(AND($A$2=4,VLOOKUP($A297,'District Level ADM'!$A$5:$W$52,5,FALSE)="Prior Year"),AR297,IF(AND($A$2=4,VLOOKUP($A297,'District Level ADM'!$A$5:$W$52,5,FALSE)="3-Year Avg."),AD297,IF($A$2=2,AR297,IF($A$2=3,AD297,IF(($AG297&gt;$AU297),AD297,AR297)))))</f>
        <v>0</v>
      </c>
      <c r="Q297" s="317">
        <f>IF(AND($A$2=4,VLOOKUP($A297,'District Level ADM'!$A$5:$W$52,5,FALSE)="Prior Year"),AS297,IF(AND($A$2=4,VLOOKUP($A297,'District Level ADM'!$A$5:$W$52,5,FALSE)="3-Year Avg."),AE297,IF($A$2=2,AS297,IF($A$2=3,AE297,IF(($AG297&gt;$AU297),AE297,AS297)))))</f>
        <v>0</v>
      </c>
      <c r="R297" s="317">
        <f>IF(AND($A$2=4,VLOOKUP($A297,'District Level ADM'!$A$5:$W$52,5,FALSE)="Prior Year"),AT297,IF(AND($A$2=4,VLOOKUP($A297,'District Level ADM'!$A$5:$W$52,5,FALSE)="3-Year Avg."),AF297,IF($A$2=2,AT297,IF($A$2=3,AF297,IF(($AG297&gt;$AU297),AF297,AT297)))))</f>
        <v>0</v>
      </c>
      <c r="S297" s="317">
        <f t="shared" si="44"/>
        <v>27.680666666666667</v>
      </c>
      <c r="T297" s="317">
        <f t="shared" si="50"/>
        <v>3.9120000000000004</v>
      </c>
      <c r="U297" s="317">
        <f t="shared" si="50"/>
        <v>3.5233333333333334</v>
      </c>
      <c r="V297" s="317">
        <f t="shared" si="50"/>
        <v>5.0409999999999995</v>
      </c>
      <c r="W297" s="317">
        <f t="shared" si="49"/>
        <v>4.2176666666666671</v>
      </c>
      <c r="X297" s="317">
        <f t="shared" si="49"/>
        <v>2.9773333333333336</v>
      </c>
      <c r="Y297" s="317">
        <f t="shared" si="49"/>
        <v>3.7520000000000002</v>
      </c>
      <c r="Z297" s="317">
        <f t="shared" si="49"/>
        <v>4.2573333333333334</v>
      </c>
      <c r="AA297" s="317">
        <f t="shared" si="49"/>
        <v>0</v>
      </c>
      <c r="AB297" s="317">
        <f t="shared" si="49"/>
        <v>0</v>
      </c>
      <c r="AC297" s="317">
        <f t="shared" si="49"/>
        <v>0</v>
      </c>
      <c r="AD297" s="317">
        <f t="shared" si="51"/>
        <v>0</v>
      </c>
      <c r="AE297" s="317">
        <f t="shared" si="51"/>
        <v>0</v>
      </c>
      <c r="AF297" s="317">
        <f t="shared" si="51"/>
        <v>0</v>
      </c>
      <c r="AG297" s="317">
        <f t="shared" si="45"/>
        <v>27.680666666666667</v>
      </c>
      <c r="AH297" s="318">
        <v>4.9249999999999998</v>
      </c>
      <c r="AI297" s="318">
        <v>1.97</v>
      </c>
      <c r="AJ297" s="318">
        <v>3.94</v>
      </c>
      <c r="AK297" s="318">
        <v>5.91</v>
      </c>
      <c r="AL297" s="318">
        <v>2.9550000000000001</v>
      </c>
      <c r="AM297" s="318">
        <v>1.97</v>
      </c>
      <c r="AN297" s="318">
        <v>2.9550000000000001</v>
      </c>
      <c r="AO297" s="318">
        <v>0</v>
      </c>
      <c r="AP297" s="318">
        <v>0</v>
      </c>
      <c r="AQ297" s="318">
        <v>0</v>
      </c>
      <c r="AR297" s="318">
        <v>0</v>
      </c>
      <c r="AS297" s="318">
        <v>0</v>
      </c>
      <c r="AT297" s="318">
        <v>0</v>
      </c>
      <c r="AU297" s="317">
        <f t="shared" si="43"/>
        <v>24.624999999999993</v>
      </c>
      <c r="AV297" s="319">
        <v>1.24</v>
      </c>
      <c r="AW297" s="319">
        <v>3.8109999999999999</v>
      </c>
      <c r="AX297" s="319">
        <v>5.8339999999999996</v>
      </c>
      <c r="AY297" s="319">
        <v>4.3090000000000002</v>
      </c>
      <c r="AZ297" s="319">
        <v>3.2170000000000001</v>
      </c>
      <c r="BA297" s="319">
        <v>2.5369999999999999</v>
      </c>
      <c r="BB297" s="319">
        <v>5.4459999999999997</v>
      </c>
      <c r="BC297" s="319">
        <v>0</v>
      </c>
      <c r="BD297" s="319">
        <v>0</v>
      </c>
      <c r="BE297" s="319">
        <v>0</v>
      </c>
      <c r="BF297" s="319">
        <v>0</v>
      </c>
      <c r="BG297" s="319">
        <v>0</v>
      </c>
      <c r="BH297" s="319">
        <v>0</v>
      </c>
      <c r="BI297" s="317">
        <f t="shared" si="48"/>
        <v>26.393999999999998</v>
      </c>
      <c r="BJ297" s="316">
        <v>5.5709999999999997</v>
      </c>
      <c r="BK297" s="316">
        <v>4.7889999999999997</v>
      </c>
      <c r="BL297" s="316">
        <v>5.3490000000000002</v>
      </c>
      <c r="BM297" s="316">
        <v>2.4340000000000002</v>
      </c>
      <c r="BN297" s="316">
        <v>2.76</v>
      </c>
      <c r="BO297" s="316">
        <v>6.7489999999999997</v>
      </c>
      <c r="BP297" s="316">
        <v>4.3710000000000004</v>
      </c>
      <c r="BQ297" s="316">
        <v>0</v>
      </c>
      <c r="BR297" s="316">
        <v>0</v>
      </c>
      <c r="BS297" s="316">
        <v>0</v>
      </c>
      <c r="BT297" s="316">
        <v>0</v>
      </c>
      <c r="BU297" s="316">
        <v>0</v>
      </c>
      <c r="BV297" s="316">
        <v>0</v>
      </c>
      <c r="BW297" s="317">
        <f t="shared" si="46"/>
        <v>32.022999999999996</v>
      </c>
    </row>
    <row r="298" spans="1:75" x14ac:dyDescent="0.2">
      <c r="A298" s="20" t="str">
        <f>'School Level Inst. Resources'!A298</f>
        <v>1901000</v>
      </c>
      <c r="B298" s="20" t="str">
        <f>'School Level Inst. Resources'!B298</f>
        <v>Sweetwater #1</v>
      </c>
      <c r="C298" s="20" t="str">
        <f>'School Level Inst. Resources'!C298</f>
        <v>1901002</v>
      </c>
      <c r="D298" s="20" t="str">
        <f>'School Level Inst. Resources'!D298</f>
        <v>Desert View Elementary</v>
      </c>
      <c r="E298" s="138" t="str">
        <f>'School Level Inst. Resources'!E298</f>
        <v>K-4</v>
      </c>
      <c r="F298" s="317">
        <f>IF(AND($A$2=4,VLOOKUP($A298,'District Level ADM'!$A$5:$W$52,5,FALSE)="Prior Year"),AH298,IF(AND($A$2=4,VLOOKUP($A298,'District Level ADM'!$A$5:$W$52,5,FALSE)="3-Year Avg."),T298,IF($A$2=2,AH298,IF($A$2=3,T298,IF(($AG298&gt;$AU298),T298,AH298)))))</f>
        <v>54.132171428571432</v>
      </c>
      <c r="G298" s="317">
        <f>IF(AND($A$2=4,VLOOKUP($A298,'District Level ADM'!$A$5:$W$52,5,FALSE)="Prior Year"),AI298,IF(AND($A$2=4,VLOOKUP($A298,'District Level ADM'!$A$5:$W$52,5,FALSE)="3-Year Avg."),U298,IF($A$2=2,AI298,IF($A$2=3,U298,IF(($AG298&gt;$AU298),U298,AI298)))))</f>
        <v>57.214171428571433</v>
      </c>
      <c r="H298" s="317">
        <f>IF(AND($A$2=4,VLOOKUP($A298,'District Level ADM'!$A$5:$W$52,5,FALSE)="Prior Year"),AJ298,IF(AND($A$2=4,VLOOKUP($A298,'District Level ADM'!$A$5:$W$52,5,FALSE)="3-Year Avg."),V298,IF($A$2=2,AJ298,IF($A$2=3,V298,IF(($AG298&gt;$AU298),V298,AJ298)))))</f>
        <v>56.466171428571435</v>
      </c>
      <c r="I298" s="317">
        <f>IF(AND($A$2=4,VLOOKUP($A298,'District Level ADM'!$A$5:$W$52,5,FALSE)="Prior Year"),AK298,IF(AND($A$2=4,VLOOKUP($A298,'District Level ADM'!$A$5:$W$52,5,FALSE)="3-Year Avg."),W298,IF($A$2=2,AK298,IF($A$2=3,W298,IF(($AG298&gt;$AU298),W298,AK298)))))</f>
        <v>59.809838095238092</v>
      </c>
      <c r="J298" s="317">
        <f>IF(AND($A$2=4,VLOOKUP($A298,'District Level ADM'!$A$5:$W$52,5,FALSE)="Prior Year"),AL298,IF(AND($A$2=4,VLOOKUP($A298,'District Level ADM'!$A$5:$W$52,5,FALSE)="3-Year Avg."),X298,IF($A$2=2,AL298,IF($A$2=3,X298,IF(($AG298&gt;$AU298),X298,AL298)))))</f>
        <v>59.620171428571432</v>
      </c>
      <c r="K298" s="317">
        <f>IF(AND($A$2=4,VLOOKUP($A298,'District Level ADM'!$A$5:$W$52,5,FALSE)="Prior Year"),AM298,IF(AND($A$2=4,VLOOKUP($A298,'District Level ADM'!$A$5:$W$52,5,FALSE)="3-Year Avg."),Y298,IF($A$2=2,AM298,IF($A$2=3,Y298,IF(($AG298&gt;$AU298),Y298,AM298)))))</f>
        <v>0</v>
      </c>
      <c r="L298" s="317">
        <f>IF(AND($A$2=4,VLOOKUP($A298,'District Level ADM'!$A$5:$W$52,5,FALSE)="Prior Year"),AN298,IF(AND($A$2=4,VLOOKUP($A298,'District Level ADM'!$A$5:$W$52,5,FALSE)="3-Year Avg."),Z298,IF($A$2=2,AN298,IF($A$2=3,Z298,IF(($AG298&gt;$AU298),Z298,AN298)))))</f>
        <v>0</v>
      </c>
      <c r="M298" s="317">
        <f>IF(AND($A$2=4,VLOOKUP($A298,'District Level ADM'!$A$5:$W$52,5,FALSE)="Prior Year"),AO298,IF(AND($A$2=4,VLOOKUP($A298,'District Level ADM'!$A$5:$W$52,5,FALSE)="3-Year Avg."),AA298,IF($A$2=2,AO298,IF($A$2=3,AA298,IF(($AG298&gt;$AU298),AA298,AO298)))))</f>
        <v>0</v>
      </c>
      <c r="N298" s="317">
        <f>IF(AND($A$2=4,VLOOKUP($A298,'District Level ADM'!$A$5:$W$52,5,FALSE)="Prior Year"),AP298,IF(AND($A$2=4,VLOOKUP($A298,'District Level ADM'!$A$5:$W$52,5,FALSE)="3-Year Avg."),AB298,IF($A$2=2,AP298,IF($A$2=3,AB298,IF(($AG298&gt;$AU298),AB298,AP298)))))</f>
        <v>0</v>
      </c>
      <c r="O298" s="317">
        <f>IF(AND($A$2=4,VLOOKUP($A298,'District Level ADM'!$A$5:$W$52,5,FALSE)="Prior Year"),AQ298,IF(AND($A$2=4,VLOOKUP($A298,'District Level ADM'!$A$5:$W$52,5,FALSE)="3-Year Avg."),AC298,IF($A$2=2,AQ298,IF($A$2=3,AC298,IF(($AG298&gt;$AU298),AC298,AQ298)))))</f>
        <v>0</v>
      </c>
      <c r="P298" s="317">
        <f>IF(AND($A$2=4,VLOOKUP($A298,'District Level ADM'!$A$5:$W$52,5,FALSE)="Prior Year"),AR298,IF(AND($A$2=4,VLOOKUP($A298,'District Level ADM'!$A$5:$W$52,5,FALSE)="3-Year Avg."),AD298,IF($A$2=2,AR298,IF($A$2=3,AD298,IF(($AG298&gt;$AU298),AD298,AR298)))))</f>
        <v>0</v>
      </c>
      <c r="Q298" s="317">
        <f>IF(AND($A$2=4,VLOOKUP($A298,'District Level ADM'!$A$5:$W$52,5,FALSE)="Prior Year"),AS298,IF(AND($A$2=4,VLOOKUP($A298,'District Level ADM'!$A$5:$W$52,5,FALSE)="3-Year Avg."),AE298,IF($A$2=2,AS298,IF($A$2=3,AE298,IF(($AG298&gt;$AU298),AE298,AS298)))))</f>
        <v>0</v>
      </c>
      <c r="R298" s="317">
        <f>IF(AND($A$2=4,VLOOKUP($A298,'District Level ADM'!$A$5:$W$52,5,FALSE)="Prior Year"),AT298,IF(AND($A$2=4,VLOOKUP($A298,'District Level ADM'!$A$5:$W$52,5,FALSE)="3-Year Avg."),AF298,IF($A$2=2,AT298,IF($A$2=3,AF298,IF(($AG298&gt;$AU298),AF298,AT298)))))</f>
        <v>0</v>
      </c>
      <c r="S298" s="317">
        <f t="shared" si="44"/>
        <v>287.24252380952385</v>
      </c>
      <c r="T298" s="317">
        <f t="shared" si="50"/>
        <v>54.132171428571432</v>
      </c>
      <c r="U298" s="317">
        <f t="shared" si="50"/>
        <v>57.214171428571433</v>
      </c>
      <c r="V298" s="317">
        <f t="shared" si="50"/>
        <v>56.466171428571435</v>
      </c>
      <c r="W298" s="317">
        <f t="shared" si="49"/>
        <v>59.809838095238092</v>
      </c>
      <c r="X298" s="317">
        <f t="shared" si="49"/>
        <v>59.620171428571432</v>
      </c>
      <c r="Y298" s="317">
        <f t="shared" si="49"/>
        <v>0</v>
      </c>
      <c r="Z298" s="317">
        <f t="shared" si="49"/>
        <v>0</v>
      </c>
      <c r="AA298" s="317">
        <f t="shared" si="49"/>
        <v>0</v>
      </c>
      <c r="AB298" s="317">
        <f t="shared" si="49"/>
        <v>0</v>
      </c>
      <c r="AC298" s="317">
        <f t="shared" si="49"/>
        <v>0</v>
      </c>
      <c r="AD298" s="317">
        <f t="shared" si="51"/>
        <v>0</v>
      </c>
      <c r="AE298" s="317">
        <f t="shared" si="51"/>
        <v>0</v>
      </c>
      <c r="AF298" s="317">
        <f t="shared" si="51"/>
        <v>0</v>
      </c>
      <c r="AG298" s="317">
        <f t="shared" si="45"/>
        <v>287.24252380952385</v>
      </c>
      <c r="AH298" s="318">
        <v>49.25</v>
      </c>
      <c r="AI298" s="318">
        <v>62.055</v>
      </c>
      <c r="AJ298" s="318">
        <v>55.16</v>
      </c>
      <c r="AK298" s="318">
        <v>71.905000000000001</v>
      </c>
      <c r="AL298" s="318">
        <v>65.010000000000005</v>
      </c>
      <c r="AM298" s="318">
        <v>0</v>
      </c>
      <c r="AN298" s="318">
        <v>0</v>
      </c>
      <c r="AO298" s="318">
        <v>0</v>
      </c>
      <c r="AP298" s="318">
        <v>0</v>
      </c>
      <c r="AQ298" s="318">
        <v>0</v>
      </c>
      <c r="AR298" s="318">
        <v>0</v>
      </c>
      <c r="AS298" s="318">
        <v>0</v>
      </c>
      <c r="AT298" s="318">
        <v>0</v>
      </c>
      <c r="AU298" s="317">
        <f t="shared" si="43"/>
        <v>303.38</v>
      </c>
      <c r="AV298" s="319">
        <v>57.089657142857142</v>
      </c>
      <c r="AW298" s="319">
        <v>46.575657142857146</v>
      </c>
      <c r="AX298" s="319">
        <v>56.449657142857141</v>
      </c>
      <c r="AY298" s="319">
        <v>56.118657142857145</v>
      </c>
      <c r="AZ298" s="319">
        <v>49.341657142857144</v>
      </c>
      <c r="BA298" s="319">
        <v>0</v>
      </c>
      <c r="BB298" s="319">
        <v>0</v>
      </c>
      <c r="BC298" s="319">
        <v>0</v>
      </c>
      <c r="BD298" s="319">
        <v>0</v>
      </c>
      <c r="BE298" s="319">
        <v>0</v>
      </c>
      <c r="BF298" s="319">
        <v>0</v>
      </c>
      <c r="BG298" s="319">
        <v>0</v>
      </c>
      <c r="BH298" s="319">
        <v>0</v>
      </c>
      <c r="BI298" s="317">
        <f t="shared" si="48"/>
        <v>265.57528571428577</v>
      </c>
      <c r="BJ298" s="316">
        <v>56.056857142857147</v>
      </c>
      <c r="BK298" s="316">
        <v>63.011857142857146</v>
      </c>
      <c r="BL298" s="316">
        <v>57.788857142857147</v>
      </c>
      <c r="BM298" s="316">
        <v>51.405857142857144</v>
      </c>
      <c r="BN298" s="316">
        <v>64.508857142857138</v>
      </c>
      <c r="BO298" s="316">
        <v>0</v>
      </c>
      <c r="BP298" s="316">
        <v>0</v>
      </c>
      <c r="BQ298" s="316">
        <v>0</v>
      </c>
      <c r="BR298" s="316">
        <v>0</v>
      </c>
      <c r="BS298" s="316">
        <v>0</v>
      </c>
      <c r="BT298" s="316">
        <v>0</v>
      </c>
      <c r="BU298" s="316">
        <v>0</v>
      </c>
      <c r="BV298" s="316">
        <v>0</v>
      </c>
      <c r="BW298" s="317">
        <f t="shared" si="46"/>
        <v>292.77228571428572</v>
      </c>
    </row>
    <row r="299" spans="1:75" x14ac:dyDescent="0.2">
      <c r="A299" s="20" t="str">
        <f>'School Level Inst. Resources'!A299</f>
        <v>1901000</v>
      </c>
      <c r="B299" s="20" t="str">
        <f>'School Level Inst. Resources'!B299</f>
        <v>Sweetwater #1</v>
      </c>
      <c r="C299" s="20" t="str">
        <f>'School Level Inst. Resources'!C299</f>
        <v>1901003</v>
      </c>
      <c r="D299" s="20" t="str">
        <f>'School Level Inst. Resources'!D299</f>
        <v>Farson-Eden Elementary</v>
      </c>
      <c r="E299" s="138" t="str">
        <f>'School Level Inst. Resources'!E299</f>
        <v>K-5</v>
      </c>
      <c r="F299" s="317">
        <f>IF(AND($A$2=4,VLOOKUP($A299,'District Level ADM'!$A$5:$W$52,5,FALSE)="Prior Year"),AH299,IF(AND($A$2=4,VLOOKUP($A299,'District Level ADM'!$A$5:$W$52,5,FALSE)="3-Year Avg."),T299,IF($A$2=2,AH299,IF($A$2=3,T299,IF(($AG299&gt;$AU299),T299,AH299)))))</f>
        <v>11.285666666666666</v>
      </c>
      <c r="G299" s="317">
        <f>IF(AND($A$2=4,VLOOKUP($A299,'District Level ADM'!$A$5:$W$52,5,FALSE)="Prior Year"),AI299,IF(AND($A$2=4,VLOOKUP($A299,'District Level ADM'!$A$5:$W$52,5,FALSE)="3-Year Avg."),U299,IF($A$2=2,AI299,IF($A$2=3,U299,IF(($AG299&gt;$AU299),U299,AI299)))))</f>
        <v>11.247666666666667</v>
      </c>
      <c r="H299" s="317">
        <f>IF(AND($A$2=4,VLOOKUP($A299,'District Level ADM'!$A$5:$W$52,5,FALSE)="Prior Year"),AJ299,IF(AND($A$2=4,VLOOKUP($A299,'District Level ADM'!$A$5:$W$52,5,FALSE)="3-Year Avg."),V299,IF($A$2=2,AJ299,IF($A$2=3,V299,IF(($AG299&gt;$AU299),V299,AJ299)))))</f>
        <v>10.765000000000001</v>
      </c>
      <c r="I299" s="317">
        <f>IF(AND($A$2=4,VLOOKUP($A299,'District Level ADM'!$A$5:$W$52,5,FALSE)="Prior Year"),AK299,IF(AND($A$2=4,VLOOKUP($A299,'District Level ADM'!$A$5:$W$52,5,FALSE)="3-Year Avg."),W299,IF($A$2=2,AK299,IF($A$2=3,W299,IF(($AG299&gt;$AU299),W299,AK299)))))</f>
        <v>12.263333333333334</v>
      </c>
      <c r="J299" s="317">
        <f>IF(AND($A$2=4,VLOOKUP($A299,'District Level ADM'!$A$5:$W$52,5,FALSE)="Prior Year"),AL299,IF(AND($A$2=4,VLOOKUP($A299,'District Level ADM'!$A$5:$W$52,5,FALSE)="3-Year Avg."),X299,IF($A$2=2,AL299,IF($A$2=3,X299,IF(($AG299&gt;$AU299),X299,AL299)))))</f>
        <v>12.154000000000002</v>
      </c>
      <c r="K299" s="317">
        <f>IF(AND($A$2=4,VLOOKUP($A299,'District Level ADM'!$A$5:$W$52,5,FALSE)="Prior Year"),AM299,IF(AND($A$2=4,VLOOKUP($A299,'District Level ADM'!$A$5:$W$52,5,FALSE)="3-Year Avg."),Y299,IF($A$2=2,AM299,IF($A$2=3,Y299,IF(($AG299&gt;$AU299),Y299,AM299)))))</f>
        <v>12.702666666666666</v>
      </c>
      <c r="L299" s="317">
        <f>IF(AND($A$2=4,VLOOKUP($A299,'District Level ADM'!$A$5:$W$52,5,FALSE)="Prior Year"),AN299,IF(AND($A$2=4,VLOOKUP($A299,'District Level ADM'!$A$5:$W$52,5,FALSE)="3-Year Avg."),Z299,IF($A$2=2,AN299,IF($A$2=3,Z299,IF(($AG299&gt;$AU299),Z299,AN299)))))</f>
        <v>0</v>
      </c>
      <c r="M299" s="317">
        <f>IF(AND($A$2=4,VLOOKUP($A299,'District Level ADM'!$A$5:$W$52,5,FALSE)="Prior Year"),AO299,IF(AND($A$2=4,VLOOKUP($A299,'District Level ADM'!$A$5:$W$52,5,FALSE)="3-Year Avg."),AA299,IF($A$2=2,AO299,IF($A$2=3,AA299,IF(($AG299&gt;$AU299),AA299,AO299)))))</f>
        <v>0</v>
      </c>
      <c r="N299" s="317">
        <f>IF(AND($A$2=4,VLOOKUP($A299,'District Level ADM'!$A$5:$W$52,5,FALSE)="Prior Year"),AP299,IF(AND($A$2=4,VLOOKUP($A299,'District Level ADM'!$A$5:$W$52,5,FALSE)="3-Year Avg."),AB299,IF($A$2=2,AP299,IF($A$2=3,AB299,IF(($AG299&gt;$AU299),AB299,AP299)))))</f>
        <v>0</v>
      </c>
      <c r="O299" s="317">
        <f>IF(AND($A$2=4,VLOOKUP($A299,'District Level ADM'!$A$5:$W$52,5,FALSE)="Prior Year"),AQ299,IF(AND($A$2=4,VLOOKUP($A299,'District Level ADM'!$A$5:$W$52,5,FALSE)="3-Year Avg."),AC299,IF($A$2=2,AQ299,IF($A$2=3,AC299,IF(($AG299&gt;$AU299),AC299,AQ299)))))</f>
        <v>0</v>
      </c>
      <c r="P299" s="317">
        <f>IF(AND($A$2=4,VLOOKUP($A299,'District Level ADM'!$A$5:$W$52,5,FALSE)="Prior Year"),AR299,IF(AND($A$2=4,VLOOKUP($A299,'District Level ADM'!$A$5:$W$52,5,FALSE)="3-Year Avg."),AD299,IF($A$2=2,AR299,IF($A$2=3,AD299,IF(($AG299&gt;$AU299),AD299,AR299)))))</f>
        <v>0</v>
      </c>
      <c r="Q299" s="317">
        <f>IF(AND($A$2=4,VLOOKUP($A299,'District Level ADM'!$A$5:$W$52,5,FALSE)="Prior Year"),AS299,IF(AND($A$2=4,VLOOKUP($A299,'District Level ADM'!$A$5:$W$52,5,FALSE)="3-Year Avg."),AE299,IF($A$2=2,AS299,IF($A$2=3,AE299,IF(($AG299&gt;$AU299),AE299,AS299)))))</f>
        <v>0</v>
      </c>
      <c r="R299" s="317">
        <f>IF(AND($A$2=4,VLOOKUP($A299,'District Level ADM'!$A$5:$W$52,5,FALSE)="Prior Year"),AT299,IF(AND($A$2=4,VLOOKUP($A299,'District Level ADM'!$A$5:$W$52,5,FALSE)="3-Year Avg."),AF299,IF($A$2=2,AT299,IF($A$2=3,AF299,IF(($AG299&gt;$AU299),AF299,AT299)))))</f>
        <v>0</v>
      </c>
      <c r="S299" s="317">
        <f t="shared" si="44"/>
        <v>70.418333333333337</v>
      </c>
      <c r="T299" s="317">
        <f t="shared" si="50"/>
        <v>11.285666666666666</v>
      </c>
      <c r="U299" s="317">
        <f t="shared" si="50"/>
        <v>11.247666666666667</v>
      </c>
      <c r="V299" s="317">
        <f t="shared" si="50"/>
        <v>10.765000000000001</v>
      </c>
      <c r="W299" s="317">
        <f t="shared" si="49"/>
        <v>12.263333333333334</v>
      </c>
      <c r="X299" s="317">
        <f t="shared" si="49"/>
        <v>12.154000000000002</v>
      </c>
      <c r="Y299" s="317">
        <f t="shared" si="49"/>
        <v>12.702666666666666</v>
      </c>
      <c r="Z299" s="317">
        <f t="shared" si="49"/>
        <v>0</v>
      </c>
      <c r="AA299" s="317">
        <f t="shared" si="49"/>
        <v>0</v>
      </c>
      <c r="AB299" s="317">
        <f t="shared" si="49"/>
        <v>0</v>
      </c>
      <c r="AC299" s="317">
        <f t="shared" si="49"/>
        <v>0</v>
      </c>
      <c r="AD299" s="317">
        <f t="shared" si="51"/>
        <v>0</v>
      </c>
      <c r="AE299" s="317">
        <f t="shared" si="51"/>
        <v>0</v>
      </c>
      <c r="AF299" s="317">
        <f t="shared" si="51"/>
        <v>0</v>
      </c>
      <c r="AG299" s="317">
        <f t="shared" si="45"/>
        <v>70.418333333333337</v>
      </c>
      <c r="AH299" s="318">
        <v>5.91</v>
      </c>
      <c r="AI299" s="318">
        <v>9.85</v>
      </c>
      <c r="AJ299" s="318">
        <v>10.835000000000001</v>
      </c>
      <c r="AK299" s="318">
        <v>9.85</v>
      </c>
      <c r="AL299" s="318">
        <v>10.835000000000001</v>
      </c>
      <c r="AM299" s="318">
        <v>14.775</v>
      </c>
      <c r="AN299" s="318">
        <v>0</v>
      </c>
      <c r="AO299" s="318">
        <v>0</v>
      </c>
      <c r="AP299" s="318">
        <v>0</v>
      </c>
      <c r="AQ299" s="318">
        <v>0</v>
      </c>
      <c r="AR299" s="318">
        <v>0</v>
      </c>
      <c r="AS299" s="318">
        <v>0</v>
      </c>
      <c r="AT299" s="318">
        <v>0</v>
      </c>
      <c r="AU299" s="317">
        <f t="shared" si="43"/>
        <v>62.055</v>
      </c>
      <c r="AV299" s="319">
        <v>11</v>
      </c>
      <c r="AW299" s="319">
        <v>12.813000000000001</v>
      </c>
      <c r="AX299" s="319">
        <v>9.4600000000000009</v>
      </c>
      <c r="AY299" s="319">
        <v>13.807</v>
      </c>
      <c r="AZ299" s="319">
        <v>13.92</v>
      </c>
      <c r="BA299" s="319">
        <v>13</v>
      </c>
      <c r="BB299" s="319">
        <v>0</v>
      </c>
      <c r="BC299" s="319">
        <v>0</v>
      </c>
      <c r="BD299" s="319">
        <v>0</v>
      </c>
      <c r="BE299" s="319">
        <v>0</v>
      </c>
      <c r="BF299" s="319">
        <v>0</v>
      </c>
      <c r="BG299" s="319">
        <v>0</v>
      </c>
      <c r="BH299" s="319">
        <v>0</v>
      </c>
      <c r="BI299" s="317">
        <f t="shared" si="48"/>
        <v>74</v>
      </c>
      <c r="BJ299" s="316">
        <v>16.946999999999999</v>
      </c>
      <c r="BK299" s="316">
        <v>11.08</v>
      </c>
      <c r="BL299" s="316">
        <v>12</v>
      </c>
      <c r="BM299" s="316">
        <v>13.132999999999999</v>
      </c>
      <c r="BN299" s="316">
        <v>11.707000000000001</v>
      </c>
      <c r="BO299" s="316">
        <v>10.333</v>
      </c>
      <c r="BP299" s="316">
        <v>0</v>
      </c>
      <c r="BQ299" s="316">
        <v>0</v>
      </c>
      <c r="BR299" s="316">
        <v>0</v>
      </c>
      <c r="BS299" s="316">
        <v>0</v>
      </c>
      <c r="BT299" s="316">
        <v>0</v>
      </c>
      <c r="BU299" s="316">
        <v>0</v>
      </c>
      <c r="BV299" s="316">
        <v>0</v>
      </c>
      <c r="BW299" s="317">
        <f t="shared" si="46"/>
        <v>75.199999999999989</v>
      </c>
    </row>
    <row r="300" spans="1:75" x14ac:dyDescent="0.2">
      <c r="A300" s="20" t="str">
        <f>'School Level Inst. Resources'!A300</f>
        <v>1901000</v>
      </c>
      <c r="B300" s="20" t="str">
        <f>'School Level Inst. Resources'!B300</f>
        <v>Sweetwater #1</v>
      </c>
      <c r="C300" s="20" t="str">
        <f>'School Level Inst. Resources'!C300</f>
        <v>1901004</v>
      </c>
      <c r="D300" s="20" t="str">
        <f>'School Level Inst. Resources'!D300</f>
        <v>Eastside Elementary</v>
      </c>
      <c r="E300" s="138" t="str">
        <f>'School Level Inst. Resources'!E300</f>
        <v>5-6</v>
      </c>
      <c r="F300" s="317">
        <f>IF(AND($A$2=4,VLOOKUP($A300,'District Level ADM'!$A$5:$W$52,5,FALSE)="Prior Year"),AH300,IF(AND($A$2=4,VLOOKUP($A300,'District Level ADM'!$A$5:$W$52,5,FALSE)="3-Year Avg."),T300,IF($A$2=2,AH300,IF($A$2=3,T300,IF(($AG300&gt;$AU300),T300,AH300)))))</f>
        <v>0</v>
      </c>
      <c r="G300" s="317">
        <f>IF(AND($A$2=4,VLOOKUP($A300,'District Level ADM'!$A$5:$W$52,5,FALSE)="Prior Year"),AI300,IF(AND($A$2=4,VLOOKUP($A300,'District Level ADM'!$A$5:$W$52,5,FALSE)="3-Year Avg."),U300,IF($A$2=2,AI300,IF($A$2=3,U300,IF(($AG300&gt;$AU300),U300,AI300)))))</f>
        <v>0</v>
      </c>
      <c r="H300" s="317">
        <f>IF(AND($A$2=4,VLOOKUP($A300,'District Level ADM'!$A$5:$W$52,5,FALSE)="Prior Year"),AJ300,IF(AND($A$2=4,VLOOKUP($A300,'District Level ADM'!$A$5:$W$52,5,FALSE)="3-Year Avg."),V300,IF($A$2=2,AJ300,IF($A$2=3,V300,IF(($AG300&gt;$AU300),V300,AJ300)))))</f>
        <v>0</v>
      </c>
      <c r="I300" s="317">
        <f>IF(AND($A$2=4,VLOOKUP($A300,'District Level ADM'!$A$5:$W$52,5,FALSE)="Prior Year"),AK300,IF(AND($A$2=4,VLOOKUP($A300,'District Level ADM'!$A$5:$W$52,5,FALSE)="3-Year Avg."),W300,IF($A$2=2,AK300,IF($A$2=3,W300,IF(($AG300&gt;$AU300),W300,AK300)))))</f>
        <v>0</v>
      </c>
      <c r="J300" s="317">
        <f>IF(AND($A$2=4,VLOOKUP($A300,'District Level ADM'!$A$5:$W$52,5,FALSE)="Prior Year"),AL300,IF(AND($A$2=4,VLOOKUP($A300,'District Level ADM'!$A$5:$W$52,5,FALSE)="3-Year Avg."),X300,IF($A$2=2,AL300,IF($A$2=3,X300,IF(($AG300&gt;$AU300),X300,AL300)))))</f>
        <v>0</v>
      </c>
      <c r="K300" s="317">
        <f>IF(AND($A$2=4,VLOOKUP($A300,'District Level ADM'!$A$5:$W$52,5,FALSE)="Prior Year"),AM300,IF(AND($A$2=4,VLOOKUP($A300,'District Level ADM'!$A$5:$W$52,5,FALSE)="3-Year Avg."),Y300,IF($A$2=2,AM300,IF($A$2=3,Y300,IF(($AG300&gt;$AU300),Y300,AM300)))))</f>
        <v>227.07566666666665</v>
      </c>
      <c r="L300" s="317">
        <f>IF(AND($A$2=4,VLOOKUP($A300,'District Level ADM'!$A$5:$W$52,5,FALSE)="Prior Year"),AN300,IF(AND($A$2=4,VLOOKUP($A300,'District Level ADM'!$A$5:$W$52,5,FALSE)="3-Year Avg."),Z300,IF($A$2=2,AN300,IF($A$2=3,Z300,IF(($AG300&gt;$AU300),Z300,AN300)))))</f>
        <v>214.12199999999999</v>
      </c>
      <c r="M300" s="317">
        <f>IF(AND($A$2=4,VLOOKUP($A300,'District Level ADM'!$A$5:$W$52,5,FALSE)="Prior Year"),AO300,IF(AND($A$2=4,VLOOKUP($A300,'District Level ADM'!$A$5:$W$52,5,FALSE)="3-Year Avg."),AA300,IF($A$2=2,AO300,IF($A$2=3,AA300,IF(($AG300&gt;$AU300),AA300,AO300)))))</f>
        <v>0</v>
      </c>
      <c r="N300" s="317">
        <f>IF(AND($A$2=4,VLOOKUP($A300,'District Level ADM'!$A$5:$W$52,5,FALSE)="Prior Year"),AP300,IF(AND($A$2=4,VLOOKUP($A300,'District Level ADM'!$A$5:$W$52,5,FALSE)="3-Year Avg."),AB300,IF($A$2=2,AP300,IF($A$2=3,AB300,IF(($AG300&gt;$AU300),AB300,AP300)))))</f>
        <v>0</v>
      </c>
      <c r="O300" s="317">
        <f>IF(AND($A$2=4,VLOOKUP($A300,'District Level ADM'!$A$5:$W$52,5,FALSE)="Prior Year"),AQ300,IF(AND($A$2=4,VLOOKUP($A300,'District Level ADM'!$A$5:$W$52,5,FALSE)="3-Year Avg."),AC300,IF($A$2=2,AQ300,IF($A$2=3,AC300,IF(($AG300&gt;$AU300),AC300,AQ300)))))</f>
        <v>0</v>
      </c>
      <c r="P300" s="317">
        <f>IF(AND($A$2=4,VLOOKUP($A300,'District Level ADM'!$A$5:$W$52,5,FALSE)="Prior Year"),AR300,IF(AND($A$2=4,VLOOKUP($A300,'District Level ADM'!$A$5:$W$52,5,FALSE)="3-Year Avg."),AD300,IF($A$2=2,AR300,IF($A$2=3,AD300,IF(($AG300&gt;$AU300),AD300,AR300)))))</f>
        <v>0</v>
      </c>
      <c r="Q300" s="317">
        <f>IF(AND($A$2=4,VLOOKUP($A300,'District Level ADM'!$A$5:$W$52,5,FALSE)="Prior Year"),AS300,IF(AND($A$2=4,VLOOKUP($A300,'District Level ADM'!$A$5:$W$52,5,FALSE)="3-Year Avg."),AE300,IF($A$2=2,AS300,IF($A$2=3,AE300,IF(($AG300&gt;$AU300),AE300,AS300)))))</f>
        <v>0</v>
      </c>
      <c r="R300" s="317">
        <f>IF(AND($A$2=4,VLOOKUP($A300,'District Level ADM'!$A$5:$W$52,5,FALSE)="Prior Year"),AT300,IF(AND($A$2=4,VLOOKUP($A300,'District Level ADM'!$A$5:$W$52,5,FALSE)="3-Year Avg."),AF300,IF($A$2=2,AT300,IF($A$2=3,AF300,IF(($AG300&gt;$AU300),AF300,AT300)))))</f>
        <v>0</v>
      </c>
      <c r="S300" s="317">
        <f t="shared" si="44"/>
        <v>441.19766666666663</v>
      </c>
      <c r="T300" s="317">
        <f t="shared" si="50"/>
        <v>0</v>
      </c>
      <c r="U300" s="317">
        <f t="shared" si="50"/>
        <v>0</v>
      </c>
      <c r="V300" s="317">
        <f t="shared" si="50"/>
        <v>0</v>
      </c>
      <c r="W300" s="317">
        <f t="shared" si="49"/>
        <v>0</v>
      </c>
      <c r="X300" s="317">
        <f t="shared" si="49"/>
        <v>0</v>
      </c>
      <c r="Y300" s="317">
        <f t="shared" si="49"/>
        <v>227.07566666666665</v>
      </c>
      <c r="Z300" s="317">
        <f t="shared" si="49"/>
        <v>214.12199999999999</v>
      </c>
      <c r="AA300" s="317">
        <f t="shared" si="49"/>
        <v>0</v>
      </c>
      <c r="AB300" s="317">
        <f t="shared" si="49"/>
        <v>0</v>
      </c>
      <c r="AC300" s="317">
        <f t="shared" si="49"/>
        <v>0</v>
      </c>
      <c r="AD300" s="317">
        <f t="shared" si="51"/>
        <v>0</v>
      </c>
      <c r="AE300" s="317">
        <f t="shared" si="51"/>
        <v>0</v>
      </c>
      <c r="AF300" s="317">
        <f t="shared" si="51"/>
        <v>0</v>
      </c>
      <c r="AG300" s="317">
        <f t="shared" si="45"/>
        <v>441.19766666666663</v>
      </c>
      <c r="AH300" s="318">
        <v>0</v>
      </c>
      <c r="AI300" s="318">
        <v>0</v>
      </c>
      <c r="AJ300" s="318">
        <v>0</v>
      </c>
      <c r="AK300" s="318">
        <v>0</v>
      </c>
      <c r="AL300" s="318">
        <v>0</v>
      </c>
      <c r="AM300" s="318">
        <v>222.61</v>
      </c>
      <c r="AN300" s="318">
        <v>232.46</v>
      </c>
      <c r="AO300" s="318">
        <v>0</v>
      </c>
      <c r="AP300" s="318">
        <v>0</v>
      </c>
      <c r="AQ300" s="318">
        <v>0</v>
      </c>
      <c r="AR300" s="318">
        <v>0</v>
      </c>
      <c r="AS300" s="318">
        <v>0</v>
      </c>
      <c r="AT300" s="318">
        <v>0</v>
      </c>
      <c r="AU300" s="317">
        <f t="shared" si="43"/>
        <v>455.07000000000005</v>
      </c>
      <c r="AV300" s="319">
        <v>0</v>
      </c>
      <c r="AW300" s="319">
        <v>0</v>
      </c>
      <c r="AX300" s="319">
        <v>0</v>
      </c>
      <c r="AY300" s="319">
        <v>0</v>
      </c>
      <c r="AZ300" s="319">
        <v>0</v>
      </c>
      <c r="BA300" s="319">
        <v>232.834</v>
      </c>
      <c r="BB300" s="319">
        <v>220.78</v>
      </c>
      <c r="BC300" s="319">
        <v>0</v>
      </c>
      <c r="BD300" s="319">
        <v>0</v>
      </c>
      <c r="BE300" s="319">
        <v>0</v>
      </c>
      <c r="BF300" s="319">
        <v>0</v>
      </c>
      <c r="BG300" s="319">
        <v>0</v>
      </c>
      <c r="BH300" s="319">
        <v>0</v>
      </c>
      <c r="BI300" s="317">
        <f t="shared" si="48"/>
        <v>453.61400000000003</v>
      </c>
      <c r="BJ300" s="316">
        <v>0</v>
      </c>
      <c r="BK300" s="316">
        <v>0</v>
      </c>
      <c r="BL300" s="316">
        <v>0</v>
      </c>
      <c r="BM300" s="316">
        <v>0</v>
      </c>
      <c r="BN300" s="316">
        <v>0</v>
      </c>
      <c r="BO300" s="316">
        <v>225.78299999999999</v>
      </c>
      <c r="BP300" s="316">
        <v>189.126</v>
      </c>
      <c r="BQ300" s="316">
        <v>0</v>
      </c>
      <c r="BR300" s="316">
        <v>0</v>
      </c>
      <c r="BS300" s="316">
        <v>0</v>
      </c>
      <c r="BT300" s="316">
        <v>0</v>
      </c>
      <c r="BU300" s="316">
        <v>0</v>
      </c>
      <c r="BV300" s="316">
        <v>0</v>
      </c>
      <c r="BW300" s="317">
        <f t="shared" si="46"/>
        <v>414.90899999999999</v>
      </c>
    </row>
    <row r="301" spans="1:75" x14ac:dyDescent="0.2">
      <c r="A301" s="20" t="str">
        <f>'School Level Inst. Resources'!A301</f>
        <v>1901000</v>
      </c>
      <c r="B301" s="20" t="str">
        <f>'School Level Inst. Resources'!B301</f>
        <v>Sweetwater #1</v>
      </c>
      <c r="C301" s="20" t="str">
        <f>'School Level Inst. Resources'!C301</f>
        <v>1901006</v>
      </c>
      <c r="D301" s="20" t="str">
        <f>'School Level Inst. Resources'!D301</f>
        <v>Overland Elementary</v>
      </c>
      <c r="E301" s="138" t="str">
        <f>'School Level Inst. Resources'!E301</f>
        <v>K-4</v>
      </c>
      <c r="F301" s="317">
        <f>IF(AND($A$2=4,VLOOKUP($A301,'District Level ADM'!$A$5:$W$52,5,FALSE)="Prior Year"),AH301,IF(AND($A$2=4,VLOOKUP($A301,'District Level ADM'!$A$5:$W$52,5,FALSE)="3-Year Avg."),T301,IF($A$2=2,AH301,IF($A$2=3,T301,IF(($AG301&gt;$AU301),T301,AH301)))))</f>
        <v>50.651171428571423</v>
      </c>
      <c r="G301" s="317">
        <f>IF(AND($A$2=4,VLOOKUP($A301,'District Level ADM'!$A$5:$W$52,5,FALSE)="Prior Year"),AI301,IF(AND($A$2=4,VLOOKUP($A301,'District Level ADM'!$A$5:$W$52,5,FALSE)="3-Year Avg."),U301,IF($A$2=2,AI301,IF($A$2=3,U301,IF(($AG301&gt;$AU301),U301,AI301)))))</f>
        <v>52.831504761904768</v>
      </c>
      <c r="H301" s="317">
        <f>IF(AND($A$2=4,VLOOKUP($A301,'District Level ADM'!$A$5:$W$52,5,FALSE)="Prior Year"),AJ301,IF(AND($A$2=4,VLOOKUP($A301,'District Level ADM'!$A$5:$W$52,5,FALSE)="3-Year Avg."),V301,IF($A$2=2,AJ301,IF($A$2=3,V301,IF(($AG301&gt;$AU301),V301,AJ301)))))</f>
        <v>58.404838095238098</v>
      </c>
      <c r="I301" s="317">
        <f>IF(AND($A$2=4,VLOOKUP($A301,'District Level ADM'!$A$5:$W$52,5,FALSE)="Prior Year"),AK301,IF(AND($A$2=4,VLOOKUP($A301,'District Level ADM'!$A$5:$W$52,5,FALSE)="3-Year Avg."),W301,IF($A$2=2,AK301,IF($A$2=3,W301,IF(($AG301&gt;$AU301),W301,AK301)))))</f>
        <v>56.711504761904763</v>
      </c>
      <c r="J301" s="317">
        <f>IF(AND($A$2=4,VLOOKUP($A301,'District Level ADM'!$A$5:$W$52,5,FALSE)="Prior Year"),AL301,IF(AND($A$2=4,VLOOKUP($A301,'District Level ADM'!$A$5:$W$52,5,FALSE)="3-Year Avg."),X301,IF($A$2=2,AL301,IF($A$2=3,X301,IF(($AG301&gt;$AU301),X301,AL301)))))</f>
        <v>53.945838095238095</v>
      </c>
      <c r="K301" s="317">
        <f>IF(AND($A$2=4,VLOOKUP($A301,'District Level ADM'!$A$5:$W$52,5,FALSE)="Prior Year"),AM301,IF(AND($A$2=4,VLOOKUP($A301,'District Level ADM'!$A$5:$W$52,5,FALSE)="3-Year Avg."),Y301,IF($A$2=2,AM301,IF($A$2=3,Y301,IF(($AG301&gt;$AU301),Y301,AM301)))))</f>
        <v>0</v>
      </c>
      <c r="L301" s="317">
        <f>IF(AND($A$2=4,VLOOKUP($A301,'District Level ADM'!$A$5:$W$52,5,FALSE)="Prior Year"),AN301,IF(AND($A$2=4,VLOOKUP($A301,'District Level ADM'!$A$5:$W$52,5,FALSE)="3-Year Avg."),Z301,IF($A$2=2,AN301,IF($A$2=3,Z301,IF(($AG301&gt;$AU301),Z301,AN301)))))</f>
        <v>0</v>
      </c>
      <c r="M301" s="317">
        <f>IF(AND($A$2=4,VLOOKUP($A301,'District Level ADM'!$A$5:$W$52,5,FALSE)="Prior Year"),AO301,IF(AND($A$2=4,VLOOKUP($A301,'District Level ADM'!$A$5:$W$52,5,FALSE)="3-Year Avg."),AA301,IF($A$2=2,AO301,IF($A$2=3,AA301,IF(($AG301&gt;$AU301),AA301,AO301)))))</f>
        <v>0</v>
      </c>
      <c r="N301" s="317">
        <f>IF(AND($A$2=4,VLOOKUP($A301,'District Level ADM'!$A$5:$W$52,5,FALSE)="Prior Year"),AP301,IF(AND($A$2=4,VLOOKUP($A301,'District Level ADM'!$A$5:$W$52,5,FALSE)="3-Year Avg."),AB301,IF($A$2=2,AP301,IF($A$2=3,AB301,IF(($AG301&gt;$AU301),AB301,AP301)))))</f>
        <v>0</v>
      </c>
      <c r="O301" s="317">
        <f>IF(AND($A$2=4,VLOOKUP($A301,'District Level ADM'!$A$5:$W$52,5,FALSE)="Prior Year"),AQ301,IF(AND($A$2=4,VLOOKUP($A301,'District Level ADM'!$A$5:$W$52,5,FALSE)="3-Year Avg."),AC301,IF($A$2=2,AQ301,IF($A$2=3,AC301,IF(($AG301&gt;$AU301),AC301,AQ301)))))</f>
        <v>0</v>
      </c>
      <c r="P301" s="317">
        <f>IF(AND($A$2=4,VLOOKUP($A301,'District Level ADM'!$A$5:$W$52,5,FALSE)="Prior Year"),AR301,IF(AND($A$2=4,VLOOKUP($A301,'District Level ADM'!$A$5:$W$52,5,FALSE)="3-Year Avg."),AD301,IF($A$2=2,AR301,IF($A$2=3,AD301,IF(($AG301&gt;$AU301),AD301,AR301)))))</f>
        <v>0</v>
      </c>
      <c r="Q301" s="317">
        <f>IF(AND($A$2=4,VLOOKUP($A301,'District Level ADM'!$A$5:$W$52,5,FALSE)="Prior Year"),AS301,IF(AND($A$2=4,VLOOKUP($A301,'District Level ADM'!$A$5:$W$52,5,FALSE)="3-Year Avg."),AE301,IF($A$2=2,AS301,IF($A$2=3,AE301,IF(($AG301&gt;$AU301),AE301,AS301)))))</f>
        <v>0</v>
      </c>
      <c r="R301" s="317">
        <f>IF(AND($A$2=4,VLOOKUP($A301,'District Level ADM'!$A$5:$W$52,5,FALSE)="Prior Year"),AT301,IF(AND($A$2=4,VLOOKUP($A301,'District Level ADM'!$A$5:$W$52,5,FALSE)="3-Year Avg."),AF301,IF($A$2=2,AT301,IF($A$2=3,AF301,IF(($AG301&gt;$AU301),AF301,AT301)))))</f>
        <v>0</v>
      </c>
      <c r="S301" s="317">
        <f t="shared" si="44"/>
        <v>272.54485714285715</v>
      </c>
      <c r="T301" s="317">
        <f t="shared" si="50"/>
        <v>50.651171428571423</v>
      </c>
      <c r="U301" s="317">
        <f t="shared" si="50"/>
        <v>52.831504761904768</v>
      </c>
      <c r="V301" s="317">
        <f t="shared" si="50"/>
        <v>58.404838095238098</v>
      </c>
      <c r="W301" s="317">
        <f t="shared" si="49"/>
        <v>56.711504761904763</v>
      </c>
      <c r="X301" s="317">
        <f t="shared" si="49"/>
        <v>53.945838095238095</v>
      </c>
      <c r="Y301" s="317">
        <f t="shared" si="49"/>
        <v>0</v>
      </c>
      <c r="Z301" s="317">
        <f t="shared" si="49"/>
        <v>0</v>
      </c>
      <c r="AA301" s="317">
        <f t="shared" si="49"/>
        <v>0</v>
      </c>
      <c r="AB301" s="317">
        <f t="shared" si="49"/>
        <v>0</v>
      </c>
      <c r="AC301" s="317">
        <f t="shared" si="49"/>
        <v>0</v>
      </c>
      <c r="AD301" s="317">
        <f t="shared" si="51"/>
        <v>0</v>
      </c>
      <c r="AE301" s="317">
        <f t="shared" si="51"/>
        <v>0</v>
      </c>
      <c r="AF301" s="317">
        <f t="shared" si="51"/>
        <v>0</v>
      </c>
      <c r="AG301" s="317">
        <f t="shared" si="45"/>
        <v>272.54485714285715</v>
      </c>
      <c r="AH301" s="318">
        <v>50.234999999999999</v>
      </c>
      <c r="AI301" s="318">
        <v>49.25</v>
      </c>
      <c r="AJ301" s="318">
        <v>57.13</v>
      </c>
      <c r="AK301" s="318">
        <v>49.25</v>
      </c>
      <c r="AL301" s="318">
        <v>52.204999999999998</v>
      </c>
      <c r="AM301" s="318">
        <v>0</v>
      </c>
      <c r="AN301" s="318">
        <v>0</v>
      </c>
      <c r="AO301" s="318">
        <v>0</v>
      </c>
      <c r="AP301" s="318">
        <v>0</v>
      </c>
      <c r="AQ301" s="318">
        <v>0</v>
      </c>
      <c r="AR301" s="318">
        <v>0</v>
      </c>
      <c r="AS301" s="318">
        <v>0</v>
      </c>
      <c r="AT301" s="318">
        <v>0</v>
      </c>
      <c r="AU301" s="317">
        <f t="shared" si="43"/>
        <v>258.07</v>
      </c>
      <c r="AV301" s="319">
        <v>53.958657142857142</v>
      </c>
      <c r="AW301" s="319">
        <v>49.729657142857143</v>
      </c>
      <c r="AX301" s="319">
        <v>51.404657142857147</v>
      </c>
      <c r="AY301" s="319">
        <v>57.095657142857142</v>
      </c>
      <c r="AZ301" s="319">
        <v>54.946657142857141</v>
      </c>
      <c r="BA301" s="319">
        <v>0</v>
      </c>
      <c r="BB301" s="319">
        <v>0</v>
      </c>
      <c r="BC301" s="319">
        <v>0</v>
      </c>
      <c r="BD301" s="319">
        <v>0</v>
      </c>
      <c r="BE301" s="319">
        <v>0</v>
      </c>
      <c r="BF301" s="319">
        <v>0</v>
      </c>
      <c r="BG301" s="319">
        <v>0</v>
      </c>
      <c r="BH301" s="319">
        <v>0</v>
      </c>
      <c r="BI301" s="317">
        <f t="shared" si="48"/>
        <v>267.13528571428571</v>
      </c>
      <c r="BJ301" s="316">
        <v>47.759857142857143</v>
      </c>
      <c r="BK301" s="316">
        <v>59.514857142857146</v>
      </c>
      <c r="BL301" s="316">
        <v>66.679857142857145</v>
      </c>
      <c r="BM301" s="316">
        <v>63.788857142857147</v>
      </c>
      <c r="BN301" s="316">
        <v>54.685857142857145</v>
      </c>
      <c r="BO301" s="316">
        <v>0</v>
      </c>
      <c r="BP301" s="316">
        <v>0</v>
      </c>
      <c r="BQ301" s="316">
        <v>0</v>
      </c>
      <c r="BR301" s="316">
        <v>0</v>
      </c>
      <c r="BS301" s="316">
        <v>0</v>
      </c>
      <c r="BT301" s="316">
        <v>0</v>
      </c>
      <c r="BU301" s="316">
        <v>0</v>
      </c>
      <c r="BV301" s="316">
        <v>0</v>
      </c>
      <c r="BW301" s="317">
        <f t="shared" si="46"/>
        <v>292.4292857142857</v>
      </c>
    </row>
    <row r="302" spans="1:75" x14ac:dyDescent="0.2">
      <c r="A302" s="20" t="str">
        <f>'School Level Inst. Resources'!A302</f>
        <v>1901000</v>
      </c>
      <c r="B302" s="20" t="str">
        <f>'School Level Inst. Resources'!B302</f>
        <v>Sweetwater #1</v>
      </c>
      <c r="C302" s="20" t="str">
        <f>'School Level Inst. Resources'!C302</f>
        <v>1901010</v>
      </c>
      <c r="D302" s="20" t="str">
        <f>'School Level Inst. Resources'!D302</f>
        <v>Walnut Elementary</v>
      </c>
      <c r="E302" s="138" t="str">
        <f>'School Level Inst. Resources'!E302</f>
        <v>K-4</v>
      </c>
      <c r="F302" s="317">
        <f>IF(AND($A$2=4,VLOOKUP($A302,'District Level ADM'!$A$5:$W$52,5,FALSE)="Prior Year"),AH302,IF(AND($A$2=4,VLOOKUP($A302,'District Level ADM'!$A$5:$W$52,5,FALSE)="3-Year Avg."),T302,IF($A$2=2,AH302,IF($A$2=3,T302,IF(($AG302&gt;$AU302),T302,AH302)))))</f>
        <v>45.977838095238099</v>
      </c>
      <c r="G302" s="317">
        <f>IF(AND($A$2=4,VLOOKUP($A302,'District Level ADM'!$A$5:$W$52,5,FALSE)="Prior Year"),AI302,IF(AND($A$2=4,VLOOKUP($A302,'District Level ADM'!$A$5:$W$52,5,FALSE)="3-Year Avg."),U302,IF($A$2=2,AI302,IF($A$2=3,U302,IF(($AG302&gt;$AU302),U302,AI302)))))</f>
        <v>52.675838095238099</v>
      </c>
      <c r="H302" s="317">
        <f>IF(AND($A$2=4,VLOOKUP($A302,'District Level ADM'!$A$5:$W$52,5,FALSE)="Prior Year"),AJ302,IF(AND($A$2=4,VLOOKUP($A302,'District Level ADM'!$A$5:$W$52,5,FALSE)="3-Year Avg."),V302,IF($A$2=2,AJ302,IF($A$2=3,V302,IF(($AG302&gt;$AU302),V302,AJ302)))))</f>
        <v>51.137504761904758</v>
      </c>
      <c r="I302" s="317">
        <f>IF(AND($A$2=4,VLOOKUP($A302,'District Level ADM'!$A$5:$W$52,5,FALSE)="Prior Year"),AK302,IF(AND($A$2=4,VLOOKUP($A302,'District Level ADM'!$A$5:$W$52,5,FALSE)="3-Year Avg."),W302,IF($A$2=2,AK302,IF($A$2=3,W302,IF(($AG302&gt;$AU302),W302,AK302)))))</f>
        <v>56.043171428571434</v>
      </c>
      <c r="J302" s="317">
        <f>IF(AND($A$2=4,VLOOKUP($A302,'District Level ADM'!$A$5:$W$52,5,FALSE)="Prior Year"),AL302,IF(AND($A$2=4,VLOOKUP($A302,'District Level ADM'!$A$5:$W$52,5,FALSE)="3-Year Avg."),X302,IF($A$2=2,AL302,IF($A$2=3,X302,IF(($AG302&gt;$AU302),X302,AL302)))))</f>
        <v>57.793838095238101</v>
      </c>
      <c r="K302" s="317">
        <f>IF(AND($A$2=4,VLOOKUP($A302,'District Level ADM'!$A$5:$W$52,5,FALSE)="Prior Year"),AM302,IF(AND($A$2=4,VLOOKUP($A302,'District Level ADM'!$A$5:$W$52,5,FALSE)="3-Year Avg."),Y302,IF($A$2=2,AM302,IF($A$2=3,Y302,IF(($AG302&gt;$AU302),Y302,AM302)))))</f>
        <v>0</v>
      </c>
      <c r="L302" s="317">
        <f>IF(AND($A$2=4,VLOOKUP($A302,'District Level ADM'!$A$5:$W$52,5,FALSE)="Prior Year"),AN302,IF(AND($A$2=4,VLOOKUP($A302,'District Level ADM'!$A$5:$W$52,5,FALSE)="3-Year Avg."),Z302,IF($A$2=2,AN302,IF($A$2=3,Z302,IF(($AG302&gt;$AU302),Z302,AN302)))))</f>
        <v>0</v>
      </c>
      <c r="M302" s="317">
        <f>IF(AND($A$2=4,VLOOKUP($A302,'District Level ADM'!$A$5:$W$52,5,FALSE)="Prior Year"),AO302,IF(AND($A$2=4,VLOOKUP($A302,'District Level ADM'!$A$5:$W$52,5,FALSE)="3-Year Avg."),AA302,IF($A$2=2,AO302,IF($A$2=3,AA302,IF(($AG302&gt;$AU302),AA302,AO302)))))</f>
        <v>0</v>
      </c>
      <c r="N302" s="317">
        <f>IF(AND($A$2=4,VLOOKUP($A302,'District Level ADM'!$A$5:$W$52,5,FALSE)="Prior Year"),AP302,IF(AND($A$2=4,VLOOKUP($A302,'District Level ADM'!$A$5:$W$52,5,FALSE)="3-Year Avg."),AB302,IF($A$2=2,AP302,IF($A$2=3,AB302,IF(($AG302&gt;$AU302),AB302,AP302)))))</f>
        <v>0</v>
      </c>
      <c r="O302" s="317">
        <f>IF(AND($A$2=4,VLOOKUP($A302,'District Level ADM'!$A$5:$W$52,5,FALSE)="Prior Year"),AQ302,IF(AND($A$2=4,VLOOKUP($A302,'District Level ADM'!$A$5:$W$52,5,FALSE)="3-Year Avg."),AC302,IF($A$2=2,AQ302,IF($A$2=3,AC302,IF(($AG302&gt;$AU302),AC302,AQ302)))))</f>
        <v>0</v>
      </c>
      <c r="P302" s="317">
        <f>IF(AND($A$2=4,VLOOKUP($A302,'District Level ADM'!$A$5:$W$52,5,FALSE)="Prior Year"),AR302,IF(AND($A$2=4,VLOOKUP($A302,'District Level ADM'!$A$5:$W$52,5,FALSE)="3-Year Avg."),AD302,IF($A$2=2,AR302,IF($A$2=3,AD302,IF(($AG302&gt;$AU302),AD302,AR302)))))</f>
        <v>0</v>
      </c>
      <c r="Q302" s="317">
        <f>IF(AND($A$2=4,VLOOKUP($A302,'District Level ADM'!$A$5:$W$52,5,FALSE)="Prior Year"),AS302,IF(AND($A$2=4,VLOOKUP($A302,'District Level ADM'!$A$5:$W$52,5,FALSE)="3-Year Avg."),AE302,IF($A$2=2,AS302,IF($A$2=3,AE302,IF(($AG302&gt;$AU302),AE302,AS302)))))</f>
        <v>0</v>
      </c>
      <c r="R302" s="317">
        <f>IF(AND($A$2=4,VLOOKUP($A302,'District Level ADM'!$A$5:$W$52,5,FALSE)="Prior Year"),AT302,IF(AND($A$2=4,VLOOKUP($A302,'District Level ADM'!$A$5:$W$52,5,FALSE)="3-Year Avg."),AF302,IF($A$2=2,AT302,IF($A$2=3,AF302,IF(($AG302&gt;$AU302),AF302,AT302)))))</f>
        <v>0</v>
      </c>
      <c r="S302" s="317">
        <f t="shared" si="44"/>
        <v>263.62819047619053</v>
      </c>
      <c r="T302" s="317">
        <f t="shared" si="50"/>
        <v>45.977838095238099</v>
      </c>
      <c r="U302" s="317">
        <f t="shared" si="50"/>
        <v>52.675838095238099</v>
      </c>
      <c r="V302" s="317">
        <f t="shared" si="50"/>
        <v>51.137504761904758</v>
      </c>
      <c r="W302" s="317">
        <f t="shared" si="49"/>
        <v>56.043171428571434</v>
      </c>
      <c r="X302" s="317">
        <f t="shared" si="49"/>
        <v>57.793838095238101</v>
      </c>
      <c r="Y302" s="317">
        <f t="shared" si="49"/>
        <v>0</v>
      </c>
      <c r="Z302" s="317">
        <f t="shared" si="49"/>
        <v>0</v>
      </c>
      <c r="AA302" s="317">
        <f t="shared" si="49"/>
        <v>0</v>
      </c>
      <c r="AB302" s="317">
        <f t="shared" si="49"/>
        <v>0</v>
      </c>
      <c r="AC302" s="317">
        <f t="shared" si="49"/>
        <v>0</v>
      </c>
      <c r="AD302" s="317">
        <f t="shared" si="51"/>
        <v>0</v>
      </c>
      <c r="AE302" s="317">
        <f t="shared" si="51"/>
        <v>0</v>
      </c>
      <c r="AF302" s="317">
        <f t="shared" si="51"/>
        <v>0</v>
      </c>
      <c r="AG302" s="317">
        <f t="shared" si="45"/>
        <v>263.62819047619053</v>
      </c>
      <c r="AH302" s="318">
        <v>51.22</v>
      </c>
      <c r="AI302" s="318">
        <v>58.115000000000002</v>
      </c>
      <c r="AJ302" s="318">
        <v>56.145000000000003</v>
      </c>
      <c r="AK302" s="318">
        <v>67.965000000000003</v>
      </c>
      <c r="AL302" s="318">
        <v>67.965000000000003</v>
      </c>
      <c r="AM302" s="318">
        <v>0</v>
      </c>
      <c r="AN302" s="318">
        <v>0</v>
      </c>
      <c r="AO302" s="318">
        <v>0</v>
      </c>
      <c r="AP302" s="318">
        <v>0</v>
      </c>
      <c r="AQ302" s="318">
        <v>0</v>
      </c>
      <c r="AR302" s="318">
        <v>0</v>
      </c>
      <c r="AS302" s="318">
        <v>0</v>
      </c>
      <c r="AT302" s="318">
        <v>0</v>
      </c>
      <c r="AU302" s="317">
        <f t="shared" si="43"/>
        <v>301.41000000000003</v>
      </c>
      <c r="AV302" s="319">
        <v>44.581657142857146</v>
      </c>
      <c r="AW302" s="319">
        <v>44.266657142857142</v>
      </c>
      <c r="AX302" s="319">
        <v>53.844657142857145</v>
      </c>
      <c r="AY302" s="319">
        <v>40.061657142857143</v>
      </c>
      <c r="AZ302" s="319">
        <v>57.724657142857147</v>
      </c>
      <c r="BA302" s="319">
        <v>0</v>
      </c>
      <c r="BB302" s="319">
        <v>0</v>
      </c>
      <c r="BC302" s="319">
        <v>0</v>
      </c>
      <c r="BD302" s="319">
        <v>0</v>
      </c>
      <c r="BE302" s="319">
        <v>0</v>
      </c>
      <c r="BF302" s="319">
        <v>0</v>
      </c>
      <c r="BG302" s="319">
        <v>0</v>
      </c>
      <c r="BH302" s="319">
        <v>0</v>
      </c>
      <c r="BI302" s="317">
        <f t="shared" si="48"/>
        <v>240.47928571428571</v>
      </c>
      <c r="BJ302" s="316">
        <v>42.131857142857143</v>
      </c>
      <c r="BK302" s="316">
        <v>55.645857142857146</v>
      </c>
      <c r="BL302" s="316">
        <v>43.422857142857147</v>
      </c>
      <c r="BM302" s="316">
        <v>60.102857142857147</v>
      </c>
      <c r="BN302" s="316">
        <v>47.691857142857145</v>
      </c>
      <c r="BO302" s="316">
        <v>0</v>
      </c>
      <c r="BP302" s="316">
        <v>0</v>
      </c>
      <c r="BQ302" s="316">
        <v>0</v>
      </c>
      <c r="BR302" s="316">
        <v>0</v>
      </c>
      <c r="BS302" s="316">
        <v>0</v>
      </c>
      <c r="BT302" s="316">
        <v>0</v>
      </c>
      <c r="BU302" s="316">
        <v>0</v>
      </c>
      <c r="BV302" s="316">
        <v>0</v>
      </c>
      <c r="BW302" s="317">
        <f t="shared" si="46"/>
        <v>248.99528571428573</v>
      </c>
    </row>
    <row r="303" spans="1:75" x14ac:dyDescent="0.2">
      <c r="A303" s="20" t="str">
        <f>'School Level Inst. Resources'!A303</f>
        <v>1901000</v>
      </c>
      <c r="B303" s="20" t="str">
        <f>'School Level Inst. Resources'!B303</f>
        <v>Sweetwater #1</v>
      </c>
      <c r="C303" s="20" t="str">
        <f>'School Level Inst. Resources'!C303</f>
        <v>1901013</v>
      </c>
      <c r="D303" s="20" t="str">
        <f>'School Level Inst. Resources'!D303</f>
        <v>Northpark Elementary</v>
      </c>
      <c r="E303" s="138" t="str">
        <f>'School Level Inst. Resources'!E303</f>
        <v>K-4</v>
      </c>
      <c r="F303" s="317">
        <f>IF(AND($A$2=4,VLOOKUP($A303,'District Level ADM'!$A$5:$W$52,5,FALSE)="Prior Year"),AH303,IF(AND($A$2=4,VLOOKUP($A303,'District Level ADM'!$A$5:$W$52,5,FALSE)="3-Year Avg."),T303,IF($A$2=2,AH303,IF($A$2=3,T303,IF(($AG303&gt;$AU303),T303,AH303)))))</f>
        <v>60.43550476190476</v>
      </c>
      <c r="G303" s="317">
        <f>IF(AND($A$2=4,VLOOKUP($A303,'District Level ADM'!$A$5:$W$52,5,FALSE)="Prior Year"),AI303,IF(AND($A$2=4,VLOOKUP($A303,'District Level ADM'!$A$5:$W$52,5,FALSE)="3-Year Avg."),U303,IF($A$2=2,AI303,IF($A$2=3,U303,IF(($AG303&gt;$AU303),U303,AI303)))))</f>
        <v>61.0748380952381</v>
      </c>
      <c r="H303" s="317">
        <f>IF(AND($A$2=4,VLOOKUP($A303,'District Level ADM'!$A$5:$W$52,5,FALSE)="Prior Year"),AJ303,IF(AND($A$2=4,VLOOKUP($A303,'District Level ADM'!$A$5:$W$52,5,FALSE)="3-Year Avg."),V303,IF($A$2=2,AJ303,IF($A$2=3,V303,IF(($AG303&gt;$AU303),V303,AJ303)))))</f>
        <v>62.937838095238099</v>
      </c>
      <c r="I303" s="317">
        <f>IF(AND($A$2=4,VLOOKUP($A303,'District Level ADM'!$A$5:$W$52,5,FALSE)="Prior Year"),AK303,IF(AND($A$2=4,VLOOKUP($A303,'District Level ADM'!$A$5:$W$52,5,FALSE)="3-Year Avg."),W303,IF($A$2=2,AK303,IF($A$2=3,W303,IF(($AG303&gt;$AU303),W303,AK303)))))</f>
        <v>62.851504761904756</v>
      </c>
      <c r="J303" s="317">
        <f>IF(AND($A$2=4,VLOOKUP($A303,'District Level ADM'!$A$5:$W$52,5,FALSE)="Prior Year"),AL303,IF(AND($A$2=4,VLOOKUP($A303,'District Level ADM'!$A$5:$W$52,5,FALSE)="3-Year Avg."),X303,IF($A$2=2,AL303,IF($A$2=3,X303,IF(($AG303&gt;$AU303),X303,AL303)))))</f>
        <v>73.459838095238084</v>
      </c>
      <c r="K303" s="317">
        <f>IF(AND($A$2=4,VLOOKUP($A303,'District Level ADM'!$A$5:$W$52,5,FALSE)="Prior Year"),AM303,IF(AND($A$2=4,VLOOKUP($A303,'District Level ADM'!$A$5:$W$52,5,FALSE)="3-Year Avg."),Y303,IF($A$2=2,AM303,IF($A$2=3,Y303,IF(($AG303&gt;$AU303),Y303,AM303)))))</f>
        <v>0</v>
      </c>
      <c r="L303" s="317">
        <f>IF(AND($A$2=4,VLOOKUP($A303,'District Level ADM'!$A$5:$W$52,5,FALSE)="Prior Year"),AN303,IF(AND($A$2=4,VLOOKUP($A303,'District Level ADM'!$A$5:$W$52,5,FALSE)="3-Year Avg."),Z303,IF($A$2=2,AN303,IF($A$2=3,Z303,IF(($AG303&gt;$AU303),Z303,AN303)))))</f>
        <v>0</v>
      </c>
      <c r="M303" s="317">
        <f>IF(AND($A$2=4,VLOOKUP($A303,'District Level ADM'!$A$5:$W$52,5,FALSE)="Prior Year"),AO303,IF(AND($A$2=4,VLOOKUP($A303,'District Level ADM'!$A$5:$W$52,5,FALSE)="3-Year Avg."),AA303,IF($A$2=2,AO303,IF($A$2=3,AA303,IF(($AG303&gt;$AU303),AA303,AO303)))))</f>
        <v>0</v>
      </c>
      <c r="N303" s="317">
        <f>IF(AND($A$2=4,VLOOKUP($A303,'District Level ADM'!$A$5:$W$52,5,FALSE)="Prior Year"),AP303,IF(AND($A$2=4,VLOOKUP($A303,'District Level ADM'!$A$5:$W$52,5,FALSE)="3-Year Avg."),AB303,IF($A$2=2,AP303,IF($A$2=3,AB303,IF(($AG303&gt;$AU303),AB303,AP303)))))</f>
        <v>0</v>
      </c>
      <c r="O303" s="317">
        <f>IF(AND($A$2=4,VLOOKUP($A303,'District Level ADM'!$A$5:$W$52,5,FALSE)="Prior Year"),AQ303,IF(AND($A$2=4,VLOOKUP($A303,'District Level ADM'!$A$5:$W$52,5,FALSE)="3-Year Avg."),AC303,IF($A$2=2,AQ303,IF($A$2=3,AC303,IF(($AG303&gt;$AU303),AC303,AQ303)))))</f>
        <v>0</v>
      </c>
      <c r="P303" s="317">
        <f>IF(AND($A$2=4,VLOOKUP($A303,'District Level ADM'!$A$5:$W$52,5,FALSE)="Prior Year"),AR303,IF(AND($A$2=4,VLOOKUP($A303,'District Level ADM'!$A$5:$W$52,5,FALSE)="3-Year Avg."),AD303,IF($A$2=2,AR303,IF($A$2=3,AD303,IF(($AG303&gt;$AU303),AD303,AR303)))))</f>
        <v>0</v>
      </c>
      <c r="Q303" s="317">
        <f>IF(AND($A$2=4,VLOOKUP($A303,'District Level ADM'!$A$5:$W$52,5,FALSE)="Prior Year"),AS303,IF(AND($A$2=4,VLOOKUP($A303,'District Level ADM'!$A$5:$W$52,5,FALSE)="3-Year Avg."),AE303,IF($A$2=2,AS303,IF($A$2=3,AE303,IF(($AG303&gt;$AU303),AE303,AS303)))))</f>
        <v>0</v>
      </c>
      <c r="R303" s="317">
        <f>IF(AND($A$2=4,VLOOKUP($A303,'District Level ADM'!$A$5:$W$52,5,FALSE)="Prior Year"),AT303,IF(AND($A$2=4,VLOOKUP($A303,'District Level ADM'!$A$5:$W$52,5,FALSE)="3-Year Avg."),AF303,IF($A$2=2,AT303,IF($A$2=3,AF303,IF(($AG303&gt;$AU303),AF303,AT303)))))</f>
        <v>0</v>
      </c>
      <c r="S303" s="317">
        <f t="shared" si="44"/>
        <v>320.75952380952378</v>
      </c>
      <c r="T303" s="317">
        <f t="shared" si="50"/>
        <v>60.43550476190476</v>
      </c>
      <c r="U303" s="317">
        <f t="shared" si="50"/>
        <v>61.0748380952381</v>
      </c>
      <c r="V303" s="317">
        <f t="shared" si="50"/>
        <v>62.937838095238099</v>
      </c>
      <c r="W303" s="317">
        <f t="shared" si="49"/>
        <v>62.851504761904756</v>
      </c>
      <c r="X303" s="317">
        <f t="shared" si="49"/>
        <v>73.459838095238084</v>
      </c>
      <c r="Y303" s="317">
        <f t="shared" si="49"/>
        <v>0</v>
      </c>
      <c r="Z303" s="317">
        <f t="shared" si="49"/>
        <v>0</v>
      </c>
      <c r="AA303" s="317">
        <f t="shared" si="49"/>
        <v>0</v>
      </c>
      <c r="AB303" s="317">
        <f t="shared" si="49"/>
        <v>0</v>
      </c>
      <c r="AC303" s="317">
        <f t="shared" si="49"/>
        <v>0</v>
      </c>
      <c r="AD303" s="317">
        <f t="shared" si="51"/>
        <v>0</v>
      </c>
      <c r="AE303" s="317">
        <f t="shared" si="51"/>
        <v>0</v>
      </c>
      <c r="AF303" s="317">
        <f t="shared" si="51"/>
        <v>0</v>
      </c>
      <c r="AG303" s="317">
        <f t="shared" si="45"/>
        <v>320.75952380952378</v>
      </c>
      <c r="AH303" s="318">
        <v>60.085000000000001</v>
      </c>
      <c r="AI303" s="318">
        <v>62.055</v>
      </c>
      <c r="AJ303" s="318">
        <v>59.1</v>
      </c>
      <c r="AK303" s="318">
        <v>56.145000000000003</v>
      </c>
      <c r="AL303" s="318">
        <v>62.055</v>
      </c>
      <c r="AM303" s="318">
        <v>0</v>
      </c>
      <c r="AN303" s="318">
        <v>0</v>
      </c>
      <c r="AO303" s="318">
        <v>0</v>
      </c>
      <c r="AP303" s="318">
        <v>0</v>
      </c>
      <c r="AQ303" s="318">
        <v>0</v>
      </c>
      <c r="AR303" s="318">
        <v>0</v>
      </c>
      <c r="AS303" s="318">
        <v>0</v>
      </c>
      <c r="AT303" s="318">
        <v>0</v>
      </c>
      <c r="AU303" s="317">
        <f t="shared" si="43"/>
        <v>299.44</v>
      </c>
      <c r="AV303" s="319">
        <v>57.981657142857145</v>
      </c>
      <c r="AW303" s="319">
        <v>67.746657142857146</v>
      </c>
      <c r="AX303" s="319">
        <v>59.301657142857145</v>
      </c>
      <c r="AY303" s="319">
        <v>63.072657142857146</v>
      </c>
      <c r="AZ303" s="319">
        <v>76.152657142857137</v>
      </c>
      <c r="BA303" s="319">
        <v>0</v>
      </c>
      <c r="BB303" s="319">
        <v>0</v>
      </c>
      <c r="BC303" s="319">
        <v>0</v>
      </c>
      <c r="BD303" s="319">
        <v>0</v>
      </c>
      <c r="BE303" s="319">
        <v>0</v>
      </c>
      <c r="BF303" s="319">
        <v>0</v>
      </c>
      <c r="BG303" s="319">
        <v>0</v>
      </c>
      <c r="BH303" s="319">
        <v>0</v>
      </c>
      <c r="BI303" s="317">
        <f t="shared" si="48"/>
        <v>324.25528571428572</v>
      </c>
      <c r="BJ303" s="316">
        <v>63.239857142857147</v>
      </c>
      <c r="BK303" s="316">
        <v>53.422857142857147</v>
      </c>
      <c r="BL303" s="316">
        <v>70.411857142857144</v>
      </c>
      <c r="BM303" s="316">
        <v>69.336857142857141</v>
      </c>
      <c r="BN303" s="316">
        <v>82.171857142857149</v>
      </c>
      <c r="BO303" s="316">
        <v>0</v>
      </c>
      <c r="BP303" s="316">
        <v>0</v>
      </c>
      <c r="BQ303" s="316">
        <v>0</v>
      </c>
      <c r="BR303" s="316">
        <v>0</v>
      </c>
      <c r="BS303" s="316">
        <v>0</v>
      </c>
      <c r="BT303" s="316">
        <v>0</v>
      </c>
      <c r="BU303" s="316">
        <v>0</v>
      </c>
      <c r="BV303" s="316">
        <v>0</v>
      </c>
      <c r="BW303" s="317">
        <f t="shared" si="46"/>
        <v>338.58328571428575</v>
      </c>
    </row>
    <row r="304" spans="1:75" x14ac:dyDescent="0.2">
      <c r="A304" s="20" t="str">
        <f>'School Level Inst. Resources'!A304</f>
        <v>1901000</v>
      </c>
      <c r="B304" s="20" t="str">
        <f>'School Level Inst. Resources'!B304</f>
        <v>Sweetwater #1</v>
      </c>
      <c r="C304" s="20" t="str">
        <f>'School Level Inst. Resources'!C304</f>
        <v>1901014</v>
      </c>
      <c r="D304" s="20" t="str">
        <f>'School Level Inst. Resources'!D304</f>
        <v>Westridge Elementary</v>
      </c>
      <c r="E304" s="138" t="str">
        <f>'School Level Inst. Resources'!E304</f>
        <v>K-4</v>
      </c>
      <c r="F304" s="317">
        <f>IF(AND($A$2=4,VLOOKUP($A304,'District Level ADM'!$A$5:$W$52,5,FALSE)="Prior Year"),AH304,IF(AND($A$2=4,VLOOKUP($A304,'District Level ADM'!$A$5:$W$52,5,FALSE)="3-Year Avg."),T304,IF($A$2=2,AH304,IF($A$2=3,T304,IF(($AG304&gt;$AU304),T304,AH304)))))</f>
        <v>77.026838095238091</v>
      </c>
      <c r="G304" s="317">
        <f>IF(AND($A$2=4,VLOOKUP($A304,'District Level ADM'!$A$5:$W$52,5,FALSE)="Prior Year"),AI304,IF(AND($A$2=4,VLOOKUP($A304,'District Level ADM'!$A$5:$W$52,5,FALSE)="3-Year Avg."),U304,IF($A$2=2,AI304,IF($A$2=3,U304,IF(($AG304&gt;$AU304),U304,AI304)))))</f>
        <v>74.225171428571443</v>
      </c>
      <c r="H304" s="317">
        <f>IF(AND($A$2=4,VLOOKUP($A304,'District Level ADM'!$A$5:$W$52,5,FALSE)="Prior Year"),AJ304,IF(AND($A$2=4,VLOOKUP($A304,'District Level ADM'!$A$5:$W$52,5,FALSE)="3-Year Avg."),V304,IF($A$2=2,AJ304,IF($A$2=3,V304,IF(($AG304&gt;$AU304),V304,AJ304)))))</f>
        <v>75.3798380952381</v>
      </c>
      <c r="I304" s="317">
        <f>IF(AND($A$2=4,VLOOKUP($A304,'District Level ADM'!$A$5:$W$52,5,FALSE)="Prior Year"),AK304,IF(AND($A$2=4,VLOOKUP($A304,'District Level ADM'!$A$5:$W$52,5,FALSE)="3-Year Avg."),W304,IF($A$2=2,AK304,IF($A$2=3,W304,IF(($AG304&gt;$AU304),W304,AK304)))))</f>
        <v>66.685838095238083</v>
      </c>
      <c r="J304" s="317">
        <f>IF(AND($A$2=4,VLOOKUP($A304,'District Level ADM'!$A$5:$W$52,5,FALSE)="Prior Year"),AL304,IF(AND($A$2=4,VLOOKUP($A304,'District Level ADM'!$A$5:$W$52,5,FALSE)="3-Year Avg."),X304,IF($A$2=2,AL304,IF($A$2=3,X304,IF(($AG304&gt;$AU304),X304,AL304)))))</f>
        <v>65.762171428571435</v>
      </c>
      <c r="K304" s="317">
        <f>IF(AND($A$2=4,VLOOKUP($A304,'District Level ADM'!$A$5:$W$52,5,FALSE)="Prior Year"),AM304,IF(AND($A$2=4,VLOOKUP($A304,'District Level ADM'!$A$5:$W$52,5,FALSE)="3-Year Avg."),Y304,IF($A$2=2,AM304,IF($A$2=3,Y304,IF(($AG304&gt;$AU304),Y304,AM304)))))</f>
        <v>0</v>
      </c>
      <c r="L304" s="317">
        <f>IF(AND($A$2=4,VLOOKUP($A304,'District Level ADM'!$A$5:$W$52,5,FALSE)="Prior Year"),AN304,IF(AND($A$2=4,VLOOKUP($A304,'District Level ADM'!$A$5:$W$52,5,FALSE)="3-Year Avg."),Z304,IF($A$2=2,AN304,IF($A$2=3,Z304,IF(($AG304&gt;$AU304),Z304,AN304)))))</f>
        <v>0</v>
      </c>
      <c r="M304" s="317">
        <f>IF(AND($A$2=4,VLOOKUP($A304,'District Level ADM'!$A$5:$W$52,5,FALSE)="Prior Year"),AO304,IF(AND($A$2=4,VLOOKUP($A304,'District Level ADM'!$A$5:$W$52,5,FALSE)="3-Year Avg."),AA304,IF($A$2=2,AO304,IF($A$2=3,AA304,IF(($AG304&gt;$AU304),AA304,AO304)))))</f>
        <v>0</v>
      </c>
      <c r="N304" s="317">
        <f>IF(AND($A$2=4,VLOOKUP($A304,'District Level ADM'!$A$5:$W$52,5,FALSE)="Prior Year"),AP304,IF(AND($A$2=4,VLOOKUP($A304,'District Level ADM'!$A$5:$W$52,5,FALSE)="3-Year Avg."),AB304,IF($A$2=2,AP304,IF($A$2=3,AB304,IF(($AG304&gt;$AU304),AB304,AP304)))))</f>
        <v>0</v>
      </c>
      <c r="O304" s="317">
        <f>IF(AND($A$2=4,VLOOKUP($A304,'District Level ADM'!$A$5:$W$52,5,FALSE)="Prior Year"),AQ304,IF(AND($A$2=4,VLOOKUP($A304,'District Level ADM'!$A$5:$W$52,5,FALSE)="3-Year Avg."),AC304,IF($A$2=2,AQ304,IF($A$2=3,AC304,IF(($AG304&gt;$AU304),AC304,AQ304)))))</f>
        <v>0</v>
      </c>
      <c r="P304" s="317">
        <f>IF(AND($A$2=4,VLOOKUP($A304,'District Level ADM'!$A$5:$W$52,5,FALSE)="Prior Year"),AR304,IF(AND($A$2=4,VLOOKUP($A304,'District Level ADM'!$A$5:$W$52,5,FALSE)="3-Year Avg."),AD304,IF($A$2=2,AR304,IF($A$2=3,AD304,IF(($AG304&gt;$AU304),AD304,AR304)))))</f>
        <v>0</v>
      </c>
      <c r="Q304" s="317">
        <f>IF(AND($A$2=4,VLOOKUP($A304,'District Level ADM'!$A$5:$W$52,5,FALSE)="Prior Year"),AS304,IF(AND($A$2=4,VLOOKUP($A304,'District Level ADM'!$A$5:$W$52,5,FALSE)="3-Year Avg."),AE304,IF($A$2=2,AS304,IF($A$2=3,AE304,IF(($AG304&gt;$AU304),AE304,AS304)))))</f>
        <v>0</v>
      </c>
      <c r="R304" s="317">
        <f>IF(AND($A$2=4,VLOOKUP($A304,'District Level ADM'!$A$5:$W$52,5,FALSE)="Prior Year"),AT304,IF(AND($A$2=4,VLOOKUP($A304,'District Level ADM'!$A$5:$W$52,5,FALSE)="3-Year Avg."),AF304,IF($A$2=2,AT304,IF($A$2=3,AF304,IF(($AG304&gt;$AU304),AF304,AT304)))))</f>
        <v>0</v>
      </c>
      <c r="S304" s="317">
        <f t="shared" si="44"/>
        <v>359.07985714285712</v>
      </c>
      <c r="T304" s="317">
        <f t="shared" si="50"/>
        <v>77.026838095238091</v>
      </c>
      <c r="U304" s="317">
        <f t="shared" si="50"/>
        <v>74.225171428571443</v>
      </c>
      <c r="V304" s="317">
        <f t="shared" si="50"/>
        <v>75.3798380952381</v>
      </c>
      <c r="W304" s="317">
        <f t="shared" si="49"/>
        <v>66.685838095238083</v>
      </c>
      <c r="X304" s="317">
        <f t="shared" si="49"/>
        <v>65.762171428571435</v>
      </c>
      <c r="Y304" s="317">
        <f t="shared" si="49"/>
        <v>0</v>
      </c>
      <c r="Z304" s="317">
        <f t="shared" si="49"/>
        <v>0</v>
      </c>
      <c r="AA304" s="317">
        <f t="shared" si="49"/>
        <v>0</v>
      </c>
      <c r="AB304" s="317">
        <f t="shared" si="49"/>
        <v>0</v>
      </c>
      <c r="AC304" s="317">
        <f t="shared" si="49"/>
        <v>0</v>
      </c>
      <c r="AD304" s="317">
        <f t="shared" si="51"/>
        <v>0</v>
      </c>
      <c r="AE304" s="317">
        <f t="shared" si="51"/>
        <v>0</v>
      </c>
      <c r="AF304" s="317">
        <f t="shared" si="51"/>
        <v>0</v>
      </c>
      <c r="AG304" s="317">
        <f t="shared" si="45"/>
        <v>359.07985714285712</v>
      </c>
      <c r="AH304" s="318">
        <v>61.07</v>
      </c>
      <c r="AI304" s="318">
        <v>66.98</v>
      </c>
      <c r="AJ304" s="318">
        <v>77.814999999999998</v>
      </c>
      <c r="AK304" s="318">
        <v>61.07</v>
      </c>
      <c r="AL304" s="318">
        <v>74.86</v>
      </c>
      <c r="AM304" s="318">
        <v>0</v>
      </c>
      <c r="AN304" s="318">
        <v>0</v>
      </c>
      <c r="AO304" s="318">
        <v>0</v>
      </c>
      <c r="AP304" s="318">
        <v>0</v>
      </c>
      <c r="AQ304" s="318">
        <v>0</v>
      </c>
      <c r="AR304" s="318">
        <v>0</v>
      </c>
      <c r="AS304" s="318">
        <v>0</v>
      </c>
      <c r="AT304" s="318">
        <v>0</v>
      </c>
      <c r="AU304" s="317">
        <f t="shared" si="43"/>
        <v>341.79500000000002</v>
      </c>
      <c r="AV304" s="319">
        <v>81.484657142857131</v>
      </c>
      <c r="AW304" s="319">
        <v>85.958657142857135</v>
      </c>
      <c r="AX304" s="319">
        <v>68.22165714285714</v>
      </c>
      <c r="AY304" s="319">
        <v>74.084657142857139</v>
      </c>
      <c r="AZ304" s="319">
        <v>54.929657142857145</v>
      </c>
      <c r="BA304" s="319">
        <v>0</v>
      </c>
      <c r="BB304" s="319">
        <v>0</v>
      </c>
      <c r="BC304" s="319">
        <v>0</v>
      </c>
      <c r="BD304" s="319">
        <v>0</v>
      </c>
      <c r="BE304" s="319">
        <v>0</v>
      </c>
      <c r="BF304" s="319">
        <v>0</v>
      </c>
      <c r="BG304" s="319">
        <v>0</v>
      </c>
      <c r="BH304" s="319">
        <v>0</v>
      </c>
      <c r="BI304" s="317">
        <f t="shared" si="48"/>
        <v>364.6792857142857</v>
      </c>
      <c r="BJ304" s="316">
        <v>88.525857142857149</v>
      </c>
      <c r="BK304" s="316">
        <v>69.736857142857147</v>
      </c>
      <c r="BL304" s="316">
        <v>80.102857142857147</v>
      </c>
      <c r="BM304" s="316">
        <v>64.902857142857144</v>
      </c>
      <c r="BN304" s="316">
        <v>67.496857142857138</v>
      </c>
      <c r="BO304" s="316">
        <v>0</v>
      </c>
      <c r="BP304" s="316">
        <v>0</v>
      </c>
      <c r="BQ304" s="316">
        <v>0</v>
      </c>
      <c r="BR304" s="316">
        <v>0</v>
      </c>
      <c r="BS304" s="316">
        <v>0</v>
      </c>
      <c r="BT304" s="316">
        <v>0</v>
      </c>
      <c r="BU304" s="316">
        <v>0</v>
      </c>
      <c r="BV304" s="316">
        <v>0</v>
      </c>
      <c r="BW304" s="317">
        <f t="shared" si="46"/>
        <v>370.76528571428577</v>
      </c>
    </row>
    <row r="305" spans="1:734" x14ac:dyDescent="0.2">
      <c r="A305" s="20" t="str">
        <f>'School Level Inst. Resources'!A305</f>
        <v>1901000</v>
      </c>
      <c r="B305" s="20" t="str">
        <f>'School Level Inst. Resources'!B305</f>
        <v>Sweetwater #1</v>
      </c>
      <c r="C305" s="20" t="str">
        <f>'School Level Inst. Resources'!C305</f>
        <v>1901015</v>
      </c>
      <c r="D305" s="20" t="str">
        <f>'School Level Inst. Resources'!D305</f>
        <v>Pilot Butte Elementary</v>
      </c>
      <c r="E305" s="138" t="str">
        <f>'School Level Inst. Resources'!E305</f>
        <v>5-6</v>
      </c>
      <c r="F305" s="317">
        <f>IF(AND($A$2=4,VLOOKUP($A305,'District Level ADM'!$A$5:$W$52,5,FALSE)="Prior Year"),AH305,IF(AND($A$2=4,VLOOKUP($A305,'District Level ADM'!$A$5:$W$52,5,FALSE)="3-Year Avg."),T305,IF($A$2=2,AH305,IF($A$2=3,T305,IF(($AG305&gt;$AU305),T305,AH305)))))</f>
        <v>0</v>
      </c>
      <c r="G305" s="317">
        <f>IF(AND($A$2=4,VLOOKUP($A305,'District Level ADM'!$A$5:$W$52,5,FALSE)="Prior Year"),AI305,IF(AND($A$2=4,VLOOKUP($A305,'District Level ADM'!$A$5:$W$52,5,FALSE)="3-Year Avg."),U305,IF($A$2=2,AI305,IF($A$2=3,U305,IF(($AG305&gt;$AU305),U305,AI305)))))</f>
        <v>0</v>
      </c>
      <c r="H305" s="317">
        <f>IF(AND($A$2=4,VLOOKUP($A305,'District Level ADM'!$A$5:$W$52,5,FALSE)="Prior Year"),AJ305,IF(AND($A$2=4,VLOOKUP($A305,'District Level ADM'!$A$5:$W$52,5,FALSE)="3-Year Avg."),V305,IF($A$2=2,AJ305,IF($A$2=3,V305,IF(($AG305&gt;$AU305),V305,AJ305)))))</f>
        <v>0</v>
      </c>
      <c r="I305" s="317">
        <f>IF(AND($A$2=4,VLOOKUP($A305,'District Level ADM'!$A$5:$W$52,5,FALSE)="Prior Year"),AK305,IF(AND($A$2=4,VLOOKUP($A305,'District Level ADM'!$A$5:$W$52,5,FALSE)="3-Year Avg."),W305,IF($A$2=2,AK305,IF($A$2=3,W305,IF(($AG305&gt;$AU305),W305,AK305)))))</f>
        <v>0</v>
      </c>
      <c r="J305" s="317">
        <f>IF(AND($A$2=4,VLOOKUP($A305,'District Level ADM'!$A$5:$W$52,5,FALSE)="Prior Year"),AL305,IF(AND($A$2=4,VLOOKUP($A305,'District Level ADM'!$A$5:$W$52,5,FALSE)="3-Year Avg."),X305,IF($A$2=2,AL305,IF($A$2=3,X305,IF(($AG305&gt;$AU305),X305,AL305)))))</f>
        <v>0</v>
      </c>
      <c r="K305" s="317">
        <f>IF(AND($A$2=4,VLOOKUP($A305,'District Level ADM'!$A$5:$W$52,5,FALSE)="Prior Year"),AM305,IF(AND($A$2=4,VLOOKUP($A305,'District Level ADM'!$A$5:$W$52,5,FALSE)="3-Year Avg."),Y305,IF($A$2=2,AM305,IF($A$2=3,Y305,IF(($AG305&gt;$AU305),Y305,AM305)))))</f>
        <v>225.21966666666665</v>
      </c>
      <c r="L305" s="317">
        <f>IF(AND($A$2=4,VLOOKUP($A305,'District Level ADM'!$A$5:$W$52,5,FALSE)="Prior Year"),AN305,IF(AND($A$2=4,VLOOKUP($A305,'District Level ADM'!$A$5:$W$52,5,FALSE)="3-Year Avg."),Z305,IF($A$2=2,AN305,IF($A$2=3,Z305,IF(($AG305&gt;$AU305),Z305,AN305)))))</f>
        <v>212.96799999999999</v>
      </c>
      <c r="M305" s="317">
        <f>IF(AND($A$2=4,VLOOKUP($A305,'District Level ADM'!$A$5:$W$52,5,FALSE)="Prior Year"),AO305,IF(AND($A$2=4,VLOOKUP($A305,'District Level ADM'!$A$5:$W$52,5,FALSE)="3-Year Avg."),AA305,IF($A$2=2,AO305,IF($A$2=3,AA305,IF(($AG305&gt;$AU305),AA305,AO305)))))</f>
        <v>0</v>
      </c>
      <c r="N305" s="317">
        <f>IF(AND($A$2=4,VLOOKUP($A305,'District Level ADM'!$A$5:$W$52,5,FALSE)="Prior Year"),AP305,IF(AND($A$2=4,VLOOKUP($A305,'District Level ADM'!$A$5:$W$52,5,FALSE)="3-Year Avg."),AB305,IF($A$2=2,AP305,IF($A$2=3,AB305,IF(($AG305&gt;$AU305),AB305,AP305)))))</f>
        <v>0</v>
      </c>
      <c r="O305" s="317">
        <f>IF(AND($A$2=4,VLOOKUP($A305,'District Level ADM'!$A$5:$W$52,5,FALSE)="Prior Year"),AQ305,IF(AND($A$2=4,VLOOKUP($A305,'District Level ADM'!$A$5:$W$52,5,FALSE)="3-Year Avg."),AC305,IF($A$2=2,AQ305,IF($A$2=3,AC305,IF(($AG305&gt;$AU305),AC305,AQ305)))))</f>
        <v>0</v>
      </c>
      <c r="P305" s="317">
        <f>IF(AND($A$2=4,VLOOKUP($A305,'District Level ADM'!$A$5:$W$52,5,FALSE)="Prior Year"),AR305,IF(AND($A$2=4,VLOOKUP($A305,'District Level ADM'!$A$5:$W$52,5,FALSE)="3-Year Avg."),AD305,IF($A$2=2,AR305,IF($A$2=3,AD305,IF(($AG305&gt;$AU305),AD305,AR305)))))</f>
        <v>0</v>
      </c>
      <c r="Q305" s="317">
        <f>IF(AND($A$2=4,VLOOKUP($A305,'District Level ADM'!$A$5:$W$52,5,FALSE)="Prior Year"),AS305,IF(AND($A$2=4,VLOOKUP($A305,'District Level ADM'!$A$5:$W$52,5,FALSE)="3-Year Avg."),AE305,IF($A$2=2,AS305,IF($A$2=3,AE305,IF(($AG305&gt;$AU305),AE305,AS305)))))</f>
        <v>0</v>
      </c>
      <c r="R305" s="317">
        <f>IF(AND($A$2=4,VLOOKUP($A305,'District Level ADM'!$A$5:$W$52,5,FALSE)="Prior Year"),AT305,IF(AND($A$2=4,VLOOKUP($A305,'District Level ADM'!$A$5:$W$52,5,FALSE)="3-Year Avg."),AF305,IF($A$2=2,AT305,IF($A$2=3,AF305,IF(($AG305&gt;$AU305),AF305,AT305)))))</f>
        <v>0</v>
      </c>
      <c r="S305" s="317">
        <f t="shared" si="44"/>
        <v>438.18766666666664</v>
      </c>
      <c r="T305" s="317">
        <f t="shared" si="50"/>
        <v>0</v>
      </c>
      <c r="U305" s="317">
        <f t="shared" si="50"/>
        <v>0</v>
      </c>
      <c r="V305" s="317">
        <f t="shared" si="50"/>
        <v>0</v>
      </c>
      <c r="W305" s="317">
        <f t="shared" si="49"/>
        <v>0</v>
      </c>
      <c r="X305" s="317">
        <f t="shared" si="49"/>
        <v>0</v>
      </c>
      <c r="Y305" s="317">
        <f t="shared" si="49"/>
        <v>225.21966666666665</v>
      </c>
      <c r="Z305" s="317">
        <f t="shared" si="49"/>
        <v>212.96799999999999</v>
      </c>
      <c r="AA305" s="317">
        <f t="shared" si="49"/>
        <v>0</v>
      </c>
      <c r="AB305" s="317">
        <f t="shared" si="49"/>
        <v>0</v>
      </c>
      <c r="AC305" s="317">
        <f t="shared" si="49"/>
        <v>0</v>
      </c>
      <c r="AD305" s="317">
        <f t="shared" si="51"/>
        <v>0</v>
      </c>
      <c r="AE305" s="317">
        <f t="shared" si="51"/>
        <v>0</v>
      </c>
      <c r="AF305" s="317">
        <f t="shared" si="51"/>
        <v>0</v>
      </c>
      <c r="AG305" s="317">
        <f t="shared" si="45"/>
        <v>438.18766666666664</v>
      </c>
      <c r="AH305" s="318">
        <v>0</v>
      </c>
      <c r="AI305" s="318">
        <v>0</v>
      </c>
      <c r="AJ305" s="318">
        <v>0</v>
      </c>
      <c r="AK305" s="318">
        <v>0</v>
      </c>
      <c r="AL305" s="318">
        <v>0</v>
      </c>
      <c r="AM305" s="318">
        <v>218.67</v>
      </c>
      <c r="AN305" s="318">
        <v>223.595</v>
      </c>
      <c r="AO305" s="318">
        <v>0</v>
      </c>
      <c r="AP305" s="318">
        <v>0</v>
      </c>
      <c r="AQ305" s="318">
        <v>0</v>
      </c>
      <c r="AR305" s="318">
        <v>0</v>
      </c>
      <c r="AS305" s="318">
        <v>0</v>
      </c>
      <c r="AT305" s="318">
        <v>0</v>
      </c>
      <c r="AU305" s="317">
        <f t="shared" si="43"/>
        <v>442.26499999999999</v>
      </c>
      <c r="AV305" s="319">
        <v>0</v>
      </c>
      <c r="AW305" s="319">
        <v>0</v>
      </c>
      <c r="AX305" s="319">
        <v>0</v>
      </c>
      <c r="AY305" s="319">
        <v>0</v>
      </c>
      <c r="AZ305" s="319">
        <v>0</v>
      </c>
      <c r="BA305" s="319">
        <v>234.38300000000001</v>
      </c>
      <c r="BB305" s="319">
        <v>212.2</v>
      </c>
      <c r="BC305" s="319">
        <v>0</v>
      </c>
      <c r="BD305" s="319">
        <v>0</v>
      </c>
      <c r="BE305" s="319">
        <v>0</v>
      </c>
      <c r="BF305" s="319">
        <v>0</v>
      </c>
      <c r="BG305" s="319">
        <v>0</v>
      </c>
      <c r="BH305" s="319">
        <v>0</v>
      </c>
      <c r="BI305" s="317">
        <f t="shared" si="48"/>
        <v>446.58299999999997</v>
      </c>
      <c r="BJ305" s="316">
        <v>0</v>
      </c>
      <c r="BK305" s="316">
        <v>0</v>
      </c>
      <c r="BL305" s="316">
        <v>0</v>
      </c>
      <c r="BM305" s="316">
        <v>0</v>
      </c>
      <c r="BN305" s="316">
        <v>0</v>
      </c>
      <c r="BO305" s="316">
        <v>222.60599999999999</v>
      </c>
      <c r="BP305" s="316">
        <v>203.10900000000001</v>
      </c>
      <c r="BQ305" s="316">
        <v>0</v>
      </c>
      <c r="BR305" s="316">
        <v>0</v>
      </c>
      <c r="BS305" s="316">
        <v>0</v>
      </c>
      <c r="BT305" s="316">
        <v>0</v>
      </c>
      <c r="BU305" s="316">
        <v>0</v>
      </c>
      <c r="BV305" s="316">
        <v>0</v>
      </c>
      <c r="BW305" s="317">
        <f t="shared" si="46"/>
        <v>425.71500000000003</v>
      </c>
    </row>
    <row r="306" spans="1:734" x14ac:dyDescent="0.2">
      <c r="A306" s="20" t="str">
        <f>'School Level Inst. Resources'!A306</f>
        <v>1901000</v>
      </c>
      <c r="B306" s="20" t="str">
        <f>'School Level Inst. Resources'!B306</f>
        <v>Sweetwater #1</v>
      </c>
      <c r="C306" s="20" t="str">
        <f>'School Level Inst. Resources'!C306</f>
        <v>1901016</v>
      </c>
      <c r="D306" s="20" t="str">
        <f>'School Level Inst. Resources'!D306</f>
        <v>Sage Elementary</v>
      </c>
      <c r="E306" s="138" t="str">
        <f>'School Level Inst. Resources'!E306</f>
        <v>K-4</v>
      </c>
      <c r="F306" s="317">
        <f>IF(AND($A$2=4,VLOOKUP($A306,'District Level ADM'!$A$5:$W$52,5,FALSE)="Prior Year"),AH306,IF(AND($A$2=4,VLOOKUP($A306,'District Level ADM'!$A$5:$W$52,5,FALSE)="3-Year Avg."),T306,IF($A$2=2,AH306,IF($A$2=3,T306,IF(($AG306&gt;$AU306),T306,AH306)))))</f>
        <v>70.8918380952381</v>
      </c>
      <c r="G306" s="317">
        <f>IF(AND($A$2=4,VLOOKUP($A306,'District Level ADM'!$A$5:$W$52,5,FALSE)="Prior Year"),AI306,IF(AND($A$2=4,VLOOKUP($A306,'District Level ADM'!$A$5:$W$52,5,FALSE)="3-Year Avg."),U306,IF($A$2=2,AI306,IF($A$2=3,U306,IF(($AG306&gt;$AU306),U306,AI306)))))</f>
        <v>75.14517142857143</v>
      </c>
      <c r="H306" s="317">
        <f>IF(AND($A$2=4,VLOOKUP($A306,'District Level ADM'!$A$5:$W$52,5,FALSE)="Prior Year"),AJ306,IF(AND($A$2=4,VLOOKUP($A306,'District Level ADM'!$A$5:$W$52,5,FALSE)="3-Year Avg."),V306,IF($A$2=2,AJ306,IF($A$2=3,V306,IF(($AG306&gt;$AU306),V306,AJ306)))))</f>
        <v>67.664504761904766</v>
      </c>
      <c r="I306" s="317">
        <f>IF(AND($A$2=4,VLOOKUP($A306,'District Level ADM'!$A$5:$W$52,5,FALSE)="Prior Year"),AK306,IF(AND($A$2=4,VLOOKUP($A306,'District Level ADM'!$A$5:$W$52,5,FALSE)="3-Year Avg."),W306,IF($A$2=2,AK306,IF($A$2=3,W306,IF(($AG306&gt;$AU306),W306,AK306)))))</f>
        <v>62.579838095238095</v>
      </c>
      <c r="J306" s="317">
        <f>IF(AND($A$2=4,VLOOKUP($A306,'District Level ADM'!$A$5:$W$52,5,FALSE)="Prior Year"),AL306,IF(AND($A$2=4,VLOOKUP($A306,'District Level ADM'!$A$5:$W$52,5,FALSE)="3-Year Avg."),X306,IF($A$2=2,AL306,IF($A$2=3,X306,IF(($AG306&gt;$AU306),X306,AL306)))))</f>
        <v>58.290171428571433</v>
      </c>
      <c r="K306" s="317">
        <f>IF(AND($A$2=4,VLOOKUP($A306,'District Level ADM'!$A$5:$W$52,5,FALSE)="Prior Year"),AM306,IF(AND($A$2=4,VLOOKUP($A306,'District Level ADM'!$A$5:$W$52,5,FALSE)="3-Year Avg."),Y306,IF($A$2=2,AM306,IF($A$2=3,Y306,IF(($AG306&gt;$AU306),Y306,AM306)))))</f>
        <v>0</v>
      </c>
      <c r="L306" s="317">
        <f>IF(AND($A$2=4,VLOOKUP($A306,'District Level ADM'!$A$5:$W$52,5,FALSE)="Prior Year"),AN306,IF(AND($A$2=4,VLOOKUP($A306,'District Level ADM'!$A$5:$W$52,5,FALSE)="3-Year Avg."),Z306,IF($A$2=2,AN306,IF($A$2=3,Z306,IF(($AG306&gt;$AU306),Z306,AN306)))))</f>
        <v>0</v>
      </c>
      <c r="M306" s="317">
        <f>IF(AND($A$2=4,VLOOKUP($A306,'District Level ADM'!$A$5:$W$52,5,FALSE)="Prior Year"),AO306,IF(AND($A$2=4,VLOOKUP($A306,'District Level ADM'!$A$5:$W$52,5,FALSE)="3-Year Avg."),AA306,IF($A$2=2,AO306,IF($A$2=3,AA306,IF(($AG306&gt;$AU306),AA306,AO306)))))</f>
        <v>0</v>
      </c>
      <c r="N306" s="317">
        <f>IF(AND($A$2=4,VLOOKUP($A306,'District Level ADM'!$A$5:$W$52,5,FALSE)="Prior Year"),AP306,IF(AND($A$2=4,VLOOKUP($A306,'District Level ADM'!$A$5:$W$52,5,FALSE)="3-Year Avg."),AB306,IF($A$2=2,AP306,IF($A$2=3,AB306,IF(($AG306&gt;$AU306),AB306,AP306)))))</f>
        <v>0</v>
      </c>
      <c r="O306" s="317">
        <f>IF(AND($A$2=4,VLOOKUP($A306,'District Level ADM'!$A$5:$W$52,5,FALSE)="Prior Year"),AQ306,IF(AND($A$2=4,VLOOKUP($A306,'District Level ADM'!$A$5:$W$52,5,FALSE)="3-Year Avg."),AC306,IF($A$2=2,AQ306,IF($A$2=3,AC306,IF(($AG306&gt;$AU306),AC306,AQ306)))))</f>
        <v>0</v>
      </c>
      <c r="P306" s="317">
        <f>IF(AND($A$2=4,VLOOKUP($A306,'District Level ADM'!$A$5:$W$52,5,FALSE)="Prior Year"),AR306,IF(AND($A$2=4,VLOOKUP($A306,'District Level ADM'!$A$5:$W$52,5,FALSE)="3-Year Avg."),AD306,IF($A$2=2,AR306,IF($A$2=3,AD306,IF(($AG306&gt;$AU306),AD306,AR306)))))</f>
        <v>0</v>
      </c>
      <c r="Q306" s="317">
        <f>IF(AND($A$2=4,VLOOKUP($A306,'District Level ADM'!$A$5:$W$52,5,FALSE)="Prior Year"),AS306,IF(AND($A$2=4,VLOOKUP($A306,'District Level ADM'!$A$5:$W$52,5,FALSE)="3-Year Avg."),AE306,IF($A$2=2,AS306,IF($A$2=3,AE306,IF(($AG306&gt;$AU306),AE306,AS306)))))</f>
        <v>0</v>
      </c>
      <c r="R306" s="317">
        <f>IF(AND($A$2=4,VLOOKUP($A306,'District Level ADM'!$A$5:$W$52,5,FALSE)="Prior Year"),AT306,IF(AND($A$2=4,VLOOKUP($A306,'District Level ADM'!$A$5:$W$52,5,FALSE)="3-Year Avg."),AF306,IF($A$2=2,AT306,IF($A$2=3,AF306,IF(($AG306&gt;$AU306),AF306,AT306)))))</f>
        <v>0</v>
      </c>
      <c r="S306" s="317">
        <f t="shared" si="44"/>
        <v>334.57152380952385</v>
      </c>
      <c r="T306" s="317">
        <f t="shared" si="50"/>
        <v>70.8918380952381</v>
      </c>
      <c r="U306" s="317">
        <f t="shared" si="50"/>
        <v>75.14517142857143</v>
      </c>
      <c r="V306" s="317">
        <f t="shared" si="50"/>
        <v>67.664504761904766</v>
      </c>
      <c r="W306" s="317">
        <f t="shared" si="49"/>
        <v>62.579838095238095</v>
      </c>
      <c r="X306" s="317">
        <f t="shared" si="49"/>
        <v>58.290171428571433</v>
      </c>
      <c r="Y306" s="317">
        <f t="shared" si="49"/>
        <v>0</v>
      </c>
      <c r="Z306" s="317">
        <f t="shared" si="49"/>
        <v>0</v>
      </c>
      <c r="AA306" s="317">
        <f t="shared" si="49"/>
        <v>0</v>
      </c>
      <c r="AB306" s="317">
        <f t="shared" si="49"/>
        <v>0</v>
      </c>
      <c r="AC306" s="317">
        <f t="shared" si="49"/>
        <v>0</v>
      </c>
      <c r="AD306" s="317">
        <f t="shared" si="51"/>
        <v>0</v>
      </c>
      <c r="AE306" s="317">
        <f t="shared" si="51"/>
        <v>0</v>
      </c>
      <c r="AF306" s="317">
        <f t="shared" si="51"/>
        <v>0</v>
      </c>
      <c r="AG306" s="317">
        <f t="shared" si="45"/>
        <v>334.57152380952385</v>
      </c>
      <c r="AH306" s="318">
        <v>59.1</v>
      </c>
      <c r="AI306" s="318">
        <v>66.98</v>
      </c>
      <c r="AJ306" s="318">
        <v>63.04</v>
      </c>
      <c r="AK306" s="318">
        <v>62.055</v>
      </c>
      <c r="AL306" s="318">
        <v>43.34</v>
      </c>
      <c r="AM306" s="318">
        <v>0</v>
      </c>
      <c r="AN306" s="318">
        <v>0</v>
      </c>
      <c r="AO306" s="318">
        <v>0</v>
      </c>
      <c r="AP306" s="318">
        <v>0</v>
      </c>
      <c r="AQ306" s="318">
        <v>0</v>
      </c>
      <c r="AR306" s="318">
        <v>0</v>
      </c>
      <c r="AS306" s="318">
        <v>0</v>
      </c>
      <c r="AT306" s="318">
        <v>0</v>
      </c>
      <c r="AU306" s="317">
        <f t="shared" si="43"/>
        <v>294.51499999999999</v>
      </c>
      <c r="AV306" s="319">
        <v>74.71265714285714</v>
      </c>
      <c r="AW306" s="319">
        <v>80.038657142857133</v>
      </c>
      <c r="AX306" s="319">
        <v>79.764657142857132</v>
      </c>
      <c r="AY306" s="319">
        <v>55.758657142857146</v>
      </c>
      <c r="AZ306" s="319">
        <v>64.141657142857142</v>
      </c>
      <c r="BA306" s="319">
        <v>0</v>
      </c>
      <c r="BB306" s="319">
        <v>0</v>
      </c>
      <c r="BC306" s="319">
        <v>0</v>
      </c>
      <c r="BD306" s="319">
        <v>0</v>
      </c>
      <c r="BE306" s="319">
        <v>0</v>
      </c>
      <c r="BF306" s="319">
        <v>0</v>
      </c>
      <c r="BG306" s="319">
        <v>0</v>
      </c>
      <c r="BH306" s="319">
        <v>0</v>
      </c>
      <c r="BI306" s="317">
        <f t="shared" si="48"/>
        <v>354.41628571428566</v>
      </c>
      <c r="BJ306" s="316">
        <v>78.862857142857152</v>
      </c>
      <c r="BK306" s="316">
        <v>78.41685714285714</v>
      </c>
      <c r="BL306" s="316">
        <v>60.188857142857145</v>
      </c>
      <c r="BM306" s="316">
        <v>69.92585714285714</v>
      </c>
      <c r="BN306" s="316">
        <v>67.388857142857148</v>
      </c>
      <c r="BO306" s="316">
        <v>0</v>
      </c>
      <c r="BP306" s="316">
        <v>0</v>
      </c>
      <c r="BQ306" s="316">
        <v>0</v>
      </c>
      <c r="BR306" s="316">
        <v>0</v>
      </c>
      <c r="BS306" s="316">
        <v>0</v>
      </c>
      <c r="BT306" s="316">
        <v>0</v>
      </c>
      <c r="BU306" s="316">
        <v>0</v>
      </c>
      <c r="BV306" s="316">
        <v>0</v>
      </c>
      <c r="BW306" s="317">
        <f t="shared" si="46"/>
        <v>354.78328571428574</v>
      </c>
    </row>
    <row r="307" spans="1:734" s="320" customFormat="1" x14ac:dyDescent="0.2">
      <c r="A307" s="20" t="str">
        <f>'School Level Inst. Resources'!A307</f>
        <v>1901000</v>
      </c>
      <c r="B307" s="20" t="str">
        <f>'School Level Inst. Resources'!B307</f>
        <v>Sweetwater #1</v>
      </c>
      <c r="C307" s="20" t="str">
        <f>'School Level Inst. Resources'!C307</f>
        <v>1901018</v>
      </c>
      <c r="D307" s="20" t="str">
        <f>'School Level Inst. Resources'!D307</f>
        <v>Stagecoach Elementary</v>
      </c>
      <c r="E307" s="138" t="str">
        <f>'School Level Inst. Resources'!E307</f>
        <v>K-4</v>
      </c>
      <c r="F307" s="317">
        <f>IF(AND($A$2=4,VLOOKUP($A307,'District Level ADM'!$A$5:$W$52,5,FALSE)="Prior Year"),AH307,IF(AND($A$2=4,VLOOKUP($A307,'District Level ADM'!$A$5:$W$52,5,FALSE)="3-Year Avg."),T307,IF($A$2=2,AH307,IF($A$2=3,T307,IF(($AG307&gt;$AU307),T307,AH307)))))</f>
        <v>70.232171428571419</v>
      </c>
      <c r="G307" s="317">
        <f>IF(AND($A$2=4,VLOOKUP($A307,'District Level ADM'!$A$5:$W$52,5,FALSE)="Prior Year"),AI307,IF(AND($A$2=4,VLOOKUP($A307,'District Level ADM'!$A$5:$W$52,5,FALSE)="3-Year Avg."),U307,IF($A$2=2,AI307,IF($A$2=3,U307,IF(($AG307&gt;$AU307),U307,AI307)))))</f>
        <v>74.551838095238097</v>
      </c>
      <c r="H307" s="317">
        <f>IF(AND($A$2=4,VLOOKUP($A307,'District Level ADM'!$A$5:$W$52,5,FALSE)="Prior Year"),AJ307,IF(AND($A$2=4,VLOOKUP($A307,'District Level ADM'!$A$5:$W$52,5,FALSE)="3-Year Avg."),V307,IF($A$2=2,AJ307,IF($A$2=3,V307,IF(($AG307&gt;$AU307),V307,AJ307)))))</f>
        <v>78.573838095238088</v>
      </c>
      <c r="I307" s="317">
        <f>IF(AND($A$2=4,VLOOKUP($A307,'District Level ADM'!$A$5:$W$52,5,FALSE)="Prior Year"),AK307,IF(AND($A$2=4,VLOOKUP($A307,'District Level ADM'!$A$5:$W$52,5,FALSE)="3-Year Avg."),W307,IF($A$2=2,AK307,IF($A$2=3,W307,IF(($AG307&gt;$AU307),W307,AK307)))))</f>
        <v>87.011171428571444</v>
      </c>
      <c r="J307" s="317">
        <f>IF(AND($A$2=4,VLOOKUP($A307,'District Level ADM'!$A$5:$W$52,5,FALSE)="Prior Year"),AL307,IF(AND($A$2=4,VLOOKUP($A307,'District Level ADM'!$A$5:$W$52,5,FALSE)="3-Year Avg."),X307,IF($A$2=2,AL307,IF($A$2=3,X307,IF(($AG307&gt;$AU307),X307,AL307)))))</f>
        <v>82.150171428571426</v>
      </c>
      <c r="K307" s="317">
        <f>IF(AND($A$2=4,VLOOKUP($A307,'District Level ADM'!$A$5:$W$52,5,FALSE)="Prior Year"),AM307,IF(AND($A$2=4,VLOOKUP($A307,'District Level ADM'!$A$5:$W$52,5,FALSE)="3-Year Avg."),Y307,IF($A$2=2,AM307,IF($A$2=3,Y307,IF(($AG307&gt;$AU307),Y307,AM307)))))</f>
        <v>0</v>
      </c>
      <c r="L307" s="317">
        <f>IF(AND($A$2=4,VLOOKUP($A307,'District Level ADM'!$A$5:$W$52,5,FALSE)="Prior Year"),AN307,IF(AND($A$2=4,VLOOKUP($A307,'District Level ADM'!$A$5:$W$52,5,FALSE)="3-Year Avg."),Z307,IF($A$2=2,AN307,IF($A$2=3,Z307,IF(($AG307&gt;$AU307),Z307,AN307)))))</f>
        <v>0</v>
      </c>
      <c r="M307" s="317">
        <f>IF(AND($A$2=4,VLOOKUP($A307,'District Level ADM'!$A$5:$W$52,5,FALSE)="Prior Year"),AO307,IF(AND($A$2=4,VLOOKUP($A307,'District Level ADM'!$A$5:$W$52,5,FALSE)="3-Year Avg."),AA307,IF($A$2=2,AO307,IF($A$2=3,AA307,IF(($AG307&gt;$AU307),AA307,AO307)))))</f>
        <v>0</v>
      </c>
      <c r="N307" s="317">
        <f>IF(AND($A$2=4,VLOOKUP($A307,'District Level ADM'!$A$5:$W$52,5,FALSE)="Prior Year"),AP307,IF(AND($A$2=4,VLOOKUP($A307,'District Level ADM'!$A$5:$W$52,5,FALSE)="3-Year Avg."),AB307,IF($A$2=2,AP307,IF($A$2=3,AB307,IF(($AG307&gt;$AU307),AB307,AP307)))))</f>
        <v>0</v>
      </c>
      <c r="O307" s="317">
        <f>IF(AND($A$2=4,VLOOKUP($A307,'District Level ADM'!$A$5:$W$52,5,FALSE)="Prior Year"),AQ307,IF(AND($A$2=4,VLOOKUP($A307,'District Level ADM'!$A$5:$W$52,5,FALSE)="3-Year Avg."),AC307,IF($A$2=2,AQ307,IF($A$2=3,AC307,IF(($AG307&gt;$AU307),AC307,AQ307)))))</f>
        <v>0</v>
      </c>
      <c r="P307" s="317">
        <f>IF(AND($A$2=4,VLOOKUP($A307,'District Level ADM'!$A$5:$W$52,5,FALSE)="Prior Year"),AR307,IF(AND($A$2=4,VLOOKUP($A307,'District Level ADM'!$A$5:$W$52,5,FALSE)="3-Year Avg."),AD307,IF($A$2=2,AR307,IF($A$2=3,AD307,IF(($AG307&gt;$AU307),AD307,AR307)))))</f>
        <v>0</v>
      </c>
      <c r="Q307" s="317">
        <f>IF(AND($A$2=4,VLOOKUP($A307,'District Level ADM'!$A$5:$W$52,5,FALSE)="Prior Year"),AS307,IF(AND($A$2=4,VLOOKUP($A307,'District Level ADM'!$A$5:$W$52,5,FALSE)="3-Year Avg."),AE307,IF($A$2=2,AS307,IF($A$2=3,AE307,IF(($AG307&gt;$AU307),AE307,AS307)))))</f>
        <v>0</v>
      </c>
      <c r="R307" s="317">
        <f>IF(AND($A$2=4,VLOOKUP($A307,'District Level ADM'!$A$5:$W$52,5,FALSE)="Prior Year"),AT307,IF(AND($A$2=4,VLOOKUP($A307,'District Level ADM'!$A$5:$W$52,5,FALSE)="3-Year Avg."),AF307,IF($A$2=2,AT307,IF($A$2=3,AF307,IF(($AG307&gt;$AU307),AF307,AT307)))))</f>
        <v>0</v>
      </c>
      <c r="S307" s="317">
        <f t="shared" si="44"/>
        <v>392.51919047619049</v>
      </c>
      <c r="T307" s="317">
        <f t="shared" si="50"/>
        <v>70.232171428571419</v>
      </c>
      <c r="U307" s="317">
        <f t="shared" si="50"/>
        <v>74.551838095238097</v>
      </c>
      <c r="V307" s="317">
        <f t="shared" si="50"/>
        <v>78.573838095238088</v>
      </c>
      <c r="W307" s="317">
        <f t="shared" si="49"/>
        <v>87.011171428571444</v>
      </c>
      <c r="X307" s="317">
        <f t="shared" si="49"/>
        <v>82.150171428571426</v>
      </c>
      <c r="Y307" s="317">
        <f t="shared" si="49"/>
        <v>0</v>
      </c>
      <c r="Z307" s="317">
        <f t="shared" si="49"/>
        <v>0</v>
      </c>
      <c r="AA307" s="317">
        <f t="shared" si="49"/>
        <v>0</v>
      </c>
      <c r="AB307" s="317">
        <f t="shared" si="49"/>
        <v>0</v>
      </c>
      <c r="AC307" s="317">
        <f t="shared" si="49"/>
        <v>0</v>
      </c>
      <c r="AD307" s="317">
        <f t="shared" si="51"/>
        <v>0</v>
      </c>
      <c r="AE307" s="317">
        <f t="shared" si="51"/>
        <v>0</v>
      </c>
      <c r="AF307" s="317">
        <f t="shared" si="51"/>
        <v>0</v>
      </c>
      <c r="AG307" s="317">
        <f t="shared" si="45"/>
        <v>392.51919047619049</v>
      </c>
      <c r="AH307" s="318">
        <v>50.234999999999999</v>
      </c>
      <c r="AI307" s="318">
        <v>60.085000000000001</v>
      </c>
      <c r="AJ307" s="318">
        <v>59.1</v>
      </c>
      <c r="AK307" s="318">
        <v>63.04</v>
      </c>
      <c r="AL307" s="318">
        <v>63.04</v>
      </c>
      <c r="AM307" s="318">
        <v>0</v>
      </c>
      <c r="AN307" s="318">
        <v>0</v>
      </c>
      <c r="AO307" s="318">
        <v>0</v>
      </c>
      <c r="AP307" s="318">
        <v>0</v>
      </c>
      <c r="AQ307" s="318">
        <v>0</v>
      </c>
      <c r="AR307" s="318">
        <v>0</v>
      </c>
      <c r="AS307" s="318">
        <v>0</v>
      </c>
      <c r="AT307" s="318">
        <v>0</v>
      </c>
      <c r="AU307" s="317">
        <f t="shared" si="43"/>
        <v>295.5</v>
      </c>
      <c r="AV307" s="319">
        <v>69.432657142857138</v>
      </c>
      <c r="AW307" s="319">
        <v>77.478657142857131</v>
      </c>
      <c r="AX307" s="319">
        <v>82.35265714285714</v>
      </c>
      <c r="AY307" s="319">
        <v>96.564657142857143</v>
      </c>
      <c r="AZ307" s="319">
        <v>104.93565714285714</v>
      </c>
      <c r="BA307" s="319">
        <v>0</v>
      </c>
      <c r="BB307" s="319">
        <v>0</v>
      </c>
      <c r="BC307" s="319">
        <v>0</v>
      </c>
      <c r="BD307" s="319">
        <v>0</v>
      </c>
      <c r="BE307" s="319">
        <v>0</v>
      </c>
      <c r="BF307" s="319">
        <v>0</v>
      </c>
      <c r="BG307" s="319">
        <v>0</v>
      </c>
      <c r="BH307" s="319">
        <v>0</v>
      </c>
      <c r="BI307" s="317">
        <f t="shared" si="48"/>
        <v>430.76428571428573</v>
      </c>
      <c r="BJ307" s="316">
        <v>91.028857142857149</v>
      </c>
      <c r="BK307" s="316">
        <v>86.091857142857151</v>
      </c>
      <c r="BL307" s="316">
        <v>94.268857142857144</v>
      </c>
      <c r="BM307" s="316">
        <v>101.42885714285714</v>
      </c>
      <c r="BN307" s="316">
        <v>78.474857142857147</v>
      </c>
      <c r="BO307" s="316">
        <v>0</v>
      </c>
      <c r="BP307" s="316">
        <v>0</v>
      </c>
      <c r="BQ307" s="316">
        <v>0</v>
      </c>
      <c r="BR307" s="316">
        <v>0</v>
      </c>
      <c r="BS307" s="316">
        <v>0</v>
      </c>
      <c r="BT307" s="316">
        <v>0</v>
      </c>
      <c r="BU307" s="316">
        <v>0</v>
      </c>
      <c r="BV307" s="316">
        <v>0</v>
      </c>
      <c r="BW307" s="317">
        <f t="shared" si="46"/>
        <v>451.29328571428579</v>
      </c>
      <c r="BX307" s="40"/>
      <c r="BY307" s="40"/>
      <c r="BZ307" s="40"/>
      <c r="CA307" s="40"/>
      <c r="CB307" s="40"/>
      <c r="CC307" s="40"/>
      <c r="CD307" s="40"/>
      <c r="CE307" s="40"/>
      <c r="CF307" s="40"/>
      <c r="CG307" s="40"/>
      <c r="CH307" s="40"/>
      <c r="CI307" s="40"/>
      <c r="CJ307" s="40"/>
      <c r="CK307" s="40"/>
      <c r="CL307" s="40"/>
      <c r="CM307" s="40"/>
      <c r="CN307" s="40"/>
      <c r="CO307" s="40"/>
      <c r="CP307" s="40"/>
      <c r="CQ307" s="40"/>
      <c r="CR307" s="40"/>
      <c r="CS307" s="40"/>
      <c r="CT307" s="40"/>
      <c r="CU307" s="40"/>
      <c r="CV307" s="40"/>
      <c r="CW307" s="40"/>
      <c r="CX307" s="40"/>
      <c r="CY307" s="40"/>
      <c r="CZ307" s="40"/>
      <c r="DA307" s="40"/>
      <c r="DB307" s="40"/>
      <c r="DC307" s="40"/>
      <c r="DD307" s="40"/>
      <c r="DE307" s="40"/>
      <c r="DF307" s="40"/>
      <c r="DG307" s="40"/>
      <c r="DH307" s="40"/>
      <c r="DI307" s="40"/>
      <c r="DJ307" s="40"/>
      <c r="DK307" s="40"/>
      <c r="DL307" s="40"/>
      <c r="DM307" s="40"/>
      <c r="DN307" s="40"/>
      <c r="DO307" s="40"/>
      <c r="DP307" s="40"/>
      <c r="DQ307" s="40"/>
      <c r="DR307" s="40"/>
      <c r="DS307" s="40"/>
      <c r="DT307" s="40"/>
      <c r="DU307" s="40"/>
      <c r="DV307" s="40"/>
      <c r="DW307" s="40"/>
      <c r="DX307" s="40"/>
      <c r="DY307" s="40"/>
      <c r="DZ307" s="40"/>
      <c r="EA307" s="40"/>
      <c r="EB307" s="40"/>
      <c r="EC307" s="40"/>
      <c r="ED307" s="40"/>
      <c r="EE307" s="40"/>
      <c r="EF307" s="40"/>
      <c r="EG307" s="40"/>
      <c r="EH307" s="40"/>
      <c r="EI307" s="40"/>
      <c r="EJ307" s="40"/>
      <c r="EK307" s="40"/>
      <c r="EL307" s="40"/>
      <c r="EM307" s="40"/>
      <c r="EN307" s="40"/>
      <c r="EO307" s="40"/>
      <c r="EP307" s="40"/>
      <c r="EQ307" s="40"/>
      <c r="ER307" s="40"/>
      <c r="ES307" s="40"/>
      <c r="ET307" s="40"/>
      <c r="EU307" s="40"/>
      <c r="EV307" s="40"/>
      <c r="EW307" s="40"/>
      <c r="EX307" s="40"/>
      <c r="EY307" s="40"/>
      <c r="EZ307" s="40"/>
      <c r="FA307" s="40"/>
      <c r="FB307" s="40"/>
      <c r="FC307" s="40"/>
      <c r="FD307" s="40"/>
      <c r="FE307" s="40"/>
      <c r="FF307" s="40"/>
      <c r="FG307" s="40"/>
      <c r="FH307" s="40"/>
      <c r="FI307" s="40"/>
      <c r="FJ307" s="40"/>
      <c r="FK307" s="40"/>
      <c r="FL307" s="40"/>
      <c r="FM307" s="40"/>
      <c r="FN307" s="40"/>
      <c r="FO307" s="40"/>
      <c r="FP307" s="40"/>
      <c r="FQ307" s="40"/>
      <c r="FR307" s="40"/>
      <c r="FS307" s="40"/>
      <c r="FT307" s="40"/>
      <c r="FU307" s="40"/>
      <c r="FV307" s="40"/>
      <c r="FW307" s="40"/>
      <c r="FX307" s="40"/>
      <c r="FY307" s="40"/>
      <c r="FZ307" s="40"/>
      <c r="GA307" s="40"/>
      <c r="GB307" s="40"/>
      <c r="GC307" s="40"/>
      <c r="GD307" s="40"/>
      <c r="GE307" s="40"/>
      <c r="GF307" s="40"/>
      <c r="GG307" s="40"/>
      <c r="GH307" s="40"/>
      <c r="GI307" s="40"/>
      <c r="GJ307" s="40"/>
      <c r="GK307" s="40"/>
      <c r="GL307" s="40"/>
      <c r="GM307" s="40"/>
      <c r="GN307" s="40"/>
      <c r="GO307" s="40"/>
      <c r="GP307" s="40"/>
      <c r="GQ307" s="40"/>
      <c r="GR307" s="40"/>
      <c r="GS307" s="40"/>
      <c r="GT307" s="40"/>
      <c r="GU307" s="40"/>
      <c r="GV307" s="40"/>
      <c r="GW307" s="40"/>
      <c r="GX307" s="40"/>
      <c r="GY307" s="40"/>
      <c r="GZ307" s="40"/>
      <c r="HA307" s="40"/>
      <c r="HB307" s="40"/>
      <c r="HC307" s="40"/>
      <c r="HD307" s="40"/>
      <c r="HE307" s="40"/>
      <c r="HF307" s="40"/>
      <c r="HG307" s="40"/>
      <c r="HH307" s="40"/>
      <c r="HI307" s="40"/>
      <c r="HJ307" s="40"/>
      <c r="HK307" s="40"/>
      <c r="HL307" s="40"/>
      <c r="HM307" s="40"/>
      <c r="HN307" s="40"/>
      <c r="HO307" s="40"/>
      <c r="HP307" s="40"/>
      <c r="HQ307" s="40"/>
      <c r="HR307" s="40"/>
      <c r="HS307" s="40"/>
      <c r="HT307" s="40"/>
      <c r="HU307" s="40"/>
      <c r="HV307" s="40"/>
      <c r="HW307" s="40"/>
      <c r="HX307" s="40"/>
      <c r="HY307" s="40"/>
      <c r="HZ307" s="40"/>
      <c r="IA307" s="40"/>
      <c r="IB307" s="40"/>
      <c r="IC307" s="40"/>
      <c r="ID307" s="40"/>
      <c r="IE307" s="40"/>
      <c r="IF307" s="40"/>
      <c r="IG307" s="40"/>
      <c r="IH307" s="40"/>
      <c r="II307" s="40"/>
      <c r="IJ307" s="40"/>
      <c r="IK307" s="40"/>
      <c r="IL307" s="40"/>
      <c r="IM307" s="40"/>
      <c r="IN307" s="40"/>
      <c r="IO307" s="40"/>
      <c r="IP307" s="40"/>
      <c r="IQ307" s="40"/>
      <c r="IR307" s="40"/>
      <c r="IS307" s="40"/>
      <c r="IT307" s="40"/>
      <c r="IU307" s="40"/>
      <c r="IV307" s="40"/>
      <c r="IW307" s="40"/>
      <c r="IX307" s="40"/>
      <c r="IY307" s="40"/>
      <c r="IZ307" s="40"/>
      <c r="JA307" s="40"/>
      <c r="JB307" s="40"/>
      <c r="JC307" s="40"/>
      <c r="JD307" s="40"/>
      <c r="JE307" s="40"/>
      <c r="JF307" s="40"/>
      <c r="JG307" s="40"/>
      <c r="JH307" s="40"/>
      <c r="JI307" s="40"/>
      <c r="JJ307" s="40"/>
      <c r="JK307" s="40"/>
      <c r="JL307" s="40"/>
      <c r="JM307" s="40"/>
      <c r="JN307" s="40"/>
      <c r="JO307" s="40"/>
      <c r="JP307" s="40"/>
      <c r="JQ307" s="40"/>
      <c r="JR307" s="40"/>
      <c r="JS307" s="40"/>
      <c r="JT307" s="40"/>
      <c r="JU307" s="40"/>
      <c r="JV307" s="40"/>
      <c r="JW307" s="40"/>
      <c r="JX307" s="40"/>
      <c r="JY307" s="40"/>
      <c r="JZ307" s="40"/>
      <c r="KA307" s="40"/>
      <c r="KB307" s="40"/>
      <c r="KC307" s="40"/>
      <c r="KD307" s="40"/>
      <c r="KE307" s="40"/>
      <c r="KF307" s="40"/>
      <c r="KG307" s="40"/>
      <c r="KH307" s="40"/>
      <c r="KI307" s="40"/>
      <c r="KJ307" s="40"/>
      <c r="KK307" s="40"/>
      <c r="KL307" s="40"/>
      <c r="KM307" s="40"/>
      <c r="KN307" s="40"/>
      <c r="KO307" s="40"/>
      <c r="KP307" s="40"/>
      <c r="KQ307" s="40"/>
      <c r="KR307" s="40"/>
      <c r="KS307" s="40"/>
      <c r="KT307" s="40"/>
      <c r="KU307" s="40"/>
      <c r="KV307" s="40"/>
      <c r="KW307" s="40"/>
      <c r="KX307" s="40"/>
      <c r="KY307" s="40"/>
      <c r="KZ307" s="40"/>
      <c r="LA307" s="40"/>
      <c r="LB307" s="40"/>
      <c r="LC307" s="40"/>
      <c r="LD307" s="40"/>
      <c r="LE307" s="40"/>
      <c r="LF307" s="40"/>
      <c r="LG307" s="40"/>
      <c r="LH307" s="40"/>
      <c r="LI307" s="40"/>
      <c r="LJ307" s="40"/>
      <c r="LK307" s="40"/>
      <c r="LL307" s="40"/>
      <c r="LM307" s="40"/>
      <c r="LN307" s="40"/>
      <c r="LO307" s="40"/>
      <c r="LP307" s="40"/>
      <c r="LQ307" s="40"/>
      <c r="LR307" s="40"/>
      <c r="LS307" s="40"/>
      <c r="LT307" s="40"/>
      <c r="LU307" s="40"/>
      <c r="LV307" s="40"/>
      <c r="LW307" s="40"/>
      <c r="LX307" s="40"/>
      <c r="LY307" s="40"/>
      <c r="LZ307" s="40"/>
      <c r="MA307" s="40"/>
      <c r="MB307" s="40"/>
      <c r="MC307" s="40"/>
      <c r="MD307" s="40"/>
      <c r="ME307" s="40"/>
      <c r="MF307" s="40"/>
      <c r="MG307" s="40"/>
      <c r="MH307" s="40"/>
      <c r="MI307" s="40"/>
      <c r="MJ307" s="40"/>
      <c r="MK307" s="40"/>
      <c r="ML307" s="40"/>
      <c r="MM307" s="40"/>
      <c r="MN307" s="40"/>
      <c r="MO307" s="40"/>
      <c r="MP307" s="40"/>
      <c r="MQ307" s="40"/>
      <c r="MR307" s="40"/>
      <c r="MS307" s="40"/>
      <c r="MT307" s="40"/>
      <c r="MU307" s="40"/>
      <c r="MV307" s="40"/>
      <c r="MW307" s="40"/>
      <c r="MX307" s="40"/>
      <c r="MY307" s="40"/>
      <c r="MZ307" s="40"/>
      <c r="NA307" s="40"/>
      <c r="NB307" s="40"/>
      <c r="NC307" s="40"/>
      <c r="ND307" s="40"/>
      <c r="NE307" s="40"/>
      <c r="NF307" s="40"/>
      <c r="NG307" s="40"/>
      <c r="NH307" s="40"/>
      <c r="NI307" s="40"/>
      <c r="NJ307" s="40"/>
      <c r="NK307" s="40"/>
      <c r="NL307" s="40"/>
      <c r="NM307" s="40"/>
      <c r="NN307" s="40"/>
      <c r="NO307" s="40"/>
      <c r="NP307" s="40"/>
      <c r="NQ307" s="40"/>
      <c r="NR307" s="40"/>
      <c r="NS307" s="40"/>
      <c r="NT307" s="40"/>
      <c r="NU307" s="40"/>
      <c r="NV307" s="40"/>
      <c r="NW307" s="40"/>
      <c r="NX307" s="40"/>
      <c r="NY307" s="40"/>
      <c r="NZ307" s="40"/>
      <c r="OA307" s="40"/>
      <c r="OB307" s="40"/>
      <c r="OC307" s="40"/>
      <c r="OD307" s="40"/>
      <c r="OE307" s="40"/>
      <c r="OF307" s="40"/>
      <c r="OG307" s="40"/>
      <c r="OH307" s="40"/>
      <c r="OI307" s="40"/>
      <c r="OJ307" s="40"/>
      <c r="OK307" s="40"/>
      <c r="OL307" s="40"/>
      <c r="OM307" s="40"/>
      <c r="ON307" s="40"/>
      <c r="OO307" s="40"/>
      <c r="OP307" s="40"/>
      <c r="OQ307" s="40"/>
      <c r="OR307" s="40"/>
      <c r="OS307" s="40"/>
      <c r="OT307" s="40"/>
      <c r="OU307" s="40"/>
      <c r="OV307" s="40"/>
      <c r="OW307" s="40"/>
      <c r="OX307" s="40"/>
      <c r="OY307" s="40"/>
      <c r="OZ307" s="40"/>
      <c r="PA307" s="40"/>
      <c r="PB307" s="40"/>
      <c r="PC307" s="40"/>
      <c r="PD307" s="40"/>
      <c r="PE307" s="40"/>
      <c r="PF307" s="40"/>
      <c r="PG307" s="40"/>
      <c r="PH307" s="40"/>
      <c r="PI307" s="40"/>
      <c r="PJ307" s="40"/>
      <c r="PK307" s="40"/>
      <c r="PL307" s="40"/>
      <c r="PM307" s="40"/>
      <c r="PN307" s="40"/>
      <c r="PO307" s="40"/>
      <c r="PP307" s="40"/>
      <c r="PQ307" s="40"/>
      <c r="PR307" s="40"/>
      <c r="PS307" s="40"/>
      <c r="PT307" s="40"/>
      <c r="PU307" s="40"/>
      <c r="PV307" s="40"/>
      <c r="PW307" s="40"/>
      <c r="PX307" s="40"/>
      <c r="PY307" s="40"/>
      <c r="PZ307" s="40"/>
      <c r="QA307" s="40"/>
      <c r="QB307" s="40"/>
      <c r="QC307" s="40"/>
      <c r="QD307" s="40"/>
      <c r="QE307" s="40"/>
      <c r="QF307" s="40"/>
      <c r="QG307" s="40"/>
      <c r="QH307" s="40"/>
      <c r="QI307" s="40"/>
      <c r="QJ307" s="40"/>
      <c r="QK307" s="40"/>
      <c r="QL307" s="40"/>
      <c r="QM307" s="40"/>
      <c r="QN307" s="40"/>
      <c r="QO307" s="40"/>
      <c r="QP307" s="40"/>
      <c r="QQ307" s="40"/>
      <c r="QR307" s="40"/>
      <c r="QS307" s="40"/>
      <c r="QT307" s="40"/>
      <c r="QU307" s="40"/>
      <c r="QV307" s="40"/>
      <c r="QW307" s="40"/>
      <c r="QX307" s="40"/>
      <c r="QY307" s="40"/>
      <c r="QZ307" s="40"/>
      <c r="RA307" s="40"/>
      <c r="RB307" s="40"/>
      <c r="RC307" s="40"/>
      <c r="RD307" s="40"/>
      <c r="RE307" s="40"/>
      <c r="RF307" s="40"/>
      <c r="RG307" s="40"/>
      <c r="RH307" s="40"/>
      <c r="RI307" s="40"/>
      <c r="RJ307" s="40"/>
      <c r="RK307" s="40"/>
      <c r="RL307" s="40"/>
      <c r="RM307" s="40"/>
      <c r="RN307" s="40"/>
      <c r="RO307" s="40"/>
      <c r="RP307" s="40"/>
      <c r="RQ307" s="40"/>
      <c r="RR307" s="40"/>
      <c r="RS307" s="40"/>
      <c r="RT307" s="40"/>
      <c r="RU307" s="40"/>
      <c r="RV307" s="40"/>
      <c r="RW307" s="40"/>
      <c r="RX307" s="40"/>
      <c r="RY307" s="40"/>
      <c r="RZ307" s="40"/>
      <c r="SA307" s="40"/>
      <c r="SB307" s="40"/>
      <c r="SC307" s="40"/>
      <c r="SD307" s="40"/>
      <c r="SE307" s="40"/>
      <c r="SF307" s="40"/>
      <c r="SG307" s="40"/>
      <c r="SH307" s="40"/>
      <c r="SI307" s="40"/>
      <c r="SJ307" s="40"/>
      <c r="SK307" s="40"/>
      <c r="SL307" s="40"/>
      <c r="SM307" s="40"/>
      <c r="SN307" s="40"/>
      <c r="SO307" s="40"/>
      <c r="SP307" s="40"/>
      <c r="SQ307" s="40"/>
      <c r="SR307" s="40"/>
      <c r="SS307" s="40"/>
      <c r="ST307" s="40"/>
      <c r="SU307" s="40"/>
      <c r="SV307" s="40"/>
      <c r="SW307" s="40"/>
      <c r="SX307" s="40"/>
      <c r="SY307" s="40"/>
      <c r="SZ307" s="40"/>
      <c r="TA307" s="40"/>
      <c r="TB307" s="40"/>
      <c r="TC307" s="40"/>
      <c r="TD307" s="40"/>
      <c r="TE307" s="40"/>
      <c r="TF307" s="40"/>
      <c r="TG307" s="40"/>
      <c r="TH307" s="40"/>
      <c r="TI307" s="40"/>
      <c r="TJ307" s="40"/>
      <c r="TK307" s="40"/>
      <c r="TL307" s="40"/>
      <c r="TM307" s="40"/>
      <c r="TN307" s="40"/>
      <c r="TO307" s="40"/>
      <c r="TP307" s="40"/>
      <c r="TQ307" s="40"/>
      <c r="TR307" s="40"/>
      <c r="TS307" s="40"/>
      <c r="TT307" s="40"/>
      <c r="TU307" s="40"/>
      <c r="TV307" s="40"/>
      <c r="TW307" s="40"/>
      <c r="TX307" s="40"/>
      <c r="TY307" s="40"/>
      <c r="TZ307" s="40"/>
      <c r="UA307" s="40"/>
      <c r="UB307" s="40"/>
      <c r="UC307" s="40"/>
      <c r="UD307" s="40"/>
      <c r="UE307" s="40"/>
      <c r="UF307" s="40"/>
      <c r="UG307" s="40"/>
      <c r="UH307" s="40"/>
      <c r="UI307" s="40"/>
      <c r="UJ307" s="40"/>
      <c r="UK307" s="40"/>
      <c r="UL307" s="40"/>
      <c r="UM307" s="40"/>
      <c r="UN307" s="40"/>
      <c r="UO307" s="40"/>
      <c r="UP307" s="40"/>
      <c r="UQ307" s="40"/>
      <c r="UR307" s="40"/>
      <c r="US307" s="40"/>
      <c r="UT307" s="40"/>
      <c r="UU307" s="40"/>
      <c r="UV307" s="40"/>
      <c r="UW307" s="40"/>
      <c r="UX307" s="40"/>
      <c r="UY307" s="40"/>
      <c r="UZ307" s="40"/>
      <c r="VA307" s="40"/>
      <c r="VB307" s="40"/>
      <c r="VC307" s="40"/>
      <c r="VD307" s="40"/>
      <c r="VE307" s="40"/>
      <c r="VF307" s="40"/>
      <c r="VG307" s="40"/>
      <c r="VH307" s="40"/>
      <c r="VI307" s="40"/>
      <c r="VJ307" s="40"/>
      <c r="VK307" s="40"/>
      <c r="VL307" s="40"/>
      <c r="VM307" s="40"/>
      <c r="VN307" s="40"/>
      <c r="VO307" s="40"/>
      <c r="VP307" s="40"/>
      <c r="VQ307" s="40"/>
      <c r="VR307" s="40"/>
      <c r="VS307" s="40"/>
      <c r="VT307" s="40"/>
      <c r="VU307" s="40"/>
      <c r="VV307" s="40"/>
      <c r="VW307" s="40"/>
      <c r="VX307" s="40"/>
      <c r="VY307" s="40"/>
      <c r="VZ307" s="40"/>
      <c r="WA307" s="40"/>
      <c r="WB307" s="40"/>
      <c r="WC307" s="40"/>
      <c r="WD307" s="40"/>
      <c r="WE307" s="40"/>
      <c r="WF307" s="40"/>
      <c r="WG307" s="40"/>
      <c r="WH307" s="40"/>
      <c r="WI307" s="40"/>
      <c r="WJ307" s="40"/>
      <c r="WK307" s="40"/>
      <c r="WL307" s="40"/>
      <c r="WM307" s="40"/>
      <c r="WN307" s="40"/>
      <c r="WO307" s="40"/>
      <c r="WP307" s="40"/>
      <c r="WQ307" s="40"/>
      <c r="WR307" s="40"/>
      <c r="WS307" s="40"/>
      <c r="WT307" s="40"/>
      <c r="WU307" s="40"/>
      <c r="WV307" s="40"/>
      <c r="WW307" s="40"/>
      <c r="WX307" s="40"/>
      <c r="WY307" s="40"/>
      <c r="WZ307" s="40"/>
      <c r="XA307" s="40"/>
      <c r="XB307" s="40"/>
      <c r="XC307" s="40"/>
      <c r="XD307" s="40"/>
      <c r="XE307" s="40"/>
      <c r="XF307" s="40"/>
      <c r="XG307" s="40"/>
      <c r="XH307" s="40"/>
      <c r="XI307" s="40"/>
      <c r="XJ307" s="40"/>
      <c r="XK307" s="40"/>
      <c r="XL307" s="40"/>
      <c r="XM307" s="40"/>
      <c r="XN307" s="40"/>
      <c r="XO307" s="40"/>
      <c r="XP307" s="40"/>
      <c r="XQ307" s="40"/>
      <c r="XR307" s="40"/>
      <c r="XS307" s="40"/>
      <c r="XT307" s="40"/>
      <c r="XU307" s="40"/>
      <c r="XV307" s="40"/>
      <c r="XW307" s="40"/>
      <c r="XX307" s="40"/>
      <c r="XY307" s="40"/>
      <c r="XZ307" s="40"/>
      <c r="YA307" s="40"/>
      <c r="YB307" s="40"/>
      <c r="YC307" s="40"/>
      <c r="YD307" s="40"/>
      <c r="YE307" s="40"/>
      <c r="YF307" s="40"/>
      <c r="YG307" s="40"/>
      <c r="YH307" s="40"/>
      <c r="YI307" s="40"/>
      <c r="YJ307" s="40"/>
      <c r="YK307" s="40"/>
      <c r="YL307" s="40"/>
      <c r="YM307" s="40"/>
      <c r="YN307" s="40"/>
      <c r="YO307" s="40"/>
      <c r="YP307" s="40"/>
      <c r="YQ307" s="40"/>
      <c r="YR307" s="40"/>
      <c r="YS307" s="40"/>
      <c r="YT307" s="40"/>
      <c r="YU307" s="40"/>
      <c r="YV307" s="40"/>
      <c r="YW307" s="40"/>
      <c r="YX307" s="40"/>
      <c r="YY307" s="40"/>
      <c r="YZ307" s="40"/>
      <c r="ZA307" s="40"/>
      <c r="ZB307" s="40"/>
      <c r="ZC307" s="40"/>
      <c r="ZD307" s="40"/>
      <c r="ZE307" s="40"/>
      <c r="ZF307" s="40"/>
      <c r="ZG307" s="40"/>
      <c r="ZH307" s="40"/>
      <c r="ZI307" s="40"/>
      <c r="ZJ307" s="40"/>
      <c r="ZK307" s="40"/>
      <c r="ZL307" s="40"/>
      <c r="ZM307" s="40"/>
      <c r="ZN307" s="40"/>
      <c r="ZO307" s="40"/>
      <c r="ZP307" s="40"/>
      <c r="ZQ307" s="40"/>
      <c r="ZR307" s="40"/>
      <c r="ZS307" s="40"/>
      <c r="ZT307" s="40"/>
      <c r="ZU307" s="40"/>
      <c r="ZV307" s="40"/>
      <c r="ZW307" s="40"/>
      <c r="ZX307" s="40"/>
      <c r="ZY307" s="40"/>
      <c r="ZZ307" s="40"/>
      <c r="AAA307" s="40"/>
      <c r="AAB307" s="40"/>
      <c r="AAC307" s="40"/>
      <c r="AAD307" s="40"/>
      <c r="AAE307" s="40"/>
      <c r="AAF307" s="40"/>
      <c r="AAG307" s="40"/>
      <c r="AAH307" s="40"/>
      <c r="AAI307" s="40"/>
      <c r="AAJ307" s="40"/>
      <c r="AAK307" s="40"/>
      <c r="AAL307" s="40"/>
      <c r="AAM307" s="40"/>
      <c r="AAN307" s="40"/>
      <c r="AAO307" s="40"/>
      <c r="AAP307" s="40"/>
      <c r="AAQ307" s="40"/>
      <c r="AAR307" s="40"/>
      <c r="AAS307" s="40"/>
      <c r="AAT307" s="40"/>
      <c r="AAU307" s="40"/>
      <c r="AAV307" s="40"/>
      <c r="AAW307" s="40"/>
      <c r="AAX307" s="40"/>
      <c r="AAY307" s="40"/>
      <c r="AAZ307" s="40"/>
      <c r="ABA307" s="40"/>
      <c r="ABB307" s="40"/>
      <c r="ABC307" s="40"/>
      <c r="ABD307" s="40"/>
      <c r="ABE307" s="40"/>
      <c r="ABF307" s="40"/>
    </row>
    <row r="308" spans="1:734" x14ac:dyDescent="0.2">
      <c r="A308" s="20" t="str">
        <f>'School Level Inst. Resources'!A308</f>
        <v>1901000</v>
      </c>
      <c r="B308" s="20" t="str">
        <f>'School Level Inst. Resources'!B308</f>
        <v>Sweetwater #1</v>
      </c>
      <c r="C308" s="20" t="str">
        <f>'School Level Inst. Resources'!C308</f>
        <v>1901050</v>
      </c>
      <c r="D308" s="20" t="str">
        <f>'School Level Inst. Resources'!D308</f>
        <v>Rock Springs Junior High</v>
      </c>
      <c r="E308" s="138" t="str">
        <f>'School Level Inst. Resources'!E308</f>
        <v>7-8</v>
      </c>
      <c r="F308" s="317">
        <f>IF(AND($A$2=4,VLOOKUP($A308,'District Level ADM'!$A$5:$W$52,5,FALSE)="Prior Year"),AH308,IF(AND($A$2=4,VLOOKUP($A308,'District Level ADM'!$A$5:$W$52,5,FALSE)="3-Year Avg."),T308,IF($A$2=2,AH308,IF($A$2=3,T308,IF(($AG308&gt;$AU308),T308,AH308)))))</f>
        <v>0</v>
      </c>
      <c r="G308" s="317">
        <f>IF(AND($A$2=4,VLOOKUP($A308,'District Level ADM'!$A$5:$W$52,5,FALSE)="Prior Year"),AI308,IF(AND($A$2=4,VLOOKUP($A308,'District Level ADM'!$A$5:$W$52,5,FALSE)="3-Year Avg."),U308,IF($A$2=2,AI308,IF($A$2=3,U308,IF(($AG308&gt;$AU308),U308,AI308)))))</f>
        <v>0</v>
      </c>
      <c r="H308" s="317">
        <f>IF(AND($A$2=4,VLOOKUP($A308,'District Level ADM'!$A$5:$W$52,5,FALSE)="Prior Year"),AJ308,IF(AND($A$2=4,VLOOKUP($A308,'District Level ADM'!$A$5:$W$52,5,FALSE)="3-Year Avg."),V308,IF($A$2=2,AJ308,IF($A$2=3,V308,IF(($AG308&gt;$AU308),V308,AJ308)))))</f>
        <v>0</v>
      </c>
      <c r="I308" s="317">
        <f>IF(AND($A$2=4,VLOOKUP($A308,'District Level ADM'!$A$5:$W$52,5,FALSE)="Prior Year"),AK308,IF(AND($A$2=4,VLOOKUP($A308,'District Level ADM'!$A$5:$W$52,5,FALSE)="3-Year Avg."),W308,IF($A$2=2,AK308,IF($A$2=3,W308,IF(($AG308&gt;$AU308),W308,AK308)))))</f>
        <v>0</v>
      </c>
      <c r="J308" s="317">
        <f>IF(AND($A$2=4,VLOOKUP($A308,'District Level ADM'!$A$5:$W$52,5,FALSE)="Prior Year"),AL308,IF(AND($A$2=4,VLOOKUP($A308,'District Level ADM'!$A$5:$W$52,5,FALSE)="3-Year Avg."),X308,IF($A$2=2,AL308,IF($A$2=3,X308,IF(($AG308&gt;$AU308),X308,AL308)))))</f>
        <v>0</v>
      </c>
      <c r="K308" s="317">
        <f>IF(AND($A$2=4,VLOOKUP($A308,'District Level ADM'!$A$5:$W$52,5,FALSE)="Prior Year"),AM308,IF(AND($A$2=4,VLOOKUP($A308,'District Level ADM'!$A$5:$W$52,5,FALSE)="3-Year Avg."),Y308,IF($A$2=2,AM308,IF($A$2=3,Y308,IF(($AG308&gt;$AU308),Y308,AM308)))))</f>
        <v>0</v>
      </c>
      <c r="L308" s="317">
        <f>IF(AND($A$2=4,VLOOKUP($A308,'District Level ADM'!$A$5:$W$52,5,FALSE)="Prior Year"),AN308,IF(AND($A$2=4,VLOOKUP($A308,'District Level ADM'!$A$5:$W$52,5,FALSE)="3-Year Avg."),Z308,IF($A$2=2,AN308,IF($A$2=3,Z308,IF(($AG308&gt;$AU308),Z308,AN308)))))</f>
        <v>0</v>
      </c>
      <c r="M308" s="317">
        <f>IF(AND($A$2=4,VLOOKUP($A308,'District Level ADM'!$A$5:$W$52,5,FALSE)="Prior Year"),AO308,IF(AND($A$2=4,VLOOKUP($A308,'District Level ADM'!$A$5:$W$52,5,FALSE)="3-Year Avg."),AA308,IF($A$2=2,AO308,IF($A$2=3,AA308,IF(($AG308&gt;$AU308),AA308,AO308)))))</f>
        <v>406.98333333333335</v>
      </c>
      <c r="N308" s="317">
        <f>IF(AND($A$2=4,VLOOKUP($A308,'District Level ADM'!$A$5:$W$52,5,FALSE)="Prior Year"),AP308,IF(AND($A$2=4,VLOOKUP($A308,'District Level ADM'!$A$5:$W$52,5,FALSE)="3-Year Avg."),AB308,IF($A$2=2,AP308,IF($A$2=3,AB308,IF(($AG308&gt;$AU308),AB308,AP308)))))</f>
        <v>399.02566666666667</v>
      </c>
      <c r="O308" s="317">
        <f>IF(AND($A$2=4,VLOOKUP($A308,'District Level ADM'!$A$5:$W$52,5,FALSE)="Prior Year"),AQ308,IF(AND($A$2=4,VLOOKUP($A308,'District Level ADM'!$A$5:$W$52,5,FALSE)="3-Year Avg."),AC308,IF($A$2=2,AQ308,IF($A$2=3,AC308,IF(($AG308&gt;$AU308),AC308,AQ308)))))</f>
        <v>0</v>
      </c>
      <c r="P308" s="317">
        <f>IF(AND($A$2=4,VLOOKUP($A308,'District Level ADM'!$A$5:$W$52,5,FALSE)="Prior Year"),AR308,IF(AND($A$2=4,VLOOKUP($A308,'District Level ADM'!$A$5:$W$52,5,FALSE)="3-Year Avg."),AD308,IF($A$2=2,AR308,IF($A$2=3,AD308,IF(($AG308&gt;$AU308),AD308,AR308)))))</f>
        <v>0</v>
      </c>
      <c r="Q308" s="317">
        <f>IF(AND($A$2=4,VLOOKUP($A308,'District Level ADM'!$A$5:$W$52,5,FALSE)="Prior Year"),AS308,IF(AND($A$2=4,VLOOKUP($A308,'District Level ADM'!$A$5:$W$52,5,FALSE)="3-Year Avg."),AE308,IF($A$2=2,AS308,IF($A$2=3,AE308,IF(($AG308&gt;$AU308),AE308,AS308)))))</f>
        <v>0</v>
      </c>
      <c r="R308" s="317">
        <f>IF(AND($A$2=4,VLOOKUP($A308,'District Level ADM'!$A$5:$W$52,5,FALSE)="Prior Year"),AT308,IF(AND($A$2=4,VLOOKUP($A308,'District Level ADM'!$A$5:$W$52,5,FALSE)="3-Year Avg."),AF308,IF($A$2=2,AT308,IF($A$2=3,AF308,IF(($AG308&gt;$AU308),AF308,AT308)))))</f>
        <v>0</v>
      </c>
      <c r="S308" s="317">
        <f t="shared" si="44"/>
        <v>806.00900000000001</v>
      </c>
      <c r="T308" s="317">
        <f t="shared" si="50"/>
        <v>0</v>
      </c>
      <c r="U308" s="317">
        <f t="shared" si="50"/>
        <v>0</v>
      </c>
      <c r="V308" s="317">
        <f t="shared" si="50"/>
        <v>0</v>
      </c>
      <c r="W308" s="317">
        <f t="shared" si="49"/>
        <v>0</v>
      </c>
      <c r="X308" s="317">
        <f t="shared" si="49"/>
        <v>0</v>
      </c>
      <c r="Y308" s="317">
        <f t="shared" si="49"/>
        <v>0</v>
      </c>
      <c r="Z308" s="317">
        <f t="shared" si="49"/>
        <v>0</v>
      </c>
      <c r="AA308" s="317">
        <f t="shared" si="49"/>
        <v>406.98333333333335</v>
      </c>
      <c r="AB308" s="317">
        <f t="shared" si="49"/>
        <v>399.02566666666667</v>
      </c>
      <c r="AC308" s="317">
        <f t="shared" si="49"/>
        <v>0</v>
      </c>
      <c r="AD308" s="317">
        <f t="shared" si="51"/>
        <v>0</v>
      </c>
      <c r="AE308" s="317">
        <f t="shared" si="51"/>
        <v>0</v>
      </c>
      <c r="AF308" s="317">
        <f t="shared" si="51"/>
        <v>0</v>
      </c>
      <c r="AG308" s="317">
        <f t="shared" si="45"/>
        <v>806.00900000000001</v>
      </c>
      <c r="AH308" s="318">
        <v>0</v>
      </c>
      <c r="AI308" s="318">
        <v>0</v>
      </c>
      <c r="AJ308" s="318">
        <v>0</v>
      </c>
      <c r="AK308" s="318">
        <v>0</v>
      </c>
      <c r="AL308" s="318">
        <v>0</v>
      </c>
      <c r="AM308" s="318">
        <v>0</v>
      </c>
      <c r="AN308" s="318">
        <v>0</v>
      </c>
      <c r="AO308" s="318">
        <v>423.55</v>
      </c>
      <c r="AP308" s="318">
        <v>376.27</v>
      </c>
      <c r="AQ308" s="318">
        <v>0</v>
      </c>
      <c r="AR308" s="318">
        <v>0</v>
      </c>
      <c r="AS308" s="318">
        <v>0</v>
      </c>
      <c r="AT308" s="318">
        <v>0</v>
      </c>
      <c r="AU308" s="317">
        <f t="shared" si="43"/>
        <v>799.81999999999994</v>
      </c>
      <c r="AV308" s="319">
        <v>0</v>
      </c>
      <c r="AW308" s="319">
        <v>0</v>
      </c>
      <c r="AX308" s="319">
        <v>0</v>
      </c>
      <c r="AY308" s="319">
        <v>0</v>
      </c>
      <c r="AZ308" s="319">
        <v>0</v>
      </c>
      <c r="BA308" s="319">
        <v>0</v>
      </c>
      <c r="BB308" s="319">
        <v>0</v>
      </c>
      <c r="BC308" s="319">
        <v>379.26299999999998</v>
      </c>
      <c r="BD308" s="319">
        <v>419.04599999999999</v>
      </c>
      <c r="BE308" s="319">
        <v>0</v>
      </c>
      <c r="BF308" s="319">
        <v>0</v>
      </c>
      <c r="BG308" s="319">
        <v>0</v>
      </c>
      <c r="BH308" s="319">
        <v>0</v>
      </c>
      <c r="BI308" s="317">
        <f t="shared" si="48"/>
        <v>798.30899999999997</v>
      </c>
      <c r="BJ308" s="316">
        <v>0</v>
      </c>
      <c r="BK308" s="316">
        <v>0</v>
      </c>
      <c r="BL308" s="316">
        <v>0</v>
      </c>
      <c r="BM308" s="316">
        <v>0</v>
      </c>
      <c r="BN308" s="316">
        <v>0</v>
      </c>
      <c r="BO308" s="316">
        <v>0</v>
      </c>
      <c r="BP308" s="316">
        <v>0</v>
      </c>
      <c r="BQ308" s="316">
        <v>418.137</v>
      </c>
      <c r="BR308" s="316">
        <v>401.76100000000002</v>
      </c>
      <c r="BS308" s="316">
        <v>0</v>
      </c>
      <c r="BT308" s="316">
        <v>0</v>
      </c>
      <c r="BU308" s="316">
        <v>0</v>
      </c>
      <c r="BV308" s="316">
        <v>0</v>
      </c>
      <c r="BW308" s="317">
        <f t="shared" si="46"/>
        <v>819.89800000000002</v>
      </c>
    </row>
    <row r="309" spans="1:734" x14ac:dyDescent="0.2">
      <c r="A309" s="20" t="str">
        <f>'School Level Inst. Resources'!A309</f>
        <v>1901000</v>
      </c>
      <c r="B309" s="20" t="str">
        <f>'School Level Inst. Resources'!B309</f>
        <v>Sweetwater #1</v>
      </c>
      <c r="C309" s="20" t="str">
        <f>'School Level Inst. Resources'!C309</f>
        <v>1901053</v>
      </c>
      <c r="D309" s="20" t="str">
        <f>'School Level Inst. Resources'!D309</f>
        <v>Desert Middle School</v>
      </c>
      <c r="E309" s="138" t="str">
        <f>'School Level Inst. Resources'!E309</f>
        <v>7-8</v>
      </c>
      <c r="F309" s="317">
        <f>IF(AND($A$2=4,VLOOKUP($A309,'District Level ADM'!$A$5:$W$52,5,FALSE)="Prior Year"),AH309,IF(AND($A$2=4,VLOOKUP($A309,'District Level ADM'!$A$5:$W$52,5,FALSE)="3-Year Avg."),T309,IF($A$2=2,AH309,IF($A$2=3,T309,IF(($AG309&gt;$AU309),T309,AH309)))))</f>
        <v>0</v>
      </c>
      <c r="G309" s="317">
        <f>IF(AND($A$2=4,VLOOKUP($A309,'District Level ADM'!$A$5:$W$52,5,FALSE)="Prior Year"),AI309,IF(AND($A$2=4,VLOOKUP($A309,'District Level ADM'!$A$5:$W$52,5,FALSE)="3-Year Avg."),U309,IF($A$2=2,AI309,IF($A$2=3,U309,IF(($AG309&gt;$AU309),U309,AI309)))))</f>
        <v>0</v>
      </c>
      <c r="H309" s="317">
        <f>IF(AND($A$2=4,VLOOKUP($A309,'District Level ADM'!$A$5:$W$52,5,FALSE)="Prior Year"),AJ309,IF(AND($A$2=4,VLOOKUP($A309,'District Level ADM'!$A$5:$W$52,5,FALSE)="3-Year Avg."),V309,IF($A$2=2,AJ309,IF($A$2=3,V309,IF(($AG309&gt;$AU309),V309,AJ309)))))</f>
        <v>0</v>
      </c>
      <c r="I309" s="317">
        <f>IF(AND($A$2=4,VLOOKUP($A309,'District Level ADM'!$A$5:$W$52,5,FALSE)="Prior Year"),AK309,IF(AND($A$2=4,VLOOKUP($A309,'District Level ADM'!$A$5:$W$52,5,FALSE)="3-Year Avg."),W309,IF($A$2=2,AK309,IF($A$2=3,W309,IF(($AG309&gt;$AU309),W309,AK309)))))</f>
        <v>0</v>
      </c>
      <c r="J309" s="317">
        <f>IF(AND($A$2=4,VLOOKUP($A309,'District Level ADM'!$A$5:$W$52,5,FALSE)="Prior Year"),AL309,IF(AND($A$2=4,VLOOKUP($A309,'District Level ADM'!$A$5:$W$52,5,FALSE)="3-Year Avg."),X309,IF($A$2=2,AL309,IF($A$2=3,X309,IF(($AG309&gt;$AU309),X309,AL309)))))</f>
        <v>0</v>
      </c>
      <c r="K309" s="317">
        <f>IF(AND($A$2=4,VLOOKUP($A309,'District Level ADM'!$A$5:$W$52,5,FALSE)="Prior Year"),AM309,IF(AND($A$2=4,VLOOKUP($A309,'District Level ADM'!$A$5:$W$52,5,FALSE)="3-Year Avg."),Y309,IF($A$2=2,AM309,IF($A$2=3,Y309,IF(($AG309&gt;$AU309),Y309,AM309)))))</f>
        <v>0</v>
      </c>
      <c r="L309" s="317">
        <f>IF(AND($A$2=4,VLOOKUP($A309,'District Level ADM'!$A$5:$W$52,5,FALSE)="Prior Year"),AN309,IF(AND($A$2=4,VLOOKUP($A309,'District Level ADM'!$A$5:$W$52,5,FALSE)="3-Year Avg."),Z309,IF($A$2=2,AN309,IF($A$2=3,Z309,IF(($AG309&gt;$AU309),Z309,AN309)))))</f>
        <v>0</v>
      </c>
      <c r="M309" s="317">
        <f>IF(AND($A$2=4,VLOOKUP($A309,'District Level ADM'!$A$5:$W$52,5,FALSE)="Prior Year"),AO309,IF(AND($A$2=4,VLOOKUP($A309,'District Level ADM'!$A$5:$W$52,5,FALSE)="3-Year Avg."),AA309,IF($A$2=2,AO309,IF($A$2=3,AA309,IF(($AG309&gt;$AU309),AA309,AO309)))))</f>
        <v>3.299666666666667</v>
      </c>
      <c r="N309" s="317">
        <f>IF(AND($A$2=4,VLOOKUP($A309,'District Level ADM'!$A$5:$W$52,5,FALSE)="Prior Year"),AP309,IF(AND($A$2=4,VLOOKUP($A309,'District Level ADM'!$A$5:$W$52,5,FALSE)="3-Year Avg."),AB309,IF($A$2=2,AP309,IF($A$2=3,AB309,IF(($AG309&gt;$AU309),AB309,AP309)))))</f>
        <v>4.0916666666666668</v>
      </c>
      <c r="O309" s="317">
        <f>IF(AND($A$2=4,VLOOKUP($A309,'District Level ADM'!$A$5:$W$52,5,FALSE)="Prior Year"),AQ309,IF(AND($A$2=4,VLOOKUP($A309,'District Level ADM'!$A$5:$W$52,5,FALSE)="3-Year Avg."),AC309,IF($A$2=2,AQ309,IF($A$2=3,AC309,IF(($AG309&gt;$AU309),AC309,AQ309)))))</f>
        <v>0</v>
      </c>
      <c r="P309" s="317">
        <f>IF(AND($A$2=4,VLOOKUP($A309,'District Level ADM'!$A$5:$W$52,5,FALSE)="Prior Year"),AR309,IF(AND($A$2=4,VLOOKUP($A309,'District Level ADM'!$A$5:$W$52,5,FALSE)="3-Year Avg."),AD309,IF($A$2=2,AR309,IF($A$2=3,AD309,IF(($AG309&gt;$AU309),AD309,AR309)))))</f>
        <v>0</v>
      </c>
      <c r="Q309" s="317">
        <f>IF(AND($A$2=4,VLOOKUP($A309,'District Level ADM'!$A$5:$W$52,5,FALSE)="Prior Year"),AS309,IF(AND($A$2=4,VLOOKUP($A309,'District Level ADM'!$A$5:$W$52,5,FALSE)="3-Year Avg."),AE309,IF($A$2=2,AS309,IF($A$2=3,AE309,IF(($AG309&gt;$AU309),AE309,AS309)))))</f>
        <v>0</v>
      </c>
      <c r="R309" s="317">
        <f>IF(AND($A$2=4,VLOOKUP($A309,'District Level ADM'!$A$5:$W$52,5,FALSE)="Prior Year"),AT309,IF(AND($A$2=4,VLOOKUP($A309,'District Level ADM'!$A$5:$W$52,5,FALSE)="3-Year Avg."),AF309,IF($A$2=2,AT309,IF($A$2=3,AF309,IF(($AG309&gt;$AU309),AF309,AT309)))))</f>
        <v>0</v>
      </c>
      <c r="S309" s="317">
        <f t="shared" si="44"/>
        <v>7.3913333333333338</v>
      </c>
      <c r="T309" s="317">
        <f t="shared" si="50"/>
        <v>0</v>
      </c>
      <c r="U309" s="317">
        <f t="shared" si="50"/>
        <v>0</v>
      </c>
      <c r="V309" s="317">
        <f t="shared" si="50"/>
        <v>0</v>
      </c>
      <c r="W309" s="317">
        <f t="shared" si="49"/>
        <v>0</v>
      </c>
      <c r="X309" s="317">
        <f t="shared" si="49"/>
        <v>0</v>
      </c>
      <c r="Y309" s="317">
        <f t="shared" si="49"/>
        <v>0</v>
      </c>
      <c r="Z309" s="317">
        <f t="shared" si="49"/>
        <v>0</v>
      </c>
      <c r="AA309" s="317">
        <f t="shared" si="49"/>
        <v>3.299666666666667</v>
      </c>
      <c r="AB309" s="317">
        <f t="shared" si="49"/>
        <v>4.0916666666666668</v>
      </c>
      <c r="AC309" s="317">
        <f t="shared" si="49"/>
        <v>0</v>
      </c>
      <c r="AD309" s="317">
        <f t="shared" si="51"/>
        <v>0</v>
      </c>
      <c r="AE309" s="317">
        <f t="shared" si="51"/>
        <v>0</v>
      </c>
      <c r="AF309" s="317">
        <f t="shared" si="51"/>
        <v>0</v>
      </c>
      <c r="AG309" s="317">
        <f t="shared" si="45"/>
        <v>7.3913333333333338</v>
      </c>
      <c r="AH309" s="318">
        <v>0</v>
      </c>
      <c r="AI309" s="318">
        <v>0</v>
      </c>
      <c r="AJ309" s="318">
        <v>0</v>
      </c>
      <c r="AK309" s="318">
        <v>0</v>
      </c>
      <c r="AL309" s="318">
        <v>0</v>
      </c>
      <c r="AM309" s="318">
        <v>0</v>
      </c>
      <c r="AN309" s="318">
        <v>0</v>
      </c>
      <c r="AO309" s="318">
        <v>2.9550000000000001</v>
      </c>
      <c r="AP309" s="318">
        <v>2.9550000000000001</v>
      </c>
      <c r="AQ309" s="318">
        <v>0</v>
      </c>
      <c r="AR309" s="318">
        <v>0</v>
      </c>
      <c r="AS309" s="318">
        <v>0</v>
      </c>
      <c r="AT309" s="318">
        <v>0</v>
      </c>
      <c r="AU309" s="317">
        <f t="shared" si="43"/>
        <v>5.91</v>
      </c>
      <c r="AV309" s="319">
        <v>0</v>
      </c>
      <c r="AW309" s="319">
        <v>0</v>
      </c>
      <c r="AX309" s="319">
        <v>0</v>
      </c>
      <c r="AY309" s="319">
        <v>0</v>
      </c>
      <c r="AZ309" s="319">
        <v>0</v>
      </c>
      <c r="BA309" s="319">
        <v>0</v>
      </c>
      <c r="BB309" s="319">
        <v>0</v>
      </c>
      <c r="BC309" s="319">
        <v>3.944</v>
      </c>
      <c r="BD309" s="319">
        <v>2.08</v>
      </c>
      <c r="BE309" s="319">
        <v>0</v>
      </c>
      <c r="BF309" s="319">
        <v>0</v>
      </c>
      <c r="BG309" s="319">
        <v>0</v>
      </c>
      <c r="BH309" s="319">
        <v>0</v>
      </c>
      <c r="BI309" s="317">
        <f t="shared" si="48"/>
        <v>6.024</v>
      </c>
      <c r="BJ309" s="316">
        <v>0</v>
      </c>
      <c r="BK309" s="316">
        <v>0</v>
      </c>
      <c r="BL309" s="316">
        <v>0</v>
      </c>
      <c r="BM309" s="316">
        <v>0</v>
      </c>
      <c r="BN309" s="316">
        <v>0</v>
      </c>
      <c r="BO309" s="316">
        <v>0</v>
      </c>
      <c r="BP309" s="316">
        <v>0</v>
      </c>
      <c r="BQ309" s="316">
        <v>3</v>
      </c>
      <c r="BR309" s="316">
        <v>7.24</v>
      </c>
      <c r="BS309" s="316">
        <v>0</v>
      </c>
      <c r="BT309" s="316">
        <v>0</v>
      </c>
      <c r="BU309" s="316">
        <v>0</v>
      </c>
      <c r="BV309" s="316">
        <v>0</v>
      </c>
      <c r="BW309" s="317">
        <f t="shared" si="46"/>
        <v>10.24</v>
      </c>
    </row>
    <row r="310" spans="1:734" x14ac:dyDescent="0.2">
      <c r="A310" s="20" t="str">
        <f>'School Level Inst. Resources'!A310</f>
        <v>1901000</v>
      </c>
      <c r="B310" s="20" t="str">
        <f>'School Level Inst. Resources'!B310</f>
        <v>Sweetwater #1</v>
      </c>
      <c r="C310" s="20" t="str">
        <f>'School Level Inst. Resources'!C310</f>
        <v>1901054</v>
      </c>
      <c r="D310" s="20" t="str">
        <f>'School Level Inst. Resources'!D310</f>
        <v>Farson-Eden Middle School</v>
      </c>
      <c r="E310" s="138" t="str">
        <f>'School Level Inst. Resources'!E310</f>
        <v>6-8</v>
      </c>
      <c r="F310" s="317">
        <f>IF(AND($A$2=4,VLOOKUP($A310,'District Level ADM'!$A$5:$W$52,5,FALSE)="Prior Year"),AH310,IF(AND($A$2=4,VLOOKUP($A310,'District Level ADM'!$A$5:$W$52,5,FALSE)="3-Year Avg."),T310,IF($A$2=2,AH310,IF($A$2=3,T310,IF(($AG310&gt;$AU310),T310,AH310)))))</f>
        <v>0</v>
      </c>
      <c r="G310" s="317">
        <f>IF(AND($A$2=4,VLOOKUP($A310,'District Level ADM'!$A$5:$W$52,5,FALSE)="Prior Year"),AI310,IF(AND($A$2=4,VLOOKUP($A310,'District Level ADM'!$A$5:$W$52,5,FALSE)="3-Year Avg."),U310,IF($A$2=2,AI310,IF($A$2=3,U310,IF(($AG310&gt;$AU310),U310,AI310)))))</f>
        <v>0</v>
      </c>
      <c r="H310" s="317">
        <f>IF(AND($A$2=4,VLOOKUP($A310,'District Level ADM'!$A$5:$W$52,5,FALSE)="Prior Year"),AJ310,IF(AND($A$2=4,VLOOKUP($A310,'District Level ADM'!$A$5:$W$52,5,FALSE)="3-Year Avg."),V310,IF($A$2=2,AJ310,IF($A$2=3,V310,IF(($AG310&gt;$AU310),V310,AJ310)))))</f>
        <v>0</v>
      </c>
      <c r="I310" s="317">
        <f>IF(AND($A$2=4,VLOOKUP($A310,'District Level ADM'!$A$5:$W$52,5,FALSE)="Prior Year"),AK310,IF(AND($A$2=4,VLOOKUP($A310,'District Level ADM'!$A$5:$W$52,5,FALSE)="3-Year Avg."),W310,IF($A$2=2,AK310,IF($A$2=3,W310,IF(($AG310&gt;$AU310),W310,AK310)))))</f>
        <v>0</v>
      </c>
      <c r="J310" s="317">
        <f>IF(AND($A$2=4,VLOOKUP($A310,'District Level ADM'!$A$5:$W$52,5,FALSE)="Prior Year"),AL310,IF(AND($A$2=4,VLOOKUP($A310,'District Level ADM'!$A$5:$W$52,5,FALSE)="3-Year Avg."),X310,IF($A$2=2,AL310,IF($A$2=3,X310,IF(($AG310&gt;$AU310),X310,AL310)))))</f>
        <v>0</v>
      </c>
      <c r="K310" s="317">
        <f>IF(AND($A$2=4,VLOOKUP($A310,'District Level ADM'!$A$5:$W$52,5,FALSE)="Prior Year"),AM310,IF(AND($A$2=4,VLOOKUP($A310,'District Level ADM'!$A$5:$W$52,5,FALSE)="3-Year Avg."),Y310,IF($A$2=2,AM310,IF($A$2=3,Y310,IF(($AG310&gt;$AU310),Y310,AM310)))))</f>
        <v>0</v>
      </c>
      <c r="L310" s="317">
        <f>IF(AND($A$2=4,VLOOKUP($A310,'District Level ADM'!$A$5:$W$52,5,FALSE)="Prior Year"),AN310,IF(AND($A$2=4,VLOOKUP($A310,'District Level ADM'!$A$5:$W$52,5,FALSE)="3-Year Avg."),Z310,IF($A$2=2,AN310,IF($A$2=3,Z310,IF(($AG310&gt;$AU310),Z310,AN310)))))</f>
        <v>14.302666666666667</v>
      </c>
      <c r="M310" s="317">
        <f>IF(AND($A$2=4,VLOOKUP($A310,'District Level ADM'!$A$5:$W$52,5,FALSE)="Prior Year"),AO310,IF(AND($A$2=4,VLOOKUP($A310,'District Level ADM'!$A$5:$W$52,5,FALSE)="3-Year Avg."),AA310,IF($A$2=2,AO310,IF($A$2=3,AA310,IF(($AG310&gt;$AU310),AA310,AO310)))))</f>
        <v>15.35</v>
      </c>
      <c r="N310" s="317">
        <f>IF(AND($A$2=4,VLOOKUP($A310,'District Level ADM'!$A$5:$W$52,5,FALSE)="Prior Year"),AP310,IF(AND($A$2=4,VLOOKUP($A310,'District Level ADM'!$A$5:$W$52,5,FALSE)="3-Year Avg."),AB310,IF($A$2=2,AP310,IF($A$2=3,AB310,IF(($AG310&gt;$AU310),AB310,AP310)))))</f>
        <v>14.849333333333334</v>
      </c>
      <c r="O310" s="317">
        <f>IF(AND($A$2=4,VLOOKUP($A310,'District Level ADM'!$A$5:$W$52,5,FALSE)="Prior Year"),AQ310,IF(AND($A$2=4,VLOOKUP($A310,'District Level ADM'!$A$5:$W$52,5,FALSE)="3-Year Avg."),AC310,IF($A$2=2,AQ310,IF($A$2=3,AC310,IF(($AG310&gt;$AU310),AC310,AQ310)))))</f>
        <v>0</v>
      </c>
      <c r="P310" s="317">
        <f>IF(AND($A$2=4,VLOOKUP($A310,'District Level ADM'!$A$5:$W$52,5,FALSE)="Prior Year"),AR310,IF(AND($A$2=4,VLOOKUP($A310,'District Level ADM'!$A$5:$W$52,5,FALSE)="3-Year Avg."),AD310,IF($A$2=2,AR310,IF($A$2=3,AD310,IF(($AG310&gt;$AU310),AD310,AR310)))))</f>
        <v>0</v>
      </c>
      <c r="Q310" s="317">
        <f>IF(AND($A$2=4,VLOOKUP($A310,'District Level ADM'!$A$5:$W$52,5,FALSE)="Prior Year"),AS310,IF(AND($A$2=4,VLOOKUP($A310,'District Level ADM'!$A$5:$W$52,5,FALSE)="3-Year Avg."),AE310,IF($A$2=2,AS310,IF($A$2=3,AE310,IF(($AG310&gt;$AU310),AE310,AS310)))))</f>
        <v>0</v>
      </c>
      <c r="R310" s="317">
        <f>IF(AND($A$2=4,VLOOKUP($A310,'District Level ADM'!$A$5:$W$52,5,FALSE)="Prior Year"),AT310,IF(AND($A$2=4,VLOOKUP($A310,'District Level ADM'!$A$5:$W$52,5,FALSE)="3-Year Avg."),AF310,IF($A$2=2,AT310,IF($A$2=3,AF310,IF(($AG310&gt;$AU310),AF310,AT310)))))</f>
        <v>0</v>
      </c>
      <c r="S310" s="317">
        <f t="shared" si="44"/>
        <v>44.502000000000002</v>
      </c>
      <c r="T310" s="317">
        <f t="shared" si="50"/>
        <v>0</v>
      </c>
      <c r="U310" s="317">
        <f t="shared" si="50"/>
        <v>0</v>
      </c>
      <c r="V310" s="317">
        <f t="shared" si="50"/>
        <v>0</v>
      </c>
      <c r="W310" s="317">
        <f t="shared" si="49"/>
        <v>0</v>
      </c>
      <c r="X310" s="317">
        <f t="shared" si="49"/>
        <v>0</v>
      </c>
      <c r="Y310" s="317">
        <f t="shared" si="49"/>
        <v>0</v>
      </c>
      <c r="Z310" s="317">
        <f t="shared" si="49"/>
        <v>14.302666666666667</v>
      </c>
      <c r="AA310" s="317">
        <f t="shared" si="49"/>
        <v>15.35</v>
      </c>
      <c r="AB310" s="317">
        <f t="shared" si="49"/>
        <v>14.849333333333334</v>
      </c>
      <c r="AC310" s="317">
        <f t="shared" si="49"/>
        <v>0</v>
      </c>
      <c r="AD310" s="317">
        <f t="shared" si="51"/>
        <v>0</v>
      </c>
      <c r="AE310" s="317">
        <f t="shared" si="51"/>
        <v>0</v>
      </c>
      <c r="AF310" s="317">
        <f t="shared" si="51"/>
        <v>0</v>
      </c>
      <c r="AG310" s="317">
        <f t="shared" si="45"/>
        <v>44.502000000000002</v>
      </c>
      <c r="AH310" s="318">
        <v>0</v>
      </c>
      <c r="AI310" s="318">
        <v>0</v>
      </c>
      <c r="AJ310" s="318">
        <v>0</v>
      </c>
      <c r="AK310" s="318">
        <v>0</v>
      </c>
      <c r="AL310" s="318">
        <v>0</v>
      </c>
      <c r="AM310" s="318">
        <v>0</v>
      </c>
      <c r="AN310" s="318">
        <v>14.775</v>
      </c>
      <c r="AO310" s="318">
        <v>13.79</v>
      </c>
      <c r="AP310" s="318">
        <v>14.775</v>
      </c>
      <c r="AQ310" s="318">
        <v>0</v>
      </c>
      <c r="AR310" s="318">
        <v>0</v>
      </c>
      <c r="AS310" s="318">
        <v>0</v>
      </c>
      <c r="AT310" s="318">
        <v>0</v>
      </c>
      <c r="AU310" s="317">
        <f t="shared" si="43"/>
        <v>43.339999999999996</v>
      </c>
      <c r="AV310" s="319">
        <v>0</v>
      </c>
      <c r="AW310" s="319">
        <v>0</v>
      </c>
      <c r="AX310" s="319">
        <v>0</v>
      </c>
      <c r="AY310" s="319">
        <v>0</v>
      </c>
      <c r="AZ310" s="319">
        <v>0</v>
      </c>
      <c r="BA310" s="319">
        <v>0</v>
      </c>
      <c r="BB310" s="319">
        <v>12</v>
      </c>
      <c r="BC310" s="319">
        <v>15.487</v>
      </c>
      <c r="BD310" s="319">
        <v>17</v>
      </c>
      <c r="BE310" s="319">
        <v>0</v>
      </c>
      <c r="BF310" s="319">
        <v>0</v>
      </c>
      <c r="BG310" s="319">
        <v>0</v>
      </c>
      <c r="BH310" s="319">
        <v>0</v>
      </c>
      <c r="BI310" s="317">
        <f t="shared" si="48"/>
        <v>44.487000000000002</v>
      </c>
      <c r="BJ310" s="316">
        <v>0</v>
      </c>
      <c r="BK310" s="316">
        <v>0</v>
      </c>
      <c r="BL310" s="316">
        <v>0</v>
      </c>
      <c r="BM310" s="316">
        <v>0</v>
      </c>
      <c r="BN310" s="316">
        <v>0</v>
      </c>
      <c r="BO310" s="316">
        <v>0</v>
      </c>
      <c r="BP310" s="316">
        <v>16.132999999999999</v>
      </c>
      <c r="BQ310" s="316">
        <v>16.773</v>
      </c>
      <c r="BR310" s="316">
        <v>12.773</v>
      </c>
      <c r="BS310" s="316">
        <v>0</v>
      </c>
      <c r="BT310" s="316">
        <v>0</v>
      </c>
      <c r="BU310" s="316">
        <v>0</v>
      </c>
      <c r="BV310" s="316">
        <v>0</v>
      </c>
      <c r="BW310" s="317">
        <f t="shared" si="46"/>
        <v>45.679000000000002</v>
      </c>
    </row>
    <row r="311" spans="1:734" x14ac:dyDescent="0.2">
      <c r="A311" s="20" t="str">
        <f>'School Level Inst. Resources'!A311</f>
        <v>1901000</v>
      </c>
      <c r="B311" s="20" t="str">
        <f>'School Level Inst. Resources'!B311</f>
        <v>Sweetwater #1</v>
      </c>
      <c r="C311" s="20" t="str">
        <f>'School Level Inst. Resources'!C311</f>
        <v>1901055</v>
      </c>
      <c r="D311" s="20" t="str">
        <f>'School Level Inst. Resources'!D311</f>
        <v>Farson-Eden High School</v>
      </c>
      <c r="E311" s="138" t="str">
        <f>'School Level Inst. Resources'!E311</f>
        <v>9-12</v>
      </c>
      <c r="F311" s="317">
        <f>IF(AND($A$2=4,VLOOKUP($A311,'District Level ADM'!$A$5:$W$52,5,FALSE)="Prior Year"),AH311,IF(AND($A$2=4,VLOOKUP($A311,'District Level ADM'!$A$5:$W$52,5,FALSE)="3-Year Avg."),T311,IF($A$2=2,AH311,IF($A$2=3,T311,IF(($AG311&gt;$AU311),T311,AH311)))))</f>
        <v>0</v>
      </c>
      <c r="G311" s="317">
        <f>IF(AND($A$2=4,VLOOKUP($A311,'District Level ADM'!$A$5:$W$52,5,FALSE)="Prior Year"),AI311,IF(AND($A$2=4,VLOOKUP($A311,'District Level ADM'!$A$5:$W$52,5,FALSE)="3-Year Avg."),U311,IF($A$2=2,AI311,IF($A$2=3,U311,IF(($AG311&gt;$AU311),U311,AI311)))))</f>
        <v>0</v>
      </c>
      <c r="H311" s="317">
        <f>IF(AND($A$2=4,VLOOKUP($A311,'District Level ADM'!$A$5:$W$52,5,FALSE)="Prior Year"),AJ311,IF(AND($A$2=4,VLOOKUP($A311,'District Level ADM'!$A$5:$W$52,5,FALSE)="3-Year Avg."),V311,IF($A$2=2,AJ311,IF($A$2=3,V311,IF(($AG311&gt;$AU311),V311,AJ311)))))</f>
        <v>0</v>
      </c>
      <c r="I311" s="317">
        <f>IF(AND($A$2=4,VLOOKUP($A311,'District Level ADM'!$A$5:$W$52,5,FALSE)="Prior Year"),AK311,IF(AND($A$2=4,VLOOKUP($A311,'District Level ADM'!$A$5:$W$52,5,FALSE)="3-Year Avg."),W311,IF($A$2=2,AK311,IF($A$2=3,W311,IF(($AG311&gt;$AU311),W311,AK311)))))</f>
        <v>0</v>
      </c>
      <c r="J311" s="317">
        <f>IF(AND($A$2=4,VLOOKUP($A311,'District Level ADM'!$A$5:$W$52,5,FALSE)="Prior Year"),AL311,IF(AND($A$2=4,VLOOKUP($A311,'District Level ADM'!$A$5:$W$52,5,FALSE)="3-Year Avg."),X311,IF($A$2=2,AL311,IF($A$2=3,X311,IF(($AG311&gt;$AU311),X311,AL311)))))</f>
        <v>0</v>
      </c>
      <c r="K311" s="317">
        <f>IF(AND($A$2=4,VLOOKUP($A311,'District Level ADM'!$A$5:$W$52,5,FALSE)="Prior Year"),AM311,IF(AND($A$2=4,VLOOKUP($A311,'District Level ADM'!$A$5:$W$52,5,FALSE)="3-Year Avg."),Y311,IF($A$2=2,AM311,IF($A$2=3,Y311,IF(($AG311&gt;$AU311),Y311,AM311)))))</f>
        <v>0</v>
      </c>
      <c r="L311" s="317">
        <f>IF(AND($A$2=4,VLOOKUP($A311,'District Level ADM'!$A$5:$W$52,5,FALSE)="Prior Year"),AN311,IF(AND($A$2=4,VLOOKUP($A311,'District Level ADM'!$A$5:$W$52,5,FALSE)="3-Year Avg."),Z311,IF($A$2=2,AN311,IF($A$2=3,Z311,IF(($AG311&gt;$AU311),Z311,AN311)))))</f>
        <v>0</v>
      </c>
      <c r="M311" s="317">
        <f>IF(AND($A$2=4,VLOOKUP($A311,'District Level ADM'!$A$5:$W$52,5,FALSE)="Prior Year"),AO311,IF(AND($A$2=4,VLOOKUP($A311,'District Level ADM'!$A$5:$W$52,5,FALSE)="3-Year Avg."),AA311,IF($A$2=2,AO311,IF($A$2=3,AA311,IF(($AG311&gt;$AU311),AA311,AO311)))))</f>
        <v>0</v>
      </c>
      <c r="N311" s="317">
        <f>IF(AND($A$2=4,VLOOKUP($A311,'District Level ADM'!$A$5:$W$52,5,FALSE)="Prior Year"),AP311,IF(AND($A$2=4,VLOOKUP($A311,'District Level ADM'!$A$5:$W$52,5,FALSE)="3-Year Avg."),AB311,IF($A$2=2,AP311,IF($A$2=3,AB311,IF(($AG311&gt;$AU311),AB311,AP311)))))</f>
        <v>0</v>
      </c>
      <c r="O311" s="317">
        <f>IF(AND($A$2=4,VLOOKUP($A311,'District Level ADM'!$A$5:$W$52,5,FALSE)="Prior Year"),AQ311,IF(AND($A$2=4,VLOOKUP($A311,'District Level ADM'!$A$5:$W$52,5,FALSE)="3-Year Avg."),AC311,IF($A$2=2,AQ311,IF($A$2=3,AC311,IF(($AG311&gt;$AU311),AC311,AQ311)))))</f>
        <v>16.91</v>
      </c>
      <c r="P311" s="317">
        <f>IF(AND($A$2=4,VLOOKUP($A311,'District Level ADM'!$A$5:$W$52,5,FALSE)="Prior Year"),AR311,IF(AND($A$2=4,VLOOKUP($A311,'District Level ADM'!$A$5:$W$52,5,FALSE)="3-Year Avg."),AD311,IF($A$2=2,AR311,IF($A$2=3,AD311,IF(($AG311&gt;$AU311),AD311,AR311)))))</f>
        <v>11.957333333333333</v>
      </c>
      <c r="Q311" s="317">
        <f>IF(AND($A$2=4,VLOOKUP($A311,'District Level ADM'!$A$5:$W$52,5,FALSE)="Prior Year"),AS311,IF(AND($A$2=4,VLOOKUP($A311,'District Level ADM'!$A$5:$W$52,5,FALSE)="3-Year Avg."),AE311,IF($A$2=2,AS311,IF($A$2=3,AE311,IF(($AG311&gt;$AU311),AE311,AS311)))))</f>
        <v>13.833333333333334</v>
      </c>
      <c r="R311" s="317">
        <f>IF(AND($A$2=4,VLOOKUP($A311,'District Level ADM'!$A$5:$W$52,5,FALSE)="Prior Year"),AT311,IF(AND($A$2=4,VLOOKUP($A311,'District Level ADM'!$A$5:$W$52,5,FALSE)="3-Year Avg."),AF311,IF($A$2=2,AT311,IF($A$2=3,AF311,IF(($AG311&gt;$AU311),AF311,AT311)))))</f>
        <v>11.616</v>
      </c>
      <c r="S311" s="317">
        <f t="shared" si="44"/>
        <v>54.31666666666667</v>
      </c>
      <c r="T311" s="317">
        <f t="shared" si="50"/>
        <v>0</v>
      </c>
      <c r="U311" s="317">
        <f t="shared" si="50"/>
        <v>0</v>
      </c>
      <c r="V311" s="317">
        <f t="shared" si="50"/>
        <v>0</v>
      </c>
      <c r="W311" s="317">
        <f t="shared" si="49"/>
        <v>0</v>
      </c>
      <c r="X311" s="317">
        <f t="shared" si="49"/>
        <v>0</v>
      </c>
      <c r="Y311" s="317">
        <f t="shared" si="49"/>
        <v>0</v>
      </c>
      <c r="Z311" s="317">
        <f t="shared" si="49"/>
        <v>0</v>
      </c>
      <c r="AA311" s="317">
        <f t="shared" si="49"/>
        <v>0</v>
      </c>
      <c r="AB311" s="317">
        <f t="shared" si="49"/>
        <v>0</v>
      </c>
      <c r="AC311" s="317">
        <f t="shared" si="49"/>
        <v>16.91</v>
      </c>
      <c r="AD311" s="317">
        <f t="shared" si="51"/>
        <v>11.957333333333333</v>
      </c>
      <c r="AE311" s="317">
        <f t="shared" si="51"/>
        <v>13.833333333333334</v>
      </c>
      <c r="AF311" s="317">
        <f t="shared" si="51"/>
        <v>11.616</v>
      </c>
      <c r="AG311" s="317">
        <f t="shared" si="45"/>
        <v>54.31666666666667</v>
      </c>
      <c r="AH311" s="318">
        <v>0</v>
      </c>
      <c r="AI311" s="318">
        <v>0</v>
      </c>
      <c r="AJ311" s="318">
        <v>0</v>
      </c>
      <c r="AK311" s="318">
        <v>0</v>
      </c>
      <c r="AL311" s="318">
        <v>0</v>
      </c>
      <c r="AM311" s="318">
        <v>0</v>
      </c>
      <c r="AN311" s="318">
        <v>0</v>
      </c>
      <c r="AO311" s="318">
        <v>0</v>
      </c>
      <c r="AP311" s="318">
        <v>0</v>
      </c>
      <c r="AQ311" s="318">
        <v>17.73</v>
      </c>
      <c r="AR311" s="318">
        <v>12.805</v>
      </c>
      <c r="AS311" s="318">
        <v>15.76</v>
      </c>
      <c r="AT311" s="318">
        <v>6.8949999999999996</v>
      </c>
      <c r="AU311" s="317">
        <f t="shared" si="43"/>
        <v>53.19</v>
      </c>
      <c r="AV311" s="319">
        <v>0</v>
      </c>
      <c r="AW311" s="319">
        <v>0</v>
      </c>
      <c r="AX311" s="319">
        <v>0</v>
      </c>
      <c r="AY311" s="319">
        <v>0</v>
      </c>
      <c r="AZ311" s="319">
        <v>0</v>
      </c>
      <c r="BA311" s="319">
        <v>0</v>
      </c>
      <c r="BB311" s="319">
        <v>0</v>
      </c>
      <c r="BC311" s="319">
        <v>0</v>
      </c>
      <c r="BD311" s="319">
        <v>0</v>
      </c>
      <c r="BE311" s="319">
        <v>15</v>
      </c>
      <c r="BF311" s="319">
        <v>18</v>
      </c>
      <c r="BG311" s="319">
        <v>6.6929999999999996</v>
      </c>
      <c r="BH311" s="319">
        <v>18.222999999999999</v>
      </c>
      <c r="BI311" s="317">
        <f t="shared" si="48"/>
        <v>57.915999999999997</v>
      </c>
      <c r="BJ311" s="316">
        <v>0</v>
      </c>
      <c r="BK311" s="316">
        <v>0</v>
      </c>
      <c r="BL311" s="316">
        <v>0</v>
      </c>
      <c r="BM311" s="316">
        <v>0</v>
      </c>
      <c r="BN311" s="316">
        <v>0</v>
      </c>
      <c r="BO311" s="316">
        <v>0</v>
      </c>
      <c r="BP311" s="316">
        <v>0</v>
      </c>
      <c r="BQ311" s="316">
        <v>0</v>
      </c>
      <c r="BR311" s="316">
        <v>0</v>
      </c>
      <c r="BS311" s="316">
        <v>18</v>
      </c>
      <c r="BT311" s="316">
        <v>5.0670000000000002</v>
      </c>
      <c r="BU311" s="316">
        <v>19.047000000000001</v>
      </c>
      <c r="BV311" s="316">
        <v>9.73</v>
      </c>
      <c r="BW311" s="317">
        <f t="shared" si="46"/>
        <v>51.844000000000008</v>
      </c>
    </row>
    <row r="312" spans="1:734" x14ac:dyDescent="0.2">
      <c r="A312" s="20" t="str">
        <f>'School Level Inst. Resources'!A312</f>
        <v>1901000</v>
      </c>
      <c r="B312" s="20" t="str">
        <f>'School Level Inst. Resources'!B312</f>
        <v>Sweetwater #1</v>
      </c>
      <c r="C312" s="20" t="str">
        <f>'School Level Inst. Resources'!C312</f>
        <v>1901056</v>
      </c>
      <c r="D312" s="20" t="str">
        <f>'School Level Inst. Resources'!D312</f>
        <v>Rock Springs High School</v>
      </c>
      <c r="E312" s="138" t="str">
        <f>'School Level Inst. Resources'!E312</f>
        <v>9-12</v>
      </c>
      <c r="F312" s="317">
        <f>IF(AND($A$2=4,VLOOKUP($A312,'District Level ADM'!$A$5:$W$52,5,FALSE)="Prior Year"),AH312,IF(AND($A$2=4,VLOOKUP($A312,'District Level ADM'!$A$5:$W$52,5,FALSE)="3-Year Avg."),T312,IF($A$2=2,AH312,IF($A$2=3,T312,IF(($AG312&gt;$AU312),T312,AH312)))))</f>
        <v>0</v>
      </c>
      <c r="G312" s="317">
        <f>IF(AND($A$2=4,VLOOKUP($A312,'District Level ADM'!$A$5:$W$52,5,FALSE)="Prior Year"),AI312,IF(AND($A$2=4,VLOOKUP($A312,'District Level ADM'!$A$5:$W$52,5,FALSE)="3-Year Avg."),U312,IF($A$2=2,AI312,IF($A$2=3,U312,IF(($AG312&gt;$AU312),U312,AI312)))))</f>
        <v>0</v>
      </c>
      <c r="H312" s="317">
        <f>IF(AND($A$2=4,VLOOKUP($A312,'District Level ADM'!$A$5:$W$52,5,FALSE)="Prior Year"),AJ312,IF(AND($A$2=4,VLOOKUP($A312,'District Level ADM'!$A$5:$W$52,5,FALSE)="3-Year Avg."),V312,IF($A$2=2,AJ312,IF($A$2=3,V312,IF(($AG312&gt;$AU312),V312,AJ312)))))</f>
        <v>0</v>
      </c>
      <c r="I312" s="317">
        <f>IF(AND($A$2=4,VLOOKUP($A312,'District Level ADM'!$A$5:$W$52,5,FALSE)="Prior Year"),AK312,IF(AND($A$2=4,VLOOKUP($A312,'District Level ADM'!$A$5:$W$52,5,FALSE)="3-Year Avg."),W312,IF($A$2=2,AK312,IF($A$2=3,W312,IF(($AG312&gt;$AU312),W312,AK312)))))</f>
        <v>0</v>
      </c>
      <c r="J312" s="317">
        <f>IF(AND($A$2=4,VLOOKUP($A312,'District Level ADM'!$A$5:$W$52,5,FALSE)="Prior Year"),AL312,IF(AND($A$2=4,VLOOKUP($A312,'District Level ADM'!$A$5:$W$52,5,FALSE)="3-Year Avg."),X312,IF($A$2=2,AL312,IF($A$2=3,X312,IF(($AG312&gt;$AU312),X312,AL312)))))</f>
        <v>0</v>
      </c>
      <c r="K312" s="317">
        <f>IF(AND($A$2=4,VLOOKUP($A312,'District Level ADM'!$A$5:$W$52,5,FALSE)="Prior Year"),AM312,IF(AND($A$2=4,VLOOKUP($A312,'District Level ADM'!$A$5:$W$52,5,FALSE)="3-Year Avg."),Y312,IF($A$2=2,AM312,IF($A$2=3,Y312,IF(($AG312&gt;$AU312),Y312,AM312)))))</f>
        <v>0</v>
      </c>
      <c r="L312" s="317">
        <f>IF(AND($A$2=4,VLOOKUP($A312,'District Level ADM'!$A$5:$W$52,5,FALSE)="Prior Year"),AN312,IF(AND($A$2=4,VLOOKUP($A312,'District Level ADM'!$A$5:$W$52,5,FALSE)="3-Year Avg."),Z312,IF($A$2=2,AN312,IF($A$2=3,Z312,IF(($AG312&gt;$AU312),Z312,AN312)))))</f>
        <v>0</v>
      </c>
      <c r="M312" s="317">
        <f>IF(AND($A$2=4,VLOOKUP($A312,'District Level ADM'!$A$5:$W$52,5,FALSE)="Prior Year"),AO312,IF(AND($A$2=4,VLOOKUP($A312,'District Level ADM'!$A$5:$W$52,5,FALSE)="3-Year Avg."),AA312,IF($A$2=2,AO312,IF($A$2=3,AA312,IF(($AG312&gt;$AU312),AA312,AO312)))))</f>
        <v>0</v>
      </c>
      <c r="N312" s="317">
        <f>IF(AND($A$2=4,VLOOKUP($A312,'District Level ADM'!$A$5:$W$52,5,FALSE)="Prior Year"),AP312,IF(AND($A$2=4,VLOOKUP($A312,'District Level ADM'!$A$5:$W$52,5,FALSE)="3-Year Avg."),AB312,IF($A$2=2,AP312,IF($A$2=3,AB312,IF(($AG312&gt;$AU312),AB312,AP312)))))</f>
        <v>0</v>
      </c>
      <c r="O312" s="317">
        <f>IF(AND($A$2=4,VLOOKUP($A312,'District Level ADM'!$A$5:$W$52,5,FALSE)="Prior Year"),AQ312,IF(AND($A$2=4,VLOOKUP($A312,'District Level ADM'!$A$5:$W$52,5,FALSE)="3-Year Avg."),AC312,IF($A$2=2,AQ312,IF($A$2=3,AC312,IF(($AG312&gt;$AU312),AC312,AQ312)))))</f>
        <v>368.22633333333334</v>
      </c>
      <c r="P312" s="317">
        <f>IF(AND($A$2=4,VLOOKUP($A312,'District Level ADM'!$A$5:$W$52,5,FALSE)="Prior Year"),AR312,IF(AND($A$2=4,VLOOKUP($A312,'District Level ADM'!$A$5:$W$52,5,FALSE)="3-Year Avg."),AD312,IF($A$2=2,AR312,IF($A$2=3,AD312,IF(($AG312&gt;$AU312),AD312,AR312)))))</f>
        <v>347.70033333333339</v>
      </c>
      <c r="Q312" s="317">
        <f>IF(AND($A$2=4,VLOOKUP($A312,'District Level ADM'!$A$5:$W$52,5,FALSE)="Prior Year"),AS312,IF(AND($A$2=4,VLOOKUP($A312,'District Level ADM'!$A$5:$W$52,5,FALSE)="3-Year Avg."),AE312,IF($A$2=2,AS312,IF($A$2=3,AE312,IF(($AG312&gt;$AU312),AE312,AS312)))))</f>
        <v>323.00833333333333</v>
      </c>
      <c r="R312" s="317">
        <f>IF(AND($A$2=4,VLOOKUP($A312,'District Level ADM'!$A$5:$W$52,5,FALSE)="Prior Year"),AT312,IF(AND($A$2=4,VLOOKUP($A312,'District Level ADM'!$A$5:$W$52,5,FALSE)="3-Year Avg."),AF312,IF($A$2=2,AT312,IF($A$2=3,AF312,IF(($AG312&gt;$AU312),AF312,AT312)))))</f>
        <v>309.78400000000005</v>
      </c>
      <c r="S312" s="317">
        <f t="shared" si="44"/>
        <v>1348.7190000000001</v>
      </c>
      <c r="T312" s="317">
        <f t="shared" si="50"/>
        <v>0</v>
      </c>
      <c r="U312" s="317">
        <f t="shared" si="50"/>
        <v>0</v>
      </c>
      <c r="V312" s="317">
        <f t="shared" si="50"/>
        <v>0</v>
      </c>
      <c r="W312" s="317">
        <f t="shared" si="49"/>
        <v>0</v>
      </c>
      <c r="X312" s="317">
        <f t="shared" si="49"/>
        <v>0</v>
      </c>
      <c r="Y312" s="317">
        <f t="shared" si="49"/>
        <v>0</v>
      </c>
      <c r="Z312" s="317">
        <f t="shared" si="49"/>
        <v>0</v>
      </c>
      <c r="AA312" s="317">
        <f t="shared" si="49"/>
        <v>0</v>
      </c>
      <c r="AB312" s="317">
        <f t="shared" si="49"/>
        <v>0</v>
      </c>
      <c r="AC312" s="317">
        <f t="shared" si="49"/>
        <v>368.22633333333334</v>
      </c>
      <c r="AD312" s="317">
        <f t="shared" si="51"/>
        <v>347.70033333333339</v>
      </c>
      <c r="AE312" s="317">
        <f t="shared" si="51"/>
        <v>323.00833333333333</v>
      </c>
      <c r="AF312" s="317">
        <f t="shared" si="51"/>
        <v>309.78400000000005</v>
      </c>
      <c r="AG312" s="317">
        <f t="shared" si="45"/>
        <v>1348.7190000000001</v>
      </c>
      <c r="AH312" s="318">
        <v>0</v>
      </c>
      <c r="AI312" s="318">
        <v>0</v>
      </c>
      <c r="AJ312" s="318">
        <v>0</v>
      </c>
      <c r="AK312" s="318">
        <v>0</v>
      </c>
      <c r="AL312" s="318">
        <v>0</v>
      </c>
      <c r="AM312" s="318">
        <v>0</v>
      </c>
      <c r="AN312" s="318">
        <v>0</v>
      </c>
      <c r="AO312" s="318">
        <v>0</v>
      </c>
      <c r="AP312" s="318">
        <v>0</v>
      </c>
      <c r="AQ312" s="318">
        <v>380.21</v>
      </c>
      <c r="AR312" s="318">
        <v>340.81</v>
      </c>
      <c r="AS312" s="318">
        <v>327.02</v>
      </c>
      <c r="AT312" s="318">
        <v>336.87</v>
      </c>
      <c r="AU312" s="317">
        <f t="shared" si="43"/>
        <v>1384.9099999999999</v>
      </c>
      <c r="AV312" s="319">
        <v>0</v>
      </c>
      <c r="AW312" s="319">
        <v>0</v>
      </c>
      <c r="AX312" s="319">
        <v>0</v>
      </c>
      <c r="AY312" s="319">
        <v>0</v>
      </c>
      <c r="AZ312" s="319">
        <v>0</v>
      </c>
      <c r="BA312" s="319">
        <v>0</v>
      </c>
      <c r="BB312" s="319">
        <v>0</v>
      </c>
      <c r="BC312" s="319">
        <v>0</v>
      </c>
      <c r="BD312" s="319">
        <v>0</v>
      </c>
      <c r="BE312" s="319">
        <v>362.68299999999999</v>
      </c>
      <c r="BF312" s="319">
        <v>344.47399999999999</v>
      </c>
      <c r="BG312" s="319">
        <v>322.03399999999999</v>
      </c>
      <c r="BH312" s="319">
        <v>296.63400000000001</v>
      </c>
      <c r="BI312" s="317">
        <f t="shared" si="48"/>
        <v>1325.8249999999998</v>
      </c>
      <c r="BJ312" s="316">
        <v>0</v>
      </c>
      <c r="BK312" s="316">
        <v>0</v>
      </c>
      <c r="BL312" s="316">
        <v>0</v>
      </c>
      <c r="BM312" s="316">
        <v>0</v>
      </c>
      <c r="BN312" s="316">
        <v>0</v>
      </c>
      <c r="BO312" s="316">
        <v>0</v>
      </c>
      <c r="BP312" s="316">
        <v>0</v>
      </c>
      <c r="BQ312" s="316">
        <v>0</v>
      </c>
      <c r="BR312" s="316">
        <v>0</v>
      </c>
      <c r="BS312" s="316">
        <v>361.786</v>
      </c>
      <c r="BT312" s="316">
        <v>357.81700000000001</v>
      </c>
      <c r="BU312" s="316">
        <v>319.971</v>
      </c>
      <c r="BV312" s="316">
        <v>295.84800000000001</v>
      </c>
      <c r="BW312" s="317">
        <f t="shared" si="46"/>
        <v>1335.422</v>
      </c>
    </row>
    <row r="313" spans="1:734" x14ac:dyDescent="0.2">
      <c r="A313" s="20" t="str">
        <f>'School Level Inst. Resources'!A313</f>
        <v>1901000</v>
      </c>
      <c r="B313" s="20" t="str">
        <f>'School Level Inst. Resources'!B313</f>
        <v>Sweetwater #1</v>
      </c>
      <c r="C313" s="20" t="str">
        <f>'School Level Inst. Resources'!C313</f>
        <v>1901057</v>
      </c>
      <c r="D313" s="20" t="str">
        <f>'School Level Inst. Resources'!D313</f>
        <v>Black Butte High School</v>
      </c>
      <c r="E313" s="138" t="str">
        <f>'School Level Inst. Resources'!E313</f>
        <v>9-12</v>
      </c>
      <c r="F313" s="317">
        <f>IF(AND($A$2=4,VLOOKUP($A313,'District Level ADM'!$A$5:$W$52,5,FALSE)="Prior Year"),AH313,IF(AND($A$2=4,VLOOKUP($A313,'District Level ADM'!$A$5:$W$52,5,FALSE)="3-Year Avg."),T313,IF($A$2=2,AH313,IF($A$2=3,T313,IF(($AG313&gt;$AU313),T313,AH313)))))</f>
        <v>0</v>
      </c>
      <c r="G313" s="317">
        <f>IF(AND($A$2=4,VLOOKUP($A313,'District Level ADM'!$A$5:$W$52,5,FALSE)="Prior Year"),AI313,IF(AND($A$2=4,VLOOKUP($A313,'District Level ADM'!$A$5:$W$52,5,FALSE)="3-Year Avg."),U313,IF($A$2=2,AI313,IF($A$2=3,U313,IF(($AG313&gt;$AU313),U313,AI313)))))</f>
        <v>0</v>
      </c>
      <c r="H313" s="317">
        <f>IF(AND($A$2=4,VLOOKUP($A313,'District Level ADM'!$A$5:$W$52,5,FALSE)="Prior Year"),AJ313,IF(AND($A$2=4,VLOOKUP($A313,'District Level ADM'!$A$5:$W$52,5,FALSE)="3-Year Avg."),V313,IF($A$2=2,AJ313,IF($A$2=3,V313,IF(($AG313&gt;$AU313),V313,AJ313)))))</f>
        <v>0</v>
      </c>
      <c r="I313" s="317">
        <f>IF(AND($A$2=4,VLOOKUP($A313,'District Level ADM'!$A$5:$W$52,5,FALSE)="Prior Year"),AK313,IF(AND($A$2=4,VLOOKUP($A313,'District Level ADM'!$A$5:$W$52,5,FALSE)="3-Year Avg."),W313,IF($A$2=2,AK313,IF($A$2=3,W313,IF(($AG313&gt;$AU313),W313,AK313)))))</f>
        <v>0</v>
      </c>
      <c r="J313" s="317">
        <f>IF(AND($A$2=4,VLOOKUP($A313,'District Level ADM'!$A$5:$W$52,5,FALSE)="Prior Year"),AL313,IF(AND($A$2=4,VLOOKUP($A313,'District Level ADM'!$A$5:$W$52,5,FALSE)="3-Year Avg."),X313,IF($A$2=2,AL313,IF($A$2=3,X313,IF(($AG313&gt;$AU313),X313,AL313)))))</f>
        <v>0</v>
      </c>
      <c r="K313" s="317">
        <f>IF(AND($A$2=4,VLOOKUP($A313,'District Level ADM'!$A$5:$W$52,5,FALSE)="Prior Year"),AM313,IF(AND($A$2=4,VLOOKUP($A313,'District Level ADM'!$A$5:$W$52,5,FALSE)="3-Year Avg."),Y313,IF($A$2=2,AM313,IF($A$2=3,Y313,IF(($AG313&gt;$AU313),Y313,AM313)))))</f>
        <v>0</v>
      </c>
      <c r="L313" s="317">
        <f>IF(AND($A$2=4,VLOOKUP($A313,'District Level ADM'!$A$5:$W$52,5,FALSE)="Prior Year"),AN313,IF(AND($A$2=4,VLOOKUP($A313,'District Level ADM'!$A$5:$W$52,5,FALSE)="3-Year Avg."),Z313,IF($A$2=2,AN313,IF($A$2=3,Z313,IF(($AG313&gt;$AU313),Z313,AN313)))))</f>
        <v>0</v>
      </c>
      <c r="M313" s="317">
        <f>IF(AND($A$2=4,VLOOKUP($A313,'District Level ADM'!$A$5:$W$52,5,FALSE)="Prior Year"),AO313,IF(AND($A$2=4,VLOOKUP($A313,'District Level ADM'!$A$5:$W$52,5,FALSE)="3-Year Avg."),AA313,IF($A$2=2,AO313,IF($A$2=3,AA313,IF(($AG313&gt;$AU313),AA313,AO313)))))</f>
        <v>0</v>
      </c>
      <c r="N313" s="317">
        <f>IF(AND($A$2=4,VLOOKUP($A313,'District Level ADM'!$A$5:$W$52,5,FALSE)="Prior Year"),AP313,IF(AND($A$2=4,VLOOKUP($A313,'District Level ADM'!$A$5:$W$52,5,FALSE)="3-Year Avg."),AB313,IF($A$2=2,AP313,IF($A$2=3,AB313,IF(($AG313&gt;$AU313),AB313,AP313)))))</f>
        <v>0</v>
      </c>
      <c r="O313" s="317">
        <f>IF(AND($A$2=4,VLOOKUP($A313,'District Level ADM'!$A$5:$W$52,5,FALSE)="Prior Year"),AQ313,IF(AND($A$2=4,VLOOKUP($A313,'District Level ADM'!$A$5:$W$52,5,FALSE)="3-Year Avg."),AC313,IF($A$2=2,AQ313,IF($A$2=3,AC313,IF(($AG313&gt;$AU313),AC313,AQ313)))))</f>
        <v>27.644666666666669</v>
      </c>
      <c r="P313" s="317">
        <f>IF(AND($A$2=4,VLOOKUP($A313,'District Level ADM'!$A$5:$W$52,5,FALSE)="Prior Year"),AR313,IF(AND($A$2=4,VLOOKUP($A313,'District Level ADM'!$A$5:$W$52,5,FALSE)="3-Year Avg."),AD313,IF($A$2=2,AR313,IF($A$2=3,AD313,IF(($AG313&gt;$AU313),AD313,AR313)))))</f>
        <v>22.251666666666665</v>
      </c>
      <c r="Q313" s="317">
        <f>IF(AND($A$2=4,VLOOKUP($A313,'District Level ADM'!$A$5:$W$52,5,FALSE)="Prior Year"),AS313,IF(AND($A$2=4,VLOOKUP($A313,'District Level ADM'!$A$5:$W$52,5,FALSE)="3-Year Avg."),AE313,IF($A$2=2,AS313,IF($A$2=3,AE313,IF(($AG313&gt;$AU313),AE313,AS313)))))</f>
        <v>22.887</v>
      </c>
      <c r="R313" s="317">
        <f>IF(AND($A$2=4,VLOOKUP($A313,'District Level ADM'!$A$5:$W$52,5,FALSE)="Prior Year"),AT313,IF(AND($A$2=4,VLOOKUP($A313,'District Level ADM'!$A$5:$W$52,5,FALSE)="3-Year Avg."),AF313,IF($A$2=2,AT313,IF($A$2=3,AF313,IF(($AG313&gt;$AU313),AF313,AT313)))))</f>
        <v>18.169999999999998</v>
      </c>
      <c r="S313" s="317">
        <f t="shared" si="44"/>
        <v>90.953333333333333</v>
      </c>
      <c r="T313" s="317">
        <f t="shared" si="50"/>
        <v>0</v>
      </c>
      <c r="U313" s="317">
        <f t="shared" si="50"/>
        <v>0</v>
      </c>
      <c r="V313" s="317">
        <f t="shared" si="50"/>
        <v>0</v>
      </c>
      <c r="W313" s="317">
        <f t="shared" si="49"/>
        <v>0</v>
      </c>
      <c r="X313" s="317">
        <f t="shared" si="49"/>
        <v>0</v>
      </c>
      <c r="Y313" s="317">
        <f t="shared" si="49"/>
        <v>0</v>
      </c>
      <c r="Z313" s="317">
        <f t="shared" si="49"/>
        <v>0</v>
      </c>
      <c r="AA313" s="317">
        <f t="shared" si="49"/>
        <v>0</v>
      </c>
      <c r="AB313" s="317">
        <f t="shared" si="49"/>
        <v>0</v>
      </c>
      <c r="AC313" s="317">
        <f t="shared" si="49"/>
        <v>27.644666666666669</v>
      </c>
      <c r="AD313" s="317">
        <f t="shared" si="51"/>
        <v>22.251666666666665</v>
      </c>
      <c r="AE313" s="317">
        <f t="shared" si="51"/>
        <v>22.887</v>
      </c>
      <c r="AF313" s="317">
        <f t="shared" si="51"/>
        <v>18.169999999999998</v>
      </c>
      <c r="AG313" s="317">
        <f t="shared" si="45"/>
        <v>90.953333333333333</v>
      </c>
      <c r="AH313" s="318">
        <v>0</v>
      </c>
      <c r="AI313" s="318">
        <v>0</v>
      </c>
      <c r="AJ313" s="318">
        <v>0</v>
      </c>
      <c r="AK313" s="318">
        <v>0</v>
      </c>
      <c r="AL313" s="318">
        <v>0</v>
      </c>
      <c r="AM313" s="318">
        <v>0</v>
      </c>
      <c r="AN313" s="318">
        <v>0</v>
      </c>
      <c r="AO313" s="318">
        <v>0</v>
      </c>
      <c r="AP313" s="318">
        <v>0</v>
      </c>
      <c r="AQ313" s="318">
        <v>28.565000000000001</v>
      </c>
      <c r="AR313" s="318">
        <v>18.715</v>
      </c>
      <c r="AS313" s="318">
        <v>25.61</v>
      </c>
      <c r="AT313" s="318">
        <v>17.73</v>
      </c>
      <c r="AU313" s="317">
        <f t="shared" si="43"/>
        <v>90.62</v>
      </c>
      <c r="AV313" s="319">
        <v>0</v>
      </c>
      <c r="AW313" s="319">
        <v>0</v>
      </c>
      <c r="AX313" s="319">
        <v>0</v>
      </c>
      <c r="AY313" s="319">
        <v>0</v>
      </c>
      <c r="AZ313" s="319">
        <v>0</v>
      </c>
      <c r="BA313" s="319">
        <v>0</v>
      </c>
      <c r="BB313" s="319">
        <v>0</v>
      </c>
      <c r="BC313" s="319">
        <v>0</v>
      </c>
      <c r="BD313" s="319">
        <v>0</v>
      </c>
      <c r="BE313" s="319">
        <v>28.609000000000002</v>
      </c>
      <c r="BF313" s="319">
        <v>26.634</v>
      </c>
      <c r="BG313" s="319">
        <v>22.137</v>
      </c>
      <c r="BH313" s="319">
        <v>17.248999999999999</v>
      </c>
      <c r="BI313" s="317">
        <f t="shared" si="48"/>
        <v>94.628999999999991</v>
      </c>
      <c r="BJ313" s="316">
        <v>0</v>
      </c>
      <c r="BK313" s="316">
        <v>0</v>
      </c>
      <c r="BL313" s="316">
        <v>0</v>
      </c>
      <c r="BM313" s="316">
        <v>0</v>
      </c>
      <c r="BN313" s="316">
        <v>0</v>
      </c>
      <c r="BO313" s="316">
        <v>0</v>
      </c>
      <c r="BP313" s="316">
        <v>0</v>
      </c>
      <c r="BQ313" s="316">
        <v>0</v>
      </c>
      <c r="BR313" s="316">
        <v>0</v>
      </c>
      <c r="BS313" s="316">
        <v>25.76</v>
      </c>
      <c r="BT313" s="316">
        <v>21.405999999999999</v>
      </c>
      <c r="BU313" s="316">
        <v>20.914000000000001</v>
      </c>
      <c r="BV313" s="316">
        <v>19.530999999999999</v>
      </c>
      <c r="BW313" s="317">
        <f t="shared" si="46"/>
        <v>87.61099999999999</v>
      </c>
    </row>
    <row r="314" spans="1:734" x14ac:dyDescent="0.2">
      <c r="A314" s="20" t="str">
        <f>'School Level Inst. Resources'!A314</f>
        <v>1902000</v>
      </c>
      <c r="B314" s="20" t="str">
        <f>'School Level Inst. Resources'!B314</f>
        <v>Sweetwater #2</v>
      </c>
      <c r="C314" s="20" t="str">
        <f>'School Level Inst. Resources'!C314</f>
        <v>1902001</v>
      </c>
      <c r="D314" s="20" t="str">
        <f>'School Level Inst. Resources'!D314</f>
        <v>Granger Elementary</v>
      </c>
      <c r="E314" s="138" t="str">
        <f>'School Level Inst. Resources'!E314</f>
        <v>K-4</v>
      </c>
      <c r="F314" s="317">
        <f>IF(AND($A$2=4,VLOOKUP($A314,'District Level ADM'!$A$5:$W$52,5,FALSE)="Prior Year"),AH314,IF(AND($A$2=4,VLOOKUP($A314,'District Level ADM'!$A$5:$W$52,5,FALSE)="3-Year Avg."),T314,IF($A$2=2,AH314,IF($A$2=3,T314,IF(($AG314&gt;$AU314),T314,AH314)))))</f>
        <v>0.81899999999999995</v>
      </c>
      <c r="G314" s="317">
        <f>IF(AND($A$2=4,VLOOKUP($A314,'District Level ADM'!$A$5:$W$52,5,FALSE)="Prior Year"),AI314,IF(AND($A$2=4,VLOOKUP($A314,'District Level ADM'!$A$5:$W$52,5,FALSE)="3-Year Avg."),U314,IF($A$2=2,AI314,IF($A$2=3,U314,IF(($AG314&gt;$AU314),U314,AI314)))))</f>
        <v>0.98999999999999988</v>
      </c>
      <c r="H314" s="317">
        <f>IF(AND($A$2=4,VLOOKUP($A314,'District Level ADM'!$A$5:$W$52,5,FALSE)="Prior Year"),AJ314,IF(AND($A$2=4,VLOOKUP($A314,'District Level ADM'!$A$5:$W$52,5,FALSE)="3-Year Avg."),V314,IF($A$2=2,AJ314,IF($A$2=3,V314,IF(($AG314&gt;$AU314),V314,AJ314)))))</f>
        <v>0.33333333333333331</v>
      </c>
      <c r="I314" s="317">
        <f>IF(AND($A$2=4,VLOOKUP($A314,'District Level ADM'!$A$5:$W$52,5,FALSE)="Prior Year"),AK314,IF(AND($A$2=4,VLOOKUP($A314,'District Level ADM'!$A$5:$W$52,5,FALSE)="3-Year Avg."),W314,IF($A$2=2,AK314,IF($A$2=3,W314,IF(($AG314&gt;$AU314),W314,AK314)))))</f>
        <v>0.49033333333333334</v>
      </c>
      <c r="J314" s="317">
        <f>IF(AND($A$2=4,VLOOKUP($A314,'District Level ADM'!$A$5:$W$52,5,FALSE)="Prior Year"),AL314,IF(AND($A$2=4,VLOOKUP($A314,'District Level ADM'!$A$5:$W$52,5,FALSE)="3-Year Avg."),X314,IF($A$2=2,AL314,IF($A$2=3,X314,IF(($AG314&gt;$AU314),X314,AL314)))))</f>
        <v>0.66166666666666674</v>
      </c>
      <c r="K314" s="317">
        <f>IF(AND($A$2=4,VLOOKUP($A314,'District Level ADM'!$A$5:$W$52,5,FALSE)="Prior Year"),AM314,IF(AND($A$2=4,VLOOKUP($A314,'District Level ADM'!$A$5:$W$52,5,FALSE)="3-Year Avg."),Y314,IF($A$2=2,AM314,IF($A$2=3,Y314,IF(($AG314&gt;$AU314),Y314,AM314)))))</f>
        <v>0</v>
      </c>
      <c r="L314" s="317">
        <f>IF(AND($A$2=4,VLOOKUP($A314,'District Level ADM'!$A$5:$W$52,5,FALSE)="Prior Year"),AN314,IF(AND($A$2=4,VLOOKUP($A314,'District Level ADM'!$A$5:$W$52,5,FALSE)="3-Year Avg."),Z314,IF($A$2=2,AN314,IF($A$2=3,Z314,IF(($AG314&gt;$AU314),Z314,AN314)))))</f>
        <v>0</v>
      </c>
      <c r="M314" s="317">
        <f>IF(AND($A$2=4,VLOOKUP($A314,'District Level ADM'!$A$5:$W$52,5,FALSE)="Prior Year"),AO314,IF(AND($A$2=4,VLOOKUP($A314,'District Level ADM'!$A$5:$W$52,5,FALSE)="3-Year Avg."),AA314,IF($A$2=2,AO314,IF($A$2=3,AA314,IF(($AG314&gt;$AU314),AA314,AO314)))))</f>
        <v>0</v>
      </c>
      <c r="N314" s="317">
        <f>IF(AND($A$2=4,VLOOKUP($A314,'District Level ADM'!$A$5:$W$52,5,FALSE)="Prior Year"),AP314,IF(AND($A$2=4,VLOOKUP($A314,'District Level ADM'!$A$5:$W$52,5,FALSE)="3-Year Avg."),AB314,IF($A$2=2,AP314,IF($A$2=3,AB314,IF(($AG314&gt;$AU314),AB314,AP314)))))</f>
        <v>0</v>
      </c>
      <c r="O314" s="317">
        <f>IF(AND($A$2=4,VLOOKUP($A314,'District Level ADM'!$A$5:$W$52,5,FALSE)="Prior Year"),AQ314,IF(AND($A$2=4,VLOOKUP($A314,'District Level ADM'!$A$5:$W$52,5,FALSE)="3-Year Avg."),AC314,IF($A$2=2,AQ314,IF($A$2=3,AC314,IF(($AG314&gt;$AU314),AC314,AQ314)))))</f>
        <v>0</v>
      </c>
      <c r="P314" s="317">
        <f>IF(AND($A$2=4,VLOOKUP($A314,'District Level ADM'!$A$5:$W$52,5,FALSE)="Prior Year"),AR314,IF(AND($A$2=4,VLOOKUP($A314,'District Level ADM'!$A$5:$W$52,5,FALSE)="3-Year Avg."),AD314,IF($A$2=2,AR314,IF($A$2=3,AD314,IF(($AG314&gt;$AU314),AD314,AR314)))))</f>
        <v>0</v>
      </c>
      <c r="Q314" s="317">
        <f>IF(AND($A$2=4,VLOOKUP($A314,'District Level ADM'!$A$5:$W$52,5,FALSE)="Prior Year"),AS314,IF(AND($A$2=4,VLOOKUP($A314,'District Level ADM'!$A$5:$W$52,5,FALSE)="3-Year Avg."),AE314,IF($A$2=2,AS314,IF($A$2=3,AE314,IF(($AG314&gt;$AU314),AE314,AS314)))))</f>
        <v>0</v>
      </c>
      <c r="R314" s="317">
        <f>IF(AND($A$2=4,VLOOKUP($A314,'District Level ADM'!$A$5:$W$52,5,FALSE)="Prior Year"),AT314,IF(AND($A$2=4,VLOOKUP($A314,'District Level ADM'!$A$5:$W$52,5,FALSE)="3-Year Avg."),AF314,IF($A$2=2,AT314,IF($A$2=3,AF314,IF(($AG314&gt;$AU314),AF314,AT314)))))</f>
        <v>0</v>
      </c>
      <c r="S314" s="317">
        <f t="shared" si="44"/>
        <v>3.2943333333333333</v>
      </c>
      <c r="T314" s="317">
        <f t="shared" si="50"/>
        <v>0.81899999999999995</v>
      </c>
      <c r="U314" s="317">
        <f t="shared" si="50"/>
        <v>0.98999999999999988</v>
      </c>
      <c r="V314" s="317">
        <f t="shared" si="50"/>
        <v>0.33333333333333331</v>
      </c>
      <c r="W314" s="317">
        <f t="shared" si="49"/>
        <v>0.49033333333333334</v>
      </c>
      <c r="X314" s="317">
        <f t="shared" si="49"/>
        <v>0.66166666666666674</v>
      </c>
      <c r="Y314" s="317">
        <f t="shared" si="49"/>
        <v>0</v>
      </c>
      <c r="Z314" s="317">
        <f t="shared" si="49"/>
        <v>0</v>
      </c>
      <c r="AA314" s="317">
        <f t="shared" si="49"/>
        <v>0</v>
      </c>
      <c r="AB314" s="317">
        <f t="shared" si="49"/>
        <v>0</v>
      </c>
      <c r="AC314" s="317">
        <f t="shared" si="49"/>
        <v>0</v>
      </c>
      <c r="AD314" s="317">
        <f t="shared" si="51"/>
        <v>0</v>
      </c>
      <c r="AE314" s="317">
        <f t="shared" si="51"/>
        <v>0</v>
      </c>
      <c r="AF314" s="317">
        <f t="shared" si="51"/>
        <v>0</v>
      </c>
      <c r="AG314" s="317">
        <f t="shared" si="45"/>
        <v>3.2943333333333333</v>
      </c>
      <c r="AH314" s="318">
        <v>0</v>
      </c>
      <c r="AI314" s="318">
        <v>1.97</v>
      </c>
      <c r="AJ314" s="318">
        <v>0</v>
      </c>
      <c r="AK314" s="318">
        <v>0.98499999999999999</v>
      </c>
      <c r="AL314" s="318">
        <v>0.98499999999999999</v>
      </c>
      <c r="AM314" s="318">
        <v>0</v>
      </c>
      <c r="AN314" s="318">
        <v>0</v>
      </c>
      <c r="AO314" s="318">
        <v>0</v>
      </c>
      <c r="AP314" s="318">
        <v>0</v>
      </c>
      <c r="AQ314" s="318">
        <v>0</v>
      </c>
      <c r="AR314" s="318">
        <v>0</v>
      </c>
      <c r="AS314" s="318">
        <v>0</v>
      </c>
      <c r="AT314" s="318">
        <v>0</v>
      </c>
      <c r="AU314" s="317">
        <f t="shared" si="43"/>
        <v>3.94</v>
      </c>
      <c r="AV314" s="319">
        <v>2</v>
      </c>
      <c r="AW314" s="319">
        <v>0</v>
      </c>
      <c r="AX314" s="319">
        <v>1</v>
      </c>
      <c r="AY314" s="319">
        <v>0.48599999999999999</v>
      </c>
      <c r="AZ314" s="319">
        <v>0.23400000000000001</v>
      </c>
      <c r="BA314" s="319">
        <v>0</v>
      </c>
      <c r="BB314" s="319">
        <v>0</v>
      </c>
      <c r="BC314" s="319">
        <v>0</v>
      </c>
      <c r="BD314" s="319">
        <v>0</v>
      </c>
      <c r="BE314" s="319">
        <v>0</v>
      </c>
      <c r="BF314" s="319">
        <v>0</v>
      </c>
      <c r="BG314" s="319">
        <v>0</v>
      </c>
      <c r="BH314" s="319">
        <v>0</v>
      </c>
      <c r="BI314" s="317">
        <f t="shared" si="48"/>
        <v>3.7199999999999998</v>
      </c>
      <c r="BJ314" s="316">
        <v>0.45700000000000002</v>
      </c>
      <c r="BK314" s="316">
        <v>1</v>
      </c>
      <c r="BL314" s="316">
        <v>0</v>
      </c>
      <c r="BM314" s="316">
        <v>0</v>
      </c>
      <c r="BN314" s="316">
        <v>0.76600000000000001</v>
      </c>
      <c r="BO314" s="316">
        <v>0</v>
      </c>
      <c r="BP314" s="316">
        <v>0</v>
      </c>
      <c r="BQ314" s="316">
        <v>0</v>
      </c>
      <c r="BR314" s="316">
        <v>0</v>
      </c>
      <c r="BS314" s="316">
        <v>0</v>
      </c>
      <c r="BT314" s="316">
        <v>0</v>
      </c>
      <c r="BU314" s="316">
        <v>0</v>
      </c>
      <c r="BV314" s="316">
        <v>0</v>
      </c>
      <c r="BW314" s="317">
        <f t="shared" si="46"/>
        <v>2.2229999999999999</v>
      </c>
    </row>
    <row r="315" spans="1:734" x14ac:dyDescent="0.2">
      <c r="A315" s="20" t="str">
        <f>'School Level Inst. Resources'!A315</f>
        <v>1902000</v>
      </c>
      <c r="B315" s="20" t="str">
        <f>'School Level Inst. Resources'!B315</f>
        <v>Sweetwater #2</v>
      </c>
      <c r="C315" s="20" t="str">
        <f>'School Level Inst. Resources'!C315</f>
        <v>1902002</v>
      </c>
      <c r="D315" s="20" t="str">
        <f>'School Level Inst. Resources'!D315</f>
        <v>Harrison Elementary</v>
      </c>
      <c r="E315" s="138" t="str">
        <f>'School Level Inst. Resources'!E315</f>
        <v>K-4</v>
      </c>
      <c r="F315" s="317">
        <f>IF(AND($A$2=4,VLOOKUP($A315,'District Level ADM'!$A$5:$W$52,5,FALSE)="Prior Year"),AH315,IF(AND($A$2=4,VLOOKUP($A315,'District Level ADM'!$A$5:$W$52,5,FALSE)="3-Year Avg."),T315,IF($A$2=2,AH315,IF($A$2=3,T315,IF(($AG315&gt;$AU315),T315,AH315)))))</f>
        <v>43.512333333333324</v>
      </c>
      <c r="G315" s="317">
        <f>IF(AND($A$2=4,VLOOKUP($A315,'District Level ADM'!$A$5:$W$52,5,FALSE)="Prior Year"),AI315,IF(AND($A$2=4,VLOOKUP($A315,'District Level ADM'!$A$5:$W$52,5,FALSE)="3-Year Avg."),U315,IF($A$2=2,AI315,IF($A$2=3,U315,IF(($AG315&gt;$AU315),U315,AI315)))))</f>
        <v>48.104999999999997</v>
      </c>
      <c r="H315" s="317">
        <f>IF(AND($A$2=4,VLOOKUP($A315,'District Level ADM'!$A$5:$W$52,5,FALSE)="Prior Year"),AJ315,IF(AND($A$2=4,VLOOKUP($A315,'District Level ADM'!$A$5:$W$52,5,FALSE)="3-Year Avg."),V315,IF($A$2=2,AJ315,IF($A$2=3,V315,IF(($AG315&gt;$AU315),V315,AJ315)))))</f>
        <v>52.312666666666665</v>
      </c>
      <c r="I315" s="317">
        <f>IF(AND($A$2=4,VLOOKUP($A315,'District Level ADM'!$A$5:$W$52,5,FALSE)="Prior Year"),AK315,IF(AND($A$2=4,VLOOKUP($A315,'District Level ADM'!$A$5:$W$52,5,FALSE)="3-Year Avg."),W315,IF($A$2=2,AK315,IF($A$2=3,W315,IF(($AG315&gt;$AU315),W315,AK315)))))</f>
        <v>55.012</v>
      </c>
      <c r="J315" s="317">
        <f>IF(AND($A$2=4,VLOOKUP($A315,'District Level ADM'!$A$5:$W$52,5,FALSE)="Prior Year"),AL315,IF(AND($A$2=4,VLOOKUP($A315,'District Level ADM'!$A$5:$W$52,5,FALSE)="3-Year Avg."),X315,IF($A$2=2,AL315,IF($A$2=3,X315,IF(($AG315&gt;$AU315),X315,AL315)))))</f>
        <v>57.632666666666665</v>
      </c>
      <c r="K315" s="317">
        <f>IF(AND($A$2=4,VLOOKUP($A315,'District Level ADM'!$A$5:$W$52,5,FALSE)="Prior Year"),AM315,IF(AND($A$2=4,VLOOKUP($A315,'District Level ADM'!$A$5:$W$52,5,FALSE)="3-Year Avg."),Y315,IF($A$2=2,AM315,IF($A$2=3,Y315,IF(($AG315&gt;$AU315),Y315,AM315)))))</f>
        <v>0</v>
      </c>
      <c r="L315" s="317">
        <f>IF(AND($A$2=4,VLOOKUP($A315,'District Level ADM'!$A$5:$W$52,5,FALSE)="Prior Year"),AN315,IF(AND($A$2=4,VLOOKUP($A315,'District Level ADM'!$A$5:$W$52,5,FALSE)="3-Year Avg."),Z315,IF($A$2=2,AN315,IF($A$2=3,Z315,IF(($AG315&gt;$AU315),Z315,AN315)))))</f>
        <v>0</v>
      </c>
      <c r="M315" s="317">
        <f>IF(AND($A$2=4,VLOOKUP($A315,'District Level ADM'!$A$5:$W$52,5,FALSE)="Prior Year"),AO315,IF(AND($A$2=4,VLOOKUP($A315,'District Level ADM'!$A$5:$W$52,5,FALSE)="3-Year Avg."),AA315,IF($A$2=2,AO315,IF($A$2=3,AA315,IF(($AG315&gt;$AU315),AA315,AO315)))))</f>
        <v>0</v>
      </c>
      <c r="N315" s="317">
        <f>IF(AND($A$2=4,VLOOKUP($A315,'District Level ADM'!$A$5:$W$52,5,FALSE)="Prior Year"),AP315,IF(AND($A$2=4,VLOOKUP($A315,'District Level ADM'!$A$5:$W$52,5,FALSE)="3-Year Avg."),AB315,IF($A$2=2,AP315,IF($A$2=3,AB315,IF(($AG315&gt;$AU315),AB315,AP315)))))</f>
        <v>0</v>
      </c>
      <c r="O315" s="317">
        <f>IF(AND($A$2=4,VLOOKUP($A315,'District Level ADM'!$A$5:$W$52,5,FALSE)="Prior Year"),AQ315,IF(AND($A$2=4,VLOOKUP($A315,'District Level ADM'!$A$5:$W$52,5,FALSE)="3-Year Avg."),AC315,IF($A$2=2,AQ315,IF($A$2=3,AC315,IF(($AG315&gt;$AU315),AC315,AQ315)))))</f>
        <v>0</v>
      </c>
      <c r="P315" s="317">
        <f>IF(AND($A$2=4,VLOOKUP($A315,'District Level ADM'!$A$5:$W$52,5,FALSE)="Prior Year"),AR315,IF(AND($A$2=4,VLOOKUP($A315,'District Level ADM'!$A$5:$W$52,5,FALSE)="3-Year Avg."),AD315,IF($A$2=2,AR315,IF($A$2=3,AD315,IF(($AG315&gt;$AU315),AD315,AR315)))))</f>
        <v>0</v>
      </c>
      <c r="Q315" s="317">
        <f>IF(AND($A$2=4,VLOOKUP($A315,'District Level ADM'!$A$5:$W$52,5,FALSE)="Prior Year"),AS315,IF(AND($A$2=4,VLOOKUP($A315,'District Level ADM'!$A$5:$W$52,5,FALSE)="3-Year Avg."),AE315,IF($A$2=2,AS315,IF($A$2=3,AE315,IF(($AG315&gt;$AU315),AE315,AS315)))))</f>
        <v>0</v>
      </c>
      <c r="R315" s="317">
        <f>IF(AND($A$2=4,VLOOKUP($A315,'District Level ADM'!$A$5:$W$52,5,FALSE)="Prior Year"),AT315,IF(AND($A$2=4,VLOOKUP($A315,'District Level ADM'!$A$5:$W$52,5,FALSE)="3-Year Avg."),AF315,IF($A$2=2,AT315,IF($A$2=3,AF315,IF(($AG315&gt;$AU315),AF315,AT315)))))</f>
        <v>0</v>
      </c>
      <c r="S315" s="317">
        <f t="shared" si="44"/>
        <v>256.57466666666664</v>
      </c>
      <c r="T315" s="317">
        <f t="shared" si="50"/>
        <v>43.512333333333324</v>
      </c>
      <c r="U315" s="317">
        <f t="shared" si="50"/>
        <v>48.104999999999997</v>
      </c>
      <c r="V315" s="317">
        <f t="shared" si="50"/>
        <v>52.312666666666665</v>
      </c>
      <c r="W315" s="317">
        <f t="shared" si="49"/>
        <v>55.012</v>
      </c>
      <c r="X315" s="317">
        <f t="shared" si="49"/>
        <v>57.632666666666665</v>
      </c>
      <c r="Y315" s="317">
        <f t="shared" si="49"/>
        <v>0</v>
      </c>
      <c r="Z315" s="317">
        <f t="shared" si="49"/>
        <v>0</v>
      </c>
      <c r="AA315" s="317">
        <f t="shared" si="49"/>
        <v>0</v>
      </c>
      <c r="AB315" s="317">
        <f t="shared" si="49"/>
        <v>0</v>
      </c>
      <c r="AC315" s="317">
        <f t="shared" si="49"/>
        <v>0</v>
      </c>
      <c r="AD315" s="317">
        <f t="shared" si="51"/>
        <v>0</v>
      </c>
      <c r="AE315" s="317">
        <f t="shared" si="51"/>
        <v>0</v>
      </c>
      <c r="AF315" s="317">
        <f t="shared" si="51"/>
        <v>0</v>
      </c>
      <c r="AG315" s="317">
        <f t="shared" si="45"/>
        <v>256.57466666666664</v>
      </c>
      <c r="AH315" s="318">
        <v>36.445</v>
      </c>
      <c r="AI315" s="318">
        <v>50.234999999999999</v>
      </c>
      <c r="AJ315" s="318">
        <v>39.4</v>
      </c>
      <c r="AK315" s="318">
        <v>56.145000000000003</v>
      </c>
      <c r="AL315" s="318">
        <v>58.115000000000002</v>
      </c>
      <c r="AM315" s="318">
        <v>0</v>
      </c>
      <c r="AN315" s="318">
        <v>0</v>
      </c>
      <c r="AO315" s="318">
        <v>0</v>
      </c>
      <c r="AP315" s="318">
        <v>0</v>
      </c>
      <c r="AQ315" s="318">
        <v>0</v>
      </c>
      <c r="AR315" s="318">
        <v>0</v>
      </c>
      <c r="AS315" s="318">
        <v>0</v>
      </c>
      <c r="AT315" s="318">
        <v>0</v>
      </c>
      <c r="AU315" s="317">
        <f t="shared" si="43"/>
        <v>240.34000000000003</v>
      </c>
      <c r="AV315" s="319">
        <v>45.582999999999998</v>
      </c>
      <c r="AW315" s="319">
        <v>39.610999999999997</v>
      </c>
      <c r="AX315" s="319">
        <v>56.389000000000003</v>
      </c>
      <c r="AY315" s="319">
        <v>54.576999999999998</v>
      </c>
      <c r="AZ315" s="319">
        <v>57.783000000000001</v>
      </c>
      <c r="BA315" s="319">
        <v>0</v>
      </c>
      <c r="BB315" s="319">
        <v>0</v>
      </c>
      <c r="BC315" s="319">
        <v>0</v>
      </c>
      <c r="BD315" s="319">
        <v>0</v>
      </c>
      <c r="BE315" s="319">
        <v>0</v>
      </c>
      <c r="BF315" s="319">
        <v>0</v>
      </c>
      <c r="BG315" s="319">
        <v>0</v>
      </c>
      <c r="BH315" s="319">
        <v>0</v>
      </c>
      <c r="BI315" s="317">
        <f t="shared" si="48"/>
        <v>253.94299999999998</v>
      </c>
      <c r="BJ315" s="316">
        <v>48.509</v>
      </c>
      <c r="BK315" s="316">
        <v>54.469000000000001</v>
      </c>
      <c r="BL315" s="316">
        <v>61.149000000000001</v>
      </c>
      <c r="BM315" s="316">
        <v>54.314</v>
      </c>
      <c r="BN315" s="316">
        <v>57</v>
      </c>
      <c r="BO315" s="316">
        <v>0</v>
      </c>
      <c r="BP315" s="316">
        <v>0</v>
      </c>
      <c r="BQ315" s="316">
        <v>0</v>
      </c>
      <c r="BR315" s="316">
        <v>0</v>
      </c>
      <c r="BS315" s="316">
        <v>0</v>
      </c>
      <c r="BT315" s="316">
        <v>0</v>
      </c>
      <c r="BU315" s="316">
        <v>0</v>
      </c>
      <c r="BV315" s="316">
        <v>0</v>
      </c>
      <c r="BW315" s="317">
        <f t="shared" si="46"/>
        <v>275.44100000000003</v>
      </c>
    </row>
    <row r="316" spans="1:734" x14ac:dyDescent="0.2">
      <c r="A316" s="20" t="str">
        <f>'School Level Inst. Resources'!A316</f>
        <v>1902000</v>
      </c>
      <c r="B316" s="20" t="str">
        <f>'School Level Inst. Resources'!B316</f>
        <v>Sweetwater #2</v>
      </c>
      <c r="C316" s="20" t="str">
        <f>'School Level Inst. Resources'!C316</f>
        <v>1902004</v>
      </c>
      <c r="D316" s="20" t="str">
        <f>'School Level Inst. Resources'!D316</f>
        <v>McKinnon Elementary</v>
      </c>
      <c r="E316" s="138" t="str">
        <f>'School Level Inst. Resources'!E316</f>
        <v>K-5</v>
      </c>
      <c r="F316" s="317">
        <f>IF(AND($A$2=4,VLOOKUP($A316,'District Level ADM'!$A$5:$W$52,5,FALSE)="Prior Year"),AH316,IF(AND($A$2=4,VLOOKUP($A316,'District Level ADM'!$A$5:$W$52,5,FALSE)="3-Year Avg."),T316,IF($A$2=2,AH316,IF($A$2=3,T316,IF(($AG316&gt;$AU316),T316,AH316)))))</f>
        <v>3.3183333333333334</v>
      </c>
      <c r="G316" s="317">
        <f>IF(AND($A$2=4,VLOOKUP($A316,'District Level ADM'!$A$5:$W$52,5,FALSE)="Prior Year"),AI316,IF(AND($A$2=4,VLOOKUP($A316,'District Level ADM'!$A$5:$W$52,5,FALSE)="3-Year Avg."),U316,IF($A$2=2,AI316,IF($A$2=3,U316,IF(($AG316&gt;$AU316),U316,AI316)))))</f>
        <v>2.9899999999999998</v>
      </c>
      <c r="H316" s="317">
        <f>IF(AND($A$2=4,VLOOKUP($A316,'District Level ADM'!$A$5:$W$52,5,FALSE)="Prior Year"),AJ316,IF(AND($A$2=4,VLOOKUP($A316,'District Level ADM'!$A$5:$W$52,5,FALSE)="3-Year Avg."),V316,IF($A$2=2,AJ316,IF($A$2=3,V316,IF(($AG316&gt;$AU316),V316,AJ316)))))</f>
        <v>3.6416666666666671</v>
      </c>
      <c r="I316" s="317">
        <f>IF(AND($A$2=4,VLOOKUP($A316,'District Level ADM'!$A$5:$W$52,5,FALSE)="Prior Year"),AK316,IF(AND($A$2=4,VLOOKUP($A316,'District Level ADM'!$A$5:$W$52,5,FALSE)="3-Year Avg."),W316,IF($A$2=2,AK316,IF($A$2=3,W316,IF(($AG316&gt;$AU316),W316,AK316)))))</f>
        <v>3.6416666666666671</v>
      </c>
      <c r="J316" s="317">
        <f>IF(AND($A$2=4,VLOOKUP($A316,'District Level ADM'!$A$5:$W$52,5,FALSE)="Prior Year"),AL316,IF(AND($A$2=4,VLOOKUP($A316,'District Level ADM'!$A$5:$W$52,5,FALSE)="3-Year Avg."),X316,IF($A$2=2,AL316,IF($A$2=3,X316,IF(($AG316&gt;$AU316),X316,AL316)))))</f>
        <v>2.1386666666666669</v>
      </c>
      <c r="K316" s="317">
        <f>IF(AND($A$2=4,VLOOKUP($A316,'District Level ADM'!$A$5:$W$52,5,FALSE)="Prior Year"),AM316,IF(AND($A$2=4,VLOOKUP($A316,'District Level ADM'!$A$5:$W$52,5,FALSE)="3-Year Avg."),Y316,IF($A$2=2,AM316,IF($A$2=3,Y316,IF(($AG316&gt;$AU316),Y316,AM316)))))</f>
        <v>1.6566666666666665</v>
      </c>
      <c r="L316" s="317">
        <f>IF(AND($A$2=4,VLOOKUP($A316,'District Level ADM'!$A$5:$W$52,5,FALSE)="Prior Year"),AN316,IF(AND($A$2=4,VLOOKUP($A316,'District Level ADM'!$A$5:$W$52,5,FALSE)="3-Year Avg."),Z316,IF($A$2=2,AN316,IF($A$2=3,Z316,IF(($AG316&gt;$AU316),Z316,AN316)))))</f>
        <v>0</v>
      </c>
      <c r="M316" s="317">
        <f>IF(AND($A$2=4,VLOOKUP($A316,'District Level ADM'!$A$5:$W$52,5,FALSE)="Prior Year"),AO316,IF(AND($A$2=4,VLOOKUP($A316,'District Level ADM'!$A$5:$W$52,5,FALSE)="3-Year Avg."),AA316,IF($A$2=2,AO316,IF($A$2=3,AA316,IF(($AG316&gt;$AU316),AA316,AO316)))))</f>
        <v>0</v>
      </c>
      <c r="N316" s="317">
        <f>IF(AND($A$2=4,VLOOKUP($A316,'District Level ADM'!$A$5:$W$52,5,FALSE)="Prior Year"),AP316,IF(AND($A$2=4,VLOOKUP($A316,'District Level ADM'!$A$5:$W$52,5,FALSE)="3-Year Avg."),AB316,IF($A$2=2,AP316,IF($A$2=3,AB316,IF(($AG316&gt;$AU316),AB316,AP316)))))</f>
        <v>0</v>
      </c>
      <c r="O316" s="317">
        <f>IF(AND($A$2=4,VLOOKUP($A316,'District Level ADM'!$A$5:$W$52,5,FALSE)="Prior Year"),AQ316,IF(AND($A$2=4,VLOOKUP($A316,'District Level ADM'!$A$5:$W$52,5,FALSE)="3-Year Avg."),AC316,IF($A$2=2,AQ316,IF($A$2=3,AC316,IF(($AG316&gt;$AU316),AC316,AQ316)))))</f>
        <v>0</v>
      </c>
      <c r="P316" s="317">
        <f>IF(AND($A$2=4,VLOOKUP($A316,'District Level ADM'!$A$5:$W$52,5,FALSE)="Prior Year"),AR316,IF(AND($A$2=4,VLOOKUP($A316,'District Level ADM'!$A$5:$W$52,5,FALSE)="3-Year Avg."),AD316,IF($A$2=2,AR316,IF($A$2=3,AD316,IF(($AG316&gt;$AU316),AD316,AR316)))))</f>
        <v>0</v>
      </c>
      <c r="Q316" s="317">
        <f>IF(AND($A$2=4,VLOOKUP($A316,'District Level ADM'!$A$5:$W$52,5,FALSE)="Prior Year"),AS316,IF(AND($A$2=4,VLOOKUP($A316,'District Level ADM'!$A$5:$W$52,5,FALSE)="3-Year Avg."),AE316,IF($A$2=2,AS316,IF($A$2=3,AE316,IF(($AG316&gt;$AU316),AE316,AS316)))))</f>
        <v>0</v>
      </c>
      <c r="R316" s="317">
        <f>IF(AND($A$2=4,VLOOKUP($A316,'District Level ADM'!$A$5:$W$52,5,FALSE)="Prior Year"),AT316,IF(AND($A$2=4,VLOOKUP($A316,'District Level ADM'!$A$5:$W$52,5,FALSE)="3-Year Avg."),AF316,IF($A$2=2,AT316,IF($A$2=3,AF316,IF(($AG316&gt;$AU316),AF316,AT316)))))</f>
        <v>0</v>
      </c>
      <c r="S316" s="317">
        <f t="shared" si="44"/>
        <v>17.387000000000004</v>
      </c>
      <c r="T316" s="317">
        <f t="shared" si="50"/>
        <v>3.3183333333333334</v>
      </c>
      <c r="U316" s="317">
        <f t="shared" si="50"/>
        <v>2.9899999999999998</v>
      </c>
      <c r="V316" s="317">
        <f t="shared" si="50"/>
        <v>3.6416666666666671</v>
      </c>
      <c r="W316" s="317">
        <f t="shared" si="49"/>
        <v>3.6416666666666671</v>
      </c>
      <c r="X316" s="317">
        <f t="shared" si="49"/>
        <v>2.1386666666666669</v>
      </c>
      <c r="Y316" s="317">
        <f t="shared" si="49"/>
        <v>1.6566666666666665</v>
      </c>
      <c r="Z316" s="317">
        <f t="shared" si="49"/>
        <v>0</v>
      </c>
      <c r="AA316" s="317">
        <f t="shared" si="49"/>
        <v>0</v>
      </c>
      <c r="AB316" s="317">
        <f t="shared" si="49"/>
        <v>0</v>
      </c>
      <c r="AC316" s="317">
        <f t="shared" si="49"/>
        <v>0</v>
      </c>
      <c r="AD316" s="317">
        <f t="shared" si="51"/>
        <v>0</v>
      </c>
      <c r="AE316" s="317">
        <f t="shared" si="51"/>
        <v>0</v>
      </c>
      <c r="AF316" s="317">
        <f t="shared" si="51"/>
        <v>0</v>
      </c>
      <c r="AG316" s="317">
        <f t="shared" si="45"/>
        <v>17.387000000000004</v>
      </c>
      <c r="AH316" s="318">
        <v>2.9550000000000001</v>
      </c>
      <c r="AI316" s="318">
        <v>1.97</v>
      </c>
      <c r="AJ316" s="318">
        <v>4.9249999999999998</v>
      </c>
      <c r="AK316" s="318">
        <v>4.9249999999999998</v>
      </c>
      <c r="AL316" s="318">
        <v>1.97</v>
      </c>
      <c r="AM316" s="318">
        <v>1.97</v>
      </c>
      <c r="AN316" s="318">
        <v>0</v>
      </c>
      <c r="AO316" s="318">
        <v>0</v>
      </c>
      <c r="AP316" s="318">
        <v>0</v>
      </c>
      <c r="AQ316" s="318">
        <v>0</v>
      </c>
      <c r="AR316" s="318">
        <v>0</v>
      </c>
      <c r="AS316" s="318">
        <v>0</v>
      </c>
      <c r="AT316" s="318">
        <v>0</v>
      </c>
      <c r="AU316" s="317">
        <f t="shared" si="43"/>
        <v>18.714999999999996</v>
      </c>
      <c r="AV316" s="319">
        <v>2</v>
      </c>
      <c r="AW316" s="319">
        <v>4</v>
      </c>
      <c r="AX316" s="319">
        <v>5</v>
      </c>
      <c r="AY316" s="319">
        <v>2</v>
      </c>
      <c r="AZ316" s="319">
        <v>2</v>
      </c>
      <c r="BA316" s="319">
        <v>2</v>
      </c>
      <c r="BB316" s="319">
        <v>0</v>
      </c>
      <c r="BC316" s="319">
        <v>0</v>
      </c>
      <c r="BD316" s="319">
        <v>0</v>
      </c>
      <c r="BE316" s="319">
        <v>0</v>
      </c>
      <c r="BF316" s="319">
        <v>0</v>
      </c>
      <c r="BG316" s="319">
        <v>0</v>
      </c>
      <c r="BH316" s="319">
        <v>0</v>
      </c>
      <c r="BI316" s="317">
        <f t="shared" si="48"/>
        <v>17</v>
      </c>
      <c r="BJ316" s="316">
        <v>5</v>
      </c>
      <c r="BK316" s="316">
        <v>3</v>
      </c>
      <c r="BL316" s="316">
        <v>1</v>
      </c>
      <c r="BM316" s="316">
        <v>4</v>
      </c>
      <c r="BN316" s="316">
        <v>2.4460000000000002</v>
      </c>
      <c r="BO316" s="316">
        <v>1</v>
      </c>
      <c r="BP316" s="316">
        <v>0</v>
      </c>
      <c r="BQ316" s="316">
        <v>0</v>
      </c>
      <c r="BR316" s="316">
        <v>0</v>
      </c>
      <c r="BS316" s="316">
        <v>0</v>
      </c>
      <c r="BT316" s="316">
        <v>0</v>
      </c>
      <c r="BU316" s="316">
        <v>0</v>
      </c>
      <c r="BV316" s="316">
        <v>0</v>
      </c>
      <c r="BW316" s="317">
        <f t="shared" si="46"/>
        <v>16.445999999999998</v>
      </c>
    </row>
    <row r="317" spans="1:734" x14ac:dyDescent="0.2">
      <c r="A317" s="20" t="str">
        <f>'School Level Inst. Resources'!A317</f>
        <v>1902000</v>
      </c>
      <c r="B317" s="20" t="str">
        <f>'School Level Inst. Resources'!B317</f>
        <v>Sweetwater #2</v>
      </c>
      <c r="C317" s="20" t="str">
        <f>'School Level Inst. Resources'!C317</f>
        <v>1902006</v>
      </c>
      <c r="D317" s="20" t="str">
        <f>'School Level Inst. Resources'!D317</f>
        <v>Thoman Ranch Elementary</v>
      </c>
      <c r="E317" s="138" t="str">
        <f>'School Level Inst. Resources'!E317</f>
        <v>K-8</v>
      </c>
      <c r="F317" s="317">
        <f>IF(AND($A$2=4,VLOOKUP($A317,'District Level ADM'!$A$5:$W$52,5,FALSE)="Prior Year"),AH317,IF(AND($A$2=4,VLOOKUP($A317,'District Level ADM'!$A$5:$W$52,5,FALSE)="3-Year Avg."),T317,IF($A$2=2,AH317,IF($A$2=3,T317,IF(($AG317&gt;$AU317),T317,AH317)))))</f>
        <v>0</v>
      </c>
      <c r="G317" s="317">
        <f>IF(AND($A$2=4,VLOOKUP($A317,'District Level ADM'!$A$5:$W$52,5,FALSE)="Prior Year"),AI317,IF(AND($A$2=4,VLOOKUP($A317,'District Level ADM'!$A$5:$W$52,5,FALSE)="3-Year Avg."),U317,IF($A$2=2,AI317,IF($A$2=3,U317,IF(($AG317&gt;$AU317),U317,AI317)))))</f>
        <v>0.33333333333333331</v>
      </c>
      <c r="H317" s="317">
        <f>IF(AND($A$2=4,VLOOKUP($A317,'District Level ADM'!$A$5:$W$52,5,FALSE)="Prior Year"),AJ317,IF(AND($A$2=4,VLOOKUP($A317,'District Level ADM'!$A$5:$W$52,5,FALSE)="3-Year Avg."),V317,IF($A$2=2,AJ317,IF($A$2=3,V317,IF(($AG317&gt;$AU317),V317,AJ317)))))</f>
        <v>0.33333333333333331</v>
      </c>
      <c r="I317" s="317">
        <f>IF(AND($A$2=4,VLOOKUP($A317,'District Level ADM'!$A$5:$W$52,5,FALSE)="Prior Year"),AK317,IF(AND($A$2=4,VLOOKUP($A317,'District Level ADM'!$A$5:$W$52,5,FALSE)="3-Year Avg."),W317,IF($A$2=2,AK317,IF($A$2=3,W317,IF(($AG317&gt;$AU317),W317,AK317)))))</f>
        <v>0.32833333333333331</v>
      </c>
      <c r="J317" s="317">
        <f>IF(AND($A$2=4,VLOOKUP($A317,'District Level ADM'!$A$5:$W$52,5,FALSE)="Prior Year"),AL317,IF(AND($A$2=4,VLOOKUP($A317,'District Level ADM'!$A$5:$W$52,5,FALSE)="3-Year Avg."),X317,IF($A$2=2,AL317,IF($A$2=3,X317,IF(($AG317&gt;$AU317),X317,AL317)))))</f>
        <v>0.24199999999999999</v>
      </c>
      <c r="K317" s="317">
        <f>IF(AND($A$2=4,VLOOKUP($A317,'District Level ADM'!$A$5:$W$52,5,FALSE)="Prior Year"),AM317,IF(AND($A$2=4,VLOOKUP($A317,'District Level ADM'!$A$5:$W$52,5,FALSE)="3-Year Avg."),Y317,IF($A$2=2,AM317,IF($A$2=3,Y317,IF(($AG317&gt;$AU317),Y317,AM317)))))</f>
        <v>0.32833333333333331</v>
      </c>
      <c r="L317" s="317">
        <f>IF(AND($A$2=4,VLOOKUP($A317,'District Level ADM'!$A$5:$W$52,5,FALSE)="Prior Year"),AN317,IF(AND($A$2=4,VLOOKUP($A317,'District Level ADM'!$A$5:$W$52,5,FALSE)="3-Year Avg."),Z317,IF($A$2=2,AN317,IF($A$2=3,Z317,IF(($AG317&gt;$AU317),Z317,AN317)))))</f>
        <v>0</v>
      </c>
      <c r="M317" s="317">
        <f>IF(AND($A$2=4,VLOOKUP($A317,'District Level ADM'!$A$5:$W$52,5,FALSE)="Prior Year"),AO317,IF(AND($A$2=4,VLOOKUP($A317,'District Level ADM'!$A$5:$W$52,5,FALSE)="3-Year Avg."),AA317,IF($A$2=2,AO317,IF($A$2=3,AA317,IF(($AG317&gt;$AU317),AA317,AO317)))))</f>
        <v>0</v>
      </c>
      <c r="N317" s="317">
        <f>IF(AND($A$2=4,VLOOKUP($A317,'District Level ADM'!$A$5:$W$52,5,FALSE)="Prior Year"),AP317,IF(AND($A$2=4,VLOOKUP($A317,'District Level ADM'!$A$5:$W$52,5,FALSE)="3-Year Avg."),AB317,IF($A$2=2,AP317,IF($A$2=3,AB317,IF(($AG317&gt;$AU317),AB317,AP317)))))</f>
        <v>0</v>
      </c>
      <c r="O317" s="317">
        <f>IF(AND($A$2=4,VLOOKUP($A317,'District Level ADM'!$A$5:$W$52,5,FALSE)="Prior Year"),AQ317,IF(AND($A$2=4,VLOOKUP($A317,'District Level ADM'!$A$5:$W$52,5,FALSE)="3-Year Avg."),AC317,IF($A$2=2,AQ317,IF($A$2=3,AC317,IF(($AG317&gt;$AU317),AC317,AQ317)))))</f>
        <v>0</v>
      </c>
      <c r="P317" s="317">
        <f>IF(AND($A$2=4,VLOOKUP($A317,'District Level ADM'!$A$5:$W$52,5,FALSE)="Prior Year"),AR317,IF(AND($A$2=4,VLOOKUP($A317,'District Level ADM'!$A$5:$W$52,5,FALSE)="3-Year Avg."),AD317,IF($A$2=2,AR317,IF($A$2=3,AD317,IF(($AG317&gt;$AU317),AD317,AR317)))))</f>
        <v>0</v>
      </c>
      <c r="Q317" s="317">
        <f>IF(AND($A$2=4,VLOOKUP($A317,'District Level ADM'!$A$5:$W$52,5,FALSE)="Prior Year"),AS317,IF(AND($A$2=4,VLOOKUP($A317,'District Level ADM'!$A$5:$W$52,5,FALSE)="3-Year Avg."),AE317,IF($A$2=2,AS317,IF($A$2=3,AE317,IF(($AG317&gt;$AU317),AE317,AS317)))))</f>
        <v>0</v>
      </c>
      <c r="R317" s="317">
        <f>IF(AND($A$2=4,VLOOKUP($A317,'District Level ADM'!$A$5:$W$52,5,FALSE)="Prior Year"),AT317,IF(AND($A$2=4,VLOOKUP($A317,'District Level ADM'!$A$5:$W$52,5,FALSE)="3-Year Avg."),AF317,IF($A$2=2,AT317,IF($A$2=3,AF317,IF(($AG317&gt;$AU317),AF317,AT317)))))</f>
        <v>0</v>
      </c>
      <c r="S317" s="317">
        <f t="shared" si="44"/>
        <v>1.5653333333333332</v>
      </c>
      <c r="T317" s="317">
        <f t="shared" si="50"/>
        <v>0</v>
      </c>
      <c r="U317" s="317">
        <f t="shared" si="50"/>
        <v>0.33333333333333331</v>
      </c>
      <c r="V317" s="317">
        <f t="shared" si="50"/>
        <v>0.33333333333333331</v>
      </c>
      <c r="W317" s="317">
        <f t="shared" si="49"/>
        <v>0.32833333333333331</v>
      </c>
      <c r="X317" s="317">
        <f t="shared" si="49"/>
        <v>0.24199999999999999</v>
      </c>
      <c r="Y317" s="317">
        <f t="shared" si="49"/>
        <v>0.32833333333333331</v>
      </c>
      <c r="Z317" s="317">
        <f t="shared" si="49"/>
        <v>0</v>
      </c>
      <c r="AA317" s="317">
        <f t="shared" si="49"/>
        <v>0</v>
      </c>
      <c r="AB317" s="317">
        <f t="shared" si="49"/>
        <v>0</v>
      </c>
      <c r="AC317" s="317">
        <f t="shared" si="49"/>
        <v>0</v>
      </c>
      <c r="AD317" s="317">
        <f t="shared" si="51"/>
        <v>0</v>
      </c>
      <c r="AE317" s="317">
        <f t="shared" si="51"/>
        <v>0</v>
      </c>
      <c r="AF317" s="317">
        <f t="shared" si="51"/>
        <v>0</v>
      </c>
      <c r="AG317" s="317">
        <f t="shared" si="45"/>
        <v>1.5653333333333332</v>
      </c>
      <c r="AH317" s="318">
        <v>0</v>
      </c>
      <c r="AI317" s="318">
        <v>0</v>
      </c>
      <c r="AJ317" s="318">
        <v>0</v>
      </c>
      <c r="AK317" s="318">
        <v>0.98499999999999999</v>
      </c>
      <c r="AL317" s="318">
        <v>0</v>
      </c>
      <c r="AM317" s="318">
        <v>0.98499999999999999</v>
      </c>
      <c r="AN317" s="318">
        <v>0</v>
      </c>
      <c r="AO317" s="318">
        <v>0</v>
      </c>
      <c r="AP317" s="318">
        <v>0</v>
      </c>
      <c r="AQ317" s="318">
        <v>0</v>
      </c>
      <c r="AR317" s="318">
        <v>0</v>
      </c>
      <c r="AS317" s="318">
        <v>0</v>
      </c>
      <c r="AT317" s="318">
        <v>0</v>
      </c>
      <c r="AU317" s="317">
        <f t="shared" si="43"/>
        <v>1.97</v>
      </c>
      <c r="AV317" s="319">
        <v>0</v>
      </c>
      <c r="AW317" s="319">
        <v>0</v>
      </c>
      <c r="AX317" s="319">
        <v>1</v>
      </c>
      <c r="AY317" s="319">
        <v>0</v>
      </c>
      <c r="AZ317" s="319">
        <v>0.72599999999999998</v>
      </c>
      <c r="BA317" s="319">
        <v>0</v>
      </c>
      <c r="BB317" s="319">
        <v>0</v>
      </c>
      <c r="BC317" s="319">
        <v>0</v>
      </c>
      <c r="BD317" s="319">
        <v>0</v>
      </c>
      <c r="BE317" s="319">
        <v>0</v>
      </c>
      <c r="BF317" s="319">
        <v>0</v>
      </c>
      <c r="BG317" s="319">
        <v>0</v>
      </c>
      <c r="BH317" s="319">
        <v>0</v>
      </c>
      <c r="BI317" s="317">
        <f t="shared" si="48"/>
        <v>1.726</v>
      </c>
      <c r="BJ317" s="316">
        <v>0</v>
      </c>
      <c r="BK317" s="316">
        <v>1</v>
      </c>
      <c r="BL317" s="316">
        <v>0</v>
      </c>
      <c r="BM317" s="316">
        <v>0</v>
      </c>
      <c r="BN317" s="316">
        <v>0</v>
      </c>
      <c r="BO317" s="316">
        <v>0</v>
      </c>
      <c r="BP317" s="316">
        <v>0</v>
      </c>
      <c r="BQ317" s="316">
        <v>0</v>
      </c>
      <c r="BR317" s="316">
        <v>0</v>
      </c>
      <c r="BS317" s="316">
        <v>0</v>
      </c>
      <c r="BT317" s="316">
        <v>0</v>
      </c>
      <c r="BU317" s="316">
        <v>0</v>
      </c>
      <c r="BV317" s="316">
        <v>0</v>
      </c>
      <c r="BW317" s="317">
        <f t="shared" si="46"/>
        <v>1</v>
      </c>
    </row>
    <row r="318" spans="1:734" x14ac:dyDescent="0.2">
      <c r="A318" s="20" t="str">
        <f>'School Level Inst. Resources'!A318</f>
        <v>1902000</v>
      </c>
      <c r="B318" s="20" t="str">
        <f>'School Level Inst. Resources'!B318</f>
        <v>Sweetwater #2</v>
      </c>
      <c r="C318" s="20" t="str">
        <f>'School Level Inst. Resources'!C318</f>
        <v>1902007</v>
      </c>
      <c r="D318" s="20" t="str">
        <f>'School Level Inst. Resources'!D318</f>
        <v>Washington Elementary</v>
      </c>
      <c r="E318" s="138" t="str">
        <f>'School Level Inst. Resources'!E318</f>
        <v>K-4</v>
      </c>
      <c r="F318" s="317">
        <f>IF(AND($A$2=4,VLOOKUP($A318,'District Level ADM'!$A$5:$W$52,5,FALSE)="Prior Year"),AH318,IF(AND($A$2=4,VLOOKUP($A318,'District Level ADM'!$A$5:$W$52,5,FALSE)="3-Year Avg."),T318,IF($A$2=2,AH318,IF($A$2=3,T318,IF(($AG318&gt;$AU318),T318,AH318)))))</f>
        <v>33.965000000000003</v>
      </c>
      <c r="G318" s="317">
        <f>IF(AND($A$2=4,VLOOKUP($A318,'District Level ADM'!$A$5:$W$52,5,FALSE)="Prior Year"),AI318,IF(AND($A$2=4,VLOOKUP($A318,'District Level ADM'!$A$5:$W$52,5,FALSE)="3-Year Avg."),U318,IF($A$2=2,AI318,IF($A$2=3,U318,IF(($AG318&gt;$AU318),U318,AI318)))))</f>
        <v>39.096000000000004</v>
      </c>
      <c r="H318" s="317">
        <f>IF(AND($A$2=4,VLOOKUP($A318,'District Level ADM'!$A$5:$W$52,5,FALSE)="Prior Year"),AJ318,IF(AND($A$2=4,VLOOKUP($A318,'District Level ADM'!$A$5:$W$52,5,FALSE)="3-Year Avg."),V318,IF($A$2=2,AJ318,IF($A$2=3,V318,IF(($AG318&gt;$AU318),V318,AJ318)))))</f>
        <v>42.964333333333336</v>
      </c>
      <c r="I318" s="317">
        <f>IF(AND($A$2=4,VLOOKUP($A318,'District Level ADM'!$A$5:$W$52,5,FALSE)="Prior Year"),AK318,IF(AND($A$2=4,VLOOKUP($A318,'District Level ADM'!$A$5:$W$52,5,FALSE)="3-Year Avg."),W318,IF($A$2=2,AK318,IF($A$2=3,W318,IF(($AG318&gt;$AU318),W318,AK318)))))</f>
        <v>48.133999999999993</v>
      </c>
      <c r="J318" s="317">
        <f>IF(AND($A$2=4,VLOOKUP($A318,'District Level ADM'!$A$5:$W$52,5,FALSE)="Prior Year"),AL318,IF(AND($A$2=4,VLOOKUP($A318,'District Level ADM'!$A$5:$W$52,5,FALSE)="3-Year Avg."),X318,IF($A$2=2,AL318,IF($A$2=3,X318,IF(($AG318&gt;$AU318),X318,AL318)))))</f>
        <v>42.931999999999995</v>
      </c>
      <c r="K318" s="317">
        <f>IF(AND($A$2=4,VLOOKUP($A318,'District Level ADM'!$A$5:$W$52,5,FALSE)="Prior Year"),AM318,IF(AND($A$2=4,VLOOKUP($A318,'District Level ADM'!$A$5:$W$52,5,FALSE)="3-Year Avg."),Y318,IF($A$2=2,AM318,IF($A$2=3,Y318,IF(($AG318&gt;$AU318),Y318,AM318)))))</f>
        <v>0</v>
      </c>
      <c r="L318" s="317">
        <f>IF(AND($A$2=4,VLOOKUP($A318,'District Level ADM'!$A$5:$W$52,5,FALSE)="Prior Year"),AN318,IF(AND($A$2=4,VLOOKUP($A318,'District Level ADM'!$A$5:$W$52,5,FALSE)="3-Year Avg."),Z318,IF($A$2=2,AN318,IF($A$2=3,Z318,IF(($AG318&gt;$AU318),Z318,AN318)))))</f>
        <v>0</v>
      </c>
      <c r="M318" s="317">
        <f>IF(AND($A$2=4,VLOOKUP($A318,'District Level ADM'!$A$5:$W$52,5,FALSE)="Prior Year"),AO318,IF(AND($A$2=4,VLOOKUP($A318,'District Level ADM'!$A$5:$W$52,5,FALSE)="3-Year Avg."),AA318,IF($A$2=2,AO318,IF($A$2=3,AA318,IF(($AG318&gt;$AU318),AA318,AO318)))))</f>
        <v>0</v>
      </c>
      <c r="N318" s="317">
        <f>IF(AND($A$2=4,VLOOKUP($A318,'District Level ADM'!$A$5:$W$52,5,FALSE)="Prior Year"),AP318,IF(AND($A$2=4,VLOOKUP($A318,'District Level ADM'!$A$5:$W$52,5,FALSE)="3-Year Avg."),AB318,IF($A$2=2,AP318,IF($A$2=3,AB318,IF(($AG318&gt;$AU318),AB318,AP318)))))</f>
        <v>0</v>
      </c>
      <c r="O318" s="317">
        <f>IF(AND($A$2=4,VLOOKUP($A318,'District Level ADM'!$A$5:$W$52,5,FALSE)="Prior Year"),AQ318,IF(AND($A$2=4,VLOOKUP($A318,'District Level ADM'!$A$5:$W$52,5,FALSE)="3-Year Avg."),AC318,IF($A$2=2,AQ318,IF($A$2=3,AC318,IF(($AG318&gt;$AU318),AC318,AQ318)))))</f>
        <v>0</v>
      </c>
      <c r="P318" s="317">
        <f>IF(AND($A$2=4,VLOOKUP($A318,'District Level ADM'!$A$5:$W$52,5,FALSE)="Prior Year"),AR318,IF(AND($A$2=4,VLOOKUP($A318,'District Level ADM'!$A$5:$W$52,5,FALSE)="3-Year Avg."),AD318,IF($A$2=2,AR318,IF($A$2=3,AD318,IF(($AG318&gt;$AU318),AD318,AR318)))))</f>
        <v>0</v>
      </c>
      <c r="Q318" s="317">
        <f>IF(AND($A$2=4,VLOOKUP($A318,'District Level ADM'!$A$5:$W$52,5,FALSE)="Prior Year"),AS318,IF(AND($A$2=4,VLOOKUP($A318,'District Level ADM'!$A$5:$W$52,5,FALSE)="3-Year Avg."),AE318,IF($A$2=2,AS318,IF($A$2=3,AE318,IF(($AG318&gt;$AU318),AE318,AS318)))))</f>
        <v>0</v>
      </c>
      <c r="R318" s="317">
        <f>IF(AND($A$2=4,VLOOKUP($A318,'District Level ADM'!$A$5:$W$52,5,FALSE)="Prior Year"),AT318,IF(AND($A$2=4,VLOOKUP($A318,'District Level ADM'!$A$5:$W$52,5,FALSE)="3-Year Avg."),AF318,IF($A$2=2,AT318,IF($A$2=3,AF318,IF(($AG318&gt;$AU318),AF318,AT318)))))</f>
        <v>0</v>
      </c>
      <c r="S318" s="317">
        <f t="shared" si="44"/>
        <v>207.09133333333332</v>
      </c>
      <c r="T318" s="317">
        <f t="shared" si="50"/>
        <v>33.965000000000003</v>
      </c>
      <c r="U318" s="317">
        <f t="shared" si="50"/>
        <v>39.096000000000004</v>
      </c>
      <c r="V318" s="317">
        <f t="shared" si="50"/>
        <v>42.964333333333336</v>
      </c>
      <c r="W318" s="317">
        <f t="shared" si="49"/>
        <v>48.133999999999993</v>
      </c>
      <c r="X318" s="317">
        <f t="shared" si="49"/>
        <v>42.931999999999995</v>
      </c>
      <c r="Y318" s="317">
        <f t="shared" si="49"/>
        <v>0</v>
      </c>
      <c r="Z318" s="317">
        <f t="shared" si="49"/>
        <v>0</v>
      </c>
      <c r="AA318" s="317">
        <f t="shared" si="49"/>
        <v>0</v>
      </c>
      <c r="AB318" s="317">
        <f t="shared" si="49"/>
        <v>0</v>
      </c>
      <c r="AC318" s="317">
        <f t="shared" si="49"/>
        <v>0</v>
      </c>
      <c r="AD318" s="317">
        <f t="shared" si="51"/>
        <v>0</v>
      </c>
      <c r="AE318" s="317">
        <f t="shared" si="51"/>
        <v>0</v>
      </c>
      <c r="AF318" s="317">
        <f t="shared" si="51"/>
        <v>0</v>
      </c>
      <c r="AG318" s="317">
        <f t="shared" si="45"/>
        <v>207.09133333333332</v>
      </c>
      <c r="AH318" s="318">
        <v>33.49</v>
      </c>
      <c r="AI318" s="318">
        <v>35.46</v>
      </c>
      <c r="AJ318" s="318">
        <v>32.505000000000003</v>
      </c>
      <c r="AK318" s="318">
        <v>53.19</v>
      </c>
      <c r="AL318" s="318">
        <v>44.325000000000003</v>
      </c>
      <c r="AM318" s="318">
        <v>0</v>
      </c>
      <c r="AN318" s="318">
        <v>0</v>
      </c>
      <c r="AO318" s="318">
        <v>0</v>
      </c>
      <c r="AP318" s="318">
        <v>0</v>
      </c>
      <c r="AQ318" s="318">
        <v>0</v>
      </c>
      <c r="AR318" s="318">
        <v>0</v>
      </c>
      <c r="AS318" s="318">
        <v>0</v>
      </c>
      <c r="AT318" s="318">
        <v>0</v>
      </c>
      <c r="AU318" s="317">
        <f t="shared" si="43"/>
        <v>198.97000000000003</v>
      </c>
      <c r="AV318" s="319">
        <v>35.314</v>
      </c>
      <c r="AW318" s="319">
        <v>30.274000000000001</v>
      </c>
      <c r="AX318" s="319">
        <v>49.353999999999999</v>
      </c>
      <c r="AY318" s="319">
        <v>49.542999999999999</v>
      </c>
      <c r="AZ318" s="319">
        <v>41.234000000000002</v>
      </c>
      <c r="BA318" s="319">
        <v>0</v>
      </c>
      <c r="BB318" s="319">
        <v>0</v>
      </c>
      <c r="BC318" s="319">
        <v>0</v>
      </c>
      <c r="BD318" s="319">
        <v>0</v>
      </c>
      <c r="BE318" s="319">
        <v>0</v>
      </c>
      <c r="BF318" s="319">
        <v>0</v>
      </c>
      <c r="BG318" s="319">
        <v>0</v>
      </c>
      <c r="BH318" s="319">
        <v>0</v>
      </c>
      <c r="BI318" s="317">
        <f t="shared" si="48"/>
        <v>205.71899999999999</v>
      </c>
      <c r="BJ318" s="316">
        <v>33.091000000000001</v>
      </c>
      <c r="BK318" s="316">
        <v>51.554000000000002</v>
      </c>
      <c r="BL318" s="316">
        <v>47.033999999999999</v>
      </c>
      <c r="BM318" s="316">
        <v>41.668999999999997</v>
      </c>
      <c r="BN318" s="316">
        <v>43.237000000000002</v>
      </c>
      <c r="BO318" s="316">
        <v>0</v>
      </c>
      <c r="BP318" s="316">
        <v>0</v>
      </c>
      <c r="BQ318" s="316">
        <v>0</v>
      </c>
      <c r="BR318" s="316">
        <v>0</v>
      </c>
      <c r="BS318" s="316">
        <v>0</v>
      </c>
      <c r="BT318" s="316">
        <v>0</v>
      </c>
      <c r="BU318" s="316">
        <v>0</v>
      </c>
      <c r="BV318" s="316">
        <v>0</v>
      </c>
      <c r="BW318" s="317">
        <f t="shared" si="46"/>
        <v>216.58500000000001</v>
      </c>
    </row>
    <row r="319" spans="1:734" x14ac:dyDescent="0.2">
      <c r="A319" s="20" t="str">
        <f>'School Level Inst. Resources'!A319</f>
        <v>1902000</v>
      </c>
      <c r="B319" s="20" t="str">
        <f>'School Level Inst. Resources'!B319</f>
        <v>Sweetwater #2</v>
      </c>
      <c r="C319" s="20" t="str">
        <f>'School Level Inst. Resources'!C319</f>
        <v>1902010</v>
      </c>
      <c r="D319" s="20" t="str">
        <f>'School Level Inst. Resources'!D319</f>
        <v>Jackson Elementary</v>
      </c>
      <c r="E319" s="138" t="str">
        <f>'School Level Inst. Resources'!E319</f>
        <v>K-4</v>
      </c>
      <c r="F319" s="317">
        <f>IF(AND($A$2=4,VLOOKUP($A319,'District Level ADM'!$A$5:$W$52,5,FALSE)="Prior Year"),AH319,IF(AND($A$2=4,VLOOKUP($A319,'District Level ADM'!$A$5:$W$52,5,FALSE)="3-Year Avg."),T319,IF($A$2=2,AH319,IF($A$2=3,T319,IF(($AG319&gt;$AU319),T319,AH319)))))</f>
        <v>44.547666666666665</v>
      </c>
      <c r="G319" s="317">
        <f>IF(AND($A$2=4,VLOOKUP($A319,'District Level ADM'!$A$5:$W$52,5,FALSE)="Prior Year"),AI319,IF(AND($A$2=4,VLOOKUP($A319,'District Level ADM'!$A$5:$W$52,5,FALSE)="3-Year Avg."),U319,IF($A$2=2,AI319,IF($A$2=3,U319,IF(($AG319&gt;$AU319),U319,AI319)))))</f>
        <v>48.299666666666667</v>
      </c>
      <c r="H319" s="317">
        <f>IF(AND($A$2=4,VLOOKUP($A319,'District Level ADM'!$A$5:$W$52,5,FALSE)="Prior Year"),AJ319,IF(AND($A$2=4,VLOOKUP($A319,'District Level ADM'!$A$5:$W$52,5,FALSE)="3-Year Avg."),V319,IF($A$2=2,AJ319,IF($A$2=3,V319,IF(($AG319&gt;$AU319),V319,AJ319)))))</f>
        <v>45.779666666666664</v>
      </c>
      <c r="I319" s="317">
        <f>IF(AND($A$2=4,VLOOKUP($A319,'District Level ADM'!$A$5:$W$52,5,FALSE)="Prior Year"),AK319,IF(AND($A$2=4,VLOOKUP($A319,'District Level ADM'!$A$5:$W$52,5,FALSE)="3-Year Avg."),W319,IF($A$2=2,AK319,IF($A$2=3,W319,IF(($AG319&gt;$AU319),W319,AK319)))))</f>
        <v>53.375666666666667</v>
      </c>
      <c r="J319" s="317">
        <f>IF(AND($A$2=4,VLOOKUP($A319,'District Level ADM'!$A$5:$W$52,5,FALSE)="Prior Year"),AL319,IF(AND($A$2=4,VLOOKUP($A319,'District Level ADM'!$A$5:$W$52,5,FALSE)="3-Year Avg."),X319,IF($A$2=2,AL319,IF($A$2=3,X319,IF(($AG319&gt;$AU319),X319,AL319)))))</f>
        <v>45.212333333333333</v>
      </c>
      <c r="K319" s="317">
        <f>IF(AND($A$2=4,VLOOKUP($A319,'District Level ADM'!$A$5:$W$52,5,FALSE)="Prior Year"),AM319,IF(AND($A$2=4,VLOOKUP($A319,'District Level ADM'!$A$5:$W$52,5,FALSE)="3-Year Avg."),Y319,IF($A$2=2,AM319,IF($A$2=3,Y319,IF(($AG319&gt;$AU319),Y319,AM319)))))</f>
        <v>0</v>
      </c>
      <c r="L319" s="317">
        <f>IF(AND($A$2=4,VLOOKUP($A319,'District Level ADM'!$A$5:$W$52,5,FALSE)="Prior Year"),AN319,IF(AND($A$2=4,VLOOKUP($A319,'District Level ADM'!$A$5:$W$52,5,FALSE)="3-Year Avg."),Z319,IF($A$2=2,AN319,IF($A$2=3,Z319,IF(($AG319&gt;$AU319),Z319,AN319)))))</f>
        <v>0</v>
      </c>
      <c r="M319" s="317">
        <f>IF(AND($A$2=4,VLOOKUP($A319,'District Level ADM'!$A$5:$W$52,5,FALSE)="Prior Year"),AO319,IF(AND($A$2=4,VLOOKUP($A319,'District Level ADM'!$A$5:$W$52,5,FALSE)="3-Year Avg."),AA319,IF($A$2=2,AO319,IF($A$2=3,AA319,IF(($AG319&gt;$AU319),AA319,AO319)))))</f>
        <v>0</v>
      </c>
      <c r="N319" s="317">
        <f>IF(AND($A$2=4,VLOOKUP($A319,'District Level ADM'!$A$5:$W$52,5,FALSE)="Prior Year"),AP319,IF(AND($A$2=4,VLOOKUP($A319,'District Level ADM'!$A$5:$W$52,5,FALSE)="3-Year Avg."),AB319,IF($A$2=2,AP319,IF($A$2=3,AB319,IF(($AG319&gt;$AU319),AB319,AP319)))))</f>
        <v>0</v>
      </c>
      <c r="O319" s="317">
        <f>IF(AND($A$2=4,VLOOKUP($A319,'District Level ADM'!$A$5:$W$52,5,FALSE)="Prior Year"),AQ319,IF(AND($A$2=4,VLOOKUP($A319,'District Level ADM'!$A$5:$W$52,5,FALSE)="3-Year Avg."),AC319,IF($A$2=2,AQ319,IF($A$2=3,AC319,IF(($AG319&gt;$AU319),AC319,AQ319)))))</f>
        <v>0</v>
      </c>
      <c r="P319" s="317">
        <f>IF(AND($A$2=4,VLOOKUP($A319,'District Level ADM'!$A$5:$W$52,5,FALSE)="Prior Year"),AR319,IF(AND($A$2=4,VLOOKUP($A319,'District Level ADM'!$A$5:$W$52,5,FALSE)="3-Year Avg."),AD319,IF($A$2=2,AR319,IF($A$2=3,AD319,IF(($AG319&gt;$AU319),AD319,AR319)))))</f>
        <v>0</v>
      </c>
      <c r="Q319" s="317">
        <f>IF(AND($A$2=4,VLOOKUP($A319,'District Level ADM'!$A$5:$W$52,5,FALSE)="Prior Year"),AS319,IF(AND($A$2=4,VLOOKUP($A319,'District Level ADM'!$A$5:$W$52,5,FALSE)="3-Year Avg."),AE319,IF($A$2=2,AS319,IF($A$2=3,AE319,IF(($AG319&gt;$AU319),AE319,AS319)))))</f>
        <v>0</v>
      </c>
      <c r="R319" s="317">
        <f>IF(AND($A$2=4,VLOOKUP($A319,'District Level ADM'!$A$5:$W$52,5,FALSE)="Prior Year"),AT319,IF(AND($A$2=4,VLOOKUP($A319,'District Level ADM'!$A$5:$W$52,5,FALSE)="3-Year Avg."),AF319,IF($A$2=2,AT319,IF($A$2=3,AF319,IF(($AG319&gt;$AU319),AF319,AT319)))))</f>
        <v>0</v>
      </c>
      <c r="S319" s="317">
        <f t="shared" si="44"/>
        <v>237.21499999999997</v>
      </c>
      <c r="T319" s="317">
        <f t="shared" si="50"/>
        <v>44.547666666666665</v>
      </c>
      <c r="U319" s="317">
        <f t="shared" si="50"/>
        <v>48.299666666666667</v>
      </c>
      <c r="V319" s="317">
        <f t="shared" si="50"/>
        <v>45.779666666666664</v>
      </c>
      <c r="W319" s="317">
        <f t="shared" si="50"/>
        <v>53.375666666666667</v>
      </c>
      <c r="X319" s="317">
        <f t="shared" si="50"/>
        <v>45.212333333333333</v>
      </c>
      <c r="Y319" s="317">
        <f t="shared" si="50"/>
        <v>0</v>
      </c>
      <c r="Z319" s="317">
        <f t="shared" si="50"/>
        <v>0</v>
      </c>
      <c r="AA319" s="317">
        <f t="shared" si="50"/>
        <v>0</v>
      </c>
      <c r="AB319" s="317">
        <f t="shared" si="50"/>
        <v>0</v>
      </c>
      <c r="AC319" s="317">
        <f t="shared" si="50"/>
        <v>0</v>
      </c>
      <c r="AD319" s="317">
        <f t="shared" si="51"/>
        <v>0</v>
      </c>
      <c r="AE319" s="317">
        <f t="shared" si="51"/>
        <v>0</v>
      </c>
      <c r="AF319" s="317">
        <f t="shared" si="51"/>
        <v>0</v>
      </c>
      <c r="AG319" s="317">
        <f t="shared" si="45"/>
        <v>237.21499999999997</v>
      </c>
      <c r="AH319" s="318">
        <v>46.295000000000002</v>
      </c>
      <c r="AI319" s="318">
        <v>37.43</v>
      </c>
      <c r="AJ319" s="318">
        <v>37.43</v>
      </c>
      <c r="AK319" s="318">
        <v>53.19</v>
      </c>
      <c r="AL319" s="318">
        <v>43.34</v>
      </c>
      <c r="AM319" s="318">
        <v>0</v>
      </c>
      <c r="AN319" s="318">
        <v>0</v>
      </c>
      <c r="AO319" s="318">
        <v>0</v>
      </c>
      <c r="AP319" s="318">
        <v>0</v>
      </c>
      <c r="AQ319" s="318">
        <v>0</v>
      </c>
      <c r="AR319" s="318">
        <v>0</v>
      </c>
      <c r="AS319" s="318">
        <v>0</v>
      </c>
      <c r="AT319" s="318">
        <v>0</v>
      </c>
      <c r="AU319" s="317">
        <f t="shared" si="43"/>
        <v>217.685</v>
      </c>
      <c r="AV319" s="319">
        <v>42.473999999999997</v>
      </c>
      <c r="AW319" s="319">
        <v>45.84</v>
      </c>
      <c r="AX319" s="319">
        <v>55.069000000000003</v>
      </c>
      <c r="AY319" s="319">
        <v>47.256999999999998</v>
      </c>
      <c r="AZ319" s="319">
        <v>54.131</v>
      </c>
      <c r="BA319" s="319">
        <v>0</v>
      </c>
      <c r="BB319" s="319">
        <v>0</v>
      </c>
      <c r="BC319" s="319">
        <v>0</v>
      </c>
      <c r="BD319" s="319">
        <v>0</v>
      </c>
      <c r="BE319" s="319">
        <v>0</v>
      </c>
      <c r="BF319" s="319">
        <v>0</v>
      </c>
      <c r="BG319" s="319">
        <v>0</v>
      </c>
      <c r="BH319" s="319">
        <v>0</v>
      </c>
      <c r="BI319" s="317">
        <f t="shared" si="48"/>
        <v>244.77099999999999</v>
      </c>
      <c r="BJ319" s="316">
        <v>44.874000000000002</v>
      </c>
      <c r="BK319" s="316">
        <v>61.628999999999998</v>
      </c>
      <c r="BL319" s="316">
        <v>44.84</v>
      </c>
      <c r="BM319" s="316">
        <v>59.68</v>
      </c>
      <c r="BN319" s="316">
        <v>38.165999999999997</v>
      </c>
      <c r="BO319" s="316">
        <v>0</v>
      </c>
      <c r="BP319" s="316">
        <v>0</v>
      </c>
      <c r="BQ319" s="316">
        <v>0</v>
      </c>
      <c r="BR319" s="316">
        <v>0</v>
      </c>
      <c r="BS319" s="316">
        <v>0</v>
      </c>
      <c r="BT319" s="316">
        <v>0</v>
      </c>
      <c r="BU319" s="316">
        <v>0</v>
      </c>
      <c r="BV319" s="316">
        <v>0</v>
      </c>
      <c r="BW319" s="317">
        <f t="shared" si="46"/>
        <v>249.18900000000002</v>
      </c>
    </row>
    <row r="320" spans="1:734" x14ac:dyDescent="0.2">
      <c r="A320" s="20" t="str">
        <f>'School Level Inst. Resources'!A320</f>
        <v>1902000</v>
      </c>
      <c r="B320" s="20" t="str">
        <f>'School Level Inst. Resources'!B320</f>
        <v>Sweetwater #2</v>
      </c>
      <c r="C320" s="20" t="str">
        <f>'School Level Inst. Resources'!C320</f>
        <v>1902011</v>
      </c>
      <c r="D320" s="20" t="str">
        <f>'School Level Inst. Resources'!D320</f>
        <v>Truman Elementary</v>
      </c>
      <c r="E320" s="138" t="str">
        <f>'School Level Inst. Resources'!E320</f>
        <v>K-4</v>
      </c>
      <c r="F320" s="317">
        <f>IF(AND($A$2=4,VLOOKUP($A320,'District Level ADM'!$A$5:$W$52,5,FALSE)="Prior Year"),AH320,IF(AND($A$2=4,VLOOKUP($A320,'District Level ADM'!$A$5:$W$52,5,FALSE)="3-Year Avg."),T320,IF($A$2=2,AH320,IF($A$2=3,T320,IF(($AG320&gt;$AU320),T320,AH320)))))</f>
        <v>71.64533333333334</v>
      </c>
      <c r="G320" s="317">
        <f>IF(AND($A$2=4,VLOOKUP($A320,'District Level ADM'!$A$5:$W$52,5,FALSE)="Prior Year"),AI320,IF(AND($A$2=4,VLOOKUP($A320,'District Level ADM'!$A$5:$W$52,5,FALSE)="3-Year Avg."),U320,IF($A$2=2,AI320,IF($A$2=3,U320,IF(($AG320&gt;$AU320),U320,AI320)))))</f>
        <v>51.522999999999996</v>
      </c>
      <c r="H320" s="317">
        <f>IF(AND($A$2=4,VLOOKUP($A320,'District Level ADM'!$A$5:$W$52,5,FALSE)="Prior Year"),AJ320,IF(AND($A$2=4,VLOOKUP($A320,'District Level ADM'!$A$5:$W$52,5,FALSE)="3-Year Avg."),V320,IF($A$2=2,AJ320,IF($A$2=3,V320,IF(($AG320&gt;$AU320),V320,AJ320)))))</f>
        <v>60.681333333333328</v>
      </c>
      <c r="I320" s="317">
        <f>IF(AND($A$2=4,VLOOKUP($A320,'District Level ADM'!$A$5:$W$52,5,FALSE)="Prior Year"),AK320,IF(AND($A$2=4,VLOOKUP($A320,'District Level ADM'!$A$5:$W$52,5,FALSE)="3-Year Avg."),W320,IF($A$2=2,AK320,IF($A$2=3,W320,IF(($AG320&gt;$AU320),W320,AK320)))))</f>
        <v>61.940666666666665</v>
      </c>
      <c r="J320" s="317">
        <f>IF(AND($A$2=4,VLOOKUP($A320,'District Level ADM'!$A$5:$W$52,5,FALSE)="Prior Year"),AL320,IF(AND($A$2=4,VLOOKUP($A320,'District Level ADM'!$A$5:$W$52,5,FALSE)="3-Year Avg."),X320,IF($A$2=2,AL320,IF($A$2=3,X320,IF(($AG320&gt;$AU320),X320,AL320)))))</f>
        <v>56.604666666666667</v>
      </c>
      <c r="K320" s="317">
        <f>IF(AND($A$2=4,VLOOKUP($A320,'District Level ADM'!$A$5:$W$52,5,FALSE)="Prior Year"),AM320,IF(AND($A$2=4,VLOOKUP($A320,'District Level ADM'!$A$5:$W$52,5,FALSE)="3-Year Avg."),Y320,IF($A$2=2,AM320,IF($A$2=3,Y320,IF(($AG320&gt;$AU320),Y320,AM320)))))</f>
        <v>0</v>
      </c>
      <c r="L320" s="317">
        <f>IF(AND($A$2=4,VLOOKUP($A320,'District Level ADM'!$A$5:$W$52,5,FALSE)="Prior Year"),AN320,IF(AND($A$2=4,VLOOKUP($A320,'District Level ADM'!$A$5:$W$52,5,FALSE)="3-Year Avg."),Z320,IF($A$2=2,AN320,IF($A$2=3,Z320,IF(($AG320&gt;$AU320),Z320,AN320)))))</f>
        <v>0</v>
      </c>
      <c r="M320" s="317">
        <f>IF(AND($A$2=4,VLOOKUP($A320,'District Level ADM'!$A$5:$W$52,5,FALSE)="Prior Year"),AO320,IF(AND($A$2=4,VLOOKUP($A320,'District Level ADM'!$A$5:$W$52,5,FALSE)="3-Year Avg."),AA320,IF($A$2=2,AO320,IF($A$2=3,AA320,IF(($AG320&gt;$AU320),AA320,AO320)))))</f>
        <v>0</v>
      </c>
      <c r="N320" s="317">
        <f>IF(AND($A$2=4,VLOOKUP($A320,'District Level ADM'!$A$5:$W$52,5,FALSE)="Prior Year"),AP320,IF(AND($A$2=4,VLOOKUP($A320,'District Level ADM'!$A$5:$W$52,5,FALSE)="3-Year Avg."),AB320,IF($A$2=2,AP320,IF($A$2=3,AB320,IF(($AG320&gt;$AU320),AB320,AP320)))))</f>
        <v>0</v>
      </c>
      <c r="O320" s="317">
        <f>IF(AND($A$2=4,VLOOKUP($A320,'District Level ADM'!$A$5:$W$52,5,FALSE)="Prior Year"),AQ320,IF(AND($A$2=4,VLOOKUP($A320,'District Level ADM'!$A$5:$W$52,5,FALSE)="3-Year Avg."),AC320,IF($A$2=2,AQ320,IF($A$2=3,AC320,IF(($AG320&gt;$AU320),AC320,AQ320)))))</f>
        <v>0</v>
      </c>
      <c r="P320" s="317">
        <f>IF(AND($A$2=4,VLOOKUP($A320,'District Level ADM'!$A$5:$W$52,5,FALSE)="Prior Year"),AR320,IF(AND($A$2=4,VLOOKUP($A320,'District Level ADM'!$A$5:$W$52,5,FALSE)="3-Year Avg."),AD320,IF($A$2=2,AR320,IF($A$2=3,AD320,IF(($AG320&gt;$AU320),AD320,AR320)))))</f>
        <v>0</v>
      </c>
      <c r="Q320" s="317">
        <f>IF(AND($A$2=4,VLOOKUP($A320,'District Level ADM'!$A$5:$W$52,5,FALSE)="Prior Year"),AS320,IF(AND($A$2=4,VLOOKUP($A320,'District Level ADM'!$A$5:$W$52,5,FALSE)="3-Year Avg."),AE320,IF($A$2=2,AS320,IF($A$2=3,AE320,IF(($AG320&gt;$AU320),AE320,AS320)))))</f>
        <v>0</v>
      </c>
      <c r="R320" s="317">
        <f>IF(AND($A$2=4,VLOOKUP($A320,'District Level ADM'!$A$5:$W$52,5,FALSE)="Prior Year"),AT320,IF(AND($A$2=4,VLOOKUP($A320,'District Level ADM'!$A$5:$W$52,5,FALSE)="3-Year Avg."),AF320,IF($A$2=2,AT320,IF($A$2=3,AF320,IF(($AG320&gt;$AU320),AF320,AT320)))))</f>
        <v>0</v>
      </c>
      <c r="S320" s="317">
        <f t="shared" si="44"/>
        <v>302.39499999999998</v>
      </c>
      <c r="T320" s="317">
        <f t="shared" si="50"/>
        <v>71.64533333333334</v>
      </c>
      <c r="U320" s="317">
        <f t="shared" si="50"/>
        <v>51.522999999999996</v>
      </c>
      <c r="V320" s="317">
        <f t="shared" si="50"/>
        <v>60.681333333333328</v>
      </c>
      <c r="W320" s="317">
        <f t="shared" si="50"/>
        <v>61.940666666666665</v>
      </c>
      <c r="X320" s="317">
        <f t="shared" si="50"/>
        <v>56.604666666666667</v>
      </c>
      <c r="Y320" s="317">
        <f t="shared" si="50"/>
        <v>0</v>
      </c>
      <c r="Z320" s="317">
        <f t="shared" si="50"/>
        <v>0</v>
      </c>
      <c r="AA320" s="317">
        <f t="shared" si="50"/>
        <v>0</v>
      </c>
      <c r="AB320" s="317">
        <f t="shared" si="50"/>
        <v>0</v>
      </c>
      <c r="AC320" s="317">
        <f t="shared" si="50"/>
        <v>0</v>
      </c>
      <c r="AD320" s="317">
        <f t="shared" si="51"/>
        <v>0</v>
      </c>
      <c r="AE320" s="317">
        <f t="shared" si="51"/>
        <v>0</v>
      </c>
      <c r="AF320" s="317">
        <f t="shared" si="51"/>
        <v>0</v>
      </c>
      <c r="AG320" s="317">
        <f t="shared" si="45"/>
        <v>302.39499999999998</v>
      </c>
      <c r="AH320" s="318">
        <v>72.89</v>
      </c>
      <c r="AI320" s="318">
        <v>51.22</v>
      </c>
      <c r="AJ320" s="318">
        <v>54.174999999999997</v>
      </c>
      <c r="AK320" s="318">
        <v>60.085000000000001</v>
      </c>
      <c r="AL320" s="318">
        <v>66.98</v>
      </c>
      <c r="AM320" s="318">
        <v>0</v>
      </c>
      <c r="AN320" s="318">
        <v>0</v>
      </c>
      <c r="AO320" s="318">
        <v>0</v>
      </c>
      <c r="AP320" s="318">
        <v>0</v>
      </c>
      <c r="AQ320" s="318">
        <v>0</v>
      </c>
      <c r="AR320" s="318">
        <v>0</v>
      </c>
      <c r="AS320" s="318">
        <v>0</v>
      </c>
      <c r="AT320" s="318">
        <v>0</v>
      </c>
      <c r="AU320" s="317">
        <f t="shared" si="43"/>
        <v>305.35000000000002</v>
      </c>
      <c r="AV320" s="319">
        <v>77.629000000000005</v>
      </c>
      <c r="AW320" s="319">
        <v>51.725999999999999</v>
      </c>
      <c r="AX320" s="319">
        <v>58.04</v>
      </c>
      <c r="AY320" s="319">
        <v>72.114000000000004</v>
      </c>
      <c r="AZ320" s="319">
        <v>52.576999999999998</v>
      </c>
      <c r="BA320" s="319">
        <v>0</v>
      </c>
      <c r="BB320" s="319">
        <v>0</v>
      </c>
      <c r="BC320" s="319">
        <v>0</v>
      </c>
      <c r="BD320" s="319">
        <v>0</v>
      </c>
      <c r="BE320" s="319">
        <v>0</v>
      </c>
      <c r="BF320" s="319">
        <v>0</v>
      </c>
      <c r="BG320" s="319">
        <v>0</v>
      </c>
      <c r="BH320" s="319">
        <v>0</v>
      </c>
      <c r="BI320" s="317">
        <f t="shared" si="48"/>
        <v>312.08600000000001</v>
      </c>
      <c r="BJ320" s="316">
        <v>64.417000000000002</v>
      </c>
      <c r="BK320" s="316">
        <v>51.622999999999998</v>
      </c>
      <c r="BL320" s="316">
        <v>69.828999999999994</v>
      </c>
      <c r="BM320" s="316">
        <v>53.622999999999998</v>
      </c>
      <c r="BN320" s="316">
        <v>50.256999999999998</v>
      </c>
      <c r="BO320" s="316">
        <v>0</v>
      </c>
      <c r="BP320" s="316">
        <v>0</v>
      </c>
      <c r="BQ320" s="316">
        <v>0</v>
      </c>
      <c r="BR320" s="316">
        <v>0</v>
      </c>
      <c r="BS320" s="316">
        <v>0</v>
      </c>
      <c r="BT320" s="316">
        <v>0</v>
      </c>
      <c r="BU320" s="316">
        <v>0</v>
      </c>
      <c r="BV320" s="316">
        <v>0</v>
      </c>
      <c r="BW320" s="317">
        <f t="shared" si="46"/>
        <v>289.74899999999997</v>
      </c>
    </row>
    <row r="321" spans="1:75" x14ac:dyDescent="0.2">
      <c r="A321" s="20" t="str">
        <f>'School Level Inst. Resources'!A321</f>
        <v>1902000</v>
      </c>
      <c r="B321" s="20" t="str">
        <f>'School Level Inst. Resources'!B321</f>
        <v>Sweetwater #2</v>
      </c>
      <c r="C321" s="20" t="str">
        <f>'School Level Inst. Resources'!C321</f>
        <v>1902012</v>
      </c>
      <c r="D321" s="20" t="str">
        <f>'School Level Inst. Resources'!D321</f>
        <v>Monroe Intermediate School</v>
      </c>
      <c r="E321" s="138" t="str">
        <f>'School Level Inst. Resources'!E321</f>
        <v>5-6</v>
      </c>
      <c r="F321" s="317">
        <f>IF(AND($A$2=4,VLOOKUP($A321,'District Level ADM'!$A$5:$W$52,5,FALSE)="Prior Year"),AH321,IF(AND($A$2=4,VLOOKUP($A321,'District Level ADM'!$A$5:$W$52,5,FALSE)="3-Year Avg."),T321,IF($A$2=2,AH321,IF($A$2=3,T321,IF(($AG321&gt;$AU321),T321,AH321)))))</f>
        <v>0</v>
      </c>
      <c r="G321" s="317">
        <f>IF(AND($A$2=4,VLOOKUP($A321,'District Level ADM'!$A$5:$W$52,5,FALSE)="Prior Year"),AI321,IF(AND($A$2=4,VLOOKUP($A321,'District Level ADM'!$A$5:$W$52,5,FALSE)="3-Year Avg."),U321,IF($A$2=2,AI321,IF($A$2=3,U321,IF(($AG321&gt;$AU321),U321,AI321)))))</f>
        <v>0</v>
      </c>
      <c r="H321" s="317">
        <f>IF(AND($A$2=4,VLOOKUP($A321,'District Level ADM'!$A$5:$W$52,5,FALSE)="Prior Year"),AJ321,IF(AND($A$2=4,VLOOKUP($A321,'District Level ADM'!$A$5:$W$52,5,FALSE)="3-Year Avg."),V321,IF($A$2=2,AJ321,IF($A$2=3,V321,IF(($AG321&gt;$AU321),V321,AJ321)))))</f>
        <v>0</v>
      </c>
      <c r="I321" s="317">
        <f>IF(AND($A$2=4,VLOOKUP($A321,'District Level ADM'!$A$5:$W$52,5,FALSE)="Prior Year"),AK321,IF(AND($A$2=4,VLOOKUP($A321,'District Level ADM'!$A$5:$W$52,5,FALSE)="3-Year Avg."),W321,IF($A$2=2,AK321,IF($A$2=3,W321,IF(($AG321&gt;$AU321),W321,AK321)))))</f>
        <v>0</v>
      </c>
      <c r="J321" s="317">
        <f>IF(AND($A$2=4,VLOOKUP($A321,'District Level ADM'!$A$5:$W$52,5,FALSE)="Prior Year"),AL321,IF(AND($A$2=4,VLOOKUP($A321,'District Level ADM'!$A$5:$W$52,5,FALSE)="3-Year Avg."),X321,IF($A$2=2,AL321,IF($A$2=3,X321,IF(($AG321&gt;$AU321),X321,AL321)))))</f>
        <v>0</v>
      </c>
      <c r="K321" s="317">
        <f>IF(AND($A$2=4,VLOOKUP($A321,'District Level ADM'!$A$5:$W$52,5,FALSE)="Prior Year"),AM321,IF(AND($A$2=4,VLOOKUP($A321,'District Level ADM'!$A$5:$W$52,5,FALSE)="3-Year Avg."),Y321,IF($A$2=2,AM321,IF($A$2=3,Y321,IF(($AG321&gt;$AU321),Y321,AM321)))))</f>
        <v>201.24</v>
      </c>
      <c r="L321" s="317">
        <f>IF(AND($A$2=4,VLOOKUP($A321,'District Level ADM'!$A$5:$W$52,5,FALSE)="Prior Year"),AN321,IF(AND($A$2=4,VLOOKUP($A321,'District Level ADM'!$A$5:$W$52,5,FALSE)="3-Year Avg."),Z321,IF($A$2=2,AN321,IF($A$2=3,Z321,IF(($AG321&gt;$AU321),Z321,AN321)))))</f>
        <v>187.41499999999999</v>
      </c>
      <c r="M321" s="317">
        <f>IF(AND($A$2=4,VLOOKUP($A321,'District Level ADM'!$A$5:$W$52,5,FALSE)="Prior Year"),AO321,IF(AND($A$2=4,VLOOKUP($A321,'District Level ADM'!$A$5:$W$52,5,FALSE)="3-Year Avg."),AA321,IF($A$2=2,AO321,IF($A$2=3,AA321,IF(($AG321&gt;$AU321),AA321,AO321)))))</f>
        <v>0</v>
      </c>
      <c r="N321" s="317">
        <f>IF(AND($A$2=4,VLOOKUP($A321,'District Level ADM'!$A$5:$W$52,5,FALSE)="Prior Year"),AP321,IF(AND($A$2=4,VLOOKUP($A321,'District Level ADM'!$A$5:$W$52,5,FALSE)="3-Year Avg."),AB321,IF($A$2=2,AP321,IF($A$2=3,AB321,IF(($AG321&gt;$AU321),AB321,AP321)))))</f>
        <v>0</v>
      </c>
      <c r="O321" s="317">
        <f>IF(AND($A$2=4,VLOOKUP($A321,'District Level ADM'!$A$5:$W$52,5,FALSE)="Prior Year"),AQ321,IF(AND($A$2=4,VLOOKUP($A321,'District Level ADM'!$A$5:$W$52,5,FALSE)="3-Year Avg."),AC321,IF($A$2=2,AQ321,IF($A$2=3,AC321,IF(($AG321&gt;$AU321),AC321,AQ321)))))</f>
        <v>0</v>
      </c>
      <c r="P321" s="317">
        <f>IF(AND($A$2=4,VLOOKUP($A321,'District Level ADM'!$A$5:$W$52,5,FALSE)="Prior Year"),AR321,IF(AND($A$2=4,VLOOKUP($A321,'District Level ADM'!$A$5:$W$52,5,FALSE)="3-Year Avg."),AD321,IF($A$2=2,AR321,IF($A$2=3,AD321,IF(($AG321&gt;$AU321),AD321,AR321)))))</f>
        <v>0</v>
      </c>
      <c r="Q321" s="317">
        <f>IF(AND($A$2=4,VLOOKUP($A321,'District Level ADM'!$A$5:$W$52,5,FALSE)="Prior Year"),AS321,IF(AND($A$2=4,VLOOKUP($A321,'District Level ADM'!$A$5:$W$52,5,FALSE)="3-Year Avg."),AE321,IF($A$2=2,AS321,IF($A$2=3,AE321,IF(($AG321&gt;$AU321),AE321,AS321)))))</f>
        <v>0</v>
      </c>
      <c r="R321" s="317">
        <f>IF(AND($A$2=4,VLOOKUP($A321,'District Level ADM'!$A$5:$W$52,5,FALSE)="Prior Year"),AT321,IF(AND($A$2=4,VLOOKUP($A321,'District Level ADM'!$A$5:$W$52,5,FALSE)="3-Year Avg."),AF321,IF($A$2=2,AT321,IF($A$2=3,AF321,IF(($AG321&gt;$AU321),AF321,AT321)))))</f>
        <v>0</v>
      </c>
      <c r="S321" s="317">
        <f t="shared" si="44"/>
        <v>388.65499999999997</v>
      </c>
      <c r="T321" s="317">
        <f t="shared" si="50"/>
        <v>0</v>
      </c>
      <c r="U321" s="317">
        <f t="shared" si="50"/>
        <v>0</v>
      </c>
      <c r="V321" s="317">
        <f t="shared" si="50"/>
        <v>0</v>
      </c>
      <c r="W321" s="317">
        <f t="shared" si="50"/>
        <v>0</v>
      </c>
      <c r="X321" s="317">
        <f t="shared" si="50"/>
        <v>0</v>
      </c>
      <c r="Y321" s="317">
        <f t="shared" si="50"/>
        <v>201.24</v>
      </c>
      <c r="Z321" s="317">
        <f t="shared" si="50"/>
        <v>187.41499999999999</v>
      </c>
      <c r="AA321" s="317">
        <f t="shared" si="50"/>
        <v>0</v>
      </c>
      <c r="AB321" s="317">
        <f t="shared" si="50"/>
        <v>0</v>
      </c>
      <c r="AC321" s="317">
        <f t="shared" si="50"/>
        <v>0</v>
      </c>
      <c r="AD321" s="317">
        <f t="shared" si="51"/>
        <v>0</v>
      </c>
      <c r="AE321" s="317">
        <f t="shared" si="51"/>
        <v>0</v>
      </c>
      <c r="AF321" s="317">
        <f t="shared" si="51"/>
        <v>0</v>
      </c>
      <c r="AG321" s="317">
        <f t="shared" si="45"/>
        <v>388.65499999999997</v>
      </c>
      <c r="AH321" s="318">
        <v>0</v>
      </c>
      <c r="AI321" s="318">
        <v>0</v>
      </c>
      <c r="AJ321" s="318">
        <v>0</v>
      </c>
      <c r="AK321" s="318">
        <v>0</v>
      </c>
      <c r="AL321" s="318">
        <v>0</v>
      </c>
      <c r="AM321" s="318">
        <v>204.88</v>
      </c>
      <c r="AN321" s="318">
        <v>173.36</v>
      </c>
      <c r="AO321" s="318">
        <v>0</v>
      </c>
      <c r="AP321" s="318">
        <v>0</v>
      </c>
      <c r="AQ321" s="318">
        <v>0</v>
      </c>
      <c r="AR321" s="318">
        <v>0</v>
      </c>
      <c r="AS321" s="318">
        <v>0</v>
      </c>
      <c r="AT321" s="318">
        <v>0</v>
      </c>
      <c r="AU321" s="317">
        <f t="shared" si="43"/>
        <v>378.24</v>
      </c>
      <c r="AV321" s="319">
        <v>0</v>
      </c>
      <c r="AW321" s="319">
        <v>0</v>
      </c>
      <c r="AX321" s="319">
        <v>0</v>
      </c>
      <c r="AY321" s="319">
        <v>0</v>
      </c>
      <c r="AZ321" s="319">
        <v>0</v>
      </c>
      <c r="BA321" s="319">
        <v>187.20599999999999</v>
      </c>
      <c r="BB321" s="319">
        <v>212.59399999999999</v>
      </c>
      <c r="BC321" s="319">
        <v>0</v>
      </c>
      <c r="BD321" s="319">
        <v>0</v>
      </c>
      <c r="BE321" s="319">
        <v>0</v>
      </c>
      <c r="BF321" s="319">
        <v>0</v>
      </c>
      <c r="BG321" s="319">
        <v>0</v>
      </c>
      <c r="BH321" s="319">
        <v>0</v>
      </c>
      <c r="BI321" s="317">
        <f t="shared" si="48"/>
        <v>399.79999999999995</v>
      </c>
      <c r="BJ321" s="316">
        <v>0</v>
      </c>
      <c r="BK321" s="316">
        <v>0</v>
      </c>
      <c r="BL321" s="316">
        <v>0</v>
      </c>
      <c r="BM321" s="316">
        <v>0</v>
      </c>
      <c r="BN321" s="316">
        <v>0</v>
      </c>
      <c r="BO321" s="316">
        <v>211.63399999999999</v>
      </c>
      <c r="BP321" s="316">
        <v>176.291</v>
      </c>
      <c r="BQ321" s="316">
        <v>0</v>
      </c>
      <c r="BR321" s="316">
        <v>0</v>
      </c>
      <c r="BS321" s="316">
        <v>0</v>
      </c>
      <c r="BT321" s="316">
        <v>0</v>
      </c>
      <c r="BU321" s="316">
        <v>0</v>
      </c>
      <c r="BV321" s="316">
        <v>0</v>
      </c>
      <c r="BW321" s="317">
        <f t="shared" si="46"/>
        <v>387.92499999999995</v>
      </c>
    </row>
    <row r="322" spans="1:75" x14ac:dyDescent="0.2">
      <c r="A322" s="20" t="str">
        <f>'School Level Inst. Resources'!A322</f>
        <v>1902000</v>
      </c>
      <c r="B322" s="20" t="str">
        <f>'School Level Inst. Resources'!B322</f>
        <v>Sweetwater #2</v>
      </c>
      <c r="C322" s="20" t="str">
        <f>'School Level Inst. Resources'!C322</f>
        <v>1902050</v>
      </c>
      <c r="D322" s="20" t="str">
        <f>'School Level Inst. Resources'!D322</f>
        <v>Lincoln Middle School</v>
      </c>
      <c r="E322" s="138" t="str">
        <f>'School Level Inst. Resources'!E322</f>
        <v>7-8</v>
      </c>
      <c r="F322" s="317">
        <f>IF(AND($A$2=4,VLOOKUP($A322,'District Level ADM'!$A$5:$W$52,5,FALSE)="Prior Year"),AH322,IF(AND($A$2=4,VLOOKUP($A322,'District Level ADM'!$A$5:$W$52,5,FALSE)="3-Year Avg."),T322,IF($A$2=2,AH322,IF($A$2=3,T322,IF(($AG322&gt;$AU322),T322,AH322)))))</f>
        <v>0</v>
      </c>
      <c r="G322" s="317">
        <f>IF(AND($A$2=4,VLOOKUP($A322,'District Level ADM'!$A$5:$W$52,5,FALSE)="Prior Year"),AI322,IF(AND($A$2=4,VLOOKUP($A322,'District Level ADM'!$A$5:$W$52,5,FALSE)="3-Year Avg."),U322,IF($A$2=2,AI322,IF($A$2=3,U322,IF(($AG322&gt;$AU322),U322,AI322)))))</f>
        <v>0</v>
      </c>
      <c r="H322" s="317">
        <f>IF(AND($A$2=4,VLOOKUP($A322,'District Level ADM'!$A$5:$W$52,5,FALSE)="Prior Year"),AJ322,IF(AND($A$2=4,VLOOKUP($A322,'District Level ADM'!$A$5:$W$52,5,FALSE)="3-Year Avg."),V322,IF($A$2=2,AJ322,IF($A$2=3,V322,IF(($AG322&gt;$AU322),V322,AJ322)))))</f>
        <v>0</v>
      </c>
      <c r="I322" s="317">
        <f>IF(AND($A$2=4,VLOOKUP($A322,'District Level ADM'!$A$5:$W$52,5,FALSE)="Prior Year"),AK322,IF(AND($A$2=4,VLOOKUP($A322,'District Level ADM'!$A$5:$W$52,5,FALSE)="3-Year Avg."),W322,IF($A$2=2,AK322,IF($A$2=3,W322,IF(($AG322&gt;$AU322),W322,AK322)))))</f>
        <v>0</v>
      </c>
      <c r="J322" s="317">
        <f>IF(AND($A$2=4,VLOOKUP($A322,'District Level ADM'!$A$5:$W$52,5,FALSE)="Prior Year"),AL322,IF(AND($A$2=4,VLOOKUP($A322,'District Level ADM'!$A$5:$W$52,5,FALSE)="3-Year Avg."),X322,IF($A$2=2,AL322,IF($A$2=3,X322,IF(($AG322&gt;$AU322),X322,AL322)))))</f>
        <v>0</v>
      </c>
      <c r="K322" s="317">
        <f>IF(AND($A$2=4,VLOOKUP($A322,'District Level ADM'!$A$5:$W$52,5,FALSE)="Prior Year"),AM322,IF(AND($A$2=4,VLOOKUP($A322,'District Level ADM'!$A$5:$W$52,5,FALSE)="3-Year Avg."),Y322,IF($A$2=2,AM322,IF($A$2=3,Y322,IF(($AG322&gt;$AU322),Y322,AM322)))))</f>
        <v>0</v>
      </c>
      <c r="L322" s="317">
        <f>IF(AND($A$2=4,VLOOKUP($A322,'District Level ADM'!$A$5:$W$52,5,FALSE)="Prior Year"),AN322,IF(AND($A$2=4,VLOOKUP($A322,'District Level ADM'!$A$5:$W$52,5,FALSE)="3-Year Avg."),Z322,IF($A$2=2,AN322,IF($A$2=3,Z322,IF(($AG322&gt;$AU322),Z322,AN322)))))</f>
        <v>0</v>
      </c>
      <c r="M322" s="317">
        <f>IF(AND($A$2=4,VLOOKUP($A322,'District Level ADM'!$A$5:$W$52,5,FALSE)="Prior Year"),AO322,IF(AND($A$2=4,VLOOKUP($A322,'District Level ADM'!$A$5:$W$52,5,FALSE)="3-Year Avg."),AA322,IF($A$2=2,AO322,IF($A$2=3,AA322,IF(($AG322&gt;$AU322),AA322,AO322)))))</f>
        <v>196.84933333333333</v>
      </c>
      <c r="N322" s="317">
        <f>IF(AND($A$2=4,VLOOKUP($A322,'District Level ADM'!$A$5:$W$52,5,FALSE)="Prior Year"),AP322,IF(AND($A$2=4,VLOOKUP($A322,'District Level ADM'!$A$5:$W$52,5,FALSE)="3-Year Avg."),AB322,IF($A$2=2,AP322,IF($A$2=3,AB322,IF(($AG322&gt;$AU322),AB322,AP322)))))</f>
        <v>199.03533333333334</v>
      </c>
      <c r="O322" s="317">
        <f>IF(AND($A$2=4,VLOOKUP($A322,'District Level ADM'!$A$5:$W$52,5,FALSE)="Prior Year"),AQ322,IF(AND($A$2=4,VLOOKUP($A322,'District Level ADM'!$A$5:$W$52,5,FALSE)="3-Year Avg."),AC322,IF($A$2=2,AQ322,IF($A$2=3,AC322,IF(($AG322&gt;$AU322),AC322,AQ322)))))</f>
        <v>0</v>
      </c>
      <c r="P322" s="317">
        <f>IF(AND($A$2=4,VLOOKUP($A322,'District Level ADM'!$A$5:$W$52,5,FALSE)="Prior Year"),AR322,IF(AND($A$2=4,VLOOKUP($A322,'District Level ADM'!$A$5:$W$52,5,FALSE)="3-Year Avg."),AD322,IF($A$2=2,AR322,IF($A$2=3,AD322,IF(($AG322&gt;$AU322),AD322,AR322)))))</f>
        <v>0</v>
      </c>
      <c r="Q322" s="317">
        <f>IF(AND($A$2=4,VLOOKUP($A322,'District Level ADM'!$A$5:$W$52,5,FALSE)="Prior Year"),AS322,IF(AND($A$2=4,VLOOKUP($A322,'District Level ADM'!$A$5:$W$52,5,FALSE)="3-Year Avg."),AE322,IF($A$2=2,AS322,IF($A$2=3,AE322,IF(($AG322&gt;$AU322),AE322,AS322)))))</f>
        <v>0</v>
      </c>
      <c r="R322" s="317">
        <f>IF(AND($A$2=4,VLOOKUP($A322,'District Level ADM'!$A$5:$W$52,5,FALSE)="Prior Year"),AT322,IF(AND($A$2=4,VLOOKUP($A322,'District Level ADM'!$A$5:$W$52,5,FALSE)="3-Year Avg."),AF322,IF($A$2=2,AT322,IF($A$2=3,AF322,IF(($AG322&gt;$AU322),AF322,AT322)))))</f>
        <v>0</v>
      </c>
      <c r="S322" s="317">
        <f t="shared" si="44"/>
        <v>395.8846666666667</v>
      </c>
      <c r="T322" s="317">
        <f t="shared" si="50"/>
        <v>0</v>
      </c>
      <c r="U322" s="317">
        <f t="shared" si="50"/>
        <v>0</v>
      </c>
      <c r="V322" s="317">
        <f t="shared" si="50"/>
        <v>0</v>
      </c>
      <c r="W322" s="317">
        <f t="shared" si="50"/>
        <v>0</v>
      </c>
      <c r="X322" s="317">
        <f t="shared" si="50"/>
        <v>0</v>
      </c>
      <c r="Y322" s="317">
        <f t="shared" si="50"/>
        <v>0</v>
      </c>
      <c r="Z322" s="317">
        <f t="shared" si="50"/>
        <v>0</v>
      </c>
      <c r="AA322" s="317">
        <f t="shared" si="50"/>
        <v>196.84933333333333</v>
      </c>
      <c r="AB322" s="317">
        <f t="shared" si="50"/>
        <v>199.03533333333334</v>
      </c>
      <c r="AC322" s="317">
        <f t="shared" si="50"/>
        <v>0</v>
      </c>
      <c r="AD322" s="317">
        <f t="shared" si="51"/>
        <v>0</v>
      </c>
      <c r="AE322" s="317">
        <f t="shared" si="51"/>
        <v>0</v>
      </c>
      <c r="AF322" s="317">
        <f t="shared" si="51"/>
        <v>0</v>
      </c>
      <c r="AG322" s="317">
        <f t="shared" si="45"/>
        <v>395.8846666666667</v>
      </c>
      <c r="AH322" s="318">
        <v>0</v>
      </c>
      <c r="AI322" s="318">
        <v>0</v>
      </c>
      <c r="AJ322" s="318">
        <v>0</v>
      </c>
      <c r="AK322" s="318">
        <v>0</v>
      </c>
      <c r="AL322" s="318">
        <v>0</v>
      </c>
      <c r="AM322" s="318">
        <v>0</v>
      </c>
      <c r="AN322" s="318">
        <v>0</v>
      </c>
      <c r="AO322" s="318">
        <v>201.92500000000001</v>
      </c>
      <c r="AP322" s="318">
        <v>168.435</v>
      </c>
      <c r="AQ322" s="318">
        <v>0</v>
      </c>
      <c r="AR322" s="318">
        <v>0</v>
      </c>
      <c r="AS322" s="318">
        <v>0</v>
      </c>
      <c r="AT322" s="318">
        <v>0</v>
      </c>
      <c r="AU322" s="317">
        <f t="shared" ref="AU322:AU359" si="52">SUM(AH322:AT322)</f>
        <v>370.36</v>
      </c>
      <c r="AV322" s="319">
        <v>0</v>
      </c>
      <c r="AW322" s="319">
        <v>0</v>
      </c>
      <c r="AX322" s="319">
        <v>0</v>
      </c>
      <c r="AY322" s="319">
        <v>0</v>
      </c>
      <c r="AZ322" s="319">
        <v>0</v>
      </c>
      <c r="BA322" s="319">
        <v>0</v>
      </c>
      <c r="BB322" s="319">
        <v>0</v>
      </c>
      <c r="BC322" s="319">
        <v>175.6</v>
      </c>
      <c r="BD322" s="319">
        <v>216.41399999999999</v>
      </c>
      <c r="BE322" s="319">
        <v>0</v>
      </c>
      <c r="BF322" s="319">
        <v>0</v>
      </c>
      <c r="BG322" s="319">
        <v>0</v>
      </c>
      <c r="BH322" s="319">
        <v>0</v>
      </c>
      <c r="BI322" s="317">
        <f t="shared" si="48"/>
        <v>392.01400000000001</v>
      </c>
      <c r="BJ322" s="316">
        <v>0</v>
      </c>
      <c r="BK322" s="316">
        <v>0</v>
      </c>
      <c r="BL322" s="316">
        <v>0</v>
      </c>
      <c r="BM322" s="316">
        <v>0</v>
      </c>
      <c r="BN322" s="316">
        <v>0</v>
      </c>
      <c r="BO322" s="316">
        <v>0</v>
      </c>
      <c r="BP322" s="316">
        <v>0</v>
      </c>
      <c r="BQ322" s="316">
        <v>213.023</v>
      </c>
      <c r="BR322" s="316">
        <v>212.25700000000001</v>
      </c>
      <c r="BS322" s="316">
        <v>0</v>
      </c>
      <c r="BT322" s="316">
        <v>0</v>
      </c>
      <c r="BU322" s="316">
        <v>0</v>
      </c>
      <c r="BV322" s="316">
        <v>0</v>
      </c>
      <c r="BW322" s="317">
        <f t="shared" si="46"/>
        <v>425.28</v>
      </c>
    </row>
    <row r="323" spans="1:75" x14ac:dyDescent="0.2">
      <c r="A323" s="20" t="str">
        <f>'School Level Inst. Resources'!A323</f>
        <v>1902000</v>
      </c>
      <c r="B323" s="20" t="str">
        <f>'School Level Inst. Resources'!B323</f>
        <v>Sweetwater #2</v>
      </c>
      <c r="C323" s="20" t="str">
        <f>'School Level Inst. Resources'!C323</f>
        <v>1902055</v>
      </c>
      <c r="D323" s="20" t="str">
        <f>'School Level Inst. Resources'!D323</f>
        <v>Green River High School</v>
      </c>
      <c r="E323" s="138" t="str">
        <f>'School Level Inst. Resources'!E323</f>
        <v>9-12</v>
      </c>
      <c r="F323" s="317">
        <f>IF(AND($A$2=4,VLOOKUP($A323,'District Level ADM'!$A$5:$W$52,5,FALSE)="Prior Year"),AH323,IF(AND($A$2=4,VLOOKUP($A323,'District Level ADM'!$A$5:$W$52,5,FALSE)="3-Year Avg."),T323,IF($A$2=2,AH323,IF($A$2=3,T323,IF(($AG323&gt;$AU323),T323,AH323)))))</f>
        <v>0</v>
      </c>
      <c r="G323" s="317">
        <f>IF(AND($A$2=4,VLOOKUP($A323,'District Level ADM'!$A$5:$W$52,5,FALSE)="Prior Year"),AI323,IF(AND($A$2=4,VLOOKUP($A323,'District Level ADM'!$A$5:$W$52,5,FALSE)="3-Year Avg."),U323,IF($A$2=2,AI323,IF($A$2=3,U323,IF(($AG323&gt;$AU323),U323,AI323)))))</f>
        <v>0</v>
      </c>
      <c r="H323" s="317">
        <f>IF(AND($A$2=4,VLOOKUP($A323,'District Level ADM'!$A$5:$W$52,5,FALSE)="Prior Year"),AJ323,IF(AND($A$2=4,VLOOKUP($A323,'District Level ADM'!$A$5:$W$52,5,FALSE)="3-Year Avg."),V323,IF($A$2=2,AJ323,IF($A$2=3,V323,IF(($AG323&gt;$AU323),V323,AJ323)))))</f>
        <v>0</v>
      </c>
      <c r="I323" s="317">
        <f>IF(AND($A$2=4,VLOOKUP($A323,'District Level ADM'!$A$5:$W$52,5,FALSE)="Prior Year"),AK323,IF(AND($A$2=4,VLOOKUP($A323,'District Level ADM'!$A$5:$W$52,5,FALSE)="3-Year Avg."),W323,IF($A$2=2,AK323,IF($A$2=3,W323,IF(($AG323&gt;$AU323),W323,AK323)))))</f>
        <v>0</v>
      </c>
      <c r="J323" s="317">
        <f>IF(AND($A$2=4,VLOOKUP($A323,'District Level ADM'!$A$5:$W$52,5,FALSE)="Prior Year"),AL323,IF(AND($A$2=4,VLOOKUP($A323,'District Level ADM'!$A$5:$W$52,5,FALSE)="3-Year Avg."),X323,IF($A$2=2,AL323,IF($A$2=3,X323,IF(($AG323&gt;$AU323),X323,AL323)))))</f>
        <v>0</v>
      </c>
      <c r="K323" s="317">
        <f>IF(AND($A$2=4,VLOOKUP($A323,'District Level ADM'!$A$5:$W$52,5,FALSE)="Prior Year"),AM323,IF(AND($A$2=4,VLOOKUP($A323,'District Level ADM'!$A$5:$W$52,5,FALSE)="3-Year Avg."),Y323,IF($A$2=2,AM323,IF($A$2=3,Y323,IF(($AG323&gt;$AU323),Y323,AM323)))))</f>
        <v>0</v>
      </c>
      <c r="L323" s="317">
        <f>IF(AND($A$2=4,VLOOKUP($A323,'District Level ADM'!$A$5:$W$52,5,FALSE)="Prior Year"),AN323,IF(AND($A$2=4,VLOOKUP($A323,'District Level ADM'!$A$5:$W$52,5,FALSE)="3-Year Avg."),Z323,IF($A$2=2,AN323,IF($A$2=3,Z323,IF(($AG323&gt;$AU323),Z323,AN323)))))</f>
        <v>0</v>
      </c>
      <c r="M323" s="317">
        <f>IF(AND($A$2=4,VLOOKUP($A323,'District Level ADM'!$A$5:$W$52,5,FALSE)="Prior Year"),AO323,IF(AND($A$2=4,VLOOKUP($A323,'District Level ADM'!$A$5:$W$52,5,FALSE)="3-Year Avg."),AA323,IF($A$2=2,AO323,IF($A$2=3,AA323,IF(($AG323&gt;$AU323),AA323,AO323)))))</f>
        <v>0</v>
      </c>
      <c r="N323" s="317">
        <f>IF(AND($A$2=4,VLOOKUP($A323,'District Level ADM'!$A$5:$W$52,5,FALSE)="Prior Year"),AP323,IF(AND($A$2=4,VLOOKUP($A323,'District Level ADM'!$A$5:$W$52,5,FALSE)="3-Year Avg."),AB323,IF($A$2=2,AP323,IF($A$2=3,AB323,IF(($AG323&gt;$AU323),AB323,AP323)))))</f>
        <v>0</v>
      </c>
      <c r="O323" s="317">
        <f>IF(AND($A$2=4,VLOOKUP($A323,'District Level ADM'!$A$5:$W$52,5,FALSE)="Prior Year"),AQ323,IF(AND($A$2=4,VLOOKUP($A323,'District Level ADM'!$A$5:$W$52,5,FALSE)="3-Year Avg."),AC323,IF($A$2=2,AQ323,IF($A$2=3,AC323,IF(($AG323&gt;$AU323),AC323,AQ323)))))</f>
        <v>207.42533333333333</v>
      </c>
      <c r="P323" s="317">
        <f>IF(AND($A$2=4,VLOOKUP($A323,'District Level ADM'!$A$5:$W$52,5,FALSE)="Prior Year"),AR323,IF(AND($A$2=4,VLOOKUP($A323,'District Level ADM'!$A$5:$W$52,5,FALSE)="3-Year Avg."),AD323,IF($A$2=2,AR323,IF($A$2=3,AD323,IF(($AG323&gt;$AU323),AD323,AR323)))))</f>
        <v>196.71366666666665</v>
      </c>
      <c r="Q323" s="317">
        <f>IF(AND($A$2=4,VLOOKUP($A323,'District Level ADM'!$A$5:$W$52,5,FALSE)="Prior Year"),AS323,IF(AND($A$2=4,VLOOKUP($A323,'District Level ADM'!$A$5:$W$52,5,FALSE)="3-Year Avg."),AE323,IF($A$2=2,AS323,IF($A$2=3,AE323,IF(($AG323&gt;$AU323),AE323,AS323)))))</f>
        <v>186.94666666666663</v>
      </c>
      <c r="R323" s="317">
        <f>IF(AND($A$2=4,VLOOKUP($A323,'District Level ADM'!$A$5:$W$52,5,FALSE)="Prior Year"),AT323,IF(AND($A$2=4,VLOOKUP($A323,'District Level ADM'!$A$5:$W$52,5,FALSE)="3-Year Avg."),AF323,IF($A$2=2,AT323,IF($A$2=3,AF323,IF(($AG323&gt;$AU323),AF323,AT323)))))</f>
        <v>173.10066666666668</v>
      </c>
      <c r="S323" s="317">
        <f t="shared" si="44"/>
        <v>764.18633333333332</v>
      </c>
      <c r="T323" s="317">
        <f t="shared" si="50"/>
        <v>0</v>
      </c>
      <c r="U323" s="317">
        <f t="shared" si="50"/>
        <v>0</v>
      </c>
      <c r="V323" s="317">
        <f t="shared" si="50"/>
        <v>0</v>
      </c>
      <c r="W323" s="317">
        <f t="shared" si="50"/>
        <v>0</v>
      </c>
      <c r="X323" s="317">
        <f t="shared" si="50"/>
        <v>0</v>
      </c>
      <c r="Y323" s="317">
        <f t="shared" si="50"/>
        <v>0</v>
      </c>
      <c r="Z323" s="317">
        <f t="shared" si="50"/>
        <v>0</v>
      </c>
      <c r="AA323" s="317">
        <f t="shared" si="50"/>
        <v>0</v>
      </c>
      <c r="AB323" s="317">
        <f t="shared" si="50"/>
        <v>0</v>
      </c>
      <c r="AC323" s="317">
        <f t="shared" si="50"/>
        <v>207.42533333333333</v>
      </c>
      <c r="AD323" s="317">
        <f t="shared" si="51"/>
        <v>196.71366666666665</v>
      </c>
      <c r="AE323" s="317">
        <f t="shared" si="51"/>
        <v>186.94666666666663</v>
      </c>
      <c r="AF323" s="317">
        <f t="shared" si="51"/>
        <v>173.10066666666668</v>
      </c>
      <c r="AG323" s="317">
        <f t="shared" si="45"/>
        <v>764.18633333333332</v>
      </c>
      <c r="AH323" s="318">
        <v>0</v>
      </c>
      <c r="AI323" s="318">
        <v>0</v>
      </c>
      <c r="AJ323" s="318">
        <v>0</v>
      </c>
      <c r="AK323" s="318">
        <v>0</v>
      </c>
      <c r="AL323" s="318">
        <v>0</v>
      </c>
      <c r="AM323" s="318">
        <v>0</v>
      </c>
      <c r="AN323" s="318">
        <v>0</v>
      </c>
      <c r="AO323" s="318">
        <v>0</v>
      </c>
      <c r="AP323" s="318">
        <v>0</v>
      </c>
      <c r="AQ323" s="318">
        <v>206.85</v>
      </c>
      <c r="AR323" s="318">
        <v>196.01499999999999</v>
      </c>
      <c r="AS323" s="318">
        <v>194.04499999999999</v>
      </c>
      <c r="AT323" s="318">
        <v>183.21</v>
      </c>
      <c r="AU323" s="317">
        <f t="shared" si="52"/>
        <v>780.12</v>
      </c>
      <c r="AV323" s="319">
        <v>0</v>
      </c>
      <c r="AW323" s="319">
        <v>0</v>
      </c>
      <c r="AX323" s="319">
        <v>0</v>
      </c>
      <c r="AY323" s="319">
        <v>0</v>
      </c>
      <c r="AZ323" s="319">
        <v>0</v>
      </c>
      <c r="BA323" s="319">
        <v>0</v>
      </c>
      <c r="BB323" s="319">
        <v>0</v>
      </c>
      <c r="BC323" s="319">
        <v>0</v>
      </c>
      <c r="BD323" s="319">
        <v>0</v>
      </c>
      <c r="BE323" s="319">
        <v>205.42</v>
      </c>
      <c r="BF323" s="319">
        <v>200.06299999999999</v>
      </c>
      <c r="BG323" s="319">
        <v>186.82599999999999</v>
      </c>
      <c r="BH323" s="319">
        <v>172.94900000000001</v>
      </c>
      <c r="BI323" s="317">
        <f t="shared" si="48"/>
        <v>765.25800000000004</v>
      </c>
      <c r="BJ323" s="316">
        <v>0</v>
      </c>
      <c r="BK323" s="316">
        <v>0</v>
      </c>
      <c r="BL323" s="316">
        <v>0</v>
      </c>
      <c r="BM323" s="316">
        <v>0</v>
      </c>
      <c r="BN323" s="316">
        <v>0</v>
      </c>
      <c r="BO323" s="316">
        <v>0</v>
      </c>
      <c r="BP323" s="316">
        <v>0</v>
      </c>
      <c r="BQ323" s="316">
        <v>0</v>
      </c>
      <c r="BR323" s="316">
        <v>0</v>
      </c>
      <c r="BS323" s="316">
        <v>210.006</v>
      </c>
      <c r="BT323" s="316">
        <v>194.06299999999999</v>
      </c>
      <c r="BU323" s="316">
        <v>179.96899999999999</v>
      </c>
      <c r="BV323" s="316">
        <v>163.143</v>
      </c>
      <c r="BW323" s="317">
        <f t="shared" si="46"/>
        <v>747.18100000000004</v>
      </c>
    </row>
    <row r="324" spans="1:75" x14ac:dyDescent="0.2">
      <c r="A324" s="20" t="str">
        <f>'School Level Inst. Resources'!A324</f>
        <v>1902000</v>
      </c>
      <c r="B324" s="20" t="str">
        <f>'School Level Inst. Resources'!B324</f>
        <v>Sweetwater #2</v>
      </c>
      <c r="C324" s="20" t="str">
        <f>'School Level Inst. Resources'!C324</f>
        <v>1902056</v>
      </c>
      <c r="D324" s="20" t="str">
        <f>'School Level Inst. Resources'!D324</f>
        <v>Expedition Academy</v>
      </c>
      <c r="E324" s="138" t="str">
        <f>'School Level Inst. Resources'!E324</f>
        <v>9-12</v>
      </c>
      <c r="F324" s="317">
        <f>IF(AND($A$2=4,VLOOKUP($A324,'District Level ADM'!$A$5:$W$52,5,FALSE)="Prior Year"),AH324,IF(AND($A$2=4,VLOOKUP($A324,'District Level ADM'!$A$5:$W$52,5,FALSE)="3-Year Avg."),T324,IF($A$2=2,AH324,IF($A$2=3,T324,IF(($AG324&gt;$AU324),T324,AH324)))))</f>
        <v>0</v>
      </c>
      <c r="G324" s="317">
        <f>IF(AND($A$2=4,VLOOKUP($A324,'District Level ADM'!$A$5:$W$52,5,FALSE)="Prior Year"),AI324,IF(AND($A$2=4,VLOOKUP($A324,'District Level ADM'!$A$5:$W$52,5,FALSE)="3-Year Avg."),U324,IF($A$2=2,AI324,IF($A$2=3,U324,IF(($AG324&gt;$AU324),U324,AI324)))))</f>
        <v>0</v>
      </c>
      <c r="H324" s="317">
        <f>IF(AND($A$2=4,VLOOKUP($A324,'District Level ADM'!$A$5:$W$52,5,FALSE)="Prior Year"),AJ324,IF(AND($A$2=4,VLOOKUP($A324,'District Level ADM'!$A$5:$W$52,5,FALSE)="3-Year Avg."),V324,IF($A$2=2,AJ324,IF($A$2=3,V324,IF(($AG324&gt;$AU324),V324,AJ324)))))</f>
        <v>0</v>
      </c>
      <c r="I324" s="317">
        <f>IF(AND($A$2=4,VLOOKUP($A324,'District Level ADM'!$A$5:$W$52,5,FALSE)="Prior Year"),AK324,IF(AND($A$2=4,VLOOKUP($A324,'District Level ADM'!$A$5:$W$52,5,FALSE)="3-Year Avg."),W324,IF($A$2=2,AK324,IF($A$2=3,W324,IF(($AG324&gt;$AU324),W324,AK324)))))</f>
        <v>0</v>
      </c>
      <c r="J324" s="317">
        <f>IF(AND($A$2=4,VLOOKUP($A324,'District Level ADM'!$A$5:$W$52,5,FALSE)="Prior Year"),AL324,IF(AND($A$2=4,VLOOKUP($A324,'District Level ADM'!$A$5:$W$52,5,FALSE)="3-Year Avg."),X324,IF($A$2=2,AL324,IF($A$2=3,X324,IF(($AG324&gt;$AU324),X324,AL324)))))</f>
        <v>0</v>
      </c>
      <c r="K324" s="317">
        <f>IF(AND($A$2=4,VLOOKUP($A324,'District Level ADM'!$A$5:$W$52,5,FALSE)="Prior Year"),AM324,IF(AND($A$2=4,VLOOKUP($A324,'District Level ADM'!$A$5:$W$52,5,FALSE)="3-Year Avg."),Y324,IF($A$2=2,AM324,IF($A$2=3,Y324,IF(($AG324&gt;$AU324),Y324,AM324)))))</f>
        <v>0</v>
      </c>
      <c r="L324" s="317">
        <f>IF(AND($A$2=4,VLOOKUP($A324,'District Level ADM'!$A$5:$W$52,5,FALSE)="Prior Year"),AN324,IF(AND($A$2=4,VLOOKUP($A324,'District Level ADM'!$A$5:$W$52,5,FALSE)="3-Year Avg."),Z324,IF($A$2=2,AN324,IF($A$2=3,Z324,IF(($AG324&gt;$AU324),Z324,AN324)))))</f>
        <v>0</v>
      </c>
      <c r="M324" s="317">
        <f>IF(AND($A$2=4,VLOOKUP($A324,'District Level ADM'!$A$5:$W$52,5,FALSE)="Prior Year"),AO324,IF(AND($A$2=4,VLOOKUP($A324,'District Level ADM'!$A$5:$W$52,5,FALSE)="3-Year Avg."),AA324,IF($A$2=2,AO324,IF($A$2=3,AA324,IF(($AG324&gt;$AU324),AA324,AO324)))))</f>
        <v>0</v>
      </c>
      <c r="N324" s="317">
        <f>IF(AND($A$2=4,VLOOKUP($A324,'District Level ADM'!$A$5:$W$52,5,FALSE)="Prior Year"),AP324,IF(AND($A$2=4,VLOOKUP($A324,'District Level ADM'!$A$5:$W$52,5,FALSE)="3-Year Avg."),AB324,IF($A$2=2,AP324,IF($A$2=3,AB324,IF(($AG324&gt;$AU324),AB324,AP324)))))</f>
        <v>0</v>
      </c>
      <c r="O324" s="317">
        <f>IF(AND($A$2=4,VLOOKUP($A324,'District Level ADM'!$A$5:$W$52,5,FALSE)="Prior Year"),AQ324,IF(AND($A$2=4,VLOOKUP($A324,'District Level ADM'!$A$5:$W$52,5,FALSE)="3-Year Avg."),AC324,IF($A$2=2,AQ324,IF($A$2=3,AC324,IF(($AG324&gt;$AU324),AC324,AQ324)))))</f>
        <v>3.9056666666666668</v>
      </c>
      <c r="P324" s="317">
        <f>IF(AND($A$2=4,VLOOKUP($A324,'District Level ADM'!$A$5:$W$52,5,FALSE)="Prior Year"),AR324,IF(AND($A$2=4,VLOOKUP($A324,'District Level ADM'!$A$5:$W$52,5,FALSE)="3-Year Avg."),AD324,IF($A$2=2,AR324,IF($A$2=3,AD324,IF(($AG324&gt;$AU324),AD324,AR324)))))</f>
        <v>12.214666666666666</v>
      </c>
      <c r="Q324" s="317">
        <f>IF(AND($A$2=4,VLOOKUP($A324,'District Level ADM'!$A$5:$W$52,5,FALSE)="Prior Year"),AS324,IF(AND($A$2=4,VLOOKUP($A324,'District Level ADM'!$A$5:$W$52,5,FALSE)="3-Year Avg."),AE324,IF($A$2=2,AS324,IF($A$2=3,AE324,IF(($AG324&gt;$AU324),AE324,AS324)))))</f>
        <v>15.331666666666669</v>
      </c>
      <c r="R324" s="317">
        <f>IF(AND($A$2=4,VLOOKUP($A324,'District Level ADM'!$A$5:$W$52,5,FALSE)="Prior Year"),AT324,IF(AND($A$2=4,VLOOKUP($A324,'District Level ADM'!$A$5:$W$52,5,FALSE)="3-Year Avg."),AF324,IF($A$2=2,AT324,IF($A$2=3,AF324,IF(($AG324&gt;$AU324),AF324,AT324)))))</f>
        <v>16.885666666666665</v>
      </c>
      <c r="S324" s="317">
        <f t="shared" si="44"/>
        <v>48.337666666666671</v>
      </c>
      <c r="T324" s="317">
        <f t="shared" si="50"/>
        <v>0</v>
      </c>
      <c r="U324" s="317">
        <f t="shared" si="50"/>
        <v>0</v>
      </c>
      <c r="V324" s="317">
        <f t="shared" si="50"/>
        <v>0</v>
      </c>
      <c r="W324" s="317">
        <f t="shared" si="50"/>
        <v>0</v>
      </c>
      <c r="X324" s="317">
        <f t="shared" si="50"/>
        <v>0</v>
      </c>
      <c r="Y324" s="317">
        <f t="shared" si="50"/>
        <v>0</v>
      </c>
      <c r="Z324" s="317">
        <f t="shared" si="50"/>
        <v>0</v>
      </c>
      <c r="AA324" s="317">
        <f t="shared" si="50"/>
        <v>0</v>
      </c>
      <c r="AB324" s="317">
        <f t="shared" si="50"/>
        <v>0</v>
      </c>
      <c r="AC324" s="317">
        <f t="shared" si="50"/>
        <v>3.9056666666666668</v>
      </c>
      <c r="AD324" s="317">
        <f t="shared" si="51"/>
        <v>12.214666666666666</v>
      </c>
      <c r="AE324" s="317">
        <f t="shared" si="51"/>
        <v>15.331666666666669</v>
      </c>
      <c r="AF324" s="317">
        <f t="shared" si="51"/>
        <v>16.885666666666665</v>
      </c>
      <c r="AG324" s="317">
        <f t="shared" si="45"/>
        <v>48.337666666666671</v>
      </c>
      <c r="AH324" s="318">
        <v>0</v>
      </c>
      <c r="AI324" s="318">
        <v>0</v>
      </c>
      <c r="AJ324" s="318">
        <v>0</v>
      </c>
      <c r="AK324" s="318">
        <v>0</v>
      </c>
      <c r="AL324" s="318">
        <v>0</v>
      </c>
      <c r="AM324" s="318">
        <v>0</v>
      </c>
      <c r="AN324" s="318">
        <v>0</v>
      </c>
      <c r="AO324" s="318">
        <v>0</v>
      </c>
      <c r="AP324" s="318">
        <v>0</v>
      </c>
      <c r="AQ324" s="318">
        <v>0.98499999999999999</v>
      </c>
      <c r="AR324" s="318">
        <v>9.85</v>
      </c>
      <c r="AS324" s="318">
        <v>13.79</v>
      </c>
      <c r="AT324" s="318">
        <v>26.594999999999999</v>
      </c>
      <c r="AU324" s="317">
        <f t="shared" si="52"/>
        <v>51.22</v>
      </c>
      <c r="AV324" s="319">
        <v>0</v>
      </c>
      <c r="AW324" s="319">
        <v>0</v>
      </c>
      <c r="AX324" s="319">
        <v>0</v>
      </c>
      <c r="AY324" s="319">
        <v>0</v>
      </c>
      <c r="AZ324" s="319">
        <v>0</v>
      </c>
      <c r="BA324" s="319">
        <v>0</v>
      </c>
      <c r="BB324" s="319">
        <v>0</v>
      </c>
      <c r="BC324" s="319">
        <v>0</v>
      </c>
      <c r="BD324" s="319">
        <v>0</v>
      </c>
      <c r="BE324" s="319">
        <v>5.9260000000000002</v>
      </c>
      <c r="BF324" s="319">
        <v>14.103</v>
      </c>
      <c r="BG324" s="319">
        <v>17.731000000000002</v>
      </c>
      <c r="BH324" s="319">
        <v>11.930999999999999</v>
      </c>
      <c r="BI324" s="317">
        <f t="shared" si="48"/>
        <v>49.691000000000003</v>
      </c>
      <c r="BJ324" s="316">
        <v>0</v>
      </c>
      <c r="BK324" s="316">
        <v>0</v>
      </c>
      <c r="BL324" s="316">
        <v>0</v>
      </c>
      <c r="BM324" s="316">
        <v>0</v>
      </c>
      <c r="BN324" s="316">
        <v>0</v>
      </c>
      <c r="BO324" s="316">
        <v>0</v>
      </c>
      <c r="BP324" s="316">
        <v>0</v>
      </c>
      <c r="BQ324" s="316">
        <v>0</v>
      </c>
      <c r="BR324" s="316">
        <v>0</v>
      </c>
      <c r="BS324" s="316">
        <v>4.806</v>
      </c>
      <c r="BT324" s="316">
        <v>12.691000000000001</v>
      </c>
      <c r="BU324" s="316">
        <v>14.474</v>
      </c>
      <c r="BV324" s="316">
        <v>12.131</v>
      </c>
      <c r="BW324" s="317">
        <f t="shared" si="46"/>
        <v>44.102000000000004</v>
      </c>
    </row>
    <row r="325" spans="1:75" x14ac:dyDescent="0.2">
      <c r="A325" s="20" t="str">
        <f>'School Level Inst. Resources'!A325</f>
        <v>2001000</v>
      </c>
      <c r="B325" s="20" t="str">
        <f>'School Level Inst. Resources'!B325</f>
        <v>Teton #1</v>
      </c>
      <c r="C325" s="20" t="str">
        <f>'School Level Inst. Resources'!C325</f>
        <v>2001001</v>
      </c>
      <c r="D325" s="20" t="str">
        <f>'School Level Inst. Resources'!D325</f>
        <v>Alta Elementary</v>
      </c>
      <c r="E325" s="138" t="str">
        <f>'School Level Inst. Resources'!E325</f>
        <v>K-6</v>
      </c>
      <c r="F325" s="317">
        <f>IF(AND($A$2=4,VLOOKUP($A325,'District Level ADM'!$A$5:$W$52,5,FALSE)="Prior Year"),AH325,IF(AND($A$2=4,VLOOKUP($A325,'District Level ADM'!$A$5:$W$52,5,FALSE)="3-Year Avg."),T325,IF($A$2=2,AH325,IF($A$2=3,T325,IF(($AG325&gt;$AU325),T325,AH325)))))</f>
        <v>6.8949999999999996</v>
      </c>
      <c r="G325" s="317">
        <f>IF(AND($A$2=4,VLOOKUP($A325,'District Level ADM'!$A$5:$W$52,5,FALSE)="Prior Year"),AI325,IF(AND($A$2=4,VLOOKUP($A325,'District Level ADM'!$A$5:$W$52,5,FALSE)="3-Year Avg."),U325,IF($A$2=2,AI325,IF($A$2=3,U325,IF(($AG325&gt;$AU325),U325,AI325)))))</f>
        <v>2.9550000000000001</v>
      </c>
      <c r="H325" s="317">
        <f>IF(AND($A$2=4,VLOOKUP($A325,'District Level ADM'!$A$5:$W$52,5,FALSE)="Prior Year"),AJ325,IF(AND($A$2=4,VLOOKUP($A325,'District Level ADM'!$A$5:$W$52,5,FALSE)="3-Year Avg."),V325,IF($A$2=2,AJ325,IF($A$2=3,V325,IF(($AG325&gt;$AU325),V325,AJ325)))))</f>
        <v>8.8650000000000002</v>
      </c>
      <c r="I325" s="317">
        <f>IF(AND($A$2=4,VLOOKUP($A325,'District Level ADM'!$A$5:$W$52,5,FALSE)="Prior Year"),AK325,IF(AND($A$2=4,VLOOKUP($A325,'District Level ADM'!$A$5:$W$52,5,FALSE)="3-Year Avg."),W325,IF($A$2=2,AK325,IF($A$2=3,W325,IF(($AG325&gt;$AU325),W325,AK325)))))</f>
        <v>5.91</v>
      </c>
      <c r="J325" s="317">
        <f>IF(AND($A$2=4,VLOOKUP($A325,'District Level ADM'!$A$5:$W$52,5,FALSE)="Prior Year"),AL325,IF(AND($A$2=4,VLOOKUP($A325,'District Level ADM'!$A$5:$W$52,5,FALSE)="3-Year Avg."),X325,IF($A$2=2,AL325,IF($A$2=3,X325,IF(($AG325&gt;$AU325),X325,AL325)))))</f>
        <v>8.8650000000000002</v>
      </c>
      <c r="K325" s="317">
        <f>IF(AND($A$2=4,VLOOKUP($A325,'District Level ADM'!$A$5:$W$52,5,FALSE)="Prior Year"),AM325,IF(AND($A$2=4,VLOOKUP($A325,'District Level ADM'!$A$5:$W$52,5,FALSE)="3-Year Avg."),Y325,IF($A$2=2,AM325,IF($A$2=3,Y325,IF(($AG325&gt;$AU325),Y325,AM325)))))</f>
        <v>10.835000000000001</v>
      </c>
      <c r="L325" s="317">
        <f>IF(AND($A$2=4,VLOOKUP($A325,'District Level ADM'!$A$5:$W$52,5,FALSE)="Prior Year"),AN325,IF(AND($A$2=4,VLOOKUP($A325,'District Level ADM'!$A$5:$W$52,5,FALSE)="3-Year Avg."),Z325,IF($A$2=2,AN325,IF($A$2=3,Z325,IF(($AG325&gt;$AU325),Z325,AN325)))))</f>
        <v>1.97</v>
      </c>
      <c r="M325" s="317">
        <f>IF(AND($A$2=4,VLOOKUP($A325,'District Level ADM'!$A$5:$W$52,5,FALSE)="Prior Year"),AO325,IF(AND($A$2=4,VLOOKUP($A325,'District Level ADM'!$A$5:$W$52,5,FALSE)="3-Year Avg."),AA325,IF($A$2=2,AO325,IF($A$2=3,AA325,IF(($AG325&gt;$AU325),AA325,AO325)))))</f>
        <v>0</v>
      </c>
      <c r="N325" s="317">
        <f>IF(AND($A$2=4,VLOOKUP($A325,'District Level ADM'!$A$5:$W$52,5,FALSE)="Prior Year"),AP325,IF(AND($A$2=4,VLOOKUP($A325,'District Level ADM'!$A$5:$W$52,5,FALSE)="3-Year Avg."),AB325,IF($A$2=2,AP325,IF($A$2=3,AB325,IF(($AG325&gt;$AU325),AB325,AP325)))))</f>
        <v>0</v>
      </c>
      <c r="O325" s="317">
        <f>IF(AND($A$2=4,VLOOKUP($A325,'District Level ADM'!$A$5:$W$52,5,FALSE)="Prior Year"),AQ325,IF(AND($A$2=4,VLOOKUP($A325,'District Level ADM'!$A$5:$W$52,5,FALSE)="3-Year Avg."),AC325,IF($A$2=2,AQ325,IF($A$2=3,AC325,IF(($AG325&gt;$AU325),AC325,AQ325)))))</f>
        <v>0</v>
      </c>
      <c r="P325" s="317">
        <f>IF(AND($A$2=4,VLOOKUP($A325,'District Level ADM'!$A$5:$W$52,5,FALSE)="Prior Year"),AR325,IF(AND($A$2=4,VLOOKUP($A325,'District Level ADM'!$A$5:$W$52,5,FALSE)="3-Year Avg."),AD325,IF($A$2=2,AR325,IF($A$2=3,AD325,IF(($AG325&gt;$AU325),AD325,AR325)))))</f>
        <v>0</v>
      </c>
      <c r="Q325" s="317">
        <f>IF(AND($A$2=4,VLOOKUP($A325,'District Level ADM'!$A$5:$W$52,5,FALSE)="Prior Year"),AS325,IF(AND($A$2=4,VLOOKUP($A325,'District Level ADM'!$A$5:$W$52,5,FALSE)="3-Year Avg."),AE325,IF($A$2=2,AS325,IF($A$2=3,AE325,IF(($AG325&gt;$AU325),AE325,AS325)))))</f>
        <v>0</v>
      </c>
      <c r="R325" s="317">
        <f>IF(AND($A$2=4,VLOOKUP($A325,'District Level ADM'!$A$5:$W$52,5,FALSE)="Prior Year"),AT325,IF(AND($A$2=4,VLOOKUP($A325,'District Level ADM'!$A$5:$W$52,5,FALSE)="3-Year Avg."),AF325,IF($A$2=2,AT325,IF($A$2=3,AF325,IF(($AG325&gt;$AU325),AF325,AT325)))))</f>
        <v>0</v>
      </c>
      <c r="S325" s="317">
        <f t="shared" si="44"/>
        <v>46.295000000000002</v>
      </c>
      <c r="T325" s="317">
        <f t="shared" si="50"/>
        <v>6.1439999999999992</v>
      </c>
      <c r="U325" s="317">
        <f t="shared" si="50"/>
        <v>5.7563333333333331</v>
      </c>
      <c r="V325" s="317">
        <f t="shared" si="50"/>
        <v>7.2046666666666672</v>
      </c>
      <c r="W325" s="317">
        <f t="shared" si="50"/>
        <v>7.7586666666666666</v>
      </c>
      <c r="X325" s="317">
        <f t="shared" si="50"/>
        <v>9.6349999999999998</v>
      </c>
      <c r="Y325" s="317">
        <f t="shared" si="50"/>
        <v>8.988999999999999</v>
      </c>
      <c r="Z325" s="317">
        <f t="shared" si="50"/>
        <v>3.6489999999999996</v>
      </c>
      <c r="AA325" s="317">
        <f t="shared" si="50"/>
        <v>0</v>
      </c>
      <c r="AB325" s="317">
        <f t="shared" si="50"/>
        <v>0</v>
      </c>
      <c r="AC325" s="317">
        <f t="shared" si="50"/>
        <v>0</v>
      </c>
      <c r="AD325" s="317">
        <f t="shared" si="51"/>
        <v>0</v>
      </c>
      <c r="AE325" s="317">
        <f t="shared" si="51"/>
        <v>0</v>
      </c>
      <c r="AF325" s="317">
        <f t="shared" si="51"/>
        <v>0</v>
      </c>
      <c r="AG325" s="317">
        <f t="shared" si="45"/>
        <v>49.136666666666663</v>
      </c>
      <c r="AH325" s="318">
        <v>6.8949999999999996</v>
      </c>
      <c r="AI325" s="318">
        <v>2.9550000000000001</v>
      </c>
      <c r="AJ325" s="318">
        <v>8.8650000000000002</v>
      </c>
      <c r="AK325" s="318">
        <v>5.91</v>
      </c>
      <c r="AL325" s="318">
        <v>8.8650000000000002</v>
      </c>
      <c r="AM325" s="318">
        <v>10.835000000000001</v>
      </c>
      <c r="AN325" s="318">
        <v>1.97</v>
      </c>
      <c r="AO325" s="318">
        <v>0</v>
      </c>
      <c r="AP325" s="318">
        <v>0</v>
      </c>
      <c r="AQ325" s="318">
        <v>0</v>
      </c>
      <c r="AR325" s="318">
        <v>0</v>
      </c>
      <c r="AS325" s="318">
        <v>0</v>
      </c>
      <c r="AT325" s="318">
        <v>0</v>
      </c>
      <c r="AU325" s="317">
        <f t="shared" si="52"/>
        <v>46.295000000000002</v>
      </c>
      <c r="AV325" s="319">
        <v>3.5539999999999998</v>
      </c>
      <c r="AW325" s="319">
        <v>9.7769999999999992</v>
      </c>
      <c r="AX325" s="319">
        <v>6.2859999999999996</v>
      </c>
      <c r="AY325" s="319">
        <v>8.5830000000000002</v>
      </c>
      <c r="AZ325" s="319">
        <v>11.063000000000001</v>
      </c>
      <c r="BA325" s="319">
        <v>10.622999999999999</v>
      </c>
      <c r="BB325" s="319">
        <v>5.4969999999999999</v>
      </c>
      <c r="BC325" s="319">
        <v>0</v>
      </c>
      <c r="BD325" s="319">
        <v>0</v>
      </c>
      <c r="BE325" s="319">
        <v>0</v>
      </c>
      <c r="BF325" s="319">
        <v>0</v>
      </c>
      <c r="BG325" s="319">
        <v>0</v>
      </c>
      <c r="BH325" s="319">
        <v>0</v>
      </c>
      <c r="BI325" s="317">
        <f t="shared" si="48"/>
        <v>55.382999999999996</v>
      </c>
      <c r="BJ325" s="316">
        <v>7.9829999999999997</v>
      </c>
      <c r="BK325" s="316">
        <v>4.5369999999999999</v>
      </c>
      <c r="BL325" s="316">
        <v>6.4630000000000001</v>
      </c>
      <c r="BM325" s="316">
        <v>8.7829999999999995</v>
      </c>
      <c r="BN325" s="316">
        <v>8.9770000000000003</v>
      </c>
      <c r="BO325" s="316">
        <v>5.5090000000000003</v>
      </c>
      <c r="BP325" s="316">
        <v>3.48</v>
      </c>
      <c r="BQ325" s="316">
        <v>0</v>
      </c>
      <c r="BR325" s="316">
        <v>0</v>
      </c>
      <c r="BS325" s="316">
        <v>0</v>
      </c>
      <c r="BT325" s="316">
        <v>0</v>
      </c>
      <c r="BU325" s="316">
        <v>0</v>
      </c>
      <c r="BV325" s="316">
        <v>0</v>
      </c>
      <c r="BW325" s="317">
        <f t="shared" si="46"/>
        <v>45.731999999999992</v>
      </c>
    </row>
    <row r="326" spans="1:75" x14ac:dyDescent="0.2">
      <c r="A326" s="20" t="str">
        <f>'School Level Inst. Resources'!A326</f>
        <v>2001000</v>
      </c>
      <c r="B326" s="20" t="str">
        <f>'School Level Inst. Resources'!B326</f>
        <v>Teton #1</v>
      </c>
      <c r="C326" s="20" t="str">
        <f>'School Level Inst. Resources'!C326</f>
        <v>2001003</v>
      </c>
      <c r="D326" s="20" t="str">
        <f>'School Level Inst. Resources'!D326</f>
        <v>Kelly Elementary</v>
      </c>
      <c r="E326" s="138" t="str">
        <f>'School Level Inst. Resources'!E326</f>
        <v>K-5</v>
      </c>
      <c r="F326" s="317">
        <f>IF(AND($A$2=4,VLOOKUP($A326,'District Level ADM'!$A$5:$W$52,5,FALSE)="Prior Year"),AH326,IF(AND($A$2=4,VLOOKUP($A326,'District Level ADM'!$A$5:$W$52,5,FALSE)="3-Year Avg."),T326,IF($A$2=2,AH326,IF($A$2=3,T326,IF(($AG326&gt;$AU326),T326,AH326)))))</f>
        <v>10.835000000000001</v>
      </c>
      <c r="G326" s="317">
        <f>IF(AND($A$2=4,VLOOKUP($A326,'District Level ADM'!$A$5:$W$52,5,FALSE)="Prior Year"),AI326,IF(AND($A$2=4,VLOOKUP($A326,'District Level ADM'!$A$5:$W$52,5,FALSE)="3-Year Avg."),U326,IF($A$2=2,AI326,IF($A$2=3,U326,IF(($AG326&gt;$AU326),U326,AI326)))))</f>
        <v>6.8949999999999996</v>
      </c>
      <c r="H326" s="317">
        <f>IF(AND($A$2=4,VLOOKUP($A326,'District Level ADM'!$A$5:$W$52,5,FALSE)="Prior Year"),AJ326,IF(AND($A$2=4,VLOOKUP($A326,'District Level ADM'!$A$5:$W$52,5,FALSE)="3-Year Avg."),V326,IF($A$2=2,AJ326,IF($A$2=3,V326,IF(($AG326&gt;$AU326),V326,AJ326)))))</f>
        <v>8.8650000000000002</v>
      </c>
      <c r="I326" s="317">
        <f>IF(AND($A$2=4,VLOOKUP($A326,'District Level ADM'!$A$5:$W$52,5,FALSE)="Prior Year"),AK326,IF(AND($A$2=4,VLOOKUP($A326,'District Level ADM'!$A$5:$W$52,5,FALSE)="3-Year Avg."),W326,IF($A$2=2,AK326,IF($A$2=3,W326,IF(($AG326&gt;$AU326),W326,AK326)))))</f>
        <v>7.88</v>
      </c>
      <c r="J326" s="317">
        <f>IF(AND($A$2=4,VLOOKUP($A326,'District Level ADM'!$A$5:$W$52,5,FALSE)="Prior Year"),AL326,IF(AND($A$2=4,VLOOKUP($A326,'District Level ADM'!$A$5:$W$52,5,FALSE)="3-Year Avg."),X326,IF($A$2=2,AL326,IF($A$2=3,X326,IF(($AG326&gt;$AU326),X326,AL326)))))</f>
        <v>6.8949999999999996</v>
      </c>
      <c r="K326" s="317">
        <f>IF(AND($A$2=4,VLOOKUP($A326,'District Level ADM'!$A$5:$W$52,5,FALSE)="Prior Year"),AM326,IF(AND($A$2=4,VLOOKUP($A326,'District Level ADM'!$A$5:$W$52,5,FALSE)="3-Year Avg."),Y326,IF($A$2=2,AM326,IF($A$2=3,Y326,IF(($AG326&gt;$AU326),Y326,AM326)))))</f>
        <v>9.85</v>
      </c>
      <c r="L326" s="317">
        <f>IF(AND($A$2=4,VLOOKUP($A326,'District Level ADM'!$A$5:$W$52,5,FALSE)="Prior Year"),AN326,IF(AND($A$2=4,VLOOKUP($A326,'District Level ADM'!$A$5:$W$52,5,FALSE)="3-Year Avg."),Z326,IF($A$2=2,AN326,IF($A$2=3,Z326,IF(($AG326&gt;$AU326),Z326,AN326)))))</f>
        <v>0</v>
      </c>
      <c r="M326" s="317">
        <f>IF(AND($A$2=4,VLOOKUP($A326,'District Level ADM'!$A$5:$W$52,5,FALSE)="Prior Year"),AO326,IF(AND($A$2=4,VLOOKUP($A326,'District Level ADM'!$A$5:$W$52,5,FALSE)="3-Year Avg."),AA326,IF($A$2=2,AO326,IF($A$2=3,AA326,IF(($AG326&gt;$AU326),AA326,AO326)))))</f>
        <v>0</v>
      </c>
      <c r="N326" s="317">
        <f>IF(AND($A$2=4,VLOOKUP($A326,'District Level ADM'!$A$5:$W$52,5,FALSE)="Prior Year"),AP326,IF(AND($A$2=4,VLOOKUP($A326,'District Level ADM'!$A$5:$W$52,5,FALSE)="3-Year Avg."),AB326,IF($A$2=2,AP326,IF($A$2=3,AB326,IF(($AG326&gt;$AU326),AB326,AP326)))))</f>
        <v>0</v>
      </c>
      <c r="O326" s="317">
        <f>IF(AND($A$2=4,VLOOKUP($A326,'District Level ADM'!$A$5:$W$52,5,FALSE)="Prior Year"),AQ326,IF(AND($A$2=4,VLOOKUP($A326,'District Level ADM'!$A$5:$W$52,5,FALSE)="3-Year Avg."),AC326,IF($A$2=2,AQ326,IF($A$2=3,AC326,IF(($AG326&gt;$AU326),AC326,AQ326)))))</f>
        <v>0</v>
      </c>
      <c r="P326" s="317">
        <f>IF(AND($A$2=4,VLOOKUP($A326,'District Level ADM'!$A$5:$W$52,5,FALSE)="Prior Year"),AR326,IF(AND($A$2=4,VLOOKUP($A326,'District Level ADM'!$A$5:$W$52,5,FALSE)="3-Year Avg."),AD326,IF($A$2=2,AR326,IF($A$2=3,AD326,IF(($AG326&gt;$AU326),AD326,AR326)))))</f>
        <v>0</v>
      </c>
      <c r="Q326" s="317">
        <f>IF(AND($A$2=4,VLOOKUP($A326,'District Level ADM'!$A$5:$W$52,5,FALSE)="Prior Year"),AS326,IF(AND($A$2=4,VLOOKUP($A326,'District Level ADM'!$A$5:$W$52,5,FALSE)="3-Year Avg."),AE326,IF($A$2=2,AS326,IF($A$2=3,AE326,IF(($AG326&gt;$AU326),AE326,AS326)))))</f>
        <v>0</v>
      </c>
      <c r="R326" s="317">
        <f>IF(AND($A$2=4,VLOOKUP($A326,'District Level ADM'!$A$5:$W$52,5,FALSE)="Prior Year"),AT326,IF(AND($A$2=4,VLOOKUP($A326,'District Level ADM'!$A$5:$W$52,5,FALSE)="3-Year Avg."),AF326,IF($A$2=2,AT326,IF($A$2=3,AF326,IF(($AG326&gt;$AU326),AF326,AT326)))))</f>
        <v>0</v>
      </c>
      <c r="S326" s="317">
        <f t="shared" ref="S326:S359" si="53">SUM(F326:R326)</f>
        <v>51.220000000000006</v>
      </c>
      <c r="T326" s="317">
        <f t="shared" si="50"/>
        <v>9.2690000000000001</v>
      </c>
      <c r="U326" s="317">
        <f t="shared" si="50"/>
        <v>6.9193333333333333</v>
      </c>
      <c r="V326" s="317">
        <f t="shared" si="50"/>
        <v>7.9376666666666678</v>
      </c>
      <c r="W326" s="317">
        <f t="shared" si="50"/>
        <v>7.7209999999999992</v>
      </c>
      <c r="X326" s="317">
        <f t="shared" si="50"/>
        <v>8.1859999999999999</v>
      </c>
      <c r="Y326" s="317">
        <f t="shared" si="50"/>
        <v>8.5750000000000011</v>
      </c>
      <c r="Z326" s="317">
        <f t="shared" si="50"/>
        <v>0</v>
      </c>
      <c r="AA326" s="317">
        <f t="shared" si="50"/>
        <v>0</v>
      </c>
      <c r="AB326" s="317">
        <f t="shared" si="50"/>
        <v>0</v>
      </c>
      <c r="AC326" s="317">
        <f t="shared" si="50"/>
        <v>0</v>
      </c>
      <c r="AD326" s="317">
        <f t="shared" si="51"/>
        <v>0</v>
      </c>
      <c r="AE326" s="317">
        <f t="shared" si="51"/>
        <v>0</v>
      </c>
      <c r="AF326" s="317">
        <f t="shared" si="51"/>
        <v>0</v>
      </c>
      <c r="AG326" s="317">
        <f t="shared" ref="AG326:AG359" si="54">SUM(T326:AF326)</f>
        <v>48.608000000000004</v>
      </c>
      <c r="AH326" s="318">
        <v>10.835000000000001</v>
      </c>
      <c r="AI326" s="318">
        <v>6.8949999999999996</v>
      </c>
      <c r="AJ326" s="318">
        <v>8.8650000000000002</v>
      </c>
      <c r="AK326" s="318">
        <v>7.88</v>
      </c>
      <c r="AL326" s="318">
        <v>6.8949999999999996</v>
      </c>
      <c r="AM326" s="318">
        <v>9.85</v>
      </c>
      <c r="AN326" s="318">
        <v>0</v>
      </c>
      <c r="AO326" s="318">
        <v>0</v>
      </c>
      <c r="AP326" s="318">
        <v>0</v>
      </c>
      <c r="AQ326" s="318">
        <v>0</v>
      </c>
      <c r="AR326" s="318">
        <v>0</v>
      </c>
      <c r="AS326" s="318">
        <v>0</v>
      </c>
      <c r="AT326" s="318">
        <v>0</v>
      </c>
      <c r="AU326" s="317">
        <f t="shared" si="52"/>
        <v>51.220000000000006</v>
      </c>
      <c r="AV326" s="319">
        <v>8.5030000000000001</v>
      </c>
      <c r="AW326" s="319">
        <v>8.36</v>
      </c>
      <c r="AX326" s="319">
        <v>6.4909999999999997</v>
      </c>
      <c r="AY326" s="319">
        <v>5.82</v>
      </c>
      <c r="AZ326" s="319">
        <v>10</v>
      </c>
      <c r="BA326" s="319">
        <v>8.3659999999999997</v>
      </c>
      <c r="BB326" s="319">
        <v>0</v>
      </c>
      <c r="BC326" s="319">
        <v>0</v>
      </c>
      <c r="BD326" s="319">
        <v>0</v>
      </c>
      <c r="BE326" s="319">
        <v>0</v>
      </c>
      <c r="BF326" s="319">
        <v>0</v>
      </c>
      <c r="BG326" s="319">
        <v>0</v>
      </c>
      <c r="BH326" s="319">
        <v>0</v>
      </c>
      <c r="BI326" s="317">
        <f t="shared" si="48"/>
        <v>47.54</v>
      </c>
      <c r="BJ326" s="316">
        <v>8.4689999999999994</v>
      </c>
      <c r="BK326" s="316">
        <v>5.5030000000000001</v>
      </c>
      <c r="BL326" s="316">
        <v>8.4570000000000007</v>
      </c>
      <c r="BM326" s="316">
        <v>9.4629999999999992</v>
      </c>
      <c r="BN326" s="316">
        <v>7.6630000000000003</v>
      </c>
      <c r="BO326" s="316">
        <v>7.5090000000000003</v>
      </c>
      <c r="BP326" s="316">
        <v>0</v>
      </c>
      <c r="BQ326" s="316">
        <v>0</v>
      </c>
      <c r="BR326" s="316">
        <v>0</v>
      </c>
      <c r="BS326" s="316">
        <v>0</v>
      </c>
      <c r="BT326" s="316">
        <v>0</v>
      </c>
      <c r="BU326" s="316">
        <v>0</v>
      </c>
      <c r="BV326" s="316">
        <v>0</v>
      </c>
      <c r="BW326" s="317">
        <f t="shared" si="46"/>
        <v>47.064000000000007</v>
      </c>
    </row>
    <row r="327" spans="1:75" x14ac:dyDescent="0.2">
      <c r="A327" s="20" t="str">
        <f>'School Level Inst. Resources'!A327</f>
        <v>2001000</v>
      </c>
      <c r="B327" s="20" t="str">
        <f>'School Level Inst. Resources'!B327</f>
        <v>Teton #1</v>
      </c>
      <c r="C327" s="20" t="str">
        <f>'School Level Inst. Resources'!C327</f>
        <v>2001004</v>
      </c>
      <c r="D327" s="20" t="str">
        <f>'School Level Inst. Resources'!D327</f>
        <v>Moran Elementary</v>
      </c>
      <c r="E327" s="138" t="str">
        <f>'School Level Inst. Resources'!E327</f>
        <v>K-5</v>
      </c>
      <c r="F327" s="317">
        <f>IF(AND($A$2=4,VLOOKUP($A327,'District Level ADM'!$A$5:$W$52,5,FALSE)="Prior Year"),AH327,IF(AND($A$2=4,VLOOKUP($A327,'District Level ADM'!$A$5:$W$52,5,FALSE)="3-Year Avg."),T327,IF($A$2=2,AH327,IF($A$2=3,T327,IF(($AG327&gt;$AU327),T327,AH327)))))</f>
        <v>3.94</v>
      </c>
      <c r="G327" s="317">
        <f>IF(AND($A$2=4,VLOOKUP($A327,'District Level ADM'!$A$5:$W$52,5,FALSE)="Prior Year"),AI327,IF(AND($A$2=4,VLOOKUP($A327,'District Level ADM'!$A$5:$W$52,5,FALSE)="3-Year Avg."),U327,IF($A$2=2,AI327,IF($A$2=3,U327,IF(($AG327&gt;$AU327),U327,AI327)))))</f>
        <v>1.97</v>
      </c>
      <c r="H327" s="317">
        <f>IF(AND($A$2=4,VLOOKUP($A327,'District Level ADM'!$A$5:$W$52,5,FALSE)="Prior Year"),AJ327,IF(AND($A$2=4,VLOOKUP($A327,'District Level ADM'!$A$5:$W$52,5,FALSE)="3-Year Avg."),V327,IF($A$2=2,AJ327,IF($A$2=3,V327,IF(($AG327&gt;$AU327),V327,AJ327)))))</f>
        <v>1.97</v>
      </c>
      <c r="I327" s="317">
        <f>IF(AND($A$2=4,VLOOKUP($A327,'District Level ADM'!$A$5:$W$52,5,FALSE)="Prior Year"),AK327,IF(AND($A$2=4,VLOOKUP($A327,'District Level ADM'!$A$5:$W$52,5,FALSE)="3-Year Avg."),W327,IF($A$2=2,AK327,IF($A$2=3,W327,IF(($AG327&gt;$AU327),W327,AK327)))))</f>
        <v>5.91</v>
      </c>
      <c r="J327" s="317">
        <f>IF(AND($A$2=4,VLOOKUP($A327,'District Level ADM'!$A$5:$W$52,5,FALSE)="Prior Year"),AL327,IF(AND($A$2=4,VLOOKUP($A327,'District Level ADM'!$A$5:$W$52,5,FALSE)="3-Year Avg."),X327,IF($A$2=2,AL327,IF($A$2=3,X327,IF(($AG327&gt;$AU327),X327,AL327)))))</f>
        <v>1.97</v>
      </c>
      <c r="K327" s="317">
        <f>IF(AND($A$2=4,VLOOKUP($A327,'District Level ADM'!$A$5:$W$52,5,FALSE)="Prior Year"),AM327,IF(AND($A$2=4,VLOOKUP($A327,'District Level ADM'!$A$5:$W$52,5,FALSE)="3-Year Avg."),Y327,IF($A$2=2,AM327,IF($A$2=3,Y327,IF(($AG327&gt;$AU327),Y327,AM327)))))</f>
        <v>1.97</v>
      </c>
      <c r="L327" s="317">
        <f>IF(AND($A$2=4,VLOOKUP($A327,'District Level ADM'!$A$5:$W$52,5,FALSE)="Prior Year"),AN327,IF(AND($A$2=4,VLOOKUP($A327,'District Level ADM'!$A$5:$W$52,5,FALSE)="3-Year Avg."),Z327,IF($A$2=2,AN327,IF($A$2=3,Z327,IF(($AG327&gt;$AU327),Z327,AN327)))))</f>
        <v>0</v>
      </c>
      <c r="M327" s="317">
        <f>IF(AND($A$2=4,VLOOKUP($A327,'District Level ADM'!$A$5:$W$52,5,FALSE)="Prior Year"),AO327,IF(AND($A$2=4,VLOOKUP($A327,'District Level ADM'!$A$5:$W$52,5,FALSE)="3-Year Avg."),AA327,IF($A$2=2,AO327,IF($A$2=3,AA327,IF(($AG327&gt;$AU327),AA327,AO327)))))</f>
        <v>0</v>
      </c>
      <c r="N327" s="317">
        <f>IF(AND($A$2=4,VLOOKUP($A327,'District Level ADM'!$A$5:$W$52,5,FALSE)="Prior Year"),AP327,IF(AND($A$2=4,VLOOKUP($A327,'District Level ADM'!$A$5:$W$52,5,FALSE)="3-Year Avg."),AB327,IF($A$2=2,AP327,IF($A$2=3,AB327,IF(($AG327&gt;$AU327),AB327,AP327)))))</f>
        <v>0</v>
      </c>
      <c r="O327" s="317">
        <f>IF(AND($A$2=4,VLOOKUP($A327,'District Level ADM'!$A$5:$W$52,5,FALSE)="Prior Year"),AQ327,IF(AND($A$2=4,VLOOKUP($A327,'District Level ADM'!$A$5:$W$52,5,FALSE)="3-Year Avg."),AC327,IF($A$2=2,AQ327,IF($A$2=3,AC327,IF(($AG327&gt;$AU327),AC327,AQ327)))))</f>
        <v>0</v>
      </c>
      <c r="P327" s="317">
        <f>IF(AND($A$2=4,VLOOKUP($A327,'District Level ADM'!$A$5:$W$52,5,FALSE)="Prior Year"),AR327,IF(AND($A$2=4,VLOOKUP($A327,'District Level ADM'!$A$5:$W$52,5,FALSE)="3-Year Avg."),AD327,IF($A$2=2,AR327,IF($A$2=3,AD327,IF(($AG327&gt;$AU327),AD327,AR327)))))</f>
        <v>0</v>
      </c>
      <c r="Q327" s="317">
        <f>IF(AND($A$2=4,VLOOKUP($A327,'District Level ADM'!$A$5:$W$52,5,FALSE)="Prior Year"),AS327,IF(AND($A$2=4,VLOOKUP($A327,'District Level ADM'!$A$5:$W$52,5,FALSE)="3-Year Avg."),AE327,IF($A$2=2,AS327,IF($A$2=3,AE327,IF(($AG327&gt;$AU327),AE327,AS327)))))</f>
        <v>0</v>
      </c>
      <c r="R327" s="317">
        <f>IF(AND($A$2=4,VLOOKUP($A327,'District Level ADM'!$A$5:$W$52,5,FALSE)="Prior Year"),AT327,IF(AND($A$2=4,VLOOKUP($A327,'District Level ADM'!$A$5:$W$52,5,FALSE)="3-Year Avg."),AF327,IF($A$2=2,AT327,IF($A$2=3,AF327,IF(($AG327&gt;$AU327),AF327,AT327)))))</f>
        <v>0</v>
      </c>
      <c r="S327" s="317">
        <f t="shared" si="53"/>
        <v>17.73</v>
      </c>
      <c r="T327" s="317">
        <f t="shared" si="50"/>
        <v>2.8256666666666668</v>
      </c>
      <c r="U327" s="317">
        <f t="shared" si="50"/>
        <v>3.3233333333333328</v>
      </c>
      <c r="V327" s="317">
        <f t="shared" si="50"/>
        <v>3.0489999999999999</v>
      </c>
      <c r="W327" s="317">
        <f t="shared" si="50"/>
        <v>2.6366666666666667</v>
      </c>
      <c r="X327" s="317">
        <f t="shared" si="50"/>
        <v>2.2643333333333331</v>
      </c>
      <c r="Y327" s="317">
        <f t="shared" si="50"/>
        <v>2.988</v>
      </c>
      <c r="Z327" s="317">
        <f t="shared" si="50"/>
        <v>0</v>
      </c>
      <c r="AA327" s="317">
        <f t="shared" si="50"/>
        <v>0</v>
      </c>
      <c r="AB327" s="317">
        <f t="shared" si="50"/>
        <v>0</v>
      </c>
      <c r="AC327" s="317">
        <f t="shared" si="50"/>
        <v>0</v>
      </c>
      <c r="AD327" s="317">
        <f t="shared" si="51"/>
        <v>0</v>
      </c>
      <c r="AE327" s="317">
        <f t="shared" si="51"/>
        <v>0</v>
      </c>
      <c r="AF327" s="317">
        <f t="shared" si="51"/>
        <v>0</v>
      </c>
      <c r="AG327" s="317">
        <f t="shared" si="54"/>
        <v>17.087</v>
      </c>
      <c r="AH327" s="318">
        <v>3.94</v>
      </c>
      <c r="AI327" s="318">
        <v>1.97</v>
      </c>
      <c r="AJ327" s="318">
        <v>1.97</v>
      </c>
      <c r="AK327" s="318">
        <v>5.91</v>
      </c>
      <c r="AL327" s="318">
        <v>1.97</v>
      </c>
      <c r="AM327" s="318">
        <v>1.97</v>
      </c>
      <c r="AN327" s="318">
        <v>0</v>
      </c>
      <c r="AO327" s="318">
        <v>0</v>
      </c>
      <c r="AP327" s="318">
        <v>0</v>
      </c>
      <c r="AQ327" s="318">
        <v>0</v>
      </c>
      <c r="AR327" s="318">
        <v>0</v>
      </c>
      <c r="AS327" s="318">
        <v>0</v>
      </c>
      <c r="AT327" s="318">
        <v>0</v>
      </c>
      <c r="AU327" s="317">
        <f t="shared" si="52"/>
        <v>17.73</v>
      </c>
      <c r="AV327" s="319">
        <v>2</v>
      </c>
      <c r="AW327" s="319">
        <v>2</v>
      </c>
      <c r="AX327" s="319">
        <v>6</v>
      </c>
      <c r="AY327" s="319">
        <v>1</v>
      </c>
      <c r="AZ327" s="319">
        <v>1</v>
      </c>
      <c r="BA327" s="319">
        <v>3.9940000000000002</v>
      </c>
      <c r="BB327" s="319">
        <v>0</v>
      </c>
      <c r="BC327" s="319">
        <v>0</v>
      </c>
      <c r="BD327" s="319">
        <v>0</v>
      </c>
      <c r="BE327" s="319">
        <v>0</v>
      </c>
      <c r="BF327" s="319">
        <v>0</v>
      </c>
      <c r="BG327" s="319">
        <v>0</v>
      </c>
      <c r="BH327" s="319">
        <v>0</v>
      </c>
      <c r="BI327" s="317">
        <f t="shared" si="48"/>
        <v>15.994</v>
      </c>
      <c r="BJ327" s="316">
        <v>2.5369999999999999</v>
      </c>
      <c r="BK327" s="316">
        <v>6</v>
      </c>
      <c r="BL327" s="316">
        <v>1.177</v>
      </c>
      <c r="BM327" s="316">
        <v>1</v>
      </c>
      <c r="BN327" s="316">
        <v>3.823</v>
      </c>
      <c r="BO327" s="316">
        <v>3</v>
      </c>
      <c r="BP327" s="316">
        <v>0</v>
      </c>
      <c r="BQ327" s="316">
        <v>0</v>
      </c>
      <c r="BR327" s="316">
        <v>0</v>
      </c>
      <c r="BS327" s="316">
        <v>0</v>
      </c>
      <c r="BT327" s="316">
        <v>0</v>
      </c>
      <c r="BU327" s="316">
        <v>0</v>
      </c>
      <c r="BV327" s="316">
        <v>0</v>
      </c>
      <c r="BW327" s="317">
        <f t="shared" ref="BW327:BW359" si="55">SUM(BJ327:BV327)</f>
        <v>17.536999999999999</v>
      </c>
    </row>
    <row r="328" spans="1:75" x14ac:dyDescent="0.2">
      <c r="A328" s="20" t="str">
        <f>'School Level Inst. Resources'!A328</f>
        <v>2001000</v>
      </c>
      <c r="B328" s="20" t="str">
        <f>'School Level Inst. Resources'!B328</f>
        <v>Teton #1</v>
      </c>
      <c r="C328" s="20" t="str">
        <f>'School Level Inst. Resources'!C328</f>
        <v>2001005</v>
      </c>
      <c r="D328" s="20" t="str">
        <f>'School Level Inst. Resources'!D328</f>
        <v>Wilson Elementary</v>
      </c>
      <c r="E328" s="138" t="str">
        <f>'School Level Inst. Resources'!E328</f>
        <v>K-5</v>
      </c>
      <c r="F328" s="317">
        <f>IF(AND($A$2=4,VLOOKUP($A328,'District Level ADM'!$A$5:$W$52,5,FALSE)="Prior Year"),AH328,IF(AND($A$2=4,VLOOKUP($A328,'District Level ADM'!$A$5:$W$52,5,FALSE)="3-Year Avg."),T328,IF($A$2=2,AH328,IF($A$2=3,T328,IF(($AG328&gt;$AU328),T328,AH328)))))</f>
        <v>29.55</v>
      </c>
      <c r="G328" s="317">
        <f>IF(AND($A$2=4,VLOOKUP($A328,'District Level ADM'!$A$5:$W$52,5,FALSE)="Prior Year"),AI328,IF(AND($A$2=4,VLOOKUP($A328,'District Level ADM'!$A$5:$W$52,5,FALSE)="3-Year Avg."),U328,IF($A$2=2,AI328,IF($A$2=3,U328,IF(($AG328&gt;$AU328),U328,AI328)))))</f>
        <v>31.52</v>
      </c>
      <c r="H328" s="317">
        <f>IF(AND($A$2=4,VLOOKUP($A328,'District Level ADM'!$A$5:$W$52,5,FALSE)="Prior Year"),AJ328,IF(AND($A$2=4,VLOOKUP($A328,'District Level ADM'!$A$5:$W$52,5,FALSE)="3-Year Avg."),V328,IF($A$2=2,AJ328,IF($A$2=3,V328,IF(($AG328&gt;$AU328),V328,AJ328)))))</f>
        <v>44.325000000000003</v>
      </c>
      <c r="I328" s="317">
        <f>IF(AND($A$2=4,VLOOKUP($A328,'District Level ADM'!$A$5:$W$52,5,FALSE)="Prior Year"),AK328,IF(AND($A$2=4,VLOOKUP($A328,'District Level ADM'!$A$5:$W$52,5,FALSE)="3-Year Avg."),W328,IF($A$2=2,AK328,IF($A$2=3,W328,IF(($AG328&gt;$AU328),W328,AK328)))))</f>
        <v>37.43</v>
      </c>
      <c r="J328" s="317">
        <f>IF(AND($A$2=4,VLOOKUP($A328,'District Level ADM'!$A$5:$W$52,5,FALSE)="Prior Year"),AL328,IF(AND($A$2=4,VLOOKUP($A328,'District Level ADM'!$A$5:$W$52,5,FALSE)="3-Year Avg."),X328,IF($A$2=2,AL328,IF($A$2=3,X328,IF(($AG328&gt;$AU328),X328,AL328)))))</f>
        <v>31.52</v>
      </c>
      <c r="K328" s="317">
        <f>IF(AND($A$2=4,VLOOKUP($A328,'District Level ADM'!$A$5:$W$52,5,FALSE)="Prior Year"),AM328,IF(AND($A$2=4,VLOOKUP($A328,'District Level ADM'!$A$5:$W$52,5,FALSE)="3-Year Avg."),Y328,IF($A$2=2,AM328,IF($A$2=3,Y328,IF(($AG328&gt;$AU328),Y328,AM328)))))</f>
        <v>46.295000000000002</v>
      </c>
      <c r="L328" s="317">
        <f>IF(AND($A$2=4,VLOOKUP($A328,'District Level ADM'!$A$5:$W$52,5,FALSE)="Prior Year"),AN328,IF(AND($A$2=4,VLOOKUP($A328,'District Level ADM'!$A$5:$W$52,5,FALSE)="3-Year Avg."),Z328,IF($A$2=2,AN328,IF($A$2=3,Z328,IF(($AG328&gt;$AU328),Z328,AN328)))))</f>
        <v>0</v>
      </c>
      <c r="M328" s="317">
        <f>IF(AND($A$2=4,VLOOKUP($A328,'District Level ADM'!$A$5:$W$52,5,FALSE)="Prior Year"),AO328,IF(AND($A$2=4,VLOOKUP($A328,'District Level ADM'!$A$5:$W$52,5,FALSE)="3-Year Avg."),AA328,IF($A$2=2,AO328,IF($A$2=3,AA328,IF(($AG328&gt;$AU328),AA328,AO328)))))</f>
        <v>0</v>
      </c>
      <c r="N328" s="317">
        <f>IF(AND($A$2=4,VLOOKUP($A328,'District Level ADM'!$A$5:$W$52,5,FALSE)="Prior Year"),AP328,IF(AND($A$2=4,VLOOKUP($A328,'District Level ADM'!$A$5:$W$52,5,FALSE)="3-Year Avg."),AB328,IF($A$2=2,AP328,IF($A$2=3,AB328,IF(($AG328&gt;$AU328),AB328,AP328)))))</f>
        <v>0</v>
      </c>
      <c r="O328" s="317">
        <f>IF(AND($A$2=4,VLOOKUP($A328,'District Level ADM'!$A$5:$W$52,5,FALSE)="Prior Year"),AQ328,IF(AND($A$2=4,VLOOKUP($A328,'District Level ADM'!$A$5:$W$52,5,FALSE)="3-Year Avg."),AC328,IF($A$2=2,AQ328,IF($A$2=3,AC328,IF(($AG328&gt;$AU328),AC328,AQ328)))))</f>
        <v>0</v>
      </c>
      <c r="P328" s="317">
        <f>IF(AND($A$2=4,VLOOKUP($A328,'District Level ADM'!$A$5:$W$52,5,FALSE)="Prior Year"),AR328,IF(AND($A$2=4,VLOOKUP($A328,'District Level ADM'!$A$5:$W$52,5,FALSE)="3-Year Avg."),AD328,IF($A$2=2,AR328,IF($A$2=3,AD328,IF(($AG328&gt;$AU328),AD328,AR328)))))</f>
        <v>0</v>
      </c>
      <c r="Q328" s="317">
        <f>IF(AND($A$2=4,VLOOKUP($A328,'District Level ADM'!$A$5:$W$52,5,FALSE)="Prior Year"),AS328,IF(AND($A$2=4,VLOOKUP($A328,'District Level ADM'!$A$5:$W$52,5,FALSE)="3-Year Avg."),AE328,IF($A$2=2,AS328,IF($A$2=3,AE328,IF(($AG328&gt;$AU328),AE328,AS328)))))</f>
        <v>0</v>
      </c>
      <c r="R328" s="317">
        <f>IF(AND($A$2=4,VLOOKUP($A328,'District Level ADM'!$A$5:$W$52,5,FALSE)="Prior Year"),AT328,IF(AND($A$2=4,VLOOKUP($A328,'District Level ADM'!$A$5:$W$52,5,FALSE)="3-Year Avg."),AF328,IF($A$2=2,AT328,IF($A$2=3,AF328,IF(($AG328&gt;$AU328),AF328,AT328)))))</f>
        <v>0</v>
      </c>
      <c r="S328" s="317">
        <f t="shared" si="53"/>
        <v>220.64000000000004</v>
      </c>
      <c r="T328" s="317">
        <f t="shared" si="50"/>
        <v>34.253999999999998</v>
      </c>
      <c r="U328" s="317">
        <f t="shared" si="50"/>
        <v>37.411333333333339</v>
      </c>
      <c r="V328" s="317">
        <f t="shared" si="50"/>
        <v>37.472000000000001</v>
      </c>
      <c r="W328" s="317">
        <f t="shared" si="50"/>
        <v>37.836666666666666</v>
      </c>
      <c r="X328" s="317">
        <f t="shared" si="50"/>
        <v>38.927666666666667</v>
      </c>
      <c r="Y328" s="317">
        <f t="shared" si="50"/>
        <v>39.740333333333332</v>
      </c>
      <c r="Z328" s="317">
        <f t="shared" si="50"/>
        <v>0</v>
      </c>
      <c r="AA328" s="317">
        <f t="shared" si="50"/>
        <v>0</v>
      </c>
      <c r="AB328" s="317">
        <f t="shared" si="50"/>
        <v>0</v>
      </c>
      <c r="AC328" s="317">
        <f t="shared" si="50"/>
        <v>0</v>
      </c>
      <c r="AD328" s="317">
        <f t="shared" si="51"/>
        <v>0</v>
      </c>
      <c r="AE328" s="317">
        <f t="shared" si="51"/>
        <v>0</v>
      </c>
      <c r="AF328" s="317">
        <f t="shared" si="51"/>
        <v>0</v>
      </c>
      <c r="AG328" s="317">
        <f t="shared" si="54"/>
        <v>225.64200000000002</v>
      </c>
      <c r="AH328" s="318">
        <v>29.55</v>
      </c>
      <c r="AI328" s="318">
        <v>31.52</v>
      </c>
      <c r="AJ328" s="318">
        <v>44.325000000000003</v>
      </c>
      <c r="AK328" s="318">
        <v>37.43</v>
      </c>
      <c r="AL328" s="318">
        <v>31.52</v>
      </c>
      <c r="AM328" s="318">
        <v>46.295000000000002</v>
      </c>
      <c r="AN328" s="318">
        <v>0</v>
      </c>
      <c r="AO328" s="318">
        <v>0</v>
      </c>
      <c r="AP328" s="318">
        <v>0</v>
      </c>
      <c r="AQ328" s="318">
        <v>0</v>
      </c>
      <c r="AR328" s="318">
        <v>0</v>
      </c>
      <c r="AS328" s="318">
        <v>0</v>
      </c>
      <c r="AT328" s="318">
        <v>0</v>
      </c>
      <c r="AU328" s="317">
        <f t="shared" si="52"/>
        <v>220.64000000000004</v>
      </c>
      <c r="AV328" s="319">
        <v>30.629000000000001</v>
      </c>
      <c r="AW328" s="319">
        <v>45.017000000000003</v>
      </c>
      <c r="AX328" s="319">
        <v>38.570999999999998</v>
      </c>
      <c r="AY328" s="319">
        <v>29.12</v>
      </c>
      <c r="AZ328" s="319">
        <v>47.393999999999998</v>
      </c>
      <c r="BA328" s="319">
        <v>33.749000000000002</v>
      </c>
      <c r="BB328" s="319">
        <v>0</v>
      </c>
      <c r="BC328" s="319">
        <v>0</v>
      </c>
      <c r="BD328" s="319">
        <v>0</v>
      </c>
      <c r="BE328" s="319">
        <v>0</v>
      </c>
      <c r="BF328" s="319">
        <v>0</v>
      </c>
      <c r="BG328" s="319">
        <v>0</v>
      </c>
      <c r="BH328" s="319">
        <v>0</v>
      </c>
      <c r="BI328" s="317">
        <f t="shared" si="48"/>
        <v>224.48</v>
      </c>
      <c r="BJ328" s="316">
        <v>42.582999999999998</v>
      </c>
      <c r="BK328" s="316">
        <v>35.697000000000003</v>
      </c>
      <c r="BL328" s="316">
        <v>29.52</v>
      </c>
      <c r="BM328" s="316">
        <v>46.96</v>
      </c>
      <c r="BN328" s="316">
        <v>37.869</v>
      </c>
      <c r="BO328" s="316">
        <v>39.177</v>
      </c>
      <c r="BP328" s="316">
        <v>0</v>
      </c>
      <c r="BQ328" s="316">
        <v>0</v>
      </c>
      <c r="BR328" s="316">
        <v>0</v>
      </c>
      <c r="BS328" s="316">
        <v>0</v>
      </c>
      <c r="BT328" s="316">
        <v>0</v>
      </c>
      <c r="BU328" s="316">
        <v>0</v>
      </c>
      <c r="BV328" s="316">
        <v>0</v>
      </c>
      <c r="BW328" s="317">
        <f t="shared" si="55"/>
        <v>231.80599999999998</v>
      </c>
    </row>
    <row r="329" spans="1:75" x14ac:dyDescent="0.2">
      <c r="A329" s="20" t="str">
        <f>'School Level Inst. Resources'!A329</f>
        <v>2001000</v>
      </c>
      <c r="B329" s="20" t="str">
        <f>'School Level Inst. Resources'!B329</f>
        <v>Teton #1</v>
      </c>
      <c r="C329" s="20" t="str">
        <f>'School Level Inst. Resources'!C329</f>
        <v>2001009</v>
      </c>
      <c r="D329" s="20" t="str">
        <f>'School Level Inst. Resources'!D329</f>
        <v>Colter Elementary</v>
      </c>
      <c r="E329" s="138" t="str">
        <f>'School Level Inst. Resources'!E329</f>
        <v>K-5</v>
      </c>
      <c r="F329" s="317">
        <f>IF(AND($A$2=4,VLOOKUP($A329,'District Level ADM'!$A$5:$W$52,5,FALSE)="Prior Year"),AH329,IF(AND($A$2=4,VLOOKUP($A329,'District Level ADM'!$A$5:$W$52,5,FALSE)="3-Year Avg."),T329,IF($A$2=2,AH329,IF($A$2=3,T329,IF(($AG329&gt;$AU329),T329,AH329)))))</f>
        <v>76.83</v>
      </c>
      <c r="G329" s="317">
        <f>IF(AND($A$2=4,VLOOKUP($A329,'District Level ADM'!$A$5:$W$52,5,FALSE)="Prior Year"),AI329,IF(AND($A$2=4,VLOOKUP($A329,'District Level ADM'!$A$5:$W$52,5,FALSE)="3-Year Avg."),U329,IF($A$2=2,AI329,IF($A$2=3,U329,IF(($AG329&gt;$AU329),U329,AI329)))))</f>
        <v>46.295000000000002</v>
      </c>
      <c r="H329" s="317">
        <f>IF(AND($A$2=4,VLOOKUP($A329,'District Level ADM'!$A$5:$W$52,5,FALSE)="Prior Year"),AJ329,IF(AND($A$2=4,VLOOKUP($A329,'District Level ADM'!$A$5:$W$52,5,FALSE)="3-Year Avg."),V329,IF($A$2=2,AJ329,IF($A$2=3,V329,IF(($AG329&gt;$AU329),V329,AJ329)))))</f>
        <v>50.234999999999999</v>
      </c>
      <c r="I329" s="317">
        <f>IF(AND($A$2=4,VLOOKUP($A329,'District Level ADM'!$A$5:$W$52,5,FALSE)="Prior Year"),AK329,IF(AND($A$2=4,VLOOKUP($A329,'District Level ADM'!$A$5:$W$52,5,FALSE)="3-Year Avg."),W329,IF($A$2=2,AK329,IF($A$2=3,W329,IF(($AG329&gt;$AU329),W329,AK329)))))</f>
        <v>58.115000000000002</v>
      </c>
      <c r="J329" s="317">
        <f>IF(AND($A$2=4,VLOOKUP($A329,'District Level ADM'!$A$5:$W$52,5,FALSE)="Prior Year"),AL329,IF(AND($A$2=4,VLOOKUP($A329,'District Level ADM'!$A$5:$W$52,5,FALSE)="3-Year Avg."),X329,IF($A$2=2,AL329,IF($A$2=3,X329,IF(($AG329&gt;$AU329),X329,AL329)))))</f>
        <v>153.66</v>
      </c>
      <c r="K329" s="317">
        <f>IF(AND($A$2=4,VLOOKUP($A329,'District Level ADM'!$A$5:$W$52,5,FALSE)="Prior Year"),AM329,IF(AND($A$2=4,VLOOKUP($A329,'District Level ADM'!$A$5:$W$52,5,FALSE)="3-Year Avg."),Y329,IF($A$2=2,AM329,IF($A$2=3,Y329,IF(($AG329&gt;$AU329),Y329,AM329)))))</f>
        <v>138.88499999999999</v>
      </c>
      <c r="L329" s="317">
        <f>IF(AND($A$2=4,VLOOKUP($A329,'District Level ADM'!$A$5:$W$52,5,FALSE)="Prior Year"),AN329,IF(AND($A$2=4,VLOOKUP($A329,'District Level ADM'!$A$5:$W$52,5,FALSE)="3-Year Avg."),Z329,IF($A$2=2,AN329,IF($A$2=3,Z329,IF(($AG329&gt;$AU329),Z329,AN329)))))</f>
        <v>0</v>
      </c>
      <c r="M329" s="317">
        <f>IF(AND($A$2=4,VLOOKUP($A329,'District Level ADM'!$A$5:$W$52,5,FALSE)="Prior Year"),AO329,IF(AND($A$2=4,VLOOKUP($A329,'District Level ADM'!$A$5:$W$52,5,FALSE)="3-Year Avg."),AA329,IF($A$2=2,AO329,IF($A$2=3,AA329,IF(($AG329&gt;$AU329),AA329,AO329)))))</f>
        <v>0</v>
      </c>
      <c r="N329" s="317">
        <f>IF(AND($A$2=4,VLOOKUP($A329,'District Level ADM'!$A$5:$W$52,5,FALSE)="Prior Year"),AP329,IF(AND($A$2=4,VLOOKUP($A329,'District Level ADM'!$A$5:$W$52,5,FALSE)="3-Year Avg."),AB329,IF($A$2=2,AP329,IF($A$2=3,AB329,IF(($AG329&gt;$AU329),AB329,AP329)))))</f>
        <v>0</v>
      </c>
      <c r="O329" s="317">
        <f>IF(AND($A$2=4,VLOOKUP($A329,'District Level ADM'!$A$5:$W$52,5,FALSE)="Prior Year"),AQ329,IF(AND($A$2=4,VLOOKUP($A329,'District Level ADM'!$A$5:$W$52,5,FALSE)="3-Year Avg."),AC329,IF($A$2=2,AQ329,IF($A$2=3,AC329,IF(($AG329&gt;$AU329),AC329,AQ329)))))</f>
        <v>0</v>
      </c>
      <c r="P329" s="317">
        <f>IF(AND($A$2=4,VLOOKUP($A329,'District Level ADM'!$A$5:$W$52,5,FALSE)="Prior Year"),AR329,IF(AND($A$2=4,VLOOKUP($A329,'District Level ADM'!$A$5:$W$52,5,FALSE)="3-Year Avg."),AD329,IF($A$2=2,AR329,IF($A$2=3,AD329,IF(($AG329&gt;$AU329),AD329,AR329)))))</f>
        <v>0</v>
      </c>
      <c r="Q329" s="317">
        <f>IF(AND($A$2=4,VLOOKUP($A329,'District Level ADM'!$A$5:$W$52,5,FALSE)="Prior Year"),AS329,IF(AND($A$2=4,VLOOKUP($A329,'District Level ADM'!$A$5:$W$52,5,FALSE)="3-Year Avg."),AE329,IF($A$2=2,AS329,IF($A$2=3,AE329,IF(($AG329&gt;$AU329),AE329,AS329)))))</f>
        <v>0</v>
      </c>
      <c r="R329" s="317">
        <f>IF(AND($A$2=4,VLOOKUP($A329,'District Level ADM'!$A$5:$W$52,5,FALSE)="Prior Year"),AT329,IF(AND($A$2=4,VLOOKUP($A329,'District Level ADM'!$A$5:$W$52,5,FALSE)="3-Year Avg."),AF329,IF($A$2=2,AT329,IF($A$2=3,AF329,IF(($AG329&gt;$AU329),AF329,AT329)))))</f>
        <v>0</v>
      </c>
      <c r="S329" s="317">
        <f t="shared" si="53"/>
        <v>524.02</v>
      </c>
      <c r="T329" s="317">
        <f t="shared" si="50"/>
        <v>86.538666666666657</v>
      </c>
      <c r="U329" s="317">
        <f t="shared" si="50"/>
        <v>79.792500000000004</v>
      </c>
      <c r="V329" s="317">
        <f t="shared" si="50"/>
        <v>82.206000000000003</v>
      </c>
      <c r="W329" s="317">
        <f t="shared" si="50"/>
        <v>82.356333333333325</v>
      </c>
      <c r="X329" s="317">
        <f t="shared" si="50"/>
        <v>113.62483333333334</v>
      </c>
      <c r="Y329" s="317">
        <f t="shared" si="50"/>
        <v>108.85783333333332</v>
      </c>
      <c r="Z329" s="317">
        <f t="shared" si="50"/>
        <v>0</v>
      </c>
      <c r="AA329" s="317">
        <f t="shared" si="50"/>
        <v>0</v>
      </c>
      <c r="AB329" s="317">
        <f t="shared" si="50"/>
        <v>0</v>
      </c>
      <c r="AC329" s="317">
        <f t="shared" si="50"/>
        <v>0</v>
      </c>
      <c r="AD329" s="317">
        <f t="shared" si="51"/>
        <v>0</v>
      </c>
      <c r="AE329" s="317">
        <f t="shared" si="51"/>
        <v>0</v>
      </c>
      <c r="AF329" s="317">
        <f t="shared" si="51"/>
        <v>0</v>
      </c>
      <c r="AG329" s="317">
        <f t="shared" si="54"/>
        <v>553.37616666666668</v>
      </c>
      <c r="AH329" s="318">
        <v>76.83</v>
      </c>
      <c r="AI329" s="318">
        <v>46.295000000000002</v>
      </c>
      <c r="AJ329" s="318">
        <v>50.234999999999999</v>
      </c>
      <c r="AK329" s="318">
        <v>58.115000000000002</v>
      </c>
      <c r="AL329" s="318">
        <v>153.66</v>
      </c>
      <c r="AM329" s="318">
        <v>138.88499999999999</v>
      </c>
      <c r="AN329" s="318">
        <v>0</v>
      </c>
      <c r="AO329" s="318">
        <v>0</v>
      </c>
      <c r="AP329" s="318">
        <v>0</v>
      </c>
      <c r="AQ329" s="318">
        <v>0</v>
      </c>
      <c r="AR329" s="318">
        <v>0</v>
      </c>
      <c r="AS329" s="318">
        <v>0</v>
      </c>
      <c r="AT329" s="318">
        <v>0</v>
      </c>
      <c r="AU329" s="317">
        <f t="shared" si="52"/>
        <v>524.02</v>
      </c>
      <c r="AV329" s="319">
        <v>90.582999999999998</v>
      </c>
      <c r="AW329" s="319">
        <v>90.257000000000005</v>
      </c>
      <c r="AX329" s="319">
        <v>98.82</v>
      </c>
      <c r="AY329" s="319">
        <v>97.997</v>
      </c>
      <c r="AZ329" s="319">
        <v>89.742999999999995</v>
      </c>
      <c r="BA329" s="319">
        <v>96.645499999999998</v>
      </c>
      <c r="BB329" s="319">
        <v>0</v>
      </c>
      <c r="BC329" s="319">
        <v>0</v>
      </c>
      <c r="BD329" s="319">
        <v>0</v>
      </c>
      <c r="BE329" s="319">
        <v>0</v>
      </c>
      <c r="BF329" s="319">
        <v>0</v>
      </c>
      <c r="BG329" s="319">
        <v>0</v>
      </c>
      <c r="BH329" s="319">
        <v>0</v>
      </c>
      <c r="BI329" s="317">
        <f t="shared" ref="BI329:BI359" si="56">SUM(AV329:BH329)</f>
        <v>564.04549999999995</v>
      </c>
      <c r="BJ329" s="316">
        <v>92.203000000000003</v>
      </c>
      <c r="BK329" s="316">
        <v>102.82550000000001</v>
      </c>
      <c r="BL329" s="316">
        <v>97.563000000000002</v>
      </c>
      <c r="BM329" s="316">
        <v>90.956999999999994</v>
      </c>
      <c r="BN329" s="316">
        <v>97.471500000000006</v>
      </c>
      <c r="BO329" s="316">
        <v>91.043000000000006</v>
      </c>
      <c r="BP329" s="316">
        <v>0</v>
      </c>
      <c r="BQ329" s="316">
        <v>0</v>
      </c>
      <c r="BR329" s="316">
        <v>0</v>
      </c>
      <c r="BS329" s="316">
        <v>0</v>
      </c>
      <c r="BT329" s="316">
        <v>0</v>
      </c>
      <c r="BU329" s="316">
        <v>0</v>
      </c>
      <c r="BV329" s="316">
        <v>0</v>
      </c>
      <c r="BW329" s="317">
        <f t="shared" si="55"/>
        <v>572.06299999999999</v>
      </c>
    </row>
    <row r="330" spans="1:75" x14ac:dyDescent="0.2">
      <c r="A330" s="20" t="str">
        <f>'School Level Inst. Resources'!A330</f>
        <v>2001000</v>
      </c>
      <c r="B330" s="20" t="str">
        <f>'School Level Inst. Resources'!B330</f>
        <v>Teton #1</v>
      </c>
      <c r="C330" s="20" t="str">
        <f>'School Level Inst. Resources'!C330</f>
        <v>2001010</v>
      </c>
      <c r="D330" s="20" t="str">
        <f>'School Level Inst. Resources'!D330</f>
        <v>Jackson Elementary</v>
      </c>
      <c r="E330" s="138" t="str">
        <f>'School Level Inst. Resources'!E330</f>
        <v>K-5</v>
      </c>
      <c r="F330" s="317">
        <f>IF(AND($A$2=4,VLOOKUP($A330,'District Level ADM'!$A$5:$W$52,5,FALSE)="Prior Year"),AH330,IF(AND($A$2=4,VLOOKUP($A330,'District Level ADM'!$A$5:$W$52,5,FALSE)="3-Year Avg."),T330,IF($A$2=2,AH330,IF($A$2=3,T330,IF(($AG330&gt;$AU330),T330,AH330)))))</f>
        <v>87.665000000000006</v>
      </c>
      <c r="G330" s="317">
        <f>IF(AND($A$2=4,VLOOKUP($A330,'District Level ADM'!$A$5:$W$52,5,FALSE)="Prior Year"),AI330,IF(AND($A$2=4,VLOOKUP($A330,'District Level ADM'!$A$5:$W$52,5,FALSE)="3-Year Avg."),U330,IF($A$2=2,AI330,IF($A$2=3,U330,IF(($AG330&gt;$AU330),U330,AI330)))))</f>
        <v>127.065</v>
      </c>
      <c r="H330" s="317">
        <f>IF(AND($A$2=4,VLOOKUP($A330,'District Level ADM'!$A$5:$W$52,5,FALSE)="Prior Year"),AJ330,IF(AND($A$2=4,VLOOKUP($A330,'District Level ADM'!$A$5:$W$52,5,FALSE)="3-Year Avg."),V330,IF($A$2=2,AJ330,IF($A$2=3,V330,IF(($AG330&gt;$AU330),V330,AJ330)))))</f>
        <v>133.96</v>
      </c>
      <c r="I330" s="317">
        <f>IF(AND($A$2=4,VLOOKUP($A330,'District Level ADM'!$A$5:$W$52,5,FALSE)="Prior Year"),AK330,IF(AND($A$2=4,VLOOKUP($A330,'District Level ADM'!$A$5:$W$52,5,FALSE)="3-Year Avg."),W330,IF($A$2=2,AK330,IF($A$2=3,W330,IF(($AG330&gt;$AU330),W330,AK330)))))</f>
        <v>131.99</v>
      </c>
      <c r="J330" s="317">
        <f>IF(AND($A$2=4,VLOOKUP($A330,'District Level ADM'!$A$5:$W$52,5,FALSE)="Prior Year"),AL330,IF(AND($A$2=4,VLOOKUP($A330,'District Level ADM'!$A$5:$W$52,5,FALSE)="3-Year Avg."),X330,IF($A$2=2,AL330,IF($A$2=3,X330,IF(($AG330&gt;$AU330),X330,AL330)))))</f>
        <v>36.445</v>
      </c>
      <c r="K330" s="317">
        <f>IF(AND($A$2=4,VLOOKUP($A330,'District Level ADM'!$A$5:$W$52,5,FALSE)="Prior Year"),AM330,IF(AND($A$2=4,VLOOKUP($A330,'District Level ADM'!$A$5:$W$52,5,FALSE)="3-Year Avg."),Y330,IF($A$2=2,AM330,IF($A$2=3,Y330,IF(($AG330&gt;$AU330),Y330,AM330)))))</f>
        <v>44.325000000000003</v>
      </c>
      <c r="L330" s="317">
        <f>IF(AND($A$2=4,VLOOKUP($A330,'District Level ADM'!$A$5:$W$52,5,FALSE)="Prior Year"),AN330,IF(AND($A$2=4,VLOOKUP($A330,'District Level ADM'!$A$5:$W$52,5,FALSE)="3-Year Avg."),Z330,IF($A$2=2,AN330,IF($A$2=3,Z330,IF(($AG330&gt;$AU330),Z330,AN330)))))</f>
        <v>0</v>
      </c>
      <c r="M330" s="317">
        <f>IF(AND($A$2=4,VLOOKUP($A330,'District Level ADM'!$A$5:$W$52,5,FALSE)="Prior Year"),AO330,IF(AND($A$2=4,VLOOKUP($A330,'District Level ADM'!$A$5:$W$52,5,FALSE)="3-Year Avg."),AA330,IF($A$2=2,AO330,IF($A$2=3,AA330,IF(($AG330&gt;$AU330),AA330,AO330)))))</f>
        <v>0</v>
      </c>
      <c r="N330" s="317">
        <f>IF(AND($A$2=4,VLOOKUP($A330,'District Level ADM'!$A$5:$W$52,5,FALSE)="Prior Year"),AP330,IF(AND($A$2=4,VLOOKUP($A330,'District Level ADM'!$A$5:$W$52,5,FALSE)="3-Year Avg."),AB330,IF($A$2=2,AP330,IF($A$2=3,AB330,IF(($AG330&gt;$AU330),AB330,AP330)))))</f>
        <v>0</v>
      </c>
      <c r="O330" s="317">
        <f>IF(AND($A$2=4,VLOOKUP($A330,'District Level ADM'!$A$5:$W$52,5,FALSE)="Prior Year"),AQ330,IF(AND($A$2=4,VLOOKUP($A330,'District Level ADM'!$A$5:$W$52,5,FALSE)="3-Year Avg."),AC330,IF($A$2=2,AQ330,IF($A$2=3,AC330,IF(($AG330&gt;$AU330),AC330,AQ330)))))</f>
        <v>0</v>
      </c>
      <c r="P330" s="317">
        <f>IF(AND($A$2=4,VLOOKUP($A330,'District Level ADM'!$A$5:$W$52,5,FALSE)="Prior Year"),AR330,IF(AND($A$2=4,VLOOKUP($A330,'District Level ADM'!$A$5:$W$52,5,FALSE)="3-Year Avg."),AD330,IF($A$2=2,AR330,IF($A$2=3,AD330,IF(($AG330&gt;$AU330),AD330,AR330)))))</f>
        <v>0</v>
      </c>
      <c r="Q330" s="317">
        <f>IF(AND($A$2=4,VLOOKUP($A330,'District Level ADM'!$A$5:$W$52,5,FALSE)="Prior Year"),AS330,IF(AND($A$2=4,VLOOKUP($A330,'District Level ADM'!$A$5:$W$52,5,FALSE)="3-Year Avg."),AE330,IF($A$2=2,AS330,IF($A$2=3,AE330,IF(($AG330&gt;$AU330),AE330,AS330)))))</f>
        <v>0</v>
      </c>
      <c r="R330" s="317">
        <f>IF(AND($A$2=4,VLOOKUP($A330,'District Level ADM'!$A$5:$W$52,5,FALSE)="Prior Year"),AT330,IF(AND($A$2=4,VLOOKUP($A330,'District Level ADM'!$A$5:$W$52,5,FALSE)="3-Year Avg."),AF330,IF($A$2=2,AT330,IF($A$2=3,AF330,IF(($AG330&gt;$AU330),AF330,AT330)))))</f>
        <v>0</v>
      </c>
      <c r="S330" s="317">
        <f t="shared" si="53"/>
        <v>561.45000000000016</v>
      </c>
      <c r="T330" s="317">
        <f t="shared" si="50"/>
        <v>90.150333333333336</v>
      </c>
      <c r="U330" s="317">
        <f t="shared" si="50"/>
        <v>106.71583333333335</v>
      </c>
      <c r="V330" s="317">
        <f t="shared" si="50"/>
        <v>110.11433333333333</v>
      </c>
      <c r="W330" s="317">
        <f t="shared" si="50"/>
        <v>106.98133333333334</v>
      </c>
      <c r="X330" s="317">
        <f t="shared" si="50"/>
        <v>74.553166666666655</v>
      </c>
      <c r="Y330" s="317">
        <f t="shared" si="50"/>
        <v>77.337833333333336</v>
      </c>
      <c r="Z330" s="317">
        <f t="shared" si="50"/>
        <v>0</v>
      </c>
      <c r="AA330" s="317">
        <f t="shared" si="50"/>
        <v>0</v>
      </c>
      <c r="AB330" s="317">
        <f t="shared" si="50"/>
        <v>0</v>
      </c>
      <c r="AC330" s="317">
        <f t="shared" si="50"/>
        <v>0</v>
      </c>
      <c r="AD330" s="317">
        <f t="shared" si="51"/>
        <v>0</v>
      </c>
      <c r="AE330" s="317">
        <f t="shared" si="51"/>
        <v>0</v>
      </c>
      <c r="AF330" s="317">
        <f t="shared" si="51"/>
        <v>0</v>
      </c>
      <c r="AG330" s="317">
        <f t="shared" si="54"/>
        <v>565.85283333333336</v>
      </c>
      <c r="AH330" s="318">
        <v>87.665000000000006</v>
      </c>
      <c r="AI330" s="318">
        <v>127.065</v>
      </c>
      <c r="AJ330" s="318">
        <v>133.96</v>
      </c>
      <c r="AK330" s="318">
        <v>131.99</v>
      </c>
      <c r="AL330" s="318">
        <v>36.445</v>
      </c>
      <c r="AM330" s="318">
        <v>44.325000000000003</v>
      </c>
      <c r="AN330" s="318">
        <v>0</v>
      </c>
      <c r="AO330" s="318">
        <v>0</v>
      </c>
      <c r="AP330" s="318">
        <v>0</v>
      </c>
      <c r="AQ330" s="318">
        <v>0</v>
      </c>
      <c r="AR330" s="318">
        <v>0</v>
      </c>
      <c r="AS330" s="318">
        <v>0</v>
      </c>
      <c r="AT330" s="318">
        <v>0</v>
      </c>
      <c r="AU330" s="317">
        <f t="shared" si="52"/>
        <v>561.45000000000016</v>
      </c>
      <c r="AV330" s="319">
        <v>90.582999999999998</v>
      </c>
      <c r="AW330" s="319">
        <v>90.257000000000005</v>
      </c>
      <c r="AX330" s="319">
        <v>98.82</v>
      </c>
      <c r="AY330" s="319">
        <v>97.997</v>
      </c>
      <c r="AZ330" s="319">
        <v>89.742999999999995</v>
      </c>
      <c r="BA330" s="319">
        <v>96.645499999999998</v>
      </c>
      <c r="BB330" s="319">
        <v>0</v>
      </c>
      <c r="BC330" s="319">
        <v>0</v>
      </c>
      <c r="BD330" s="319">
        <v>0</v>
      </c>
      <c r="BE330" s="319">
        <v>0</v>
      </c>
      <c r="BF330" s="319">
        <v>0</v>
      </c>
      <c r="BG330" s="319">
        <v>0</v>
      </c>
      <c r="BH330" s="319">
        <v>0</v>
      </c>
      <c r="BI330" s="317">
        <f t="shared" si="56"/>
        <v>564.04549999999995</v>
      </c>
      <c r="BJ330" s="316">
        <v>92.203000000000003</v>
      </c>
      <c r="BK330" s="316">
        <v>102.82550000000001</v>
      </c>
      <c r="BL330" s="316">
        <v>97.563000000000002</v>
      </c>
      <c r="BM330" s="316">
        <v>90.956999999999994</v>
      </c>
      <c r="BN330" s="316">
        <v>97.471500000000006</v>
      </c>
      <c r="BO330" s="316">
        <v>91.043000000000006</v>
      </c>
      <c r="BP330" s="316">
        <v>0</v>
      </c>
      <c r="BQ330" s="316">
        <v>0</v>
      </c>
      <c r="BR330" s="316">
        <v>0</v>
      </c>
      <c r="BS330" s="316">
        <v>0</v>
      </c>
      <c r="BT330" s="316">
        <v>0</v>
      </c>
      <c r="BU330" s="316">
        <v>0</v>
      </c>
      <c r="BV330" s="316">
        <v>0</v>
      </c>
      <c r="BW330" s="317">
        <f t="shared" si="55"/>
        <v>572.06299999999999</v>
      </c>
    </row>
    <row r="331" spans="1:75" x14ac:dyDescent="0.2">
      <c r="A331" s="20" t="str">
        <f>'School Level Inst. Resources'!A331</f>
        <v>2001000</v>
      </c>
      <c r="B331" s="20" t="str">
        <f>'School Level Inst. Resources'!B331</f>
        <v>Teton #1</v>
      </c>
      <c r="C331" s="20" t="str">
        <f>'School Level Inst. Resources'!C331</f>
        <v>2001050</v>
      </c>
      <c r="D331" s="20" t="str">
        <f>'School Level Inst. Resources'!D331</f>
        <v>Jackson Hole Middle School</v>
      </c>
      <c r="E331" s="138" t="str">
        <f>'School Level Inst. Resources'!E331</f>
        <v>6-8</v>
      </c>
      <c r="F331" s="317">
        <f>IF(AND($A$2=4,VLOOKUP($A331,'District Level ADM'!$A$5:$W$52,5,FALSE)="Prior Year"),AH331,IF(AND($A$2=4,VLOOKUP($A331,'District Level ADM'!$A$5:$W$52,5,FALSE)="3-Year Avg."),T331,IF($A$2=2,AH331,IF($A$2=3,T331,IF(($AG331&gt;$AU331),T331,AH331)))))</f>
        <v>0</v>
      </c>
      <c r="G331" s="317">
        <f>IF(AND($A$2=4,VLOOKUP($A331,'District Level ADM'!$A$5:$W$52,5,FALSE)="Prior Year"),AI331,IF(AND($A$2=4,VLOOKUP($A331,'District Level ADM'!$A$5:$W$52,5,FALSE)="3-Year Avg."),U331,IF($A$2=2,AI331,IF($A$2=3,U331,IF(($AG331&gt;$AU331),U331,AI331)))))</f>
        <v>0</v>
      </c>
      <c r="H331" s="317">
        <f>IF(AND($A$2=4,VLOOKUP($A331,'District Level ADM'!$A$5:$W$52,5,FALSE)="Prior Year"),AJ331,IF(AND($A$2=4,VLOOKUP($A331,'District Level ADM'!$A$5:$W$52,5,FALSE)="3-Year Avg."),V331,IF($A$2=2,AJ331,IF($A$2=3,V331,IF(($AG331&gt;$AU331),V331,AJ331)))))</f>
        <v>0</v>
      </c>
      <c r="I331" s="317">
        <f>IF(AND($A$2=4,VLOOKUP($A331,'District Level ADM'!$A$5:$W$52,5,FALSE)="Prior Year"),AK331,IF(AND($A$2=4,VLOOKUP($A331,'District Level ADM'!$A$5:$W$52,5,FALSE)="3-Year Avg."),W331,IF($A$2=2,AK331,IF($A$2=3,W331,IF(($AG331&gt;$AU331),W331,AK331)))))</f>
        <v>0</v>
      </c>
      <c r="J331" s="317">
        <f>IF(AND($A$2=4,VLOOKUP($A331,'District Level ADM'!$A$5:$W$52,5,FALSE)="Prior Year"),AL331,IF(AND($A$2=4,VLOOKUP($A331,'District Level ADM'!$A$5:$W$52,5,FALSE)="3-Year Avg."),X331,IF($A$2=2,AL331,IF($A$2=3,X331,IF(($AG331&gt;$AU331),X331,AL331)))))</f>
        <v>0</v>
      </c>
      <c r="K331" s="317">
        <f>IF(AND($A$2=4,VLOOKUP($A331,'District Level ADM'!$A$5:$W$52,5,FALSE)="Prior Year"),AM331,IF(AND($A$2=4,VLOOKUP($A331,'District Level ADM'!$A$5:$W$52,5,FALSE)="3-Year Avg."),Y331,IF($A$2=2,AM331,IF($A$2=3,Y331,IF(($AG331&gt;$AU331),Y331,AM331)))))</f>
        <v>0</v>
      </c>
      <c r="L331" s="317">
        <f>IF(AND($A$2=4,VLOOKUP($A331,'District Level ADM'!$A$5:$W$52,5,FALSE)="Prior Year"),AN331,IF(AND($A$2=4,VLOOKUP($A331,'District Level ADM'!$A$5:$W$52,5,FALSE)="3-Year Avg."),Z331,IF($A$2=2,AN331,IF($A$2=3,Z331,IF(($AG331&gt;$AU331),Z331,AN331)))))</f>
        <v>246.25</v>
      </c>
      <c r="M331" s="317">
        <f>IF(AND($A$2=4,VLOOKUP($A331,'District Level ADM'!$A$5:$W$52,5,FALSE)="Prior Year"),AO331,IF(AND($A$2=4,VLOOKUP($A331,'District Level ADM'!$A$5:$W$52,5,FALSE)="3-Year Avg."),AA331,IF($A$2=2,AO331,IF($A$2=3,AA331,IF(($AG331&gt;$AU331),AA331,AO331)))))</f>
        <v>227.535</v>
      </c>
      <c r="N331" s="317">
        <f>IF(AND($A$2=4,VLOOKUP($A331,'District Level ADM'!$A$5:$W$52,5,FALSE)="Prior Year"),AP331,IF(AND($A$2=4,VLOOKUP($A331,'District Level ADM'!$A$5:$W$52,5,FALSE)="3-Year Avg."),AB331,IF($A$2=2,AP331,IF($A$2=3,AB331,IF(($AG331&gt;$AU331),AB331,AP331)))))</f>
        <v>208.82</v>
      </c>
      <c r="O331" s="317">
        <f>IF(AND($A$2=4,VLOOKUP($A331,'District Level ADM'!$A$5:$W$52,5,FALSE)="Prior Year"),AQ331,IF(AND($A$2=4,VLOOKUP($A331,'District Level ADM'!$A$5:$W$52,5,FALSE)="3-Year Avg."),AC331,IF($A$2=2,AQ331,IF($A$2=3,AC331,IF(($AG331&gt;$AU331),AC331,AQ331)))))</f>
        <v>0</v>
      </c>
      <c r="P331" s="317">
        <f>IF(AND($A$2=4,VLOOKUP($A331,'District Level ADM'!$A$5:$W$52,5,FALSE)="Prior Year"),AR331,IF(AND($A$2=4,VLOOKUP($A331,'District Level ADM'!$A$5:$W$52,5,FALSE)="3-Year Avg."),AD331,IF($A$2=2,AR331,IF($A$2=3,AD331,IF(($AG331&gt;$AU331),AD331,AR331)))))</f>
        <v>0</v>
      </c>
      <c r="Q331" s="317">
        <f>IF(AND($A$2=4,VLOOKUP($A331,'District Level ADM'!$A$5:$W$52,5,FALSE)="Prior Year"),AS331,IF(AND($A$2=4,VLOOKUP($A331,'District Level ADM'!$A$5:$W$52,5,FALSE)="3-Year Avg."),AE331,IF($A$2=2,AS331,IF($A$2=3,AE331,IF(($AG331&gt;$AU331),AE331,AS331)))))</f>
        <v>0</v>
      </c>
      <c r="R331" s="317">
        <f>IF(AND($A$2=4,VLOOKUP($A331,'District Level ADM'!$A$5:$W$52,5,FALSE)="Prior Year"),AT331,IF(AND($A$2=4,VLOOKUP($A331,'District Level ADM'!$A$5:$W$52,5,FALSE)="3-Year Avg."),AF331,IF($A$2=2,AT331,IF($A$2=3,AF331,IF(($AG331&gt;$AU331),AF331,AT331)))))</f>
        <v>0</v>
      </c>
      <c r="S331" s="317">
        <f t="shared" si="53"/>
        <v>682.60500000000002</v>
      </c>
      <c r="T331" s="317">
        <f t="shared" si="50"/>
        <v>0</v>
      </c>
      <c r="U331" s="317">
        <f t="shared" si="50"/>
        <v>0</v>
      </c>
      <c r="V331" s="317">
        <f t="shared" si="50"/>
        <v>0</v>
      </c>
      <c r="W331" s="317">
        <f t="shared" si="50"/>
        <v>0</v>
      </c>
      <c r="X331" s="317">
        <f t="shared" si="50"/>
        <v>0</v>
      </c>
      <c r="Y331" s="317">
        <f t="shared" si="50"/>
        <v>0</v>
      </c>
      <c r="Z331" s="317">
        <f t="shared" si="50"/>
        <v>223.227</v>
      </c>
      <c r="AA331" s="317">
        <f t="shared" si="50"/>
        <v>210.12133333333335</v>
      </c>
      <c r="AB331" s="317">
        <f t="shared" si="50"/>
        <v>199.26966666666667</v>
      </c>
      <c r="AC331" s="317">
        <f t="shared" si="50"/>
        <v>0</v>
      </c>
      <c r="AD331" s="317">
        <f t="shared" si="51"/>
        <v>0</v>
      </c>
      <c r="AE331" s="317">
        <f t="shared" si="51"/>
        <v>0</v>
      </c>
      <c r="AF331" s="317">
        <f t="shared" si="51"/>
        <v>0</v>
      </c>
      <c r="AG331" s="317">
        <f t="shared" si="54"/>
        <v>632.61800000000005</v>
      </c>
      <c r="AH331" s="318">
        <v>0</v>
      </c>
      <c r="AI331" s="318">
        <v>0</v>
      </c>
      <c r="AJ331" s="318">
        <v>0</v>
      </c>
      <c r="AK331" s="318">
        <v>0</v>
      </c>
      <c r="AL331" s="318">
        <v>0</v>
      </c>
      <c r="AM331" s="318">
        <v>0</v>
      </c>
      <c r="AN331" s="318">
        <v>246.25</v>
      </c>
      <c r="AO331" s="318">
        <v>227.535</v>
      </c>
      <c r="AP331" s="318">
        <v>208.82</v>
      </c>
      <c r="AQ331" s="318">
        <v>0</v>
      </c>
      <c r="AR331" s="318">
        <v>0</v>
      </c>
      <c r="AS331" s="318">
        <v>0</v>
      </c>
      <c r="AT331" s="318">
        <v>0</v>
      </c>
      <c r="AU331" s="317">
        <f t="shared" si="52"/>
        <v>682.60500000000002</v>
      </c>
      <c r="AV331" s="319">
        <v>0</v>
      </c>
      <c r="AW331" s="319">
        <v>0</v>
      </c>
      <c r="AX331" s="319">
        <v>0</v>
      </c>
      <c r="AY331" s="319">
        <v>0</v>
      </c>
      <c r="AZ331" s="319">
        <v>0</v>
      </c>
      <c r="BA331" s="319">
        <v>0</v>
      </c>
      <c r="BB331" s="319">
        <v>230.05</v>
      </c>
      <c r="BC331" s="319">
        <v>206.66300000000001</v>
      </c>
      <c r="BD331" s="319">
        <v>193.54900000000001</v>
      </c>
      <c r="BE331" s="319">
        <v>0</v>
      </c>
      <c r="BF331" s="319">
        <v>0</v>
      </c>
      <c r="BG331" s="319">
        <v>0</v>
      </c>
      <c r="BH331" s="319">
        <v>0</v>
      </c>
      <c r="BI331" s="317">
        <f t="shared" si="56"/>
        <v>630.26200000000006</v>
      </c>
      <c r="BJ331" s="316">
        <v>0</v>
      </c>
      <c r="BK331" s="316">
        <v>0</v>
      </c>
      <c r="BL331" s="316">
        <v>0</v>
      </c>
      <c r="BM331" s="316">
        <v>0</v>
      </c>
      <c r="BN331" s="316">
        <v>0</v>
      </c>
      <c r="BO331" s="316">
        <v>0</v>
      </c>
      <c r="BP331" s="316">
        <v>193.381</v>
      </c>
      <c r="BQ331" s="316">
        <v>196.166</v>
      </c>
      <c r="BR331" s="316">
        <v>195.44</v>
      </c>
      <c r="BS331" s="316">
        <v>0</v>
      </c>
      <c r="BT331" s="316">
        <v>0</v>
      </c>
      <c r="BU331" s="316">
        <v>0</v>
      </c>
      <c r="BV331" s="316">
        <v>0</v>
      </c>
      <c r="BW331" s="317">
        <f t="shared" si="55"/>
        <v>584.98700000000008</v>
      </c>
    </row>
    <row r="332" spans="1:75" x14ac:dyDescent="0.2">
      <c r="A332" s="20" t="str">
        <f>'School Level Inst. Resources'!A332</f>
        <v>2001000</v>
      </c>
      <c r="B332" s="20" t="str">
        <f>'School Level Inst. Resources'!B332</f>
        <v>Teton #1</v>
      </c>
      <c r="C332" s="20" t="str">
        <f>'School Level Inst. Resources'!C332</f>
        <v>2001055</v>
      </c>
      <c r="D332" s="20" t="str">
        <f>'School Level Inst. Resources'!D332</f>
        <v>Jackson Hole High School</v>
      </c>
      <c r="E332" s="138" t="str">
        <f>'School Level Inst. Resources'!E332</f>
        <v>9-12</v>
      </c>
      <c r="F332" s="317">
        <f>IF(AND($A$2=4,VLOOKUP($A332,'District Level ADM'!$A$5:$W$52,5,FALSE)="Prior Year"),AH332,IF(AND($A$2=4,VLOOKUP($A332,'District Level ADM'!$A$5:$W$52,5,FALSE)="3-Year Avg."),T332,IF($A$2=2,AH332,IF($A$2=3,T332,IF(($AG332&gt;$AU332),T332,AH332)))))</f>
        <v>0</v>
      </c>
      <c r="G332" s="317">
        <f>IF(AND($A$2=4,VLOOKUP($A332,'District Level ADM'!$A$5:$W$52,5,FALSE)="Prior Year"),AI332,IF(AND($A$2=4,VLOOKUP($A332,'District Level ADM'!$A$5:$W$52,5,FALSE)="3-Year Avg."),U332,IF($A$2=2,AI332,IF($A$2=3,U332,IF(($AG332&gt;$AU332),U332,AI332)))))</f>
        <v>0</v>
      </c>
      <c r="H332" s="317">
        <f>IF(AND($A$2=4,VLOOKUP($A332,'District Level ADM'!$A$5:$W$52,5,FALSE)="Prior Year"),AJ332,IF(AND($A$2=4,VLOOKUP($A332,'District Level ADM'!$A$5:$W$52,5,FALSE)="3-Year Avg."),V332,IF($A$2=2,AJ332,IF($A$2=3,V332,IF(($AG332&gt;$AU332),V332,AJ332)))))</f>
        <v>0</v>
      </c>
      <c r="I332" s="317">
        <f>IF(AND($A$2=4,VLOOKUP($A332,'District Level ADM'!$A$5:$W$52,5,FALSE)="Prior Year"),AK332,IF(AND($A$2=4,VLOOKUP($A332,'District Level ADM'!$A$5:$W$52,5,FALSE)="3-Year Avg."),W332,IF($A$2=2,AK332,IF($A$2=3,W332,IF(($AG332&gt;$AU332),W332,AK332)))))</f>
        <v>0</v>
      </c>
      <c r="J332" s="317">
        <f>IF(AND($A$2=4,VLOOKUP($A332,'District Level ADM'!$A$5:$W$52,5,FALSE)="Prior Year"),AL332,IF(AND($A$2=4,VLOOKUP($A332,'District Level ADM'!$A$5:$W$52,5,FALSE)="3-Year Avg."),X332,IF($A$2=2,AL332,IF($A$2=3,X332,IF(($AG332&gt;$AU332),X332,AL332)))))</f>
        <v>0</v>
      </c>
      <c r="K332" s="317">
        <f>IF(AND($A$2=4,VLOOKUP($A332,'District Level ADM'!$A$5:$W$52,5,FALSE)="Prior Year"),AM332,IF(AND($A$2=4,VLOOKUP($A332,'District Level ADM'!$A$5:$W$52,5,FALSE)="3-Year Avg."),Y332,IF($A$2=2,AM332,IF($A$2=3,Y332,IF(($AG332&gt;$AU332),Y332,AM332)))))</f>
        <v>0</v>
      </c>
      <c r="L332" s="317">
        <f>IF(AND($A$2=4,VLOOKUP($A332,'District Level ADM'!$A$5:$W$52,5,FALSE)="Prior Year"),AN332,IF(AND($A$2=4,VLOOKUP($A332,'District Level ADM'!$A$5:$W$52,5,FALSE)="3-Year Avg."),Z332,IF($A$2=2,AN332,IF($A$2=3,Z332,IF(($AG332&gt;$AU332),Z332,AN332)))))</f>
        <v>0</v>
      </c>
      <c r="M332" s="317">
        <f>IF(AND($A$2=4,VLOOKUP($A332,'District Level ADM'!$A$5:$W$52,5,FALSE)="Prior Year"),AO332,IF(AND($A$2=4,VLOOKUP($A332,'District Level ADM'!$A$5:$W$52,5,FALSE)="3-Year Avg."),AA332,IF($A$2=2,AO332,IF($A$2=3,AA332,IF(($AG332&gt;$AU332),AA332,AO332)))))</f>
        <v>0</v>
      </c>
      <c r="N332" s="317">
        <f>IF(AND($A$2=4,VLOOKUP($A332,'District Level ADM'!$A$5:$W$52,5,FALSE)="Prior Year"),AP332,IF(AND($A$2=4,VLOOKUP($A332,'District Level ADM'!$A$5:$W$52,5,FALSE)="3-Year Avg."),AB332,IF($A$2=2,AP332,IF($A$2=3,AB332,IF(($AG332&gt;$AU332),AB332,AP332)))))</f>
        <v>0</v>
      </c>
      <c r="O332" s="317">
        <f>IF(AND($A$2=4,VLOOKUP($A332,'District Level ADM'!$A$5:$W$52,5,FALSE)="Prior Year"),AQ332,IF(AND($A$2=4,VLOOKUP($A332,'District Level ADM'!$A$5:$W$52,5,FALSE)="3-Year Avg."),AC332,IF($A$2=2,AQ332,IF($A$2=3,AC332,IF(($AG332&gt;$AU332),AC332,AQ332)))))</f>
        <v>162.52500000000001</v>
      </c>
      <c r="P332" s="317">
        <f>IF(AND($A$2=4,VLOOKUP($A332,'District Level ADM'!$A$5:$W$52,5,FALSE)="Prior Year"),AR332,IF(AND($A$2=4,VLOOKUP($A332,'District Level ADM'!$A$5:$W$52,5,FALSE)="3-Year Avg."),AD332,IF($A$2=2,AR332,IF($A$2=3,AD332,IF(($AG332&gt;$AU332),AD332,AR332)))))</f>
        <v>188.13499999999999</v>
      </c>
      <c r="Q332" s="317">
        <f>IF(AND($A$2=4,VLOOKUP($A332,'District Level ADM'!$A$5:$W$52,5,FALSE)="Prior Year"),AS332,IF(AND($A$2=4,VLOOKUP($A332,'District Level ADM'!$A$5:$W$52,5,FALSE)="3-Year Avg."),AE332,IF($A$2=2,AS332,IF($A$2=3,AE332,IF(($AG332&gt;$AU332),AE332,AS332)))))</f>
        <v>163.51</v>
      </c>
      <c r="R332" s="317">
        <f>IF(AND($A$2=4,VLOOKUP($A332,'District Level ADM'!$A$5:$W$52,5,FALSE)="Prior Year"),AT332,IF(AND($A$2=4,VLOOKUP($A332,'District Level ADM'!$A$5:$W$52,5,FALSE)="3-Year Avg."),AF332,IF($A$2=2,AT332,IF($A$2=3,AF332,IF(($AG332&gt;$AU332),AF332,AT332)))))</f>
        <v>154.64500000000001</v>
      </c>
      <c r="S332" s="317">
        <f t="shared" si="53"/>
        <v>668.81499999999994</v>
      </c>
      <c r="T332" s="317">
        <f t="shared" si="50"/>
        <v>0</v>
      </c>
      <c r="U332" s="317">
        <f t="shared" si="50"/>
        <v>0</v>
      </c>
      <c r="V332" s="317">
        <f t="shared" si="50"/>
        <v>0</v>
      </c>
      <c r="W332" s="317">
        <f t="shared" si="50"/>
        <v>0</v>
      </c>
      <c r="X332" s="317">
        <f t="shared" si="50"/>
        <v>0</v>
      </c>
      <c r="Y332" s="317">
        <f t="shared" si="50"/>
        <v>0</v>
      </c>
      <c r="Z332" s="317">
        <f t="shared" si="50"/>
        <v>0</v>
      </c>
      <c r="AA332" s="317">
        <f t="shared" si="50"/>
        <v>0</v>
      </c>
      <c r="AB332" s="317">
        <f t="shared" si="50"/>
        <v>0</v>
      </c>
      <c r="AC332" s="317">
        <f t="shared" si="50"/>
        <v>180.97366666666665</v>
      </c>
      <c r="AD332" s="317">
        <f t="shared" si="51"/>
        <v>179.48233333333334</v>
      </c>
      <c r="AE332" s="317">
        <f t="shared" si="51"/>
        <v>156.97133333333332</v>
      </c>
      <c r="AF332" s="317">
        <f t="shared" si="51"/>
        <v>139.33933333333334</v>
      </c>
      <c r="AG332" s="317">
        <f t="shared" si="54"/>
        <v>656.76666666666665</v>
      </c>
      <c r="AH332" s="318">
        <v>0</v>
      </c>
      <c r="AI332" s="318">
        <v>0</v>
      </c>
      <c r="AJ332" s="318">
        <v>0</v>
      </c>
      <c r="AK332" s="318">
        <v>0</v>
      </c>
      <c r="AL332" s="318">
        <v>0</v>
      </c>
      <c r="AM332" s="318">
        <v>0</v>
      </c>
      <c r="AN332" s="318">
        <v>0</v>
      </c>
      <c r="AO332" s="318">
        <v>0</v>
      </c>
      <c r="AP332" s="318">
        <v>0</v>
      </c>
      <c r="AQ332" s="318">
        <v>162.52500000000001</v>
      </c>
      <c r="AR332" s="318">
        <v>188.13499999999999</v>
      </c>
      <c r="AS332" s="318">
        <v>163.51</v>
      </c>
      <c r="AT332" s="318">
        <v>154.64500000000001</v>
      </c>
      <c r="AU332" s="317">
        <f t="shared" si="52"/>
        <v>668.81499999999994</v>
      </c>
      <c r="AV332" s="319">
        <v>0</v>
      </c>
      <c r="AW332" s="319">
        <v>0</v>
      </c>
      <c r="AX332" s="319">
        <v>0</v>
      </c>
      <c r="AY332" s="319">
        <v>0</v>
      </c>
      <c r="AZ332" s="319">
        <v>0</v>
      </c>
      <c r="BA332" s="319">
        <v>0</v>
      </c>
      <c r="BB332" s="319">
        <v>0</v>
      </c>
      <c r="BC332" s="319">
        <v>0</v>
      </c>
      <c r="BD332" s="319">
        <v>0</v>
      </c>
      <c r="BE332" s="319">
        <v>202.73099999999999</v>
      </c>
      <c r="BF332" s="319">
        <v>169.47399999999999</v>
      </c>
      <c r="BG332" s="319">
        <v>167.583</v>
      </c>
      <c r="BH332" s="319">
        <v>133.26300000000001</v>
      </c>
      <c r="BI332" s="317">
        <f t="shared" si="56"/>
        <v>673.05100000000004</v>
      </c>
      <c r="BJ332" s="316">
        <v>0</v>
      </c>
      <c r="BK332" s="316">
        <v>0</v>
      </c>
      <c r="BL332" s="316">
        <v>0</v>
      </c>
      <c r="BM332" s="316">
        <v>0</v>
      </c>
      <c r="BN332" s="316">
        <v>0</v>
      </c>
      <c r="BO332" s="316">
        <v>0</v>
      </c>
      <c r="BP332" s="316">
        <v>0</v>
      </c>
      <c r="BQ332" s="316">
        <v>0</v>
      </c>
      <c r="BR332" s="316">
        <v>0</v>
      </c>
      <c r="BS332" s="316">
        <v>177.66499999999999</v>
      </c>
      <c r="BT332" s="316">
        <v>180.83799999999999</v>
      </c>
      <c r="BU332" s="316">
        <v>139.821</v>
      </c>
      <c r="BV332" s="316">
        <v>130.11000000000001</v>
      </c>
      <c r="BW332" s="317">
        <f t="shared" si="55"/>
        <v>628.43399999999997</v>
      </c>
    </row>
    <row r="333" spans="1:75" x14ac:dyDescent="0.2">
      <c r="A333" s="20" t="str">
        <f>'School Level Inst. Resources'!A333</f>
        <v>2001000</v>
      </c>
      <c r="B333" s="20" t="str">
        <f>'School Level Inst. Resources'!B333</f>
        <v>Teton #1</v>
      </c>
      <c r="C333" s="20" t="str">
        <f>'School Level Inst. Resources'!C333</f>
        <v>2001056</v>
      </c>
      <c r="D333" s="20" t="str">
        <f>'School Level Inst. Resources'!D333</f>
        <v>Summit High School</v>
      </c>
      <c r="E333" s="138" t="str">
        <f>'School Level Inst. Resources'!E333</f>
        <v>9-12</v>
      </c>
      <c r="F333" s="317">
        <f>IF(AND($A$2=4,VLOOKUP($A333,'District Level ADM'!$A$5:$W$52,5,FALSE)="Prior Year"),AH333,IF(AND($A$2=4,VLOOKUP($A333,'District Level ADM'!$A$5:$W$52,5,FALSE)="3-Year Avg."),T333,IF($A$2=2,AH333,IF($A$2=3,T333,IF(($AG333&gt;$AU333),T333,AH333)))))</f>
        <v>0</v>
      </c>
      <c r="G333" s="317">
        <f>IF(AND($A$2=4,VLOOKUP($A333,'District Level ADM'!$A$5:$W$52,5,FALSE)="Prior Year"),AI333,IF(AND($A$2=4,VLOOKUP($A333,'District Level ADM'!$A$5:$W$52,5,FALSE)="3-Year Avg."),U333,IF($A$2=2,AI333,IF($A$2=3,U333,IF(($AG333&gt;$AU333),U333,AI333)))))</f>
        <v>0</v>
      </c>
      <c r="H333" s="317">
        <f>IF(AND($A$2=4,VLOOKUP($A333,'District Level ADM'!$A$5:$W$52,5,FALSE)="Prior Year"),AJ333,IF(AND($A$2=4,VLOOKUP($A333,'District Level ADM'!$A$5:$W$52,5,FALSE)="3-Year Avg."),V333,IF($A$2=2,AJ333,IF($A$2=3,V333,IF(($AG333&gt;$AU333),V333,AJ333)))))</f>
        <v>0</v>
      </c>
      <c r="I333" s="317">
        <f>IF(AND($A$2=4,VLOOKUP($A333,'District Level ADM'!$A$5:$W$52,5,FALSE)="Prior Year"),AK333,IF(AND($A$2=4,VLOOKUP($A333,'District Level ADM'!$A$5:$W$52,5,FALSE)="3-Year Avg."),W333,IF($A$2=2,AK333,IF($A$2=3,W333,IF(($AG333&gt;$AU333),W333,AK333)))))</f>
        <v>0</v>
      </c>
      <c r="J333" s="317">
        <f>IF(AND($A$2=4,VLOOKUP($A333,'District Level ADM'!$A$5:$W$52,5,FALSE)="Prior Year"),AL333,IF(AND($A$2=4,VLOOKUP($A333,'District Level ADM'!$A$5:$W$52,5,FALSE)="3-Year Avg."),X333,IF($A$2=2,AL333,IF($A$2=3,X333,IF(($AG333&gt;$AU333),X333,AL333)))))</f>
        <v>0</v>
      </c>
      <c r="K333" s="317">
        <f>IF(AND($A$2=4,VLOOKUP($A333,'District Level ADM'!$A$5:$W$52,5,FALSE)="Prior Year"),AM333,IF(AND($A$2=4,VLOOKUP($A333,'District Level ADM'!$A$5:$W$52,5,FALSE)="3-Year Avg."),Y333,IF($A$2=2,AM333,IF($A$2=3,Y333,IF(($AG333&gt;$AU333),Y333,AM333)))))</f>
        <v>0</v>
      </c>
      <c r="L333" s="317">
        <f>IF(AND($A$2=4,VLOOKUP($A333,'District Level ADM'!$A$5:$W$52,5,FALSE)="Prior Year"),AN333,IF(AND($A$2=4,VLOOKUP($A333,'District Level ADM'!$A$5:$W$52,5,FALSE)="3-Year Avg."),Z333,IF($A$2=2,AN333,IF($A$2=3,Z333,IF(($AG333&gt;$AU333),Z333,AN333)))))</f>
        <v>0</v>
      </c>
      <c r="M333" s="317">
        <f>IF(AND($A$2=4,VLOOKUP($A333,'District Level ADM'!$A$5:$W$52,5,FALSE)="Prior Year"),AO333,IF(AND($A$2=4,VLOOKUP($A333,'District Level ADM'!$A$5:$W$52,5,FALSE)="3-Year Avg."),AA333,IF($A$2=2,AO333,IF($A$2=3,AA333,IF(($AG333&gt;$AU333),AA333,AO333)))))</f>
        <v>0</v>
      </c>
      <c r="N333" s="317">
        <f>IF(AND($A$2=4,VLOOKUP($A333,'District Level ADM'!$A$5:$W$52,5,FALSE)="Prior Year"),AP333,IF(AND($A$2=4,VLOOKUP($A333,'District Level ADM'!$A$5:$W$52,5,FALSE)="3-Year Avg."),AB333,IF($A$2=2,AP333,IF($A$2=3,AB333,IF(($AG333&gt;$AU333),AB333,AP333)))))</f>
        <v>0</v>
      </c>
      <c r="O333" s="317">
        <f>IF(AND($A$2=4,VLOOKUP($A333,'District Level ADM'!$A$5:$W$52,5,FALSE)="Prior Year"),AQ333,IF(AND($A$2=4,VLOOKUP($A333,'District Level ADM'!$A$5:$W$52,5,FALSE)="3-Year Avg."),AC333,IF($A$2=2,AQ333,IF($A$2=3,AC333,IF(($AG333&gt;$AU333),AC333,AQ333)))))</f>
        <v>6.8949999999999996</v>
      </c>
      <c r="P333" s="317">
        <f>IF(AND($A$2=4,VLOOKUP($A333,'District Level ADM'!$A$5:$W$52,5,FALSE)="Prior Year"),AR333,IF(AND($A$2=4,VLOOKUP($A333,'District Level ADM'!$A$5:$W$52,5,FALSE)="3-Year Avg."),AD333,IF($A$2=2,AR333,IF($A$2=3,AD333,IF(($AG333&gt;$AU333),AD333,AR333)))))</f>
        <v>6.8949999999999996</v>
      </c>
      <c r="Q333" s="317">
        <f>IF(AND($A$2=4,VLOOKUP($A333,'District Level ADM'!$A$5:$W$52,5,FALSE)="Prior Year"),AS333,IF(AND($A$2=4,VLOOKUP($A333,'District Level ADM'!$A$5:$W$52,5,FALSE)="3-Year Avg."),AE333,IF($A$2=2,AS333,IF($A$2=3,AE333,IF(($AG333&gt;$AU333),AE333,AS333)))))</f>
        <v>12.805</v>
      </c>
      <c r="R333" s="317">
        <f>IF(AND($A$2=4,VLOOKUP($A333,'District Level ADM'!$A$5:$W$52,5,FALSE)="Prior Year"),AT333,IF(AND($A$2=4,VLOOKUP($A333,'District Level ADM'!$A$5:$W$52,5,FALSE)="3-Year Avg."),AF333,IF($A$2=2,AT333,IF($A$2=3,AF333,IF(($AG333&gt;$AU333),AF333,AT333)))))</f>
        <v>19.7</v>
      </c>
      <c r="S333" s="317">
        <f t="shared" si="53"/>
        <v>46.295000000000002</v>
      </c>
      <c r="T333" s="317">
        <f t="shared" si="50"/>
        <v>0</v>
      </c>
      <c r="U333" s="317">
        <f t="shared" ref="U333:AF357" si="57">AVERAGE(AI333,AW333,BK333)</f>
        <v>0</v>
      </c>
      <c r="V333" s="317">
        <f t="shared" si="57"/>
        <v>0</v>
      </c>
      <c r="W333" s="317">
        <f t="shared" si="57"/>
        <v>0</v>
      </c>
      <c r="X333" s="317">
        <f t="shared" si="57"/>
        <v>0</v>
      </c>
      <c r="Y333" s="317">
        <f t="shared" si="57"/>
        <v>0</v>
      </c>
      <c r="Z333" s="317">
        <f t="shared" si="57"/>
        <v>0</v>
      </c>
      <c r="AA333" s="317">
        <f t="shared" si="57"/>
        <v>0</v>
      </c>
      <c r="AB333" s="317">
        <f t="shared" si="57"/>
        <v>0</v>
      </c>
      <c r="AC333" s="317">
        <f t="shared" si="57"/>
        <v>6.0633333333333335</v>
      </c>
      <c r="AD333" s="317">
        <f t="shared" si="51"/>
        <v>13.317666666666668</v>
      </c>
      <c r="AE333" s="317">
        <f t="shared" si="51"/>
        <v>17.279</v>
      </c>
      <c r="AF333" s="317">
        <f t="shared" si="51"/>
        <v>17.831999999999997</v>
      </c>
      <c r="AG333" s="317">
        <f t="shared" si="54"/>
        <v>54.49199999999999</v>
      </c>
      <c r="AH333" s="318">
        <v>0</v>
      </c>
      <c r="AI333" s="318">
        <v>0</v>
      </c>
      <c r="AJ333" s="318">
        <v>0</v>
      </c>
      <c r="AK333" s="318">
        <v>0</v>
      </c>
      <c r="AL333" s="318">
        <v>0</v>
      </c>
      <c r="AM333" s="318">
        <v>0</v>
      </c>
      <c r="AN333" s="318">
        <v>0</v>
      </c>
      <c r="AO333" s="318">
        <v>0</v>
      </c>
      <c r="AP333" s="318">
        <v>0</v>
      </c>
      <c r="AQ333" s="318">
        <v>6.8949999999999996</v>
      </c>
      <c r="AR333" s="318">
        <v>6.8949999999999996</v>
      </c>
      <c r="AS333" s="318">
        <v>12.805</v>
      </c>
      <c r="AT333" s="318">
        <v>19.7</v>
      </c>
      <c r="AU333" s="317">
        <f t="shared" si="52"/>
        <v>46.295000000000002</v>
      </c>
      <c r="AV333" s="319">
        <v>0</v>
      </c>
      <c r="AW333" s="319">
        <v>0</v>
      </c>
      <c r="AX333" s="319">
        <v>0</v>
      </c>
      <c r="AY333" s="319">
        <v>0</v>
      </c>
      <c r="AZ333" s="319">
        <v>0</v>
      </c>
      <c r="BA333" s="319">
        <v>0</v>
      </c>
      <c r="BB333" s="319">
        <v>0</v>
      </c>
      <c r="BC333" s="319">
        <v>0</v>
      </c>
      <c r="BD333" s="319">
        <v>0</v>
      </c>
      <c r="BE333" s="319">
        <v>3.8959999999999999</v>
      </c>
      <c r="BF333" s="319">
        <v>12.936999999999999</v>
      </c>
      <c r="BG333" s="319">
        <v>24.24</v>
      </c>
      <c r="BH333" s="319">
        <v>17.669</v>
      </c>
      <c r="BI333" s="317">
        <f t="shared" si="56"/>
        <v>58.74199999999999</v>
      </c>
      <c r="BJ333" s="316">
        <v>0</v>
      </c>
      <c r="BK333" s="316">
        <v>0</v>
      </c>
      <c r="BL333" s="316">
        <v>0</v>
      </c>
      <c r="BM333" s="316">
        <v>0</v>
      </c>
      <c r="BN333" s="316">
        <v>0</v>
      </c>
      <c r="BO333" s="316">
        <v>0</v>
      </c>
      <c r="BP333" s="316">
        <v>0</v>
      </c>
      <c r="BQ333" s="316">
        <v>0</v>
      </c>
      <c r="BR333" s="316">
        <v>0</v>
      </c>
      <c r="BS333" s="316">
        <v>7.399</v>
      </c>
      <c r="BT333" s="316">
        <v>20.120999999999999</v>
      </c>
      <c r="BU333" s="316">
        <v>14.792</v>
      </c>
      <c r="BV333" s="316">
        <v>16.126999999999999</v>
      </c>
      <c r="BW333" s="317">
        <f t="shared" si="55"/>
        <v>58.438999999999993</v>
      </c>
    </row>
    <row r="334" spans="1:75" x14ac:dyDescent="0.2">
      <c r="A334" s="20" t="str">
        <f>'School Level Inst. Resources'!A334</f>
        <v>2101000</v>
      </c>
      <c r="B334" s="20" t="str">
        <f>'School Level Inst. Resources'!B334</f>
        <v>Uinta #1</v>
      </c>
      <c r="C334" s="20" t="str">
        <f>'School Level Inst. Resources'!C334</f>
        <v>2101002</v>
      </c>
      <c r="D334" s="20" t="str">
        <f>'School Level Inst. Resources'!D334</f>
        <v>Clark Elementary</v>
      </c>
      <c r="E334" s="138" t="str">
        <f>'School Level Inst. Resources'!E334</f>
        <v>K-5</v>
      </c>
      <c r="F334" s="317">
        <f>IF(AND($A$2=4,VLOOKUP($A334,'District Level ADM'!$A$5:$W$52,5,FALSE)="Prior Year"),AH334,IF(AND($A$2=4,VLOOKUP($A334,'District Level ADM'!$A$5:$W$52,5,FALSE)="3-Year Avg."),T334,IF($A$2=2,AH334,IF($A$2=3,T334,IF(($AG334&gt;$AU334),T334,AH334)))))</f>
        <v>37.312666666666665</v>
      </c>
      <c r="G334" s="317">
        <f>IF(AND($A$2=4,VLOOKUP($A334,'District Level ADM'!$A$5:$W$52,5,FALSE)="Prior Year"),AI334,IF(AND($A$2=4,VLOOKUP($A334,'District Level ADM'!$A$5:$W$52,5,FALSE)="3-Year Avg."),U334,IF($A$2=2,AI334,IF($A$2=3,U334,IF(($AG334&gt;$AU334),U334,AI334)))))</f>
        <v>33.14</v>
      </c>
      <c r="H334" s="317">
        <f>IF(AND($A$2=4,VLOOKUP($A334,'District Level ADM'!$A$5:$W$52,5,FALSE)="Prior Year"),AJ334,IF(AND($A$2=4,VLOOKUP($A334,'District Level ADM'!$A$5:$W$52,5,FALSE)="3-Year Avg."),V334,IF($A$2=2,AJ334,IF($A$2=3,V334,IF(($AG334&gt;$AU334),V334,AJ334)))))</f>
        <v>34.772333333333336</v>
      </c>
      <c r="I334" s="317">
        <f>IF(AND($A$2=4,VLOOKUP($A334,'District Level ADM'!$A$5:$W$52,5,FALSE)="Prior Year"),AK334,IF(AND($A$2=4,VLOOKUP($A334,'District Level ADM'!$A$5:$W$52,5,FALSE)="3-Year Avg."),W334,IF($A$2=2,AK334,IF($A$2=3,W334,IF(($AG334&gt;$AU334),W334,AK334)))))</f>
        <v>34.907333333333334</v>
      </c>
      <c r="J334" s="317">
        <f>IF(AND($A$2=4,VLOOKUP($A334,'District Level ADM'!$A$5:$W$52,5,FALSE)="Prior Year"),AL334,IF(AND($A$2=4,VLOOKUP($A334,'District Level ADM'!$A$5:$W$52,5,FALSE)="3-Year Avg."),X334,IF($A$2=2,AL334,IF($A$2=3,X334,IF(($AG334&gt;$AU334),X334,AL334)))))</f>
        <v>33.955666666666673</v>
      </c>
      <c r="K334" s="317">
        <f>IF(AND($A$2=4,VLOOKUP($A334,'District Level ADM'!$A$5:$W$52,5,FALSE)="Prior Year"),AM334,IF(AND($A$2=4,VLOOKUP($A334,'District Level ADM'!$A$5:$W$52,5,FALSE)="3-Year Avg."),Y334,IF($A$2=2,AM334,IF($A$2=3,Y334,IF(($AG334&gt;$AU334),Y334,AM334)))))</f>
        <v>30.942333333333334</v>
      </c>
      <c r="L334" s="317">
        <f>IF(AND($A$2=4,VLOOKUP($A334,'District Level ADM'!$A$5:$W$52,5,FALSE)="Prior Year"),AN334,IF(AND($A$2=4,VLOOKUP($A334,'District Level ADM'!$A$5:$W$52,5,FALSE)="3-Year Avg."),Z334,IF($A$2=2,AN334,IF($A$2=3,Z334,IF(($AG334&gt;$AU334),Z334,AN334)))))</f>
        <v>0</v>
      </c>
      <c r="M334" s="317">
        <f>IF(AND($A$2=4,VLOOKUP($A334,'District Level ADM'!$A$5:$W$52,5,FALSE)="Prior Year"),AO334,IF(AND($A$2=4,VLOOKUP($A334,'District Level ADM'!$A$5:$W$52,5,FALSE)="3-Year Avg."),AA334,IF($A$2=2,AO334,IF($A$2=3,AA334,IF(($AG334&gt;$AU334),AA334,AO334)))))</f>
        <v>0</v>
      </c>
      <c r="N334" s="317">
        <f>IF(AND($A$2=4,VLOOKUP($A334,'District Level ADM'!$A$5:$W$52,5,FALSE)="Prior Year"),AP334,IF(AND($A$2=4,VLOOKUP($A334,'District Level ADM'!$A$5:$W$52,5,FALSE)="3-Year Avg."),AB334,IF($A$2=2,AP334,IF($A$2=3,AB334,IF(($AG334&gt;$AU334),AB334,AP334)))))</f>
        <v>0</v>
      </c>
      <c r="O334" s="317">
        <f>IF(AND($A$2=4,VLOOKUP($A334,'District Level ADM'!$A$5:$W$52,5,FALSE)="Prior Year"),AQ334,IF(AND($A$2=4,VLOOKUP($A334,'District Level ADM'!$A$5:$W$52,5,FALSE)="3-Year Avg."),AC334,IF($A$2=2,AQ334,IF($A$2=3,AC334,IF(($AG334&gt;$AU334),AC334,AQ334)))))</f>
        <v>0</v>
      </c>
      <c r="P334" s="317">
        <f>IF(AND($A$2=4,VLOOKUP($A334,'District Level ADM'!$A$5:$W$52,5,FALSE)="Prior Year"),AR334,IF(AND($A$2=4,VLOOKUP($A334,'District Level ADM'!$A$5:$W$52,5,FALSE)="3-Year Avg."),AD334,IF($A$2=2,AR334,IF($A$2=3,AD334,IF(($AG334&gt;$AU334),AD334,AR334)))))</f>
        <v>0</v>
      </c>
      <c r="Q334" s="317">
        <f>IF(AND($A$2=4,VLOOKUP($A334,'District Level ADM'!$A$5:$W$52,5,FALSE)="Prior Year"),AS334,IF(AND($A$2=4,VLOOKUP($A334,'District Level ADM'!$A$5:$W$52,5,FALSE)="3-Year Avg."),AE334,IF($A$2=2,AS334,IF($A$2=3,AE334,IF(($AG334&gt;$AU334),AE334,AS334)))))</f>
        <v>0</v>
      </c>
      <c r="R334" s="317">
        <f>IF(AND($A$2=4,VLOOKUP($A334,'District Level ADM'!$A$5:$W$52,5,FALSE)="Prior Year"),AT334,IF(AND($A$2=4,VLOOKUP($A334,'District Level ADM'!$A$5:$W$52,5,FALSE)="3-Year Avg."),AF334,IF($A$2=2,AT334,IF($A$2=3,AF334,IF(($AG334&gt;$AU334),AF334,AT334)))))</f>
        <v>0</v>
      </c>
      <c r="S334" s="317">
        <f t="shared" si="53"/>
        <v>205.03033333333332</v>
      </c>
      <c r="T334" s="317">
        <f t="shared" ref="T334:AF359" si="58">AVERAGE(AH334,AV334,BJ334)</f>
        <v>37.312666666666665</v>
      </c>
      <c r="U334" s="317">
        <f t="shared" si="57"/>
        <v>33.14</v>
      </c>
      <c r="V334" s="317">
        <f t="shared" si="57"/>
        <v>34.772333333333336</v>
      </c>
      <c r="W334" s="317">
        <f t="shared" si="57"/>
        <v>34.907333333333334</v>
      </c>
      <c r="X334" s="317">
        <f t="shared" si="57"/>
        <v>33.955666666666673</v>
      </c>
      <c r="Y334" s="317">
        <f t="shared" si="57"/>
        <v>30.942333333333334</v>
      </c>
      <c r="Z334" s="317">
        <f t="shared" si="57"/>
        <v>0</v>
      </c>
      <c r="AA334" s="317">
        <f t="shared" si="57"/>
        <v>0</v>
      </c>
      <c r="AB334" s="317">
        <f t="shared" si="57"/>
        <v>0</v>
      </c>
      <c r="AC334" s="317">
        <f t="shared" si="57"/>
        <v>0</v>
      </c>
      <c r="AD334" s="317">
        <f t="shared" si="51"/>
        <v>0</v>
      </c>
      <c r="AE334" s="317">
        <f t="shared" si="51"/>
        <v>0</v>
      </c>
      <c r="AF334" s="317">
        <f t="shared" si="51"/>
        <v>0</v>
      </c>
      <c r="AG334" s="317">
        <f t="shared" si="54"/>
        <v>205.03033333333332</v>
      </c>
      <c r="AH334" s="318">
        <v>37.43</v>
      </c>
      <c r="AI334" s="318">
        <v>35.46</v>
      </c>
      <c r="AJ334" s="318">
        <v>32.505000000000003</v>
      </c>
      <c r="AK334" s="318">
        <v>28.565000000000001</v>
      </c>
      <c r="AL334" s="318">
        <v>36.445</v>
      </c>
      <c r="AM334" s="318">
        <v>38.414999999999999</v>
      </c>
      <c r="AN334" s="318">
        <v>0</v>
      </c>
      <c r="AO334" s="318">
        <v>0</v>
      </c>
      <c r="AP334" s="318">
        <v>0</v>
      </c>
      <c r="AQ334" s="318">
        <v>0</v>
      </c>
      <c r="AR334" s="318">
        <v>0</v>
      </c>
      <c r="AS334" s="318">
        <v>0</v>
      </c>
      <c r="AT334" s="318">
        <v>0</v>
      </c>
      <c r="AU334" s="317">
        <f t="shared" si="52"/>
        <v>208.82</v>
      </c>
      <c r="AV334" s="319">
        <v>38.194000000000003</v>
      </c>
      <c r="AW334" s="319">
        <v>32.908999999999999</v>
      </c>
      <c r="AX334" s="319">
        <v>30.509</v>
      </c>
      <c r="AY334" s="319">
        <v>36.673999999999999</v>
      </c>
      <c r="AZ334" s="319">
        <v>40.331000000000003</v>
      </c>
      <c r="BA334" s="319">
        <v>22.388999999999999</v>
      </c>
      <c r="BB334" s="319">
        <v>0</v>
      </c>
      <c r="BC334" s="319">
        <v>0</v>
      </c>
      <c r="BD334" s="319">
        <v>0</v>
      </c>
      <c r="BE334" s="319">
        <v>0</v>
      </c>
      <c r="BF334" s="319">
        <v>0</v>
      </c>
      <c r="BG334" s="319">
        <v>0</v>
      </c>
      <c r="BH334" s="319">
        <v>0</v>
      </c>
      <c r="BI334" s="317">
        <f t="shared" si="56"/>
        <v>201.00600000000003</v>
      </c>
      <c r="BJ334" s="316">
        <v>36.314</v>
      </c>
      <c r="BK334" s="316">
        <v>31.050999999999998</v>
      </c>
      <c r="BL334" s="316">
        <v>41.302999999999997</v>
      </c>
      <c r="BM334" s="316">
        <v>39.482999999999997</v>
      </c>
      <c r="BN334" s="316">
        <v>25.091000000000001</v>
      </c>
      <c r="BO334" s="316">
        <v>32.023000000000003</v>
      </c>
      <c r="BP334" s="316">
        <v>0</v>
      </c>
      <c r="BQ334" s="316">
        <v>0</v>
      </c>
      <c r="BR334" s="316">
        <v>0</v>
      </c>
      <c r="BS334" s="316">
        <v>0</v>
      </c>
      <c r="BT334" s="316">
        <v>0</v>
      </c>
      <c r="BU334" s="316">
        <v>0</v>
      </c>
      <c r="BV334" s="316">
        <v>0</v>
      </c>
      <c r="BW334" s="317">
        <f t="shared" si="55"/>
        <v>205.26499999999999</v>
      </c>
    </row>
    <row r="335" spans="1:75" x14ac:dyDescent="0.2">
      <c r="A335" s="20" t="str">
        <f>'School Level Inst. Resources'!A335</f>
        <v>2101000</v>
      </c>
      <c r="B335" s="20" t="str">
        <f>'School Level Inst. Resources'!B335</f>
        <v>Uinta #1</v>
      </c>
      <c r="C335" s="20" t="str">
        <f>'School Level Inst. Resources'!C335</f>
        <v>2101004</v>
      </c>
      <c r="D335" s="20" t="str">
        <f>'School Level Inst. Resources'!D335</f>
        <v>Uinta Meadows Elementary</v>
      </c>
      <c r="E335" s="138" t="str">
        <f>'School Level Inst. Resources'!E335</f>
        <v>K-5</v>
      </c>
      <c r="F335" s="317">
        <f>IF(AND($A$2=4,VLOOKUP($A335,'District Level ADM'!$A$5:$W$52,5,FALSE)="Prior Year"),AH335,IF(AND($A$2=4,VLOOKUP($A335,'District Level ADM'!$A$5:$W$52,5,FALSE)="3-Year Avg."),T335,IF($A$2=2,AH335,IF($A$2=3,T335,IF(($AG335&gt;$AU335),T335,AH335)))))</f>
        <v>76.039666666666676</v>
      </c>
      <c r="G335" s="317">
        <f>IF(AND($A$2=4,VLOOKUP($A335,'District Level ADM'!$A$5:$W$52,5,FALSE)="Prior Year"),AI335,IF(AND($A$2=4,VLOOKUP($A335,'District Level ADM'!$A$5:$W$52,5,FALSE)="3-Year Avg."),U335,IF($A$2=2,AI335,IF($A$2=3,U335,IF(($AG335&gt;$AU335),U335,AI335)))))</f>
        <v>76.823333333333338</v>
      </c>
      <c r="H335" s="317">
        <f>IF(AND($A$2=4,VLOOKUP($A335,'District Level ADM'!$A$5:$W$52,5,FALSE)="Prior Year"),AJ335,IF(AND($A$2=4,VLOOKUP($A335,'District Level ADM'!$A$5:$W$52,5,FALSE)="3-Year Avg."),V335,IF($A$2=2,AJ335,IF($A$2=3,V335,IF(($AG335&gt;$AU335),V335,AJ335)))))</f>
        <v>81.367999999999995</v>
      </c>
      <c r="I335" s="317">
        <f>IF(AND($A$2=4,VLOOKUP($A335,'District Level ADM'!$A$5:$W$52,5,FALSE)="Prior Year"),AK335,IF(AND($A$2=4,VLOOKUP($A335,'District Level ADM'!$A$5:$W$52,5,FALSE)="3-Year Avg."),W335,IF($A$2=2,AK335,IF($A$2=3,W335,IF(($AG335&gt;$AU335),W335,AK335)))))</f>
        <v>80.748666666666665</v>
      </c>
      <c r="J335" s="317">
        <f>IF(AND($A$2=4,VLOOKUP($A335,'District Level ADM'!$A$5:$W$52,5,FALSE)="Prior Year"),AL335,IF(AND($A$2=4,VLOOKUP($A335,'District Level ADM'!$A$5:$W$52,5,FALSE)="3-Year Avg."),X335,IF($A$2=2,AL335,IF($A$2=3,X335,IF(($AG335&gt;$AU335),X335,AL335)))))</f>
        <v>82.48533333333333</v>
      </c>
      <c r="K335" s="317">
        <f>IF(AND($A$2=4,VLOOKUP($A335,'District Level ADM'!$A$5:$W$52,5,FALSE)="Prior Year"),AM335,IF(AND($A$2=4,VLOOKUP($A335,'District Level ADM'!$A$5:$W$52,5,FALSE)="3-Year Avg."),Y335,IF($A$2=2,AM335,IF($A$2=3,Y335,IF(($AG335&gt;$AU335),Y335,AM335)))))</f>
        <v>78.153666666666666</v>
      </c>
      <c r="L335" s="317">
        <f>IF(AND($A$2=4,VLOOKUP($A335,'District Level ADM'!$A$5:$W$52,5,FALSE)="Prior Year"),AN335,IF(AND($A$2=4,VLOOKUP($A335,'District Level ADM'!$A$5:$W$52,5,FALSE)="3-Year Avg."),Z335,IF($A$2=2,AN335,IF($A$2=3,Z335,IF(($AG335&gt;$AU335),Z335,AN335)))))</f>
        <v>0</v>
      </c>
      <c r="M335" s="317">
        <f>IF(AND($A$2=4,VLOOKUP($A335,'District Level ADM'!$A$5:$W$52,5,FALSE)="Prior Year"),AO335,IF(AND($A$2=4,VLOOKUP($A335,'District Level ADM'!$A$5:$W$52,5,FALSE)="3-Year Avg."),AA335,IF($A$2=2,AO335,IF($A$2=3,AA335,IF(($AG335&gt;$AU335),AA335,AO335)))))</f>
        <v>0</v>
      </c>
      <c r="N335" s="317">
        <f>IF(AND($A$2=4,VLOOKUP($A335,'District Level ADM'!$A$5:$W$52,5,FALSE)="Prior Year"),AP335,IF(AND($A$2=4,VLOOKUP($A335,'District Level ADM'!$A$5:$W$52,5,FALSE)="3-Year Avg."),AB335,IF($A$2=2,AP335,IF($A$2=3,AB335,IF(($AG335&gt;$AU335),AB335,AP335)))))</f>
        <v>0</v>
      </c>
      <c r="O335" s="317">
        <f>IF(AND($A$2=4,VLOOKUP($A335,'District Level ADM'!$A$5:$W$52,5,FALSE)="Prior Year"),AQ335,IF(AND($A$2=4,VLOOKUP($A335,'District Level ADM'!$A$5:$W$52,5,FALSE)="3-Year Avg."),AC335,IF($A$2=2,AQ335,IF($A$2=3,AC335,IF(($AG335&gt;$AU335),AC335,AQ335)))))</f>
        <v>0</v>
      </c>
      <c r="P335" s="317">
        <f>IF(AND($A$2=4,VLOOKUP($A335,'District Level ADM'!$A$5:$W$52,5,FALSE)="Prior Year"),AR335,IF(AND($A$2=4,VLOOKUP($A335,'District Level ADM'!$A$5:$W$52,5,FALSE)="3-Year Avg."),AD335,IF($A$2=2,AR335,IF($A$2=3,AD335,IF(($AG335&gt;$AU335),AD335,AR335)))))</f>
        <v>0</v>
      </c>
      <c r="Q335" s="317">
        <f>IF(AND($A$2=4,VLOOKUP($A335,'District Level ADM'!$A$5:$W$52,5,FALSE)="Prior Year"),AS335,IF(AND($A$2=4,VLOOKUP($A335,'District Level ADM'!$A$5:$W$52,5,FALSE)="3-Year Avg."),AE335,IF($A$2=2,AS335,IF($A$2=3,AE335,IF(($AG335&gt;$AU335),AE335,AS335)))))</f>
        <v>0</v>
      </c>
      <c r="R335" s="317">
        <f>IF(AND($A$2=4,VLOOKUP($A335,'District Level ADM'!$A$5:$W$52,5,FALSE)="Prior Year"),AT335,IF(AND($A$2=4,VLOOKUP($A335,'District Level ADM'!$A$5:$W$52,5,FALSE)="3-Year Avg."),AF335,IF($A$2=2,AT335,IF($A$2=3,AF335,IF(($AG335&gt;$AU335),AF335,AT335)))))</f>
        <v>0</v>
      </c>
      <c r="S335" s="317">
        <f t="shared" si="53"/>
        <v>475.61866666666668</v>
      </c>
      <c r="T335" s="317">
        <f t="shared" si="58"/>
        <v>76.039666666666676</v>
      </c>
      <c r="U335" s="317">
        <f t="shared" si="57"/>
        <v>76.823333333333338</v>
      </c>
      <c r="V335" s="317">
        <f t="shared" si="57"/>
        <v>81.367999999999995</v>
      </c>
      <c r="W335" s="317">
        <f t="shared" si="57"/>
        <v>80.748666666666665</v>
      </c>
      <c r="X335" s="317">
        <f t="shared" si="57"/>
        <v>82.48533333333333</v>
      </c>
      <c r="Y335" s="317">
        <f t="shared" si="57"/>
        <v>78.153666666666666</v>
      </c>
      <c r="Z335" s="317">
        <f t="shared" si="57"/>
        <v>0</v>
      </c>
      <c r="AA335" s="317">
        <f t="shared" si="57"/>
        <v>0</v>
      </c>
      <c r="AB335" s="317">
        <f t="shared" si="57"/>
        <v>0</v>
      </c>
      <c r="AC335" s="317">
        <f t="shared" si="57"/>
        <v>0</v>
      </c>
      <c r="AD335" s="317">
        <f t="shared" si="51"/>
        <v>0</v>
      </c>
      <c r="AE335" s="317">
        <f t="shared" si="51"/>
        <v>0</v>
      </c>
      <c r="AF335" s="317">
        <f t="shared" si="51"/>
        <v>0</v>
      </c>
      <c r="AG335" s="317">
        <f t="shared" si="54"/>
        <v>475.61866666666668</v>
      </c>
      <c r="AH335" s="318">
        <v>60.085000000000001</v>
      </c>
      <c r="AI335" s="318">
        <v>68.95</v>
      </c>
      <c r="AJ335" s="318">
        <v>76.83</v>
      </c>
      <c r="AK335" s="318">
        <v>78.8</v>
      </c>
      <c r="AL335" s="318">
        <v>83.724999999999994</v>
      </c>
      <c r="AM335" s="318">
        <v>72.89</v>
      </c>
      <c r="AN335" s="318">
        <v>0</v>
      </c>
      <c r="AO335" s="318">
        <v>0</v>
      </c>
      <c r="AP335" s="318">
        <v>0</v>
      </c>
      <c r="AQ335" s="318">
        <v>0</v>
      </c>
      <c r="AR335" s="318">
        <v>0</v>
      </c>
      <c r="AS335" s="318">
        <v>0</v>
      </c>
      <c r="AT335" s="318">
        <v>0</v>
      </c>
      <c r="AU335" s="317">
        <f t="shared" si="52"/>
        <v>441.28</v>
      </c>
      <c r="AV335" s="319">
        <v>74.114000000000004</v>
      </c>
      <c r="AW335" s="319">
        <v>82.177000000000007</v>
      </c>
      <c r="AX335" s="319">
        <v>77.64</v>
      </c>
      <c r="AY335" s="319">
        <v>90.942999999999998</v>
      </c>
      <c r="AZ335" s="319">
        <v>71.593999999999994</v>
      </c>
      <c r="BA335" s="319">
        <v>94.474000000000004</v>
      </c>
      <c r="BB335" s="319">
        <v>0</v>
      </c>
      <c r="BC335" s="319">
        <v>0</v>
      </c>
      <c r="BD335" s="319">
        <v>0</v>
      </c>
      <c r="BE335" s="319">
        <v>0</v>
      </c>
      <c r="BF335" s="319">
        <v>0</v>
      </c>
      <c r="BG335" s="319">
        <v>0</v>
      </c>
      <c r="BH335" s="319">
        <v>0</v>
      </c>
      <c r="BI335" s="317">
        <f t="shared" si="56"/>
        <v>490.94199999999995</v>
      </c>
      <c r="BJ335" s="316">
        <v>93.92</v>
      </c>
      <c r="BK335" s="316">
        <v>79.343000000000004</v>
      </c>
      <c r="BL335" s="316">
        <v>89.634</v>
      </c>
      <c r="BM335" s="316">
        <v>72.503</v>
      </c>
      <c r="BN335" s="316">
        <v>92.137</v>
      </c>
      <c r="BO335" s="316">
        <v>67.096999999999994</v>
      </c>
      <c r="BP335" s="316">
        <v>0</v>
      </c>
      <c r="BQ335" s="316">
        <v>0</v>
      </c>
      <c r="BR335" s="316">
        <v>0</v>
      </c>
      <c r="BS335" s="316">
        <v>0</v>
      </c>
      <c r="BT335" s="316">
        <v>0</v>
      </c>
      <c r="BU335" s="316">
        <v>0</v>
      </c>
      <c r="BV335" s="316">
        <v>0</v>
      </c>
      <c r="BW335" s="317">
        <f t="shared" si="55"/>
        <v>494.63399999999996</v>
      </c>
    </row>
    <row r="336" spans="1:75" x14ac:dyDescent="0.2">
      <c r="A336" s="20" t="str">
        <f>'School Level Inst. Resources'!A336</f>
        <v>2101000</v>
      </c>
      <c r="B336" s="20" t="str">
        <f>'School Level Inst. Resources'!B336</f>
        <v>Uinta #1</v>
      </c>
      <c r="C336" s="20" t="str">
        <f>'School Level Inst. Resources'!C336</f>
        <v>2101005</v>
      </c>
      <c r="D336" s="20" t="str">
        <f>'School Level Inst. Resources'!D336</f>
        <v>North Evanston Elementary</v>
      </c>
      <c r="E336" s="138" t="str">
        <f>'School Level Inst. Resources'!E336</f>
        <v>K-5</v>
      </c>
      <c r="F336" s="317">
        <f>IF(AND($A$2=4,VLOOKUP($A336,'District Level ADM'!$A$5:$W$52,5,FALSE)="Prior Year"),AH336,IF(AND($A$2=4,VLOOKUP($A336,'District Level ADM'!$A$5:$W$52,5,FALSE)="3-Year Avg."),T336,IF($A$2=2,AH336,IF($A$2=3,T336,IF(($AG336&gt;$AU336),T336,AH336)))))</f>
        <v>52.750666666666667</v>
      </c>
      <c r="G336" s="317">
        <f>IF(AND($A$2=4,VLOOKUP($A336,'District Level ADM'!$A$5:$W$52,5,FALSE)="Prior Year"),AI336,IF(AND($A$2=4,VLOOKUP($A336,'District Level ADM'!$A$5:$W$52,5,FALSE)="3-Year Avg."),U336,IF($A$2=2,AI336,IF($A$2=3,U336,IF(($AG336&gt;$AU336),U336,AI336)))))</f>
        <v>52.514666666666663</v>
      </c>
      <c r="H336" s="317">
        <f>IF(AND($A$2=4,VLOOKUP($A336,'District Level ADM'!$A$5:$W$52,5,FALSE)="Prior Year"),AJ336,IF(AND($A$2=4,VLOOKUP($A336,'District Level ADM'!$A$5:$W$52,5,FALSE)="3-Year Avg."),V336,IF($A$2=2,AJ336,IF($A$2=3,V336,IF(($AG336&gt;$AU336),V336,AJ336)))))</f>
        <v>52.238999999999997</v>
      </c>
      <c r="I336" s="317">
        <f>IF(AND($A$2=4,VLOOKUP($A336,'District Level ADM'!$A$5:$W$52,5,FALSE)="Prior Year"),AK336,IF(AND($A$2=4,VLOOKUP($A336,'District Level ADM'!$A$5:$W$52,5,FALSE)="3-Year Avg."),W336,IF($A$2=2,AK336,IF($A$2=3,W336,IF(($AG336&gt;$AU336),W336,AK336)))))</f>
        <v>55.527333333333331</v>
      </c>
      <c r="J336" s="317">
        <f>IF(AND($A$2=4,VLOOKUP($A336,'District Level ADM'!$A$5:$W$52,5,FALSE)="Prior Year"),AL336,IF(AND($A$2=4,VLOOKUP($A336,'District Level ADM'!$A$5:$W$52,5,FALSE)="3-Year Avg."),X336,IF($A$2=2,AL336,IF($A$2=3,X336,IF(($AG336&gt;$AU336),X336,AL336)))))</f>
        <v>54.560666666666663</v>
      </c>
      <c r="K336" s="317">
        <f>IF(AND($A$2=4,VLOOKUP($A336,'District Level ADM'!$A$5:$W$52,5,FALSE)="Prior Year"),AM336,IF(AND($A$2=4,VLOOKUP($A336,'District Level ADM'!$A$5:$W$52,5,FALSE)="3-Year Avg."),Y336,IF($A$2=2,AM336,IF($A$2=3,Y336,IF(($AG336&gt;$AU336),Y336,AM336)))))</f>
        <v>54.007333333333328</v>
      </c>
      <c r="L336" s="317">
        <f>IF(AND($A$2=4,VLOOKUP($A336,'District Level ADM'!$A$5:$W$52,5,FALSE)="Prior Year"),AN336,IF(AND($A$2=4,VLOOKUP($A336,'District Level ADM'!$A$5:$W$52,5,FALSE)="3-Year Avg."),Z336,IF($A$2=2,AN336,IF($A$2=3,Z336,IF(($AG336&gt;$AU336),Z336,AN336)))))</f>
        <v>0</v>
      </c>
      <c r="M336" s="317">
        <f>IF(AND($A$2=4,VLOOKUP($A336,'District Level ADM'!$A$5:$W$52,5,FALSE)="Prior Year"),AO336,IF(AND($A$2=4,VLOOKUP($A336,'District Level ADM'!$A$5:$W$52,5,FALSE)="3-Year Avg."),AA336,IF($A$2=2,AO336,IF($A$2=3,AA336,IF(($AG336&gt;$AU336),AA336,AO336)))))</f>
        <v>0</v>
      </c>
      <c r="N336" s="317">
        <f>IF(AND($A$2=4,VLOOKUP($A336,'District Level ADM'!$A$5:$W$52,5,FALSE)="Prior Year"),AP336,IF(AND($A$2=4,VLOOKUP($A336,'District Level ADM'!$A$5:$W$52,5,FALSE)="3-Year Avg."),AB336,IF($A$2=2,AP336,IF($A$2=3,AB336,IF(($AG336&gt;$AU336),AB336,AP336)))))</f>
        <v>0</v>
      </c>
      <c r="O336" s="317">
        <f>IF(AND($A$2=4,VLOOKUP($A336,'District Level ADM'!$A$5:$W$52,5,FALSE)="Prior Year"),AQ336,IF(AND($A$2=4,VLOOKUP($A336,'District Level ADM'!$A$5:$W$52,5,FALSE)="3-Year Avg."),AC336,IF($A$2=2,AQ336,IF($A$2=3,AC336,IF(($AG336&gt;$AU336),AC336,AQ336)))))</f>
        <v>0</v>
      </c>
      <c r="P336" s="317">
        <f>IF(AND($A$2=4,VLOOKUP($A336,'District Level ADM'!$A$5:$W$52,5,FALSE)="Prior Year"),AR336,IF(AND($A$2=4,VLOOKUP($A336,'District Level ADM'!$A$5:$W$52,5,FALSE)="3-Year Avg."),AD336,IF($A$2=2,AR336,IF($A$2=3,AD336,IF(($AG336&gt;$AU336),AD336,AR336)))))</f>
        <v>0</v>
      </c>
      <c r="Q336" s="317">
        <f>IF(AND($A$2=4,VLOOKUP($A336,'District Level ADM'!$A$5:$W$52,5,FALSE)="Prior Year"),AS336,IF(AND($A$2=4,VLOOKUP($A336,'District Level ADM'!$A$5:$W$52,5,FALSE)="3-Year Avg."),AE336,IF($A$2=2,AS336,IF($A$2=3,AE336,IF(($AG336&gt;$AU336),AE336,AS336)))))</f>
        <v>0</v>
      </c>
      <c r="R336" s="317">
        <f>IF(AND($A$2=4,VLOOKUP($A336,'District Level ADM'!$A$5:$W$52,5,FALSE)="Prior Year"),AT336,IF(AND($A$2=4,VLOOKUP($A336,'District Level ADM'!$A$5:$W$52,5,FALSE)="3-Year Avg."),AF336,IF($A$2=2,AT336,IF($A$2=3,AF336,IF(($AG336&gt;$AU336),AF336,AT336)))))</f>
        <v>0</v>
      </c>
      <c r="S336" s="317">
        <f t="shared" si="53"/>
        <v>321.59966666666668</v>
      </c>
      <c r="T336" s="317">
        <f t="shared" si="58"/>
        <v>52.750666666666667</v>
      </c>
      <c r="U336" s="317">
        <f t="shared" si="57"/>
        <v>52.514666666666663</v>
      </c>
      <c r="V336" s="317">
        <f t="shared" si="57"/>
        <v>52.238999999999997</v>
      </c>
      <c r="W336" s="317">
        <f t="shared" si="57"/>
        <v>55.527333333333331</v>
      </c>
      <c r="X336" s="317">
        <f t="shared" si="57"/>
        <v>54.560666666666663</v>
      </c>
      <c r="Y336" s="317">
        <f t="shared" si="57"/>
        <v>54.007333333333328</v>
      </c>
      <c r="Z336" s="317">
        <f t="shared" si="57"/>
        <v>0</v>
      </c>
      <c r="AA336" s="317">
        <f t="shared" si="57"/>
        <v>0</v>
      </c>
      <c r="AB336" s="317">
        <f t="shared" si="57"/>
        <v>0</v>
      </c>
      <c r="AC336" s="317">
        <f t="shared" si="57"/>
        <v>0</v>
      </c>
      <c r="AD336" s="317">
        <f t="shared" si="51"/>
        <v>0</v>
      </c>
      <c r="AE336" s="317">
        <f t="shared" si="51"/>
        <v>0</v>
      </c>
      <c r="AF336" s="317">
        <f t="shared" si="51"/>
        <v>0</v>
      </c>
      <c r="AG336" s="317">
        <f t="shared" si="54"/>
        <v>321.59966666666668</v>
      </c>
      <c r="AH336" s="318">
        <v>43.34</v>
      </c>
      <c r="AI336" s="318">
        <v>53.19</v>
      </c>
      <c r="AJ336" s="318">
        <v>43.34</v>
      </c>
      <c r="AK336" s="318">
        <v>52.204999999999998</v>
      </c>
      <c r="AL336" s="318">
        <v>53.19</v>
      </c>
      <c r="AM336" s="318">
        <v>55.16</v>
      </c>
      <c r="AN336" s="318">
        <v>0</v>
      </c>
      <c r="AO336" s="318">
        <v>0</v>
      </c>
      <c r="AP336" s="318">
        <v>0</v>
      </c>
      <c r="AQ336" s="318">
        <v>0</v>
      </c>
      <c r="AR336" s="318">
        <v>0</v>
      </c>
      <c r="AS336" s="318">
        <v>0</v>
      </c>
      <c r="AT336" s="318">
        <v>0</v>
      </c>
      <c r="AU336" s="317">
        <f t="shared" si="52"/>
        <v>300.42499999999995</v>
      </c>
      <c r="AV336" s="319">
        <v>58.066000000000003</v>
      </c>
      <c r="AW336" s="319">
        <v>46.08</v>
      </c>
      <c r="AX336" s="319">
        <v>49.753999999999998</v>
      </c>
      <c r="AY336" s="319">
        <v>57.582999999999998</v>
      </c>
      <c r="AZ336" s="319">
        <v>55.948999999999998</v>
      </c>
      <c r="BA336" s="319">
        <v>46.731000000000002</v>
      </c>
      <c r="BB336" s="319">
        <v>0</v>
      </c>
      <c r="BC336" s="319">
        <v>0</v>
      </c>
      <c r="BD336" s="319">
        <v>0</v>
      </c>
      <c r="BE336" s="319">
        <v>0</v>
      </c>
      <c r="BF336" s="319">
        <v>0</v>
      </c>
      <c r="BG336" s="319">
        <v>0</v>
      </c>
      <c r="BH336" s="319">
        <v>0</v>
      </c>
      <c r="BI336" s="317">
        <f t="shared" si="56"/>
        <v>314.16300000000001</v>
      </c>
      <c r="BJ336" s="316">
        <v>56.845999999999997</v>
      </c>
      <c r="BK336" s="316">
        <v>58.274000000000001</v>
      </c>
      <c r="BL336" s="316">
        <v>63.622999999999998</v>
      </c>
      <c r="BM336" s="316">
        <v>56.793999999999997</v>
      </c>
      <c r="BN336" s="316">
        <v>54.542999999999999</v>
      </c>
      <c r="BO336" s="316">
        <v>60.131</v>
      </c>
      <c r="BP336" s="316">
        <v>0</v>
      </c>
      <c r="BQ336" s="316">
        <v>0</v>
      </c>
      <c r="BR336" s="316">
        <v>0</v>
      </c>
      <c r="BS336" s="316">
        <v>0</v>
      </c>
      <c r="BT336" s="316">
        <v>0</v>
      </c>
      <c r="BU336" s="316">
        <v>0</v>
      </c>
      <c r="BV336" s="316">
        <v>0</v>
      </c>
      <c r="BW336" s="317">
        <f t="shared" si="55"/>
        <v>350.21100000000001</v>
      </c>
    </row>
    <row r="337" spans="1:75" x14ac:dyDescent="0.2">
      <c r="A337" s="20" t="str">
        <f>'School Level Inst. Resources'!A337</f>
        <v>2101000</v>
      </c>
      <c r="B337" s="20" t="str">
        <f>'School Level Inst. Resources'!B337</f>
        <v>Uinta #1</v>
      </c>
      <c r="C337" s="20" t="str">
        <f>'School Level Inst. Resources'!C337</f>
        <v>2101006</v>
      </c>
      <c r="D337" s="20" t="str">
        <f>'School Level Inst. Resources'!D337</f>
        <v>Aspen Elementary</v>
      </c>
      <c r="E337" s="138" t="str">
        <f>'School Level Inst. Resources'!E337</f>
        <v>K-5</v>
      </c>
      <c r="F337" s="317">
        <f>IF(AND($A$2=4,VLOOKUP($A337,'District Level ADM'!$A$5:$W$52,5,FALSE)="Prior Year"),AH337,IF(AND($A$2=4,VLOOKUP($A337,'District Level ADM'!$A$5:$W$52,5,FALSE)="3-Year Avg."),T337,IF($A$2=2,AH337,IF($A$2=3,T337,IF(($AG337&gt;$AU337),T337,AH337)))))</f>
        <v>52.028333333333329</v>
      </c>
      <c r="G337" s="317">
        <f>IF(AND($A$2=4,VLOOKUP($A337,'District Level ADM'!$A$5:$W$52,5,FALSE)="Prior Year"),AI337,IF(AND($A$2=4,VLOOKUP($A337,'District Level ADM'!$A$5:$W$52,5,FALSE)="3-Year Avg."),U337,IF($A$2=2,AI337,IF($A$2=3,U337,IF(($AG337&gt;$AU337),U337,AI337)))))</f>
        <v>52.449999999999996</v>
      </c>
      <c r="H337" s="317">
        <f>IF(AND($A$2=4,VLOOKUP($A337,'District Level ADM'!$A$5:$W$52,5,FALSE)="Prior Year"),AJ337,IF(AND($A$2=4,VLOOKUP($A337,'District Level ADM'!$A$5:$W$52,5,FALSE)="3-Year Avg."),V337,IF($A$2=2,AJ337,IF($A$2=3,V337,IF(($AG337&gt;$AU337),V337,AJ337)))))</f>
        <v>53.434000000000005</v>
      </c>
      <c r="I337" s="317">
        <f>IF(AND($A$2=4,VLOOKUP($A337,'District Level ADM'!$A$5:$W$52,5,FALSE)="Prior Year"),AK337,IF(AND($A$2=4,VLOOKUP($A337,'District Level ADM'!$A$5:$W$52,5,FALSE)="3-Year Avg."),W337,IF($A$2=2,AK337,IF($A$2=3,W337,IF(($AG337&gt;$AU337),W337,AK337)))))</f>
        <v>50.199333333333335</v>
      </c>
      <c r="J337" s="317">
        <f>IF(AND($A$2=4,VLOOKUP($A337,'District Level ADM'!$A$5:$W$52,5,FALSE)="Prior Year"),AL337,IF(AND($A$2=4,VLOOKUP($A337,'District Level ADM'!$A$5:$W$52,5,FALSE)="3-Year Avg."),X337,IF($A$2=2,AL337,IF($A$2=3,X337,IF(($AG337&gt;$AU337),X337,AL337)))))</f>
        <v>45.994</v>
      </c>
      <c r="K337" s="317">
        <f>IF(AND($A$2=4,VLOOKUP($A337,'District Level ADM'!$A$5:$W$52,5,FALSE)="Prior Year"),AM337,IF(AND($A$2=4,VLOOKUP($A337,'District Level ADM'!$A$5:$W$52,5,FALSE)="3-Year Avg."),Y337,IF($A$2=2,AM337,IF($A$2=3,Y337,IF(($AG337&gt;$AU337),Y337,AM337)))))</f>
        <v>48.065999999999995</v>
      </c>
      <c r="L337" s="317">
        <f>IF(AND($A$2=4,VLOOKUP($A337,'District Level ADM'!$A$5:$W$52,5,FALSE)="Prior Year"),AN337,IF(AND($A$2=4,VLOOKUP($A337,'District Level ADM'!$A$5:$W$52,5,FALSE)="3-Year Avg."),Z337,IF($A$2=2,AN337,IF($A$2=3,Z337,IF(($AG337&gt;$AU337),Z337,AN337)))))</f>
        <v>0</v>
      </c>
      <c r="M337" s="317">
        <f>IF(AND($A$2=4,VLOOKUP($A337,'District Level ADM'!$A$5:$W$52,5,FALSE)="Prior Year"),AO337,IF(AND($A$2=4,VLOOKUP($A337,'District Level ADM'!$A$5:$W$52,5,FALSE)="3-Year Avg."),AA337,IF($A$2=2,AO337,IF($A$2=3,AA337,IF(($AG337&gt;$AU337),AA337,AO337)))))</f>
        <v>0</v>
      </c>
      <c r="N337" s="317">
        <f>IF(AND($A$2=4,VLOOKUP($A337,'District Level ADM'!$A$5:$W$52,5,FALSE)="Prior Year"),AP337,IF(AND($A$2=4,VLOOKUP($A337,'District Level ADM'!$A$5:$W$52,5,FALSE)="3-Year Avg."),AB337,IF($A$2=2,AP337,IF($A$2=3,AB337,IF(($AG337&gt;$AU337),AB337,AP337)))))</f>
        <v>0</v>
      </c>
      <c r="O337" s="317">
        <f>IF(AND($A$2=4,VLOOKUP($A337,'District Level ADM'!$A$5:$W$52,5,FALSE)="Prior Year"),AQ337,IF(AND($A$2=4,VLOOKUP($A337,'District Level ADM'!$A$5:$W$52,5,FALSE)="3-Year Avg."),AC337,IF($A$2=2,AQ337,IF($A$2=3,AC337,IF(($AG337&gt;$AU337),AC337,AQ337)))))</f>
        <v>0</v>
      </c>
      <c r="P337" s="317">
        <f>IF(AND($A$2=4,VLOOKUP($A337,'District Level ADM'!$A$5:$W$52,5,FALSE)="Prior Year"),AR337,IF(AND($A$2=4,VLOOKUP($A337,'District Level ADM'!$A$5:$W$52,5,FALSE)="3-Year Avg."),AD337,IF($A$2=2,AR337,IF($A$2=3,AD337,IF(($AG337&gt;$AU337),AD337,AR337)))))</f>
        <v>0</v>
      </c>
      <c r="Q337" s="317">
        <f>IF(AND($A$2=4,VLOOKUP($A337,'District Level ADM'!$A$5:$W$52,5,FALSE)="Prior Year"),AS337,IF(AND($A$2=4,VLOOKUP($A337,'District Level ADM'!$A$5:$W$52,5,FALSE)="3-Year Avg."),AE337,IF($A$2=2,AS337,IF($A$2=3,AE337,IF(($AG337&gt;$AU337),AE337,AS337)))))</f>
        <v>0</v>
      </c>
      <c r="R337" s="317">
        <f>IF(AND($A$2=4,VLOOKUP($A337,'District Level ADM'!$A$5:$W$52,5,FALSE)="Prior Year"),AT337,IF(AND($A$2=4,VLOOKUP($A337,'District Level ADM'!$A$5:$W$52,5,FALSE)="3-Year Avg."),AF337,IF($A$2=2,AT337,IF($A$2=3,AF337,IF(($AG337&gt;$AU337),AF337,AT337)))))</f>
        <v>0</v>
      </c>
      <c r="S337" s="317">
        <f t="shared" si="53"/>
        <v>302.17166666666662</v>
      </c>
      <c r="T337" s="317">
        <f t="shared" si="58"/>
        <v>52.028333333333329</v>
      </c>
      <c r="U337" s="317">
        <f t="shared" si="57"/>
        <v>52.449999999999996</v>
      </c>
      <c r="V337" s="317">
        <f t="shared" si="57"/>
        <v>53.434000000000005</v>
      </c>
      <c r="W337" s="317">
        <f t="shared" si="57"/>
        <v>50.199333333333335</v>
      </c>
      <c r="X337" s="317">
        <f t="shared" si="57"/>
        <v>45.994</v>
      </c>
      <c r="Y337" s="317">
        <f t="shared" si="57"/>
        <v>48.065999999999995</v>
      </c>
      <c r="Z337" s="317">
        <f t="shared" si="57"/>
        <v>0</v>
      </c>
      <c r="AA337" s="317">
        <f t="shared" si="57"/>
        <v>0</v>
      </c>
      <c r="AB337" s="317">
        <f t="shared" si="57"/>
        <v>0</v>
      </c>
      <c r="AC337" s="317">
        <f t="shared" si="57"/>
        <v>0</v>
      </c>
      <c r="AD337" s="317">
        <f t="shared" si="51"/>
        <v>0</v>
      </c>
      <c r="AE337" s="317">
        <f t="shared" si="51"/>
        <v>0</v>
      </c>
      <c r="AF337" s="317">
        <f t="shared" si="51"/>
        <v>0</v>
      </c>
      <c r="AG337" s="317">
        <f t="shared" si="54"/>
        <v>302.17166666666662</v>
      </c>
      <c r="AH337" s="318">
        <v>52.204999999999998</v>
      </c>
      <c r="AI337" s="318">
        <v>45.31</v>
      </c>
      <c r="AJ337" s="318">
        <v>52.204999999999998</v>
      </c>
      <c r="AK337" s="318">
        <v>54.174999999999997</v>
      </c>
      <c r="AL337" s="318">
        <v>44.325000000000003</v>
      </c>
      <c r="AM337" s="318">
        <v>46.295000000000002</v>
      </c>
      <c r="AN337" s="318">
        <v>0</v>
      </c>
      <c r="AO337" s="318">
        <v>0</v>
      </c>
      <c r="AP337" s="318">
        <v>0</v>
      </c>
      <c r="AQ337" s="318">
        <v>0</v>
      </c>
      <c r="AR337" s="318">
        <v>0</v>
      </c>
      <c r="AS337" s="318">
        <v>0</v>
      </c>
      <c r="AT337" s="318">
        <v>0</v>
      </c>
      <c r="AU337" s="317">
        <f t="shared" si="52"/>
        <v>294.51499999999999</v>
      </c>
      <c r="AV337" s="319">
        <v>45.8</v>
      </c>
      <c r="AW337" s="319">
        <v>56.149000000000001</v>
      </c>
      <c r="AX337" s="319">
        <v>56.896999999999998</v>
      </c>
      <c r="AY337" s="319">
        <v>46.789000000000001</v>
      </c>
      <c r="AZ337" s="319">
        <v>48.177</v>
      </c>
      <c r="BA337" s="319">
        <v>40.109000000000002</v>
      </c>
      <c r="BB337" s="319">
        <v>0</v>
      </c>
      <c r="BC337" s="319">
        <v>0</v>
      </c>
      <c r="BD337" s="319">
        <v>0</v>
      </c>
      <c r="BE337" s="319">
        <v>0</v>
      </c>
      <c r="BF337" s="319">
        <v>0</v>
      </c>
      <c r="BG337" s="319">
        <v>0</v>
      </c>
      <c r="BH337" s="319">
        <v>0</v>
      </c>
      <c r="BI337" s="317">
        <f t="shared" si="56"/>
        <v>293.92099999999999</v>
      </c>
      <c r="BJ337" s="316">
        <v>58.08</v>
      </c>
      <c r="BK337" s="316">
        <v>55.890999999999998</v>
      </c>
      <c r="BL337" s="316">
        <v>51.2</v>
      </c>
      <c r="BM337" s="316">
        <v>49.634</v>
      </c>
      <c r="BN337" s="316">
        <v>45.48</v>
      </c>
      <c r="BO337" s="316">
        <v>57.793999999999997</v>
      </c>
      <c r="BP337" s="316">
        <v>0</v>
      </c>
      <c r="BQ337" s="316">
        <v>0</v>
      </c>
      <c r="BR337" s="316">
        <v>0</v>
      </c>
      <c r="BS337" s="316">
        <v>0</v>
      </c>
      <c r="BT337" s="316">
        <v>0</v>
      </c>
      <c r="BU337" s="316">
        <v>0</v>
      </c>
      <c r="BV337" s="316">
        <v>0</v>
      </c>
      <c r="BW337" s="317">
        <f t="shared" si="55"/>
        <v>318.07900000000001</v>
      </c>
    </row>
    <row r="338" spans="1:75" x14ac:dyDescent="0.2">
      <c r="A338" s="20" t="str">
        <f>'School Level Inst. Resources'!A338</f>
        <v>2101000</v>
      </c>
      <c r="B338" s="20" t="str">
        <f>'School Level Inst. Resources'!B338</f>
        <v>Uinta #1</v>
      </c>
      <c r="C338" s="20" t="str">
        <f>'School Level Inst. Resources'!C338</f>
        <v>2101050</v>
      </c>
      <c r="D338" s="20" t="str">
        <f>'School Level Inst. Resources'!D338</f>
        <v>Davis Middle School</v>
      </c>
      <c r="E338" s="138" t="str">
        <f>'School Level Inst. Resources'!E338</f>
        <v>6-8</v>
      </c>
      <c r="F338" s="317">
        <f>IF(AND($A$2=4,VLOOKUP($A338,'District Level ADM'!$A$5:$W$52,5,FALSE)="Prior Year"),AH338,IF(AND($A$2=4,VLOOKUP($A338,'District Level ADM'!$A$5:$W$52,5,FALSE)="3-Year Avg."),T338,IF($A$2=2,AH338,IF($A$2=3,T338,IF(($AG338&gt;$AU338),T338,AH338)))))</f>
        <v>0</v>
      </c>
      <c r="G338" s="317">
        <f>IF(AND($A$2=4,VLOOKUP($A338,'District Level ADM'!$A$5:$W$52,5,FALSE)="Prior Year"),AI338,IF(AND($A$2=4,VLOOKUP($A338,'District Level ADM'!$A$5:$W$52,5,FALSE)="3-Year Avg."),U338,IF($A$2=2,AI338,IF($A$2=3,U338,IF(($AG338&gt;$AU338),U338,AI338)))))</f>
        <v>0</v>
      </c>
      <c r="H338" s="317">
        <f>IF(AND($A$2=4,VLOOKUP($A338,'District Level ADM'!$A$5:$W$52,5,FALSE)="Prior Year"),AJ338,IF(AND($A$2=4,VLOOKUP($A338,'District Level ADM'!$A$5:$W$52,5,FALSE)="3-Year Avg."),V338,IF($A$2=2,AJ338,IF($A$2=3,V338,IF(($AG338&gt;$AU338),V338,AJ338)))))</f>
        <v>0</v>
      </c>
      <c r="I338" s="317">
        <f>IF(AND($A$2=4,VLOOKUP($A338,'District Level ADM'!$A$5:$W$52,5,FALSE)="Prior Year"),AK338,IF(AND($A$2=4,VLOOKUP($A338,'District Level ADM'!$A$5:$W$52,5,FALSE)="3-Year Avg."),W338,IF($A$2=2,AK338,IF($A$2=3,W338,IF(($AG338&gt;$AU338),W338,AK338)))))</f>
        <v>0</v>
      </c>
      <c r="J338" s="317">
        <f>IF(AND($A$2=4,VLOOKUP($A338,'District Level ADM'!$A$5:$W$52,5,FALSE)="Prior Year"),AL338,IF(AND($A$2=4,VLOOKUP($A338,'District Level ADM'!$A$5:$W$52,5,FALSE)="3-Year Avg."),X338,IF($A$2=2,AL338,IF($A$2=3,X338,IF(($AG338&gt;$AU338),X338,AL338)))))</f>
        <v>0</v>
      </c>
      <c r="K338" s="317">
        <f>IF(AND($A$2=4,VLOOKUP($A338,'District Level ADM'!$A$5:$W$52,5,FALSE)="Prior Year"),AM338,IF(AND($A$2=4,VLOOKUP($A338,'District Level ADM'!$A$5:$W$52,5,FALSE)="3-Year Avg."),Y338,IF($A$2=2,AM338,IF($A$2=3,Y338,IF(($AG338&gt;$AU338),Y338,AM338)))))</f>
        <v>0</v>
      </c>
      <c r="L338" s="317">
        <f>IF(AND($A$2=4,VLOOKUP($A338,'District Level ADM'!$A$5:$W$52,5,FALSE)="Prior Year"),AN338,IF(AND($A$2=4,VLOOKUP($A338,'District Level ADM'!$A$5:$W$52,5,FALSE)="3-Year Avg."),Z338,IF($A$2=2,AN338,IF($A$2=3,Z338,IF(($AG338&gt;$AU338),Z338,AN338)))))</f>
        <v>101.25033333333333</v>
      </c>
      <c r="M338" s="317">
        <f>IF(AND($A$2=4,VLOOKUP($A338,'District Level ADM'!$A$5:$W$52,5,FALSE)="Prior Year"),AO338,IF(AND($A$2=4,VLOOKUP($A338,'District Level ADM'!$A$5:$W$52,5,FALSE)="3-Year Avg."),AA338,IF($A$2=2,AO338,IF($A$2=3,AA338,IF(($AG338&gt;$AU338),AA338,AO338)))))</f>
        <v>106.28666666666668</v>
      </c>
      <c r="N338" s="317">
        <f>IF(AND($A$2=4,VLOOKUP($A338,'District Level ADM'!$A$5:$W$52,5,FALSE)="Prior Year"),AP338,IF(AND($A$2=4,VLOOKUP($A338,'District Level ADM'!$A$5:$W$52,5,FALSE)="3-Year Avg."),AB338,IF($A$2=2,AP338,IF($A$2=3,AB338,IF(($AG338&gt;$AU338),AB338,AP338)))))</f>
        <v>103.70066666666668</v>
      </c>
      <c r="O338" s="317">
        <f>IF(AND($A$2=4,VLOOKUP($A338,'District Level ADM'!$A$5:$W$52,5,FALSE)="Prior Year"),AQ338,IF(AND($A$2=4,VLOOKUP($A338,'District Level ADM'!$A$5:$W$52,5,FALSE)="3-Year Avg."),AC338,IF($A$2=2,AQ338,IF($A$2=3,AC338,IF(($AG338&gt;$AU338),AC338,AQ338)))))</f>
        <v>0</v>
      </c>
      <c r="P338" s="317">
        <f>IF(AND($A$2=4,VLOOKUP($A338,'District Level ADM'!$A$5:$W$52,5,FALSE)="Prior Year"),AR338,IF(AND($A$2=4,VLOOKUP($A338,'District Level ADM'!$A$5:$W$52,5,FALSE)="3-Year Avg."),AD338,IF($A$2=2,AR338,IF($A$2=3,AD338,IF(($AG338&gt;$AU338),AD338,AR338)))))</f>
        <v>0</v>
      </c>
      <c r="Q338" s="317">
        <f>IF(AND($A$2=4,VLOOKUP($A338,'District Level ADM'!$A$5:$W$52,5,FALSE)="Prior Year"),AS338,IF(AND($A$2=4,VLOOKUP($A338,'District Level ADM'!$A$5:$W$52,5,FALSE)="3-Year Avg."),AE338,IF($A$2=2,AS338,IF($A$2=3,AE338,IF(($AG338&gt;$AU338),AE338,AS338)))))</f>
        <v>0</v>
      </c>
      <c r="R338" s="317">
        <f>IF(AND($A$2=4,VLOOKUP($A338,'District Level ADM'!$A$5:$W$52,5,FALSE)="Prior Year"),AT338,IF(AND($A$2=4,VLOOKUP($A338,'District Level ADM'!$A$5:$W$52,5,FALSE)="3-Year Avg."),AF338,IF($A$2=2,AT338,IF($A$2=3,AF338,IF(($AG338&gt;$AU338),AF338,AT338)))))</f>
        <v>0</v>
      </c>
      <c r="S338" s="317">
        <f t="shared" si="53"/>
        <v>311.23766666666666</v>
      </c>
      <c r="T338" s="317">
        <f t="shared" si="58"/>
        <v>0</v>
      </c>
      <c r="U338" s="317">
        <f t="shared" si="57"/>
        <v>0</v>
      </c>
      <c r="V338" s="317">
        <f t="shared" si="57"/>
        <v>0</v>
      </c>
      <c r="W338" s="317">
        <f t="shared" si="57"/>
        <v>0</v>
      </c>
      <c r="X338" s="317">
        <f t="shared" si="57"/>
        <v>0</v>
      </c>
      <c r="Y338" s="317">
        <f t="shared" si="57"/>
        <v>0</v>
      </c>
      <c r="Z338" s="317">
        <f t="shared" si="57"/>
        <v>101.25033333333333</v>
      </c>
      <c r="AA338" s="317">
        <f t="shared" si="57"/>
        <v>106.28666666666668</v>
      </c>
      <c r="AB338" s="317">
        <f t="shared" si="57"/>
        <v>103.70066666666668</v>
      </c>
      <c r="AC338" s="317">
        <f t="shared" si="57"/>
        <v>0</v>
      </c>
      <c r="AD338" s="317">
        <f t="shared" si="51"/>
        <v>0</v>
      </c>
      <c r="AE338" s="317">
        <f t="shared" si="51"/>
        <v>0</v>
      </c>
      <c r="AF338" s="317">
        <f t="shared" si="51"/>
        <v>0</v>
      </c>
      <c r="AG338" s="317">
        <f t="shared" si="54"/>
        <v>311.23766666666666</v>
      </c>
      <c r="AH338" s="318">
        <v>0</v>
      </c>
      <c r="AI338" s="318">
        <v>0</v>
      </c>
      <c r="AJ338" s="318">
        <v>0</v>
      </c>
      <c r="AK338" s="318">
        <v>0</v>
      </c>
      <c r="AL338" s="318">
        <v>0</v>
      </c>
      <c r="AM338" s="318">
        <v>0</v>
      </c>
      <c r="AN338" s="318">
        <v>103.425</v>
      </c>
      <c r="AO338" s="318">
        <v>90.62</v>
      </c>
      <c r="AP338" s="318">
        <v>104.41</v>
      </c>
      <c r="AQ338" s="318">
        <v>0</v>
      </c>
      <c r="AR338" s="318">
        <v>0</v>
      </c>
      <c r="AS338" s="318">
        <v>0</v>
      </c>
      <c r="AT338" s="318">
        <v>0</v>
      </c>
      <c r="AU338" s="317">
        <f t="shared" si="52"/>
        <v>298.45500000000004</v>
      </c>
      <c r="AV338" s="319">
        <v>0</v>
      </c>
      <c r="AW338" s="319">
        <v>0</v>
      </c>
      <c r="AX338" s="319">
        <v>0</v>
      </c>
      <c r="AY338" s="319">
        <v>0</v>
      </c>
      <c r="AZ338" s="319">
        <v>0</v>
      </c>
      <c r="BA338" s="319">
        <v>0</v>
      </c>
      <c r="BB338" s="319">
        <v>92.006</v>
      </c>
      <c r="BC338" s="319">
        <v>107.583</v>
      </c>
      <c r="BD338" s="319">
        <v>110.926</v>
      </c>
      <c r="BE338" s="319">
        <v>0</v>
      </c>
      <c r="BF338" s="319">
        <v>0</v>
      </c>
      <c r="BG338" s="319">
        <v>0</v>
      </c>
      <c r="BH338" s="319">
        <v>0</v>
      </c>
      <c r="BI338" s="317">
        <f t="shared" si="56"/>
        <v>310.51499999999999</v>
      </c>
      <c r="BJ338" s="316">
        <v>0</v>
      </c>
      <c r="BK338" s="316">
        <v>0</v>
      </c>
      <c r="BL338" s="316">
        <v>0</v>
      </c>
      <c r="BM338" s="316">
        <v>0</v>
      </c>
      <c r="BN338" s="316">
        <v>0</v>
      </c>
      <c r="BO338" s="316">
        <v>0</v>
      </c>
      <c r="BP338" s="316">
        <v>108.32</v>
      </c>
      <c r="BQ338" s="316">
        <v>120.657</v>
      </c>
      <c r="BR338" s="316">
        <v>95.766000000000005</v>
      </c>
      <c r="BS338" s="316">
        <v>0</v>
      </c>
      <c r="BT338" s="316">
        <v>0</v>
      </c>
      <c r="BU338" s="316">
        <v>0</v>
      </c>
      <c r="BV338" s="316">
        <v>0</v>
      </c>
      <c r="BW338" s="317">
        <f t="shared" si="55"/>
        <v>324.74299999999999</v>
      </c>
    </row>
    <row r="339" spans="1:75" x14ac:dyDescent="0.2">
      <c r="A339" s="20" t="str">
        <f>'School Level Inst. Resources'!A339</f>
        <v>2101000</v>
      </c>
      <c r="B339" s="20" t="str">
        <f>'School Level Inst. Resources'!B339</f>
        <v>Uinta #1</v>
      </c>
      <c r="C339" s="20" t="str">
        <f>'School Level Inst. Resources'!C339</f>
        <v>2101051</v>
      </c>
      <c r="D339" s="20" t="str">
        <f>'School Level Inst. Resources'!D339</f>
        <v>Evanston Middle School</v>
      </c>
      <c r="E339" s="138" t="str">
        <f>'School Level Inst. Resources'!E339</f>
        <v>6-8</v>
      </c>
      <c r="F339" s="317">
        <f>IF(AND($A$2=4,VLOOKUP($A339,'District Level ADM'!$A$5:$W$52,5,FALSE)="Prior Year"),AH339,IF(AND($A$2=4,VLOOKUP($A339,'District Level ADM'!$A$5:$W$52,5,FALSE)="3-Year Avg."),T339,IF($A$2=2,AH339,IF($A$2=3,T339,IF(($AG339&gt;$AU339),T339,AH339)))))</f>
        <v>0</v>
      </c>
      <c r="G339" s="317">
        <f>IF(AND($A$2=4,VLOOKUP($A339,'District Level ADM'!$A$5:$W$52,5,FALSE)="Prior Year"),AI339,IF(AND($A$2=4,VLOOKUP($A339,'District Level ADM'!$A$5:$W$52,5,FALSE)="3-Year Avg."),U339,IF($A$2=2,AI339,IF($A$2=3,U339,IF(($AG339&gt;$AU339),U339,AI339)))))</f>
        <v>0</v>
      </c>
      <c r="H339" s="317">
        <f>IF(AND($A$2=4,VLOOKUP($A339,'District Level ADM'!$A$5:$W$52,5,FALSE)="Prior Year"),AJ339,IF(AND($A$2=4,VLOOKUP($A339,'District Level ADM'!$A$5:$W$52,5,FALSE)="3-Year Avg."),V339,IF($A$2=2,AJ339,IF($A$2=3,V339,IF(($AG339&gt;$AU339),V339,AJ339)))))</f>
        <v>0</v>
      </c>
      <c r="I339" s="317">
        <f>IF(AND($A$2=4,VLOOKUP($A339,'District Level ADM'!$A$5:$W$52,5,FALSE)="Prior Year"),AK339,IF(AND($A$2=4,VLOOKUP($A339,'District Level ADM'!$A$5:$W$52,5,FALSE)="3-Year Avg."),W339,IF($A$2=2,AK339,IF($A$2=3,W339,IF(($AG339&gt;$AU339),W339,AK339)))))</f>
        <v>0</v>
      </c>
      <c r="J339" s="317">
        <f>IF(AND($A$2=4,VLOOKUP($A339,'District Level ADM'!$A$5:$W$52,5,FALSE)="Prior Year"),AL339,IF(AND($A$2=4,VLOOKUP($A339,'District Level ADM'!$A$5:$W$52,5,FALSE)="3-Year Avg."),X339,IF($A$2=2,AL339,IF($A$2=3,X339,IF(($AG339&gt;$AU339),X339,AL339)))))</f>
        <v>0</v>
      </c>
      <c r="K339" s="317">
        <f>IF(AND($A$2=4,VLOOKUP($A339,'District Level ADM'!$A$5:$W$52,5,FALSE)="Prior Year"),AM339,IF(AND($A$2=4,VLOOKUP($A339,'District Level ADM'!$A$5:$W$52,5,FALSE)="3-Year Avg."),Y339,IF($A$2=2,AM339,IF($A$2=3,Y339,IF(($AG339&gt;$AU339),Y339,AM339)))))</f>
        <v>0</v>
      </c>
      <c r="L339" s="317">
        <f>IF(AND($A$2=4,VLOOKUP($A339,'District Level ADM'!$A$5:$W$52,5,FALSE)="Prior Year"),AN339,IF(AND($A$2=4,VLOOKUP($A339,'District Level ADM'!$A$5:$W$52,5,FALSE)="3-Year Avg."),Z339,IF($A$2=2,AN339,IF($A$2=3,Z339,IF(($AG339&gt;$AU339),Z339,AN339)))))</f>
        <v>103.17333333333333</v>
      </c>
      <c r="M339" s="317">
        <f>IF(AND($A$2=4,VLOOKUP($A339,'District Level ADM'!$A$5:$W$52,5,FALSE)="Prior Year"),AO339,IF(AND($A$2=4,VLOOKUP($A339,'District Level ADM'!$A$5:$W$52,5,FALSE)="3-Year Avg."),AA339,IF($A$2=2,AO339,IF($A$2=3,AA339,IF(($AG339&gt;$AU339),AA339,AO339)))))</f>
        <v>105.04666666666667</v>
      </c>
      <c r="N339" s="317">
        <f>IF(AND($A$2=4,VLOOKUP($A339,'District Level ADM'!$A$5:$W$52,5,FALSE)="Prior Year"),AP339,IF(AND($A$2=4,VLOOKUP($A339,'District Level ADM'!$A$5:$W$52,5,FALSE)="3-Year Avg."),AB339,IF($A$2=2,AP339,IF($A$2=3,AB339,IF(($AG339&gt;$AU339),AB339,AP339)))))</f>
        <v>99.156000000000006</v>
      </c>
      <c r="O339" s="317">
        <f>IF(AND($A$2=4,VLOOKUP($A339,'District Level ADM'!$A$5:$W$52,5,FALSE)="Prior Year"),AQ339,IF(AND($A$2=4,VLOOKUP($A339,'District Level ADM'!$A$5:$W$52,5,FALSE)="3-Year Avg."),AC339,IF($A$2=2,AQ339,IF($A$2=3,AC339,IF(($AG339&gt;$AU339),AC339,AQ339)))))</f>
        <v>0</v>
      </c>
      <c r="P339" s="317">
        <f>IF(AND($A$2=4,VLOOKUP($A339,'District Level ADM'!$A$5:$W$52,5,FALSE)="Prior Year"),AR339,IF(AND($A$2=4,VLOOKUP($A339,'District Level ADM'!$A$5:$W$52,5,FALSE)="3-Year Avg."),AD339,IF($A$2=2,AR339,IF($A$2=3,AD339,IF(($AG339&gt;$AU339),AD339,AR339)))))</f>
        <v>0</v>
      </c>
      <c r="Q339" s="317">
        <f>IF(AND($A$2=4,VLOOKUP($A339,'District Level ADM'!$A$5:$W$52,5,FALSE)="Prior Year"),AS339,IF(AND($A$2=4,VLOOKUP($A339,'District Level ADM'!$A$5:$W$52,5,FALSE)="3-Year Avg."),AE339,IF($A$2=2,AS339,IF($A$2=3,AE339,IF(($AG339&gt;$AU339),AE339,AS339)))))</f>
        <v>0</v>
      </c>
      <c r="R339" s="317">
        <f>IF(AND($A$2=4,VLOOKUP($A339,'District Level ADM'!$A$5:$W$52,5,FALSE)="Prior Year"),AT339,IF(AND($A$2=4,VLOOKUP($A339,'District Level ADM'!$A$5:$W$52,5,FALSE)="3-Year Avg."),AF339,IF($A$2=2,AT339,IF($A$2=3,AF339,IF(($AG339&gt;$AU339),AF339,AT339)))))</f>
        <v>0</v>
      </c>
      <c r="S339" s="317">
        <f t="shared" si="53"/>
        <v>307.37599999999998</v>
      </c>
      <c r="T339" s="317">
        <f t="shared" si="58"/>
        <v>0</v>
      </c>
      <c r="U339" s="317">
        <f t="shared" si="57"/>
        <v>0</v>
      </c>
      <c r="V339" s="317">
        <f t="shared" si="57"/>
        <v>0</v>
      </c>
      <c r="W339" s="317">
        <f t="shared" si="57"/>
        <v>0</v>
      </c>
      <c r="X339" s="317">
        <f t="shared" si="57"/>
        <v>0</v>
      </c>
      <c r="Y339" s="317">
        <f t="shared" si="57"/>
        <v>0</v>
      </c>
      <c r="Z339" s="317">
        <f t="shared" si="57"/>
        <v>103.17333333333333</v>
      </c>
      <c r="AA339" s="317">
        <f t="shared" si="57"/>
        <v>105.04666666666667</v>
      </c>
      <c r="AB339" s="317">
        <f t="shared" si="57"/>
        <v>99.156000000000006</v>
      </c>
      <c r="AC339" s="317">
        <f t="shared" si="57"/>
        <v>0</v>
      </c>
      <c r="AD339" s="317">
        <f t="shared" si="51"/>
        <v>0</v>
      </c>
      <c r="AE339" s="317">
        <f t="shared" si="51"/>
        <v>0</v>
      </c>
      <c r="AF339" s="317">
        <f t="shared" si="51"/>
        <v>0</v>
      </c>
      <c r="AG339" s="317">
        <f t="shared" si="54"/>
        <v>307.37599999999998</v>
      </c>
      <c r="AH339" s="318">
        <v>0</v>
      </c>
      <c r="AI339" s="318">
        <v>0</v>
      </c>
      <c r="AJ339" s="318">
        <v>0</v>
      </c>
      <c r="AK339" s="318">
        <v>0</v>
      </c>
      <c r="AL339" s="318">
        <v>0</v>
      </c>
      <c r="AM339" s="318">
        <v>0</v>
      </c>
      <c r="AN339" s="318">
        <v>94.56</v>
      </c>
      <c r="AO339" s="318">
        <v>106.38</v>
      </c>
      <c r="AP339" s="318">
        <v>95.545000000000002</v>
      </c>
      <c r="AQ339" s="318">
        <v>0</v>
      </c>
      <c r="AR339" s="318">
        <v>0</v>
      </c>
      <c r="AS339" s="318">
        <v>0</v>
      </c>
      <c r="AT339" s="318">
        <v>0</v>
      </c>
      <c r="AU339" s="317">
        <f t="shared" si="52"/>
        <v>296.48500000000001</v>
      </c>
      <c r="AV339" s="319">
        <v>0</v>
      </c>
      <c r="AW339" s="319">
        <v>0</v>
      </c>
      <c r="AX339" s="319">
        <v>0</v>
      </c>
      <c r="AY339" s="319">
        <v>0</v>
      </c>
      <c r="AZ339" s="319">
        <v>0</v>
      </c>
      <c r="BA339" s="319">
        <v>0</v>
      </c>
      <c r="BB339" s="319">
        <v>113.074</v>
      </c>
      <c r="BC339" s="319">
        <v>96.802999999999997</v>
      </c>
      <c r="BD339" s="319">
        <v>111.96899999999999</v>
      </c>
      <c r="BE339" s="319">
        <v>0</v>
      </c>
      <c r="BF339" s="319">
        <v>0</v>
      </c>
      <c r="BG339" s="319">
        <v>0</v>
      </c>
      <c r="BH339" s="319">
        <v>0</v>
      </c>
      <c r="BI339" s="317">
        <f t="shared" si="56"/>
        <v>321.846</v>
      </c>
      <c r="BJ339" s="316">
        <v>0</v>
      </c>
      <c r="BK339" s="316">
        <v>0</v>
      </c>
      <c r="BL339" s="316">
        <v>0</v>
      </c>
      <c r="BM339" s="316">
        <v>0</v>
      </c>
      <c r="BN339" s="316">
        <v>0</v>
      </c>
      <c r="BO339" s="316">
        <v>0</v>
      </c>
      <c r="BP339" s="316">
        <v>101.886</v>
      </c>
      <c r="BQ339" s="316">
        <v>111.95699999999999</v>
      </c>
      <c r="BR339" s="316">
        <v>89.953999999999994</v>
      </c>
      <c r="BS339" s="316">
        <v>0</v>
      </c>
      <c r="BT339" s="316">
        <v>0</v>
      </c>
      <c r="BU339" s="316">
        <v>0</v>
      </c>
      <c r="BV339" s="316">
        <v>0</v>
      </c>
      <c r="BW339" s="317">
        <f t="shared" si="55"/>
        <v>303.79699999999997</v>
      </c>
    </row>
    <row r="340" spans="1:75" x14ac:dyDescent="0.2">
      <c r="A340" s="20" t="str">
        <f>'School Level Inst. Resources'!A340</f>
        <v>2101000</v>
      </c>
      <c r="B340" s="20" t="str">
        <f>'School Level Inst. Resources'!B340</f>
        <v>Uinta #1</v>
      </c>
      <c r="C340" s="20" t="str">
        <f>'School Level Inst. Resources'!C340</f>
        <v>2101055</v>
      </c>
      <c r="D340" s="20" t="str">
        <f>'School Level Inst. Resources'!D340</f>
        <v>Evanston High School</v>
      </c>
      <c r="E340" s="138" t="str">
        <f>'School Level Inst. Resources'!E340</f>
        <v>9-12</v>
      </c>
      <c r="F340" s="317">
        <f>IF(AND($A$2=4,VLOOKUP($A340,'District Level ADM'!$A$5:$W$52,5,FALSE)="Prior Year"),AH340,IF(AND($A$2=4,VLOOKUP($A340,'District Level ADM'!$A$5:$W$52,5,FALSE)="3-Year Avg."),T340,IF($A$2=2,AH340,IF($A$2=3,T340,IF(($AG340&gt;$AU340),T340,AH340)))))</f>
        <v>0</v>
      </c>
      <c r="G340" s="317">
        <f>IF(AND($A$2=4,VLOOKUP($A340,'District Level ADM'!$A$5:$W$52,5,FALSE)="Prior Year"),AI340,IF(AND($A$2=4,VLOOKUP($A340,'District Level ADM'!$A$5:$W$52,5,FALSE)="3-Year Avg."),U340,IF($A$2=2,AI340,IF($A$2=3,U340,IF(($AG340&gt;$AU340),U340,AI340)))))</f>
        <v>0</v>
      </c>
      <c r="H340" s="317">
        <f>IF(AND($A$2=4,VLOOKUP($A340,'District Level ADM'!$A$5:$W$52,5,FALSE)="Prior Year"),AJ340,IF(AND($A$2=4,VLOOKUP($A340,'District Level ADM'!$A$5:$W$52,5,FALSE)="3-Year Avg."),V340,IF($A$2=2,AJ340,IF($A$2=3,V340,IF(($AG340&gt;$AU340),V340,AJ340)))))</f>
        <v>0</v>
      </c>
      <c r="I340" s="317">
        <f>IF(AND($A$2=4,VLOOKUP($A340,'District Level ADM'!$A$5:$W$52,5,FALSE)="Prior Year"),AK340,IF(AND($A$2=4,VLOOKUP($A340,'District Level ADM'!$A$5:$W$52,5,FALSE)="3-Year Avg."),W340,IF($A$2=2,AK340,IF($A$2=3,W340,IF(($AG340&gt;$AU340),W340,AK340)))))</f>
        <v>0</v>
      </c>
      <c r="J340" s="317">
        <f>IF(AND($A$2=4,VLOOKUP($A340,'District Level ADM'!$A$5:$W$52,5,FALSE)="Prior Year"),AL340,IF(AND($A$2=4,VLOOKUP($A340,'District Level ADM'!$A$5:$W$52,5,FALSE)="3-Year Avg."),X340,IF($A$2=2,AL340,IF($A$2=3,X340,IF(($AG340&gt;$AU340),X340,AL340)))))</f>
        <v>0</v>
      </c>
      <c r="K340" s="317">
        <f>IF(AND($A$2=4,VLOOKUP($A340,'District Level ADM'!$A$5:$W$52,5,FALSE)="Prior Year"),AM340,IF(AND($A$2=4,VLOOKUP($A340,'District Level ADM'!$A$5:$W$52,5,FALSE)="3-Year Avg."),Y340,IF($A$2=2,AM340,IF($A$2=3,Y340,IF(($AG340&gt;$AU340),Y340,AM340)))))</f>
        <v>0</v>
      </c>
      <c r="L340" s="317">
        <f>IF(AND($A$2=4,VLOOKUP($A340,'District Level ADM'!$A$5:$W$52,5,FALSE)="Prior Year"),AN340,IF(AND($A$2=4,VLOOKUP($A340,'District Level ADM'!$A$5:$W$52,5,FALSE)="3-Year Avg."),Z340,IF($A$2=2,AN340,IF($A$2=3,Z340,IF(($AG340&gt;$AU340),Z340,AN340)))))</f>
        <v>0</v>
      </c>
      <c r="M340" s="317">
        <f>IF(AND($A$2=4,VLOOKUP($A340,'District Level ADM'!$A$5:$W$52,5,FALSE)="Prior Year"),AO340,IF(AND($A$2=4,VLOOKUP($A340,'District Level ADM'!$A$5:$W$52,5,FALSE)="3-Year Avg."),AA340,IF($A$2=2,AO340,IF($A$2=3,AA340,IF(($AG340&gt;$AU340),AA340,AO340)))))</f>
        <v>0</v>
      </c>
      <c r="N340" s="317">
        <f>IF(AND($A$2=4,VLOOKUP($A340,'District Level ADM'!$A$5:$W$52,5,FALSE)="Prior Year"),AP340,IF(AND($A$2=4,VLOOKUP($A340,'District Level ADM'!$A$5:$W$52,5,FALSE)="3-Year Avg."),AB340,IF($A$2=2,AP340,IF($A$2=3,AB340,IF(($AG340&gt;$AU340),AB340,AP340)))))</f>
        <v>0</v>
      </c>
      <c r="O340" s="317">
        <f>IF(AND($A$2=4,VLOOKUP($A340,'District Level ADM'!$A$5:$W$52,5,FALSE)="Prior Year"),AQ340,IF(AND($A$2=4,VLOOKUP($A340,'District Level ADM'!$A$5:$W$52,5,FALSE)="3-Year Avg."),AC340,IF($A$2=2,AQ340,IF($A$2=3,AC340,IF(($AG340&gt;$AU340),AC340,AQ340)))))</f>
        <v>198.30533333333335</v>
      </c>
      <c r="P340" s="317">
        <f>IF(AND($A$2=4,VLOOKUP($A340,'District Level ADM'!$A$5:$W$52,5,FALSE)="Prior Year"),AR340,IF(AND($A$2=4,VLOOKUP($A340,'District Level ADM'!$A$5:$W$52,5,FALSE)="3-Year Avg."),AD340,IF($A$2=2,AR340,IF($A$2=3,AD340,IF(($AG340&gt;$AU340),AD340,AR340)))))</f>
        <v>182.37299999999996</v>
      </c>
      <c r="Q340" s="317">
        <f>IF(AND($A$2=4,VLOOKUP($A340,'District Level ADM'!$A$5:$W$52,5,FALSE)="Prior Year"),AS340,IF(AND($A$2=4,VLOOKUP($A340,'District Level ADM'!$A$5:$W$52,5,FALSE)="3-Year Avg."),AE340,IF($A$2=2,AS340,IF($A$2=3,AE340,IF(($AG340&gt;$AU340),AE340,AS340)))))</f>
        <v>177.46266666666665</v>
      </c>
      <c r="R340" s="317">
        <f>IF(AND($A$2=4,VLOOKUP($A340,'District Level ADM'!$A$5:$W$52,5,FALSE)="Prior Year"),AT340,IF(AND($A$2=4,VLOOKUP($A340,'District Level ADM'!$A$5:$W$52,5,FALSE)="3-Year Avg."),AF340,IF($A$2=2,AT340,IF($A$2=3,AF340,IF(($AG340&gt;$AU340),AF340,AT340)))))</f>
        <v>177.98400000000001</v>
      </c>
      <c r="S340" s="317">
        <f t="shared" si="53"/>
        <v>736.125</v>
      </c>
      <c r="T340" s="317">
        <f t="shared" si="58"/>
        <v>0</v>
      </c>
      <c r="U340" s="317">
        <f t="shared" si="57"/>
        <v>0</v>
      </c>
      <c r="V340" s="317">
        <f t="shared" si="57"/>
        <v>0</v>
      </c>
      <c r="W340" s="317">
        <f t="shared" si="57"/>
        <v>0</v>
      </c>
      <c r="X340" s="317">
        <f t="shared" si="57"/>
        <v>0</v>
      </c>
      <c r="Y340" s="317">
        <f t="shared" si="57"/>
        <v>0</v>
      </c>
      <c r="Z340" s="317">
        <f t="shared" si="57"/>
        <v>0</v>
      </c>
      <c r="AA340" s="317">
        <f t="shared" si="57"/>
        <v>0</v>
      </c>
      <c r="AB340" s="317">
        <f t="shared" si="57"/>
        <v>0</v>
      </c>
      <c r="AC340" s="317">
        <f t="shared" si="57"/>
        <v>198.30533333333335</v>
      </c>
      <c r="AD340" s="317">
        <f t="shared" si="51"/>
        <v>182.37299999999996</v>
      </c>
      <c r="AE340" s="317">
        <f t="shared" si="51"/>
        <v>177.46266666666665</v>
      </c>
      <c r="AF340" s="317">
        <f t="shared" si="51"/>
        <v>177.98400000000001</v>
      </c>
      <c r="AG340" s="317">
        <f t="shared" si="54"/>
        <v>736.125</v>
      </c>
      <c r="AH340" s="318">
        <v>0</v>
      </c>
      <c r="AI340" s="318">
        <v>0</v>
      </c>
      <c r="AJ340" s="318">
        <v>0</v>
      </c>
      <c r="AK340" s="318">
        <v>0</v>
      </c>
      <c r="AL340" s="318">
        <v>0</v>
      </c>
      <c r="AM340" s="318">
        <v>0</v>
      </c>
      <c r="AN340" s="318">
        <v>0</v>
      </c>
      <c r="AO340" s="318">
        <v>0</v>
      </c>
      <c r="AP340" s="318">
        <v>0</v>
      </c>
      <c r="AQ340" s="318">
        <v>225.565</v>
      </c>
      <c r="AR340" s="318">
        <v>174.345</v>
      </c>
      <c r="AS340" s="318">
        <v>169.42</v>
      </c>
      <c r="AT340" s="318">
        <v>181.24</v>
      </c>
      <c r="AU340" s="317">
        <f t="shared" si="52"/>
        <v>750.56999999999994</v>
      </c>
      <c r="AV340" s="319">
        <v>0</v>
      </c>
      <c r="AW340" s="319">
        <v>0</v>
      </c>
      <c r="AX340" s="319">
        <v>0</v>
      </c>
      <c r="AY340" s="319">
        <v>0</v>
      </c>
      <c r="AZ340" s="319">
        <v>0</v>
      </c>
      <c r="BA340" s="319">
        <v>0</v>
      </c>
      <c r="BB340" s="319">
        <v>0</v>
      </c>
      <c r="BC340" s="319">
        <v>0</v>
      </c>
      <c r="BD340" s="319">
        <v>0</v>
      </c>
      <c r="BE340" s="319">
        <v>188.78</v>
      </c>
      <c r="BF340" s="319">
        <v>180.411</v>
      </c>
      <c r="BG340" s="319">
        <v>179.03399999999999</v>
      </c>
      <c r="BH340" s="319">
        <v>180.24600000000001</v>
      </c>
      <c r="BI340" s="317">
        <f t="shared" si="56"/>
        <v>728.471</v>
      </c>
      <c r="BJ340" s="316">
        <v>0</v>
      </c>
      <c r="BK340" s="316">
        <v>0</v>
      </c>
      <c r="BL340" s="316">
        <v>0</v>
      </c>
      <c r="BM340" s="316">
        <v>0</v>
      </c>
      <c r="BN340" s="316">
        <v>0</v>
      </c>
      <c r="BO340" s="316">
        <v>0</v>
      </c>
      <c r="BP340" s="316">
        <v>0</v>
      </c>
      <c r="BQ340" s="316">
        <v>0</v>
      </c>
      <c r="BR340" s="316">
        <v>0</v>
      </c>
      <c r="BS340" s="316">
        <v>180.571</v>
      </c>
      <c r="BT340" s="316">
        <v>192.363</v>
      </c>
      <c r="BU340" s="316">
        <v>183.934</v>
      </c>
      <c r="BV340" s="316">
        <v>172.46600000000001</v>
      </c>
      <c r="BW340" s="317">
        <f t="shared" si="55"/>
        <v>729.33399999999995</v>
      </c>
    </row>
    <row r="341" spans="1:75" x14ac:dyDescent="0.2">
      <c r="A341" s="20" t="str">
        <f>'School Level Inst. Resources'!A341</f>
        <v>2101000</v>
      </c>
      <c r="B341" s="20" t="str">
        <f>'School Level Inst. Resources'!B341</f>
        <v>Uinta #1</v>
      </c>
      <c r="C341" s="20" t="str">
        <f>'School Level Inst. Resources'!C341</f>
        <v>2101056</v>
      </c>
      <c r="D341" s="20" t="str">
        <f>'School Level Inst. Resources'!D341</f>
        <v>Horizon Alternative School</v>
      </c>
      <c r="E341" s="138" t="str">
        <f>'School Level Inst. Resources'!E341</f>
        <v>7-12</v>
      </c>
      <c r="F341" s="317">
        <f>IF(AND($A$2=4,VLOOKUP($A341,'District Level ADM'!$A$5:$W$52,5,FALSE)="Prior Year"),AH341,IF(AND($A$2=4,VLOOKUP($A341,'District Level ADM'!$A$5:$W$52,5,FALSE)="3-Year Avg."),T341,IF($A$2=2,AH341,IF($A$2=3,T341,IF(($AG341&gt;$AU341),T341,AH341)))))</f>
        <v>0</v>
      </c>
      <c r="G341" s="317">
        <f>IF(AND($A$2=4,VLOOKUP($A341,'District Level ADM'!$A$5:$W$52,5,FALSE)="Prior Year"),AI341,IF(AND($A$2=4,VLOOKUP($A341,'District Level ADM'!$A$5:$W$52,5,FALSE)="3-Year Avg."),U341,IF($A$2=2,AI341,IF($A$2=3,U341,IF(($AG341&gt;$AU341),U341,AI341)))))</f>
        <v>0</v>
      </c>
      <c r="H341" s="317">
        <f>IF(AND($A$2=4,VLOOKUP($A341,'District Level ADM'!$A$5:$W$52,5,FALSE)="Prior Year"),AJ341,IF(AND($A$2=4,VLOOKUP($A341,'District Level ADM'!$A$5:$W$52,5,FALSE)="3-Year Avg."),V341,IF($A$2=2,AJ341,IF($A$2=3,V341,IF(($AG341&gt;$AU341),V341,AJ341)))))</f>
        <v>0</v>
      </c>
      <c r="I341" s="317">
        <f>IF(AND($A$2=4,VLOOKUP($A341,'District Level ADM'!$A$5:$W$52,5,FALSE)="Prior Year"),AK341,IF(AND($A$2=4,VLOOKUP($A341,'District Level ADM'!$A$5:$W$52,5,FALSE)="3-Year Avg."),W341,IF($A$2=2,AK341,IF($A$2=3,W341,IF(($AG341&gt;$AU341),W341,AK341)))))</f>
        <v>0</v>
      </c>
      <c r="J341" s="317">
        <f>IF(AND($A$2=4,VLOOKUP($A341,'District Level ADM'!$A$5:$W$52,5,FALSE)="Prior Year"),AL341,IF(AND($A$2=4,VLOOKUP($A341,'District Level ADM'!$A$5:$W$52,5,FALSE)="3-Year Avg."),X341,IF($A$2=2,AL341,IF($A$2=3,X341,IF(($AG341&gt;$AU341),X341,AL341)))))</f>
        <v>0</v>
      </c>
      <c r="K341" s="317">
        <f>IF(AND($A$2=4,VLOOKUP($A341,'District Level ADM'!$A$5:$W$52,5,FALSE)="Prior Year"),AM341,IF(AND($A$2=4,VLOOKUP($A341,'District Level ADM'!$A$5:$W$52,5,FALSE)="3-Year Avg."),Y341,IF($A$2=2,AM341,IF($A$2=3,Y341,IF(($AG341&gt;$AU341),Y341,AM341)))))</f>
        <v>0</v>
      </c>
      <c r="L341" s="317">
        <f>IF(AND($A$2=4,VLOOKUP($A341,'District Level ADM'!$A$5:$W$52,5,FALSE)="Prior Year"),AN341,IF(AND($A$2=4,VLOOKUP($A341,'District Level ADM'!$A$5:$W$52,5,FALSE)="3-Year Avg."),Z341,IF($A$2=2,AN341,IF($A$2=3,Z341,IF(($AG341&gt;$AU341),Z341,AN341)))))</f>
        <v>0</v>
      </c>
      <c r="M341" s="317">
        <f>IF(AND($A$2=4,VLOOKUP($A341,'District Level ADM'!$A$5:$W$52,5,FALSE)="Prior Year"),AO341,IF(AND($A$2=4,VLOOKUP($A341,'District Level ADM'!$A$5:$W$52,5,FALSE)="3-Year Avg."),AA341,IF($A$2=2,AO341,IF($A$2=3,AA341,IF(($AG341&gt;$AU341),AA341,AO341)))))</f>
        <v>0.91233333333333333</v>
      </c>
      <c r="N341" s="317">
        <f>IF(AND($A$2=4,VLOOKUP($A341,'District Level ADM'!$A$5:$W$52,5,FALSE)="Prior Year"),AP341,IF(AND($A$2=4,VLOOKUP($A341,'District Level ADM'!$A$5:$W$52,5,FALSE)="3-Year Avg."),AB341,IF($A$2=2,AP341,IF($A$2=3,AB341,IF(($AG341&gt;$AU341),AB341,AP341)))))</f>
        <v>5.8150000000000004</v>
      </c>
      <c r="O341" s="317">
        <f>IF(AND($A$2=4,VLOOKUP($A341,'District Level ADM'!$A$5:$W$52,5,FALSE)="Prior Year"),AQ341,IF(AND($A$2=4,VLOOKUP($A341,'District Level ADM'!$A$5:$W$52,5,FALSE)="3-Year Avg."),AC341,IF($A$2=2,AQ341,IF($A$2=3,AC341,IF(($AG341&gt;$AU341),AC341,AQ341)))))</f>
        <v>5.6236666666666659</v>
      </c>
      <c r="P341" s="317">
        <f>IF(AND($A$2=4,VLOOKUP($A341,'District Level ADM'!$A$5:$W$52,5,FALSE)="Prior Year"),AR341,IF(AND($A$2=4,VLOOKUP($A341,'District Level ADM'!$A$5:$W$52,5,FALSE)="3-Year Avg."),AD341,IF($A$2=2,AR341,IF($A$2=3,AD341,IF(($AG341&gt;$AU341),AD341,AR341)))))</f>
        <v>10.402666666666667</v>
      </c>
      <c r="Q341" s="317">
        <f>IF(AND($A$2=4,VLOOKUP($A341,'District Level ADM'!$A$5:$W$52,5,FALSE)="Prior Year"),AS341,IF(AND($A$2=4,VLOOKUP($A341,'District Level ADM'!$A$5:$W$52,5,FALSE)="3-Year Avg."),AE341,IF($A$2=2,AS341,IF($A$2=3,AE341,IF(($AG341&gt;$AU341),AE341,AS341)))))</f>
        <v>16.565000000000001</v>
      </c>
      <c r="R341" s="317">
        <f>IF(AND($A$2=4,VLOOKUP($A341,'District Level ADM'!$A$5:$W$52,5,FALSE)="Prior Year"),AT341,IF(AND($A$2=4,VLOOKUP($A341,'District Level ADM'!$A$5:$W$52,5,FALSE)="3-Year Avg."),AF341,IF($A$2=2,AT341,IF($A$2=3,AF341,IF(($AG341&gt;$AU341),AF341,AT341)))))</f>
        <v>17.408333333333331</v>
      </c>
      <c r="S341" s="317">
        <f t="shared" si="53"/>
        <v>56.727000000000004</v>
      </c>
      <c r="T341" s="317">
        <f t="shared" si="58"/>
        <v>0</v>
      </c>
      <c r="U341" s="317">
        <f t="shared" si="57"/>
        <v>0</v>
      </c>
      <c r="V341" s="317">
        <f t="shared" si="57"/>
        <v>0</v>
      </c>
      <c r="W341" s="317">
        <f t="shared" si="57"/>
        <v>0</v>
      </c>
      <c r="X341" s="317">
        <f t="shared" si="57"/>
        <v>0</v>
      </c>
      <c r="Y341" s="317">
        <f t="shared" si="57"/>
        <v>0</v>
      </c>
      <c r="Z341" s="317">
        <f t="shared" si="57"/>
        <v>0</v>
      </c>
      <c r="AA341" s="317">
        <f t="shared" si="57"/>
        <v>0.91233333333333333</v>
      </c>
      <c r="AB341" s="317">
        <f t="shared" si="57"/>
        <v>5.8150000000000004</v>
      </c>
      <c r="AC341" s="317">
        <f t="shared" si="57"/>
        <v>5.6236666666666659</v>
      </c>
      <c r="AD341" s="317">
        <f t="shared" si="51"/>
        <v>10.402666666666667</v>
      </c>
      <c r="AE341" s="317">
        <f t="shared" si="51"/>
        <v>16.565000000000001</v>
      </c>
      <c r="AF341" s="317">
        <f t="shared" si="51"/>
        <v>17.408333333333331</v>
      </c>
      <c r="AG341" s="317">
        <f t="shared" si="54"/>
        <v>56.727000000000004</v>
      </c>
      <c r="AH341" s="318">
        <v>0</v>
      </c>
      <c r="AI341" s="318">
        <v>0</v>
      </c>
      <c r="AJ341" s="318">
        <v>0</v>
      </c>
      <c r="AK341" s="318">
        <v>0</v>
      </c>
      <c r="AL341" s="318">
        <v>0</v>
      </c>
      <c r="AM341" s="318">
        <v>0</v>
      </c>
      <c r="AN341" s="318">
        <v>0</v>
      </c>
      <c r="AO341" s="318">
        <v>0</v>
      </c>
      <c r="AP341" s="318">
        <v>4.9249999999999998</v>
      </c>
      <c r="AQ341" s="318">
        <v>3.94</v>
      </c>
      <c r="AR341" s="318">
        <v>8.8650000000000002</v>
      </c>
      <c r="AS341" s="318">
        <v>14.775</v>
      </c>
      <c r="AT341" s="318">
        <v>20.684999999999999</v>
      </c>
      <c r="AU341" s="317">
        <f t="shared" si="52"/>
        <v>53.19</v>
      </c>
      <c r="AV341" s="319">
        <v>0</v>
      </c>
      <c r="AW341" s="319">
        <v>0</v>
      </c>
      <c r="AX341" s="319">
        <v>0</v>
      </c>
      <c r="AY341" s="319">
        <v>0</v>
      </c>
      <c r="AZ341" s="319">
        <v>0</v>
      </c>
      <c r="BA341" s="319">
        <v>0</v>
      </c>
      <c r="BB341" s="319">
        <v>0</v>
      </c>
      <c r="BC341" s="319">
        <v>2.16</v>
      </c>
      <c r="BD341" s="319">
        <v>6.8570000000000002</v>
      </c>
      <c r="BE341" s="319">
        <v>5.76</v>
      </c>
      <c r="BF341" s="319">
        <v>7.8289999999999997</v>
      </c>
      <c r="BG341" s="319">
        <v>13.885999999999999</v>
      </c>
      <c r="BH341" s="319">
        <v>21.209</v>
      </c>
      <c r="BI341" s="317">
        <f t="shared" si="56"/>
        <v>57.700999999999993</v>
      </c>
      <c r="BJ341" s="316">
        <v>0</v>
      </c>
      <c r="BK341" s="316">
        <v>0</v>
      </c>
      <c r="BL341" s="316">
        <v>0</v>
      </c>
      <c r="BM341" s="316">
        <v>0</v>
      </c>
      <c r="BN341" s="316">
        <v>0</v>
      </c>
      <c r="BO341" s="316">
        <v>0</v>
      </c>
      <c r="BP341" s="316">
        <v>0</v>
      </c>
      <c r="BQ341" s="316">
        <v>0.57699999999999996</v>
      </c>
      <c r="BR341" s="316">
        <v>5.6630000000000003</v>
      </c>
      <c r="BS341" s="316">
        <v>7.1710000000000003</v>
      </c>
      <c r="BT341" s="316">
        <v>14.513999999999999</v>
      </c>
      <c r="BU341" s="316">
        <v>21.033999999999999</v>
      </c>
      <c r="BV341" s="316">
        <v>10.331</v>
      </c>
      <c r="BW341" s="317">
        <f t="shared" si="55"/>
        <v>59.290000000000006</v>
      </c>
    </row>
    <row r="342" spans="1:75" x14ac:dyDescent="0.2">
      <c r="A342" s="20" t="str">
        <f>'School Level Inst. Resources'!A342</f>
        <v>2104000</v>
      </c>
      <c r="B342" s="20" t="str">
        <f>'School Level Inst. Resources'!B342</f>
        <v>Uinta #4</v>
      </c>
      <c r="C342" s="20" t="str">
        <f>'School Level Inst. Resources'!C342</f>
        <v>2104020</v>
      </c>
      <c r="D342" s="20" t="str">
        <f>'School Level Inst. Resources'!D342</f>
        <v>Mountain View K-8</v>
      </c>
      <c r="E342" s="138" t="str">
        <f>'School Level Inst. Resources'!E342</f>
        <v>K-8</v>
      </c>
      <c r="F342" s="317">
        <f>IF(AND($A$2=4,VLOOKUP($A342,'District Level ADM'!$A$5:$W$52,5,FALSE)="Prior Year"),AH342,IF(AND($A$2=4,VLOOKUP($A342,'District Level ADM'!$A$5:$W$52,5,FALSE)="3-Year Avg."),T342,IF($A$2=2,AH342,IF($A$2=3,T342,IF(($AG342&gt;$AU342),T342,AH342)))))</f>
        <v>68.031999999999996</v>
      </c>
      <c r="G342" s="317">
        <f>IF(AND($A$2=4,VLOOKUP($A342,'District Level ADM'!$A$5:$W$52,5,FALSE)="Prior Year"),AI342,IF(AND($A$2=4,VLOOKUP($A342,'District Level ADM'!$A$5:$W$52,5,FALSE)="3-Year Avg."),U342,IF($A$2=2,AI342,IF($A$2=3,U342,IF(($AG342&gt;$AU342),U342,AI342)))))</f>
        <v>66.168999999999997</v>
      </c>
      <c r="H342" s="317">
        <f>IF(AND($A$2=4,VLOOKUP($A342,'District Level ADM'!$A$5:$W$52,5,FALSE)="Prior Year"),AJ342,IF(AND($A$2=4,VLOOKUP($A342,'District Level ADM'!$A$5:$W$52,5,FALSE)="3-Year Avg."),V342,IF($A$2=2,AJ342,IF($A$2=3,V342,IF(($AG342&gt;$AU342),V342,AJ342)))))</f>
        <v>67.069000000000003</v>
      </c>
      <c r="I342" s="317">
        <f>IF(AND($A$2=4,VLOOKUP($A342,'District Level ADM'!$A$5:$W$52,5,FALSE)="Prior Year"),AK342,IF(AND($A$2=4,VLOOKUP($A342,'District Level ADM'!$A$5:$W$52,5,FALSE)="3-Year Avg."),W342,IF($A$2=2,AK342,IF($A$2=3,W342,IF(($AG342&gt;$AU342),W342,AK342)))))</f>
        <v>63.485999999999997</v>
      </c>
      <c r="J342" s="317">
        <f>IF(AND($A$2=4,VLOOKUP($A342,'District Level ADM'!$A$5:$W$52,5,FALSE)="Prior Year"),AL342,IF(AND($A$2=4,VLOOKUP($A342,'District Level ADM'!$A$5:$W$52,5,FALSE)="3-Year Avg."),X342,IF($A$2=2,AL342,IF($A$2=3,X342,IF(($AG342&gt;$AU342),X342,AL342)))))</f>
        <v>68.320999999999998</v>
      </c>
      <c r="K342" s="317">
        <f>IF(AND($A$2=4,VLOOKUP($A342,'District Level ADM'!$A$5:$W$52,5,FALSE)="Prior Year"),AM342,IF(AND($A$2=4,VLOOKUP($A342,'District Level ADM'!$A$5:$W$52,5,FALSE)="3-Year Avg."),Y342,IF($A$2=2,AM342,IF($A$2=3,Y342,IF(($AG342&gt;$AU342),Y342,AM342)))))</f>
        <v>65.602666666666664</v>
      </c>
      <c r="L342" s="317">
        <f>IF(AND($A$2=4,VLOOKUP($A342,'District Level ADM'!$A$5:$W$52,5,FALSE)="Prior Year"),AN342,IF(AND($A$2=4,VLOOKUP($A342,'District Level ADM'!$A$5:$W$52,5,FALSE)="3-Year Avg."),Z342,IF($A$2=2,AN342,IF($A$2=3,Z342,IF(($AG342&gt;$AU342),Z342,AN342)))))</f>
        <v>73.186666666666667</v>
      </c>
      <c r="M342" s="317">
        <f>IF(AND($A$2=4,VLOOKUP($A342,'District Level ADM'!$A$5:$W$52,5,FALSE)="Prior Year"),AO342,IF(AND($A$2=4,VLOOKUP($A342,'District Level ADM'!$A$5:$W$52,5,FALSE)="3-Year Avg."),AA342,IF($A$2=2,AO342,IF($A$2=3,AA342,IF(($AG342&gt;$AU342),AA342,AO342)))))</f>
        <v>68.164666666666662</v>
      </c>
      <c r="N342" s="317">
        <f>IF(AND($A$2=4,VLOOKUP($A342,'District Level ADM'!$A$5:$W$52,5,FALSE)="Prior Year"),AP342,IF(AND($A$2=4,VLOOKUP($A342,'District Level ADM'!$A$5:$W$52,5,FALSE)="3-Year Avg."),AB342,IF($A$2=2,AP342,IF($A$2=3,AB342,IF(($AG342&gt;$AU342),AB342,AP342)))))</f>
        <v>65.810999999999993</v>
      </c>
      <c r="O342" s="317">
        <f>IF(AND($A$2=4,VLOOKUP($A342,'District Level ADM'!$A$5:$W$52,5,FALSE)="Prior Year"),AQ342,IF(AND($A$2=4,VLOOKUP($A342,'District Level ADM'!$A$5:$W$52,5,FALSE)="3-Year Avg."),AC342,IF($A$2=2,AQ342,IF($A$2=3,AC342,IF(($AG342&gt;$AU342),AC342,AQ342)))))</f>
        <v>0</v>
      </c>
      <c r="P342" s="317">
        <f>IF(AND($A$2=4,VLOOKUP($A342,'District Level ADM'!$A$5:$W$52,5,FALSE)="Prior Year"),AR342,IF(AND($A$2=4,VLOOKUP($A342,'District Level ADM'!$A$5:$W$52,5,FALSE)="3-Year Avg."),AD342,IF($A$2=2,AR342,IF($A$2=3,AD342,IF(($AG342&gt;$AU342),AD342,AR342)))))</f>
        <v>0</v>
      </c>
      <c r="Q342" s="317">
        <f>IF(AND($A$2=4,VLOOKUP($A342,'District Level ADM'!$A$5:$W$52,5,FALSE)="Prior Year"),AS342,IF(AND($A$2=4,VLOOKUP($A342,'District Level ADM'!$A$5:$W$52,5,FALSE)="3-Year Avg."),AE342,IF($A$2=2,AS342,IF($A$2=3,AE342,IF(($AG342&gt;$AU342),AE342,AS342)))))</f>
        <v>0</v>
      </c>
      <c r="R342" s="317">
        <f>IF(AND($A$2=4,VLOOKUP($A342,'District Level ADM'!$A$5:$W$52,5,FALSE)="Prior Year"),AT342,IF(AND($A$2=4,VLOOKUP($A342,'District Level ADM'!$A$5:$W$52,5,FALSE)="3-Year Avg."),AF342,IF($A$2=2,AT342,IF($A$2=3,AF342,IF(($AG342&gt;$AU342),AF342,AT342)))))</f>
        <v>0</v>
      </c>
      <c r="S342" s="317">
        <f t="shared" si="53"/>
        <v>605.84199999999998</v>
      </c>
      <c r="T342" s="317">
        <f t="shared" si="58"/>
        <v>68.031999999999996</v>
      </c>
      <c r="U342" s="317">
        <f t="shared" si="57"/>
        <v>66.168999999999997</v>
      </c>
      <c r="V342" s="317">
        <f t="shared" si="57"/>
        <v>67.069000000000003</v>
      </c>
      <c r="W342" s="317">
        <f t="shared" si="57"/>
        <v>63.485999999999997</v>
      </c>
      <c r="X342" s="317">
        <f t="shared" si="57"/>
        <v>68.320999999999998</v>
      </c>
      <c r="Y342" s="317">
        <f t="shared" si="57"/>
        <v>65.602666666666664</v>
      </c>
      <c r="Z342" s="317">
        <f t="shared" si="57"/>
        <v>73.186666666666667</v>
      </c>
      <c r="AA342" s="317">
        <f t="shared" si="57"/>
        <v>68.164666666666662</v>
      </c>
      <c r="AB342" s="317">
        <f t="shared" si="57"/>
        <v>65.810999999999993</v>
      </c>
      <c r="AC342" s="317">
        <f t="shared" si="57"/>
        <v>0</v>
      </c>
      <c r="AD342" s="317">
        <f t="shared" si="51"/>
        <v>0</v>
      </c>
      <c r="AE342" s="317">
        <f t="shared" si="51"/>
        <v>0</v>
      </c>
      <c r="AF342" s="317">
        <f t="shared" si="51"/>
        <v>0</v>
      </c>
      <c r="AG342" s="317">
        <f t="shared" si="54"/>
        <v>605.84199999999998</v>
      </c>
      <c r="AH342" s="318">
        <v>70.92</v>
      </c>
      <c r="AI342" s="318">
        <v>66.98</v>
      </c>
      <c r="AJ342" s="318">
        <v>64.025000000000006</v>
      </c>
      <c r="AK342" s="318">
        <v>63.04</v>
      </c>
      <c r="AL342" s="318">
        <v>72.89</v>
      </c>
      <c r="AM342" s="318">
        <v>53.19</v>
      </c>
      <c r="AN342" s="318">
        <v>71.905000000000001</v>
      </c>
      <c r="AO342" s="318">
        <v>59.1</v>
      </c>
      <c r="AP342" s="318">
        <v>82.74</v>
      </c>
      <c r="AQ342" s="318">
        <v>0</v>
      </c>
      <c r="AR342" s="318">
        <v>0</v>
      </c>
      <c r="AS342" s="318">
        <v>0</v>
      </c>
      <c r="AT342" s="318">
        <v>0</v>
      </c>
      <c r="AU342" s="317">
        <f t="shared" si="52"/>
        <v>604.79000000000008</v>
      </c>
      <c r="AV342" s="319">
        <v>68.599999999999994</v>
      </c>
      <c r="AW342" s="319">
        <v>66.587999999999994</v>
      </c>
      <c r="AX342" s="319">
        <v>67.152000000000001</v>
      </c>
      <c r="AY342" s="319">
        <v>73.400000000000006</v>
      </c>
      <c r="AZ342" s="319">
        <v>56.720999999999997</v>
      </c>
      <c r="BA342" s="319">
        <v>77.248000000000005</v>
      </c>
      <c r="BB342" s="319">
        <v>62.866999999999997</v>
      </c>
      <c r="BC342" s="319">
        <v>82.424000000000007</v>
      </c>
      <c r="BD342" s="319">
        <v>64.001999999999995</v>
      </c>
      <c r="BE342" s="319">
        <v>0</v>
      </c>
      <c r="BF342" s="319">
        <v>0</v>
      </c>
      <c r="BG342" s="319">
        <v>0</v>
      </c>
      <c r="BH342" s="319">
        <v>0</v>
      </c>
      <c r="BI342" s="317">
        <f t="shared" si="56"/>
        <v>619.00199999999995</v>
      </c>
      <c r="BJ342" s="316">
        <v>64.575999999999993</v>
      </c>
      <c r="BK342" s="316">
        <v>64.938999999999993</v>
      </c>
      <c r="BL342" s="316">
        <v>70.03</v>
      </c>
      <c r="BM342" s="316">
        <v>54.018000000000001</v>
      </c>
      <c r="BN342" s="316">
        <v>75.352000000000004</v>
      </c>
      <c r="BO342" s="316">
        <v>66.37</v>
      </c>
      <c r="BP342" s="316">
        <v>84.787999999999997</v>
      </c>
      <c r="BQ342" s="316">
        <v>62.97</v>
      </c>
      <c r="BR342" s="316">
        <v>50.691000000000003</v>
      </c>
      <c r="BS342" s="316">
        <v>0</v>
      </c>
      <c r="BT342" s="316">
        <v>0</v>
      </c>
      <c r="BU342" s="316">
        <v>0</v>
      </c>
      <c r="BV342" s="316">
        <v>0</v>
      </c>
      <c r="BW342" s="317">
        <f t="shared" si="55"/>
        <v>593.73400000000004</v>
      </c>
    </row>
    <row r="343" spans="1:75" x14ac:dyDescent="0.2">
      <c r="A343" s="20" t="str">
        <f>'School Level Inst. Resources'!A343</f>
        <v>2104000</v>
      </c>
      <c r="B343" s="20" t="str">
        <f>'School Level Inst. Resources'!B343</f>
        <v>Uinta #4</v>
      </c>
      <c r="C343" s="20" t="str">
        <f>'School Level Inst. Resources'!C343</f>
        <v>2104055</v>
      </c>
      <c r="D343" s="20" t="str">
        <f>'School Level Inst. Resources'!D343</f>
        <v>Mountain View High School</v>
      </c>
      <c r="E343" s="138" t="str">
        <f>'School Level Inst. Resources'!E343</f>
        <v>9-12</v>
      </c>
      <c r="F343" s="317">
        <f>IF(AND($A$2=4,VLOOKUP($A343,'District Level ADM'!$A$5:$W$52,5,FALSE)="Prior Year"),AH343,IF(AND($A$2=4,VLOOKUP($A343,'District Level ADM'!$A$5:$W$52,5,FALSE)="3-Year Avg."),T343,IF($A$2=2,AH343,IF($A$2=3,T343,IF(($AG343&gt;$AU343),T343,AH343)))))</f>
        <v>0</v>
      </c>
      <c r="G343" s="317">
        <f>IF(AND($A$2=4,VLOOKUP($A343,'District Level ADM'!$A$5:$W$52,5,FALSE)="Prior Year"),AI343,IF(AND($A$2=4,VLOOKUP($A343,'District Level ADM'!$A$5:$W$52,5,FALSE)="3-Year Avg."),U343,IF($A$2=2,AI343,IF($A$2=3,U343,IF(($AG343&gt;$AU343),U343,AI343)))))</f>
        <v>0</v>
      </c>
      <c r="H343" s="317">
        <f>IF(AND($A$2=4,VLOOKUP($A343,'District Level ADM'!$A$5:$W$52,5,FALSE)="Prior Year"),AJ343,IF(AND($A$2=4,VLOOKUP($A343,'District Level ADM'!$A$5:$W$52,5,FALSE)="3-Year Avg."),V343,IF($A$2=2,AJ343,IF($A$2=3,V343,IF(($AG343&gt;$AU343),V343,AJ343)))))</f>
        <v>0</v>
      </c>
      <c r="I343" s="317">
        <f>IF(AND($A$2=4,VLOOKUP($A343,'District Level ADM'!$A$5:$W$52,5,FALSE)="Prior Year"),AK343,IF(AND($A$2=4,VLOOKUP($A343,'District Level ADM'!$A$5:$W$52,5,FALSE)="3-Year Avg."),W343,IF($A$2=2,AK343,IF($A$2=3,W343,IF(($AG343&gt;$AU343),W343,AK343)))))</f>
        <v>0</v>
      </c>
      <c r="J343" s="317">
        <f>IF(AND($A$2=4,VLOOKUP($A343,'District Level ADM'!$A$5:$W$52,5,FALSE)="Prior Year"),AL343,IF(AND($A$2=4,VLOOKUP($A343,'District Level ADM'!$A$5:$W$52,5,FALSE)="3-Year Avg."),X343,IF($A$2=2,AL343,IF($A$2=3,X343,IF(($AG343&gt;$AU343),X343,AL343)))))</f>
        <v>0</v>
      </c>
      <c r="K343" s="317">
        <f>IF(AND($A$2=4,VLOOKUP($A343,'District Level ADM'!$A$5:$W$52,5,FALSE)="Prior Year"),AM343,IF(AND($A$2=4,VLOOKUP($A343,'District Level ADM'!$A$5:$W$52,5,FALSE)="3-Year Avg."),Y343,IF($A$2=2,AM343,IF($A$2=3,Y343,IF(($AG343&gt;$AU343),Y343,AM343)))))</f>
        <v>0</v>
      </c>
      <c r="L343" s="317">
        <f>IF(AND($A$2=4,VLOOKUP($A343,'District Level ADM'!$A$5:$W$52,5,FALSE)="Prior Year"),AN343,IF(AND($A$2=4,VLOOKUP($A343,'District Level ADM'!$A$5:$W$52,5,FALSE)="3-Year Avg."),Z343,IF($A$2=2,AN343,IF($A$2=3,Z343,IF(($AG343&gt;$AU343),Z343,AN343)))))</f>
        <v>0</v>
      </c>
      <c r="M343" s="317">
        <f>IF(AND($A$2=4,VLOOKUP($A343,'District Level ADM'!$A$5:$W$52,5,FALSE)="Prior Year"),AO343,IF(AND($A$2=4,VLOOKUP($A343,'District Level ADM'!$A$5:$W$52,5,FALSE)="3-Year Avg."),AA343,IF($A$2=2,AO343,IF($A$2=3,AA343,IF(($AG343&gt;$AU343),AA343,AO343)))))</f>
        <v>0</v>
      </c>
      <c r="N343" s="317">
        <f>IF(AND($A$2=4,VLOOKUP($A343,'District Level ADM'!$A$5:$W$52,5,FALSE)="Prior Year"),AP343,IF(AND($A$2=4,VLOOKUP($A343,'District Level ADM'!$A$5:$W$52,5,FALSE)="3-Year Avg."),AB343,IF($A$2=2,AP343,IF($A$2=3,AB343,IF(($AG343&gt;$AU343),AB343,AP343)))))</f>
        <v>0</v>
      </c>
      <c r="O343" s="317">
        <f>IF(AND($A$2=4,VLOOKUP($A343,'District Level ADM'!$A$5:$W$52,5,FALSE)="Prior Year"),AQ343,IF(AND($A$2=4,VLOOKUP($A343,'District Level ADM'!$A$5:$W$52,5,FALSE)="3-Year Avg."),AC343,IF($A$2=2,AQ343,IF($A$2=3,AC343,IF(($AG343&gt;$AU343),AC343,AQ343)))))</f>
        <v>59.695999999999998</v>
      </c>
      <c r="P343" s="317">
        <f>IF(AND($A$2=4,VLOOKUP($A343,'District Level ADM'!$A$5:$W$52,5,FALSE)="Prior Year"),AR343,IF(AND($A$2=4,VLOOKUP($A343,'District Level ADM'!$A$5:$W$52,5,FALSE)="3-Year Avg."),AD343,IF($A$2=2,AR343,IF($A$2=3,AD343,IF(($AG343&gt;$AU343),AD343,AR343)))))</f>
        <v>60.065333333333335</v>
      </c>
      <c r="Q343" s="317">
        <f>IF(AND($A$2=4,VLOOKUP($A343,'District Level ADM'!$A$5:$W$52,5,FALSE)="Prior Year"),AS343,IF(AND($A$2=4,VLOOKUP($A343,'District Level ADM'!$A$5:$W$52,5,FALSE)="3-Year Avg."),AE343,IF($A$2=2,AS343,IF($A$2=3,AE343,IF(($AG343&gt;$AU343),AE343,AS343)))))</f>
        <v>58.150666666666666</v>
      </c>
      <c r="R343" s="317">
        <f>IF(AND($A$2=4,VLOOKUP($A343,'District Level ADM'!$A$5:$W$52,5,FALSE)="Prior Year"),AT343,IF(AND($A$2=4,VLOOKUP($A343,'District Level ADM'!$A$5:$W$52,5,FALSE)="3-Year Avg."),AF343,IF($A$2=2,AT343,IF($A$2=3,AF343,IF(($AG343&gt;$AU343),AF343,AT343)))))</f>
        <v>52.222999999999992</v>
      </c>
      <c r="S343" s="317">
        <f t="shared" si="53"/>
        <v>230.13499999999999</v>
      </c>
      <c r="T343" s="317">
        <f t="shared" si="58"/>
        <v>0</v>
      </c>
      <c r="U343" s="317">
        <f t="shared" si="57"/>
        <v>0</v>
      </c>
      <c r="V343" s="317">
        <f t="shared" si="57"/>
        <v>0</v>
      </c>
      <c r="W343" s="317">
        <f t="shared" si="57"/>
        <v>0</v>
      </c>
      <c r="X343" s="317">
        <f t="shared" si="57"/>
        <v>0</v>
      </c>
      <c r="Y343" s="317">
        <f t="shared" si="57"/>
        <v>0</v>
      </c>
      <c r="Z343" s="317">
        <f t="shared" si="57"/>
        <v>0</v>
      </c>
      <c r="AA343" s="317">
        <f t="shared" si="57"/>
        <v>0</v>
      </c>
      <c r="AB343" s="317">
        <f t="shared" si="57"/>
        <v>0</v>
      </c>
      <c r="AC343" s="317">
        <f t="shared" si="57"/>
        <v>59.695999999999998</v>
      </c>
      <c r="AD343" s="317">
        <f t="shared" si="51"/>
        <v>60.065333333333335</v>
      </c>
      <c r="AE343" s="317">
        <f t="shared" si="51"/>
        <v>58.150666666666666</v>
      </c>
      <c r="AF343" s="317">
        <f t="shared" si="51"/>
        <v>52.222999999999992</v>
      </c>
      <c r="AG343" s="317">
        <f t="shared" si="54"/>
        <v>230.13499999999999</v>
      </c>
      <c r="AH343" s="318">
        <v>0</v>
      </c>
      <c r="AI343" s="318">
        <v>0</v>
      </c>
      <c r="AJ343" s="318">
        <v>0</v>
      </c>
      <c r="AK343" s="318">
        <v>0</v>
      </c>
      <c r="AL343" s="318">
        <v>0</v>
      </c>
      <c r="AM343" s="318">
        <v>0</v>
      </c>
      <c r="AN343" s="318">
        <v>0</v>
      </c>
      <c r="AO343" s="318">
        <v>0</v>
      </c>
      <c r="AP343" s="318">
        <v>0</v>
      </c>
      <c r="AQ343" s="318">
        <v>55.16</v>
      </c>
      <c r="AR343" s="318">
        <v>51.22</v>
      </c>
      <c r="AS343" s="318">
        <v>59.1</v>
      </c>
      <c r="AT343" s="318">
        <v>55.16</v>
      </c>
      <c r="AU343" s="317">
        <f t="shared" si="52"/>
        <v>220.64</v>
      </c>
      <c r="AV343" s="319">
        <v>0</v>
      </c>
      <c r="AW343" s="319">
        <v>0</v>
      </c>
      <c r="AX343" s="319">
        <v>0</v>
      </c>
      <c r="AY343" s="319">
        <v>0</v>
      </c>
      <c r="AZ343" s="319">
        <v>0</v>
      </c>
      <c r="BA343" s="319">
        <v>0</v>
      </c>
      <c r="BB343" s="319">
        <v>0</v>
      </c>
      <c r="BC343" s="319">
        <v>0</v>
      </c>
      <c r="BD343" s="319">
        <v>0</v>
      </c>
      <c r="BE343" s="319">
        <v>51.255000000000003</v>
      </c>
      <c r="BF343" s="319">
        <v>67.497</v>
      </c>
      <c r="BG343" s="319">
        <v>57.896999999999998</v>
      </c>
      <c r="BH343" s="319">
        <v>57.332999999999998</v>
      </c>
      <c r="BI343" s="317">
        <f t="shared" si="56"/>
        <v>233.982</v>
      </c>
      <c r="BJ343" s="316">
        <v>0</v>
      </c>
      <c r="BK343" s="316">
        <v>0</v>
      </c>
      <c r="BL343" s="316">
        <v>0</v>
      </c>
      <c r="BM343" s="316">
        <v>0</v>
      </c>
      <c r="BN343" s="316">
        <v>0</v>
      </c>
      <c r="BO343" s="316">
        <v>0</v>
      </c>
      <c r="BP343" s="316">
        <v>0</v>
      </c>
      <c r="BQ343" s="316">
        <v>0</v>
      </c>
      <c r="BR343" s="316">
        <v>0</v>
      </c>
      <c r="BS343" s="316">
        <v>72.673000000000002</v>
      </c>
      <c r="BT343" s="316">
        <v>61.478999999999999</v>
      </c>
      <c r="BU343" s="316">
        <v>57.454999999999998</v>
      </c>
      <c r="BV343" s="316">
        <v>44.176000000000002</v>
      </c>
      <c r="BW343" s="317">
        <f t="shared" si="55"/>
        <v>235.78299999999996</v>
      </c>
    </row>
    <row r="344" spans="1:75" x14ac:dyDescent="0.2">
      <c r="A344" s="20" t="str">
        <f>'School Level Inst. Resources'!A344</f>
        <v>2106000</v>
      </c>
      <c r="B344" s="20" t="str">
        <f>'School Level Inst. Resources'!B344</f>
        <v>Uinta #6</v>
      </c>
      <c r="C344" s="20" t="str">
        <f>'School Level Inst. Resources'!C344</f>
        <v>2106002</v>
      </c>
      <c r="D344" s="20" t="str">
        <f>'School Level Inst. Resources'!D344</f>
        <v>Urie Elementary</v>
      </c>
      <c r="E344" s="138" t="str">
        <f>'School Level Inst. Resources'!E344</f>
        <v>K-4</v>
      </c>
      <c r="F344" s="317">
        <f>IF(AND($A$2=4,VLOOKUP($A344,'District Level ADM'!$A$5:$W$52,5,FALSE)="Prior Year"),AH344,IF(AND($A$2=4,VLOOKUP($A344,'District Level ADM'!$A$5:$W$52,5,FALSE)="3-Year Avg."),T344,IF($A$2=2,AH344,IF($A$2=3,T344,IF(($AG344&gt;$AU344),T344,AH344)))))</f>
        <v>58.115000000000002</v>
      </c>
      <c r="G344" s="317">
        <f>IF(AND($A$2=4,VLOOKUP($A344,'District Level ADM'!$A$5:$W$52,5,FALSE)="Prior Year"),AI344,IF(AND($A$2=4,VLOOKUP($A344,'District Level ADM'!$A$5:$W$52,5,FALSE)="3-Year Avg."),U344,IF($A$2=2,AI344,IF($A$2=3,U344,IF(($AG344&gt;$AU344),U344,AI344)))))</f>
        <v>48.265000000000001</v>
      </c>
      <c r="H344" s="317">
        <f>IF(AND($A$2=4,VLOOKUP($A344,'District Level ADM'!$A$5:$W$52,5,FALSE)="Prior Year"),AJ344,IF(AND($A$2=4,VLOOKUP($A344,'District Level ADM'!$A$5:$W$52,5,FALSE)="3-Year Avg."),V344,IF($A$2=2,AJ344,IF($A$2=3,V344,IF(($AG344&gt;$AU344),V344,AJ344)))))</f>
        <v>57.13</v>
      </c>
      <c r="I344" s="317">
        <f>IF(AND($A$2=4,VLOOKUP($A344,'District Level ADM'!$A$5:$W$52,5,FALSE)="Prior Year"),AK344,IF(AND($A$2=4,VLOOKUP($A344,'District Level ADM'!$A$5:$W$52,5,FALSE)="3-Year Avg."),W344,IF($A$2=2,AK344,IF($A$2=3,W344,IF(($AG344&gt;$AU344),W344,AK344)))))</f>
        <v>57.13</v>
      </c>
      <c r="J344" s="317">
        <f>IF(AND($A$2=4,VLOOKUP($A344,'District Level ADM'!$A$5:$W$52,5,FALSE)="Prior Year"),AL344,IF(AND($A$2=4,VLOOKUP($A344,'District Level ADM'!$A$5:$W$52,5,FALSE)="3-Year Avg."),X344,IF($A$2=2,AL344,IF($A$2=3,X344,IF(($AG344&gt;$AU344),X344,AL344)))))</f>
        <v>57.13</v>
      </c>
      <c r="K344" s="317">
        <f>IF(AND($A$2=4,VLOOKUP($A344,'District Level ADM'!$A$5:$W$52,5,FALSE)="Prior Year"),AM344,IF(AND($A$2=4,VLOOKUP($A344,'District Level ADM'!$A$5:$W$52,5,FALSE)="3-Year Avg."),Y344,IF($A$2=2,AM344,IF($A$2=3,Y344,IF(($AG344&gt;$AU344),Y344,AM344)))))</f>
        <v>0</v>
      </c>
      <c r="L344" s="317">
        <f>IF(AND($A$2=4,VLOOKUP($A344,'District Level ADM'!$A$5:$W$52,5,FALSE)="Prior Year"),AN344,IF(AND($A$2=4,VLOOKUP($A344,'District Level ADM'!$A$5:$W$52,5,FALSE)="3-Year Avg."),Z344,IF($A$2=2,AN344,IF($A$2=3,Z344,IF(($AG344&gt;$AU344),Z344,AN344)))))</f>
        <v>0</v>
      </c>
      <c r="M344" s="317">
        <f>IF(AND($A$2=4,VLOOKUP($A344,'District Level ADM'!$A$5:$W$52,5,FALSE)="Prior Year"),AO344,IF(AND($A$2=4,VLOOKUP($A344,'District Level ADM'!$A$5:$W$52,5,FALSE)="3-Year Avg."),AA344,IF($A$2=2,AO344,IF($A$2=3,AA344,IF(($AG344&gt;$AU344),AA344,AO344)))))</f>
        <v>0</v>
      </c>
      <c r="N344" s="317">
        <f>IF(AND($A$2=4,VLOOKUP($A344,'District Level ADM'!$A$5:$W$52,5,FALSE)="Prior Year"),AP344,IF(AND($A$2=4,VLOOKUP($A344,'District Level ADM'!$A$5:$W$52,5,FALSE)="3-Year Avg."),AB344,IF($A$2=2,AP344,IF($A$2=3,AB344,IF(($AG344&gt;$AU344),AB344,AP344)))))</f>
        <v>0</v>
      </c>
      <c r="O344" s="317">
        <f>IF(AND($A$2=4,VLOOKUP($A344,'District Level ADM'!$A$5:$W$52,5,FALSE)="Prior Year"),AQ344,IF(AND($A$2=4,VLOOKUP($A344,'District Level ADM'!$A$5:$W$52,5,FALSE)="3-Year Avg."),AC344,IF($A$2=2,AQ344,IF($A$2=3,AC344,IF(($AG344&gt;$AU344),AC344,AQ344)))))</f>
        <v>0</v>
      </c>
      <c r="P344" s="317">
        <f>IF(AND($A$2=4,VLOOKUP($A344,'District Level ADM'!$A$5:$W$52,5,FALSE)="Prior Year"),AR344,IF(AND($A$2=4,VLOOKUP($A344,'District Level ADM'!$A$5:$W$52,5,FALSE)="3-Year Avg."),AD344,IF($A$2=2,AR344,IF($A$2=3,AD344,IF(($AG344&gt;$AU344),AD344,AR344)))))</f>
        <v>0</v>
      </c>
      <c r="Q344" s="317">
        <f>IF(AND($A$2=4,VLOOKUP($A344,'District Level ADM'!$A$5:$W$52,5,FALSE)="Prior Year"),AS344,IF(AND($A$2=4,VLOOKUP($A344,'District Level ADM'!$A$5:$W$52,5,FALSE)="3-Year Avg."),AE344,IF($A$2=2,AS344,IF($A$2=3,AE344,IF(($AG344&gt;$AU344),AE344,AS344)))))</f>
        <v>0</v>
      </c>
      <c r="R344" s="317">
        <f>IF(AND($A$2=4,VLOOKUP($A344,'District Level ADM'!$A$5:$W$52,5,FALSE)="Prior Year"),AT344,IF(AND($A$2=4,VLOOKUP($A344,'District Level ADM'!$A$5:$W$52,5,FALSE)="3-Year Avg."),AF344,IF($A$2=2,AT344,IF($A$2=3,AF344,IF(($AG344&gt;$AU344),AF344,AT344)))))</f>
        <v>0</v>
      </c>
      <c r="S344" s="317">
        <f t="shared" si="53"/>
        <v>277.77</v>
      </c>
      <c r="T344" s="317">
        <f t="shared" si="58"/>
        <v>57.80866666666666</v>
      </c>
      <c r="U344" s="317">
        <f t="shared" si="57"/>
        <v>57.338333333333338</v>
      </c>
      <c r="V344" s="317">
        <f t="shared" si="57"/>
        <v>58.738999999999997</v>
      </c>
      <c r="W344" s="317">
        <f t="shared" si="57"/>
        <v>57.354000000000006</v>
      </c>
      <c r="X344" s="317">
        <f t="shared" si="57"/>
        <v>57.946666666666665</v>
      </c>
      <c r="Y344" s="317">
        <f t="shared" si="57"/>
        <v>0</v>
      </c>
      <c r="Z344" s="317">
        <f t="shared" si="57"/>
        <v>0</v>
      </c>
      <c r="AA344" s="317">
        <f t="shared" si="57"/>
        <v>0</v>
      </c>
      <c r="AB344" s="317">
        <f t="shared" si="57"/>
        <v>0</v>
      </c>
      <c r="AC344" s="317">
        <f t="shared" si="57"/>
        <v>0</v>
      </c>
      <c r="AD344" s="317">
        <f t="shared" si="51"/>
        <v>0</v>
      </c>
      <c r="AE344" s="317">
        <f t="shared" si="51"/>
        <v>0</v>
      </c>
      <c r="AF344" s="317">
        <f t="shared" si="51"/>
        <v>0</v>
      </c>
      <c r="AG344" s="317">
        <f t="shared" si="54"/>
        <v>289.18666666666667</v>
      </c>
      <c r="AH344" s="318">
        <v>58.115000000000002</v>
      </c>
      <c r="AI344" s="318">
        <v>48.265000000000001</v>
      </c>
      <c r="AJ344" s="318">
        <v>57.13</v>
      </c>
      <c r="AK344" s="318">
        <v>57.13</v>
      </c>
      <c r="AL344" s="318">
        <v>57.13</v>
      </c>
      <c r="AM344" s="318">
        <v>0</v>
      </c>
      <c r="AN344" s="318">
        <v>0</v>
      </c>
      <c r="AO344" s="318">
        <v>0</v>
      </c>
      <c r="AP344" s="318">
        <v>0</v>
      </c>
      <c r="AQ344" s="318">
        <v>0</v>
      </c>
      <c r="AR344" s="318">
        <v>0</v>
      </c>
      <c r="AS344" s="318">
        <v>0</v>
      </c>
      <c r="AT344" s="318">
        <v>0</v>
      </c>
      <c r="AU344" s="317">
        <f t="shared" si="52"/>
        <v>277.77</v>
      </c>
      <c r="AV344" s="319">
        <v>52.817999999999998</v>
      </c>
      <c r="AW344" s="319">
        <v>62.243000000000002</v>
      </c>
      <c r="AX344" s="319">
        <v>59.905000000000001</v>
      </c>
      <c r="AY344" s="319">
        <v>57.884999999999998</v>
      </c>
      <c r="AZ344" s="319">
        <v>57.168999999999997</v>
      </c>
      <c r="BA344" s="319">
        <v>0</v>
      </c>
      <c r="BB344" s="319">
        <v>0</v>
      </c>
      <c r="BC344" s="319">
        <v>0</v>
      </c>
      <c r="BD344" s="319">
        <v>0</v>
      </c>
      <c r="BE344" s="319">
        <v>0</v>
      </c>
      <c r="BF344" s="319">
        <v>0</v>
      </c>
      <c r="BG344" s="319">
        <v>0</v>
      </c>
      <c r="BH344" s="319">
        <v>0</v>
      </c>
      <c r="BI344" s="317">
        <f t="shared" si="56"/>
        <v>290.02</v>
      </c>
      <c r="BJ344" s="316">
        <v>62.493000000000002</v>
      </c>
      <c r="BK344" s="316">
        <v>61.506999999999998</v>
      </c>
      <c r="BL344" s="316">
        <v>59.182000000000002</v>
      </c>
      <c r="BM344" s="316">
        <v>57.046999999999997</v>
      </c>
      <c r="BN344" s="316">
        <v>59.540999999999997</v>
      </c>
      <c r="BO344" s="316">
        <v>0</v>
      </c>
      <c r="BP344" s="316">
        <v>0</v>
      </c>
      <c r="BQ344" s="316">
        <v>0</v>
      </c>
      <c r="BR344" s="316">
        <v>0</v>
      </c>
      <c r="BS344" s="316">
        <v>0</v>
      </c>
      <c r="BT344" s="316">
        <v>0</v>
      </c>
      <c r="BU344" s="316">
        <v>0</v>
      </c>
      <c r="BV344" s="316">
        <v>0</v>
      </c>
      <c r="BW344" s="317">
        <f t="shared" si="55"/>
        <v>299.77</v>
      </c>
    </row>
    <row r="345" spans="1:75" x14ac:dyDescent="0.2">
      <c r="A345" s="20" t="str">
        <f>'School Level Inst. Resources'!A345</f>
        <v>2106000</v>
      </c>
      <c r="B345" s="20" t="str">
        <f>'School Level Inst. Resources'!B345</f>
        <v>Uinta #6</v>
      </c>
      <c r="C345" s="20" t="str">
        <f>'School Level Inst. Resources'!C345</f>
        <v>2106050</v>
      </c>
      <c r="D345" s="20" t="str">
        <f>'School Level Inst. Resources'!D345</f>
        <v>Lyman Intermediate School</v>
      </c>
      <c r="E345" s="138" t="str">
        <f>'School Level Inst. Resources'!E345</f>
        <v>5-8</v>
      </c>
      <c r="F345" s="317">
        <f>IF(AND($A$2=4,VLOOKUP($A345,'District Level ADM'!$A$5:$W$52,5,FALSE)="Prior Year"),AH345,IF(AND($A$2=4,VLOOKUP($A345,'District Level ADM'!$A$5:$W$52,5,FALSE)="3-Year Avg."),T345,IF($A$2=2,AH345,IF($A$2=3,T345,IF(($AG345&gt;$AU345),T345,AH345)))))</f>
        <v>0</v>
      </c>
      <c r="G345" s="317">
        <f>IF(AND($A$2=4,VLOOKUP($A345,'District Level ADM'!$A$5:$W$52,5,FALSE)="Prior Year"),AI345,IF(AND($A$2=4,VLOOKUP($A345,'District Level ADM'!$A$5:$W$52,5,FALSE)="3-Year Avg."),U345,IF($A$2=2,AI345,IF($A$2=3,U345,IF(($AG345&gt;$AU345),U345,AI345)))))</f>
        <v>0</v>
      </c>
      <c r="H345" s="317">
        <f>IF(AND($A$2=4,VLOOKUP($A345,'District Level ADM'!$A$5:$W$52,5,FALSE)="Prior Year"),AJ345,IF(AND($A$2=4,VLOOKUP($A345,'District Level ADM'!$A$5:$W$52,5,FALSE)="3-Year Avg."),V345,IF($A$2=2,AJ345,IF($A$2=3,V345,IF(($AG345&gt;$AU345),V345,AJ345)))))</f>
        <v>0</v>
      </c>
      <c r="I345" s="317">
        <f>IF(AND($A$2=4,VLOOKUP($A345,'District Level ADM'!$A$5:$W$52,5,FALSE)="Prior Year"),AK345,IF(AND($A$2=4,VLOOKUP($A345,'District Level ADM'!$A$5:$W$52,5,FALSE)="3-Year Avg."),W345,IF($A$2=2,AK345,IF($A$2=3,W345,IF(($AG345&gt;$AU345),W345,AK345)))))</f>
        <v>0</v>
      </c>
      <c r="J345" s="317">
        <f>IF(AND($A$2=4,VLOOKUP($A345,'District Level ADM'!$A$5:$W$52,5,FALSE)="Prior Year"),AL345,IF(AND($A$2=4,VLOOKUP($A345,'District Level ADM'!$A$5:$W$52,5,FALSE)="3-Year Avg."),X345,IF($A$2=2,AL345,IF($A$2=3,X345,IF(($AG345&gt;$AU345),X345,AL345)))))</f>
        <v>0</v>
      </c>
      <c r="K345" s="317">
        <f>IF(AND($A$2=4,VLOOKUP($A345,'District Level ADM'!$A$5:$W$52,5,FALSE)="Prior Year"),AM345,IF(AND($A$2=4,VLOOKUP($A345,'District Level ADM'!$A$5:$W$52,5,FALSE)="3-Year Avg."),Y345,IF($A$2=2,AM345,IF($A$2=3,Y345,IF(($AG345&gt;$AU345),Y345,AM345)))))</f>
        <v>55.16</v>
      </c>
      <c r="L345" s="317">
        <f>IF(AND($A$2=4,VLOOKUP($A345,'District Level ADM'!$A$5:$W$52,5,FALSE)="Prior Year"),AN345,IF(AND($A$2=4,VLOOKUP($A345,'District Level ADM'!$A$5:$W$52,5,FALSE)="3-Year Avg."),Z345,IF($A$2=2,AN345,IF($A$2=3,Z345,IF(($AG345&gt;$AU345),Z345,AN345)))))</f>
        <v>56.145000000000003</v>
      </c>
      <c r="M345" s="317">
        <f>IF(AND($A$2=4,VLOOKUP($A345,'District Level ADM'!$A$5:$W$52,5,FALSE)="Prior Year"),AO345,IF(AND($A$2=4,VLOOKUP($A345,'District Level ADM'!$A$5:$W$52,5,FALSE)="3-Year Avg."),AA345,IF($A$2=2,AO345,IF($A$2=3,AA345,IF(($AG345&gt;$AU345),AA345,AO345)))))</f>
        <v>67.965000000000003</v>
      </c>
      <c r="N345" s="317">
        <f>IF(AND($A$2=4,VLOOKUP($A345,'District Level ADM'!$A$5:$W$52,5,FALSE)="Prior Year"),AP345,IF(AND($A$2=4,VLOOKUP($A345,'District Level ADM'!$A$5:$W$52,5,FALSE)="3-Year Avg."),AB345,IF($A$2=2,AP345,IF($A$2=3,AB345,IF(($AG345&gt;$AU345),AB345,AP345)))))</f>
        <v>55.16</v>
      </c>
      <c r="O345" s="317">
        <f>IF(AND($A$2=4,VLOOKUP($A345,'District Level ADM'!$A$5:$W$52,5,FALSE)="Prior Year"),AQ345,IF(AND($A$2=4,VLOOKUP($A345,'District Level ADM'!$A$5:$W$52,5,FALSE)="3-Year Avg."),AC345,IF($A$2=2,AQ345,IF($A$2=3,AC345,IF(($AG345&gt;$AU345),AC345,AQ345)))))</f>
        <v>0</v>
      </c>
      <c r="P345" s="317">
        <f>IF(AND($A$2=4,VLOOKUP($A345,'District Level ADM'!$A$5:$W$52,5,FALSE)="Prior Year"),AR345,IF(AND($A$2=4,VLOOKUP($A345,'District Level ADM'!$A$5:$W$52,5,FALSE)="3-Year Avg."),AD345,IF($A$2=2,AR345,IF($A$2=3,AD345,IF(($AG345&gt;$AU345),AD345,AR345)))))</f>
        <v>0</v>
      </c>
      <c r="Q345" s="317">
        <f>IF(AND($A$2=4,VLOOKUP($A345,'District Level ADM'!$A$5:$W$52,5,FALSE)="Prior Year"),AS345,IF(AND($A$2=4,VLOOKUP($A345,'District Level ADM'!$A$5:$W$52,5,FALSE)="3-Year Avg."),AE345,IF($A$2=2,AS345,IF($A$2=3,AE345,IF(($AG345&gt;$AU345),AE345,AS345)))))</f>
        <v>0</v>
      </c>
      <c r="R345" s="317">
        <f>IF(AND($A$2=4,VLOOKUP($A345,'District Level ADM'!$A$5:$W$52,5,FALSE)="Prior Year"),AT345,IF(AND($A$2=4,VLOOKUP($A345,'District Level ADM'!$A$5:$W$52,5,FALSE)="3-Year Avg."),AF345,IF($A$2=2,AT345,IF($A$2=3,AF345,IF(($AG345&gt;$AU345),AF345,AT345)))))</f>
        <v>0</v>
      </c>
      <c r="S345" s="317">
        <f t="shared" si="53"/>
        <v>234.43</v>
      </c>
      <c r="T345" s="317">
        <f t="shared" si="58"/>
        <v>0</v>
      </c>
      <c r="U345" s="317">
        <f t="shared" si="57"/>
        <v>0</v>
      </c>
      <c r="V345" s="317">
        <f t="shared" si="57"/>
        <v>0</v>
      </c>
      <c r="W345" s="317">
        <f t="shared" si="57"/>
        <v>0</v>
      </c>
      <c r="X345" s="317">
        <f t="shared" si="57"/>
        <v>0</v>
      </c>
      <c r="Y345" s="317">
        <f t="shared" si="57"/>
        <v>57.521666666666668</v>
      </c>
      <c r="Z345" s="317">
        <f t="shared" si="57"/>
        <v>59.876333333333328</v>
      </c>
      <c r="AA345" s="317">
        <f t="shared" si="57"/>
        <v>60.871333333333332</v>
      </c>
      <c r="AB345" s="317">
        <f t="shared" si="57"/>
        <v>55.448333333333331</v>
      </c>
      <c r="AC345" s="317">
        <f t="shared" si="57"/>
        <v>0</v>
      </c>
      <c r="AD345" s="317">
        <f t="shared" si="51"/>
        <v>0</v>
      </c>
      <c r="AE345" s="317">
        <f t="shared" si="51"/>
        <v>0</v>
      </c>
      <c r="AF345" s="317">
        <f t="shared" si="51"/>
        <v>0</v>
      </c>
      <c r="AG345" s="317">
        <f t="shared" si="54"/>
        <v>233.71766666666664</v>
      </c>
      <c r="AH345" s="318">
        <v>0</v>
      </c>
      <c r="AI345" s="318">
        <v>0</v>
      </c>
      <c r="AJ345" s="318">
        <v>0</v>
      </c>
      <c r="AK345" s="318">
        <v>0</v>
      </c>
      <c r="AL345" s="318">
        <v>0</v>
      </c>
      <c r="AM345" s="318">
        <v>55.16</v>
      </c>
      <c r="AN345" s="318">
        <v>56.145000000000003</v>
      </c>
      <c r="AO345" s="318">
        <v>67.965000000000003</v>
      </c>
      <c r="AP345" s="318">
        <v>55.16</v>
      </c>
      <c r="AQ345" s="318">
        <v>0</v>
      </c>
      <c r="AR345" s="318">
        <v>0</v>
      </c>
      <c r="AS345" s="318">
        <v>0</v>
      </c>
      <c r="AT345" s="318">
        <v>0</v>
      </c>
      <c r="AU345" s="317">
        <f t="shared" si="52"/>
        <v>234.43</v>
      </c>
      <c r="AV345" s="319">
        <v>0</v>
      </c>
      <c r="AW345" s="319">
        <v>0</v>
      </c>
      <c r="AX345" s="319">
        <v>0</v>
      </c>
      <c r="AY345" s="319">
        <v>0</v>
      </c>
      <c r="AZ345" s="319">
        <v>0</v>
      </c>
      <c r="BA345" s="319">
        <v>56.323999999999998</v>
      </c>
      <c r="BB345" s="319">
        <v>69.135000000000005</v>
      </c>
      <c r="BC345" s="319">
        <v>56.445999999999998</v>
      </c>
      <c r="BD345" s="319">
        <v>62.600999999999999</v>
      </c>
      <c r="BE345" s="319">
        <v>0</v>
      </c>
      <c r="BF345" s="319">
        <v>0</v>
      </c>
      <c r="BG345" s="319">
        <v>0</v>
      </c>
      <c r="BH345" s="319">
        <v>0</v>
      </c>
      <c r="BI345" s="317">
        <f t="shared" si="56"/>
        <v>244.506</v>
      </c>
      <c r="BJ345" s="316">
        <v>0</v>
      </c>
      <c r="BK345" s="316">
        <v>0</v>
      </c>
      <c r="BL345" s="316">
        <v>0</v>
      </c>
      <c r="BM345" s="316">
        <v>0</v>
      </c>
      <c r="BN345" s="316">
        <v>0</v>
      </c>
      <c r="BO345" s="316">
        <v>61.081000000000003</v>
      </c>
      <c r="BP345" s="316">
        <v>54.348999999999997</v>
      </c>
      <c r="BQ345" s="316">
        <v>58.203000000000003</v>
      </c>
      <c r="BR345" s="316">
        <v>48.584000000000003</v>
      </c>
      <c r="BS345" s="316">
        <v>0</v>
      </c>
      <c r="BT345" s="316">
        <v>0</v>
      </c>
      <c r="BU345" s="316">
        <v>0</v>
      </c>
      <c r="BV345" s="316">
        <v>0</v>
      </c>
      <c r="BW345" s="317">
        <f t="shared" si="55"/>
        <v>222.21700000000001</v>
      </c>
    </row>
    <row r="346" spans="1:75" x14ac:dyDescent="0.2">
      <c r="A346" s="20" t="str">
        <f>'School Level Inst. Resources'!A346</f>
        <v>2106000</v>
      </c>
      <c r="B346" s="20" t="str">
        <f>'School Level Inst. Resources'!B346</f>
        <v>Uinta #6</v>
      </c>
      <c r="C346" s="20" t="str">
        <f>'School Level Inst. Resources'!C346</f>
        <v>2106055</v>
      </c>
      <c r="D346" s="20" t="str">
        <f>'School Level Inst. Resources'!D346</f>
        <v>Lyman High School</v>
      </c>
      <c r="E346" s="138" t="str">
        <f>'School Level Inst. Resources'!E346</f>
        <v>9-12</v>
      </c>
      <c r="F346" s="317">
        <f>IF(AND($A$2=4,VLOOKUP($A346,'District Level ADM'!$A$5:$W$52,5,FALSE)="Prior Year"),AH346,IF(AND($A$2=4,VLOOKUP($A346,'District Level ADM'!$A$5:$W$52,5,FALSE)="3-Year Avg."),T346,IF($A$2=2,AH346,IF($A$2=3,T346,IF(($AG346&gt;$AU346),T346,AH346)))))</f>
        <v>0</v>
      </c>
      <c r="G346" s="317">
        <f>IF(AND($A$2=4,VLOOKUP($A346,'District Level ADM'!$A$5:$W$52,5,FALSE)="Prior Year"),AI346,IF(AND($A$2=4,VLOOKUP($A346,'District Level ADM'!$A$5:$W$52,5,FALSE)="3-Year Avg."),U346,IF($A$2=2,AI346,IF($A$2=3,U346,IF(($AG346&gt;$AU346),U346,AI346)))))</f>
        <v>0</v>
      </c>
      <c r="H346" s="317">
        <f>IF(AND($A$2=4,VLOOKUP($A346,'District Level ADM'!$A$5:$W$52,5,FALSE)="Prior Year"),AJ346,IF(AND($A$2=4,VLOOKUP($A346,'District Level ADM'!$A$5:$W$52,5,FALSE)="3-Year Avg."),V346,IF($A$2=2,AJ346,IF($A$2=3,V346,IF(($AG346&gt;$AU346),V346,AJ346)))))</f>
        <v>0</v>
      </c>
      <c r="I346" s="317">
        <f>IF(AND($A$2=4,VLOOKUP($A346,'District Level ADM'!$A$5:$W$52,5,FALSE)="Prior Year"),AK346,IF(AND($A$2=4,VLOOKUP($A346,'District Level ADM'!$A$5:$W$52,5,FALSE)="3-Year Avg."),W346,IF($A$2=2,AK346,IF($A$2=3,W346,IF(($AG346&gt;$AU346),W346,AK346)))))</f>
        <v>0</v>
      </c>
      <c r="J346" s="317">
        <f>IF(AND($A$2=4,VLOOKUP($A346,'District Level ADM'!$A$5:$W$52,5,FALSE)="Prior Year"),AL346,IF(AND($A$2=4,VLOOKUP($A346,'District Level ADM'!$A$5:$W$52,5,FALSE)="3-Year Avg."),X346,IF($A$2=2,AL346,IF($A$2=3,X346,IF(($AG346&gt;$AU346),X346,AL346)))))</f>
        <v>0</v>
      </c>
      <c r="K346" s="317">
        <f>IF(AND($A$2=4,VLOOKUP($A346,'District Level ADM'!$A$5:$W$52,5,FALSE)="Prior Year"),AM346,IF(AND($A$2=4,VLOOKUP($A346,'District Level ADM'!$A$5:$W$52,5,FALSE)="3-Year Avg."),Y346,IF($A$2=2,AM346,IF($A$2=3,Y346,IF(($AG346&gt;$AU346),Y346,AM346)))))</f>
        <v>0</v>
      </c>
      <c r="L346" s="317">
        <f>IF(AND($A$2=4,VLOOKUP($A346,'District Level ADM'!$A$5:$W$52,5,FALSE)="Prior Year"),AN346,IF(AND($A$2=4,VLOOKUP($A346,'District Level ADM'!$A$5:$W$52,5,FALSE)="3-Year Avg."),Z346,IF($A$2=2,AN346,IF($A$2=3,Z346,IF(($AG346&gt;$AU346),Z346,AN346)))))</f>
        <v>0</v>
      </c>
      <c r="M346" s="317">
        <f>IF(AND($A$2=4,VLOOKUP($A346,'District Level ADM'!$A$5:$W$52,5,FALSE)="Prior Year"),AO346,IF(AND($A$2=4,VLOOKUP($A346,'District Level ADM'!$A$5:$W$52,5,FALSE)="3-Year Avg."),AA346,IF($A$2=2,AO346,IF($A$2=3,AA346,IF(($AG346&gt;$AU346),AA346,AO346)))))</f>
        <v>0</v>
      </c>
      <c r="N346" s="317">
        <f>IF(AND($A$2=4,VLOOKUP($A346,'District Level ADM'!$A$5:$W$52,5,FALSE)="Prior Year"),AP346,IF(AND($A$2=4,VLOOKUP($A346,'District Level ADM'!$A$5:$W$52,5,FALSE)="3-Year Avg."),AB346,IF($A$2=2,AP346,IF($A$2=3,AB346,IF(($AG346&gt;$AU346),AB346,AP346)))))</f>
        <v>0</v>
      </c>
      <c r="O346" s="317">
        <f>IF(AND($A$2=4,VLOOKUP($A346,'District Level ADM'!$A$5:$W$52,5,FALSE)="Prior Year"),AQ346,IF(AND($A$2=4,VLOOKUP($A346,'District Level ADM'!$A$5:$W$52,5,FALSE)="3-Year Avg."),AC346,IF($A$2=2,AQ346,IF($A$2=3,AC346,IF(($AG346&gt;$AU346),AC346,AQ346)))))</f>
        <v>67.965000000000003</v>
      </c>
      <c r="P346" s="317">
        <f>IF(AND($A$2=4,VLOOKUP($A346,'District Level ADM'!$A$5:$W$52,5,FALSE)="Prior Year"),AR346,IF(AND($A$2=4,VLOOKUP($A346,'District Level ADM'!$A$5:$W$52,5,FALSE)="3-Year Avg."),AD346,IF($A$2=2,AR346,IF($A$2=3,AD346,IF(($AG346&gt;$AU346),AD346,AR346)))))</f>
        <v>53.19</v>
      </c>
      <c r="Q346" s="317">
        <f>IF(AND($A$2=4,VLOOKUP($A346,'District Level ADM'!$A$5:$W$52,5,FALSE)="Prior Year"),AS346,IF(AND($A$2=4,VLOOKUP($A346,'District Level ADM'!$A$5:$W$52,5,FALSE)="3-Year Avg."),AE346,IF($A$2=2,AS346,IF($A$2=3,AE346,IF(($AG346&gt;$AU346),AE346,AS346)))))</f>
        <v>48.265000000000001</v>
      </c>
      <c r="R346" s="317">
        <f>IF(AND($A$2=4,VLOOKUP($A346,'District Level ADM'!$A$5:$W$52,5,FALSE)="Prior Year"),AT346,IF(AND($A$2=4,VLOOKUP($A346,'District Level ADM'!$A$5:$W$52,5,FALSE)="3-Year Avg."),AF346,IF($A$2=2,AT346,IF($A$2=3,AF346,IF(($AG346&gt;$AU346),AF346,AT346)))))</f>
        <v>46.295000000000002</v>
      </c>
      <c r="S346" s="317">
        <f t="shared" si="53"/>
        <v>215.71500000000003</v>
      </c>
      <c r="T346" s="317">
        <f t="shared" si="58"/>
        <v>0</v>
      </c>
      <c r="U346" s="317">
        <f t="shared" si="57"/>
        <v>0</v>
      </c>
      <c r="V346" s="317">
        <f t="shared" si="57"/>
        <v>0</v>
      </c>
      <c r="W346" s="317">
        <f t="shared" si="57"/>
        <v>0</v>
      </c>
      <c r="X346" s="317">
        <f t="shared" si="57"/>
        <v>0</v>
      </c>
      <c r="Y346" s="317">
        <f t="shared" si="57"/>
        <v>0</v>
      </c>
      <c r="Z346" s="317">
        <f t="shared" si="57"/>
        <v>0</v>
      </c>
      <c r="AA346" s="317">
        <f t="shared" si="57"/>
        <v>0</v>
      </c>
      <c r="AB346" s="317">
        <f t="shared" si="57"/>
        <v>0</v>
      </c>
      <c r="AC346" s="317">
        <f t="shared" si="57"/>
        <v>54.532666666666664</v>
      </c>
      <c r="AD346" s="317">
        <f t="shared" si="51"/>
        <v>51.626666666666665</v>
      </c>
      <c r="AE346" s="317">
        <f t="shared" si="51"/>
        <v>43.32266666666667</v>
      </c>
      <c r="AF346" s="317">
        <f t="shared" si="51"/>
        <v>41.393333333333331</v>
      </c>
      <c r="AG346" s="317">
        <f t="shared" si="54"/>
        <v>190.87533333333334</v>
      </c>
      <c r="AH346" s="318">
        <v>0</v>
      </c>
      <c r="AI346" s="318">
        <v>0</v>
      </c>
      <c r="AJ346" s="318">
        <v>0</v>
      </c>
      <c r="AK346" s="318">
        <v>0</v>
      </c>
      <c r="AL346" s="318">
        <v>0</v>
      </c>
      <c r="AM346" s="318">
        <v>0</v>
      </c>
      <c r="AN346" s="318">
        <v>0</v>
      </c>
      <c r="AO346" s="318">
        <v>0</v>
      </c>
      <c r="AP346" s="318">
        <v>0</v>
      </c>
      <c r="AQ346" s="318">
        <v>67.965000000000003</v>
      </c>
      <c r="AR346" s="318">
        <v>53.19</v>
      </c>
      <c r="AS346" s="318">
        <v>48.265000000000001</v>
      </c>
      <c r="AT346" s="318">
        <v>46.295000000000002</v>
      </c>
      <c r="AU346" s="317">
        <f t="shared" si="52"/>
        <v>215.71500000000003</v>
      </c>
      <c r="AV346" s="319">
        <v>0</v>
      </c>
      <c r="AW346" s="319">
        <v>0</v>
      </c>
      <c r="AX346" s="319">
        <v>0</v>
      </c>
      <c r="AY346" s="319">
        <v>0</v>
      </c>
      <c r="AZ346" s="319">
        <v>0</v>
      </c>
      <c r="BA346" s="319">
        <v>0</v>
      </c>
      <c r="BB346" s="319">
        <v>0</v>
      </c>
      <c r="BC346" s="319">
        <v>0</v>
      </c>
      <c r="BD346" s="319">
        <v>0</v>
      </c>
      <c r="BE346" s="319">
        <v>50.223999999999997</v>
      </c>
      <c r="BF346" s="319">
        <v>54.601999999999997</v>
      </c>
      <c r="BG346" s="319">
        <v>42.98</v>
      </c>
      <c r="BH346" s="319">
        <v>41.466000000000001</v>
      </c>
      <c r="BI346" s="317">
        <f t="shared" si="56"/>
        <v>189.27199999999999</v>
      </c>
      <c r="BJ346" s="316">
        <v>0</v>
      </c>
      <c r="BK346" s="316">
        <v>0</v>
      </c>
      <c r="BL346" s="316">
        <v>0</v>
      </c>
      <c r="BM346" s="316">
        <v>0</v>
      </c>
      <c r="BN346" s="316">
        <v>0</v>
      </c>
      <c r="BO346" s="316">
        <v>0</v>
      </c>
      <c r="BP346" s="316">
        <v>0</v>
      </c>
      <c r="BQ346" s="316">
        <v>0</v>
      </c>
      <c r="BR346" s="316">
        <v>0</v>
      </c>
      <c r="BS346" s="316">
        <v>45.408999999999999</v>
      </c>
      <c r="BT346" s="316">
        <v>47.088000000000001</v>
      </c>
      <c r="BU346" s="316">
        <v>38.722999999999999</v>
      </c>
      <c r="BV346" s="316">
        <v>36.418999999999997</v>
      </c>
      <c r="BW346" s="317">
        <f t="shared" si="55"/>
        <v>167.63900000000001</v>
      </c>
    </row>
    <row r="347" spans="1:75" x14ac:dyDescent="0.2">
      <c r="A347" s="20" t="str">
        <f>'School Level Inst. Resources'!A347</f>
        <v>2201000</v>
      </c>
      <c r="B347" s="20" t="str">
        <f>'School Level Inst. Resources'!B347</f>
        <v>Washakie #1</v>
      </c>
      <c r="C347" s="20" t="str">
        <f>'School Level Inst. Resources'!C347</f>
        <v>2201004</v>
      </c>
      <c r="D347" s="20" t="str">
        <f>'School Level Inst. Resources'!D347</f>
        <v>East Side Elementary</v>
      </c>
      <c r="E347" s="138" t="str">
        <f>'School Level Inst. Resources'!E347</f>
        <v>K-1</v>
      </c>
      <c r="F347" s="317">
        <f>IF(AND($A$2=4,VLOOKUP($A347,'District Level ADM'!$A$5:$W$52,5,FALSE)="Prior Year"),AH347,IF(AND($A$2=4,VLOOKUP($A347,'District Level ADM'!$A$5:$W$52,5,FALSE)="3-Year Avg."),T347,IF($A$2=2,AH347,IF($A$2=3,T347,IF(($AG347&gt;$AU347),T347,AH347)))))</f>
        <v>100.74666666666667</v>
      </c>
      <c r="G347" s="317">
        <f>IF(AND($A$2=4,VLOOKUP($A347,'District Level ADM'!$A$5:$W$52,5,FALSE)="Prior Year"),AI347,IF(AND($A$2=4,VLOOKUP($A347,'District Level ADM'!$A$5:$W$52,5,FALSE)="3-Year Avg."),U347,IF($A$2=2,AI347,IF($A$2=3,U347,IF(($AG347&gt;$AU347),U347,AI347)))))</f>
        <v>89.536333333333346</v>
      </c>
      <c r="H347" s="317">
        <f>IF(AND($A$2=4,VLOOKUP($A347,'District Level ADM'!$A$5:$W$52,5,FALSE)="Prior Year"),AJ347,IF(AND($A$2=4,VLOOKUP($A347,'District Level ADM'!$A$5:$W$52,5,FALSE)="3-Year Avg."),V347,IF($A$2=2,AJ347,IF($A$2=3,V347,IF(($AG347&gt;$AU347),V347,AJ347)))))</f>
        <v>0</v>
      </c>
      <c r="I347" s="317">
        <f>IF(AND($A$2=4,VLOOKUP($A347,'District Level ADM'!$A$5:$W$52,5,FALSE)="Prior Year"),AK347,IF(AND($A$2=4,VLOOKUP($A347,'District Level ADM'!$A$5:$W$52,5,FALSE)="3-Year Avg."),W347,IF($A$2=2,AK347,IF($A$2=3,W347,IF(($AG347&gt;$AU347),W347,AK347)))))</f>
        <v>0</v>
      </c>
      <c r="J347" s="317">
        <f>IF(AND($A$2=4,VLOOKUP($A347,'District Level ADM'!$A$5:$W$52,5,FALSE)="Prior Year"),AL347,IF(AND($A$2=4,VLOOKUP($A347,'District Level ADM'!$A$5:$W$52,5,FALSE)="3-Year Avg."),X347,IF($A$2=2,AL347,IF($A$2=3,X347,IF(($AG347&gt;$AU347),X347,AL347)))))</f>
        <v>0</v>
      </c>
      <c r="K347" s="317">
        <f>IF(AND($A$2=4,VLOOKUP($A347,'District Level ADM'!$A$5:$W$52,5,FALSE)="Prior Year"),AM347,IF(AND($A$2=4,VLOOKUP($A347,'District Level ADM'!$A$5:$W$52,5,FALSE)="3-Year Avg."),Y347,IF($A$2=2,AM347,IF($A$2=3,Y347,IF(($AG347&gt;$AU347),Y347,AM347)))))</f>
        <v>0</v>
      </c>
      <c r="L347" s="317">
        <f>IF(AND($A$2=4,VLOOKUP($A347,'District Level ADM'!$A$5:$W$52,5,FALSE)="Prior Year"),AN347,IF(AND($A$2=4,VLOOKUP($A347,'District Level ADM'!$A$5:$W$52,5,FALSE)="3-Year Avg."),Z347,IF($A$2=2,AN347,IF($A$2=3,Z347,IF(($AG347&gt;$AU347),Z347,AN347)))))</f>
        <v>0</v>
      </c>
      <c r="M347" s="317">
        <f>IF(AND($A$2=4,VLOOKUP($A347,'District Level ADM'!$A$5:$W$52,5,FALSE)="Prior Year"),AO347,IF(AND($A$2=4,VLOOKUP($A347,'District Level ADM'!$A$5:$W$52,5,FALSE)="3-Year Avg."),AA347,IF($A$2=2,AO347,IF($A$2=3,AA347,IF(($AG347&gt;$AU347),AA347,AO347)))))</f>
        <v>0</v>
      </c>
      <c r="N347" s="317">
        <f>IF(AND($A$2=4,VLOOKUP($A347,'District Level ADM'!$A$5:$W$52,5,FALSE)="Prior Year"),AP347,IF(AND($A$2=4,VLOOKUP($A347,'District Level ADM'!$A$5:$W$52,5,FALSE)="3-Year Avg."),AB347,IF($A$2=2,AP347,IF($A$2=3,AB347,IF(($AG347&gt;$AU347),AB347,AP347)))))</f>
        <v>0</v>
      </c>
      <c r="O347" s="317">
        <f>IF(AND($A$2=4,VLOOKUP($A347,'District Level ADM'!$A$5:$W$52,5,FALSE)="Prior Year"),AQ347,IF(AND($A$2=4,VLOOKUP($A347,'District Level ADM'!$A$5:$W$52,5,FALSE)="3-Year Avg."),AC347,IF($A$2=2,AQ347,IF($A$2=3,AC347,IF(($AG347&gt;$AU347),AC347,AQ347)))))</f>
        <v>0</v>
      </c>
      <c r="P347" s="317">
        <f>IF(AND($A$2=4,VLOOKUP($A347,'District Level ADM'!$A$5:$W$52,5,FALSE)="Prior Year"),AR347,IF(AND($A$2=4,VLOOKUP($A347,'District Level ADM'!$A$5:$W$52,5,FALSE)="3-Year Avg."),AD347,IF($A$2=2,AR347,IF($A$2=3,AD347,IF(($AG347&gt;$AU347),AD347,AR347)))))</f>
        <v>0</v>
      </c>
      <c r="Q347" s="317">
        <f>IF(AND($A$2=4,VLOOKUP($A347,'District Level ADM'!$A$5:$W$52,5,FALSE)="Prior Year"),AS347,IF(AND($A$2=4,VLOOKUP($A347,'District Level ADM'!$A$5:$W$52,5,FALSE)="3-Year Avg."),AE347,IF($A$2=2,AS347,IF($A$2=3,AE347,IF(($AG347&gt;$AU347),AE347,AS347)))))</f>
        <v>0</v>
      </c>
      <c r="R347" s="317">
        <f>IF(AND($A$2=4,VLOOKUP($A347,'District Level ADM'!$A$5:$W$52,5,FALSE)="Prior Year"),AT347,IF(AND($A$2=4,VLOOKUP($A347,'District Level ADM'!$A$5:$W$52,5,FALSE)="3-Year Avg."),AF347,IF($A$2=2,AT347,IF($A$2=3,AF347,IF(($AG347&gt;$AU347),AF347,AT347)))))</f>
        <v>0</v>
      </c>
      <c r="S347" s="317">
        <f t="shared" si="53"/>
        <v>190.28300000000002</v>
      </c>
      <c r="T347" s="317">
        <f t="shared" si="58"/>
        <v>100.74666666666667</v>
      </c>
      <c r="U347" s="317">
        <f t="shared" si="57"/>
        <v>89.536333333333346</v>
      </c>
      <c r="V347" s="317">
        <f t="shared" si="57"/>
        <v>0</v>
      </c>
      <c r="W347" s="317">
        <f t="shared" si="57"/>
        <v>0</v>
      </c>
      <c r="X347" s="317">
        <f t="shared" si="57"/>
        <v>0</v>
      </c>
      <c r="Y347" s="317">
        <f t="shared" si="57"/>
        <v>0</v>
      </c>
      <c r="Z347" s="317">
        <f t="shared" si="57"/>
        <v>0</v>
      </c>
      <c r="AA347" s="317">
        <f t="shared" si="57"/>
        <v>0</v>
      </c>
      <c r="AB347" s="317">
        <f t="shared" si="57"/>
        <v>0</v>
      </c>
      <c r="AC347" s="317">
        <f t="shared" si="57"/>
        <v>0</v>
      </c>
      <c r="AD347" s="317">
        <f t="shared" si="51"/>
        <v>0</v>
      </c>
      <c r="AE347" s="317">
        <f t="shared" si="51"/>
        <v>0</v>
      </c>
      <c r="AF347" s="317">
        <f t="shared" si="51"/>
        <v>0</v>
      </c>
      <c r="AG347" s="317">
        <f t="shared" si="54"/>
        <v>190.28300000000002</v>
      </c>
      <c r="AH347" s="318">
        <v>88.65</v>
      </c>
      <c r="AI347" s="318">
        <v>84.71</v>
      </c>
      <c r="AJ347" s="318">
        <v>0</v>
      </c>
      <c r="AK347" s="318">
        <v>0</v>
      </c>
      <c r="AL347" s="318">
        <v>0</v>
      </c>
      <c r="AM347" s="318">
        <v>0</v>
      </c>
      <c r="AN347" s="318">
        <v>0</v>
      </c>
      <c r="AO347" s="318">
        <v>0</v>
      </c>
      <c r="AP347" s="318">
        <v>0</v>
      </c>
      <c r="AQ347" s="318">
        <v>0</v>
      </c>
      <c r="AR347" s="318">
        <v>0</v>
      </c>
      <c r="AS347" s="318">
        <v>0</v>
      </c>
      <c r="AT347" s="318">
        <v>0</v>
      </c>
      <c r="AU347" s="317">
        <f t="shared" si="52"/>
        <v>173.36</v>
      </c>
      <c r="AV347" s="319">
        <v>106.562</v>
      </c>
      <c r="AW347" s="319">
        <v>90.772999999999996</v>
      </c>
      <c r="AX347" s="319">
        <v>0</v>
      </c>
      <c r="AY347" s="319">
        <v>0</v>
      </c>
      <c r="AZ347" s="319">
        <v>0</v>
      </c>
      <c r="BA347" s="319">
        <v>0</v>
      </c>
      <c r="BB347" s="319">
        <v>0</v>
      </c>
      <c r="BC347" s="319">
        <v>0</v>
      </c>
      <c r="BD347" s="319">
        <v>0</v>
      </c>
      <c r="BE347" s="319">
        <v>0</v>
      </c>
      <c r="BF347" s="319">
        <v>0</v>
      </c>
      <c r="BG347" s="319">
        <v>0</v>
      </c>
      <c r="BH347" s="319">
        <v>0</v>
      </c>
      <c r="BI347" s="317">
        <f t="shared" si="56"/>
        <v>197.33499999999998</v>
      </c>
      <c r="BJ347" s="316">
        <v>107.02799999999999</v>
      </c>
      <c r="BK347" s="316">
        <v>93.126000000000005</v>
      </c>
      <c r="BL347" s="316">
        <v>0</v>
      </c>
      <c r="BM347" s="316">
        <v>0</v>
      </c>
      <c r="BN347" s="316">
        <v>0</v>
      </c>
      <c r="BO347" s="316">
        <v>0</v>
      </c>
      <c r="BP347" s="316">
        <v>0</v>
      </c>
      <c r="BQ347" s="316">
        <v>0</v>
      </c>
      <c r="BR347" s="316">
        <v>0</v>
      </c>
      <c r="BS347" s="316">
        <v>0</v>
      </c>
      <c r="BT347" s="316">
        <v>0</v>
      </c>
      <c r="BU347" s="316">
        <v>0</v>
      </c>
      <c r="BV347" s="316">
        <v>0</v>
      </c>
      <c r="BW347" s="317">
        <f t="shared" si="55"/>
        <v>200.154</v>
      </c>
    </row>
    <row r="348" spans="1:75" x14ac:dyDescent="0.2">
      <c r="A348" s="20" t="str">
        <f>'School Level Inst. Resources'!A348</f>
        <v>2201000</v>
      </c>
      <c r="B348" s="20" t="str">
        <f>'School Level Inst. Resources'!B348</f>
        <v>Washakie #1</v>
      </c>
      <c r="C348" s="20" t="str">
        <f>'School Level Inst. Resources'!C348</f>
        <v>2201005</v>
      </c>
      <c r="D348" s="20" t="str">
        <f>'School Level Inst. Resources'!D348</f>
        <v>South Side Elementary</v>
      </c>
      <c r="E348" s="138" t="str">
        <f>'School Level Inst. Resources'!E348</f>
        <v>2-3</v>
      </c>
      <c r="F348" s="317">
        <f>IF(AND($A$2=4,VLOOKUP($A348,'District Level ADM'!$A$5:$W$52,5,FALSE)="Prior Year"),AH348,IF(AND($A$2=4,VLOOKUP($A348,'District Level ADM'!$A$5:$W$52,5,FALSE)="3-Year Avg."),T348,IF($A$2=2,AH348,IF($A$2=3,T348,IF(($AG348&gt;$AU348),T348,AH348)))))</f>
        <v>0</v>
      </c>
      <c r="G348" s="317">
        <f>IF(AND($A$2=4,VLOOKUP($A348,'District Level ADM'!$A$5:$W$52,5,FALSE)="Prior Year"),AI348,IF(AND($A$2=4,VLOOKUP($A348,'District Level ADM'!$A$5:$W$52,5,FALSE)="3-Year Avg."),U348,IF($A$2=2,AI348,IF($A$2=3,U348,IF(($AG348&gt;$AU348),U348,AI348)))))</f>
        <v>0</v>
      </c>
      <c r="H348" s="317">
        <f>IF(AND($A$2=4,VLOOKUP($A348,'District Level ADM'!$A$5:$W$52,5,FALSE)="Prior Year"),AJ348,IF(AND($A$2=4,VLOOKUP($A348,'District Level ADM'!$A$5:$W$52,5,FALSE)="3-Year Avg."),V348,IF($A$2=2,AJ348,IF($A$2=3,V348,IF(($AG348&gt;$AU348),V348,AJ348)))))</f>
        <v>86.054000000000016</v>
      </c>
      <c r="I348" s="317">
        <f>IF(AND($A$2=4,VLOOKUP($A348,'District Level ADM'!$A$5:$W$52,5,FALSE)="Prior Year"),AK348,IF(AND($A$2=4,VLOOKUP($A348,'District Level ADM'!$A$5:$W$52,5,FALSE)="3-Year Avg."),W348,IF($A$2=2,AK348,IF($A$2=3,W348,IF(($AG348&gt;$AU348),W348,AK348)))))</f>
        <v>93.179666666666662</v>
      </c>
      <c r="J348" s="317">
        <f>IF(AND($A$2=4,VLOOKUP($A348,'District Level ADM'!$A$5:$W$52,5,FALSE)="Prior Year"),AL348,IF(AND($A$2=4,VLOOKUP($A348,'District Level ADM'!$A$5:$W$52,5,FALSE)="3-Year Avg."),X348,IF($A$2=2,AL348,IF($A$2=3,X348,IF(($AG348&gt;$AU348),X348,AL348)))))</f>
        <v>0</v>
      </c>
      <c r="K348" s="317">
        <f>IF(AND($A$2=4,VLOOKUP($A348,'District Level ADM'!$A$5:$W$52,5,FALSE)="Prior Year"),AM348,IF(AND($A$2=4,VLOOKUP($A348,'District Level ADM'!$A$5:$W$52,5,FALSE)="3-Year Avg."),Y348,IF($A$2=2,AM348,IF($A$2=3,Y348,IF(($AG348&gt;$AU348),Y348,AM348)))))</f>
        <v>0</v>
      </c>
      <c r="L348" s="317">
        <f>IF(AND($A$2=4,VLOOKUP($A348,'District Level ADM'!$A$5:$W$52,5,FALSE)="Prior Year"),AN348,IF(AND($A$2=4,VLOOKUP($A348,'District Level ADM'!$A$5:$W$52,5,FALSE)="3-Year Avg."),Z348,IF($A$2=2,AN348,IF($A$2=3,Z348,IF(($AG348&gt;$AU348),Z348,AN348)))))</f>
        <v>0</v>
      </c>
      <c r="M348" s="317">
        <f>IF(AND($A$2=4,VLOOKUP($A348,'District Level ADM'!$A$5:$W$52,5,FALSE)="Prior Year"),AO348,IF(AND($A$2=4,VLOOKUP($A348,'District Level ADM'!$A$5:$W$52,5,FALSE)="3-Year Avg."),AA348,IF($A$2=2,AO348,IF($A$2=3,AA348,IF(($AG348&gt;$AU348),AA348,AO348)))))</f>
        <v>0</v>
      </c>
      <c r="N348" s="317">
        <f>IF(AND($A$2=4,VLOOKUP($A348,'District Level ADM'!$A$5:$W$52,5,FALSE)="Prior Year"),AP348,IF(AND($A$2=4,VLOOKUP($A348,'District Level ADM'!$A$5:$W$52,5,FALSE)="3-Year Avg."),AB348,IF($A$2=2,AP348,IF($A$2=3,AB348,IF(($AG348&gt;$AU348),AB348,AP348)))))</f>
        <v>0</v>
      </c>
      <c r="O348" s="317">
        <f>IF(AND($A$2=4,VLOOKUP($A348,'District Level ADM'!$A$5:$W$52,5,FALSE)="Prior Year"),AQ348,IF(AND($A$2=4,VLOOKUP($A348,'District Level ADM'!$A$5:$W$52,5,FALSE)="3-Year Avg."),AC348,IF($A$2=2,AQ348,IF($A$2=3,AC348,IF(($AG348&gt;$AU348),AC348,AQ348)))))</f>
        <v>0</v>
      </c>
      <c r="P348" s="317">
        <f>IF(AND($A$2=4,VLOOKUP($A348,'District Level ADM'!$A$5:$W$52,5,FALSE)="Prior Year"),AR348,IF(AND($A$2=4,VLOOKUP($A348,'District Level ADM'!$A$5:$W$52,5,FALSE)="3-Year Avg."),AD348,IF($A$2=2,AR348,IF($A$2=3,AD348,IF(($AG348&gt;$AU348),AD348,AR348)))))</f>
        <v>0</v>
      </c>
      <c r="Q348" s="317">
        <f>IF(AND($A$2=4,VLOOKUP($A348,'District Level ADM'!$A$5:$W$52,5,FALSE)="Prior Year"),AS348,IF(AND($A$2=4,VLOOKUP($A348,'District Level ADM'!$A$5:$W$52,5,FALSE)="3-Year Avg."),AE348,IF($A$2=2,AS348,IF($A$2=3,AE348,IF(($AG348&gt;$AU348),AE348,AS348)))))</f>
        <v>0</v>
      </c>
      <c r="R348" s="317">
        <f>IF(AND($A$2=4,VLOOKUP($A348,'District Level ADM'!$A$5:$W$52,5,FALSE)="Prior Year"),AT348,IF(AND($A$2=4,VLOOKUP($A348,'District Level ADM'!$A$5:$W$52,5,FALSE)="3-Year Avg."),AF348,IF($A$2=2,AT348,IF($A$2=3,AF348,IF(($AG348&gt;$AU348),AF348,AT348)))))</f>
        <v>0</v>
      </c>
      <c r="S348" s="317">
        <f t="shared" si="53"/>
        <v>179.23366666666669</v>
      </c>
      <c r="T348" s="317">
        <f t="shared" si="58"/>
        <v>0</v>
      </c>
      <c r="U348" s="317">
        <f t="shared" si="57"/>
        <v>0</v>
      </c>
      <c r="V348" s="317">
        <f t="shared" si="57"/>
        <v>86.054000000000016</v>
      </c>
      <c r="W348" s="317">
        <f t="shared" si="57"/>
        <v>93.179666666666662</v>
      </c>
      <c r="X348" s="317">
        <f t="shared" si="57"/>
        <v>0</v>
      </c>
      <c r="Y348" s="317">
        <f t="shared" si="57"/>
        <v>0</v>
      </c>
      <c r="Z348" s="317">
        <f t="shared" si="57"/>
        <v>0</v>
      </c>
      <c r="AA348" s="317">
        <f t="shared" si="57"/>
        <v>0</v>
      </c>
      <c r="AB348" s="317">
        <f t="shared" si="57"/>
        <v>0</v>
      </c>
      <c r="AC348" s="317">
        <f t="shared" si="57"/>
        <v>0</v>
      </c>
      <c r="AD348" s="317">
        <f t="shared" si="57"/>
        <v>0</v>
      </c>
      <c r="AE348" s="317">
        <f t="shared" si="57"/>
        <v>0</v>
      </c>
      <c r="AF348" s="317">
        <f t="shared" si="57"/>
        <v>0</v>
      </c>
      <c r="AG348" s="317">
        <f t="shared" si="54"/>
        <v>179.23366666666669</v>
      </c>
      <c r="AH348" s="318">
        <v>0</v>
      </c>
      <c r="AI348" s="318">
        <v>0</v>
      </c>
      <c r="AJ348" s="318">
        <v>83.724999999999994</v>
      </c>
      <c r="AK348" s="318">
        <v>78.8</v>
      </c>
      <c r="AL348" s="318">
        <v>0</v>
      </c>
      <c r="AM348" s="318">
        <v>0</v>
      </c>
      <c r="AN348" s="318">
        <v>0</v>
      </c>
      <c r="AO348" s="318">
        <v>0</v>
      </c>
      <c r="AP348" s="318">
        <v>0</v>
      </c>
      <c r="AQ348" s="318">
        <v>0</v>
      </c>
      <c r="AR348" s="318">
        <v>0</v>
      </c>
      <c r="AS348" s="318">
        <v>0</v>
      </c>
      <c r="AT348" s="318">
        <v>0</v>
      </c>
      <c r="AU348" s="317">
        <f t="shared" si="52"/>
        <v>162.52499999999998</v>
      </c>
      <c r="AV348" s="319">
        <v>0</v>
      </c>
      <c r="AW348" s="319">
        <v>0</v>
      </c>
      <c r="AX348" s="319">
        <v>82.454999999999998</v>
      </c>
      <c r="AY348" s="319">
        <v>89.108000000000004</v>
      </c>
      <c r="AZ348" s="319">
        <v>0</v>
      </c>
      <c r="BA348" s="319">
        <v>0</v>
      </c>
      <c r="BB348" s="319">
        <v>0</v>
      </c>
      <c r="BC348" s="319">
        <v>0</v>
      </c>
      <c r="BD348" s="319">
        <v>0</v>
      </c>
      <c r="BE348" s="319">
        <v>0</v>
      </c>
      <c r="BF348" s="319">
        <v>0</v>
      </c>
      <c r="BG348" s="319">
        <v>0</v>
      </c>
      <c r="BH348" s="319">
        <v>0</v>
      </c>
      <c r="BI348" s="317">
        <f t="shared" si="56"/>
        <v>171.56299999999999</v>
      </c>
      <c r="BJ348" s="316">
        <v>0</v>
      </c>
      <c r="BK348" s="316">
        <v>0</v>
      </c>
      <c r="BL348" s="316">
        <v>91.981999999999999</v>
      </c>
      <c r="BM348" s="316">
        <v>111.631</v>
      </c>
      <c r="BN348" s="316">
        <v>0</v>
      </c>
      <c r="BO348" s="316">
        <v>0</v>
      </c>
      <c r="BP348" s="316">
        <v>0</v>
      </c>
      <c r="BQ348" s="316">
        <v>0</v>
      </c>
      <c r="BR348" s="316">
        <v>0</v>
      </c>
      <c r="BS348" s="316">
        <v>0</v>
      </c>
      <c r="BT348" s="316">
        <v>0</v>
      </c>
      <c r="BU348" s="316">
        <v>0</v>
      </c>
      <c r="BV348" s="316">
        <v>0</v>
      </c>
      <c r="BW348" s="317">
        <f t="shared" si="55"/>
        <v>203.613</v>
      </c>
    </row>
    <row r="349" spans="1:75" x14ac:dyDescent="0.2">
      <c r="A349" s="20" t="str">
        <f>'School Level Inst. Resources'!A349</f>
        <v>2201000</v>
      </c>
      <c r="B349" s="20" t="str">
        <f>'School Level Inst. Resources'!B349</f>
        <v>Washakie #1</v>
      </c>
      <c r="C349" s="20" t="str">
        <f>'School Level Inst. Resources'!C349</f>
        <v>2201006</v>
      </c>
      <c r="D349" s="20" t="str">
        <f>'School Level Inst. Resources'!D349</f>
        <v>West Side Elementary</v>
      </c>
      <c r="E349" s="138" t="str">
        <f>'School Level Inst. Resources'!E349</f>
        <v>4-5</v>
      </c>
      <c r="F349" s="317">
        <f>IF(AND($A$2=4,VLOOKUP($A349,'District Level ADM'!$A$5:$W$52,5,FALSE)="Prior Year"),AH349,IF(AND($A$2=4,VLOOKUP($A349,'District Level ADM'!$A$5:$W$52,5,FALSE)="3-Year Avg."),T349,IF($A$2=2,AH349,IF($A$2=3,T349,IF(($AG349&gt;$AU349),T349,AH349)))))</f>
        <v>0</v>
      </c>
      <c r="G349" s="317">
        <f>IF(AND($A$2=4,VLOOKUP($A349,'District Level ADM'!$A$5:$W$52,5,FALSE)="Prior Year"),AI349,IF(AND($A$2=4,VLOOKUP($A349,'District Level ADM'!$A$5:$W$52,5,FALSE)="3-Year Avg."),U349,IF($A$2=2,AI349,IF($A$2=3,U349,IF(($AG349&gt;$AU349),U349,AI349)))))</f>
        <v>0</v>
      </c>
      <c r="H349" s="317">
        <f>IF(AND($A$2=4,VLOOKUP($A349,'District Level ADM'!$A$5:$W$52,5,FALSE)="Prior Year"),AJ349,IF(AND($A$2=4,VLOOKUP($A349,'District Level ADM'!$A$5:$W$52,5,FALSE)="3-Year Avg."),V349,IF($A$2=2,AJ349,IF($A$2=3,V349,IF(($AG349&gt;$AU349),V349,AJ349)))))</f>
        <v>0</v>
      </c>
      <c r="I349" s="317">
        <f>IF(AND($A$2=4,VLOOKUP($A349,'District Level ADM'!$A$5:$W$52,5,FALSE)="Prior Year"),AK349,IF(AND($A$2=4,VLOOKUP($A349,'District Level ADM'!$A$5:$W$52,5,FALSE)="3-Year Avg."),W349,IF($A$2=2,AK349,IF($A$2=3,W349,IF(($AG349&gt;$AU349),W349,AK349)))))</f>
        <v>0</v>
      </c>
      <c r="J349" s="317">
        <f>IF(AND($A$2=4,VLOOKUP($A349,'District Level ADM'!$A$5:$W$52,5,FALSE)="Prior Year"),AL349,IF(AND($A$2=4,VLOOKUP($A349,'District Level ADM'!$A$5:$W$52,5,FALSE)="3-Year Avg."),X349,IF($A$2=2,AL349,IF($A$2=3,X349,IF(($AG349&gt;$AU349),X349,AL349)))))</f>
        <v>106.00100000000002</v>
      </c>
      <c r="K349" s="317">
        <f>IF(AND($A$2=4,VLOOKUP($A349,'District Level ADM'!$A$5:$W$52,5,FALSE)="Prior Year"),AM349,IF(AND($A$2=4,VLOOKUP($A349,'District Level ADM'!$A$5:$W$52,5,FALSE)="3-Year Avg."),Y349,IF($A$2=2,AM349,IF($A$2=3,Y349,IF(($AG349&gt;$AU349),Y349,AM349)))))</f>
        <v>112.02200000000001</v>
      </c>
      <c r="L349" s="317">
        <f>IF(AND($A$2=4,VLOOKUP($A349,'District Level ADM'!$A$5:$W$52,5,FALSE)="Prior Year"),AN349,IF(AND($A$2=4,VLOOKUP($A349,'District Level ADM'!$A$5:$W$52,5,FALSE)="3-Year Avg."),Z349,IF($A$2=2,AN349,IF($A$2=3,Z349,IF(($AG349&gt;$AU349),Z349,AN349)))))</f>
        <v>0</v>
      </c>
      <c r="M349" s="317">
        <f>IF(AND($A$2=4,VLOOKUP($A349,'District Level ADM'!$A$5:$W$52,5,FALSE)="Prior Year"),AO349,IF(AND($A$2=4,VLOOKUP($A349,'District Level ADM'!$A$5:$W$52,5,FALSE)="3-Year Avg."),AA349,IF($A$2=2,AO349,IF($A$2=3,AA349,IF(($AG349&gt;$AU349),AA349,AO349)))))</f>
        <v>0</v>
      </c>
      <c r="N349" s="317">
        <f>IF(AND($A$2=4,VLOOKUP($A349,'District Level ADM'!$A$5:$W$52,5,FALSE)="Prior Year"),AP349,IF(AND($A$2=4,VLOOKUP($A349,'District Level ADM'!$A$5:$W$52,5,FALSE)="3-Year Avg."),AB349,IF($A$2=2,AP349,IF($A$2=3,AB349,IF(($AG349&gt;$AU349),AB349,AP349)))))</f>
        <v>0</v>
      </c>
      <c r="O349" s="317">
        <f>IF(AND($A$2=4,VLOOKUP($A349,'District Level ADM'!$A$5:$W$52,5,FALSE)="Prior Year"),AQ349,IF(AND($A$2=4,VLOOKUP($A349,'District Level ADM'!$A$5:$W$52,5,FALSE)="3-Year Avg."),AC349,IF($A$2=2,AQ349,IF($A$2=3,AC349,IF(($AG349&gt;$AU349),AC349,AQ349)))))</f>
        <v>0</v>
      </c>
      <c r="P349" s="317">
        <f>IF(AND($A$2=4,VLOOKUP($A349,'District Level ADM'!$A$5:$W$52,5,FALSE)="Prior Year"),AR349,IF(AND($A$2=4,VLOOKUP($A349,'District Level ADM'!$A$5:$W$52,5,FALSE)="3-Year Avg."),AD349,IF($A$2=2,AR349,IF($A$2=3,AD349,IF(($AG349&gt;$AU349),AD349,AR349)))))</f>
        <v>0</v>
      </c>
      <c r="Q349" s="317">
        <f>IF(AND($A$2=4,VLOOKUP($A349,'District Level ADM'!$A$5:$W$52,5,FALSE)="Prior Year"),AS349,IF(AND($A$2=4,VLOOKUP($A349,'District Level ADM'!$A$5:$W$52,5,FALSE)="3-Year Avg."),AE349,IF($A$2=2,AS349,IF($A$2=3,AE349,IF(($AG349&gt;$AU349),AE349,AS349)))))</f>
        <v>0</v>
      </c>
      <c r="R349" s="317">
        <f>IF(AND($A$2=4,VLOOKUP($A349,'District Level ADM'!$A$5:$W$52,5,FALSE)="Prior Year"),AT349,IF(AND($A$2=4,VLOOKUP($A349,'District Level ADM'!$A$5:$W$52,5,FALSE)="3-Year Avg."),AF349,IF($A$2=2,AT349,IF($A$2=3,AF349,IF(($AG349&gt;$AU349),AF349,AT349)))))</f>
        <v>0</v>
      </c>
      <c r="S349" s="317">
        <f t="shared" si="53"/>
        <v>218.02300000000002</v>
      </c>
      <c r="T349" s="317">
        <f t="shared" si="58"/>
        <v>0</v>
      </c>
      <c r="U349" s="317">
        <f t="shared" si="57"/>
        <v>0</v>
      </c>
      <c r="V349" s="317">
        <f t="shared" si="57"/>
        <v>0</v>
      </c>
      <c r="W349" s="317">
        <f t="shared" si="57"/>
        <v>0</v>
      </c>
      <c r="X349" s="317">
        <f t="shared" si="57"/>
        <v>106.00100000000002</v>
      </c>
      <c r="Y349" s="317">
        <f t="shared" si="57"/>
        <v>112.02200000000001</v>
      </c>
      <c r="Z349" s="317">
        <f t="shared" si="57"/>
        <v>0</v>
      </c>
      <c r="AA349" s="317">
        <f t="shared" si="57"/>
        <v>0</v>
      </c>
      <c r="AB349" s="317">
        <f t="shared" si="57"/>
        <v>0</v>
      </c>
      <c r="AC349" s="317">
        <f t="shared" si="57"/>
        <v>0</v>
      </c>
      <c r="AD349" s="317">
        <f t="shared" si="57"/>
        <v>0</v>
      </c>
      <c r="AE349" s="317">
        <f t="shared" si="57"/>
        <v>0</v>
      </c>
      <c r="AF349" s="317">
        <f t="shared" si="57"/>
        <v>0</v>
      </c>
      <c r="AG349" s="317">
        <f t="shared" si="54"/>
        <v>218.02300000000002</v>
      </c>
      <c r="AH349" s="318">
        <v>0</v>
      </c>
      <c r="AI349" s="318">
        <v>0</v>
      </c>
      <c r="AJ349" s="318">
        <v>0</v>
      </c>
      <c r="AK349" s="318">
        <v>0</v>
      </c>
      <c r="AL349" s="318">
        <v>86.68</v>
      </c>
      <c r="AM349" s="318">
        <v>105.395</v>
      </c>
      <c r="AN349" s="318">
        <v>0</v>
      </c>
      <c r="AO349" s="318">
        <v>0</v>
      </c>
      <c r="AP349" s="318">
        <v>0</v>
      </c>
      <c r="AQ349" s="318">
        <v>0</v>
      </c>
      <c r="AR349" s="318">
        <v>0</v>
      </c>
      <c r="AS349" s="318">
        <v>0</v>
      </c>
      <c r="AT349" s="318">
        <v>0</v>
      </c>
      <c r="AU349" s="317">
        <f t="shared" si="52"/>
        <v>192.07499999999999</v>
      </c>
      <c r="AV349" s="319">
        <v>0</v>
      </c>
      <c r="AW349" s="319">
        <v>0</v>
      </c>
      <c r="AX349" s="319">
        <v>0</v>
      </c>
      <c r="AY349" s="319">
        <v>0</v>
      </c>
      <c r="AZ349" s="319">
        <v>111.79</v>
      </c>
      <c r="BA349" s="319">
        <v>114.32400000000001</v>
      </c>
      <c r="BB349" s="319">
        <v>0</v>
      </c>
      <c r="BC349" s="319">
        <v>0</v>
      </c>
      <c r="BD349" s="319">
        <v>0</v>
      </c>
      <c r="BE349" s="319">
        <v>0</v>
      </c>
      <c r="BF349" s="319">
        <v>0</v>
      </c>
      <c r="BG349" s="319">
        <v>0</v>
      </c>
      <c r="BH349" s="319">
        <v>0</v>
      </c>
      <c r="BI349" s="317">
        <f t="shared" si="56"/>
        <v>226.11400000000003</v>
      </c>
      <c r="BJ349" s="316">
        <v>0</v>
      </c>
      <c r="BK349" s="316">
        <v>0</v>
      </c>
      <c r="BL349" s="316">
        <v>0</v>
      </c>
      <c r="BM349" s="316">
        <v>0</v>
      </c>
      <c r="BN349" s="316">
        <v>119.53299999999999</v>
      </c>
      <c r="BO349" s="316">
        <v>116.34700000000001</v>
      </c>
      <c r="BP349" s="316">
        <v>0</v>
      </c>
      <c r="BQ349" s="316">
        <v>0</v>
      </c>
      <c r="BR349" s="316">
        <v>0</v>
      </c>
      <c r="BS349" s="316">
        <v>0</v>
      </c>
      <c r="BT349" s="316">
        <v>0</v>
      </c>
      <c r="BU349" s="316">
        <v>0</v>
      </c>
      <c r="BV349" s="316">
        <v>0</v>
      </c>
      <c r="BW349" s="317">
        <f t="shared" si="55"/>
        <v>235.88</v>
      </c>
    </row>
    <row r="350" spans="1:75" x14ac:dyDescent="0.2">
      <c r="A350" s="20" t="str">
        <f>'School Level Inst. Resources'!A350</f>
        <v>2201000</v>
      </c>
      <c r="B350" s="20" t="str">
        <f>'School Level Inst. Resources'!B350</f>
        <v>Washakie #1</v>
      </c>
      <c r="C350" s="20" t="str">
        <f>'School Level Inst. Resources'!C350</f>
        <v>2201050</v>
      </c>
      <c r="D350" s="20" t="str">
        <f>'School Level Inst. Resources'!D350</f>
        <v>Worland Middle School</v>
      </c>
      <c r="E350" s="138" t="str">
        <f>'School Level Inst. Resources'!E350</f>
        <v>6-8</v>
      </c>
      <c r="F350" s="317">
        <f>IF(AND($A$2=4,VLOOKUP($A350,'District Level ADM'!$A$5:$W$52,5,FALSE)="Prior Year"),AH350,IF(AND($A$2=4,VLOOKUP($A350,'District Level ADM'!$A$5:$W$52,5,FALSE)="3-Year Avg."),T350,IF($A$2=2,AH350,IF($A$2=3,T350,IF(($AG350&gt;$AU350),T350,AH350)))))</f>
        <v>0</v>
      </c>
      <c r="G350" s="317">
        <f>IF(AND($A$2=4,VLOOKUP($A350,'District Level ADM'!$A$5:$W$52,5,FALSE)="Prior Year"),AI350,IF(AND($A$2=4,VLOOKUP($A350,'District Level ADM'!$A$5:$W$52,5,FALSE)="3-Year Avg."),U350,IF($A$2=2,AI350,IF($A$2=3,U350,IF(($AG350&gt;$AU350),U350,AI350)))))</f>
        <v>0</v>
      </c>
      <c r="H350" s="317">
        <f>IF(AND($A$2=4,VLOOKUP($A350,'District Level ADM'!$A$5:$W$52,5,FALSE)="Prior Year"),AJ350,IF(AND($A$2=4,VLOOKUP($A350,'District Level ADM'!$A$5:$W$52,5,FALSE)="3-Year Avg."),V350,IF($A$2=2,AJ350,IF($A$2=3,V350,IF(($AG350&gt;$AU350),V350,AJ350)))))</f>
        <v>0</v>
      </c>
      <c r="I350" s="317">
        <f>IF(AND($A$2=4,VLOOKUP($A350,'District Level ADM'!$A$5:$W$52,5,FALSE)="Prior Year"),AK350,IF(AND($A$2=4,VLOOKUP($A350,'District Level ADM'!$A$5:$W$52,5,FALSE)="3-Year Avg."),W350,IF($A$2=2,AK350,IF($A$2=3,W350,IF(($AG350&gt;$AU350),W350,AK350)))))</f>
        <v>0</v>
      </c>
      <c r="J350" s="317">
        <f>IF(AND($A$2=4,VLOOKUP($A350,'District Level ADM'!$A$5:$W$52,5,FALSE)="Prior Year"),AL350,IF(AND($A$2=4,VLOOKUP($A350,'District Level ADM'!$A$5:$W$52,5,FALSE)="3-Year Avg."),X350,IF($A$2=2,AL350,IF($A$2=3,X350,IF(($AG350&gt;$AU350),X350,AL350)))))</f>
        <v>0</v>
      </c>
      <c r="K350" s="317">
        <f>IF(AND($A$2=4,VLOOKUP($A350,'District Level ADM'!$A$5:$W$52,5,FALSE)="Prior Year"),AM350,IF(AND($A$2=4,VLOOKUP($A350,'District Level ADM'!$A$5:$W$52,5,FALSE)="3-Year Avg."),Y350,IF($A$2=2,AM350,IF($A$2=3,Y350,IF(($AG350&gt;$AU350),Y350,AM350)))))</f>
        <v>0</v>
      </c>
      <c r="L350" s="317">
        <f>IF(AND($A$2=4,VLOOKUP($A350,'District Level ADM'!$A$5:$W$52,5,FALSE)="Prior Year"),AN350,IF(AND($A$2=4,VLOOKUP($A350,'District Level ADM'!$A$5:$W$52,5,FALSE)="3-Year Avg."),Z350,IF($A$2=2,AN350,IF($A$2=3,Z350,IF(($AG350&gt;$AU350),Z350,AN350)))))</f>
        <v>111.8</v>
      </c>
      <c r="M350" s="317">
        <f>IF(AND($A$2=4,VLOOKUP($A350,'District Level ADM'!$A$5:$W$52,5,FALSE)="Prior Year"),AO350,IF(AND($A$2=4,VLOOKUP($A350,'District Level ADM'!$A$5:$W$52,5,FALSE)="3-Year Avg."),AA350,IF($A$2=2,AO350,IF($A$2=3,AA350,IF(($AG350&gt;$AU350),AA350,AO350)))))</f>
        <v>111.38933333333334</v>
      </c>
      <c r="N350" s="317">
        <f>IF(AND($A$2=4,VLOOKUP($A350,'District Level ADM'!$A$5:$W$52,5,FALSE)="Prior Year"),AP350,IF(AND($A$2=4,VLOOKUP($A350,'District Level ADM'!$A$5:$W$52,5,FALSE)="3-Year Avg."),AB350,IF($A$2=2,AP350,IF($A$2=3,AB350,IF(($AG350&gt;$AU350),AB350,AP350)))))</f>
        <v>106.70066666666666</v>
      </c>
      <c r="O350" s="317">
        <f>IF(AND($A$2=4,VLOOKUP($A350,'District Level ADM'!$A$5:$W$52,5,FALSE)="Prior Year"),AQ350,IF(AND($A$2=4,VLOOKUP($A350,'District Level ADM'!$A$5:$W$52,5,FALSE)="3-Year Avg."),AC350,IF($A$2=2,AQ350,IF($A$2=3,AC350,IF(($AG350&gt;$AU350),AC350,AQ350)))))</f>
        <v>0</v>
      </c>
      <c r="P350" s="317">
        <f>IF(AND($A$2=4,VLOOKUP($A350,'District Level ADM'!$A$5:$W$52,5,FALSE)="Prior Year"),AR350,IF(AND($A$2=4,VLOOKUP($A350,'District Level ADM'!$A$5:$W$52,5,FALSE)="3-Year Avg."),AD350,IF($A$2=2,AR350,IF($A$2=3,AD350,IF(($AG350&gt;$AU350),AD350,AR350)))))</f>
        <v>0</v>
      </c>
      <c r="Q350" s="317">
        <f>IF(AND($A$2=4,VLOOKUP($A350,'District Level ADM'!$A$5:$W$52,5,FALSE)="Prior Year"),AS350,IF(AND($A$2=4,VLOOKUP($A350,'District Level ADM'!$A$5:$W$52,5,FALSE)="3-Year Avg."),AE350,IF($A$2=2,AS350,IF($A$2=3,AE350,IF(($AG350&gt;$AU350),AE350,AS350)))))</f>
        <v>0</v>
      </c>
      <c r="R350" s="317">
        <f>IF(AND($A$2=4,VLOOKUP($A350,'District Level ADM'!$A$5:$W$52,5,FALSE)="Prior Year"),AT350,IF(AND($A$2=4,VLOOKUP($A350,'District Level ADM'!$A$5:$W$52,5,FALSE)="3-Year Avg."),AF350,IF($A$2=2,AT350,IF($A$2=3,AF350,IF(($AG350&gt;$AU350),AF350,AT350)))))</f>
        <v>0</v>
      </c>
      <c r="S350" s="317">
        <f t="shared" si="53"/>
        <v>329.89</v>
      </c>
      <c r="T350" s="317">
        <f t="shared" si="58"/>
        <v>0</v>
      </c>
      <c r="U350" s="317">
        <f t="shared" si="57"/>
        <v>0</v>
      </c>
      <c r="V350" s="317">
        <f t="shared" si="57"/>
        <v>0</v>
      </c>
      <c r="W350" s="317">
        <f t="shared" si="57"/>
        <v>0</v>
      </c>
      <c r="X350" s="317">
        <f t="shared" si="57"/>
        <v>0</v>
      </c>
      <c r="Y350" s="317">
        <f t="shared" si="57"/>
        <v>0</v>
      </c>
      <c r="Z350" s="317">
        <f t="shared" si="57"/>
        <v>111.8</v>
      </c>
      <c r="AA350" s="317">
        <f t="shared" si="57"/>
        <v>111.38933333333334</v>
      </c>
      <c r="AB350" s="317">
        <f t="shared" si="57"/>
        <v>106.70066666666666</v>
      </c>
      <c r="AC350" s="317">
        <f t="shared" si="57"/>
        <v>0</v>
      </c>
      <c r="AD350" s="317">
        <f t="shared" si="57"/>
        <v>0</v>
      </c>
      <c r="AE350" s="317">
        <f t="shared" si="57"/>
        <v>0</v>
      </c>
      <c r="AF350" s="317">
        <f t="shared" si="57"/>
        <v>0</v>
      </c>
      <c r="AG350" s="317">
        <f t="shared" si="54"/>
        <v>329.89</v>
      </c>
      <c r="AH350" s="318">
        <v>0</v>
      </c>
      <c r="AI350" s="318">
        <v>0</v>
      </c>
      <c r="AJ350" s="318">
        <v>0</v>
      </c>
      <c r="AK350" s="318">
        <v>0</v>
      </c>
      <c r="AL350" s="318">
        <v>0</v>
      </c>
      <c r="AM350" s="318">
        <v>0</v>
      </c>
      <c r="AN350" s="318">
        <v>113.27500000000001</v>
      </c>
      <c r="AO350" s="318">
        <v>114.26</v>
      </c>
      <c r="AP350" s="318">
        <v>101.455</v>
      </c>
      <c r="AQ350" s="318">
        <v>0</v>
      </c>
      <c r="AR350" s="318">
        <v>0</v>
      </c>
      <c r="AS350" s="318">
        <v>0</v>
      </c>
      <c r="AT350" s="318">
        <v>0</v>
      </c>
      <c r="AU350" s="317">
        <f t="shared" si="52"/>
        <v>328.99</v>
      </c>
      <c r="AV350" s="319">
        <v>0</v>
      </c>
      <c r="AW350" s="319">
        <v>0</v>
      </c>
      <c r="AX350" s="319">
        <v>0</v>
      </c>
      <c r="AY350" s="319">
        <v>0</v>
      </c>
      <c r="AZ350" s="319">
        <v>0</v>
      </c>
      <c r="BA350" s="319">
        <v>0</v>
      </c>
      <c r="BB350" s="319">
        <v>114.074</v>
      </c>
      <c r="BC350" s="319">
        <v>104.27800000000001</v>
      </c>
      <c r="BD350" s="319">
        <v>110.795</v>
      </c>
      <c r="BE350" s="319">
        <v>0</v>
      </c>
      <c r="BF350" s="319">
        <v>0</v>
      </c>
      <c r="BG350" s="319">
        <v>0</v>
      </c>
      <c r="BH350" s="319">
        <v>0</v>
      </c>
      <c r="BI350" s="317">
        <f t="shared" si="56"/>
        <v>329.14699999999999</v>
      </c>
      <c r="BJ350" s="316">
        <v>0</v>
      </c>
      <c r="BK350" s="316">
        <v>0</v>
      </c>
      <c r="BL350" s="316">
        <v>0</v>
      </c>
      <c r="BM350" s="316">
        <v>0</v>
      </c>
      <c r="BN350" s="316">
        <v>0</v>
      </c>
      <c r="BO350" s="316">
        <v>0</v>
      </c>
      <c r="BP350" s="316">
        <v>108.051</v>
      </c>
      <c r="BQ350" s="316">
        <v>115.63</v>
      </c>
      <c r="BR350" s="316">
        <v>107.852</v>
      </c>
      <c r="BS350" s="316">
        <v>0</v>
      </c>
      <c r="BT350" s="316">
        <v>0</v>
      </c>
      <c r="BU350" s="316">
        <v>0</v>
      </c>
      <c r="BV350" s="316">
        <v>0</v>
      </c>
      <c r="BW350" s="317">
        <f t="shared" si="55"/>
        <v>331.53300000000002</v>
      </c>
    </row>
    <row r="351" spans="1:75" x14ac:dyDescent="0.2">
      <c r="A351" s="20" t="str">
        <f>'School Level Inst. Resources'!A351</f>
        <v>2201000</v>
      </c>
      <c r="B351" s="20" t="str">
        <f>'School Level Inst. Resources'!B351</f>
        <v>Washakie #1</v>
      </c>
      <c r="C351" s="20" t="str">
        <f>'School Level Inst. Resources'!C351</f>
        <v>2201055</v>
      </c>
      <c r="D351" s="20" t="str">
        <f>'School Level Inst. Resources'!D351</f>
        <v>Worland High School</v>
      </c>
      <c r="E351" s="138" t="str">
        <f>'School Level Inst. Resources'!E351</f>
        <v>9-12</v>
      </c>
      <c r="F351" s="317">
        <f>IF(AND($A$2=4,VLOOKUP($A351,'District Level ADM'!$A$5:$W$52,5,FALSE)="Prior Year"),AH351,IF(AND($A$2=4,VLOOKUP($A351,'District Level ADM'!$A$5:$W$52,5,FALSE)="3-Year Avg."),T351,IF($A$2=2,AH351,IF($A$2=3,T351,IF(($AG351&gt;$AU351),T351,AH351)))))</f>
        <v>0</v>
      </c>
      <c r="G351" s="317">
        <f>IF(AND($A$2=4,VLOOKUP($A351,'District Level ADM'!$A$5:$W$52,5,FALSE)="Prior Year"),AI351,IF(AND($A$2=4,VLOOKUP($A351,'District Level ADM'!$A$5:$W$52,5,FALSE)="3-Year Avg."),U351,IF($A$2=2,AI351,IF($A$2=3,U351,IF(($AG351&gt;$AU351),U351,AI351)))))</f>
        <v>0</v>
      </c>
      <c r="H351" s="317">
        <f>IF(AND($A$2=4,VLOOKUP($A351,'District Level ADM'!$A$5:$W$52,5,FALSE)="Prior Year"),AJ351,IF(AND($A$2=4,VLOOKUP($A351,'District Level ADM'!$A$5:$W$52,5,FALSE)="3-Year Avg."),V351,IF($A$2=2,AJ351,IF($A$2=3,V351,IF(($AG351&gt;$AU351),V351,AJ351)))))</f>
        <v>0</v>
      </c>
      <c r="I351" s="317">
        <f>IF(AND($A$2=4,VLOOKUP($A351,'District Level ADM'!$A$5:$W$52,5,FALSE)="Prior Year"),AK351,IF(AND($A$2=4,VLOOKUP($A351,'District Level ADM'!$A$5:$W$52,5,FALSE)="3-Year Avg."),W351,IF($A$2=2,AK351,IF($A$2=3,W351,IF(($AG351&gt;$AU351),W351,AK351)))))</f>
        <v>0</v>
      </c>
      <c r="J351" s="317">
        <f>IF(AND($A$2=4,VLOOKUP($A351,'District Level ADM'!$A$5:$W$52,5,FALSE)="Prior Year"),AL351,IF(AND($A$2=4,VLOOKUP($A351,'District Level ADM'!$A$5:$W$52,5,FALSE)="3-Year Avg."),X351,IF($A$2=2,AL351,IF($A$2=3,X351,IF(($AG351&gt;$AU351),X351,AL351)))))</f>
        <v>0</v>
      </c>
      <c r="K351" s="317">
        <f>IF(AND($A$2=4,VLOOKUP($A351,'District Level ADM'!$A$5:$W$52,5,FALSE)="Prior Year"),AM351,IF(AND($A$2=4,VLOOKUP($A351,'District Level ADM'!$A$5:$W$52,5,FALSE)="3-Year Avg."),Y351,IF($A$2=2,AM351,IF($A$2=3,Y351,IF(($AG351&gt;$AU351),Y351,AM351)))))</f>
        <v>0</v>
      </c>
      <c r="L351" s="317">
        <f>IF(AND($A$2=4,VLOOKUP($A351,'District Level ADM'!$A$5:$W$52,5,FALSE)="Prior Year"),AN351,IF(AND($A$2=4,VLOOKUP($A351,'District Level ADM'!$A$5:$W$52,5,FALSE)="3-Year Avg."),Z351,IF($A$2=2,AN351,IF($A$2=3,Z351,IF(($AG351&gt;$AU351),Z351,AN351)))))</f>
        <v>0</v>
      </c>
      <c r="M351" s="317">
        <f>IF(AND($A$2=4,VLOOKUP($A351,'District Level ADM'!$A$5:$W$52,5,FALSE)="Prior Year"),AO351,IF(AND($A$2=4,VLOOKUP($A351,'District Level ADM'!$A$5:$W$52,5,FALSE)="3-Year Avg."),AA351,IF($A$2=2,AO351,IF($A$2=3,AA351,IF(($AG351&gt;$AU351),AA351,AO351)))))</f>
        <v>0</v>
      </c>
      <c r="N351" s="317">
        <f>IF(AND($A$2=4,VLOOKUP($A351,'District Level ADM'!$A$5:$W$52,5,FALSE)="Prior Year"),AP351,IF(AND($A$2=4,VLOOKUP($A351,'District Level ADM'!$A$5:$W$52,5,FALSE)="3-Year Avg."),AB351,IF($A$2=2,AP351,IF($A$2=3,AB351,IF(($AG351&gt;$AU351),AB351,AP351)))))</f>
        <v>0</v>
      </c>
      <c r="O351" s="317">
        <f>IF(AND($A$2=4,VLOOKUP($A351,'District Level ADM'!$A$5:$W$52,5,FALSE)="Prior Year"),AQ351,IF(AND($A$2=4,VLOOKUP($A351,'District Level ADM'!$A$5:$W$52,5,FALSE)="3-Year Avg."),AC351,IF($A$2=2,AQ351,IF($A$2=3,AC351,IF(($AG351&gt;$AU351),AC351,AQ351)))))</f>
        <v>105.48833333333333</v>
      </c>
      <c r="P351" s="317">
        <f>IF(AND($A$2=4,VLOOKUP($A351,'District Level ADM'!$A$5:$W$52,5,FALSE)="Prior Year"),AR351,IF(AND($A$2=4,VLOOKUP($A351,'District Level ADM'!$A$5:$W$52,5,FALSE)="3-Year Avg."),AD351,IF($A$2=2,AR351,IF($A$2=3,AD351,IF(($AG351&gt;$AU351),AD351,AR351)))))</f>
        <v>96.285333333333327</v>
      </c>
      <c r="Q351" s="317">
        <f>IF(AND($A$2=4,VLOOKUP($A351,'District Level ADM'!$A$5:$W$52,5,FALSE)="Prior Year"),AS351,IF(AND($A$2=4,VLOOKUP($A351,'District Level ADM'!$A$5:$W$52,5,FALSE)="3-Year Avg."),AE351,IF($A$2=2,AS351,IF($A$2=3,AE351,IF(($AG351&gt;$AU351),AE351,AS351)))))</f>
        <v>98.420999999999992</v>
      </c>
      <c r="R351" s="317">
        <f>IF(AND($A$2=4,VLOOKUP($A351,'District Level ADM'!$A$5:$W$52,5,FALSE)="Prior Year"),AT351,IF(AND($A$2=4,VLOOKUP($A351,'District Level ADM'!$A$5:$W$52,5,FALSE)="3-Year Avg."),AF351,IF($A$2=2,AT351,IF($A$2=3,AF351,IF(($AG351&gt;$AU351),AF351,AT351)))))</f>
        <v>91.067666666666653</v>
      </c>
      <c r="S351" s="317">
        <f t="shared" si="53"/>
        <v>391.26233333333329</v>
      </c>
      <c r="T351" s="317">
        <f t="shared" si="58"/>
        <v>0</v>
      </c>
      <c r="U351" s="317">
        <f t="shared" si="57"/>
        <v>0</v>
      </c>
      <c r="V351" s="317">
        <f t="shared" si="57"/>
        <v>0</v>
      </c>
      <c r="W351" s="317">
        <f t="shared" si="57"/>
        <v>0</v>
      </c>
      <c r="X351" s="317">
        <f t="shared" si="57"/>
        <v>0</v>
      </c>
      <c r="Y351" s="317">
        <f t="shared" si="57"/>
        <v>0</v>
      </c>
      <c r="Z351" s="317">
        <f t="shared" si="57"/>
        <v>0</v>
      </c>
      <c r="AA351" s="317">
        <f t="shared" si="57"/>
        <v>0</v>
      </c>
      <c r="AB351" s="317">
        <f t="shared" si="57"/>
        <v>0</v>
      </c>
      <c r="AC351" s="317">
        <f t="shared" si="57"/>
        <v>105.48833333333333</v>
      </c>
      <c r="AD351" s="317">
        <f t="shared" si="57"/>
        <v>96.285333333333327</v>
      </c>
      <c r="AE351" s="317">
        <f t="shared" si="57"/>
        <v>98.420999999999992</v>
      </c>
      <c r="AF351" s="317">
        <f t="shared" si="57"/>
        <v>91.067666666666653</v>
      </c>
      <c r="AG351" s="317">
        <f t="shared" si="54"/>
        <v>391.26233333333329</v>
      </c>
      <c r="AH351" s="318">
        <v>0</v>
      </c>
      <c r="AI351" s="318">
        <v>0</v>
      </c>
      <c r="AJ351" s="318">
        <v>0</v>
      </c>
      <c r="AK351" s="318">
        <v>0</v>
      </c>
      <c r="AL351" s="318">
        <v>0</v>
      </c>
      <c r="AM351" s="318">
        <v>0</v>
      </c>
      <c r="AN351" s="318">
        <v>0</v>
      </c>
      <c r="AO351" s="318">
        <v>0</v>
      </c>
      <c r="AP351" s="318">
        <v>0</v>
      </c>
      <c r="AQ351" s="318">
        <v>109.33499999999999</v>
      </c>
      <c r="AR351" s="318">
        <v>101.455</v>
      </c>
      <c r="AS351" s="318">
        <v>103.425</v>
      </c>
      <c r="AT351" s="318">
        <v>83.724999999999994</v>
      </c>
      <c r="AU351" s="317">
        <f t="shared" si="52"/>
        <v>397.93999999999994</v>
      </c>
      <c r="AV351" s="319">
        <v>0</v>
      </c>
      <c r="AW351" s="319">
        <v>0</v>
      </c>
      <c r="AX351" s="319">
        <v>0</v>
      </c>
      <c r="AY351" s="319">
        <v>0</v>
      </c>
      <c r="AZ351" s="319">
        <v>0</v>
      </c>
      <c r="BA351" s="319">
        <v>0</v>
      </c>
      <c r="BB351" s="319">
        <v>0</v>
      </c>
      <c r="BC351" s="319">
        <v>0</v>
      </c>
      <c r="BD351" s="319">
        <v>0</v>
      </c>
      <c r="BE351" s="319">
        <v>104.197</v>
      </c>
      <c r="BF351" s="319">
        <v>103.116</v>
      </c>
      <c r="BG351" s="319">
        <v>82.679000000000002</v>
      </c>
      <c r="BH351" s="319">
        <v>101.83</v>
      </c>
      <c r="BI351" s="317">
        <f t="shared" si="56"/>
        <v>391.82199999999995</v>
      </c>
      <c r="BJ351" s="316">
        <v>0</v>
      </c>
      <c r="BK351" s="316">
        <v>0</v>
      </c>
      <c r="BL351" s="316">
        <v>0</v>
      </c>
      <c r="BM351" s="316">
        <v>0</v>
      </c>
      <c r="BN351" s="316">
        <v>0</v>
      </c>
      <c r="BO351" s="316">
        <v>0</v>
      </c>
      <c r="BP351" s="316">
        <v>0</v>
      </c>
      <c r="BQ351" s="316">
        <v>0</v>
      </c>
      <c r="BR351" s="316">
        <v>0</v>
      </c>
      <c r="BS351" s="316">
        <v>102.93300000000001</v>
      </c>
      <c r="BT351" s="316">
        <v>84.284999999999997</v>
      </c>
      <c r="BU351" s="316">
        <v>109.15900000000001</v>
      </c>
      <c r="BV351" s="316">
        <v>87.647999999999996</v>
      </c>
      <c r="BW351" s="317">
        <f t="shared" si="55"/>
        <v>384.02499999999998</v>
      </c>
    </row>
    <row r="352" spans="1:75" x14ac:dyDescent="0.2">
      <c r="A352" s="20" t="str">
        <f>'School Level Inst. Resources'!A352</f>
        <v>2202000</v>
      </c>
      <c r="B352" s="20" t="str">
        <f>'School Level Inst. Resources'!B352</f>
        <v>Washakie #2</v>
      </c>
      <c r="C352" s="20" t="str">
        <f>'School Level Inst. Resources'!C352</f>
        <v>2202049</v>
      </c>
      <c r="D352" s="20" t="str">
        <f>'School Level Inst. Resources'!D352</f>
        <v>Ten Sleep K-12</v>
      </c>
      <c r="E352" s="138" t="str">
        <f>'School Level Inst. Resources'!E352</f>
        <v>K-12</v>
      </c>
      <c r="F352" s="317">
        <f>IF(AND($A$2=4,VLOOKUP($A352,'District Level ADM'!$A$5:$W$52,5,FALSE)="Prior Year"),AH352,IF(AND($A$2=4,VLOOKUP($A352,'District Level ADM'!$A$5:$W$52,5,FALSE)="3-Year Avg."),T352,IF($A$2=2,AH352,IF($A$2=3,T352,IF(($AG352&gt;$AU352),T352,AH352)))))</f>
        <v>9.9649999999999999</v>
      </c>
      <c r="G352" s="317">
        <f>IF(AND($A$2=4,VLOOKUP($A352,'District Level ADM'!$A$5:$W$52,5,FALSE)="Prior Year"),AI352,IF(AND($A$2=4,VLOOKUP($A352,'District Level ADM'!$A$5:$W$52,5,FALSE)="3-Year Avg."),U352,IF($A$2=2,AI352,IF($A$2=3,U352,IF(($AG352&gt;$AU352),U352,AI352)))))</f>
        <v>7.9630000000000001</v>
      </c>
      <c r="H352" s="317">
        <f>IF(AND($A$2=4,VLOOKUP($A352,'District Level ADM'!$A$5:$W$52,5,FALSE)="Prior Year"),AJ352,IF(AND($A$2=4,VLOOKUP($A352,'District Level ADM'!$A$5:$W$52,5,FALSE)="3-Year Avg."),V352,IF($A$2=2,AJ352,IF($A$2=3,V352,IF(($AG352&gt;$AU352),V352,AJ352)))))</f>
        <v>6.9936666666666669</v>
      </c>
      <c r="I352" s="317">
        <f>IF(AND($A$2=4,VLOOKUP($A352,'District Level ADM'!$A$5:$W$52,5,FALSE)="Prior Year"),AK352,IF(AND($A$2=4,VLOOKUP($A352,'District Level ADM'!$A$5:$W$52,5,FALSE)="3-Year Avg."),W352,IF($A$2=2,AK352,IF($A$2=3,W352,IF(($AG352&gt;$AU352),W352,AK352)))))</f>
        <v>6.3273333333333328</v>
      </c>
      <c r="J352" s="317">
        <f>IF(AND($A$2=4,VLOOKUP($A352,'District Level ADM'!$A$5:$W$52,5,FALSE)="Prior Year"),AL352,IF(AND($A$2=4,VLOOKUP($A352,'District Level ADM'!$A$5:$W$52,5,FALSE)="3-Year Avg."),X352,IF($A$2=2,AL352,IF($A$2=3,X352,IF(($AG352&gt;$AU352),X352,AL352)))))</f>
        <v>7.621666666666667</v>
      </c>
      <c r="K352" s="317">
        <f>IF(AND($A$2=4,VLOOKUP($A352,'District Level ADM'!$A$5:$W$52,5,FALSE)="Prior Year"),AM352,IF(AND($A$2=4,VLOOKUP($A352,'District Level ADM'!$A$5:$W$52,5,FALSE)="3-Year Avg."),Y352,IF($A$2=2,AM352,IF($A$2=3,Y352,IF(($AG352&gt;$AU352),Y352,AM352)))))</f>
        <v>7.3560000000000008</v>
      </c>
      <c r="L352" s="317">
        <f>IF(AND($A$2=4,VLOOKUP($A352,'District Level ADM'!$A$5:$W$52,5,FALSE)="Prior Year"),AN352,IF(AND($A$2=4,VLOOKUP($A352,'District Level ADM'!$A$5:$W$52,5,FALSE)="3-Year Avg."),Z352,IF($A$2=2,AN352,IF($A$2=3,Z352,IF(($AG352&gt;$AU352),Z352,AN352)))))</f>
        <v>8.9550000000000001</v>
      </c>
      <c r="M352" s="317">
        <f>IF(AND($A$2=4,VLOOKUP($A352,'District Level ADM'!$A$5:$W$52,5,FALSE)="Prior Year"),AO352,IF(AND($A$2=4,VLOOKUP($A352,'District Level ADM'!$A$5:$W$52,5,FALSE)="3-Year Avg."),AA352,IF($A$2=2,AO352,IF($A$2=3,AA352,IF(($AG352&gt;$AU352),AA352,AO352)))))</f>
        <v>8.0076666666666672</v>
      </c>
      <c r="N352" s="317">
        <f>IF(AND($A$2=4,VLOOKUP($A352,'District Level ADM'!$A$5:$W$52,5,FALSE)="Prior Year"),AP352,IF(AND($A$2=4,VLOOKUP($A352,'District Level ADM'!$A$5:$W$52,5,FALSE)="3-Year Avg."),AB352,IF($A$2=2,AP352,IF($A$2=3,AB352,IF(($AG352&gt;$AU352),AB352,AP352)))))</f>
        <v>7.5383333333333331</v>
      </c>
      <c r="O352" s="317">
        <f>IF(AND($A$2=4,VLOOKUP($A352,'District Level ADM'!$A$5:$W$52,5,FALSE)="Prior Year"),AQ352,IF(AND($A$2=4,VLOOKUP($A352,'District Level ADM'!$A$5:$W$52,5,FALSE)="3-Year Avg."),AC352,IF($A$2=2,AQ352,IF($A$2=3,AC352,IF(($AG352&gt;$AU352),AC352,AQ352)))))</f>
        <v>9.9329999999999998</v>
      </c>
      <c r="P352" s="317">
        <f>IF(AND($A$2=4,VLOOKUP($A352,'District Level ADM'!$A$5:$W$52,5,FALSE)="Prior Year"),AR352,IF(AND($A$2=4,VLOOKUP($A352,'District Level ADM'!$A$5:$W$52,5,FALSE)="3-Year Avg."),AD352,IF($A$2=2,AR352,IF($A$2=3,AD352,IF(($AG352&gt;$AU352),AD352,AR352)))))</f>
        <v>8.0030000000000001</v>
      </c>
      <c r="Q352" s="317">
        <f>IF(AND($A$2=4,VLOOKUP($A352,'District Level ADM'!$A$5:$W$52,5,FALSE)="Prior Year"),AS352,IF(AND($A$2=4,VLOOKUP($A352,'District Level ADM'!$A$5:$W$52,5,FALSE)="3-Year Avg."),AE352,IF($A$2=2,AS352,IF($A$2=3,AE352,IF(($AG352&gt;$AU352),AE352,AS352)))))</f>
        <v>8.8036666666666665</v>
      </c>
      <c r="R352" s="317">
        <f>IF(AND($A$2=4,VLOOKUP($A352,'District Level ADM'!$A$5:$W$52,5,FALSE)="Prior Year"),AT352,IF(AND($A$2=4,VLOOKUP($A352,'District Level ADM'!$A$5:$W$52,5,FALSE)="3-Year Avg."),AF352,IF($A$2=2,AT352,IF($A$2=3,AF352,IF(($AG352&gt;$AU352),AF352,AT352)))))</f>
        <v>9.6933333333333334</v>
      </c>
      <c r="S352" s="317">
        <f t="shared" si="53"/>
        <v>107.16066666666666</v>
      </c>
      <c r="T352" s="317">
        <f t="shared" si="58"/>
        <v>9.9649999999999999</v>
      </c>
      <c r="U352" s="317">
        <f t="shared" si="57"/>
        <v>7.9630000000000001</v>
      </c>
      <c r="V352" s="317">
        <f t="shared" si="57"/>
        <v>6.9936666666666669</v>
      </c>
      <c r="W352" s="317">
        <f t="shared" si="57"/>
        <v>6.3273333333333328</v>
      </c>
      <c r="X352" s="317">
        <f t="shared" si="57"/>
        <v>7.621666666666667</v>
      </c>
      <c r="Y352" s="317">
        <f t="shared" si="57"/>
        <v>7.3560000000000008</v>
      </c>
      <c r="Z352" s="317">
        <f t="shared" si="57"/>
        <v>8.9550000000000001</v>
      </c>
      <c r="AA352" s="317">
        <f t="shared" si="57"/>
        <v>8.0076666666666672</v>
      </c>
      <c r="AB352" s="317">
        <f t="shared" si="57"/>
        <v>7.5383333333333331</v>
      </c>
      <c r="AC352" s="317">
        <f t="shared" si="57"/>
        <v>9.9329999999999998</v>
      </c>
      <c r="AD352" s="317">
        <f t="shared" si="57"/>
        <v>8.0030000000000001</v>
      </c>
      <c r="AE352" s="317">
        <f t="shared" si="57"/>
        <v>8.8036666666666665</v>
      </c>
      <c r="AF352" s="317">
        <f t="shared" si="57"/>
        <v>9.6933333333333334</v>
      </c>
      <c r="AG352" s="317">
        <f t="shared" si="54"/>
        <v>107.16066666666666</v>
      </c>
      <c r="AH352" s="318">
        <v>6.8949999999999996</v>
      </c>
      <c r="AI352" s="318">
        <v>11.82</v>
      </c>
      <c r="AJ352" s="318">
        <v>6.8949999999999996</v>
      </c>
      <c r="AK352" s="318">
        <v>4.9249999999999998</v>
      </c>
      <c r="AL352" s="318">
        <v>8.8650000000000002</v>
      </c>
      <c r="AM352" s="318">
        <v>4.9249999999999998</v>
      </c>
      <c r="AN352" s="318">
        <v>8.8650000000000002</v>
      </c>
      <c r="AO352" s="318">
        <v>7.88</v>
      </c>
      <c r="AP352" s="318">
        <v>6.8949999999999996</v>
      </c>
      <c r="AQ352" s="318">
        <v>9.85</v>
      </c>
      <c r="AR352" s="318">
        <v>6.8949999999999996</v>
      </c>
      <c r="AS352" s="318">
        <v>7.88</v>
      </c>
      <c r="AT352" s="318">
        <v>7.88</v>
      </c>
      <c r="AU352" s="317">
        <f t="shared" si="52"/>
        <v>100.46999999999998</v>
      </c>
      <c r="AV352" s="319">
        <v>14</v>
      </c>
      <c r="AW352" s="319">
        <v>8</v>
      </c>
      <c r="AX352" s="319">
        <v>6</v>
      </c>
      <c r="AY352" s="319">
        <v>8.3369999999999997</v>
      </c>
      <c r="AZ352" s="319">
        <v>6</v>
      </c>
      <c r="BA352" s="319">
        <v>8.1430000000000007</v>
      </c>
      <c r="BB352" s="319">
        <v>9</v>
      </c>
      <c r="BC352" s="319">
        <v>8.1430000000000007</v>
      </c>
      <c r="BD352" s="319">
        <v>8</v>
      </c>
      <c r="BE352" s="319">
        <v>10.269</v>
      </c>
      <c r="BF352" s="319">
        <v>8.0169999999999995</v>
      </c>
      <c r="BG352" s="319">
        <v>8.5310000000000006</v>
      </c>
      <c r="BH352" s="319">
        <v>12</v>
      </c>
      <c r="BI352" s="317">
        <f t="shared" si="56"/>
        <v>114.44000000000001</v>
      </c>
      <c r="BJ352" s="316">
        <v>9</v>
      </c>
      <c r="BK352" s="316">
        <v>4.069</v>
      </c>
      <c r="BL352" s="316">
        <v>8.0860000000000003</v>
      </c>
      <c r="BM352" s="316">
        <v>5.72</v>
      </c>
      <c r="BN352" s="316">
        <v>8</v>
      </c>
      <c r="BO352" s="316">
        <v>9</v>
      </c>
      <c r="BP352" s="316">
        <v>9</v>
      </c>
      <c r="BQ352" s="316">
        <v>8</v>
      </c>
      <c r="BR352" s="316">
        <v>7.72</v>
      </c>
      <c r="BS352" s="316">
        <v>9.68</v>
      </c>
      <c r="BT352" s="316">
        <v>9.0969999999999995</v>
      </c>
      <c r="BU352" s="316">
        <v>10</v>
      </c>
      <c r="BV352" s="316">
        <v>9.1999999999999993</v>
      </c>
      <c r="BW352" s="317">
        <f t="shared" si="55"/>
        <v>106.572</v>
      </c>
    </row>
    <row r="353" spans="1:76" x14ac:dyDescent="0.2">
      <c r="A353" s="20" t="str">
        <f>'School Level Inst. Resources'!A353</f>
        <v>2301000</v>
      </c>
      <c r="B353" s="20" t="str">
        <f>'School Level Inst. Resources'!B353</f>
        <v>Weston #1</v>
      </c>
      <c r="C353" s="20" t="str">
        <f>'School Level Inst. Resources'!C353</f>
        <v>2301001</v>
      </c>
      <c r="D353" s="20" t="str">
        <f>'School Level Inst. Resources'!D353</f>
        <v>Newcastle Elementary 3-5</v>
      </c>
      <c r="E353" s="138" t="str">
        <f>'School Level Inst. Resources'!E353</f>
        <v>3-5</v>
      </c>
      <c r="F353" s="317">
        <f>IF(AND($A$2=4,VLOOKUP($A353,'District Level ADM'!$A$5:$W$52,5,FALSE)="Prior Year"),AH353,IF(AND($A$2=4,VLOOKUP($A353,'District Level ADM'!$A$5:$W$52,5,FALSE)="3-Year Avg."),T353,IF($A$2=2,AH353,IF($A$2=3,T353,IF(($AG353&gt;$AU353),T353,AH353)))))</f>
        <v>0</v>
      </c>
      <c r="G353" s="317">
        <f>IF(AND($A$2=4,VLOOKUP($A353,'District Level ADM'!$A$5:$W$52,5,FALSE)="Prior Year"),AI353,IF(AND($A$2=4,VLOOKUP($A353,'District Level ADM'!$A$5:$W$52,5,FALSE)="3-Year Avg."),U353,IF($A$2=2,AI353,IF($A$2=3,U353,IF(($AG353&gt;$AU353),U353,AI353)))))</f>
        <v>0</v>
      </c>
      <c r="H353" s="317">
        <f>IF(AND($A$2=4,VLOOKUP($A353,'District Level ADM'!$A$5:$W$52,5,FALSE)="Prior Year"),AJ353,IF(AND($A$2=4,VLOOKUP($A353,'District Level ADM'!$A$5:$W$52,5,FALSE)="3-Year Avg."),V353,IF($A$2=2,AJ353,IF($A$2=3,V353,IF(($AG353&gt;$AU353),V353,AJ353)))))</f>
        <v>0</v>
      </c>
      <c r="I353" s="317">
        <f>IF(AND($A$2=4,VLOOKUP($A353,'District Level ADM'!$A$5:$W$52,5,FALSE)="Prior Year"),AK353,IF(AND($A$2=4,VLOOKUP($A353,'District Level ADM'!$A$5:$W$52,5,FALSE)="3-Year Avg."),W353,IF($A$2=2,AK353,IF($A$2=3,W353,IF(($AG353&gt;$AU353),W353,AK353)))))</f>
        <v>53.704666666666668</v>
      </c>
      <c r="J353" s="317">
        <f>IF(AND($A$2=4,VLOOKUP($A353,'District Level ADM'!$A$5:$W$52,5,FALSE)="Prior Year"),AL353,IF(AND($A$2=4,VLOOKUP($A353,'District Level ADM'!$A$5:$W$52,5,FALSE)="3-Year Avg."),X353,IF($A$2=2,AL353,IF($A$2=3,X353,IF(($AG353&gt;$AU353),X353,AL353)))))</f>
        <v>59.088666666666676</v>
      </c>
      <c r="K353" s="317">
        <f>IF(AND($A$2=4,VLOOKUP($A353,'District Level ADM'!$A$5:$W$52,5,FALSE)="Prior Year"),AM353,IF(AND($A$2=4,VLOOKUP($A353,'District Level ADM'!$A$5:$W$52,5,FALSE)="3-Year Avg."),Y353,IF($A$2=2,AM353,IF($A$2=3,Y353,IF(($AG353&gt;$AU353),Y353,AM353)))))</f>
        <v>65.309333333333328</v>
      </c>
      <c r="L353" s="317">
        <f>IF(AND($A$2=4,VLOOKUP($A353,'District Level ADM'!$A$5:$W$52,5,FALSE)="Prior Year"),AN353,IF(AND($A$2=4,VLOOKUP($A353,'District Level ADM'!$A$5:$W$52,5,FALSE)="3-Year Avg."),Z353,IF($A$2=2,AN353,IF($A$2=3,Z353,IF(($AG353&gt;$AU353),Z353,AN353)))))</f>
        <v>0</v>
      </c>
      <c r="M353" s="317">
        <f>IF(AND($A$2=4,VLOOKUP($A353,'District Level ADM'!$A$5:$W$52,5,FALSE)="Prior Year"),AO353,IF(AND($A$2=4,VLOOKUP($A353,'District Level ADM'!$A$5:$W$52,5,FALSE)="3-Year Avg."),AA353,IF($A$2=2,AO353,IF($A$2=3,AA353,IF(($AG353&gt;$AU353),AA353,AO353)))))</f>
        <v>0</v>
      </c>
      <c r="N353" s="317">
        <f>IF(AND($A$2=4,VLOOKUP($A353,'District Level ADM'!$A$5:$W$52,5,FALSE)="Prior Year"),AP353,IF(AND($A$2=4,VLOOKUP($A353,'District Level ADM'!$A$5:$W$52,5,FALSE)="3-Year Avg."),AB353,IF($A$2=2,AP353,IF($A$2=3,AB353,IF(($AG353&gt;$AU353),AB353,AP353)))))</f>
        <v>0</v>
      </c>
      <c r="O353" s="317">
        <f>IF(AND($A$2=4,VLOOKUP($A353,'District Level ADM'!$A$5:$W$52,5,FALSE)="Prior Year"),AQ353,IF(AND($A$2=4,VLOOKUP($A353,'District Level ADM'!$A$5:$W$52,5,FALSE)="3-Year Avg."),AC353,IF($A$2=2,AQ353,IF($A$2=3,AC353,IF(($AG353&gt;$AU353),AC353,AQ353)))))</f>
        <v>0</v>
      </c>
      <c r="P353" s="317">
        <f>IF(AND($A$2=4,VLOOKUP($A353,'District Level ADM'!$A$5:$W$52,5,FALSE)="Prior Year"),AR353,IF(AND($A$2=4,VLOOKUP($A353,'District Level ADM'!$A$5:$W$52,5,FALSE)="3-Year Avg."),AD353,IF($A$2=2,AR353,IF($A$2=3,AD353,IF(($AG353&gt;$AU353),AD353,AR353)))))</f>
        <v>0</v>
      </c>
      <c r="Q353" s="317">
        <f>IF(AND($A$2=4,VLOOKUP($A353,'District Level ADM'!$A$5:$W$52,5,FALSE)="Prior Year"),AS353,IF(AND($A$2=4,VLOOKUP($A353,'District Level ADM'!$A$5:$W$52,5,FALSE)="3-Year Avg."),AE353,IF($A$2=2,AS353,IF($A$2=3,AE353,IF(($AG353&gt;$AU353),AE353,AS353)))))</f>
        <v>0</v>
      </c>
      <c r="R353" s="317">
        <f>IF(AND($A$2=4,VLOOKUP($A353,'District Level ADM'!$A$5:$W$52,5,FALSE)="Prior Year"),AT353,IF(AND($A$2=4,VLOOKUP($A353,'District Level ADM'!$A$5:$W$52,5,FALSE)="3-Year Avg."),AF353,IF($A$2=2,AT353,IF($A$2=3,AF353,IF(($AG353&gt;$AU353),AF353,AT353)))))</f>
        <v>0</v>
      </c>
      <c r="S353" s="317">
        <f t="shared" si="53"/>
        <v>178.10266666666666</v>
      </c>
      <c r="T353" s="317">
        <f t="shared" si="58"/>
        <v>0</v>
      </c>
      <c r="U353" s="317">
        <f t="shared" si="57"/>
        <v>0</v>
      </c>
      <c r="V353" s="317">
        <f t="shared" si="57"/>
        <v>0</v>
      </c>
      <c r="W353" s="317">
        <f t="shared" si="57"/>
        <v>53.704666666666668</v>
      </c>
      <c r="X353" s="317">
        <f t="shared" si="57"/>
        <v>59.088666666666676</v>
      </c>
      <c r="Y353" s="317">
        <f t="shared" si="57"/>
        <v>65.309333333333328</v>
      </c>
      <c r="Z353" s="317">
        <f t="shared" si="57"/>
        <v>0</v>
      </c>
      <c r="AA353" s="317">
        <f t="shared" si="57"/>
        <v>0</v>
      </c>
      <c r="AB353" s="317">
        <f t="shared" si="57"/>
        <v>0</v>
      </c>
      <c r="AC353" s="317">
        <f t="shared" si="57"/>
        <v>0</v>
      </c>
      <c r="AD353" s="317">
        <f t="shared" si="57"/>
        <v>0</v>
      </c>
      <c r="AE353" s="317">
        <f t="shared" si="57"/>
        <v>0</v>
      </c>
      <c r="AF353" s="317">
        <f t="shared" si="57"/>
        <v>0</v>
      </c>
      <c r="AG353" s="317">
        <f t="shared" si="54"/>
        <v>178.10266666666666</v>
      </c>
      <c r="AH353" s="318">
        <v>0</v>
      </c>
      <c r="AI353" s="318">
        <v>0</v>
      </c>
      <c r="AJ353" s="318">
        <v>0</v>
      </c>
      <c r="AK353" s="318">
        <v>52.204999999999998</v>
      </c>
      <c r="AL353" s="318">
        <v>46.295000000000002</v>
      </c>
      <c r="AM353" s="318">
        <v>56.145000000000003</v>
      </c>
      <c r="AN353" s="318">
        <v>0</v>
      </c>
      <c r="AO353" s="318">
        <v>0</v>
      </c>
      <c r="AP353" s="318">
        <v>0</v>
      </c>
      <c r="AQ353" s="318">
        <v>0</v>
      </c>
      <c r="AR353" s="318">
        <v>0</v>
      </c>
      <c r="AS353" s="318">
        <v>0</v>
      </c>
      <c r="AT353" s="318">
        <v>0</v>
      </c>
      <c r="AU353" s="317">
        <f t="shared" si="52"/>
        <v>154.64500000000001</v>
      </c>
      <c r="AV353" s="319">
        <v>0</v>
      </c>
      <c r="AW353" s="319">
        <v>0</v>
      </c>
      <c r="AX353" s="319">
        <v>0</v>
      </c>
      <c r="AY353" s="319">
        <v>49.72</v>
      </c>
      <c r="AZ353" s="319">
        <v>58.04</v>
      </c>
      <c r="BA353" s="319">
        <v>67.554000000000002</v>
      </c>
      <c r="BB353" s="319">
        <v>0</v>
      </c>
      <c r="BC353" s="319">
        <v>0</v>
      </c>
      <c r="BD353" s="319">
        <v>0</v>
      </c>
      <c r="BE353" s="319">
        <v>0</v>
      </c>
      <c r="BF353" s="319">
        <v>0</v>
      </c>
      <c r="BG353" s="319">
        <v>0</v>
      </c>
      <c r="BH353" s="319">
        <v>0</v>
      </c>
      <c r="BI353" s="317">
        <f t="shared" si="56"/>
        <v>175.31399999999999</v>
      </c>
      <c r="BJ353" s="316">
        <v>0</v>
      </c>
      <c r="BK353" s="316">
        <v>0</v>
      </c>
      <c r="BL353" s="316">
        <v>0</v>
      </c>
      <c r="BM353" s="316">
        <v>59.189</v>
      </c>
      <c r="BN353" s="316">
        <v>72.930999999999997</v>
      </c>
      <c r="BO353" s="316">
        <v>72.228999999999999</v>
      </c>
      <c r="BP353" s="316">
        <v>0</v>
      </c>
      <c r="BQ353" s="316">
        <v>0</v>
      </c>
      <c r="BR353" s="316">
        <v>0</v>
      </c>
      <c r="BS353" s="316">
        <v>0</v>
      </c>
      <c r="BT353" s="316">
        <v>0</v>
      </c>
      <c r="BU353" s="316">
        <v>0</v>
      </c>
      <c r="BV353" s="316">
        <v>0</v>
      </c>
      <c r="BW353" s="317">
        <f t="shared" si="55"/>
        <v>204.34899999999999</v>
      </c>
    </row>
    <row r="354" spans="1:76" x14ac:dyDescent="0.2">
      <c r="A354" s="20" t="str">
        <f>'School Level Inst. Resources'!A354</f>
        <v>2301000</v>
      </c>
      <c r="B354" s="20" t="str">
        <f>'School Level Inst. Resources'!B354</f>
        <v>Weston #1</v>
      </c>
      <c r="C354" s="20" t="str">
        <f>'School Level Inst. Resources'!C354</f>
        <v>2301003</v>
      </c>
      <c r="D354" s="20" t="str">
        <f>'School Level Inst. Resources'!D354</f>
        <v>Newcastle Elementary K-2</v>
      </c>
      <c r="E354" s="138" t="str">
        <f>'School Level Inst. Resources'!E354</f>
        <v>K-2</v>
      </c>
      <c r="F354" s="317">
        <f>IF(AND($A$2=4,VLOOKUP($A354,'District Level ADM'!$A$5:$W$52,5,FALSE)="Prior Year"),AH354,IF(AND($A$2=4,VLOOKUP($A354,'District Level ADM'!$A$5:$W$52,5,FALSE)="3-Year Avg."),T354,IF($A$2=2,AH354,IF($A$2=3,T354,IF(($AG354&gt;$AU354),T354,AH354)))))</f>
        <v>62.348666666666666</v>
      </c>
      <c r="G354" s="317">
        <f>IF(AND($A$2=4,VLOOKUP($A354,'District Level ADM'!$A$5:$W$52,5,FALSE)="Prior Year"),AI354,IF(AND($A$2=4,VLOOKUP($A354,'District Level ADM'!$A$5:$W$52,5,FALSE)="3-Year Avg."),U354,IF($A$2=2,AI354,IF($A$2=3,U354,IF(($AG354&gt;$AU354),U354,AI354)))))</f>
        <v>56.258000000000003</v>
      </c>
      <c r="H354" s="317">
        <f>IF(AND($A$2=4,VLOOKUP($A354,'District Level ADM'!$A$5:$W$52,5,FALSE)="Prior Year"),AJ354,IF(AND($A$2=4,VLOOKUP($A354,'District Level ADM'!$A$5:$W$52,5,FALSE)="3-Year Avg."),V354,IF($A$2=2,AJ354,IF($A$2=3,V354,IF(($AG354&gt;$AU354),V354,AJ354)))))</f>
        <v>55.481999999999999</v>
      </c>
      <c r="I354" s="317">
        <f>IF(AND($A$2=4,VLOOKUP($A354,'District Level ADM'!$A$5:$W$52,5,FALSE)="Prior Year"),AK354,IF(AND($A$2=4,VLOOKUP($A354,'District Level ADM'!$A$5:$W$52,5,FALSE)="3-Year Avg."),W354,IF($A$2=2,AK354,IF($A$2=3,W354,IF(($AG354&gt;$AU354),W354,AK354)))))</f>
        <v>0</v>
      </c>
      <c r="J354" s="317">
        <f>IF(AND($A$2=4,VLOOKUP($A354,'District Level ADM'!$A$5:$W$52,5,FALSE)="Prior Year"),AL354,IF(AND($A$2=4,VLOOKUP($A354,'District Level ADM'!$A$5:$W$52,5,FALSE)="3-Year Avg."),X354,IF($A$2=2,AL354,IF($A$2=3,X354,IF(($AG354&gt;$AU354),X354,AL354)))))</f>
        <v>0</v>
      </c>
      <c r="K354" s="317">
        <f>IF(AND($A$2=4,VLOOKUP($A354,'District Level ADM'!$A$5:$W$52,5,FALSE)="Prior Year"),AM354,IF(AND($A$2=4,VLOOKUP($A354,'District Level ADM'!$A$5:$W$52,5,FALSE)="3-Year Avg."),Y354,IF($A$2=2,AM354,IF($A$2=3,Y354,IF(($AG354&gt;$AU354),Y354,AM354)))))</f>
        <v>0</v>
      </c>
      <c r="L354" s="317">
        <f>IF(AND($A$2=4,VLOOKUP($A354,'District Level ADM'!$A$5:$W$52,5,FALSE)="Prior Year"),AN354,IF(AND($A$2=4,VLOOKUP($A354,'District Level ADM'!$A$5:$W$52,5,FALSE)="3-Year Avg."),Z354,IF($A$2=2,AN354,IF($A$2=3,Z354,IF(($AG354&gt;$AU354),Z354,AN354)))))</f>
        <v>0</v>
      </c>
      <c r="M354" s="317">
        <f>IF(AND($A$2=4,VLOOKUP($A354,'District Level ADM'!$A$5:$W$52,5,FALSE)="Prior Year"),AO354,IF(AND($A$2=4,VLOOKUP($A354,'District Level ADM'!$A$5:$W$52,5,FALSE)="3-Year Avg."),AA354,IF($A$2=2,AO354,IF($A$2=3,AA354,IF(($AG354&gt;$AU354),AA354,AO354)))))</f>
        <v>0</v>
      </c>
      <c r="N354" s="317">
        <f>IF(AND($A$2=4,VLOOKUP($A354,'District Level ADM'!$A$5:$W$52,5,FALSE)="Prior Year"),AP354,IF(AND($A$2=4,VLOOKUP($A354,'District Level ADM'!$A$5:$W$52,5,FALSE)="3-Year Avg."),AB354,IF($A$2=2,AP354,IF($A$2=3,AB354,IF(($AG354&gt;$AU354),AB354,AP354)))))</f>
        <v>0</v>
      </c>
      <c r="O354" s="317">
        <f>IF(AND($A$2=4,VLOOKUP($A354,'District Level ADM'!$A$5:$W$52,5,FALSE)="Prior Year"),AQ354,IF(AND($A$2=4,VLOOKUP($A354,'District Level ADM'!$A$5:$W$52,5,FALSE)="3-Year Avg."),AC354,IF($A$2=2,AQ354,IF($A$2=3,AC354,IF(($AG354&gt;$AU354),AC354,AQ354)))))</f>
        <v>0</v>
      </c>
      <c r="P354" s="317">
        <f>IF(AND($A$2=4,VLOOKUP($A354,'District Level ADM'!$A$5:$W$52,5,FALSE)="Prior Year"),AR354,IF(AND($A$2=4,VLOOKUP($A354,'District Level ADM'!$A$5:$W$52,5,FALSE)="3-Year Avg."),AD354,IF($A$2=2,AR354,IF($A$2=3,AD354,IF(($AG354&gt;$AU354),AD354,AR354)))))</f>
        <v>0</v>
      </c>
      <c r="Q354" s="317">
        <f>IF(AND($A$2=4,VLOOKUP($A354,'District Level ADM'!$A$5:$W$52,5,FALSE)="Prior Year"),AS354,IF(AND($A$2=4,VLOOKUP($A354,'District Level ADM'!$A$5:$W$52,5,FALSE)="3-Year Avg."),AE354,IF($A$2=2,AS354,IF($A$2=3,AE354,IF(($AG354&gt;$AU354),AE354,AS354)))))</f>
        <v>0</v>
      </c>
      <c r="R354" s="317">
        <f>IF(AND($A$2=4,VLOOKUP($A354,'District Level ADM'!$A$5:$W$52,5,FALSE)="Prior Year"),AT354,IF(AND($A$2=4,VLOOKUP($A354,'District Level ADM'!$A$5:$W$52,5,FALSE)="3-Year Avg."),AF354,IF($A$2=2,AT354,IF($A$2=3,AF354,IF(($AG354&gt;$AU354),AF354,AT354)))))</f>
        <v>0</v>
      </c>
      <c r="S354" s="317">
        <f t="shared" si="53"/>
        <v>174.08866666666665</v>
      </c>
      <c r="T354" s="317">
        <f t="shared" si="58"/>
        <v>62.348666666666666</v>
      </c>
      <c r="U354" s="317">
        <f t="shared" si="57"/>
        <v>56.258000000000003</v>
      </c>
      <c r="V354" s="317">
        <f t="shared" si="57"/>
        <v>55.481999999999999</v>
      </c>
      <c r="W354" s="317">
        <f t="shared" si="57"/>
        <v>0</v>
      </c>
      <c r="X354" s="317">
        <f t="shared" si="57"/>
        <v>0</v>
      </c>
      <c r="Y354" s="317">
        <f t="shared" si="57"/>
        <v>0</v>
      </c>
      <c r="Z354" s="317">
        <f t="shared" si="57"/>
        <v>0</v>
      </c>
      <c r="AA354" s="317">
        <f t="shared" si="57"/>
        <v>0</v>
      </c>
      <c r="AB354" s="317">
        <f t="shared" si="57"/>
        <v>0</v>
      </c>
      <c r="AC354" s="317">
        <f t="shared" si="57"/>
        <v>0</v>
      </c>
      <c r="AD354" s="317">
        <f t="shared" si="57"/>
        <v>0</v>
      </c>
      <c r="AE354" s="317">
        <f t="shared" si="57"/>
        <v>0</v>
      </c>
      <c r="AF354" s="317">
        <f t="shared" si="57"/>
        <v>0</v>
      </c>
      <c r="AG354" s="317">
        <f t="shared" si="54"/>
        <v>174.08866666666665</v>
      </c>
      <c r="AH354" s="318">
        <v>65.995000000000005</v>
      </c>
      <c r="AI354" s="318">
        <v>56.145000000000003</v>
      </c>
      <c r="AJ354" s="318">
        <v>63.04</v>
      </c>
      <c r="AK354" s="318">
        <v>0</v>
      </c>
      <c r="AL354" s="318">
        <v>0</v>
      </c>
      <c r="AM354" s="318">
        <v>0</v>
      </c>
      <c r="AN354" s="318">
        <v>0</v>
      </c>
      <c r="AO354" s="318">
        <v>0</v>
      </c>
      <c r="AP354" s="318">
        <v>0</v>
      </c>
      <c r="AQ354" s="318">
        <v>0</v>
      </c>
      <c r="AR354" s="318">
        <v>0</v>
      </c>
      <c r="AS354" s="318">
        <v>0</v>
      </c>
      <c r="AT354" s="318">
        <v>0</v>
      </c>
      <c r="AU354" s="317">
        <f t="shared" si="52"/>
        <v>185.18</v>
      </c>
      <c r="AV354" s="319">
        <v>55.731000000000002</v>
      </c>
      <c r="AW354" s="319">
        <v>59.423000000000002</v>
      </c>
      <c r="AX354" s="319">
        <v>53.725999999999999</v>
      </c>
      <c r="AY354" s="319">
        <v>0</v>
      </c>
      <c r="AZ354" s="319">
        <v>0</v>
      </c>
      <c r="BA354" s="319">
        <v>0</v>
      </c>
      <c r="BB354" s="319">
        <v>0</v>
      </c>
      <c r="BC354" s="319">
        <v>0</v>
      </c>
      <c r="BD354" s="319">
        <v>0</v>
      </c>
      <c r="BE354" s="319">
        <v>0</v>
      </c>
      <c r="BF354" s="319">
        <v>0</v>
      </c>
      <c r="BG354" s="319">
        <v>0</v>
      </c>
      <c r="BH354" s="319">
        <v>0</v>
      </c>
      <c r="BI354" s="317">
        <f t="shared" si="56"/>
        <v>168.88</v>
      </c>
      <c r="BJ354" s="316">
        <v>65.319999999999993</v>
      </c>
      <c r="BK354" s="316">
        <v>53.206000000000003</v>
      </c>
      <c r="BL354" s="316">
        <v>49.68</v>
      </c>
      <c r="BM354" s="316">
        <v>0</v>
      </c>
      <c r="BN354" s="316">
        <v>0</v>
      </c>
      <c r="BO354" s="316">
        <v>0</v>
      </c>
      <c r="BP354" s="316">
        <v>0</v>
      </c>
      <c r="BQ354" s="316">
        <v>0</v>
      </c>
      <c r="BR354" s="316">
        <v>0</v>
      </c>
      <c r="BS354" s="316">
        <v>0</v>
      </c>
      <c r="BT354" s="316">
        <v>0</v>
      </c>
      <c r="BU354" s="316">
        <v>0</v>
      </c>
      <c r="BV354" s="316">
        <v>0</v>
      </c>
      <c r="BW354" s="317">
        <f t="shared" si="55"/>
        <v>168.20599999999999</v>
      </c>
    </row>
    <row r="355" spans="1:76" x14ac:dyDescent="0.2">
      <c r="A355" s="20" t="str">
        <f>'School Level Inst. Resources'!A355</f>
        <v>2301000</v>
      </c>
      <c r="B355" s="20" t="str">
        <f>'School Level Inst. Resources'!B355</f>
        <v>Weston #1</v>
      </c>
      <c r="C355" s="20" t="str">
        <f>'School Level Inst. Resources'!C355</f>
        <v>2301050</v>
      </c>
      <c r="D355" s="20" t="str">
        <f>'School Level Inst. Resources'!D355</f>
        <v>Newcastle Middle School</v>
      </c>
      <c r="E355" s="138" t="str">
        <f>'School Level Inst. Resources'!E355</f>
        <v>6-8</v>
      </c>
      <c r="F355" s="317">
        <f>IF(AND($A$2=4,VLOOKUP($A355,'District Level ADM'!$A$5:$W$52,5,FALSE)="Prior Year"),AH355,IF(AND($A$2=4,VLOOKUP($A355,'District Level ADM'!$A$5:$W$52,5,FALSE)="3-Year Avg."),T355,IF($A$2=2,AH355,IF($A$2=3,T355,IF(($AG355&gt;$AU355),T355,AH355)))))</f>
        <v>0</v>
      </c>
      <c r="G355" s="317">
        <f>IF(AND($A$2=4,VLOOKUP($A355,'District Level ADM'!$A$5:$W$52,5,FALSE)="Prior Year"),AI355,IF(AND($A$2=4,VLOOKUP($A355,'District Level ADM'!$A$5:$W$52,5,FALSE)="3-Year Avg."),U355,IF($A$2=2,AI355,IF($A$2=3,U355,IF(($AG355&gt;$AU355),U355,AI355)))))</f>
        <v>0</v>
      </c>
      <c r="H355" s="317">
        <f>IF(AND($A$2=4,VLOOKUP($A355,'District Level ADM'!$A$5:$W$52,5,FALSE)="Prior Year"),AJ355,IF(AND($A$2=4,VLOOKUP($A355,'District Level ADM'!$A$5:$W$52,5,FALSE)="3-Year Avg."),V355,IF($A$2=2,AJ355,IF($A$2=3,V355,IF(($AG355&gt;$AU355),V355,AJ355)))))</f>
        <v>0</v>
      </c>
      <c r="I355" s="317">
        <f>IF(AND($A$2=4,VLOOKUP($A355,'District Level ADM'!$A$5:$W$52,5,FALSE)="Prior Year"),AK355,IF(AND($A$2=4,VLOOKUP($A355,'District Level ADM'!$A$5:$W$52,5,FALSE)="3-Year Avg."),W355,IF($A$2=2,AK355,IF($A$2=3,W355,IF(($AG355&gt;$AU355),W355,AK355)))))</f>
        <v>0</v>
      </c>
      <c r="J355" s="317">
        <f>IF(AND($A$2=4,VLOOKUP($A355,'District Level ADM'!$A$5:$W$52,5,FALSE)="Prior Year"),AL355,IF(AND($A$2=4,VLOOKUP($A355,'District Level ADM'!$A$5:$W$52,5,FALSE)="3-Year Avg."),X355,IF($A$2=2,AL355,IF($A$2=3,X355,IF(($AG355&gt;$AU355),X355,AL355)))))</f>
        <v>0</v>
      </c>
      <c r="K355" s="317">
        <f>IF(AND($A$2=4,VLOOKUP($A355,'District Level ADM'!$A$5:$W$52,5,FALSE)="Prior Year"),AM355,IF(AND($A$2=4,VLOOKUP($A355,'District Level ADM'!$A$5:$W$52,5,FALSE)="3-Year Avg."),Y355,IF($A$2=2,AM355,IF($A$2=3,Y355,IF(($AG355&gt;$AU355),Y355,AM355)))))</f>
        <v>0</v>
      </c>
      <c r="L355" s="317">
        <f>IF(AND($A$2=4,VLOOKUP($A355,'District Level ADM'!$A$5:$W$52,5,FALSE)="Prior Year"),AN355,IF(AND($A$2=4,VLOOKUP($A355,'District Level ADM'!$A$5:$W$52,5,FALSE)="3-Year Avg."),Z355,IF($A$2=2,AN355,IF($A$2=3,Z355,IF(($AG355&gt;$AU355),Z355,AN355)))))</f>
        <v>68.828999999999994</v>
      </c>
      <c r="M355" s="317">
        <f>IF(AND($A$2=4,VLOOKUP($A355,'District Level ADM'!$A$5:$W$52,5,FALSE)="Prior Year"),AO355,IF(AND($A$2=4,VLOOKUP($A355,'District Level ADM'!$A$5:$W$52,5,FALSE)="3-Year Avg."),AA355,IF($A$2=2,AO355,IF($A$2=3,AA355,IF(($AG355&gt;$AU355),AA355,AO355)))))</f>
        <v>67.322000000000003</v>
      </c>
      <c r="N355" s="317">
        <f>IF(AND($A$2=4,VLOOKUP($A355,'District Level ADM'!$A$5:$W$52,5,FALSE)="Prior Year"),AP355,IF(AND($A$2=4,VLOOKUP($A355,'District Level ADM'!$A$5:$W$52,5,FALSE)="3-Year Avg."),AB355,IF($A$2=2,AP355,IF($A$2=3,AB355,IF(($AG355&gt;$AU355),AB355,AP355)))))</f>
        <v>64.828666666666663</v>
      </c>
      <c r="O355" s="317">
        <f>IF(AND($A$2=4,VLOOKUP($A355,'District Level ADM'!$A$5:$W$52,5,FALSE)="Prior Year"),AQ355,IF(AND($A$2=4,VLOOKUP($A355,'District Level ADM'!$A$5:$W$52,5,FALSE)="3-Year Avg."),AC355,IF($A$2=2,AQ355,IF($A$2=3,AC355,IF(($AG355&gt;$AU355),AC355,AQ355)))))</f>
        <v>0</v>
      </c>
      <c r="P355" s="317">
        <f>IF(AND($A$2=4,VLOOKUP($A355,'District Level ADM'!$A$5:$W$52,5,FALSE)="Prior Year"),AR355,IF(AND($A$2=4,VLOOKUP($A355,'District Level ADM'!$A$5:$W$52,5,FALSE)="3-Year Avg."),AD355,IF($A$2=2,AR355,IF($A$2=3,AD355,IF(($AG355&gt;$AU355),AD355,AR355)))))</f>
        <v>0</v>
      </c>
      <c r="Q355" s="317">
        <f>IF(AND($A$2=4,VLOOKUP($A355,'District Level ADM'!$A$5:$W$52,5,FALSE)="Prior Year"),AS355,IF(AND($A$2=4,VLOOKUP($A355,'District Level ADM'!$A$5:$W$52,5,FALSE)="3-Year Avg."),AE355,IF($A$2=2,AS355,IF($A$2=3,AE355,IF(($AG355&gt;$AU355),AE355,AS355)))))</f>
        <v>0</v>
      </c>
      <c r="R355" s="317">
        <f>IF(AND($A$2=4,VLOOKUP($A355,'District Level ADM'!$A$5:$W$52,5,FALSE)="Prior Year"),AT355,IF(AND($A$2=4,VLOOKUP($A355,'District Level ADM'!$A$5:$W$52,5,FALSE)="3-Year Avg."),AF355,IF($A$2=2,AT355,IF($A$2=3,AF355,IF(($AG355&gt;$AU355),AF355,AT355)))))</f>
        <v>0</v>
      </c>
      <c r="S355" s="317">
        <f t="shared" si="53"/>
        <v>200.97966666666667</v>
      </c>
      <c r="T355" s="317">
        <f t="shared" si="58"/>
        <v>0</v>
      </c>
      <c r="U355" s="317">
        <f t="shared" si="57"/>
        <v>0</v>
      </c>
      <c r="V355" s="317">
        <f t="shared" si="57"/>
        <v>0</v>
      </c>
      <c r="W355" s="317">
        <f t="shared" si="57"/>
        <v>0</v>
      </c>
      <c r="X355" s="317">
        <f t="shared" si="57"/>
        <v>0</v>
      </c>
      <c r="Y355" s="317">
        <f t="shared" si="57"/>
        <v>0</v>
      </c>
      <c r="Z355" s="317">
        <f t="shared" si="57"/>
        <v>68.828999999999994</v>
      </c>
      <c r="AA355" s="317">
        <f t="shared" si="57"/>
        <v>67.322000000000003</v>
      </c>
      <c r="AB355" s="317">
        <f t="shared" si="57"/>
        <v>64.828666666666663</v>
      </c>
      <c r="AC355" s="317">
        <f t="shared" si="57"/>
        <v>0</v>
      </c>
      <c r="AD355" s="317">
        <f t="shared" si="57"/>
        <v>0</v>
      </c>
      <c r="AE355" s="317">
        <f t="shared" si="57"/>
        <v>0</v>
      </c>
      <c r="AF355" s="317">
        <f t="shared" si="57"/>
        <v>0</v>
      </c>
      <c r="AG355" s="317">
        <f t="shared" si="54"/>
        <v>200.97966666666667</v>
      </c>
      <c r="AH355" s="318">
        <v>0</v>
      </c>
      <c r="AI355" s="318">
        <v>0</v>
      </c>
      <c r="AJ355" s="318">
        <v>0</v>
      </c>
      <c r="AK355" s="318">
        <v>0</v>
      </c>
      <c r="AL355" s="318">
        <v>0</v>
      </c>
      <c r="AM355" s="318">
        <v>0</v>
      </c>
      <c r="AN355" s="318">
        <v>65.995000000000005</v>
      </c>
      <c r="AO355" s="318">
        <v>58.115000000000002</v>
      </c>
      <c r="AP355" s="318">
        <v>74.86</v>
      </c>
      <c r="AQ355" s="318">
        <v>0</v>
      </c>
      <c r="AR355" s="318">
        <v>0</v>
      </c>
      <c r="AS355" s="318">
        <v>0</v>
      </c>
      <c r="AT355" s="318">
        <v>0</v>
      </c>
      <c r="AU355" s="317">
        <f t="shared" si="52"/>
        <v>198.97000000000003</v>
      </c>
      <c r="AV355" s="319">
        <v>0</v>
      </c>
      <c r="AW355" s="319">
        <v>0</v>
      </c>
      <c r="AX355" s="319">
        <v>0</v>
      </c>
      <c r="AY355" s="319">
        <v>0</v>
      </c>
      <c r="AZ355" s="319">
        <v>0</v>
      </c>
      <c r="BA355" s="319">
        <v>0</v>
      </c>
      <c r="BB355" s="319">
        <v>64.909000000000006</v>
      </c>
      <c r="BC355" s="319">
        <v>74.370999999999995</v>
      </c>
      <c r="BD355" s="319">
        <v>65.36</v>
      </c>
      <c r="BE355" s="319">
        <v>0</v>
      </c>
      <c r="BF355" s="319">
        <v>0</v>
      </c>
      <c r="BG355" s="319">
        <v>0</v>
      </c>
      <c r="BH355" s="319">
        <v>0</v>
      </c>
      <c r="BI355" s="317">
        <f t="shared" si="56"/>
        <v>204.64</v>
      </c>
      <c r="BJ355" s="316">
        <v>0</v>
      </c>
      <c r="BK355" s="316">
        <v>0</v>
      </c>
      <c r="BL355" s="316">
        <v>0</v>
      </c>
      <c r="BM355" s="316">
        <v>0</v>
      </c>
      <c r="BN355" s="316">
        <v>0</v>
      </c>
      <c r="BO355" s="316">
        <v>0</v>
      </c>
      <c r="BP355" s="316">
        <v>75.582999999999998</v>
      </c>
      <c r="BQ355" s="316">
        <v>69.48</v>
      </c>
      <c r="BR355" s="316">
        <v>54.265999999999998</v>
      </c>
      <c r="BS355" s="316">
        <v>0</v>
      </c>
      <c r="BT355" s="316">
        <v>0</v>
      </c>
      <c r="BU355" s="316">
        <v>0</v>
      </c>
      <c r="BV355" s="316">
        <v>0</v>
      </c>
      <c r="BW355" s="317">
        <f t="shared" si="55"/>
        <v>199.32899999999998</v>
      </c>
    </row>
    <row r="356" spans="1:76" x14ac:dyDescent="0.2">
      <c r="A356" s="20" t="str">
        <f>'School Level Inst. Resources'!A356</f>
        <v>2301000</v>
      </c>
      <c r="B356" s="20" t="str">
        <f>'School Level Inst. Resources'!B356</f>
        <v>Weston #1</v>
      </c>
      <c r="C356" s="20" t="str">
        <f>'School Level Inst. Resources'!C356</f>
        <v>2301055</v>
      </c>
      <c r="D356" s="20" t="str">
        <f>'School Level Inst. Resources'!D356</f>
        <v>Newcastle High School</v>
      </c>
      <c r="E356" s="138" t="str">
        <f>'School Level Inst. Resources'!E356</f>
        <v>9-12</v>
      </c>
      <c r="F356" s="317">
        <f>IF(AND($A$2=4,VLOOKUP($A356,'District Level ADM'!$A$5:$W$52,5,FALSE)="Prior Year"),AH356,IF(AND($A$2=4,VLOOKUP($A356,'District Level ADM'!$A$5:$W$52,5,FALSE)="3-Year Avg."),T356,IF($A$2=2,AH356,IF($A$2=3,T356,IF(($AG356&gt;$AU356),T356,AH356)))))</f>
        <v>0</v>
      </c>
      <c r="G356" s="317">
        <f>IF(AND($A$2=4,VLOOKUP($A356,'District Level ADM'!$A$5:$W$52,5,FALSE)="Prior Year"),AI356,IF(AND($A$2=4,VLOOKUP($A356,'District Level ADM'!$A$5:$W$52,5,FALSE)="3-Year Avg."),U356,IF($A$2=2,AI356,IF($A$2=3,U356,IF(($AG356&gt;$AU356),U356,AI356)))))</f>
        <v>0</v>
      </c>
      <c r="H356" s="317">
        <f>IF(AND($A$2=4,VLOOKUP($A356,'District Level ADM'!$A$5:$W$52,5,FALSE)="Prior Year"),AJ356,IF(AND($A$2=4,VLOOKUP($A356,'District Level ADM'!$A$5:$W$52,5,FALSE)="3-Year Avg."),V356,IF($A$2=2,AJ356,IF($A$2=3,V356,IF(($AG356&gt;$AU356),V356,AJ356)))))</f>
        <v>0</v>
      </c>
      <c r="I356" s="317">
        <f>IF(AND($A$2=4,VLOOKUP($A356,'District Level ADM'!$A$5:$W$52,5,FALSE)="Prior Year"),AK356,IF(AND($A$2=4,VLOOKUP($A356,'District Level ADM'!$A$5:$W$52,5,FALSE)="3-Year Avg."),W356,IF($A$2=2,AK356,IF($A$2=3,W356,IF(($AG356&gt;$AU356),W356,AK356)))))</f>
        <v>0</v>
      </c>
      <c r="J356" s="317">
        <f>IF(AND($A$2=4,VLOOKUP($A356,'District Level ADM'!$A$5:$W$52,5,FALSE)="Prior Year"),AL356,IF(AND($A$2=4,VLOOKUP($A356,'District Level ADM'!$A$5:$W$52,5,FALSE)="3-Year Avg."),X356,IF($A$2=2,AL356,IF($A$2=3,X356,IF(($AG356&gt;$AU356),X356,AL356)))))</f>
        <v>0</v>
      </c>
      <c r="K356" s="317">
        <f>IF(AND($A$2=4,VLOOKUP($A356,'District Level ADM'!$A$5:$W$52,5,FALSE)="Prior Year"),AM356,IF(AND($A$2=4,VLOOKUP($A356,'District Level ADM'!$A$5:$W$52,5,FALSE)="3-Year Avg."),Y356,IF($A$2=2,AM356,IF($A$2=3,Y356,IF(($AG356&gt;$AU356),Y356,AM356)))))</f>
        <v>0</v>
      </c>
      <c r="L356" s="317">
        <f>IF(AND($A$2=4,VLOOKUP($A356,'District Level ADM'!$A$5:$W$52,5,FALSE)="Prior Year"),AN356,IF(AND($A$2=4,VLOOKUP($A356,'District Level ADM'!$A$5:$W$52,5,FALSE)="3-Year Avg."),Z356,IF($A$2=2,AN356,IF($A$2=3,Z356,IF(($AG356&gt;$AU356),Z356,AN356)))))</f>
        <v>0</v>
      </c>
      <c r="M356" s="317">
        <f>IF(AND($A$2=4,VLOOKUP($A356,'District Level ADM'!$A$5:$W$52,5,FALSE)="Prior Year"),AO356,IF(AND($A$2=4,VLOOKUP($A356,'District Level ADM'!$A$5:$W$52,5,FALSE)="3-Year Avg."),AA356,IF($A$2=2,AO356,IF($A$2=3,AA356,IF(($AG356&gt;$AU356),AA356,AO356)))))</f>
        <v>0</v>
      </c>
      <c r="N356" s="317">
        <f>IF(AND($A$2=4,VLOOKUP($A356,'District Level ADM'!$A$5:$W$52,5,FALSE)="Prior Year"),AP356,IF(AND($A$2=4,VLOOKUP($A356,'District Level ADM'!$A$5:$W$52,5,FALSE)="3-Year Avg."),AB356,IF($A$2=2,AP356,IF($A$2=3,AB356,IF(($AG356&gt;$AU356),AB356,AP356)))))</f>
        <v>0</v>
      </c>
      <c r="O356" s="317">
        <f>IF(AND($A$2=4,VLOOKUP($A356,'District Level ADM'!$A$5:$W$52,5,FALSE)="Prior Year"),AQ356,IF(AND($A$2=4,VLOOKUP($A356,'District Level ADM'!$A$5:$W$52,5,FALSE)="3-Year Avg."),AC356,IF($A$2=2,AQ356,IF($A$2=3,AC356,IF(($AG356&gt;$AU356),AC356,AQ356)))))</f>
        <v>58.330999999999996</v>
      </c>
      <c r="P356" s="317">
        <f>IF(AND($A$2=4,VLOOKUP($A356,'District Level ADM'!$A$5:$W$52,5,FALSE)="Prior Year"),AR356,IF(AND($A$2=4,VLOOKUP($A356,'District Level ADM'!$A$5:$W$52,5,FALSE)="3-Year Avg."),AD356,IF($A$2=2,AR356,IF($A$2=3,AD356,IF(($AG356&gt;$AU356),AD356,AR356)))))</f>
        <v>50.991666666666667</v>
      </c>
      <c r="Q356" s="317">
        <f>IF(AND($A$2=4,VLOOKUP($A356,'District Level ADM'!$A$5:$W$52,5,FALSE)="Prior Year"),AS356,IF(AND($A$2=4,VLOOKUP($A356,'District Level ADM'!$A$5:$W$52,5,FALSE)="3-Year Avg."),AE356,IF($A$2=2,AS356,IF($A$2=3,AE356,IF(($AG356&gt;$AU356),AE356,AS356)))))</f>
        <v>51.367333333333335</v>
      </c>
      <c r="R356" s="317">
        <f>IF(AND($A$2=4,VLOOKUP($A356,'District Level ADM'!$A$5:$W$52,5,FALSE)="Prior Year"),AT356,IF(AND($A$2=4,VLOOKUP($A356,'District Level ADM'!$A$5:$W$52,5,FALSE)="3-Year Avg."),AF356,IF($A$2=2,AT356,IF($A$2=3,AF356,IF(($AG356&gt;$AU356),AF356,AT356)))))</f>
        <v>51.395000000000003</v>
      </c>
      <c r="S356" s="317">
        <f t="shared" si="53"/>
        <v>212.08500000000001</v>
      </c>
      <c r="T356" s="317">
        <f t="shared" si="58"/>
        <v>0</v>
      </c>
      <c r="U356" s="317">
        <f t="shared" si="57"/>
        <v>0</v>
      </c>
      <c r="V356" s="317">
        <f t="shared" si="57"/>
        <v>0</v>
      </c>
      <c r="W356" s="317">
        <f t="shared" si="57"/>
        <v>0</v>
      </c>
      <c r="X356" s="317">
        <f t="shared" si="57"/>
        <v>0</v>
      </c>
      <c r="Y356" s="317">
        <f t="shared" si="57"/>
        <v>0</v>
      </c>
      <c r="Z356" s="317">
        <f t="shared" si="57"/>
        <v>0</v>
      </c>
      <c r="AA356" s="317">
        <f t="shared" si="57"/>
        <v>0</v>
      </c>
      <c r="AB356" s="317">
        <f t="shared" si="57"/>
        <v>0</v>
      </c>
      <c r="AC356" s="317">
        <f t="shared" si="57"/>
        <v>58.330999999999996</v>
      </c>
      <c r="AD356" s="317">
        <f t="shared" si="57"/>
        <v>50.991666666666667</v>
      </c>
      <c r="AE356" s="317">
        <f t="shared" si="57"/>
        <v>51.367333333333335</v>
      </c>
      <c r="AF356" s="317">
        <f t="shared" si="57"/>
        <v>51.395000000000003</v>
      </c>
      <c r="AG356" s="317">
        <f t="shared" si="54"/>
        <v>212.08500000000001</v>
      </c>
      <c r="AH356" s="318">
        <v>0</v>
      </c>
      <c r="AI356" s="318">
        <v>0</v>
      </c>
      <c r="AJ356" s="318">
        <v>0</v>
      </c>
      <c r="AK356" s="318">
        <v>0</v>
      </c>
      <c r="AL356" s="318">
        <v>0</v>
      </c>
      <c r="AM356" s="318">
        <v>0</v>
      </c>
      <c r="AN356" s="318">
        <v>0</v>
      </c>
      <c r="AO356" s="318">
        <v>0</v>
      </c>
      <c r="AP356" s="318">
        <v>0</v>
      </c>
      <c r="AQ356" s="318">
        <v>61.07</v>
      </c>
      <c r="AR356" s="318">
        <v>51.22</v>
      </c>
      <c r="AS356" s="318">
        <v>56.145000000000003</v>
      </c>
      <c r="AT356" s="318">
        <v>35.46</v>
      </c>
      <c r="AU356" s="317">
        <f t="shared" si="52"/>
        <v>203.89500000000001</v>
      </c>
      <c r="AV356" s="319">
        <v>0</v>
      </c>
      <c r="AW356" s="319">
        <v>0</v>
      </c>
      <c r="AX356" s="319">
        <v>0</v>
      </c>
      <c r="AY356" s="319">
        <v>0</v>
      </c>
      <c r="AZ356" s="319">
        <v>0</v>
      </c>
      <c r="BA356" s="319">
        <v>0</v>
      </c>
      <c r="BB356" s="319">
        <v>0</v>
      </c>
      <c r="BC356" s="319">
        <v>0</v>
      </c>
      <c r="BD356" s="319">
        <v>0</v>
      </c>
      <c r="BE356" s="319">
        <v>53.9</v>
      </c>
      <c r="BF356" s="319">
        <v>60.948999999999998</v>
      </c>
      <c r="BG356" s="319">
        <v>35.445999999999998</v>
      </c>
      <c r="BH356" s="319">
        <v>58.314</v>
      </c>
      <c r="BI356" s="317">
        <f t="shared" si="56"/>
        <v>208.60899999999998</v>
      </c>
      <c r="BJ356" s="316">
        <v>0</v>
      </c>
      <c r="BK356" s="316">
        <v>0</v>
      </c>
      <c r="BL356" s="316">
        <v>0</v>
      </c>
      <c r="BM356" s="316">
        <v>0</v>
      </c>
      <c r="BN356" s="316">
        <v>0</v>
      </c>
      <c r="BO356" s="316">
        <v>0</v>
      </c>
      <c r="BP356" s="316">
        <v>0</v>
      </c>
      <c r="BQ356" s="316">
        <v>0</v>
      </c>
      <c r="BR356" s="316">
        <v>0</v>
      </c>
      <c r="BS356" s="316">
        <v>60.023000000000003</v>
      </c>
      <c r="BT356" s="316">
        <v>40.805999999999997</v>
      </c>
      <c r="BU356" s="316">
        <v>62.511000000000003</v>
      </c>
      <c r="BV356" s="316">
        <v>60.411000000000001</v>
      </c>
      <c r="BW356" s="317">
        <f t="shared" si="55"/>
        <v>223.751</v>
      </c>
    </row>
    <row r="357" spans="1:76" x14ac:dyDescent="0.2">
      <c r="A357" s="20" t="str">
        <f>'School Level Inst. Resources'!A357</f>
        <v>2307000</v>
      </c>
      <c r="B357" s="20" t="str">
        <f>'School Level Inst. Resources'!B357</f>
        <v>Weston #7</v>
      </c>
      <c r="C357" s="20" t="str">
        <f>'School Level Inst. Resources'!C357</f>
        <v>2307001</v>
      </c>
      <c r="D357" s="20" t="str">
        <f>'School Level Inst. Resources'!D357</f>
        <v>Upton Elementary</v>
      </c>
      <c r="E357" s="138" t="str">
        <f>'School Level Inst. Resources'!E357</f>
        <v>K-5</v>
      </c>
      <c r="F357" s="317">
        <f>IF(AND($A$2=4,VLOOKUP($A357,'District Level ADM'!$A$5:$W$52,5,FALSE)="Prior Year"),AH357,IF(AND($A$2=4,VLOOKUP($A357,'District Level ADM'!$A$5:$W$52,5,FALSE)="3-Year Avg."),T357,IF($A$2=2,AH357,IF($A$2=3,T357,IF(($AG357&gt;$AU357),T357,AH357)))))</f>
        <v>19.485666666666667</v>
      </c>
      <c r="G357" s="317">
        <f>IF(AND($A$2=4,VLOOKUP($A357,'District Level ADM'!$A$5:$W$52,5,FALSE)="Prior Year"),AI357,IF(AND($A$2=4,VLOOKUP($A357,'District Level ADM'!$A$5:$W$52,5,FALSE)="3-Year Avg."),U357,IF($A$2=2,AI357,IF($A$2=3,U357,IF(($AG357&gt;$AU357),U357,AI357)))))</f>
        <v>21.916666666666668</v>
      </c>
      <c r="H357" s="317">
        <f>IF(AND($A$2=4,VLOOKUP($A357,'District Level ADM'!$A$5:$W$52,5,FALSE)="Prior Year"),AJ357,IF(AND($A$2=4,VLOOKUP($A357,'District Level ADM'!$A$5:$W$52,5,FALSE)="3-Year Avg."),V357,IF($A$2=2,AJ357,IF($A$2=3,V357,IF(($AG357&gt;$AU357),V357,AJ357)))))</f>
        <v>22.780666666666665</v>
      </c>
      <c r="I357" s="317">
        <f>IF(AND($A$2=4,VLOOKUP($A357,'District Level ADM'!$A$5:$W$52,5,FALSE)="Prior Year"),AK357,IF(AND($A$2=4,VLOOKUP($A357,'District Level ADM'!$A$5:$W$52,5,FALSE)="3-Year Avg."),W357,IF($A$2=2,AK357,IF($A$2=3,W357,IF(($AG357&gt;$AU357),W357,AK357)))))</f>
        <v>21.955666666666669</v>
      </c>
      <c r="J357" s="317">
        <f>IF(AND($A$2=4,VLOOKUP($A357,'District Level ADM'!$A$5:$W$52,5,FALSE)="Prior Year"),AL357,IF(AND($A$2=4,VLOOKUP($A357,'District Level ADM'!$A$5:$W$52,5,FALSE)="3-Year Avg."),X357,IF($A$2=2,AL357,IF($A$2=3,X357,IF(($AG357&gt;$AU357),X357,AL357)))))</f>
        <v>20.157333333333334</v>
      </c>
      <c r="K357" s="317">
        <f>IF(AND($A$2=4,VLOOKUP($A357,'District Level ADM'!$A$5:$W$52,5,FALSE)="Prior Year"),AM357,IF(AND($A$2=4,VLOOKUP($A357,'District Level ADM'!$A$5:$W$52,5,FALSE)="3-Year Avg."),Y357,IF($A$2=2,AM357,IF($A$2=3,Y357,IF(($AG357&gt;$AU357),Y357,AM357)))))</f>
        <v>16.945</v>
      </c>
      <c r="L357" s="317">
        <f>IF(AND($A$2=4,VLOOKUP($A357,'District Level ADM'!$A$5:$W$52,5,FALSE)="Prior Year"),AN357,IF(AND($A$2=4,VLOOKUP($A357,'District Level ADM'!$A$5:$W$52,5,FALSE)="3-Year Avg."),Z357,IF($A$2=2,AN357,IF($A$2=3,Z357,IF(($AG357&gt;$AU357),Z357,AN357)))))</f>
        <v>0</v>
      </c>
      <c r="M357" s="317">
        <f>IF(AND($A$2=4,VLOOKUP($A357,'District Level ADM'!$A$5:$W$52,5,FALSE)="Prior Year"),AO357,IF(AND($A$2=4,VLOOKUP($A357,'District Level ADM'!$A$5:$W$52,5,FALSE)="3-Year Avg."),AA357,IF($A$2=2,AO357,IF($A$2=3,AA357,IF(($AG357&gt;$AU357),AA357,AO357)))))</f>
        <v>0</v>
      </c>
      <c r="N357" s="317">
        <f>IF(AND($A$2=4,VLOOKUP($A357,'District Level ADM'!$A$5:$W$52,5,FALSE)="Prior Year"),AP357,IF(AND($A$2=4,VLOOKUP($A357,'District Level ADM'!$A$5:$W$52,5,FALSE)="3-Year Avg."),AB357,IF($A$2=2,AP357,IF($A$2=3,AB357,IF(($AG357&gt;$AU357),AB357,AP357)))))</f>
        <v>0</v>
      </c>
      <c r="O357" s="317">
        <f>IF(AND($A$2=4,VLOOKUP($A357,'District Level ADM'!$A$5:$W$52,5,FALSE)="Prior Year"),AQ357,IF(AND($A$2=4,VLOOKUP($A357,'District Level ADM'!$A$5:$W$52,5,FALSE)="3-Year Avg."),AC357,IF($A$2=2,AQ357,IF($A$2=3,AC357,IF(($AG357&gt;$AU357),AC357,AQ357)))))</f>
        <v>0</v>
      </c>
      <c r="P357" s="317">
        <f>IF(AND($A$2=4,VLOOKUP($A357,'District Level ADM'!$A$5:$W$52,5,FALSE)="Prior Year"),AR357,IF(AND($A$2=4,VLOOKUP($A357,'District Level ADM'!$A$5:$W$52,5,FALSE)="3-Year Avg."),AD357,IF($A$2=2,AR357,IF($A$2=3,AD357,IF(($AG357&gt;$AU357),AD357,AR357)))))</f>
        <v>0</v>
      </c>
      <c r="Q357" s="317">
        <f>IF(AND($A$2=4,VLOOKUP($A357,'District Level ADM'!$A$5:$W$52,5,FALSE)="Prior Year"),AS357,IF(AND($A$2=4,VLOOKUP($A357,'District Level ADM'!$A$5:$W$52,5,FALSE)="3-Year Avg."),AE357,IF($A$2=2,AS357,IF($A$2=3,AE357,IF(($AG357&gt;$AU357),AE357,AS357)))))</f>
        <v>0</v>
      </c>
      <c r="R357" s="317">
        <f>IF(AND($A$2=4,VLOOKUP($A357,'District Level ADM'!$A$5:$W$52,5,FALSE)="Prior Year"),AT357,IF(AND($A$2=4,VLOOKUP($A357,'District Level ADM'!$A$5:$W$52,5,FALSE)="3-Year Avg."),AF357,IF($A$2=2,AT357,IF($A$2=3,AF357,IF(($AG357&gt;$AU357),AF357,AT357)))))</f>
        <v>0</v>
      </c>
      <c r="S357" s="317">
        <f t="shared" si="53"/>
        <v>123.24099999999999</v>
      </c>
      <c r="T357" s="317">
        <f t="shared" si="58"/>
        <v>19.485666666666667</v>
      </c>
      <c r="U357" s="317">
        <f t="shared" si="57"/>
        <v>21.916666666666668</v>
      </c>
      <c r="V357" s="317">
        <f t="shared" si="57"/>
        <v>22.780666666666665</v>
      </c>
      <c r="W357" s="317">
        <f t="shared" si="57"/>
        <v>21.955666666666669</v>
      </c>
      <c r="X357" s="317">
        <f t="shared" si="57"/>
        <v>20.157333333333334</v>
      </c>
      <c r="Y357" s="317">
        <f t="shared" si="57"/>
        <v>16.945</v>
      </c>
      <c r="Z357" s="317">
        <f t="shared" si="57"/>
        <v>0</v>
      </c>
      <c r="AA357" s="317">
        <f t="shared" si="57"/>
        <v>0</v>
      </c>
      <c r="AB357" s="317">
        <f t="shared" si="57"/>
        <v>0</v>
      </c>
      <c r="AC357" s="317">
        <f t="shared" si="57"/>
        <v>0</v>
      </c>
      <c r="AD357" s="317">
        <f t="shared" si="57"/>
        <v>0</v>
      </c>
      <c r="AE357" s="317">
        <f t="shared" si="57"/>
        <v>0</v>
      </c>
      <c r="AF357" s="317">
        <f t="shared" si="57"/>
        <v>0</v>
      </c>
      <c r="AG357" s="317">
        <f t="shared" si="54"/>
        <v>123.24099999999999</v>
      </c>
      <c r="AH357" s="318">
        <v>15.76</v>
      </c>
      <c r="AI357" s="318">
        <v>21.67</v>
      </c>
      <c r="AJ357" s="318">
        <v>20.684999999999999</v>
      </c>
      <c r="AK357" s="318">
        <v>22.655000000000001</v>
      </c>
      <c r="AL357" s="318">
        <v>22.655000000000001</v>
      </c>
      <c r="AM357" s="318">
        <v>18.715</v>
      </c>
      <c r="AN357" s="318">
        <v>0</v>
      </c>
      <c r="AO357" s="318">
        <v>0</v>
      </c>
      <c r="AP357" s="318">
        <v>0</v>
      </c>
      <c r="AQ357" s="318">
        <v>0</v>
      </c>
      <c r="AR357" s="318">
        <v>0</v>
      </c>
      <c r="AS357" s="318">
        <v>0</v>
      </c>
      <c r="AT357" s="318">
        <v>0</v>
      </c>
      <c r="AU357" s="317">
        <f t="shared" si="52"/>
        <v>122.14</v>
      </c>
      <c r="AV357" s="319">
        <v>22.873999999999999</v>
      </c>
      <c r="AW357" s="319">
        <v>19.509</v>
      </c>
      <c r="AX357" s="319">
        <v>23.28</v>
      </c>
      <c r="AY357" s="319">
        <v>22.422999999999998</v>
      </c>
      <c r="AZ357" s="319">
        <v>18.811</v>
      </c>
      <c r="BA357" s="319">
        <v>19.12</v>
      </c>
      <c r="BB357" s="319">
        <v>0</v>
      </c>
      <c r="BC357" s="319">
        <v>0</v>
      </c>
      <c r="BD357" s="319">
        <v>0</v>
      </c>
      <c r="BE357" s="319">
        <v>0</v>
      </c>
      <c r="BF357" s="319">
        <v>0</v>
      </c>
      <c r="BG357" s="319">
        <v>0</v>
      </c>
      <c r="BH357" s="319">
        <v>0</v>
      </c>
      <c r="BI357" s="317">
        <f t="shared" si="56"/>
        <v>126.017</v>
      </c>
      <c r="BJ357" s="316">
        <v>19.823</v>
      </c>
      <c r="BK357" s="316">
        <v>24.571000000000002</v>
      </c>
      <c r="BL357" s="316">
        <v>24.376999999999999</v>
      </c>
      <c r="BM357" s="316">
        <v>20.789000000000001</v>
      </c>
      <c r="BN357" s="316">
        <v>19.006</v>
      </c>
      <c r="BO357" s="316">
        <v>13</v>
      </c>
      <c r="BP357" s="316">
        <v>0</v>
      </c>
      <c r="BQ357" s="316">
        <v>0</v>
      </c>
      <c r="BR357" s="316">
        <v>0</v>
      </c>
      <c r="BS357" s="316">
        <v>0</v>
      </c>
      <c r="BT357" s="316">
        <v>0</v>
      </c>
      <c r="BU357" s="316">
        <v>0</v>
      </c>
      <c r="BV357" s="316">
        <v>0</v>
      </c>
      <c r="BW357" s="317">
        <f t="shared" si="55"/>
        <v>121.566</v>
      </c>
    </row>
    <row r="358" spans="1:76" x14ac:dyDescent="0.2">
      <c r="A358" s="20" t="str">
        <f>'School Level Inst. Resources'!A358</f>
        <v>2307000</v>
      </c>
      <c r="B358" s="20" t="str">
        <f>'School Level Inst. Resources'!B358</f>
        <v>Weston #7</v>
      </c>
      <c r="C358" s="20" t="str">
        <f>'School Level Inst. Resources'!C358</f>
        <v>2307050</v>
      </c>
      <c r="D358" s="20" t="str">
        <f>'School Level Inst. Resources'!D358</f>
        <v>Upton Middle School</v>
      </c>
      <c r="E358" s="138" t="str">
        <f>'School Level Inst. Resources'!E358</f>
        <v>6-8</v>
      </c>
      <c r="F358" s="317">
        <f>IF(AND($A$2=4,VLOOKUP($A358,'District Level ADM'!$A$5:$W$52,5,FALSE)="Prior Year"),AH358,IF(AND($A$2=4,VLOOKUP($A358,'District Level ADM'!$A$5:$W$52,5,FALSE)="3-Year Avg."),T358,IF($A$2=2,AH358,IF($A$2=3,T358,IF(($AG358&gt;$AU358),T358,AH358)))))</f>
        <v>0</v>
      </c>
      <c r="G358" s="317">
        <f>IF(AND($A$2=4,VLOOKUP($A358,'District Level ADM'!$A$5:$W$52,5,FALSE)="Prior Year"),AI358,IF(AND($A$2=4,VLOOKUP($A358,'District Level ADM'!$A$5:$W$52,5,FALSE)="3-Year Avg."),U358,IF($A$2=2,AI358,IF($A$2=3,U358,IF(($AG358&gt;$AU358),U358,AI358)))))</f>
        <v>0</v>
      </c>
      <c r="H358" s="317">
        <f>IF(AND($A$2=4,VLOOKUP($A358,'District Level ADM'!$A$5:$W$52,5,FALSE)="Prior Year"),AJ358,IF(AND($A$2=4,VLOOKUP($A358,'District Level ADM'!$A$5:$W$52,5,FALSE)="3-Year Avg."),V358,IF($A$2=2,AJ358,IF($A$2=3,V358,IF(($AG358&gt;$AU358),V358,AJ358)))))</f>
        <v>0</v>
      </c>
      <c r="I358" s="317">
        <f>IF(AND($A$2=4,VLOOKUP($A358,'District Level ADM'!$A$5:$W$52,5,FALSE)="Prior Year"),AK358,IF(AND($A$2=4,VLOOKUP($A358,'District Level ADM'!$A$5:$W$52,5,FALSE)="3-Year Avg."),W358,IF($A$2=2,AK358,IF($A$2=3,W358,IF(($AG358&gt;$AU358),W358,AK358)))))</f>
        <v>0</v>
      </c>
      <c r="J358" s="317">
        <f>IF(AND($A$2=4,VLOOKUP($A358,'District Level ADM'!$A$5:$W$52,5,FALSE)="Prior Year"),AL358,IF(AND($A$2=4,VLOOKUP($A358,'District Level ADM'!$A$5:$W$52,5,FALSE)="3-Year Avg."),X358,IF($A$2=2,AL358,IF($A$2=3,X358,IF(($AG358&gt;$AU358),X358,AL358)))))</f>
        <v>0</v>
      </c>
      <c r="K358" s="317">
        <f>IF(AND($A$2=4,VLOOKUP($A358,'District Level ADM'!$A$5:$W$52,5,FALSE)="Prior Year"),AM358,IF(AND($A$2=4,VLOOKUP($A358,'District Level ADM'!$A$5:$W$52,5,FALSE)="3-Year Avg."),Y358,IF($A$2=2,AM358,IF($A$2=3,Y358,IF(($AG358&gt;$AU358),Y358,AM358)))))</f>
        <v>0</v>
      </c>
      <c r="L358" s="317">
        <f>IF(AND($A$2=4,VLOOKUP($A358,'District Level ADM'!$A$5:$W$52,5,FALSE)="Prior Year"),AN358,IF(AND($A$2=4,VLOOKUP($A358,'District Level ADM'!$A$5:$W$52,5,FALSE)="3-Year Avg."),Z358,IF($A$2=2,AN358,IF($A$2=3,Z358,IF(($AG358&gt;$AU358),Z358,AN358)))))</f>
        <v>17.082999999999998</v>
      </c>
      <c r="M358" s="317">
        <f>IF(AND($A$2=4,VLOOKUP($A358,'District Level ADM'!$A$5:$W$52,5,FALSE)="Prior Year"),AO358,IF(AND($A$2=4,VLOOKUP($A358,'District Level ADM'!$A$5:$W$52,5,FALSE)="3-Year Avg."),AA358,IF($A$2=2,AO358,IF($A$2=3,AA358,IF(($AG358&gt;$AU358),AA358,AO358)))))</f>
        <v>16.918666666666667</v>
      </c>
      <c r="N358" s="317">
        <f>IF(AND($A$2=4,VLOOKUP($A358,'District Level ADM'!$A$5:$W$52,5,FALSE)="Prior Year"),AP358,IF(AND($A$2=4,VLOOKUP($A358,'District Level ADM'!$A$5:$W$52,5,FALSE)="3-Year Avg."),AB358,IF($A$2=2,AP358,IF($A$2=3,AB358,IF(($AG358&gt;$AU358),AB358,AP358)))))</f>
        <v>17.809000000000001</v>
      </c>
      <c r="O358" s="317">
        <f>IF(AND($A$2=4,VLOOKUP($A358,'District Level ADM'!$A$5:$W$52,5,FALSE)="Prior Year"),AQ358,IF(AND($A$2=4,VLOOKUP($A358,'District Level ADM'!$A$5:$W$52,5,FALSE)="3-Year Avg."),AC358,IF($A$2=2,AQ358,IF($A$2=3,AC358,IF(($AG358&gt;$AU358),AC358,AQ358)))))</f>
        <v>0</v>
      </c>
      <c r="P358" s="317">
        <f>IF(AND($A$2=4,VLOOKUP($A358,'District Level ADM'!$A$5:$W$52,5,FALSE)="Prior Year"),AR358,IF(AND($A$2=4,VLOOKUP($A358,'District Level ADM'!$A$5:$W$52,5,FALSE)="3-Year Avg."),AD358,IF($A$2=2,AR358,IF($A$2=3,AD358,IF(($AG358&gt;$AU358),AD358,AR358)))))</f>
        <v>0</v>
      </c>
      <c r="Q358" s="317">
        <f>IF(AND($A$2=4,VLOOKUP($A358,'District Level ADM'!$A$5:$W$52,5,FALSE)="Prior Year"),AS358,IF(AND($A$2=4,VLOOKUP($A358,'District Level ADM'!$A$5:$W$52,5,FALSE)="3-Year Avg."),AE358,IF($A$2=2,AS358,IF($A$2=3,AE358,IF(($AG358&gt;$AU358),AE358,AS358)))))</f>
        <v>0</v>
      </c>
      <c r="R358" s="317">
        <f>IF(AND($A$2=4,VLOOKUP($A358,'District Level ADM'!$A$5:$W$52,5,FALSE)="Prior Year"),AT358,IF(AND($A$2=4,VLOOKUP($A358,'District Level ADM'!$A$5:$W$52,5,FALSE)="3-Year Avg."),AF358,IF($A$2=2,AT358,IF($A$2=3,AF358,IF(($AG358&gt;$AU358),AF358,AT358)))))</f>
        <v>0</v>
      </c>
      <c r="S358" s="317">
        <f t="shared" si="53"/>
        <v>51.810666666666663</v>
      </c>
      <c r="T358" s="317">
        <f t="shared" si="58"/>
        <v>0</v>
      </c>
      <c r="U358" s="317">
        <f t="shared" si="58"/>
        <v>0</v>
      </c>
      <c r="V358" s="317">
        <f t="shared" si="58"/>
        <v>0</v>
      </c>
      <c r="W358" s="317">
        <f t="shared" si="58"/>
        <v>0</v>
      </c>
      <c r="X358" s="317">
        <f t="shared" si="58"/>
        <v>0</v>
      </c>
      <c r="Y358" s="317">
        <f t="shared" si="58"/>
        <v>0</v>
      </c>
      <c r="Z358" s="317">
        <f t="shared" si="58"/>
        <v>17.082999999999998</v>
      </c>
      <c r="AA358" s="317">
        <f t="shared" si="58"/>
        <v>16.918666666666667</v>
      </c>
      <c r="AB358" s="317">
        <f t="shared" si="58"/>
        <v>17.809000000000001</v>
      </c>
      <c r="AC358" s="317">
        <f t="shared" si="58"/>
        <v>0</v>
      </c>
      <c r="AD358" s="317">
        <f t="shared" si="58"/>
        <v>0</v>
      </c>
      <c r="AE358" s="317">
        <f t="shared" si="58"/>
        <v>0</v>
      </c>
      <c r="AF358" s="317">
        <f t="shared" si="58"/>
        <v>0</v>
      </c>
      <c r="AG358" s="317">
        <f t="shared" si="54"/>
        <v>51.810666666666663</v>
      </c>
      <c r="AH358" s="318">
        <v>0</v>
      </c>
      <c r="AI358" s="318">
        <v>0</v>
      </c>
      <c r="AJ358" s="318">
        <v>0</v>
      </c>
      <c r="AK358" s="318">
        <v>0</v>
      </c>
      <c r="AL358" s="318">
        <v>0</v>
      </c>
      <c r="AM358" s="318">
        <v>0</v>
      </c>
      <c r="AN358" s="318">
        <v>19.7</v>
      </c>
      <c r="AO358" s="318">
        <v>13.79</v>
      </c>
      <c r="AP358" s="318">
        <v>17.73</v>
      </c>
      <c r="AQ358" s="318">
        <v>0</v>
      </c>
      <c r="AR358" s="318">
        <v>0</v>
      </c>
      <c r="AS358" s="318">
        <v>0</v>
      </c>
      <c r="AT358" s="318">
        <v>0</v>
      </c>
      <c r="AU358" s="317">
        <f t="shared" si="52"/>
        <v>51.22</v>
      </c>
      <c r="AV358" s="319">
        <v>0</v>
      </c>
      <c r="AW358" s="319">
        <v>0</v>
      </c>
      <c r="AX358" s="319">
        <v>0</v>
      </c>
      <c r="AY358" s="319">
        <v>0</v>
      </c>
      <c r="AZ358" s="319">
        <v>0</v>
      </c>
      <c r="BA358" s="319">
        <v>0</v>
      </c>
      <c r="BB358" s="319">
        <v>12</v>
      </c>
      <c r="BC358" s="319">
        <v>17.817</v>
      </c>
      <c r="BD358" s="319">
        <v>18.742999999999999</v>
      </c>
      <c r="BE358" s="319">
        <v>0</v>
      </c>
      <c r="BF358" s="319">
        <v>0</v>
      </c>
      <c r="BG358" s="319">
        <v>0</v>
      </c>
      <c r="BH358" s="319">
        <v>0</v>
      </c>
      <c r="BI358" s="317">
        <f t="shared" si="56"/>
        <v>48.56</v>
      </c>
      <c r="BJ358" s="316">
        <v>0</v>
      </c>
      <c r="BK358" s="316">
        <v>0</v>
      </c>
      <c r="BL358" s="316">
        <v>0</v>
      </c>
      <c r="BM358" s="316">
        <v>0</v>
      </c>
      <c r="BN358" s="316">
        <v>0</v>
      </c>
      <c r="BO358" s="316">
        <v>0</v>
      </c>
      <c r="BP358" s="316">
        <v>19.548999999999999</v>
      </c>
      <c r="BQ358" s="316">
        <v>19.149000000000001</v>
      </c>
      <c r="BR358" s="316">
        <v>16.954000000000001</v>
      </c>
      <c r="BS358" s="316">
        <v>0</v>
      </c>
      <c r="BT358" s="316">
        <v>0</v>
      </c>
      <c r="BU358" s="316">
        <v>0</v>
      </c>
      <c r="BV358" s="316">
        <v>0</v>
      </c>
      <c r="BW358" s="317">
        <f t="shared" si="55"/>
        <v>55.652000000000001</v>
      </c>
    </row>
    <row r="359" spans="1:76" x14ac:dyDescent="0.2">
      <c r="A359" s="20" t="str">
        <f>'School Level Inst. Resources'!A359</f>
        <v>2307000</v>
      </c>
      <c r="B359" s="20" t="str">
        <f>'School Level Inst. Resources'!B359</f>
        <v>Weston #7</v>
      </c>
      <c r="C359" s="20" t="str">
        <f>'School Level Inst. Resources'!C359</f>
        <v>2307055</v>
      </c>
      <c r="D359" s="20" t="str">
        <f>'School Level Inst. Resources'!D359</f>
        <v>Upton High School</v>
      </c>
      <c r="E359" s="138" t="str">
        <f>'School Level Inst. Resources'!E359</f>
        <v>9-12</v>
      </c>
      <c r="F359" s="317">
        <f>IF(AND($A$2=4,VLOOKUP($A359,'District Level ADM'!$A$5:$W$52,5,FALSE)="Prior Year"),AH359,IF(AND($A$2=4,VLOOKUP($A359,'District Level ADM'!$A$5:$W$52,5,FALSE)="3-Year Avg."),T359,IF($A$2=2,AH359,IF($A$2=3,T359,IF(($AG359&gt;$AU359),T359,AH359)))))</f>
        <v>0</v>
      </c>
      <c r="G359" s="317">
        <f>IF(AND($A$2=4,VLOOKUP($A359,'District Level ADM'!$A$5:$W$52,5,FALSE)="Prior Year"),AI359,IF(AND($A$2=4,VLOOKUP($A359,'District Level ADM'!$A$5:$W$52,5,FALSE)="3-Year Avg."),U359,IF($A$2=2,AI359,IF($A$2=3,U359,IF(($AG359&gt;$AU359),U359,AI359)))))</f>
        <v>0</v>
      </c>
      <c r="H359" s="317">
        <f>IF(AND($A$2=4,VLOOKUP($A359,'District Level ADM'!$A$5:$W$52,5,FALSE)="Prior Year"),AJ359,IF(AND($A$2=4,VLOOKUP($A359,'District Level ADM'!$A$5:$W$52,5,FALSE)="3-Year Avg."),V359,IF($A$2=2,AJ359,IF($A$2=3,V359,IF(($AG359&gt;$AU359),V359,AJ359)))))</f>
        <v>0</v>
      </c>
      <c r="I359" s="317">
        <f>IF(AND($A$2=4,VLOOKUP($A359,'District Level ADM'!$A$5:$W$52,5,FALSE)="Prior Year"),AK359,IF(AND($A$2=4,VLOOKUP($A359,'District Level ADM'!$A$5:$W$52,5,FALSE)="3-Year Avg."),W359,IF($A$2=2,AK359,IF($A$2=3,W359,IF(($AG359&gt;$AU359),W359,AK359)))))</f>
        <v>0</v>
      </c>
      <c r="J359" s="317">
        <f>IF(AND($A$2=4,VLOOKUP($A359,'District Level ADM'!$A$5:$W$52,5,FALSE)="Prior Year"),AL359,IF(AND($A$2=4,VLOOKUP($A359,'District Level ADM'!$A$5:$W$52,5,FALSE)="3-Year Avg."),X359,IF($A$2=2,AL359,IF($A$2=3,X359,IF(($AG359&gt;$AU359),X359,AL359)))))</f>
        <v>0</v>
      </c>
      <c r="K359" s="317">
        <f>IF(AND($A$2=4,VLOOKUP($A359,'District Level ADM'!$A$5:$W$52,5,FALSE)="Prior Year"),AM359,IF(AND($A$2=4,VLOOKUP($A359,'District Level ADM'!$A$5:$W$52,5,FALSE)="3-Year Avg."),Y359,IF($A$2=2,AM359,IF($A$2=3,Y359,IF(($AG359&gt;$AU359),Y359,AM359)))))</f>
        <v>0</v>
      </c>
      <c r="L359" s="317">
        <f>IF(AND($A$2=4,VLOOKUP($A359,'District Level ADM'!$A$5:$W$52,5,FALSE)="Prior Year"),AN359,IF(AND($A$2=4,VLOOKUP($A359,'District Level ADM'!$A$5:$W$52,5,FALSE)="3-Year Avg."),Z359,IF($A$2=2,AN359,IF($A$2=3,Z359,IF(($AG359&gt;$AU359),Z359,AN359)))))</f>
        <v>0</v>
      </c>
      <c r="M359" s="317">
        <f>IF(AND($A$2=4,VLOOKUP($A359,'District Level ADM'!$A$5:$W$52,5,FALSE)="Prior Year"),AO359,IF(AND($A$2=4,VLOOKUP($A359,'District Level ADM'!$A$5:$W$52,5,FALSE)="3-Year Avg."),AA359,IF($A$2=2,AO359,IF($A$2=3,AA359,IF(($AG359&gt;$AU359),AA359,AO359)))))</f>
        <v>0</v>
      </c>
      <c r="N359" s="317">
        <f>IF(AND($A$2=4,VLOOKUP($A359,'District Level ADM'!$A$5:$W$52,5,FALSE)="Prior Year"),AP359,IF(AND($A$2=4,VLOOKUP($A359,'District Level ADM'!$A$5:$W$52,5,FALSE)="3-Year Avg."),AB359,IF($A$2=2,AP359,IF($A$2=3,AB359,IF(($AG359&gt;$AU359),AB359,AP359)))))</f>
        <v>0</v>
      </c>
      <c r="O359" s="317">
        <f>IF(AND($A$2=4,VLOOKUP($A359,'District Level ADM'!$A$5:$W$52,5,FALSE)="Prior Year"),AQ359,IF(AND($A$2=4,VLOOKUP($A359,'District Level ADM'!$A$5:$W$52,5,FALSE)="3-Year Avg."),AC359,IF($A$2=2,AQ359,IF($A$2=3,AC359,IF(($AG359&gt;$AU359),AC359,AQ359)))))</f>
        <v>22.249333333333329</v>
      </c>
      <c r="P359" s="317">
        <f>IF(AND($A$2=4,VLOOKUP($A359,'District Level ADM'!$A$5:$W$52,5,FALSE)="Prior Year"),AR359,IF(AND($A$2=4,VLOOKUP($A359,'District Level ADM'!$A$5:$W$52,5,FALSE)="3-Year Avg."),AD359,IF($A$2=2,AR359,IF($A$2=3,AD359,IF(($AG359&gt;$AU359),AD359,AR359)))))</f>
        <v>20.849</v>
      </c>
      <c r="Q359" s="317">
        <f>IF(AND($A$2=4,VLOOKUP($A359,'District Level ADM'!$A$5:$W$52,5,FALSE)="Prior Year"),AS359,IF(AND($A$2=4,VLOOKUP($A359,'District Level ADM'!$A$5:$W$52,5,FALSE)="3-Year Avg."),AE359,IF($A$2=2,AS359,IF($A$2=3,AE359,IF(($AG359&gt;$AU359),AE359,AS359)))))</f>
        <v>19.522333333333336</v>
      </c>
      <c r="R359" s="317">
        <f>IF(AND($A$2=4,VLOOKUP($A359,'District Level ADM'!$A$5:$W$52,5,FALSE)="Prior Year"),AT359,IF(AND($A$2=4,VLOOKUP($A359,'District Level ADM'!$A$5:$W$52,5,FALSE)="3-Year Avg."),AF359,IF($A$2=2,AT359,IF($A$2=3,AF359,IF(($AG359&gt;$AU359),AF359,AT359)))))</f>
        <v>18.239333333333335</v>
      </c>
      <c r="S359" s="317">
        <f t="shared" si="53"/>
        <v>80.86</v>
      </c>
      <c r="T359" s="317">
        <f t="shared" si="58"/>
        <v>0</v>
      </c>
      <c r="U359" s="317">
        <f t="shared" si="58"/>
        <v>0</v>
      </c>
      <c r="V359" s="317">
        <f t="shared" si="58"/>
        <v>0</v>
      </c>
      <c r="W359" s="317">
        <f t="shared" si="58"/>
        <v>0</v>
      </c>
      <c r="X359" s="317">
        <f t="shared" si="58"/>
        <v>0</v>
      </c>
      <c r="Y359" s="317">
        <f t="shared" si="58"/>
        <v>0</v>
      </c>
      <c r="Z359" s="317">
        <f t="shared" si="58"/>
        <v>0</v>
      </c>
      <c r="AA359" s="317">
        <f t="shared" si="58"/>
        <v>0</v>
      </c>
      <c r="AB359" s="317">
        <f t="shared" si="58"/>
        <v>0</v>
      </c>
      <c r="AC359" s="317">
        <f t="shared" si="58"/>
        <v>22.249333333333329</v>
      </c>
      <c r="AD359" s="317">
        <f t="shared" si="58"/>
        <v>20.849</v>
      </c>
      <c r="AE359" s="317">
        <f t="shared" si="58"/>
        <v>19.522333333333336</v>
      </c>
      <c r="AF359" s="317">
        <f t="shared" si="58"/>
        <v>18.239333333333335</v>
      </c>
      <c r="AG359" s="317">
        <f t="shared" si="54"/>
        <v>80.86</v>
      </c>
      <c r="AH359" s="318">
        <v>0</v>
      </c>
      <c r="AI359" s="318">
        <v>0</v>
      </c>
      <c r="AJ359" s="318">
        <v>0</v>
      </c>
      <c r="AK359" s="318">
        <v>0</v>
      </c>
      <c r="AL359" s="318">
        <v>0</v>
      </c>
      <c r="AM359" s="318">
        <v>0</v>
      </c>
      <c r="AN359" s="318">
        <v>0</v>
      </c>
      <c r="AO359" s="318">
        <v>0</v>
      </c>
      <c r="AP359" s="318">
        <v>0</v>
      </c>
      <c r="AQ359" s="318">
        <v>20.684999999999999</v>
      </c>
      <c r="AR359" s="318">
        <v>17.73</v>
      </c>
      <c r="AS359" s="318">
        <v>18.715</v>
      </c>
      <c r="AT359" s="318">
        <v>19.7</v>
      </c>
      <c r="AU359" s="317">
        <f t="shared" si="52"/>
        <v>76.83</v>
      </c>
      <c r="AV359" s="319">
        <v>0</v>
      </c>
      <c r="AW359" s="319">
        <v>0</v>
      </c>
      <c r="AX359" s="319">
        <v>0</v>
      </c>
      <c r="AY359" s="319">
        <v>0</v>
      </c>
      <c r="AZ359" s="319">
        <v>0</v>
      </c>
      <c r="BA359" s="319">
        <v>0</v>
      </c>
      <c r="BB359" s="319">
        <v>0</v>
      </c>
      <c r="BC359" s="319">
        <v>0</v>
      </c>
      <c r="BD359" s="319">
        <v>0</v>
      </c>
      <c r="BE359" s="319">
        <v>17.245999999999999</v>
      </c>
      <c r="BF359" s="319">
        <v>21.234000000000002</v>
      </c>
      <c r="BG359" s="319">
        <v>21.789000000000001</v>
      </c>
      <c r="BH359" s="319">
        <v>16.149000000000001</v>
      </c>
      <c r="BI359" s="317">
        <f t="shared" si="56"/>
        <v>76.418000000000006</v>
      </c>
      <c r="BJ359" s="316">
        <v>0</v>
      </c>
      <c r="BK359" s="316">
        <v>0</v>
      </c>
      <c r="BL359" s="316">
        <v>0</v>
      </c>
      <c r="BM359" s="316">
        <v>0</v>
      </c>
      <c r="BN359" s="316">
        <v>0</v>
      </c>
      <c r="BO359" s="316">
        <v>0</v>
      </c>
      <c r="BP359" s="316">
        <v>0</v>
      </c>
      <c r="BQ359" s="316">
        <v>0</v>
      </c>
      <c r="BR359" s="316">
        <v>0</v>
      </c>
      <c r="BS359" s="316">
        <v>28.817</v>
      </c>
      <c r="BT359" s="316">
        <v>23.582999999999998</v>
      </c>
      <c r="BU359" s="316">
        <v>18.062999999999999</v>
      </c>
      <c r="BV359" s="316">
        <v>18.869</v>
      </c>
      <c r="BW359" s="317">
        <f t="shared" si="55"/>
        <v>89.331999999999994</v>
      </c>
    </row>
    <row r="360" spans="1:76" x14ac:dyDescent="0.2">
      <c r="E360" s="142"/>
      <c r="F360" s="321"/>
      <c r="G360" s="321"/>
      <c r="H360" s="321"/>
      <c r="I360" s="321"/>
      <c r="J360" s="321"/>
      <c r="K360" s="321"/>
      <c r="L360" s="321"/>
      <c r="M360" s="321"/>
      <c r="N360" s="321"/>
      <c r="O360" s="321"/>
      <c r="P360" s="321"/>
      <c r="Q360" s="321"/>
      <c r="R360" s="321"/>
      <c r="S360" s="321"/>
      <c r="T360" s="321"/>
      <c r="U360" s="321"/>
      <c r="V360" s="321"/>
      <c r="W360" s="321"/>
      <c r="X360" s="321"/>
      <c r="Y360" s="321"/>
      <c r="Z360" s="321"/>
      <c r="AA360" s="321"/>
      <c r="AB360" s="321"/>
      <c r="AC360" s="321"/>
      <c r="AD360" s="321"/>
      <c r="AE360" s="321"/>
      <c r="AF360" s="321"/>
      <c r="AG360" s="321"/>
      <c r="AH360" s="321"/>
      <c r="AI360" s="321"/>
      <c r="AJ360" s="321"/>
      <c r="AK360" s="321"/>
      <c r="AL360" s="321"/>
      <c r="AM360" s="321"/>
      <c r="AN360" s="321"/>
      <c r="AO360" s="321"/>
      <c r="AP360" s="321"/>
      <c r="AQ360" s="321"/>
      <c r="AR360" s="321"/>
      <c r="AS360" s="321"/>
      <c r="AT360" s="321"/>
      <c r="AU360" s="321"/>
      <c r="AV360" s="321"/>
      <c r="AW360" s="321"/>
      <c r="AX360" s="321"/>
      <c r="AY360" s="321"/>
      <c r="AZ360" s="321"/>
      <c r="BA360" s="321"/>
      <c r="BB360" s="321"/>
      <c r="BC360" s="321"/>
      <c r="BD360" s="321"/>
      <c r="BE360" s="321"/>
      <c r="BF360" s="321"/>
      <c r="BG360" s="321"/>
      <c r="BH360" s="321"/>
      <c r="BI360" s="321"/>
      <c r="BJ360" s="321"/>
      <c r="BK360" s="321"/>
      <c r="BL360" s="321"/>
      <c r="BM360" s="321"/>
      <c r="BN360" s="321"/>
      <c r="BO360" s="321"/>
      <c r="BP360" s="321"/>
      <c r="BQ360" s="321"/>
      <c r="BR360" s="321"/>
      <c r="BS360" s="321"/>
      <c r="BT360" s="321"/>
      <c r="BU360" s="321"/>
      <c r="BV360" s="321"/>
      <c r="BW360" s="321"/>
    </row>
    <row r="361" spans="1:76" ht="13.5" thickBot="1" x14ac:dyDescent="0.25">
      <c r="E361" s="142"/>
      <c r="F361" s="322">
        <f t="shared" ref="F361:AK361" si="59">SUM(F5:F359)</f>
        <v>7515.1586444444429</v>
      </c>
      <c r="G361" s="322">
        <f t="shared" si="59"/>
        <v>7147.7913111111111</v>
      </c>
      <c r="H361" s="322">
        <f t="shared" si="59"/>
        <v>7307.4113111111119</v>
      </c>
      <c r="I361" s="322">
        <f t="shared" si="59"/>
        <v>7454.7439777777772</v>
      </c>
      <c r="J361" s="322">
        <f t="shared" si="59"/>
        <v>7443.6216444444444</v>
      </c>
      <c r="K361" s="322">
        <f t="shared" si="59"/>
        <v>7464.1634444444444</v>
      </c>
      <c r="L361" s="322">
        <f t="shared" si="59"/>
        <v>7334.2973333333321</v>
      </c>
      <c r="M361" s="322">
        <f t="shared" si="59"/>
        <v>7189.5673333333352</v>
      </c>
      <c r="N361" s="322">
        <f t="shared" si="59"/>
        <v>7013.9939999999997</v>
      </c>
      <c r="O361" s="322">
        <f t="shared" si="59"/>
        <v>7194.9036666666652</v>
      </c>
      <c r="P361" s="322">
        <f t="shared" si="59"/>
        <v>6721.4253333333327</v>
      </c>
      <c r="Q361" s="322">
        <f t="shared" si="59"/>
        <v>6412.5329999999994</v>
      </c>
      <c r="R361" s="322">
        <f t="shared" si="59"/>
        <v>6169.6840000000011</v>
      </c>
      <c r="S361" s="322">
        <f t="shared" si="59"/>
        <v>92369.294999999955</v>
      </c>
      <c r="T361" s="322">
        <f t="shared" si="59"/>
        <v>7526.5846444444451</v>
      </c>
      <c r="U361" s="322">
        <f t="shared" si="59"/>
        <v>7260.7036444444466</v>
      </c>
      <c r="V361" s="322">
        <f t="shared" si="59"/>
        <v>7372.6883111111119</v>
      </c>
      <c r="W361" s="322">
        <f t="shared" si="59"/>
        <v>7513.2266444444431</v>
      </c>
      <c r="X361" s="322">
        <f t="shared" si="59"/>
        <v>7499.29031111111</v>
      </c>
      <c r="Y361" s="322">
        <f t="shared" si="59"/>
        <v>7401.3874444444436</v>
      </c>
      <c r="Z361" s="322">
        <f t="shared" si="59"/>
        <v>7225.150333333333</v>
      </c>
      <c r="AA361" s="322">
        <f t="shared" si="59"/>
        <v>7111.8490000000029</v>
      </c>
      <c r="AB361" s="322">
        <f t="shared" si="59"/>
        <v>6942.9666666666644</v>
      </c>
      <c r="AC361" s="322">
        <f t="shared" si="59"/>
        <v>7114.3083333333316</v>
      </c>
      <c r="AD361" s="322">
        <f t="shared" si="59"/>
        <v>6728.0039999999999</v>
      </c>
      <c r="AE361" s="322">
        <f t="shared" si="59"/>
        <v>6301.5173333333323</v>
      </c>
      <c r="AF361" s="322">
        <f t="shared" si="59"/>
        <v>6058.5803333333333</v>
      </c>
      <c r="AG361" s="322">
        <f t="shared" si="59"/>
        <v>92056.257000000071</v>
      </c>
      <c r="AH361" s="322">
        <f t="shared" si="59"/>
        <v>7341.2049999999954</v>
      </c>
      <c r="AI361" s="322">
        <f t="shared" si="59"/>
        <v>6992.5149999999994</v>
      </c>
      <c r="AJ361" s="322">
        <f t="shared" si="59"/>
        <v>7052.600000000004</v>
      </c>
      <c r="AK361" s="322">
        <f t="shared" si="59"/>
        <v>7279.15</v>
      </c>
      <c r="AL361" s="322">
        <f t="shared" ref="AL361:BW361" si="60">SUM(AL5:AL359)</f>
        <v>7400.3049999999985</v>
      </c>
      <c r="AM361" s="322">
        <f t="shared" si="60"/>
        <v>7463.3449999999966</v>
      </c>
      <c r="AN361" s="322">
        <f t="shared" si="60"/>
        <v>7311.654999999997</v>
      </c>
      <c r="AO361" s="322">
        <f t="shared" si="60"/>
        <v>7220.0500000000011</v>
      </c>
      <c r="AP361" s="322">
        <f t="shared" si="60"/>
        <v>6922.5800000000008</v>
      </c>
      <c r="AQ361" s="322">
        <f t="shared" si="60"/>
        <v>7239.7499999999973</v>
      </c>
      <c r="AR361" s="322">
        <f t="shared" si="60"/>
        <v>6687.1730000000025</v>
      </c>
      <c r="AS361" s="322">
        <f t="shared" si="60"/>
        <v>6435.9900000000007</v>
      </c>
      <c r="AT361" s="322">
        <f t="shared" si="60"/>
        <v>6236.5960000000014</v>
      </c>
      <c r="AU361" s="322">
        <f t="shared" si="60"/>
        <v>91582.914000000048</v>
      </c>
      <c r="AV361" s="322">
        <f t="shared" si="60"/>
        <v>7528.4719333333333</v>
      </c>
      <c r="AW361" s="322">
        <f t="shared" si="60"/>
        <v>7235.5419333333284</v>
      </c>
      <c r="AX361" s="322">
        <f t="shared" si="60"/>
        <v>7385.7539333333316</v>
      </c>
      <c r="AY361" s="322">
        <f t="shared" si="60"/>
        <v>7552.0049333333327</v>
      </c>
      <c r="AZ361" s="322">
        <f t="shared" si="60"/>
        <v>7601.6029333333308</v>
      </c>
      <c r="BA361" s="322">
        <f t="shared" si="60"/>
        <v>7399.4573333333319</v>
      </c>
      <c r="BB361" s="322">
        <f t="shared" si="60"/>
        <v>7291.4169999999976</v>
      </c>
      <c r="BC361" s="322">
        <f t="shared" si="60"/>
        <v>7005.9950000000008</v>
      </c>
      <c r="BD361" s="322">
        <f t="shared" si="60"/>
        <v>7062.4589999999989</v>
      </c>
      <c r="BE361" s="322">
        <f t="shared" si="60"/>
        <v>7009.3639999999987</v>
      </c>
      <c r="BF361" s="322">
        <f t="shared" si="60"/>
        <v>6749.1470000000018</v>
      </c>
      <c r="BG361" s="322">
        <f t="shared" si="60"/>
        <v>6270.6219999999994</v>
      </c>
      <c r="BH361" s="322">
        <f t="shared" si="60"/>
        <v>5942.2109999999993</v>
      </c>
      <c r="BI361" s="322">
        <f t="shared" si="60"/>
        <v>92034.047999999952</v>
      </c>
      <c r="BJ361" s="322">
        <f t="shared" si="60"/>
        <v>7710.0770000000075</v>
      </c>
      <c r="BK361" s="322">
        <f t="shared" si="60"/>
        <v>7554.0539999999964</v>
      </c>
      <c r="BL361" s="322">
        <f t="shared" si="60"/>
        <v>7679.7109999999975</v>
      </c>
      <c r="BM361" s="322">
        <f t="shared" si="60"/>
        <v>7708.5249999999987</v>
      </c>
      <c r="BN361" s="322">
        <f t="shared" si="60"/>
        <v>7495.9629999999979</v>
      </c>
      <c r="BO361" s="322">
        <f t="shared" si="60"/>
        <v>7341.3600000000006</v>
      </c>
      <c r="BP361" s="322">
        <f t="shared" si="60"/>
        <v>7072.3790000000008</v>
      </c>
      <c r="BQ361" s="322">
        <f t="shared" si="60"/>
        <v>7109.5020000000013</v>
      </c>
      <c r="BR361" s="322">
        <f t="shared" si="60"/>
        <v>6843.8609999999962</v>
      </c>
      <c r="BS361" s="322">
        <f t="shared" si="60"/>
        <v>7093.8110000000033</v>
      </c>
      <c r="BT361" s="322">
        <f t="shared" si="60"/>
        <v>6747.6919999999964</v>
      </c>
      <c r="BU361" s="322">
        <f t="shared" si="60"/>
        <v>6197.9400000000005</v>
      </c>
      <c r="BV361" s="322">
        <f t="shared" si="60"/>
        <v>5996.9339999999984</v>
      </c>
      <c r="BW361" s="322">
        <f t="shared" si="60"/>
        <v>92551.808999999979</v>
      </c>
    </row>
    <row r="362" spans="1:76" ht="13.5" thickTop="1" x14ac:dyDescent="0.2">
      <c r="E362" s="142"/>
    </row>
    <row r="363" spans="1:76" x14ac:dyDescent="0.2">
      <c r="E363" s="142"/>
      <c r="BW363" t="s">
        <v>2348</v>
      </c>
      <c r="BX363" s="323" t="e">
        <f>#REF!/SUM(#REF!)</f>
        <v>#REF!</v>
      </c>
    </row>
    <row r="364" spans="1:76" x14ac:dyDescent="0.2">
      <c r="E364" s="142"/>
      <c r="BW364" t="s">
        <v>2349</v>
      </c>
      <c r="BX364" s="323" t="e">
        <f>#REF!/SUM(#REF!)</f>
        <v>#REF!</v>
      </c>
    </row>
    <row r="365" spans="1:76" x14ac:dyDescent="0.2">
      <c r="E365" s="142"/>
      <c r="BJ365" s="304"/>
      <c r="BK365" s="304"/>
      <c r="BL365" s="304"/>
      <c r="BM365" s="304"/>
      <c r="BN365" s="304"/>
      <c r="BO365" s="304"/>
      <c r="BP365" s="304"/>
      <c r="BQ365" s="304"/>
      <c r="BR365" s="304"/>
      <c r="BS365" s="304"/>
      <c r="BT365" s="304"/>
      <c r="BU365" s="304"/>
      <c r="BV365" s="304"/>
    </row>
    <row r="366" spans="1:76" x14ac:dyDescent="0.2">
      <c r="E366" s="142"/>
    </row>
    <row r="367" spans="1:76" x14ac:dyDescent="0.2">
      <c r="E367" s="142"/>
    </row>
    <row r="368" spans="1:76" x14ac:dyDescent="0.2">
      <c r="E368" s="142"/>
    </row>
    <row r="369" spans="5:5" x14ac:dyDescent="0.2">
      <c r="E369" s="142"/>
    </row>
    <row r="370" spans="5:5" x14ac:dyDescent="0.2">
      <c r="E370" s="142"/>
    </row>
    <row r="371" spans="5:5" x14ac:dyDescent="0.2">
      <c r="E371" s="142"/>
    </row>
    <row r="372" spans="5:5" x14ac:dyDescent="0.2">
      <c r="E372" s="142"/>
    </row>
    <row r="373" spans="5:5" x14ac:dyDescent="0.2">
      <c r="E373" s="142"/>
    </row>
    <row r="374" spans="5:5" x14ac:dyDescent="0.2">
      <c r="E374" s="142"/>
    </row>
    <row r="375" spans="5:5" x14ac:dyDescent="0.2">
      <c r="E375" s="142"/>
    </row>
    <row r="376" spans="5:5" x14ac:dyDescent="0.2">
      <c r="E376" s="142"/>
    </row>
    <row r="377" spans="5:5" x14ac:dyDescent="0.2">
      <c r="E377" s="142"/>
    </row>
    <row r="378" spans="5:5" x14ac:dyDescent="0.2">
      <c r="E378" s="142"/>
    </row>
    <row r="379" spans="5:5" x14ac:dyDescent="0.2">
      <c r="E379" s="142"/>
    </row>
    <row r="380" spans="5:5" x14ac:dyDescent="0.2">
      <c r="E380" s="142"/>
    </row>
    <row r="381" spans="5:5" x14ac:dyDescent="0.2">
      <c r="E381" s="142"/>
    </row>
    <row r="382" spans="5:5" x14ac:dyDescent="0.2">
      <c r="E382" s="142"/>
    </row>
    <row r="383" spans="5:5" x14ac:dyDescent="0.2">
      <c r="E383" s="142"/>
    </row>
    <row r="384" spans="5:5" x14ac:dyDescent="0.2">
      <c r="E384" s="142"/>
    </row>
    <row r="385" spans="5:5" x14ac:dyDescent="0.2">
      <c r="E385" s="142"/>
    </row>
    <row r="386" spans="5:5" x14ac:dyDescent="0.2">
      <c r="E386" s="142"/>
    </row>
    <row r="387" spans="5:5" x14ac:dyDescent="0.2">
      <c r="E387" s="142"/>
    </row>
    <row r="388" spans="5:5" x14ac:dyDescent="0.2">
      <c r="E388" s="142"/>
    </row>
    <row r="389" spans="5:5" x14ac:dyDescent="0.2">
      <c r="E389" s="142"/>
    </row>
    <row r="390" spans="5:5" x14ac:dyDescent="0.2">
      <c r="E390" s="142"/>
    </row>
    <row r="391" spans="5:5" x14ac:dyDescent="0.2">
      <c r="E391" s="142"/>
    </row>
    <row r="392" spans="5:5" x14ac:dyDescent="0.2">
      <c r="E392" s="142"/>
    </row>
    <row r="393" spans="5:5" x14ac:dyDescent="0.2">
      <c r="E393" s="142"/>
    </row>
    <row r="394" spans="5:5" x14ac:dyDescent="0.2">
      <c r="E394" s="142"/>
    </row>
  </sheetData>
  <sheetProtection algorithmName="SHA-512" hashValue="oe67jUBwrz/g96EYwS9D4wt2pP7KZ8lGGVqNGbSgItQLJviD7oQNYTJt8dtBqfggaIhdtoTlQErlS6+AOL8Xtg==" saltValue="U5As4l4Cdx+a5eV4Ka2lwg==" spinCount="100000" sheet="1" objects="1" scenarios="1"/>
  <mergeCells count="2">
    <mergeCell ref="A1:E1"/>
    <mergeCell ref="B2:H2"/>
  </mergeCells>
  <pageMargins left="0.5" right="0.5" top="0.5" bottom="0.5" header="0.25" footer="0.25"/>
  <pageSetup scale="66" fitToWidth="7" fitToHeight="17" orientation="landscape" r:id="rId1"/>
  <headerFooter>
    <oddHeader>&amp;L&amp;"Calibri,Bold"&amp;12School Level Average Daily Membership Worksheet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364"/>
  <sheetViews>
    <sheetView showGridLines="0" zoomScale="85" zoomScaleNormal="85" zoomScalePageLayoutView="85" workbookViewId="0">
      <pane xSplit="5" ySplit="4" topLeftCell="F5" activePane="bottomRight" state="frozen"/>
      <selection sqref="A1:M1"/>
      <selection pane="topRight" sqref="A1:M1"/>
      <selection pane="bottomLeft" sqref="A1:M1"/>
      <selection pane="bottomRight" sqref="A1:E1"/>
    </sheetView>
  </sheetViews>
  <sheetFormatPr defaultColWidth="8.85546875" defaultRowHeight="12.75" x14ac:dyDescent="0.2"/>
  <cols>
    <col min="1" max="1" width="10.7109375" customWidth="1"/>
    <col min="2" max="2" width="15.28515625" customWidth="1"/>
    <col min="3" max="3" width="10.7109375" customWidth="1"/>
    <col min="4" max="4" width="33.140625" customWidth="1"/>
    <col min="5" max="5" width="10.7109375" style="142" customWidth="1"/>
    <col min="6" max="19" width="10.7109375" customWidth="1"/>
    <col min="20" max="20" width="1.7109375" style="73" customWidth="1"/>
    <col min="21" max="34" width="10.7109375" customWidth="1"/>
  </cols>
  <sheetData>
    <row r="1" spans="1:34" ht="15.75" x14ac:dyDescent="0.25">
      <c r="A1" s="479" t="s">
        <v>2350</v>
      </c>
      <c r="B1" s="479"/>
      <c r="C1" s="479"/>
      <c r="D1" s="479"/>
      <c r="E1" s="479"/>
      <c r="G1" s="304"/>
      <c r="H1" s="304"/>
      <c r="I1" s="304"/>
      <c r="V1" s="304"/>
      <c r="W1" s="304"/>
      <c r="X1" s="304"/>
    </row>
    <row r="2" spans="1:34" ht="15" x14ac:dyDescent="0.25">
      <c r="A2" s="305"/>
      <c r="B2" s="489"/>
      <c r="C2" s="489"/>
      <c r="D2" s="489"/>
      <c r="E2" s="489"/>
    </row>
    <row r="3" spans="1:34" x14ac:dyDescent="0.2">
      <c r="A3" s="128"/>
      <c r="B3" s="128"/>
      <c r="C3" s="128"/>
      <c r="D3" s="128"/>
      <c r="E3" s="128"/>
      <c r="F3" s="304"/>
      <c r="G3" s="304"/>
      <c r="H3" s="304"/>
      <c r="I3" s="304"/>
      <c r="J3" s="304"/>
      <c r="K3" s="304"/>
      <c r="L3" s="304"/>
      <c r="M3" s="304"/>
      <c r="N3" s="304"/>
      <c r="O3" s="304"/>
      <c r="P3" s="304"/>
      <c r="Q3" s="304"/>
      <c r="R3" s="304"/>
      <c r="U3" s="304"/>
      <c r="V3" s="304"/>
      <c r="W3" s="304"/>
      <c r="X3" s="304"/>
      <c r="Y3" s="304"/>
      <c r="Z3" s="304"/>
      <c r="AA3" s="304"/>
      <c r="AB3" s="304"/>
      <c r="AC3" s="304"/>
      <c r="AD3" s="304"/>
      <c r="AE3" s="304"/>
      <c r="AF3" s="304"/>
      <c r="AG3" s="304"/>
    </row>
    <row r="4" spans="1:34" ht="51.75" thickBot="1" x14ac:dyDescent="0.25">
      <c r="A4" s="129" t="s">
        <v>1</v>
      </c>
      <c r="B4" s="129" t="s">
        <v>2</v>
      </c>
      <c r="C4" s="129" t="s">
        <v>312</v>
      </c>
      <c r="D4" s="129" t="s">
        <v>313</v>
      </c>
      <c r="E4" s="1" t="s">
        <v>314</v>
      </c>
      <c r="F4" s="1" t="s">
        <v>2351</v>
      </c>
      <c r="G4" s="1" t="s">
        <v>2352</v>
      </c>
      <c r="H4" s="1" t="s">
        <v>2353</v>
      </c>
      <c r="I4" s="1" t="s">
        <v>2354</v>
      </c>
      <c r="J4" s="1" t="s">
        <v>2355</v>
      </c>
      <c r="K4" s="1" t="s">
        <v>2356</v>
      </c>
      <c r="L4" s="1" t="s">
        <v>2357</v>
      </c>
      <c r="M4" s="1" t="s">
        <v>2358</v>
      </c>
      <c r="N4" s="1" t="s">
        <v>2359</v>
      </c>
      <c r="O4" s="1" t="s">
        <v>2360</v>
      </c>
      <c r="P4" s="1" t="s">
        <v>2361</v>
      </c>
      <c r="Q4" s="1" t="s">
        <v>2362</v>
      </c>
      <c r="R4" s="1" t="s">
        <v>2363</v>
      </c>
      <c r="S4" s="1" t="s">
        <v>2364</v>
      </c>
      <c r="T4" s="324"/>
      <c r="U4" s="1" t="s">
        <v>2365</v>
      </c>
      <c r="V4" s="1" t="s">
        <v>2366</v>
      </c>
      <c r="W4" s="1" t="s">
        <v>2367</v>
      </c>
      <c r="X4" s="1" t="s">
        <v>2368</v>
      </c>
      <c r="Y4" s="1" t="s">
        <v>2369</v>
      </c>
      <c r="Z4" s="1" t="s">
        <v>2370</v>
      </c>
      <c r="AA4" s="1" t="s">
        <v>2371</v>
      </c>
      <c r="AB4" s="1" t="s">
        <v>2372</v>
      </c>
      <c r="AC4" s="1" t="s">
        <v>2373</v>
      </c>
      <c r="AD4" s="1" t="s">
        <v>2374</v>
      </c>
      <c r="AE4" s="1" t="s">
        <v>2375</v>
      </c>
      <c r="AF4" s="1" t="s">
        <v>2376</v>
      </c>
      <c r="AG4" s="1" t="s">
        <v>2377</v>
      </c>
      <c r="AH4" s="1" t="s">
        <v>2378</v>
      </c>
    </row>
    <row r="5" spans="1:34" x14ac:dyDescent="0.2">
      <c r="A5" s="311" t="str">
        <f>'School Level Inst. Resources'!A5</f>
        <v>0101000</v>
      </c>
      <c r="B5" s="311" t="str">
        <f>'School Level Inst. Resources'!B5</f>
        <v>Albany #1</v>
      </c>
      <c r="C5" s="311" t="str">
        <f>'School Level Inst. Resources'!C5</f>
        <v>0101001</v>
      </c>
      <c r="D5" s="311" t="str">
        <f>'School Level Inst. Resources'!D5</f>
        <v>Snowy Range Academy</v>
      </c>
      <c r="E5" s="312" t="str">
        <f>'School Level Inst. Resources'!E5</f>
        <v>K-9</v>
      </c>
      <c r="F5" s="325">
        <v>5</v>
      </c>
      <c r="G5" s="325">
        <v>9</v>
      </c>
      <c r="H5" s="325">
        <v>2</v>
      </c>
      <c r="I5" s="325">
        <v>2</v>
      </c>
      <c r="J5" s="325">
        <v>6</v>
      </c>
      <c r="K5" s="325">
        <v>2</v>
      </c>
      <c r="L5" s="325">
        <v>2</v>
      </c>
      <c r="M5" s="325">
        <v>1</v>
      </c>
      <c r="N5" s="325">
        <v>2</v>
      </c>
      <c r="O5" s="325">
        <v>0</v>
      </c>
      <c r="P5" s="325">
        <v>0</v>
      </c>
      <c r="Q5" s="325">
        <v>0</v>
      </c>
      <c r="R5" s="325">
        <v>0</v>
      </c>
      <c r="S5" s="326">
        <f t="shared" ref="S5:S36" si="0">SUM(F5:R5)</f>
        <v>31</v>
      </c>
      <c r="T5" s="327"/>
      <c r="U5" s="325">
        <v>1</v>
      </c>
      <c r="V5" s="325">
        <v>3</v>
      </c>
      <c r="W5" s="325">
        <v>0</v>
      </c>
      <c r="X5" s="325">
        <v>0</v>
      </c>
      <c r="Y5" s="325">
        <v>1</v>
      </c>
      <c r="Z5" s="325">
        <v>0</v>
      </c>
      <c r="AA5" s="325">
        <v>0</v>
      </c>
      <c r="AB5" s="325">
        <v>0</v>
      </c>
      <c r="AC5" s="325">
        <v>0</v>
      </c>
      <c r="AD5" s="325">
        <v>0</v>
      </c>
      <c r="AE5" s="325">
        <v>0</v>
      </c>
      <c r="AF5" s="325">
        <v>0</v>
      </c>
      <c r="AG5" s="325">
        <v>0</v>
      </c>
      <c r="AH5" s="326">
        <f>SUM(U5:AG5)</f>
        <v>5</v>
      </c>
    </row>
    <row r="6" spans="1:34" x14ac:dyDescent="0.2">
      <c r="A6" s="20" t="str">
        <f>'School Level Inst. Resources'!A6</f>
        <v>0101000</v>
      </c>
      <c r="B6" s="20" t="str">
        <f>'School Level Inst. Resources'!B6</f>
        <v>Albany #1</v>
      </c>
      <c r="C6" s="20" t="str">
        <f>'School Level Inst. Resources'!C6</f>
        <v>0101002</v>
      </c>
      <c r="D6" s="20" t="str">
        <f>'School Level Inst. Resources'!D6</f>
        <v>Beitel Elementary</v>
      </c>
      <c r="E6" s="138" t="str">
        <f>'School Level Inst. Resources'!E6</f>
        <v>K-5</v>
      </c>
      <c r="F6" s="328">
        <v>10</v>
      </c>
      <c r="G6" s="328">
        <v>15</v>
      </c>
      <c r="H6" s="328">
        <v>0</v>
      </c>
      <c r="I6" s="328">
        <v>7</v>
      </c>
      <c r="J6" s="328">
        <v>8</v>
      </c>
      <c r="K6" s="328">
        <v>9</v>
      </c>
      <c r="L6" s="328">
        <v>0</v>
      </c>
      <c r="M6" s="328">
        <v>0</v>
      </c>
      <c r="N6" s="328">
        <v>0</v>
      </c>
      <c r="O6" s="328">
        <v>0</v>
      </c>
      <c r="P6" s="328">
        <v>0</v>
      </c>
      <c r="Q6" s="328">
        <v>0</v>
      </c>
      <c r="R6" s="328">
        <v>0</v>
      </c>
      <c r="S6" s="329">
        <f t="shared" si="0"/>
        <v>49</v>
      </c>
      <c r="T6" s="327"/>
      <c r="U6" s="328">
        <v>1</v>
      </c>
      <c r="V6" s="328">
        <v>4</v>
      </c>
      <c r="W6" s="328">
        <v>0</v>
      </c>
      <c r="X6" s="328">
        <v>1</v>
      </c>
      <c r="Y6" s="328">
        <v>0</v>
      </c>
      <c r="Z6" s="328">
        <v>1</v>
      </c>
      <c r="AA6" s="328">
        <v>0</v>
      </c>
      <c r="AB6" s="328">
        <v>0</v>
      </c>
      <c r="AC6" s="328">
        <v>0</v>
      </c>
      <c r="AD6" s="328">
        <v>0</v>
      </c>
      <c r="AE6" s="328">
        <v>0</v>
      </c>
      <c r="AF6" s="328">
        <v>0</v>
      </c>
      <c r="AG6" s="328">
        <v>0</v>
      </c>
      <c r="AH6" s="329">
        <f t="shared" ref="AH6:AH69" si="1">SUM(U6:AG6)</f>
        <v>7</v>
      </c>
    </row>
    <row r="7" spans="1:34" x14ac:dyDescent="0.2">
      <c r="A7" s="20" t="str">
        <f>'School Level Inst. Resources'!A7</f>
        <v>0101000</v>
      </c>
      <c r="B7" s="20" t="str">
        <f>'School Level Inst. Resources'!B7</f>
        <v>Albany #1</v>
      </c>
      <c r="C7" s="20" t="str">
        <f>'School Level Inst. Resources'!C7</f>
        <v>0101005</v>
      </c>
      <c r="D7" s="20" t="str">
        <f>'School Level Inst. Resources'!D7</f>
        <v>Centennial Elementary</v>
      </c>
      <c r="E7" s="138" t="str">
        <f>'School Level Inst. Resources'!E7</f>
        <v>K-6</v>
      </c>
      <c r="F7" s="328">
        <v>1</v>
      </c>
      <c r="G7" s="328">
        <v>0</v>
      </c>
      <c r="H7" s="328">
        <v>0</v>
      </c>
      <c r="I7" s="328">
        <v>0</v>
      </c>
      <c r="J7" s="328">
        <v>1</v>
      </c>
      <c r="K7" s="328">
        <v>1</v>
      </c>
      <c r="L7" s="328">
        <v>0</v>
      </c>
      <c r="M7" s="328">
        <v>0</v>
      </c>
      <c r="N7" s="328">
        <v>0</v>
      </c>
      <c r="O7" s="328">
        <v>0</v>
      </c>
      <c r="P7" s="328">
        <v>0</v>
      </c>
      <c r="Q7" s="328">
        <v>0</v>
      </c>
      <c r="R7" s="328">
        <v>0</v>
      </c>
      <c r="S7" s="329">
        <f t="shared" si="0"/>
        <v>3</v>
      </c>
      <c r="T7" s="327"/>
      <c r="U7" s="328">
        <v>0</v>
      </c>
      <c r="V7" s="328">
        <v>0</v>
      </c>
      <c r="W7" s="328">
        <v>0</v>
      </c>
      <c r="X7" s="328">
        <v>0</v>
      </c>
      <c r="Y7" s="328">
        <v>0</v>
      </c>
      <c r="Z7" s="328">
        <v>0</v>
      </c>
      <c r="AA7" s="328">
        <v>0</v>
      </c>
      <c r="AB7" s="328">
        <v>0</v>
      </c>
      <c r="AC7" s="328">
        <v>0</v>
      </c>
      <c r="AD7" s="328">
        <v>0</v>
      </c>
      <c r="AE7" s="328">
        <v>0</v>
      </c>
      <c r="AF7" s="328">
        <v>0</v>
      </c>
      <c r="AG7" s="328">
        <v>0</v>
      </c>
      <c r="AH7" s="329">
        <f t="shared" si="1"/>
        <v>0</v>
      </c>
    </row>
    <row r="8" spans="1:34" x14ac:dyDescent="0.2">
      <c r="A8" s="20" t="str">
        <f>'School Level Inst. Resources'!A8</f>
        <v>0101000</v>
      </c>
      <c r="B8" s="20" t="str">
        <f>'School Level Inst. Resources'!B8</f>
        <v>Albany #1</v>
      </c>
      <c r="C8" s="20" t="str">
        <f>'School Level Inst. Resources'!C8</f>
        <v>0101009</v>
      </c>
      <c r="D8" s="20" t="str">
        <f>'School Level Inst. Resources'!D8</f>
        <v>Harmony Elementary</v>
      </c>
      <c r="E8" s="138" t="str">
        <f>'School Level Inst. Resources'!E8</f>
        <v>K-6</v>
      </c>
      <c r="F8" s="328">
        <v>2</v>
      </c>
      <c r="G8" s="328">
        <v>1</v>
      </c>
      <c r="H8" s="328">
        <v>0</v>
      </c>
      <c r="I8" s="328">
        <v>1</v>
      </c>
      <c r="J8" s="328">
        <v>3</v>
      </c>
      <c r="K8" s="328">
        <v>4</v>
      </c>
      <c r="L8" s="328">
        <v>0</v>
      </c>
      <c r="M8" s="328">
        <v>0</v>
      </c>
      <c r="N8" s="328">
        <v>0</v>
      </c>
      <c r="O8" s="328">
        <v>0</v>
      </c>
      <c r="P8" s="328">
        <v>0</v>
      </c>
      <c r="Q8" s="328">
        <v>0</v>
      </c>
      <c r="R8" s="328">
        <v>0</v>
      </c>
      <c r="S8" s="329">
        <f t="shared" si="0"/>
        <v>11</v>
      </c>
      <c r="T8" s="327"/>
      <c r="U8" s="328">
        <v>0</v>
      </c>
      <c r="V8" s="328">
        <v>0</v>
      </c>
      <c r="W8" s="328">
        <v>0</v>
      </c>
      <c r="X8" s="328">
        <v>0</v>
      </c>
      <c r="Y8" s="328">
        <v>0</v>
      </c>
      <c r="Z8" s="328">
        <v>0</v>
      </c>
      <c r="AA8" s="328">
        <v>0</v>
      </c>
      <c r="AB8" s="328">
        <v>0</v>
      </c>
      <c r="AC8" s="328">
        <v>0</v>
      </c>
      <c r="AD8" s="328">
        <v>0</v>
      </c>
      <c r="AE8" s="328">
        <v>0</v>
      </c>
      <c r="AF8" s="328">
        <v>0</v>
      </c>
      <c r="AG8" s="328">
        <v>0</v>
      </c>
      <c r="AH8" s="329">
        <f t="shared" si="1"/>
        <v>0</v>
      </c>
    </row>
    <row r="9" spans="1:34" x14ac:dyDescent="0.2">
      <c r="A9" s="20" t="str">
        <f>'School Level Inst. Resources'!A9</f>
        <v>0101000</v>
      </c>
      <c r="B9" s="20" t="str">
        <f>'School Level Inst. Resources'!B9</f>
        <v>Albany #1</v>
      </c>
      <c r="C9" s="20" t="str">
        <f>'School Level Inst. Resources'!C9</f>
        <v>0101015</v>
      </c>
      <c r="D9" s="20" t="str">
        <f>'School Level Inst. Resources'!D9</f>
        <v>Rock River Elementary</v>
      </c>
      <c r="E9" s="138" t="str">
        <f>'School Level Inst. Resources'!E9</f>
        <v>P-6</v>
      </c>
      <c r="F9" s="328">
        <v>0</v>
      </c>
      <c r="G9" s="328">
        <v>1</v>
      </c>
      <c r="H9" s="328">
        <v>0</v>
      </c>
      <c r="I9" s="328">
        <v>1</v>
      </c>
      <c r="J9" s="328">
        <v>2</v>
      </c>
      <c r="K9" s="328">
        <v>1</v>
      </c>
      <c r="L9" s="328">
        <v>4</v>
      </c>
      <c r="M9" s="328">
        <v>0</v>
      </c>
      <c r="N9" s="328">
        <v>0</v>
      </c>
      <c r="O9" s="328">
        <v>0</v>
      </c>
      <c r="P9" s="328">
        <v>0</v>
      </c>
      <c r="Q9" s="328">
        <v>0</v>
      </c>
      <c r="R9" s="328">
        <v>0</v>
      </c>
      <c r="S9" s="329">
        <f t="shared" si="0"/>
        <v>9</v>
      </c>
      <c r="T9" s="327"/>
      <c r="U9" s="328">
        <v>0</v>
      </c>
      <c r="V9" s="328">
        <v>0</v>
      </c>
      <c r="W9" s="328">
        <v>0</v>
      </c>
      <c r="X9" s="328">
        <v>0</v>
      </c>
      <c r="Y9" s="328">
        <v>0</v>
      </c>
      <c r="Z9" s="328">
        <v>0</v>
      </c>
      <c r="AA9" s="328">
        <v>0</v>
      </c>
      <c r="AB9" s="328">
        <v>0</v>
      </c>
      <c r="AC9" s="328">
        <v>0</v>
      </c>
      <c r="AD9" s="328">
        <v>0</v>
      </c>
      <c r="AE9" s="328">
        <v>0</v>
      </c>
      <c r="AF9" s="328">
        <v>0</v>
      </c>
      <c r="AG9" s="328">
        <v>0</v>
      </c>
      <c r="AH9" s="329">
        <f t="shared" si="1"/>
        <v>0</v>
      </c>
    </row>
    <row r="10" spans="1:34" x14ac:dyDescent="0.2">
      <c r="A10" s="20" t="str">
        <f>'School Level Inst. Resources'!A10</f>
        <v>0101000</v>
      </c>
      <c r="B10" s="20" t="str">
        <f>'School Level Inst. Resources'!B10</f>
        <v>Albany #1</v>
      </c>
      <c r="C10" s="20" t="str">
        <f>'School Level Inst. Resources'!C10</f>
        <v>0101017</v>
      </c>
      <c r="D10" s="20" t="str">
        <f>'School Level Inst. Resources'!D10</f>
        <v>Slade Elementary</v>
      </c>
      <c r="E10" s="138" t="str">
        <f>'School Level Inst. Resources'!E10</f>
        <v>P-5</v>
      </c>
      <c r="F10" s="328">
        <v>16</v>
      </c>
      <c r="G10" s="328">
        <v>19</v>
      </c>
      <c r="H10" s="328">
        <v>18</v>
      </c>
      <c r="I10" s="328">
        <v>17</v>
      </c>
      <c r="J10" s="328">
        <v>21</v>
      </c>
      <c r="K10" s="328">
        <v>16</v>
      </c>
      <c r="L10" s="328">
        <v>0</v>
      </c>
      <c r="M10" s="328">
        <v>0</v>
      </c>
      <c r="N10" s="328">
        <v>0</v>
      </c>
      <c r="O10" s="328">
        <v>0</v>
      </c>
      <c r="P10" s="328">
        <v>0</v>
      </c>
      <c r="Q10" s="328">
        <v>0</v>
      </c>
      <c r="R10" s="328">
        <v>0</v>
      </c>
      <c r="S10" s="329">
        <f t="shared" si="0"/>
        <v>107</v>
      </c>
      <c r="T10" s="327"/>
      <c r="U10" s="328">
        <v>5</v>
      </c>
      <c r="V10" s="328">
        <v>3</v>
      </c>
      <c r="W10" s="328">
        <v>6</v>
      </c>
      <c r="X10" s="328">
        <v>4</v>
      </c>
      <c r="Y10" s="328">
        <v>8</v>
      </c>
      <c r="Z10" s="328">
        <v>4</v>
      </c>
      <c r="AA10" s="328">
        <v>0</v>
      </c>
      <c r="AB10" s="328">
        <v>0</v>
      </c>
      <c r="AC10" s="328">
        <v>0</v>
      </c>
      <c r="AD10" s="328">
        <v>0</v>
      </c>
      <c r="AE10" s="328">
        <v>0</v>
      </c>
      <c r="AF10" s="328">
        <v>0</v>
      </c>
      <c r="AG10" s="328">
        <v>0</v>
      </c>
      <c r="AH10" s="329">
        <f t="shared" si="1"/>
        <v>30</v>
      </c>
    </row>
    <row r="11" spans="1:34" x14ac:dyDescent="0.2">
      <c r="A11" s="20" t="str">
        <f>'School Level Inst. Resources'!A11</f>
        <v>0101000</v>
      </c>
      <c r="B11" s="20" t="str">
        <f>'School Level Inst. Resources'!B11</f>
        <v>Albany #1</v>
      </c>
      <c r="C11" s="20" t="str">
        <f>'School Level Inst. Resources'!C11</f>
        <v>0101019</v>
      </c>
      <c r="D11" s="20" t="str">
        <f>'School Level Inst. Resources'!D11</f>
        <v>Valley View Elementary</v>
      </c>
      <c r="E11" s="138" t="str">
        <f>'School Level Inst. Resources'!E11</f>
        <v>K-6</v>
      </c>
      <c r="F11" s="328">
        <v>1</v>
      </c>
      <c r="G11" s="328">
        <v>1</v>
      </c>
      <c r="H11" s="328">
        <v>0</v>
      </c>
      <c r="I11" s="328">
        <v>0</v>
      </c>
      <c r="J11" s="328">
        <v>1</v>
      </c>
      <c r="K11" s="328">
        <v>1</v>
      </c>
      <c r="L11" s="328">
        <v>0</v>
      </c>
      <c r="M11" s="328">
        <v>0</v>
      </c>
      <c r="N11" s="328">
        <v>0</v>
      </c>
      <c r="O11" s="328">
        <v>0</v>
      </c>
      <c r="P11" s="328">
        <v>0</v>
      </c>
      <c r="Q11" s="328">
        <v>0</v>
      </c>
      <c r="R11" s="328">
        <v>0</v>
      </c>
      <c r="S11" s="329">
        <f t="shared" si="0"/>
        <v>4</v>
      </c>
      <c r="T11" s="327"/>
      <c r="U11" s="328">
        <v>0</v>
      </c>
      <c r="V11" s="328">
        <v>0</v>
      </c>
      <c r="W11" s="328">
        <v>0</v>
      </c>
      <c r="X11" s="328">
        <v>0</v>
      </c>
      <c r="Y11" s="328">
        <v>0</v>
      </c>
      <c r="Z11" s="328">
        <v>0</v>
      </c>
      <c r="AA11" s="328">
        <v>0</v>
      </c>
      <c r="AB11" s="328">
        <v>0</v>
      </c>
      <c r="AC11" s="328">
        <v>0</v>
      </c>
      <c r="AD11" s="328">
        <v>0</v>
      </c>
      <c r="AE11" s="328">
        <v>0</v>
      </c>
      <c r="AF11" s="328">
        <v>0</v>
      </c>
      <c r="AG11" s="328">
        <v>0</v>
      </c>
      <c r="AH11" s="329">
        <f t="shared" si="1"/>
        <v>0</v>
      </c>
    </row>
    <row r="12" spans="1:34" x14ac:dyDescent="0.2">
      <c r="A12" s="20" t="str">
        <f>'School Level Inst. Resources'!A12</f>
        <v>0101000</v>
      </c>
      <c r="B12" s="20" t="str">
        <f>'School Level Inst. Resources'!B12</f>
        <v>Albany #1</v>
      </c>
      <c r="C12" s="20" t="str">
        <f>'School Level Inst. Resources'!C12</f>
        <v>0101020</v>
      </c>
      <c r="D12" s="20" t="str">
        <f>'School Level Inst. Resources'!D12</f>
        <v>Velma Linford Elementary</v>
      </c>
      <c r="E12" s="138" t="str">
        <f>'School Level Inst. Resources'!E12</f>
        <v>P-5</v>
      </c>
      <c r="F12" s="328">
        <v>27</v>
      </c>
      <c r="G12" s="328">
        <v>21</v>
      </c>
      <c r="H12" s="328">
        <v>29</v>
      </c>
      <c r="I12" s="328">
        <v>23</v>
      </c>
      <c r="J12" s="328">
        <v>30</v>
      </c>
      <c r="K12" s="328">
        <v>31</v>
      </c>
      <c r="L12" s="328">
        <v>0</v>
      </c>
      <c r="M12" s="328">
        <v>0</v>
      </c>
      <c r="N12" s="328">
        <v>0</v>
      </c>
      <c r="O12" s="328">
        <v>0</v>
      </c>
      <c r="P12" s="328">
        <v>0</v>
      </c>
      <c r="Q12" s="328">
        <v>0</v>
      </c>
      <c r="R12" s="328">
        <v>0</v>
      </c>
      <c r="S12" s="329">
        <f t="shared" si="0"/>
        <v>161</v>
      </c>
      <c r="T12" s="327"/>
      <c r="U12" s="328">
        <v>3</v>
      </c>
      <c r="V12" s="328">
        <v>4</v>
      </c>
      <c r="W12" s="328">
        <v>6</v>
      </c>
      <c r="X12" s="328">
        <v>4</v>
      </c>
      <c r="Y12" s="328">
        <v>7</v>
      </c>
      <c r="Z12" s="328">
        <v>6</v>
      </c>
      <c r="AA12" s="328">
        <v>0</v>
      </c>
      <c r="AB12" s="328">
        <v>0</v>
      </c>
      <c r="AC12" s="328">
        <v>0</v>
      </c>
      <c r="AD12" s="328">
        <v>0</v>
      </c>
      <c r="AE12" s="328">
        <v>0</v>
      </c>
      <c r="AF12" s="328">
        <v>0</v>
      </c>
      <c r="AG12" s="328">
        <v>0</v>
      </c>
      <c r="AH12" s="329">
        <f t="shared" si="1"/>
        <v>30</v>
      </c>
    </row>
    <row r="13" spans="1:34" x14ac:dyDescent="0.2">
      <c r="A13" s="20" t="str">
        <f>'School Level Inst. Resources'!A13</f>
        <v>0101000</v>
      </c>
      <c r="B13" s="20" t="str">
        <f>'School Level Inst. Resources'!B13</f>
        <v>Albany #1</v>
      </c>
      <c r="C13" s="20" t="str">
        <f>'School Level Inst. Resources'!C13</f>
        <v>0101027</v>
      </c>
      <c r="D13" s="20" t="str">
        <f>'School Level Inst. Resources'!D13</f>
        <v>Spring Creek Elementary</v>
      </c>
      <c r="E13" s="138" t="str">
        <f>'School Level Inst. Resources'!E13</f>
        <v>K-5</v>
      </c>
      <c r="F13" s="328">
        <v>21</v>
      </c>
      <c r="G13" s="328">
        <v>21</v>
      </c>
      <c r="H13" s="328">
        <v>10</v>
      </c>
      <c r="I13" s="328">
        <v>22</v>
      </c>
      <c r="J13" s="328">
        <v>16</v>
      </c>
      <c r="K13" s="328">
        <v>23</v>
      </c>
      <c r="L13" s="328">
        <v>0</v>
      </c>
      <c r="M13" s="328">
        <v>0</v>
      </c>
      <c r="N13" s="328">
        <v>0</v>
      </c>
      <c r="O13" s="328">
        <v>0</v>
      </c>
      <c r="P13" s="328">
        <v>0</v>
      </c>
      <c r="Q13" s="328">
        <v>0</v>
      </c>
      <c r="R13" s="328">
        <v>0</v>
      </c>
      <c r="S13" s="329">
        <f t="shared" si="0"/>
        <v>113</v>
      </c>
      <c r="T13" s="327"/>
      <c r="U13" s="328">
        <v>4</v>
      </c>
      <c r="V13" s="328">
        <v>6</v>
      </c>
      <c r="W13" s="328">
        <v>2</v>
      </c>
      <c r="X13" s="328">
        <v>4</v>
      </c>
      <c r="Y13" s="328">
        <v>2</v>
      </c>
      <c r="Z13" s="328">
        <v>2</v>
      </c>
      <c r="AA13" s="328">
        <v>0</v>
      </c>
      <c r="AB13" s="328">
        <v>0</v>
      </c>
      <c r="AC13" s="328">
        <v>0</v>
      </c>
      <c r="AD13" s="328">
        <v>0</v>
      </c>
      <c r="AE13" s="328">
        <v>0</v>
      </c>
      <c r="AF13" s="328">
        <v>0</v>
      </c>
      <c r="AG13" s="328">
        <v>0</v>
      </c>
      <c r="AH13" s="329">
        <f t="shared" si="1"/>
        <v>20</v>
      </c>
    </row>
    <row r="14" spans="1:34" x14ac:dyDescent="0.2">
      <c r="A14" s="20" t="str">
        <f>'School Level Inst. Resources'!A14</f>
        <v>0101000</v>
      </c>
      <c r="B14" s="20" t="str">
        <f>'School Level Inst. Resources'!B14</f>
        <v>Albany #1</v>
      </c>
      <c r="C14" s="20" t="str">
        <f>'School Level Inst. Resources'!C14</f>
        <v>0101028</v>
      </c>
      <c r="D14" s="20" t="str">
        <f>'School Level Inst. Resources'!D14</f>
        <v>Indian Paintbrush  Elementary</v>
      </c>
      <c r="E14" s="138" t="str">
        <f>'School Level Inst. Resources'!E14</f>
        <v>K-5</v>
      </c>
      <c r="F14" s="328">
        <v>15</v>
      </c>
      <c r="G14" s="328">
        <v>18</v>
      </c>
      <c r="H14" s="328">
        <v>10</v>
      </c>
      <c r="I14" s="328">
        <v>8</v>
      </c>
      <c r="J14" s="328">
        <v>7</v>
      </c>
      <c r="K14" s="328">
        <v>11</v>
      </c>
      <c r="L14" s="328">
        <v>0</v>
      </c>
      <c r="M14" s="328">
        <v>0</v>
      </c>
      <c r="N14" s="328">
        <v>0</v>
      </c>
      <c r="O14" s="328">
        <v>0</v>
      </c>
      <c r="P14" s="328">
        <v>0</v>
      </c>
      <c r="Q14" s="328">
        <v>0</v>
      </c>
      <c r="R14" s="328">
        <v>0</v>
      </c>
      <c r="S14" s="329">
        <f t="shared" si="0"/>
        <v>69</v>
      </c>
      <c r="T14" s="327"/>
      <c r="U14" s="328">
        <v>2</v>
      </c>
      <c r="V14" s="328">
        <v>6</v>
      </c>
      <c r="W14" s="328">
        <v>3</v>
      </c>
      <c r="X14" s="328">
        <v>1</v>
      </c>
      <c r="Y14" s="328">
        <v>3</v>
      </c>
      <c r="Z14" s="328">
        <v>5</v>
      </c>
      <c r="AA14" s="328">
        <v>0</v>
      </c>
      <c r="AB14" s="328">
        <v>0</v>
      </c>
      <c r="AC14" s="328">
        <v>0</v>
      </c>
      <c r="AD14" s="328">
        <v>0</v>
      </c>
      <c r="AE14" s="328">
        <v>0</v>
      </c>
      <c r="AF14" s="328">
        <v>0</v>
      </c>
      <c r="AG14" s="328">
        <v>0</v>
      </c>
      <c r="AH14" s="329">
        <f t="shared" si="1"/>
        <v>20</v>
      </c>
    </row>
    <row r="15" spans="1:34" x14ac:dyDescent="0.2">
      <c r="A15" s="20" t="str">
        <f>'School Level Inst. Resources'!A15</f>
        <v>0101000</v>
      </c>
      <c r="B15" s="20" t="str">
        <f>'School Level Inst. Resources'!B15</f>
        <v>Albany #1</v>
      </c>
      <c r="C15" s="20" t="str">
        <f>'School Level Inst. Resources'!C15</f>
        <v>0101030</v>
      </c>
      <c r="D15" s="20" t="str">
        <f>'School Level Inst. Resources'!D15</f>
        <v>UW Laboratory School</v>
      </c>
      <c r="E15" s="138" t="str">
        <f>'School Level Inst. Resources'!E15</f>
        <v>K-8</v>
      </c>
      <c r="F15" s="328">
        <v>6</v>
      </c>
      <c r="G15" s="328">
        <v>3</v>
      </c>
      <c r="H15" s="328">
        <v>4</v>
      </c>
      <c r="I15" s="328">
        <v>6</v>
      </c>
      <c r="J15" s="328">
        <v>5</v>
      </c>
      <c r="K15" s="328">
        <v>6</v>
      </c>
      <c r="L15" s="328">
        <v>9</v>
      </c>
      <c r="M15" s="328">
        <v>6</v>
      </c>
      <c r="N15" s="328">
        <v>2</v>
      </c>
      <c r="O15" s="328">
        <v>0</v>
      </c>
      <c r="P15" s="328">
        <v>0</v>
      </c>
      <c r="Q15" s="328">
        <v>0</v>
      </c>
      <c r="R15" s="328">
        <v>0</v>
      </c>
      <c r="S15" s="329">
        <f t="shared" si="0"/>
        <v>47</v>
      </c>
      <c r="T15" s="327"/>
      <c r="U15" s="328">
        <v>0</v>
      </c>
      <c r="V15" s="328">
        <v>0</v>
      </c>
      <c r="W15" s="328">
        <v>0</v>
      </c>
      <c r="X15" s="328">
        <v>1</v>
      </c>
      <c r="Y15" s="328">
        <v>2</v>
      </c>
      <c r="Z15" s="328">
        <v>1</v>
      </c>
      <c r="AA15" s="328">
        <v>0</v>
      </c>
      <c r="AB15" s="328">
        <v>1</v>
      </c>
      <c r="AC15" s="328">
        <v>0</v>
      </c>
      <c r="AD15" s="328">
        <v>0</v>
      </c>
      <c r="AE15" s="328">
        <v>0</v>
      </c>
      <c r="AF15" s="328">
        <v>0</v>
      </c>
      <c r="AG15" s="328">
        <v>0</v>
      </c>
      <c r="AH15" s="329">
        <f t="shared" si="1"/>
        <v>5</v>
      </c>
    </row>
    <row r="16" spans="1:34" x14ac:dyDescent="0.2">
      <c r="A16" s="20" t="str">
        <f>'School Level Inst. Resources'!A16</f>
        <v>0101000</v>
      </c>
      <c r="B16" s="20" t="str">
        <f>'School Level Inst. Resources'!B16</f>
        <v>Albany #1</v>
      </c>
      <c r="C16" s="20" t="str">
        <f>'School Level Inst. Resources'!C16</f>
        <v>0101031</v>
      </c>
      <c r="D16" s="20" t="str">
        <f>'School Level Inst. Resources'!D16</f>
        <v>Laramie Montessori</v>
      </c>
      <c r="E16" s="138" t="str">
        <f>'School Level Inst. Resources'!E16</f>
        <v>K-6</v>
      </c>
      <c r="F16" s="328">
        <v>4</v>
      </c>
      <c r="G16" s="328">
        <v>8</v>
      </c>
      <c r="H16" s="328">
        <v>4</v>
      </c>
      <c r="I16" s="328">
        <v>7</v>
      </c>
      <c r="J16" s="328">
        <v>7</v>
      </c>
      <c r="K16" s="328">
        <v>4</v>
      </c>
      <c r="L16" s="328">
        <v>0</v>
      </c>
      <c r="M16" s="328">
        <v>0</v>
      </c>
      <c r="N16" s="328">
        <v>0</v>
      </c>
      <c r="O16" s="328">
        <v>0</v>
      </c>
      <c r="P16" s="328">
        <v>0</v>
      </c>
      <c r="Q16" s="328">
        <v>0</v>
      </c>
      <c r="R16" s="328">
        <v>0</v>
      </c>
      <c r="S16" s="329">
        <f t="shared" si="0"/>
        <v>34</v>
      </c>
      <c r="T16" s="327"/>
      <c r="U16" s="328">
        <v>0</v>
      </c>
      <c r="V16" s="328">
        <v>0</v>
      </c>
      <c r="W16" s="328">
        <v>0</v>
      </c>
      <c r="X16" s="328">
        <v>0</v>
      </c>
      <c r="Y16" s="328">
        <v>2</v>
      </c>
      <c r="Z16" s="328">
        <v>0</v>
      </c>
      <c r="AA16" s="328">
        <v>0</v>
      </c>
      <c r="AB16" s="328">
        <v>0</v>
      </c>
      <c r="AC16" s="328">
        <v>0</v>
      </c>
      <c r="AD16" s="328">
        <v>0</v>
      </c>
      <c r="AE16" s="328">
        <v>0</v>
      </c>
      <c r="AF16" s="328">
        <v>0</v>
      </c>
      <c r="AG16" s="328">
        <v>0</v>
      </c>
      <c r="AH16" s="329">
        <f t="shared" si="1"/>
        <v>2</v>
      </c>
    </row>
    <row r="17" spans="1:34" x14ac:dyDescent="0.2">
      <c r="A17" s="20" t="str">
        <f>'School Level Inst. Resources'!A17</f>
        <v>0101000</v>
      </c>
      <c r="B17" s="20" t="str">
        <f>'School Level Inst. Resources'!B17</f>
        <v>Albany #1</v>
      </c>
      <c r="C17" s="20" t="str">
        <f>'School Level Inst. Resources'!C17</f>
        <v>0101032</v>
      </c>
      <c r="D17" s="20" t="str">
        <f>'School Level Inst. Resources'!D17</f>
        <v>Notch Peak Elementary</v>
      </c>
      <c r="E17" s="138" t="str">
        <f>'School Level Inst. Resources'!E17</f>
        <v>K-8</v>
      </c>
      <c r="F17" s="328">
        <v>0</v>
      </c>
      <c r="G17" s="328">
        <v>0</v>
      </c>
      <c r="H17" s="328">
        <v>0</v>
      </c>
      <c r="I17" s="328">
        <v>0</v>
      </c>
      <c r="J17" s="328">
        <v>0</v>
      </c>
      <c r="K17" s="328">
        <v>0</v>
      </c>
      <c r="L17" s="328">
        <v>0</v>
      </c>
      <c r="M17" s="328">
        <v>0</v>
      </c>
      <c r="N17" s="328">
        <v>0</v>
      </c>
      <c r="O17" s="328">
        <v>0</v>
      </c>
      <c r="P17" s="328">
        <v>0</v>
      </c>
      <c r="Q17" s="328">
        <v>0</v>
      </c>
      <c r="R17" s="328">
        <v>0</v>
      </c>
      <c r="S17" s="329">
        <f t="shared" si="0"/>
        <v>0</v>
      </c>
      <c r="T17" s="327"/>
      <c r="U17" s="328">
        <v>0</v>
      </c>
      <c r="V17" s="328">
        <v>0</v>
      </c>
      <c r="W17" s="328">
        <v>0</v>
      </c>
      <c r="X17" s="328">
        <v>0</v>
      </c>
      <c r="Y17" s="328">
        <v>0</v>
      </c>
      <c r="Z17" s="328">
        <v>0</v>
      </c>
      <c r="AA17" s="328">
        <v>0</v>
      </c>
      <c r="AB17" s="328">
        <v>0</v>
      </c>
      <c r="AC17" s="328">
        <v>0</v>
      </c>
      <c r="AD17" s="328">
        <v>0</v>
      </c>
      <c r="AE17" s="328">
        <v>0</v>
      </c>
      <c r="AF17" s="328">
        <v>0</v>
      </c>
      <c r="AG17" s="328">
        <v>0</v>
      </c>
      <c r="AH17" s="329">
        <f t="shared" si="1"/>
        <v>0</v>
      </c>
    </row>
    <row r="18" spans="1:34" x14ac:dyDescent="0.2">
      <c r="A18" s="20" t="str">
        <f>'School Level Inst. Resources'!A18</f>
        <v>0101000</v>
      </c>
      <c r="B18" s="20" t="str">
        <f>'School Level Inst. Resources'!B18</f>
        <v>Albany #1</v>
      </c>
      <c r="C18" s="20" t="str">
        <f>'School Level Inst. Resources'!C18</f>
        <v>0101050</v>
      </c>
      <c r="D18" s="20" t="str">
        <f>'School Level Inst. Resources'!D18</f>
        <v>Laramie Middle School</v>
      </c>
      <c r="E18" s="138" t="str">
        <f>'School Level Inst. Resources'!E18</f>
        <v>6-8</v>
      </c>
      <c r="F18" s="328">
        <v>0</v>
      </c>
      <c r="G18" s="328">
        <v>0</v>
      </c>
      <c r="H18" s="328">
        <v>0</v>
      </c>
      <c r="I18" s="328">
        <v>0</v>
      </c>
      <c r="J18" s="328">
        <v>0</v>
      </c>
      <c r="K18" s="328">
        <v>0</v>
      </c>
      <c r="L18" s="328">
        <v>77</v>
      </c>
      <c r="M18" s="328">
        <v>79</v>
      </c>
      <c r="N18" s="328">
        <v>66</v>
      </c>
      <c r="O18" s="328">
        <v>0</v>
      </c>
      <c r="P18" s="328">
        <v>0</v>
      </c>
      <c r="Q18" s="328">
        <v>0</v>
      </c>
      <c r="R18" s="328">
        <v>0</v>
      </c>
      <c r="S18" s="329">
        <f t="shared" si="0"/>
        <v>222</v>
      </c>
      <c r="T18" s="327"/>
      <c r="U18" s="328">
        <v>0</v>
      </c>
      <c r="V18" s="328">
        <v>0</v>
      </c>
      <c r="W18" s="328">
        <v>0</v>
      </c>
      <c r="X18" s="328">
        <v>0</v>
      </c>
      <c r="Y18" s="328">
        <v>0</v>
      </c>
      <c r="Z18" s="328">
        <v>0</v>
      </c>
      <c r="AA18" s="328">
        <v>13</v>
      </c>
      <c r="AB18" s="328">
        <v>5</v>
      </c>
      <c r="AC18" s="328">
        <v>6</v>
      </c>
      <c r="AD18" s="328">
        <v>0</v>
      </c>
      <c r="AE18" s="328">
        <v>0</v>
      </c>
      <c r="AF18" s="328">
        <v>0</v>
      </c>
      <c r="AG18" s="328">
        <v>0</v>
      </c>
      <c r="AH18" s="329">
        <f t="shared" si="1"/>
        <v>24</v>
      </c>
    </row>
    <row r="19" spans="1:34" x14ac:dyDescent="0.2">
      <c r="A19" s="20" t="str">
        <f>'School Level Inst. Resources'!A19</f>
        <v>0101000</v>
      </c>
      <c r="B19" s="20" t="str">
        <f>'School Level Inst. Resources'!B19</f>
        <v>Albany #1</v>
      </c>
      <c r="C19" s="20" t="str">
        <f>'School Level Inst. Resources'!C19</f>
        <v>0101051</v>
      </c>
      <c r="D19" s="20" t="str">
        <f>'School Level Inst. Resources'!D19</f>
        <v>Rock River Junior High School</v>
      </c>
      <c r="E19" s="138" t="str">
        <f>'School Level Inst. Resources'!E19</f>
        <v>7-8</v>
      </c>
      <c r="F19" s="328">
        <v>0</v>
      </c>
      <c r="G19" s="328">
        <v>0</v>
      </c>
      <c r="H19" s="328">
        <v>0</v>
      </c>
      <c r="I19" s="328">
        <v>0</v>
      </c>
      <c r="J19" s="328">
        <v>0</v>
      </c>
      <c r="K19" s="328">
        <v>0</v>
      </c>
      <c r="L19" s="328">
        <v>0</v>
      </c>
      <c r="M19" s="328">
        <v>1</v>
      </c>
      <c r="N19" s="328">
        <v>3</v>
      </c>
      <c r="O19" s="328">
        <v>0</v>
      </c>
      <c r="P19" s="328">
        <v>0</v>
      </c>
      <c r="Q19" s="328">
        <v>0</v>
      </c>
      <c r="R19" s="328">
        <v>0</v>
      </c>
      <c r="S19" s="329">
        <f t="shared" si="0"/>
        <v>4</v>
      </c>
      <c r="T19" s="327"/>
      <c r="U19" s="328">
        <v>0</v>
      </c>
      <c r="V19" s="328">
        <v>0</v>
      </c>
      <c r="W19" s="328">
        <v>0</v>
      </c>
      <c r="X19" s="328">
        <v>0</v>
      </c>
      <c r="Y19" s="328">
        <v>0</v>
      </c>
      <c r="Z19" s="328">
        <v>0</v>
      </c>
      <c r="AA19" s="328">
        <v>0</v>
      </c>
      <c r="AB19" s="328">
        <v>0</v>
      </c>
      <c r="AC19" s="328">
        <v>1</v>
      </c>
      <c r="AD19" s="328">
        <v>0</v>
      </c>
      <c r="AE19" s="328">
        <v>0</v>
      </c>
      <c r="AF19" s="328">
        <v>0</v>
      </c>
      <c r="AG19" s="328">
        <v>0</v>
      </c>
      <c r="AH19" s="329">
        <f t="shared" si="1"/>
        <v>1</v>
      </c>
    </row>
    <row r="20" spans="1:34" x14ac:dyDescent="0.2">
      <c r="A20" s="20" t="str">
        <f>'School Level Inst. Resources'!A20</f>
        <v>0101000</v>
      </c>
      <c r="B20" s="20" t="str">
        <f>'School Level Inst. Resources'!B20</f>
        <v>Albany #1</v>
      </c>
      <c r="C20" s="20" t="str">
        <f>'School Level Inst. Resources'!C20</f>
        <v>0101055</v>
      </c>
      <c r="D20" s="20" t="str">
        <f>'School Level Inst. Resources'!D20</f>
        <v>Laramie High School</v>
      </c>
      <c r="E20" s="138" t="str">
        <f>'School Level Inst. Resources'!E20</f>
        <v>9-12</v>
      </c>
      <c r="F20" s="328">
        <v>0</v>
      </c>
      <c r="G20" s="328">
        <v>0</v>
      </c>
      <c r="H20" s="328">
        <v>0</v>
      </c>
      <c r="I20" s="328">
        <v>0</v>
      </c>
      <c r="J20" s="328">
        <v>0</v>
      </c>
      <c r="K20" s="328">
        <v>0</v>
      </c>
      <c r="L20" s="328">
        <v>0</v>
      </c>
      <c r="M20" s="328">
        <v>0</v>
      </c>
      <c r="N20" s="328">
        <v>0</v>
      </c>
      <c r="O20" s="328">
        <v>74</v>
      </c>
      <c r="P20" s="328">
        <v>64</v>
      </c>
      <c r="Q20" s="328">
        <v>44</v>
      </c>
      <c r="R20" s="328">
        <v>34</v>
      </c>
      <c r="S20" s="329">
        <f t="shared" si="0"/>
        <v>216</v>
      </c>
      <c r="T20" s="327"/>
      <c r="U20" s="328">
        <v>0</v>
      </c>
      <c r="V20" s="328">
        <v>0</v>
      </c>
      <c r="W20" s="328">
        <v>0</v>
      </c>
      <c r="X20" s="328">
        <v>0</v>
      </c>
      <c r="Y20" s="328">
        <v>0</v>
      </c>
      <c r="Z20" s="328">
        <v>0</v>
      </c>
      <c r="AA20" s="328">
        <v>0</v>
      </c>
      <c r="AB20" s="328">
        <v>0</v>
      </c>
      <c r="AC20" s="328">
        <v>0</v>
      </c>
      <c r="AD20" s="328">
        <v>8</v>
      </c>
      <c r="AE20" s="328">
        <v>4</v>
      </c>
      <c r="AF20" s="328">
        <v>1</v>
      </c>
      <c r="AG20" s="328">
        <v>4</v>
      </c>
      <c r="AH20" s="329">
        <f t="shared" si="1"/>
        <v>17</v>
      </c>
    </row>
    <row r="21" spans="1:34" x14ac:dyDescent="0.2">
      <c r="A21" s="20" t="str">
        <f>'School Level Inst. Resources'!A21</f>
        <v>0101000</v>
      </c>
      <c r="B21" s="20" t="str">
        <f>'School Level Inst. Resources'!B21</f>
        <v>Albany #1</v>
      </c>
      <c r="C21" s="20" t="str">
        <f>'School Level Inst. Resources'!C21</f>
        <v>0101056</v>
      </c>
      <c r="D21" s="20" t="str">
        <f>'School Level Inst. Resources'!D21</f>
        <v>Rock River High School</v>
      </c>
      <c r="E21" s="138" t="str">
        <f>'School Level Inst. Resources'!E21</f>
        <v>9-12</v>
      </c>
      <c r="F21" s="328">
        <v>0</v>
      </c>
      <c r="G21" s="328">
        <v>0</v>
      </c>
      <c r="H21" s="328">
        <v>0</v>
      </c>
      <c r="I21" s="328">
        <v>0</v>
      </c>
      <c r="J21" s="328">
        <v>0</v>
      </c>
      <c r="K21" s="328">
        <v>0</v>
      </c>
      <c r="L21" s="328">
        <v>0</v>
      </c>
      <c r="M21" s="328">
        <v>0</v>
      </c>
      <c r="N21" s="328">
        <v>0</v>
      </c>
      <c r="O21" s="328">
        <v>5</v>
      </c>
      <c r="P21" s="328">
        <v>3</v>
      </c>
      <c r="Q21" s="328">
        <v>5</v>
      </c>
      <c r="R21" s="328">
        <v>3</v>
      </c>
      <c r="S21" s="329">
        <f t="shared" si="0"/>
        <v>16</v>
      </c>
      <c r="T21" s="327"/>
      <c r="U21" s="328">
        <v>0</v>
      </c>
      <c r="V21" s="328">
        <v>0</v>
      </c>
      <c r="W21" s="328">
        <v>0</v>
      </c>
      <c r="X21" s="328">
        <v>0</v>
      </c>
      <c r="Y21" s="328">
        <v>0</v>
      </c>
      <c r="Z21" s="328">
        <v>0</v>
      </c>
      <c r="AA21" s="328">
        <v>0</v>
      </c>
      <c r="AB21" s="328">
        <v>0</v>
      </c>
      <c r="AC21" s="328">
        <v>0</v>
      </c>
      <c r="AD21" s="328">
        <v>1</v>
      </c>
      <c r="AE21" s="328">
        <v>0</v>
      </c>
      <c r="AF21" s="328">
        <v>0</v>
      </c>
      <c r="AG21" s="328">
        <v>0</v>
      </c>
      <c r="AH21" s="329">
        <f t="shared" si="1"/>
        <v>1</v>
      </c>
    </row>
    <row r="22" spans="1:34" x14ac:dyDescent="0.2">
      <c r="A22" s="20" t="str">
        <f>'School Level Inst. Resources'!A22</f>
        <v>0101000</v>
      </c>
      <c r="B22" s="20" t="str">
        <f>'School Level Inst. Resources'!B22</f>
        <v>Albany #1</v>
      </c>
      <c r="C22" s="20" t="str">
        <f>'School Level Inst. Resources'!C22</f>
        <v>0101057</v>
      </c>
      <c r="D22" s="20" t="str">
        <f>'School Level Inst. Resources'!D22</f>
        <v>Whiting High School</v>
      </c>
      <c r="E22" s="138" t="str">
        <f>'School Level Inst. Resources'!E22</f>
        <v>9-12</v>
      </c>
      <c r="F22" s="328">
        <v>0</v>
      </c>
      <c r="G22" s="328">
        <v>0</v>
      </c>
      <c r="H22" s="328">
        <v>0</v>
      </c>
      <c r="I22" s="328">
        <v>0</v>
      </c>
      <c r="J22" s="328">
        <v>0</v>
      </c>
      <c r="K22" s="328">
        <v>0</v>
      </c>
      <c r="L22" s="328">
        <v>0</v>
      </c>
      <c r="M22" s="328">
        <v>0</v>
      </c>
      <c r="N22" s="328">
        <v>0</v>
      </c>
      <c r="O22" s="328">
        <v>0.72</v>
      </c>
      <c r="P22" s="328">
        <v>10.76</v>
      </c>
      <c r="Q22" s="328">
        <v>12.080000000000002</v>
      </c>
      <c r="R22" s="328">
        <v>19</v>
      </c>
      <c r="S22" s="329">
        <f t="shared" si="0"/>
        <v>42.56</v>
      </c>
      <c r="T22" s="327"/>
      <c r="U22" s="328">
        <v>0</v>
      </c>
      <c r="V22" s="328">
        <v>0</v>
      </c>
      <c r="W22" s="328">
        <v>0</v>
      </c>
      <c r="X22" s="328">
        <v>0</v>
      </c>
      <c r="Y22" s="328">
        <v>0</v>
      </c>
      <c r="Z22" s="328">
        <v>0</v>
      </c>
      <c r="AA22" s="328">
        <v>0</v>
      </c>
      <c r="AB22" s="328">
        <v>0</v>
      </c>
      <c r="AC22" s="328">
        <v>0</v>
      </c>
      <c r="AD22" s="328">
        <v>0</v>
      </c>
      <c r="AE22" s="328">
        <v>0</v>
      </c>
      <c r="AF22" s="328">
        <v>1</v>
      </c>
      <c r="AG22" s="328">
        <v>1</v>
      </c>
      <c r="AH22" s="329">
        <f t="shared" si="1"/>
        <v>2</v>
      </c>
    </row>
    <row r="23" spans="1:34" x14ac:dyDescent="0.2">
      <c r="A23" s="20" t="str">
        <f>'School Level Inst. Resources'!A23</f>
        <v>0201000</v>
      </c>
      <c r="B23" s="20" t="str">
        <f>'School Level Inst. Resources'!B23</f>
        <v>Big Horn #1</v>
      </c>
      <c r="C23" s="20" t="str">
        <f>'School Level Inst. Resources'!C23</f>
        <v>0201001</v>
      </c>
      <c r="D23" s="20" t="str">
        <f>'School Level Inst. Resources'!D23</f>
        <v>Burlington Elementary</v>
      </c>
      <c r="E23" s="138" t="str">
        <f>'School Level Inst. Resources'!E23</f>
        <v>P-5</v>
      </c>
      <c r="F23" s="328">
        <v>9</v>
      </c>
      <c r="G23" s="328">
        <v>6</v>
      </c>
      <c r="H23" s="328">
        <v>12</v>
      </c>
      <c r="I23" s="328">
        <v>12</v>
      </c>
      <c r="J23" s="328">
        <v>14</v>
      </c>
      <c r="K23" s="328">
        <v>10</v>
      </c>
      <c r="L23" s="328">
        <v>0</v>
      </c>
      <c r="M23" s="328">
        <v>0</v>
      </c>
      <c r="N23" s="328">
        <v>0</v>
      </c>
      <c r="O23" s="328">
        <v>0</v>
      </c>
      <c r="P23" s="328">
        <v>0</v>
      </c>
      <c r="Q23" s="328">
        <v>0</v>
      </c>
      <c r="R23" s="328">
        <v>0</v>
      </c>
      <c r="S23" s="329">
        <f t="shared" si="0"/>
        <v>63</v>
      </c>
      <c r="T23" s="327"/>
      <c r="U23" s="328">
        <v>1</v>
      </c>
      <c r="V23" s="328">
        <v>0</v>
      </c>
      <c r="W23" s="328">
        <v>0</v>
      </c>
      <c r="X23" s="328">
        <v>0</v>
      </c>
      <c r="Y23" s="328">
        <v>0</v>
      </c>
      <c r="Z23" s="328">
        <v>0</v>
      </c>
      <c r="AA23" s="328">
        <v>0</v>
      </c>
      <c r="AB23" s="328">
        <v>0</v>
      </c>
      <c r="AC23" s="328">
        <v>0</v>
      </c>
      <c r="AD23" s="328">
        <v>0</v>
      </c>
      <c r="AE23" s="328">
        <v>0</v>
      </c>
      <c r="AF23" s="328">
        <v>0</v>
      </c>
      <c r="AG23" s="328">
        <v>0</v>
      </c>
      <c r="AH23" s="329">
        <f t="shared" si="1"/>
        <v>1</v>
      </c>
    </row>
    <row r="24" spans="1:34" x14ac:dyDescent="0.2">
      <c r="A24" s="20" t="str">
        <f>'School Level Inst. Resources'!A24</f>
        <v>0201000</v>
      </c>
      <c r="B24" s="20" t="str">
        <f>'School Level Inst. Resources'!B24</f>
        <v>Big Horn #1</v>
      </c>
      <c r="C24" s="20" t="str">
        <f>'School Level Inst. Resources'!C24</f>
        <v>0201004</v>
      </c>
      <c r="D24" s="20" t="str">
        <f>'School Level Inst. Resources'!D24</f>
        <v>Rocky Mountain Elementary</v>
      </c>
      <c r="E24" s="138" t="str">
        <f>'School Level Inst. Resources'!E24</f>
        <v>P-5</v>
      </c>
      <c r="F24" s="328">
        <v>16</v>
      </c>
      <c r="G24" s="328">
        <v>18</v>
      </c>
      <c r="H24" s="328">
        <v>15</v>
      </c>
      <c r="I24" s="328">
        <v>26</v>
      </c>
      <c r="J24" s="328">
        <v>23</v>
      </c>
      <c r="K24" s="328">
        <v>21</v>
      </c>
      <c r="L24" s="328">
        <v>0</v>
      </c>
      <c r="M24" s="328">
        <v>0</v>
      </c>
      <c r="N24" s="328">
        <v>0</v>
      </c>
      <c r="O24" s="328">
        <v>0</v>
      </c>
      <c r="P24" s="328">
        <v>0</v>
      </c>
      <c r="Q24" s="328">
        <v>0</v>
      </c>
      <c r="R24" s="328">
        <v>0</v>
      </c>
      <c r="S24" s="329">
        <f t="shared" si="0"/>
        <v>119</v>
      </c>
      <c r="T24" s="327"/>
      <c r="U24" s="328">
        <v>0</v>
      </c>
      <c r="V24" s="328">
        <v>0</v>
      </c>
      <c r="W24" s="328">
        <v>0</v>
      </c>
      <c r="X24" s="328">
        <v>0</v>
      </c>
      <c r="Y24" s="328">
        <v>1</v>
      </c>
      <c r="Z24" s="328">
        <v>1</v>
      </c>
      <c r="AA24" s="328">
        <v>0</v>
      </c>
      <c r="AB24" s="328">
        <v>0</v>
      </c>
      <c r="AC24" s="328">
        <v>0</v>
      </c>
      <c r="AD24" s="328">
        <v>0</v>
      </c>
      <c r="AE24" s="328">
        <v>0</v>
      </c>
      <c r="AF24" s="328">
        <v>0</v>
      </c>
      <c r="AG24" s="328">
        <v>0</v>
      </c>
      <c r="AH24" s="329">
        <f t="shared" si="1"/>
        <v>2</v>
      </c>
    </row>
    <row r="25" spans="1:34" x14ac:dyDescent="0.2">
      <c r="A25" s="20" t="str">
        <f>'School Level Inst. Resources'!A25</f>
        <v>0201000</v>
      </c>
      <c r="B25" s="20" t="str">
        <f>'School Level Inst. Resources'!B25</f>
        <v>Big Horn #1</v>
      </c>
      <c r="C25" s="20" t="str">
        <f>'School Level Inst. Resources'!C25</f>
        <v>0201050</v>
      </c>
      <c r="D25" s="20" t="str">
        <f>'School Level Inst. Resources'!D25</f>
        <v>Burlington Middle School</v>
      </c>
      <c r="E25" s="138" t="str">
        <f>'School Level Inst. Resources'!E25</f>
        <v>6-8</v>
      </c>
      <c r="F25" s="328">
        <v>0</v>
      </c>
      <c r="G25" s="328">
        <v>0</v>
      </c>
      <c r="H25" s="328">
        <v>0</v>
      </c>
      <c r="I25" s="328">
        <v>0</v>
      </c>
      <c r="J25" s="328">
        <v>0</v>
      </c>
      <c r="K25" s="328">
        <v>0</v>
      </c>
      <c r="L25" s="328">
        <v>13</v>
      </c>
      <c r="M25" s="328">
        <v>11</v>
      </c>
      <c r="N25" s="328">
        <v>10</v>
      </c>
      <c r="O25" s="328">
        <v>0</v>
      </c>
      <c r="P25" s="328">
        <v>0</v>
      </c>
      <c r="Q25" s="328">
        <v>0</v>
      </c>
      <c r="R25" s="328">
        <v>0</v>
      </c>
      <c r="S25" s="329">
        <f t="shared" si="0"/>
        <v>34</v>
      </c>
      <c r="T25" s="327"/>
      <c r="U25" s="328">
        <v>0</v>
      </c>
      <c r="V25" s="328">
        <v>0</v>
      </c>
      <c r="W25" s="328">
        <v>0</v>
      </c>
      <c r="X25" s="328">
        <v>0</v>
      </c>
      <c r="Y25" s="328">
        <v>0</v>
      </c>
      <c r="Z25" s="328">
        <v>0</v>
      </c>
      <c r="AA25" s="328">
        <v>1</v>
      </c>
      <c r="AB25" s="328">
        <v>2</v>
      </c>
      <c r="AC25" s="328">
        <v>0</v>
      </c>
      <c r="AD25" s="328">
        <v>0</v>
      </c>
      <c r="AE25" s="328">
        <v>0</v>
      </c>
      <c r="AF25" s="328">
        <v>0</v>
      </c>
      <c r="AG25" s="328">
        <v>0</v>
      </c>
      <c r="AH25" s="329">
        <f t="shared" si="1"/>
        <v>3</v>
      </c>
    </row>
    <row r="26" spans="1:34" x14ac:dyDescent="0.2">
      <c r="A26" s="20" t="str">
        <f>'School Level Inst. Resources'!A26</f>
        <v>0201000</v>
      </c>
      <c r="B26" s="20" t="str">
        <f>'School Level Inst. Resources'!B26</f>
        <v>Big Horn #1</v>
      </c>
      <c r="C26" s="20" t="str">
        <f>'School Level Inst. Resources'!C26</f>
        <v>0201051</v>
      </c>
      <c r="D26" s="20" t="str">
        <f>'School Level Inst. Resources'!D26</f>
        <v>Rocky Mountain Middle School</v>
      </c>
      <c r="E26" s="138" t="str">
        <f>'School Level Inst. Resources'!E26</f>
        <v>6-8</v>
      </c>
      <c r="F26" s="328">
        <v>0</v>
      </c>
      <c r="G26" s="328">
        <v>0</v>
      </c>
      <c r="H26" s="328">
        <v>0</v>
      </c>
      <c r="I26" s="328">
        <v>0</v>
      </c>
      <c r="J26" s="328">
        <v>0</v>
      </c>
      <c r="K26" s="328">
        <v>0</v>
      </c>
      <c r="L26" s="328">
        <v>23</v>
      </c>
      <c r="M26" s="328">
        <v>36</v>
      </c>
      <c r="N26" s="328">
        <v>46</v>
      </c>
      <c r="O26" s="328">
        <v>0</v>
      </c>
      <c r="P26" s="328">
        <v>0</v>
      </c>
      <c r="Q26" s="328">
        <v>0</v>
      </c>
      <c r="R26" s="328">
        <v>0</v>
      </c>
      <c r="S26" s="329">
        <f t="shared" si="0"/>
        <v>105</v>
      </c>
      <c r="T26" s="327"/>
      <c r="U26" s="328">
        <v>0</v>
      </c>
      <c r="V26" s="328">
        <v>0</v>
      </c>
      <c r="W26" s="328">
        <v>0</v>
      </c>
      <c r="X26" s="328">
        <v>0</v>
      </c>
      <c r="Y26" s="328">
        <v>0</v>
      </c>
      <c r="Z26" s="328">
        <v>0</v>
      </c>
      <c r="AA26" s="328">
        <v>0</v>
      </c>
      <c r="AB26" s="328">
        <v>0</v>
      </c>
      <c r="AC26" s="328">
        <v>0</v>
      </c>
      <c r="AD26" s="328">
        <v>0</v>
      </c>
      <c r="AE26" s="328">
        <v>0</v>
      </c>
      <c r="AF26" s="328">
        <v>0</v>
      </c>
      <c r="AG26" s="328">
        <v>0</v>
      </c>
      <c r="AH26" s="329">
        <f t="shared" si="1"/>
        <v>0</v>
      </c>
    </row>
    <row r="27" spans="1:34" x14ac:dyDescent="0.2">
      <c r="A27" s="20" t="str">
        <f>'School Level Inst. Resources'!A27</f>
        <v>0201000</v>
      </c>
      <c r="B27" s="20" t="str">
        <f>'School Level Inst. Resources'!B27</f>
        <v>Big Horn #1</v>
      </c>
      <c r="C27" s="20" t="str">
        <f>'School Level Inst. Resources'!C27</f>
        <v>0201055</v>
      </c>
      <c r="D27" s="20" t="str">
        <f>'School Level Inst. Resources'!D27</f>
        <v>Burlington High School</v>
      </c>
      <c r="E27" s="138" t="str">
        <f>'School Level Inst. Resources'!E27</f>
        <v>9-12</v>
      </c>
      <c r="F27" s="328">
        <v>0</v>
      </c>
      <c r="G27" s="328">
        <v>0</v>
      </c>
      <c r="H27" s="328">
        <v>0</v>
      </c>
      <c r="I27" s="328">
        <v>0</v>
      </c>
      <c r="J27" s="328">
        <v>0</v>
      </c>
      <c r="K27" s="328">
        <v>0</v>
      </c>
      <c r="L27" s="328">
        <v>0</v>
      </c>
      <c r="M27" s="328">
        <v>0</v>
      </c>
      <c r="N27" s="328">
        <v>0</v>
      </c>
      <c r="O27" s="328">
        <v>6</v>
      </c>
      <c r="P27" s="328">
        <v>6</v>
      </c>
      <c r="Q27" s="328">
        <v>5</v>
      </c>
      <c r="R27" s="328">
        <v>6</v>
      </c>
      <c r="S27" s="329">
        <f t="shared" si="0"/>
        <v>23</v>
      </c>
      <c r="T27" s="327"/>
      <c r="U27" s="328">
        <v>0</v>
      </c>
      <c r="V27" s="328">
        <v>0</v>
      </c>
      <c r="W27" s="328">
        <v>0</v>
      </c>
      <c r="X27" s="328">
        <v>0</v>
      </c>
      <c r="Y27" s="328">
        <v>0</v>
      </c>
      <c r="Z27" s="328">
        <v>0</v>
      </c>
      <c r="AA27" s="328">
        <v>0</v>
      </c>
      <c r="AB27" s="328">
        <v>0</v>
      </c>
      <c r="AC27" s="328">
        <v>0</v>
      </c>
      <c r="AD27" s="328">
        <v>0</v>
      </c>
      <c r="AE27" s="328">
        <v>0</v>
      </c>
      <c r="AF27" s="328">
        <v>0</v>
      </c>
      <c r="AG27" s="328">
        <v>1</v>
      </c>
      <c r="AH27" s="329">
        <f t="shared" si="1"/>
        <v>1</v>
      </c>
    </row>
    <row r="28" spans="1:34" x14ac:dyDescent="0.2">
      <c r="A28" s="20" t="str">
        <f>'School Level Inst. Resources'!A28</f>
        <v>0201000</v>
      </c>
      <c r="B28" s="20" t="str">
        <f>'School Level Inst. Resources'!B28</f>
        <v>Big Horn #1</v>
      </c>
      <c r="C28" s="20" t="str">
        <f>'School Level Inst. Resources'!C28</f>
        <v>0201056</v>
      </c>
      <c r="D28" s="20" t="str">
        <f>'School Level Inst. Resources'!D28</f>
        <v>Rocky Mountain High School</v>
      </c>
      <c r="E28" s="138" t="str">
        <f>'School Level Inst. Resources'!E28</f>
        <v>9-12</v>
      </c>
      <c r="F28" s="328">
        <v>0</v>
      </c>
      <c r="G28" s="328">
        <v>0</v>
      </c>
      <c r="H28" s="328">
        <v>0</v>
      </c>
      <c r="I28" s="328">
        <v>0</v>
      </c>
      <c r="J28" s="328">
        <v>0</v>
      </c>
      <c r="K28" s="328">
        <v>0</v>
      </c>
      <c r="L28" s="328">
        <v>0</v>
      </c>
      <c r="M28" s="328">
        <v>0</v>
      </c>
      <c r="N28" s="328">
        <v>0</v>
      </c>
      <c r="O28" s="328">
        <v>54</v>
      </c>
      <c r="P28" s="328">
        <v>50</v>
      </c>
      <c r="Q28" s="328">
        <v>54</v>
      </c>
      <c r="R28" s="328">
        <v>23</v>
      </c>
      <c r="S28" s="329">
        <f t="shared" si="0"/>
        <v>181</v>
      </c>
      <c r="T28" s="327"/>
      <c r="U28" s="328">
        <v>0</v>
      </c>
      <c r="V28" s="328">
        <v>0</v>
      </c>
      <c r="W28" s="328">
        <v>0</v>
      </c>
      <c r="X28" s="328">
        <v>0</v>
      </c>
      <c r="Y28" s="328">
        <v>0</v>
      </c>
      <c r="Z28" s="328">
        <v>0</v>
      </c>
      <c r="AA28" s="328">
        <v>0</v>
      </c>
      <c r="AB28" s="328">
        <v>0</v>
      </c>
      <c r="AC28" s="328">
        <v>0</v>
      </c>
      <c r="AD28" s="328">
        <v>0</v>
      </c>
      <c r="AE28" s="328">
        <v>0</v>
      </c>
      <c r="AF28" s="328">
        <v>1</v>
      </c>
      <c r="AG28" s="328">
        <v>1</v>
      </c>
      <c r="AH28" s="329">
        <f t="shared" si="1"/>
        <v>2</v>
      </c>
    </row>
    <row r="29" spans="1:34" x14ac:dyDescent="0.2">
      <c r="A29" s="20" t="str">
        <f>'School Level Inst. Resources'!A29</f>
        <v>0202000</v>
      </c>
      <c r="B29" s="20" t="str">
        <f>'School Level Inst. Resources'!B29</f>
        <v>Big Horn #2</v>
      </c>
      <c r="C29" s="20" t="str">
        <f>'School Level Inst. Resources'!C29</f>
        <v>0202001</v>
      </c>
      <c r="D29" s="20" t="str">
        <f>'School Level Inst. Resources'!D29</f>
        <v>Lovell Elementary</v>
      </c>
      <c r="E29" s="138" t="str">
        <f>'School Level Inst. Resources'!E29</f>
        <v>K-5</v>
      </c>
      <c r="F29" s="328">
        <v>33</v>
      </c>
      <c r="G29" s="328">
        <v>38</v>
      </c>
      <c r="H29" s="328">
        <v>24</v>
      </c>
      <c r="I29" s="328">
        <v>21</v>
      </c>
      <c r="J29" s="328">
        <v>27</v>
      </c>
      <c r="K29" s="328">
        <v>23</v>
      </c>
      <c r="L29" s="328">
        <v>0</v>
      </c>
      <c r="M29" s="328">
        <v>0</v>
      </c>
      <c r="N29" s="328">
        <v>0</v>
      </c>
      <c r="O29" s="328">
        <v>0</v>
      </c>
      <c r="P29" s="328">
        <v>0</v>
      </c>
      <c r="Q29" s="328">
        <v>0</v>
      </c>
      <c r="R29" s="328">
        <v>0</v>
      </c>
      <c r="S29" s="329">
        <f t="shared" si="0"/>
        <v>166</v>
      </c>
      <c r="T29" s="327"/>
      <c r="U29" s="328">
        <v>0</v>
      </c>
      <c r="V29" s="328">
        <v>2</v>
      </c>
      <c r="W29" s="328">
        <v>0</v>
      </c>
      <c r="X29" s="328">
        <v>0</v>
      </c>
      <c r="Y29" s="328">
        <v>1</v>
      </c>
      <c r="Z29" s="328">
        <v>1</v>
      </c>
      <c r="AA29" s="328">
        <v>0</v>
      </c>
      <c r="AB29" s="328">
        <v>0</v>
      </c>
      <c r="AC29" s="328">
        <v>0</v>
      </c>
      <c r="AD29" s="328">
        <v>0</v>
      </c>
      <c r="AE29" s="328">
        <v>0</v>
      </c>
      <c r="AF29" s="328">
        <v>0</v>
      </c>
      <c r="AG29" s="328">
        <v>0</v>
      </c>
      <c r="AH29" s="329">
        <f t="shared" si="1"/>
        <v>4</v>
      </c>
    </row>
    <row r="30" spans="1:34" x14ac:dyDescent="0.2">
      <c r="A30" s="20" t="str">
        <f>'School Level Inst. Resources'!A30</f>
        <v>0202000</v>
      </c>
      <c r="B30" s="20" t="str">
        <f>'School Level Inst. Resources'!B30</f>
        <v>Big Horn #2</v>
      </c>
      <c r="C30" s="20" t="str">
        <f>'School Level Inst. Resources'!C30</f>
        <v>0202050</v>
      </c>
      <c r="D30" s="20" t="str">
        <f>'School Level Inst. Resources'!D30</f>
        <v>Lovell Middle School</v>
      </c>
      <c r="E30" s="138" t="str">
        <f>'School Level Inst. Resources'!E30</f>
        <v>6-8</v>
      </c>
      <c r="F30" s="328">
        <v>0</v>
      </c>
      <c r="G30" s="328">
        <v>0</v>
      </c>
      <c r="H30" s="328">
        <v>0</v>
      </c>
      <c r="I30" s="328">
        <v>0</v>
      </c>
      <c r="J30" s="328">
        <v>0</v>
      </c>
      <c r="K30" s="328">
        <v>0</v>
      </c>
      <c r="L30" s="328">
        <v>32</v>
      </c>
      <c r="M30" s="328">
        <v>22</v>
      </c>
      <c r="N30" s="328">
        <v>26</v>
      </c>
      <c r="O30" s="328">
        <v>0</v>
      </c>
      <c r="P30" s="328">
        <v>0</v>
      </c>
      <c r="Q30" s="328">
        <v>0</v>
      </c>
      <c r="R30" s="328">
        <v>0</v>
      </c>
      <c r="S30" s="329">
        <f t="shared" si="0"/>
        <v>80</v>
      </c>
      <c r="T30" s="327"/>
      <c r="U30" s="328">
        <v>0</v>
      </c>
      <c r="V30" s="328">
        <v>0</v>
      </c>
      <c r="W30" s="328">
        <v>0</v>
      </c>
      <c r="X30" s="328">
        <v>0</v>
      </c>
      <c r="Y30" s="328">
        <v>0</v>
      </c>
      <c r="Z30" s="328">
        <v>0</v>
      </c>
      <c r="AA30" s="328">
        <v>0</v>
      </c>
      <c r="AB30" s="328">
        <v>2</v>
      </c>
      <c r="AC30" s="328">
        <v>0</v>
      </c>
      <c r="AD30" s="328">
        <v>0</v>
      </c>
      <c r="AE30" s="328">
        <v>0</v>
      </c>
      <c r="AF30" s="328">
        <v>0</v>
      </c>
      <c r="AG30" s="328">
        <v>0</v>
      </c>
      <c r="AH30" s="329">
        <f t="shared" si="1"/>
        <v>2</v>
      </c>
    </row>
    <row r="31" spans="1:34" x14ac:dyDescent="0.2">
      <c r="A31" s="20" t="str">
        <f>'School Level Inst. Resources'!A31</f>
        <v>0202000</v>
      </c>
      <c r="B31" s="20" t="str">
        <f>'School Level Inst. Resources'!B31</f>
        <v>Big Horn #2</v>
      </c>
      <c r="C31" s="20" t="str">
        <f>'School Level Inst. Resources'!C31</f>
        <v>0202055</v>
      </c>
      <c r="D31" s="20" t="str">
        <f>'School Level Inst. Resources'!D31</f>
        <v>Lovell High School</v>
      </c>
      <c r="E31" s="138" t="str">
        <f>'School Level Inst. Resources'!E31</f>
        <v>9-12</v>
      </c>
      <c r="F31" s="328">
        <v>0</v>
      </c>
      <c r="G31" s="328">
        <v>0</v>
      </c>
      <c r="H31" s="328">
        <v>0</v>
      </c>
      <c r="I31" s="328">
        <v>0</v>
      </c>
      <c r="J31" s="328">
        <v>0</v>
      </c>
      <c r="K31" s="328">
        <v>0</v>
      </c>
      <c r="L31" s="328">
        <v>0</v>
      </c>
      <c r="M31" s="328">
        <v>0</v>
      </c>
      <c r="N31" s="328">
        <v>0</v>
      </c>
      <c r="O31" s="328">
        <v>21</v>
      </c>
      <c r="P31" s="328">
        <v>23</v>
      </c>
      <c r="Q31" s="328">
        <v>11</v>
      </c>
      <c r="R31" s="328">
        <v>6</v>
      </c>
      <c r="S31" s="329">
        <f t="shared" si="0"/>
        <v>61</v>
      </c>
      <c r="T31" s="327"/>
      <c r="U31" s="328">
        <v>0</v>
      </c>
      <c r="V31" s="328">
        <v>0</v>
      </c>
      <c r="W31" s="328">
        <v>0</v>
      </c>
      <c r="X31" s="328">
        <v>0</v>
      </c>
      <c r="Y31" s="328">
        <v>0</v>
      </c>
      <c r="Z31" s="328">
        <v>0</v>
      </c>
      <c r="AA31" s="328">
        <v>0</v>
      </c>
      <c r="AB31" s="328">
        <v>0</v>
      </c>
      <c r="AC31" s="328">
        <v>0</v>
      </c>
      <c r="AD31" s="328">
        <v>2</v>
      </c>
      <c r="AE31" s="328">
        <v>0</v>
      </c>
      <c r="AF31" s="328">
        <v>0</v>
      </c>
      <c r="AG31" s="328">
        <v>0</v>
      </c>
      <c r="AH31" s="329">
        <f t="shared" si="1"/>
        <v>2</v>
      </c>
    </row>
    <row r="32" spans="1:34" x14ac:dyDescent="0.2">
      <c r="A32" s="20" t="str">
        <f>'School Level Inst. Resources'!A32</f>
        <v>0203000</v>
      </c>
      <c r="B32" s="20" t="str">
        <f>'School Level Inst. Resources'!B32</f>
        <v>Big Horn #3</v>
      </c>
      <c r="C32" s="20" t="str">
        <f>'School Level Inst. Resources'!C32</f>
        <v>0203002</v>
      </c>
      <c r="D32" s="20" t="str">
        <f>'School Level Inst. Resources'!D32</f>
        <v>Greybull Elementary</v>
      </c>
      <c r="E32" s="138" t="str">
        <f>'School Level Inst. Resources'!E32</f>
        <v>K-5</v>
      </c>
      <c r="F32" s="328">
        <v>18</v>
      </c>
      <c r="G32" s="328">
        <v>17</v>
      </c>
      <c r="H32" s="328">
        <v>14</v>
      </c>
      <c r="I32" s="328">
        <v>17</v>
      </c>
      <c r="J32" s="328">
        <v>12</v>
      </c>
      <c r="K32" s="328">
        <v>23</v>
      </c>
      <c r="L32" s="328">
        <v>0</v>
      </c>
      <c r="M32" s="328">
        <v>0</v>
      </c>
      <c r="N32" s="328">
        <v>0</v>
      </c>
      <c r="O32" s="328">
        <v>0</v>
      </c>
      <c r="P32" s="328">
        <v>0</v>
      </c>
      <c r="Q32" s="328">
        <v>0</v>
      </c>
      <c r="R32" s="328">
        <v>0</v>
      </c>
      <c r="S32" s="329">
        <f t="shared" si="0"/>
        <v>101</v>
      </c>
      <c r="T32" s="327"/>
      <c r="U32" s="328">
        <v>5</v>
      </c>
      <c r="V32" s="328">
        <v>5</v>
      </c>
      <c r="W32" s="328">
        <v>5</v>
      </c>
      <c r="X32" s="328">
        <v>3</v>
      </c>
      <c r="Y32" s="328">
        <v>2</v>
      </c>
      <c r="Z32" s="328">
        <v>10</v>
      </c>
      <c r="AA32" s="328">
        <v>0</v>
      </c>
      <c r="AB32" s="328">
        <v>0</v>
      </c>
      <c r="AC32" s="328">
        <v>0</v>
      </c>
      <c r="AD32" s="328">
        <v>0</v>
      </c>
      <c r="AE32" s="328">
        <v>0</v>
      </c>
      <c r="AF32" s="328">
        <v>0</v>
      </c>
      <c r="AG32" s="328">
        <v>0</v>
      </c>
      <c r="AH32" s="329">
        <f t="shared" si="1"/>
        <v>30</v>
      </c>
    </row>
    <row r="33" spans="1:34" x14ac:dyDescent="0.2">
      <c r="A33" s="20" t="str">
        <f>'School Level Inst. Resources'!A33</f>
        <v>0203000</v>
      </c>
      <c r="B33" s="20" t="str">
        <f>'School Level Inst. Resources'!B33</f>
        <v>Big Horn #3</v>
      </c>
      <c r="C33" s="20" t="str">
        <f>'School Level Inst. Resources'!C33</f>
        <v>0203050</v>
      </c>
      <c r="D33" s="20" t="str">
        <f>'School Level Inst. Resources'!D33</f>
        <v>Greybull Middle School</v>
      </c>
      <c r="E33" s="138" t="str">
        <f>'School Level Inst. Resources'!E33</f>
        <v>6-8</v>
      </c>
      <c r="F33" s="328">
        <v>0</v>
      </c>
      <c r="G33" s="328">
        <v>0</v>
      </c>
      <c r="H33" s="328">
        <v>0</v>
      </c>
      <c r="I33" s="328">
        <v>0</v>
      </c>
      <c r="J33" s="328">
        <v>0</v>
      </c>
      <c r="K33" s="328">
        <v>0</v>
      </c>
      <c r="L33" s="328">
        <v>22</v>
      </c>
      <c r="M33" s="328">
        <v>19</v>
      </c>
      <c r="N33" s="328">
        <v>14</v>
      </c>
      <c r="O33" s="328">
        <v>0</v>
      </c>
      <c r="P33" s="328">
        <v>0</v>
      </c>
      <c r="Q33" s="328">
        <v>0</v>
      </c>
      <c r="R33" s="328">
        <v>0</v>
      </c>
      <c r="S33" s="329">
        <f t="shared" si="0"/>
        <v>55</v>
      </c>
      <c r="T33" s="327"/>
      <c r="U33" s="328">
        <v>0</v>
      </c>
      <c r="V33" s="328">
        <v>0</v>
      </c>
      <c r="W33" s="328">
        <v>0</v>
      </c>
      <c r="X33" s="328">
        <v>0</v>
      </c>
      <c r="Y33" s="328">
        <v>0</v>
      </c>
      <c r="Z33" s="328">
        <v>0</v>
      </c>
      <c r="AA33" s="328">
        <v>4</v>
      </c>
      <c r="AB33" s="328">
        <v>3</v>
      </c>
      <c r="AC33" s="328">
        <v>1</v>
      </c>
      <c r="AD33" s="328">
        <v>0</v>
      </c>
      <c r="AE33" s="328">
        <v>0</v>
      </c>
      <c r="AF33" s="328">
        <v>0</v>
      </c>
      <c r="AG33" s="328">
        <v>0</v>
      </c>
      <c r="AH33" s="329">
        <f t="shared" si="1"/>
        <v>8</v>
      </c>
    </row>
    <row r="34" spans="1:34" x14ac:dyDescent="0.2">
      <c r="A34" s="20" t="str">
        <f>'School Level Inst. Resources'!A34</f>
        <v>0203000</v>
      </c>
      <c r="B34" s="20" t="str">
        <f>'School Level Inst. Resources'!B34</f>
        <v>Big Horn #3</v>
      </c>
      <c r="C34" s="20" t="str">
        <f>'School Level Inst. Resources'!C34</f>
        <v>0203055</v>
      </c>
      <c r="D34" s="20" t="str">
        <f>'School Level Inst. Resources'!D34</f>
        <v>Greybull High School</v>
      </c>
      <c r="E34" s="138" t="str">
        <f>'School Level Inst. Resources'!E34</f>
        <v>9-12</v>
      </c>
      <c r="F34" s="328">
        <v>0</v>
      </c>
      <c r="G34" s="328">
        <v>0</v>
      </c>
      <c r="H34" s="328">
        <v>0</v>
      </c>
      <c r="I34" s="328">
        <v>0</v>
      </c>
      <c r="J34" s="328">
        <v>0</v>
      </c>
      <c r="K34" s="328">
        <v>0</v>
      </c>
      <c r="L34" s="328">
        <v>0</v>
      </c>
      <c r="M34" s="328">
        <v>0</v>
      </c>
      <c r="N34" s="328">
        <v>0</v>
      </c>
      <c r="O34" s="328">
        <v>26</v>
      </c>
      <c r="P34" s="328">
        <v>17</v>
      </c>
      <c r="Q34" s="328">
        <v>19</v>
      </c>
      <c r="R34" s="328">
        <v>14</v>
      </c>
      <c r="S34" s="329">
        <f t="shared" si="0"/>
        <v>76</v>
      </c>
      <c r="T34" s="327"/>
      <c r="U34" s="328">
        <v>0</v>
      </c>
      <c r="V34" s="328">
        <v>0</v>
      </c>
      <c r="W34" s="328">
        <v>0</v>
      </c>
      <c r="X34" s="328">
        <v>0</v>
      </c>
      <c r="Y34" s="328">
        <v>0</v>
      </c>
      <c r="Z34" s="328">
        <v>0</v>
      </c>
      <c r="AA34" s="328">
        <v>0</v>
      </c>
      <c r="AB34" s="328">
        <v>0</v>
      </c>
      <c r="AC34" s="328">
        <v>0</v>
      </c>
      <c r="AD34" s="328">
        <v>6</v>
      </c>
      <c r="AE34" s="328">
        <v>4</v>
      </c>
      <c r="AF34" s="328">
        <v>1</v>
      </c>
      <c r="AG34" s="328">
        <v>2</v>
      </c>
      <c r="AH34" s="329">
        <f t="shared" si="1"/>
        <v>13</v>
      </c>
    </row>
    <row r="35" spans="1:34" x14ac:dyDescent="0.2">
      <c r="A35" s="20" t="str">
        <f>'School Level Inst. Resources'!A35</f>
        <v>0204000</v>
      </c>
      <c r="B35" s="20" t="str">
        <f>'School Level Inst. Resources'!B35</f>
        <v>Big Horn #4</v>
      </c>
      <c r="C35" s="20" t="str">
        <f>'School Level Inst. Resources'!C35</f>
        <v>0204001</v>
      </c>
      <c r="D35" s="20" t="str">
        <f>'School Level Inst. Resources'!D35</f>
        <v>Laura Irwin Elementary</v>
      </c>
      <c r="E35" s="138" t="str">
        <f>'School Level Inst. Resources'!E35</f>
        <v>K-5</v>
      </c>
      <c r="F35" s="328">
        <v>12</v>
      </c>
      <c r="G35" s="328">
        <v>7</v>
      </c>
      <c r="H35" s="328">
        <v>13</v>
      </c>
      <c r="I35" s="328">
        <v>11</v>
      </c>
      <c r="J35" s="328">
        <v>15</v>
      </c>
      <c r="K35" s="328">
        <v>11</v>
      </c>
      <c r="L35" s="328">
        <v>0</v>
      </c>
      <c r="M35" s="328">
        <v>0</v>
      </c>
      <c r="N35" s="328">
        <v>0</v>
      </c>
      <c r="O35" s="328">
        <v>0</v>
      </c>
      <c r="P35" s="328">
        <v>0</v>
      </c>
      <c r="Q35" s="328">
        <v>0</v>
      </c>
      <c r="R35" s="328">
        <v>0</v>
      </c>
      <c r="S35" s="329">
        <f t="shared" si="0"/>
        <v>69</v>
      </c>
      <c r="T35" s="327"/>
      <c r="U35" s="328">
        <v>0</v>
      </c>
      <c r="V35" s="328">
        <v>0</v>
      </c>
      <c r="W35" s="328">
        <v>0</v>
      </c>
      <c r="X35" s="328">
        <v>0</v>
      </c>
      <c r="Y35" s="328">
        <v>0</v>
      </c>
      <c r="Z35" s="328">
        <v>0</v>
      </c>
      <c r="AA35" s="328">
        <v>0</v>
      </c>
      <c r="AB35" s="328">
        <v>0</v>
      </c>
      <c r="AC35" s="328">
        <v>0</v>
      </c>
      <c r="AD35" s="328">
        <v>0</v>
      </c>
      <c r="AE35" s="328">
        <v>0</v>
      </c>
      <c r="AF35" s="328">
        <v>0</v>
      </c>
      <c r="AG35" s="328">
        <v>0</v>
      </c>
      <c r="AH35" s="329">
        <f t="shared" si="1"/>
        <v>0</v>
      </c>
    </row>
    <row r="36" spans="1:34" x14ac:dyDescent="0.2">
      <c r="A36" s="20" t="str">
        <f>'School Level Inst. Resources'!A36</f>
        <v>0204000</v>
      </c>
      <c r="B36" s="20" t="str">
        <f>'School Level Inst. Resources'!B36</f>
        <v>Big Horn #4</v>
      </c>
      <c r="C36" s="20" t="str">
        <f>'School Level Inst. Resources'!C36</f>
        <v>0204055</v>
      </c>
      <c r="D36" s="20" t="str">
        <f>'School Level Inst. Resources'!D36</f>
        <v>Riverside Middle/High School</v>
      </c>
      <c r="E36" s="138" t="str">
        <f>'School Level Inst. Resources'!E36</f>
        <v>6-12</v>
      </c>
      <c r="F36" s="328">
        <v>0</v>
      </c>
      <c r="G36" s="328">
        <v>0</v>
      </c>
      <c r="H36" s="328">
        <v>0</v>
      </c>
      <c r="I36" s="328">
        <v>0</v>
      </c>
      <c r="J36" s="328">
        <v>0</v>
      </c>
      <c r="K36" s="328">
        <v>0</v>
      </c>
      <c r="L36" s="328">
        <v>9</v>
      </c>
      <c r="M36" s="328">
        <v>6</v>
      </c>
      <c r="N36" s="328">
        <v>13</v>
      </c>
      <c r="O36" s="328">
        <v>17</v>
      </c>
      <c r="P36" s="328">
        <v>11</v>
      </c>
      <c r="Q36" s="328">
        <v>7</v>
      </c>
      <c r="R36" s="328">
        <v>12</v>
      </c>
      <c r="S36" s="329">
        <f t="shared" si="0"/>
        <v>75</v>
      </c>
      <c r="T36" s="327"/>
      <c r="U36" s="328">
        <v>0</v>
      </c>
      <c r="V36" s="328">
        <v>0</v>
      </c>
      <c r="W36" s="328">
        <v>0</v>
      </c>
      <c r="X36" s="328">
        <v>0</v>
      </c>
      <c r="Y36" s="328">
        <v>0</v>
      </c>
      <c r="Z36" s="328">
        <v>0</v>
      </c>
      <c r="AA36" s="328">
        <v>1</v>
      </c>
      <c r="AB36" s="328">
        <v>0</v>
      </c>
      <c r="AC36" s="328">
        <v>0</v>
      </c>
      <c r="AD36" s="328">
        <v>0</v>
      </c>
      <c r="AE36" s="328">
        <v>0</v>
      </c>
      <c r="AF36" s="328">
        <v>0</v>
      </c>
      <c r="AG36" s="328">
        <v>0</v>
      </c>
      <c r="AH36" s="329">
        <f t="shared" si="1"/>
        <v>1</v>
      </c>
    </row>
    <row r="37" spans="1:34" x14ac:dyDescent="0.2">
      <c r="A37" s="20" t="str">
        <f>'School Level Inst. Resources'!A37</f>
        <v>0301000</v>
      </c>
      <c r="B37" s="20" t="str">
        <f>'School Level Inst. Resources'!B37</f>
        <v>Campbell #1</v>
      </c>
      <c r="C37" s="20" t="str">
        <f>'School Level Inst. Resources'!C37</f>
        <v>0301002</v>
      </c>
      <c r="D37" s="20" t="str">
        <f>'School Level Inst. Resources'!D37</f>
        <v>4-J Elementary School</v>
      </c>
      <c r="E37" s="138" t="str">
        <f>'School Level Inst. Resources'!E37</f>
        <v>K-6</v>
      </c>
      <c r="F37" s="328">
        <v>1</v>
      </c>
      <c r="G37" s="328">
        <v>1</v>
      </c>
      <c r="H37" s="328">
        <v>1</v>
      </c>
      <c r="I37" s="328">
        <v>0</v>
      </c>
      <c r="J37" s="328">
        <v>1</v>
      </c>
      <c r="K37" s="328">
        <v>0</v>
      </c>
      <c r="L37" s="328">
        <v>0</v>
      </c>
      <c r="M37" s="328">
        <v>0</v>
      </c>
      <c r="N37" s="328">
        <v>0</v>
      </c>
      <c r="O37" s="328">
        <v>0</v>
      </c>
      <c r="P37" s="328">
        <v>0</v>
      </c>
      <c r="Q37" s="328">
        <v>0</v>
      </c>
      <c r="R37" s="328">
        <v>0</v>
      </c>
      <c r="S37" s="329">
        <f t="shared" ref="S37:S100" si="2">SUM(F37:R37)</f>
        <v>4</v>
      </c>
      <c r="T37" s="327"/>
      <c r="U37" s="328">
        <v>0</v>
      </c>
      <c r="V37" s="328">
        <v>0</v>
      </c>
      <c r="W37" s="328">
        <v>0</v>
      </c>
      <c r="X37" s="328">
        <v>0</v>
      </c>
      <c r="Y37" s="328">
        <v>0</v>
      </c>
      <c r="Z37" s="328">
        <v>0</v>
      </c>
      <c r="AA37" s="328">
        <v>0</v>
      </c>
      <c r="AB37" s="328">
        <v>0</v>
      </c>
      <c r="AC37" s="328">
        <v>0</v>
      </c>
      <c r="AD37" s="328">
        <v>0</v>
      </c>
      <c r="AE37" s="328">
        <v>0</v>
      </c>
      <c r="AF37" s="328">
        <v>0</v>
      </c>
      <c r="AG37" s="328">
        <v>0</v>
      </c>
      <c r="AH37" s="329">
        <f t="shared" si="1"/>
        <v>0</v>
      </c>
    </row>
    <row r="38" spans="1:34" x14ac:dyDescent="0.2">
      <c r="A38" s="20" t="str">
        <f>'School Level Inst. Resources'!A38</f>
        <v>0301000</v>
      </c>
      <c r="B38" s="20" t="str">
        <f>'School Level Inst. Resources'!B38</f>
        <v>Campbell #1</v>
      </c>
      <c r="C38" s="20" t="str">
        <f>'School Level Inst. Resources'!C38</f>
        <v>0301006</v>
      </c>
      <c r="D38" s="20" t="str">
        <f>'School Level Inst. Resources'!D38</f>
        <v>Cottonwood Elementary</v>
      </c>
      <c r="E38" s="138" t="str">
        <f>'School Level Inst. Resources'!E38</f>
        <v>P-6</v>
      </c>
      <c r="F38" s="328">
        <v>7</v>
      </c>
      <c r="G38" s="328">
        <v>9</v>
      </c>
      <c r="H38" s="328">
        <v>14</v>
      </c>
      <c r="I38" s="328">
        <v>6</v>
      </c>
      <c r="J38" s="328">
        <v>20</v>
      </c>
      <c r="K38" s="328">
        <v>12</v>
      </c>
      <c r="L38" s="328">
        <v>15</v>
      </c>
      <c r="M38" s="328">
        <v>0</v>
      </c>
      <c r="N38" s="328">
        <v>0</v>
      </c>
      <c r="O38" s="328">
        <v>0</v>
      </c>
      <c r="P38" s="328">
        <v>0</v>
      </c>
      <c r="Q38" s="328">
        <v>0</v>
      </c>
      <c r="R38" s="328">
        <v>0</v>
      </c>
      <c r="S38" s="329">
        <f t="shared" si="2"/>
        <v>83</v>
      </c>
      <c r="T38" s="327"/>
      <c r="U38" s="328">
        <v>3</v>
      </c>
      <c r="V38" s="328">
        <v>3</v>
      </c>
      <c r="W38" s="328">
        <v>3</v>
      </c>
      <c r="X38" s="328">
        <v>0</v>
      </c>
      <c r="Y38" s="328">
        <v>3</v>
      </c>
      <c r="Z38" s="328">
        <v>1</v>
      </c>
      <c r="AA38" s="328">
        <v>3</v>
      </c>
      <c r="AB38" s="328">
        <v>0</v>
      </c>
      <c r="AC38" s="328">
        <v>0</v>
      </c>
      <c r="AD38" s="328">
        <v>0</v>
      </c>
      <c r="AE38" s="328">
        <v>0</v>
      </c>
      <c r="AF38" s="328">
        <v>0</v>
      </c>
      <c r="AG38" s="328">
        <v>0</v>
      </c>
      <c r="AH38" s="329">
        <f t="shared" si="1"/>
        <v>16</v>
      </c>
    </row>
    <row r="39" spans="1:34" x14ac:dyDescent="0.2">
      <c r="A39" s="20" t="str">
        <f>'School Level Inst. Resources'!A39</f>
        <v>0301000</v>
      </c>
      <c r="B39" s="20" t="str">
        <f>'School Level Inst. Resources'!B39</f>
        <v>Campbell #1</v>
      </c>
      <c r="C39" s="20" t="str">
        <f>'School Level Inst. Resources'!C39</f>
        <v>0301009</v>
      </c>
      <c r="D39" s="20" t="str">
        <f>'School Level Inst. Resources'!D39</f>
        <v>Hillcrest Elementary</v>
      </c>
      <c r="E39" s="138" t="str">
        <f>'School Level Inst. Resources'!E39</f>
        <v>K-6</v>
      </c>
      <c r="F39" s="328">
        <v>48</v>
      </c>
      <c r="G39" s="328">
        <v>28</v>
      </c>
      <c r="H39" s="328">
        <v>42</v>
      </c>
      <c r="I39" s="328">
        <v>44</v>
      </c>
      <c r="J39" s="328">
        <v>41</v>
      </c>
      <c r="K39" s="328">
        <v>33</v>
      </c>
      <c r="L39" s="328">
        <v>41</v>
      </c>
      <c r="M39" s="328">
        <v>0</v>
      </c>
      <c r="N39" s="328">
        <v>0</v>
      </c>
      <c r="O39" s="328">
        <v>0</v>
      </c>
      <c r="P39" s="328">
        <v>0</v>
      </c>
      <c r="Q39" s="328">
        <v>0</v>
      </c>
      <c r="R39" s="328">
        <v>0</v>
      </c>
      <c r="S39" s="329">
        <f t="shared" si="2"/>
        <v>277</v>
      </c>
      <c r="T39" s="327"/>
      <c r="U39" s="328">
        <v>11</v>
      </c>
      <c r="V39" s="328">
        <v>16</v>
      </c>
      <c r="W39" s="328">
        <v>13</v>
      </c>
      <c r="X39" s="328">
        <v>16</v>
      </c>
      <c r="Y39" s="328">
        <v>14</v>
      </c>
      <c r="Z39" s="328">
        <v>11</v>
      </c>
      <c r="AA39" s="328">
        <v>9</v>
      </c>
      <c r="AB39" s="328">
        <v>0</v>
      </c>
      <c r="AC39" s="328">
        <v>0</v>
      </c>
      <c r="AD39" s="328">
        <v>0</v>
      </c>
      <c r="AE39" s="328">
        <v>0</v>
      </c>
      <c r="AF39" s="328">
        <v>0</v>
      </c>
      <c r="AG39" s="328">
        <v>0</v>
      </c>
      <c r="AH39" s="329">
        <f t="shared" si="1"/>
        <v>90</v>
      </c>
    </row>
    <row r="40" spans="1:34" x14ac:dyDescent="0.2">
      <c r="A40" s="20" t="str">
        <f>'School Level Inst. Resources'!A40</f>
        <v>0301000</v>
      </c>
      <c r="B40" s="20" t="str">
        <f>'School Level Inst. Resources'!B40</f>
        <v>Campbell #1</v>
      </c>
      <c r="C40" s="20" t="str">
        <f>'School Level Inst. Resources'!C40</f>
        <v>0301010</v>
      </c>
      <c r="D40" s="20" t="str">
        <f>'School Level Inst. Resources'!D40</f>
        <v>Little Powder Elementary</v>
      </c>
      <c r="E40" s="138" t="str">
        <f>'School Level Inst. Resources'!E40</f>
        <v>K-8</v>
      </c>
      <c r="F40" s="328">
        <v>0</v>
      </c>
      <c r="G40" s="328">
        <v>0</v>
      </c>
      <c r="H40" s="328">
        <v>1</v>
      </c>
      <c r="I40" s="328">
        <v>0</v>
      </c>
      <c r="J40" s="328">
        <v>0</v>
      </c>
      <c r="K40" s="328">
        <v>0</v>
      </c>
      <c r="L40" s="328">
        <v>1</v>
      </c>
      <c r="M40" s="328">
        <v>0</v>
      </c>
      <c r="N40" s="328">
        <v>0</v>
      </c>
      <c r="O40" s="328">
        <v>0</v>
      </c>
      <c r="P40" s="328">
        <v>0</v>
      </c>
      <c r="Q40" s="328">
        <v>0</v>
      </c>
      <c r="R40" s="328">
        <v>0</v>
      </c>
      <c r="S40" s="329">
        <f t="shared" si="2"/>
        <v>2</v>
      </c>
      <c r="T40" s="327"/>
      <c r="U40" s="328">
        <v>0</v>
      </c>
      <c r="V40" s="328">
        <v>0</v>
      </c>
      <c r="W40" s="328">
        <v>1</v>
      </c>
      <c r="X40" s="328">
        <v>0</v>
      </c>
      <c r="Y40" s="328">
        <v>0</v>
      </c>
      <c r="Z40" s="328">
        <v>0</v>
      </c>
      <c r="AA40" s="328">
        <v>0</v>
      </c>
      <c r="AB40" s="328">
        <v>0</v>
      </c>
      <c r="AC40" s="328">
        <v>0</v>
      </c>
      <c r="AD40" s="328">
        <v>0</v>
      </c>
      <c r="AE40" s="328">
        <v>0</v>
      </c>
      <c r="AF40" s="328">
        <v>0</v>
      </c>
      <c r="AG40" s="328">
        <v>0</v>
      </c>
      <c r="AH40" s="329">
        <f t="shared" si="1"/>
        <v>1</v>
      </c>
    </row>
    <row r="41" spans="1:34" x14ac:dyDescent="0.2">
      <c r="A41" s="20" t="str">
        <f>'School Level Inst. Resources'!A41</f>
        <v>0301000</v>
      </c>
      <c r="B41" s="20" t="str">
        <f>'School Level Inst. Resources'!B41</f>
        <v>Campbell #1</v>
      </c>
      <c r="C41" s="20" t="str">
        <f>'School Level Inst. Resources'!C41</f>
        <v>0301011</v>
      </c>
      <c r="D41" s="20" t="str">
        <f>'School Level Inst. Resources'!D41</f>
        <v>Meadowlark Elementary</v>
      </c>
      <c r="E41" s="138" t="str">
        <f>'School Level Inst. Resources'!E41</f>
        <v>K-6</v>
      </c>
      <c r="F41" s="328">
        <v>24</v>
      </c>
      <c r="G41" s="328">
        <v>24</v>
      </c>
      <c r="H41" s="328">
        <v>22</v>
      </c>
      <c r="I41" s="328">
        <v>31</v>
      </c>
      <c r="J41" s="328">
        <v>23</v>
      </c>
      <c r="K41" s="328">
        <v>17</v>
      </c>
      <c r="L41" s="328">
        <v>29</v>
      </c>
      <c r="M41" s="328">
        <v>0</v>
      </c>
      <c r="N41" s="328">
        <v>0</v>
      </c>
      <c r="O41" s="328">
        <v>0</v>
      </c>
      <c r="P41" s="328">
        <v>0</v>
      </c>
      <c r="Q41" s="328">
        <v>0</v>
      </c>
      <c r="R41" s="328">
        <v>0</v>
      </c>
      <c r="S41" s="329">
        <f t="shared" si="2"/>
        <v>170</v>
      </c>
      <c r="T41" s="327"/>
      <c r="U41" s="328">
        <v>2</v>
      </c>
      <c r="V41" s="328">
        <v>6</v>
      </c>
      <c r="W41" s="328">
        <v>8</v>
      </c>
      <c r="X41" s="328">
        <v>6</v>
      </c>
      <c r="Y41" s="328">
        <v>6</v>
      </c>
      <c r="Z41" s="328">
        <v>4</v>
      </c>
      <c r="AA41" s="328">
        <v>5</v>
      </c>
      <c r="AB41" s="328">
        <v>0</v>
      </c>
      <c r="AC41" s="328">
        <v>0</v>
      </c>
      <c r="AD41" s="328">
        <v>0</v>
      </c>
      <c r="AE41" s="328">
        <v>0</v>
      </c>
      <c r="AF41" s="328">
        <v>0</v>
      </c>
      <c r="AG41" s="328">
        <v>0</v>
      </c>
      <c r="AH41" s="329">
        <f t="shared" si="1"/>
        <v>37</v>
      </c>
    </row>
    <row r="42" spans="1:34" x14ac:dyDescent="0.2">
      <c r="A42" s="20" t="str">
        <f>'School Level Inst. Resources'!A42</f>
        <v>0301000</v>
      </c>
      <c r="B42" s="20" t="str">
        <f>'School Level Inst. Resources'!B42</f>
        <v>Campbell #1</v>
      </c>
      <c r="C42" s="20" t="str">
        <f>'School Level Inst. Resources'!C42</f>
        <v>0301012</v>
      </c>
      <c r="D42" s="20" t="str">
        <f>'School Level Inst. Resources'!D42</f>
        <v>Lakeview Elementary</v>
      </c>
      <c r="E42" s="138" t="str">
        <f>'School Level Inst. Resources'!E42</f>
        <v>K-6</v>
      </c>
      <c r="F42" s="328">
        <v>41</v>
      </c>
      <c r="G42" s="328">
        <v>34</v>
      </c>
      <c r="H42" s="328">
        <v>42</v>
      </c>
      <c r="I42" s="328">
        <v>32</v>
      </c>
      <c r="J42" s="328">
        <v>44</v>
      </c>
      <c r="K42" s="328">
        <v>29</v>
      </c>
      <c r="L42" s="328">
        <v>45</v>
      </c>
      <c r="M42" s="328">
        <v>0</v>
      </c>
      <c r="N42" s="328">
        <v>0</v>
      </c>
      <c r="O42" s="328">
        <v>0</v>
      </c>
      <c r="P42" s="328">
        <v>0</v>
      </c>
      <c r="Q42" s="328">
        <v>0</v>
      </c>
      <c r="R42" s="328">
        <v>0</v>
      </c>
      <c r="S42" s="329">
        <f t="shared" si="2"/>
        <v>267</v>
      </c>
      <c r="T42" s="327"/>
      <c r="U42" s="328">
        <v>8</v>
      </c>
      <c r="V42" s="328">
        <v>5</v>
      </c>
      <c r="W42" s="328">
        <v>7</v>
      </c>
      <c r="X42" s="328">
        <v>4</v>
      </c>
      <c r="Y42" s="328">
        <v>2</v>
      </c>
      <c r="Z42" s="328">
        <v>8</v>
      </c>
      <c r="AA42" s="328">
        <v>3</v>
      </c>
      <c r="AB42" s="328">
        <v>0</v>
      </c>
      <c r="AC42" s="328">
        <v>0</v>
      </c>
      <c r="AD42" s="328">
        <v>0</v>
      </c>
      <c r="AE42" s="328">
        <v>0</v>
      </c>
      <c r="AF42" s="328">
        <v>0</v>
      </c>
      <c r="AG42" s="328">
        <v>0</v>
      </c>
      <c r="AH42" s="329">
        <f t="shared" si="1"/>
        <v>37</v>
      </c>
    </row>
    <row r="43" spans="1:34" x14ac:dyDescent="0.2">
      <c r="A43" s="20" t="str">
        <f>'School Level Inst. Resources'!A43</f>
        <v>0301000</v>
      </c>
      <c r="B43" s="20" t="str">
        <f>'School Level Inst. Resources'!B43</f>
        <v>Campbell #1</v>
      </c>
      <c r="C43" s="20" t="str">
        <f>'School Level Inst. Resources'!C43</f>
        <v>0301013</v>
      </c>
      <c r="D43" s="20" t="str">
        <f>'School Level Inst. Resources'!D43</f>
        <v>Rawhide Elementary</v>
      </c>
      <c r="E43" s="138" t="str">
        <f>'School Level Inst. Resources'!E43</f>
        <v>K-6</v>
      </c>
      <c r="F43" s="328">
        <v>28</v>
      </c>
      <c r="G43" s="328">
        <v>22</v>
      </c>
      <c r="H43" s="328">
        <v>22</v>
      </c>
      <c r="I43" s="328">
        <v>25</v>
      </c>
      <c r="J43" s="328">
        <v>21</v>
      </c>
      <c r="K43" s="328">
        <v>21</v>
      </c>
      <c r="L43" s="328">
        <v>20</v>
      </c>
      <c r="M43" s="328">
        <v>0</v>
      </c>
      <c r="N43" s="328">
        <v>0</v>
      </c>
      <c r="O43" s="328">
        <v>0</v>
      </c>
      <c r="P43" s="328">
        <v>0</v>
      </c>
      <c r="Q43" s="328">
        <v>0</v>
      </c>
      <c r="R43" s="328">
        <v>0</v>
      </c>
      <c r="S43" s="329">
        <f t="shared" si="2"/>
        <v>159</v>
      </c>
      <c r="T43" s="327"/>
      <c r="U43" s="328">
        <v>8</v>
      </c>
      <c r="V43" s="328">
        <v>14</v>
      </c>
      <c r="W43" s="328">
        <v>10</v>
      </c>
      <c r="X43" s="328">
        <v>8</v>
      </c>
      <c r="Y43" s="328">
        <v>10</v>
      </c>
      <c r="Z43" s="328">
        <v>13</v>
      </c>
      <c r="AA43" s="328">
        <v>6</v>
      </c>
      <c r="AB43" s="328">
        <v>0</v>
      </c>
      <c r="AC43" s="328">
        <v>0</v>
      </c>
      <c r="AD43" s="328">
        <v>0</v>
      </c>
      <c r="AE43" s="328">
        <v>0</v>
      </c>
      <c r="AF43" s="328">
        <v>0</v>
      </c>
      <c r="AG43" s="328">
        <v>0</v>
      </c>
      <c r="AH43" s="329">
        <f t="shared" si="1"/>
        <v>69</v>
      </c>
    </row>
    <row r="44" spans="1:34" x14ac:dyDescent="0.2">
      <c r="A44" s="20" t="str">
        <f>'School Level Inst. Resources'!A44</f>
        <v>0301000</v>
      </c>
      <c r="B44" s="20" t="str">
        <f>'School Level Inst. Resources'!B44</f>
        <v>Campbell #1</v>
      </c>
      <c r="C44" s="20" t="str">
        <f>'School Level Inst. Resources'!C44</f>
        <v>0301014</v>
      </c>
      <c r="D44" s="20" t="str">
        <f>'School Level Inst. Resources'!D44</f>
        <v>Recluse School</v>
      </c>
      <c r="E44" s="138" t="str">
        <f>'School Level Inst. Resources'!E44</f>
        <v>K-8</v>
      </c>
      <c r="F44" s="328">
        <v>0</v>
      </c>
      <c r="G44" s="328">
        <v>1</v>
      </c>
      <c r="H44" s="328">
        <v>1</v>
      </c>
      <c r="I44" s="328">
        <v>3</v>
      </c>
      <c r="J44" s="328">
        <v>2</v>
      </c>
      <c r="K44" s="328">
        <v>3</v>
      </c>
      <c r="L44" s="328">
        <v>0</v>
      </c>
      <c r="M44" s="328">
        <v>1</v>
      </c>
      <c r="N44" s="328">
        <v>0</v>
      </c>
      <c r="O44" s="328">
        <v>0</v>
      </c>
      <c r="P44" s="328">
        <v>0</v>
      </c>
      <c r="Q44" s="328">
        <v>0</v>
      </c>
      <c r="R44" s="328">
        <v>0</v>
      </c>
      <c r="S44" s="329">
        <f t="shared" si="2"/>
        <v>11</v>
      </c>
      <c r="T44" s="327"/>
      <c r="U44" s="328">
        <v>0</v>
      </c>
      <c r="V44" s="328">
        <v>0</v>
      </c>
      <c r="W44" s="328">
        <v>0</v>
      </c>
      <c r="X44" s="328">
        <v>0</v>
      </c>
      <c r="Y44" s="328">
        <v>0</v>
      </c>
      <c r="Z44" s="328">
        <v>0</v>
      </c>
      <c r="AA44" s="328">
        <v>0</v>
      </c>
      <c r="AB44" s="328">
        <v>0</v>
      </c>
      <c r="AC44" s="328">
        <v>0</v>
      </c>
      <c r="AD44" s="328">
        <v>0</v>
      </c>
      <c r="AE44" s="328">
        <v>0</v>
      </c>
      <c r="AF44" s="328">
        <v>0</v>
      </c>
      <c r="AG44" s="328">
        <v>0</v>
      </c>
      <c r="AH44" s="329">
        <f t="shared" si="1"/>
        <v>0</v>
      </c>
    </row>
    <row r="45" spans="1:34" x14ac:dyDescent="0.2">
      <c r="A45" s="20" t="str">
        <f>'School Level Inst. Resources'!A45</f>
        <v>0301000</v>
      </c>
      <c r="B45" s="20" t="str">
        <f>'School Level Inst. Resources'!B45</f>
        <v>Campbell #1</v>
      </c>
      <c r="C45" s="20" t="str">
        <f>'School Level Inst. Resources'!C45</f>
        <v>0301015</v>
      </c>
      <c r="D45" s="20" t="str">
        <f>'School Level Inst. Resources'!D45</f>
        <v>Rozet Elementary</v>
      </c>
      <c r="E45" s="138" t="str">
        <f>'School Level Inst. Resources'!E45</f>
        <v>K-6</v>
      </c>
      <c r="F45" s="328">
        <v>9</v>
      </c>
      <c r="G45" s="328">
        <v>20</v>
      </c>
      <c r="H45" s="328">
        <v>19</v>
      </c>
      <c r="I45" s="328">
        <v>22</v>
      </c>
      <c r="J45" s="328">
        <v>19</v>
      </c>
      <c r="K45" s="328">
        <v>14</v>
      </c>
      <c r="L45" s="328">
        <v>14</v>
      </c>
      <c r="M45" s="328">
        <v>0</v>
      </c>
      <c r="N45" s="328">
        <v>0</v>
      </c>
      <c r="O45" s="328">
        <v>0</v>
      </c>
      <c r="P45" s="328">
        <v>0</v>
      </c>
      <c r="Q45" s="328">
        <v>0</v>
      </c>
      <c r="R45" s="328">
        <v>0</v>
      </c>
      <c r="S45" s="329">
        <f t="shared" si="2"/>
        <v>117</v>
      </c>
      <c r="T45" s="327"/>
      <c r="U45" s="328">
        <v>0</v>
      </c>
      <c r="V45" s="328">
        <v>1</v>
      </c>
      <c r="W45" s="328">
        <v>0</v>
      </c>
      <c r="X45" s="328">
        <v>2</v>
      </c>
      <c r="Y45" s="328">
        <v>0</v>
      </c>
      <c r="Z45" s="328">
        <v>1</v>
      </c>
      <c r="AA45" s="328">
        <v>1</v>
      </c>
      <c r="AB45" s="328">
        <v>0</v>
      </c>
      <c r="AC45" s="328">
        <v>0</v>
      </c>
      <c r="AD45" s="328">
        <v>0</v>
      </c>
      <c r="AE45" s="328">
        <v>0</v>
      </c>
      <c r="AF45" s="328">
        <v>0</v>
      </c>
      <c r="AG45" s="328">
        <v>0</v>
      </c>
      <c r="AH45" s="329">
        <f t="shared" si="1"/>
        <v>5</v>
      </c>
    </row>
    <row r="46" spans="1:34" x14ac:dyDescent="0.2">
      <c r="A46" s="20" t="str">
        <f>'School Level Inst. Resources'!A46</f>
        <v>0301000</v>
      </c>
      <c r="B46" s="20" t="str">
        <f>'School Level Inst. Resources'!B46</f>
        <v>Campbell #1</v>
      </c>
      <c r="C46" s="20" t="str">
        <f>'School Level Inst. Resources'!C46</f>
        <v>0301017</v>
      </c>
      <c r="D46" s="20" t="str">
        <f>'School Level Inst. Resources'!D46</f>
        <v>Prairie Wind Elementary</v>
      </c>
      <c r="E46" s="138" t="str">
        <f>'School Level Inst. Resources'!E46</f>
        <v>K-6</v>
      </c>
      <c r="F46" s="328">
        <v>16</v>
      </c>
      <c r="G46" s="328">
        <v>19</v>
      </c>
      <c r="H46" s="328">
        <v>24</v>
      </c>
      <c r="I46" s="328">
        <v>27</v>
      </c>
      <c r="J46" s="328">
        <v>17</v>
      </c>
      <c r="K46" s="328">
        <v>21</v>
      </c>
      <c r="L46" s="328">
        <v>27</v>
      </c>
      <c r="M46" s="328">
        <v>0</v>
      </c>
      <c r="N46" s="328">
        <v>0</v>
      </c>
      <c r="O46" s="328">
        <v>0</v>
      </c>
      <c r="P46" s="328">
        <v>0</v>
      </c>
      <c r="Q46" s="328">
        <v>0</v>
      </c>
      <c r="R46" s="328">
        <v>0</v>
      </c>
      <c r="S46" s="329">
        <f t="shared" si="2"/>
        <v>151</v>
      </c>
      <c r="T46" s="327"/>
      <c r="U46" s="328">
        <v>1</v>
      </c>
      <c r="V46" s="328">
        <v>1</v>
      </c>
      <c r="W46" s="328">
        <v>2</v>
      </c>
      <c r="X46" s="328">
        <v>1</v>
      </c>
      <c r="Y46" s="328">
        <v>3</v>
      </c>
      <c r="Z46" s="328">
        <v>3</v>
      </c>
      <c r="AA46" s="328">
        <v>0</v>
      </c>
      <c r="AB46" s="328">
        <v>0</v>
      </c>
      <c r="AC46" s="328">
        <v>0</v>
      </c>
      <c r="AD46" s="328">
        <v>0</v>
      </c>
      <c r="AE46" s="328">
        <v>0</v>
      </c>
      <c r="AF46" s="328">
        <v>0</v>
      </c>
      <c r="AG46" s="328">
        <v>0</v>
      </c>
      <c r="AH46" s="329">
        <f t="shared" si="1"/>
        <v>11</v>
      </c>
    </row>
    <row r="47" spans="1:34" x14ac:dyDescent="0.2">
      <c r="A47" s="20" t="str">
        <f>'School Level Inst. Resources'!A47</f>
        <v>0301000</v>
      </c>
      <c r="B47" s="20" t="str">
        <f>'School Level Inst. Resources'!B47</f>
        <v>Campbell #1</v>
      </c>
      <c r="C47" s="20" t="str">
        <f>'School Level Inst. Resources'!C47</f>
        <v>0301019</v>
      </c>
      <c r="D47" s="20" t="str">
        <f>'School Level Inst. Resources'!D47</f>
        <v>Wagonwheel Elementary</v>
      </c>
      <c r="E47" s="138" t="str">
        <f>'School Level Inst. Resources'!E47</f>
        <v>K-6</v>
      </c>
      <c r="F47" s="328">
        <v>18</v>
      </c>
      <c r="G47" s="328">
        <v>27</v>
      </c>
      <c r="H47" s="328">
        <v>20</v>
      </c>
      <c r="I47" s="328">
        <v>37</v>
      </c>
      <c r="J47" s="328">
        <v>20</v>
      </c>
      <c r="K47" s="328">
        <v>13</v>
      </c>
      <c r="L47" s="328">
        <v>33</v>
      </c>
      <c r="M47" s="328">
        <v>0</v>
      </c>
      <c r="N47" s="328">
        <v>0</v>
      </c>
      <c r="O47" s="328">
        <v>0</v>
      </c>
      <c r="P47" s="328">
        <v>0</v>
      </c>
      <c r="Q47" s="328">
        <v>0</v>
      </c>
      <c r="R47" s="328">
        <v>0</v>
      </c>
      <c r="S47" s="329">
        <f t="shared" si="2"/>
        <v>168</v>
      </c>
      <c r="T47" s="327"/>
      <c r="U47" s="328">
        <v>5</v>
      </c>
      <c r="V47" s="328">
        <v>3</v>
      </c>
      <c r="W47" s="328">
        <v>2</v>
      </c>
      <c r="X47" s="328">
        <v>5</v>
      </c>
      <c r="Y47" s="328">
        <v>2</v>
      </c>
      <c r="Z47" s="328">
        <v>2</v>
      </c>
      <c r="AA47" s="328">
        <v>2</v>
      </c>
      <c r="AB47" s="328">
        <v>0</v>
      </c>
      <c r="AC47" s="328">
        <v>0</v>
      </c>
      <c r="AD47" s="328">
        <v>0</v>
      </c>
      <c r="AE47" s="328">
        <v>0</v>
      </c>
      <c r="AF47" s="328">
        <v>0</v>
      </c>
      <c r="AG47" s="328">
        <v>0</v>
      </c>
      <c r="AH47" s="329">
        <f t="shared" si="1"/>
        <v>21</v>
      </c>
    </row>
    <row r="48" spans="1:34" x14ac:dyDescent="0.2">
      <c r="A48" s="20" t="str">
        <f>'School Level Inst. Resources'!A48</f>
        <v>0301000</v>
      </c>
      <c r="B48" s="20" t="str">
        <f>'School Level Inst. Resources'!B48</f>
        <v>Campbell #1</v>
      </c>
      <c r="C48" s="20" t="str">
        <f>'School Level Inst. Resources'!C48</f>
        <v>0301021</v>
      </c>
      <c r="D48" s="20" t="str">
        <f>'School Level Inst. Resources'!D48</f>
        <v>Paintbrush Elementary</v>
      </c>
      <c r="E48" s="138" t="str">
        <f>'School Level Inst. Resources'!E48</f>
        <v>K-6</v>
      </c>
      <c r="F48" s="328">
        <v>8</v>
      </c>
      <c r="G48" s="328">
        <v>12</v>
      </c>
      <c r="H48" s="328">
        <v>14</v>
      </c>
      <c r="I48" s="328">
        <v>9</v>
      </c>
      <c r="J48" s="328">
        <v>13</v>
      </c>
      <c r="K48" s="328">
        <v>7</v>
      </c>
      <c r="L48" s="328">
        <v>18</v>
      </c>
      <c r="M48" s="328">
        <v>0</v>
      </c>
      <c r="N48" s="328">
        <v>0</v>
      </c>
      <c r="O48" s="328">
        <v>0</v>
      </c>
      <c r="P48" s="328">
        <v>0</v>
      </c>
      <c r="Q48" s="328">
        <v>0</v>
      </c>
      <c r="R48" s="328">
        <v>0</v>
      </c>
      <c r="S48" s="329">
        <f t="shared" si="2"/>
        <v>81</v>
      </c>
      <c r="T48" s="327"/>
      <c r="U48" s="328">
        <v>0</v>
      </c>
      <c r="V48" s="328">
        <v>2</v>
      </c>
      <c r="W48" s="328">
        <v>1</v>
      </c>
      <c r="X48" s="328">
        <v>1</v>
      </c>
      <c r="Y48" s="328">
        <v>1</v>
      </c>
      <c r="Z48" s="328">
        <v>0</v>
      </c>
      <c r="AA48" s="328">
        <v>0</v>
      </c>
      <c r="AB48" s="328">
        <v>0</v>
      </c>
      <c r="AC48" s="328">
        <v>0</v>
      </c>
      <c r="AD48" s="328">
        <v>0</v>
      </c>
      <c r="AE48" s="328">
        <v>0</v>
      </c>
      <c r="AF48" s="328">
        <v>0</v>
      </c>
      <c r="AG48" s="328">
        <v>0</v>
      </c>
      <c r="AH48" s="329">
        <f t="shared" si="1"/>
        <v>5</v>
      </c>
    </row>
    <row r="49" spans="1:34" x14ac:dyDescent="0.2">
      <c r="A49" s="20" t="str">
        <f>'School Level Inst. Resources'!A49</f>
        <v>0301000</v>
      </c>
      <c r="B49" s="20" t="str">
        <f>'School Level Inst. Resources'!B49</f>
        <v>Campbell #1</v>
      </c>
      <c r="C49" s="20" t="str">
        <f>'School Level Inst. Resources'!C49</f>
        <v>0301022</v>
      </c>
      <c r="D49" s="20" t="str">
        <f>'School Level Inst. Resources'!D49</f>
        <v>Conestoga Elementary</v>
      </c>
      <c r="E49" s="138" t="str">
        <f>'School Level Inst. Resources'!E49</f>
        <v>K-6</v>
      </c>
      <c r="F49" s="328">
        <v>19</v>
      </c>
      <c r="G49" s="328">
        <v>19</v>
      </c>
      <c r="H49" s="328">
        <v>20</v>
      </c>
      <c r="I49" s="328">
        <v>26</v>
      </c>
      <c r="J49" s="328">
        <v>24</v>
      </c>
      <c r="K49" s="328">
        <v>23</v>
      </c>
      <c r="L49" s="328">
        <v>21</v>
      </c>
      <c r="M49" s="328">
        <v>0</v>
      </c>
      <c r="N49" s="328">
        <v>0</v>
      </c>
      <c r="O49" s="328">
        <v>0</v>
      </c>
      <c r="P49" s="328">
        <v>0</v>
      </c>
      <c r="Q49" s="328">
        <v>0</v>
      </c>
      <c r="R49" s="328">
        <v>0</v>
      </c>
      <c r="S49" s="329">
        <f t="shared" si="2"/>
        <v>152</v>
      </c>
      <c r="T49" s="327"/>
      <c r="U49" s="328">
        <v>1</v>
      </c>
      <c r="V49" s="328">
        <v>2</v>
      </c>
      <c r="W49" s="328">
        <v>1</v>
      </c>
      <c r="X49" s="328">
        <v>2</v>
      </c>
      <c r="Y49" s="328">
        <v>0</v>
      </c>
      <c r="Z49" s="328">
        <v>0</v>
      </c>
      <c r="AA49" s="328">
        <v>0</v>
      </c>
      <c r="AB49" s="328">
        <v>0</v>
      </c>
      <c r="AC49" s="328">
        <v>0</v>
      </c>
      <c r="AD49" s="328">
        <v>0</v>
      </c>
      <c r="AE49" s="328">
        <v>0</v>
      </c>
      <c r="AF49" s="328">
        <v>0</v>
      </c>
      <c r="AG49" s="328">
        <v>0</v>
      </c>
      <c r="AH49" s="329">
        <f t="shared" si="1"/>
        <v>6</v>
      </c>
    </row>
    <row r="50" spans="1:34" x14ac:dyDescent="0.2">
      <c r="A50" s="20" t="str">
        <f>'School Level Inst. Resources'!A50</f>
        <v>0301000</v>
      </c>
      <c r="B50" s="20" t="str">
        <f>'School Level Inst. Resources'!B50</f>
        <v>Campbell #1</v>
      </c>
      <c r="C50" s="20" t="str">
        <f>'School Level Inst. Resources'!C50</f>
        <v>0301023</v>
      </c>
      <c r="D50" s="20" t="str">
        <f>'School Level Inst. Resources'!D50</f>
        <v>Sunflower Elementary</v>
      </c>
      <c r="E50" s="138" t="str">
        <f>'School Level Inst. Resources'!E50</f>
        <v>K-6</v>
      </c>
      <c r="F50" s="328">
        <v>36</v>
      </c>
      <c r="G50" s="328">
        <v>29</v>
      </c>
      <c r="H50" s="328">
        <v>30</v>
      </c>
      <c r="I50" s="328">
        <v>18</v>
      </c>
      <c r="J50" s="328">
        <v>27</v>
      </c>
      <c r="K50" s="328">
        <v>20</v>
      </c>
      <c r="L50" s="328">
        <v>26</v>
      </c>
      <c r="M50" s="328">
        <v>0</v>
      </c>
      <c r="N50" s="328">
        <v>0</v>
      </c>
      <c r="O50" s="328">
        <v>0</v>
      </c>
      <c r="P50" s="328">
        <v>0</v>
      </c>
      <c r="Q50" s="328">
        <v>0</v>
      </c>
      <c r="R50" s="328">
        <v>0</v>
      </c>
      <c r="S50" s="329">
        <f t="shared" si="2"/>
        <v>186</v>
      </c>
      <c r="T50" s="327"/>
      <c r="U50" s="328">
        <v>0</v>
      </c>
      <c r="V50" s="328">
        <v>4</v>
      </c>
      <c r="W50" s="328">
        <v>2</v>
      </c>
      <c r="X50" s="328">
        <v>2</v>
      </c>
      <c r="Y50" s="328">
        <v>2</v>
      </c>
      <c r="Z50" s="328">
        <v>0</v>
      </c>
      <c r="AA50" s="328">
        <v>1</v>
      </c>
      <c r="AB50" s="328">
        <v>0</v>
      </c>
      <c r="AC50" s="328">
        <v>0</v>
      </c>
      <c r="AD50" s="328">
        <v>0</v>
      </c>
      <c r="AE50" s="328">
        <v>0</v>
      </c>
      <c r="AF50" s="328">
        <v>0</v>
      </c>
      <c r="AG50" s="328">
        <v>0</v>
      </c>
      <c r="AH50" s="329">
        <f t="shared" si="1"/>
        <v>11</v>
      </c>
    </row>
    <row r="51" spans="1:34" x14ac:dyDescent="0.2">
      <c r="A51" s="20" t="str">
        <f>'School Level Inst. Resources'!A51</f>
        <v>0301000</v>
      </c>
      <c r="B51" s="20" t="str">
        <f>'School Level Inst. Resources'!B51</f>
        <v>Campbell #1</v>
      </c>
      <c r="C51" s="20" t="str">
        <f>'School Level Inst. Resources'!C51</f>
        <v>0301024</v>
      </c>
      <c r="D51" s="20" t="str">
        <f>'School Level Inst. Resources'!D51</f>
        <v>Pronghorn Elementary</v>
      </c>
      <c r="E51" s="138" t="str">
        <f>'School Level Inst. Resources'!E51</f>
        <v>K-6</v>
      </c>
      <c r="F51" s="328">
        <v>22</v>
      </c>
      <c r="G51" s="328">
        <v>14</v>
      </c>
      <c r="H51" s="328">
        <v>19</v>
      </c>
      <c r="I51" s="328">
        <v>15</v>
      </c>
      <c r="J51" s="328">
        <v>15</v>
      </c>
      <c r="K51" s="328">
        <v>13</v>
      </c>
      <c r="L51" s="328">
        <v>10</v>
      </c>
      <c r="M51" s="328">
        <v>0</v>
      </c>
      <c r="N51" s="328">
        <v>0</v>
      </c>
      <c r="O51" s="328">
        <v>0</v>
      </c>
      <c r="P51" s="328">
        <v>0</v>
      </c>
      <c r="Q51" s="328">
        <v>0</v>
      </c>
      <c r="R51" s="328">
        <v>0</v>
      </c>
      <c r="S51" s="329">
        <f t="shared" si="2"/>
        <v>108</v>
      </c>
      <c r="T51" s="327"/>
      <c r="U51" s="328">
        <v>1</v>
      </c>
      <c r="V51" s="328">
        <v>0</v>
      </c>
      <c r="W51" s="328">
        <v>0</v>
      </c>
      <c r="X51" s="328">
        <v>1</v>
      </c>
      <c r="Y51" s="328">
        <v>0</v>
      </c>
      <c r="Z51" s="328">
        <v>2</v>
      </c>
      <c r="AA51" s="328">
        <v>0</v>
      </c>
      <c r="AB51" s="328">
        <v>0</v>
      </c>
      <c r="AC51" s="328">
        <v>0</v>
      </c>
      <c r="AD51" s="328">
        <v>0</v>
      </c>
      <c r="AE51" s="328">
        <v>0</v>
      </c>
      <c r="AF51" s="328">
        <v>0</v>
      </c>
      <c r="AG51" s="328">
        <v>0</v>
      </c>
      <c r="AH51" s="329">
        <f t="shared" si="1"/>
        <v>4</v>
      </c>
    </row>
    <row r="52" spans="1:34" x14ac:dyDescent="0.2">
      <c r="A52" s="20" t="str">
        <f>'School Level Inst. Resources'!A52</f>
        <v>0301000</v>
      </c>
      <c r="B52" s="20" t="str">
        <f>'School Level Inst. Resources'!B52</f>
        <v>Campbell #1</v>
      </c>
      <c r="C52" s="20" t="str">
        <f>'School Level Inst. Resources'!C52</f>
        <v>0301025</v>
      </c>
      <c r="D52" s="20" t="str">
        <f>'School Level Inst. Resources'!D52</f>
        <v>Buffalo Ridge Elementary</v>
      </c>
      <c r="E52" s="138" t="str">
        <f>'School Level Inst. Resources'!E52</f>
        <v>K-6</v>
      </c>
      <c r="F52" s="328">
        <v>13</v>
      </c>
      <c r="G52" s="328">
        <v>18</v>
      </c>
      <c r="H52" s="328">
        <v>21</v>
      </c>
      <c r="I52" s="328">
        <v>18</v>
      </c>
      <c r="J52" s="328">
        <v>21</v>
      </c>
      <c r="K52" s="328">
        <v>11</v>
      </c>
      <c r="L52" s="328">
        <v>20</v>
      </c>
      <c r="M52" s="328">
        <v>0</v>
      </c>
      <c r="N52" s="328">
        <v>0</v>
      </c>
      <c r="O52" s="328">
        <v>0</v>
      </c>
      <c r="P52" s="328">
        <v>0</v>
      </c>
      <c r="Q52" s="328">
        <v>0</v>
      </c>
      <c r="R52" s="328">
        <v>0</v>
      </c>
      <c r="S52" s="329">
        <f t="shared" si="2"/>
        <v>122</v>
      </c>
      <c r="T52" s="327"/>
      <c r="U52" s="328">
        <v>1</v>
      </c>
      <c r="V52" s="328">
        <v>4</v>
      </c>
      <c r="W52" s="328">
        <v>2</v>
      </c>
      <c r="X52" s="328">
        <v>3</v>
      </c>
      <c r="Y52" s="328">
        <v>3</v>
      </c>
      <c r="Z52" s="328">
        <v>1</v>
      </c>
      <c r="AA52" s="328">
        <v>1</v>
      </c>
      <c r="AB52" s="328">
        <v>0</v>
      </c>
      <c r="AC52" s="328">
        <v>0</v>
      </c>
      <c r="AD52" s="328">
        <v>0</v>
      </c>
      <c r="AE52" s="328">
        <v>0</v>
      </c>
      <c r="AF52" s="328">
        <v>0</v>
      </c>
      <c r="AG52" s="328">
        <v>0</v>
      </c>
      <c r="AH52" s="329">
        <f t="shared" si="1"/>
        <v>15</v>
      </c>
    </row>
    <row r="53" spans="1:34" x14ac:dyDescent="0.2">
      <c r="A53" s="20" t="str">
        <f>'School Level Inst. Resources'!A53</f>
        <v>0301000</v>
      </c>
      <c r="B53" s="20" t="str">
        <f>'School Level Inst. Resources'!B53</f>
        <v>Campbell #1</v>
      </c>
      <c r="C53" s="20" t="str">
        <f>'School Level Inst. Resources'!C53</f>
        <v>0301026</v>
      </c>
      <c r="D53" s="20" t="str">
        <f>'School Level Inst. Resources'!D53</f>
        <v>Stocktrail Elementary</v>
      </c>
      <c r="E53" s="138" t="str">
        <f>'School Level Inst. Resources'!E53</f>
        <v>P-6</v>
      </c>
      <c r="F53" s="328">
        <v>21</v>
      </c>
      <c r="G53" s="328">
        <v>20</v>
      </c>
      <c r="H53" s="328">
        <v>9</v>
      </c>
      <c r="I53" s="328">
        <v>13</v>
      </c>
      <c r="J53" s="328">
        <v>8</v>
      </c>
      <c r="K53" s="328">
        <v>6</v>
      </c>
      <c r="L53" s="328">
        <v>5</v>
      </c>
      <c r="M53" s="328">
        <v>0</v>
      </c>
      <c r="N53" s="328">
        <v>0</v>
      </c>
      <c r="O53" s="328">
        <v>0</v>
      </c>
      <c r="P53" s="328">
        <v>0</v>
      </c>
      <c r="Q53" s="328">
        <v>0</v>
      </c>
      <c r="R53" s="328">
        <v>0</v>
      </c>
      <c r="S53" s="329">
        <f t="shared" si="2"/>
        <v>82</v>
      </c>
      <c r="T53" s="327"/>
      <c r="U53" s="328">
        <v>2</v>
      </c>
      <c r="V53" s="328">
        <v>8</v>
      </c>
      <c r="W53" s="328">
        <v>1</v>
      </c>
      <c r="X53" s="328">
        <v>2</v>
      </c>
      <c r="Y53" s="328">
        <v>1</v>
      </c>
      <c r="Z53" s="328">
        <v>1</v>
      </c>
      <c r="AA53" s="328">
        <v>0</v>
      </c>
      <c r="AB53" s="328">
        <v>0</v>
      </c>
      <c r="AC53" s="328">
        <v>0</v>
      </c>
      <c r="AD53" s="328">
        <v>0</v>
      </c>
      <c r="AE53" s="328">
        <v>0</v>
      </c>
      <c r="AF53" s="328">
        <v>0</v>
      </c>
      <c r="AG53" s="328">
        <v>0</v>
      </c>
      <c r="AH53" s="329">
        <f t="shared" si="1"/>
        <v>15</v>
      </c>
    </row>
    <row r="54" spans="1:34" x14ac:dyDescent="0.2">
      <c r="A54" s="20" t="str">
        <f>'School Level Inst. Resources'!A54</f>
        <v>0301000</v>
      </c>
      <c r="B54" s="20" t="str">
        <f>'School Level Inst. Resources'!B54</f>
        <v>Campbell #1</v>
      </c>
      <c r="C54" s="20" t="str">
        <f>'School Level Inst. Resources'!C54</f>
        <v>0301050</v>
      </c>
      <c r="D54" s="20" t="str">
        <f>'School Level Inst. Resources'!D54</f>
        <v>Twin Spruce Junior High School</v>
      </c>
      <c r="E54" s="138" t="str">
        <f>'School Level Inst. Resources'!E54</f>
        <v>7-8</v>
      </c>
      <c r="F54" s="328">
        <v>0</v>
      </c>
      <c r="G54" s="328">
        <v>0</v>
      </c>
      <c r="H54" s="328">
        <v>0</v>
      </c>
      <c r="I54" s="328">
        <v>0</v>
      </c>
      <c r="J54" s="328">
        <v>0</v>
      </c>
      <c r="K54" s="328">
        <v>0</v>
      </c>
      <c r="L54" s="328">
        <v>0</v>
      </c>
      <c r="M54" s="328">
        <v>159</v>
      </c>
      <c r="N54" s="328">
        <v>145</v>
      </c>
      <c r="O54" s="328">
        <v>0</v>
      </c>
      <c r="P54" s="328">
        <v>0</v>
      </c>
      <c r="Q54" s="328">
        <v>0</v>
      </c>
      <c r="R54" s="328">
        <v>0</v>
      </c>
      <c r="S54" s="329">
        <f t="shared" si="2"/>
        <v>304</v>
      </c>
      <c r="T54" s="327"/>
      <c r="U54" s="328">
        <v>0</v>
      </c>
      <c r="V54" s="328">
        <v>0</v>
      </c>
      <c r="W54" s="328">
        <v>0</v>
      </c>
      <c r="X54" s="328">
        <v>0</v>
      </c>
      <c r="Y54" s="328">
        <v>0</v>
      </c>
      <c r="Z54" s="328">
        <v>0</v>
      </c>
      <c r="AA54" s="328">
        <v>0</v>
      </c>
      <c r="AB54" s="328">
        <v>13</v>
      </c>
      <c r="AC54" s="328">
        <v>11</v>
      </c>
      <c r="AD54" s="328">
        <v>0</v>
      </c>
      <c r="AE54" s="328">
        <v>0</v>
      </c>
      <c r="AF54" s="328">
        <v>0</v>
      </c>
      <c r="AG54" s="328">
        <v>0</v>
      </c>
      <c r="AH54" s="329">
        <f t="shared" si="1"/>
        <v>24</v>
      </c>
    </row>
    <row r="55" spans="1:34" x14ac:dyDescent="0.2">
      <c r="A55" s="20" t="str">
        <f>'School Level Inst. Resources'!A55</f>
        <v>0301000</v>
      </c>
      <c r="B55" s="20" t="str">
        <f>'School Level Inst. Resources'!B55</f>
        <v>Campbell #1</v>
      </c>
      <c r="C55" s="20" t="str">
        <f>'School Level Inst. Resources'!C55</f>
        <v>0301051</v>
      </c>
      <c r="D55" s="20" t="str">
        <f>'School Level Inst. Resources'!D55</f>
        <v>Sage Valley Junior High School</v>
      </c>
      <c r="E55" s="138" t="str">
        <f>'School Level Inst. Resources'!E55</f>
        <v>7-8</v>
      </c>
      <c r="F55" s="328">
        <v>0</v>
      </c>
      <c r="G55" s="328">
        <v>0</v>
      </c>
      <c r="H55" s="328">
        <v>0</v>
      </c>
      <c r="I55" s="328">
        <v>0</v>
      </c>
      <c r="J55" s="328">
        <v>0</v>
      </c>
      <c r="K55" s="328">
        <v>0</v>
      </c>
      <c r="L55" s="328">
        <v>0</v>
      </c>
      <c r="M55" s="328">
        <v>83</v>
      </c>
      <c r="N55" s="328">
        <v>104</v>
      </c>
      <c r="O55" s="328">
        <v>0</v>
      </c>
      <c r="P55" s="328">
        <v>0</v>
      </c>
      <c r="Q55" s="328">
        <v>0</v>
      </c>
      <c r="R55" s="328">
        <v>0</v>
      </c>
      <c r="S55" s="329">
        <f t="shared" si="2"/>
        <v>187</v>
      </c>
      <c r="T55" s="327"/>
      <c r="U55" s="328">
        <v>0</v>
      </c>
      <c r="V55" s="328">
        <v>0</v>
      </c>
      <c r="W55" s="328">
        <v>0</v>
      </c>
      <c r="X55" s="328">
        <v>0</v>
      </c>
      <c r="Y55" s="328">
        <v>0</v>
      </c>
      <c r="Z55" s="328">
        <v>0</v>
      </c>
      <c r="AA55" s="328">
        <v>0</v>
      </c>
      <c r="AB55" s="328">
        <v>4</v>
      </c>
      <c r="AC55" s="328">
        <v>5</v>
      </c>
      <c r="AD55" s="328">
        <v>0</v>
      </c>
      <c r="AE55" s="328">
        <v>0</v>
      </c>
      <c r="AF55" s="328">
        <v>0</v>
      </c>
      <c r="AG55" s="328">
        <v>0</v>
      </c>
      <c r="AH55" s="329">
        <f t="shared" si="1"/>
        <v>9</v>
      </c>
    </row>
    <row r="56" spans="1:34" x14ac:dyDescent="0.2">
      <c r="A56" s="20" t="str">
        <f>'School Level Inst. Resources'!A56</f>
        <v>0301000</v>
      </c>
      <c r="B56" s="20" t="str">
        <f>'School Level Inst. Resources'!B56</f>
        <v>Campbell #1</v>
      </c>
      <c r="C56" s="20" t="str">
        <f>'School Level Inst. Resources'!C56</f>
        <v>0301055</v>
      </c>
      <c r="D56" s="20" t="str">
        <f>'School Level Inst. Resources'!D56</f>
        <v>Campbell County High School</v>
      </c>
      <c r="E56" s="138" t="str">
        <f>'School Level Inst. Resources'!E56</f>
        <v>9-12</v>
      </c>
      <c r="F56" s="328">
        <v>0</v>
      </c>
      <c r="G56" s="328">
        <v>0</v>
      </c>
      <c r="H56" s="328">
        <v>0</v>
      </c>
      <c r="I56" s="328">
        <v>0</v>
      </c>
      <c r="J56" s="328">
        <v>0</v>
      </c>
      <c r="K56" s="328">
        <v>0</v>
      </c>
      <c r="L56" s="328">
        <v>0</v>
      </c>
      <c r="M56" s="328">
        <v>0</v>
      </c>
      <c r="N56" s="328">
        <v>0</v>
      </c>
      <c r="O56" s="328">
        <v>126.5</v>
      </c>
      <c r="P56" s="328">
        <v>106.5</v>
      </c>
      <c r="Q56" s="328">
        <v>76</v>
      </c>
      <c r="R56" s="328">
        <v>58.5</v>
      </c>
      <c r="S56" s="329">
        <f t="shared" si="2"/>
        <v>367.5</v>
      </c>
      <c r="T56" s="327"/>
      <c r="U56" s="328">
        <v>0</v>
      </c>
      <c r="V56" s="328">
        <v>0</v>
      </c>
      <c r="W56" s="328">
        <v>0</v>
      </c>
      <c r="X56" s="328">
        <v>0</v>
      </c>
      <c r="Y56" s="328">
        <v>0</v>
      </c>
      <c r="Z56" s="328">
        <v>0</v>
      </c>
      <c r="AA56" s="328">
        <v>0</v>
      </c>
      <c r="AB56" s="328">
        <v>0</v>
      </c>
      <c r="AC56" s="328">
        <v>0</v>
      </c>
      <c r="AD56" s="328">
        <v>10</v>
      </c>
      <c r="AE56" s="328">
        <v>10</v>
      </c>
      <c r="AF56" s="328">
        <v>5.5</v>
      </c>
      <c r="AG56" s="328">
        <v>8</v>
      </c>
      <c r="AH56" s="329">
        <f t="shared" si="1"/>
        <v>33.5</v>
      </c>
    </row>
    <row r="57" spans="1:34" x14ac:dyDescent="0.2">
      <c r="A57" s="20" t="str">
        <f>'School Level Inst. Resources'!A57</f>
        <v>0301000</v>
      </c>
      <c r="B57" s="20" t="str">
        <f>'School Level Inst. Resources'!B57</f>
        <v>Campbell #1</v>
      </c>
      <c r="C57" s="20" t="str">
        <f>'School Level Inst. Resources'!C57</f>
        <v>0301056</v>
      </c>
      <c r="D57" s="20" t="str">
        <f>'School Level Inst. Resources'!D57</f>
        <v>Wright Jr. &amp; Sr. High School</v>
      </c>
      <c r="E57" s="138" t="str">
        <f>'School Level Inst. Resources'!E57</f>
        <v>7-12</v>
      </c>
      <c r="F57" s="328">
        <v>0</v>
      </c>
      <c r="G57" s="328">
        <v>0</v>
      </c>
      <c r="H57" s="328">
        <v>0</v>
      </c>
      <c r="I57" s="328">
        <v>0</v>
      </c>
      <c r="J57" s="328">
        <v>0</v>
      </c>
      <c r="K57" s="328">
        <v>0</v>
      </c>
      <c r="L57" s="328">
        <v>0</v>
      </c>
      <c r="M57" s="328">
        <v>10</v>
      </c>
      <c r="N57" s="328">
        <v>11</v>
      </c>
      <c r="O57" s="328">
        <v>15</v>
      </c>
      <c r="P57" s="328">
        <v>14</v>
      </c>
      <c r="Q57" s="328">
        <v>9</v>
      </c>
      <c r="R57" s="328">
        <v>5</v>
      </c>
      <c r="S57" s="329">
        <f t="shared" si="2"/>
        <v>64</v>
      </c>
      <c r="T57" s="327"/>
      <c r="U57" s="328">
        <v>0</v>
      </c>
      <c r="V57" s="328">
        <v>0</v>
      </c>
      <c r="W57" s="328">
        <v>0</v>
      </c>
      <c r="X57" s="328">
        <v>0</v>
      </c>
      <c r="Y57" s="328">
        <v>0</v>
      </c>
      <c r="Z57" s="328">
        <v>0</v>
      </c>
      <c r="AA57" s="328">
        <v>0</v>
      </c>
      <c r="AB57" s="328">
        <v>3</v>
      </c>
      <c r="AC57" s="328">
        <v>2</v>
      </c>
      <c r="AD57" s="328">
        <v>1</v>
      </c>
      <c r="AE57" s="328">
        <v>3</v>
      </c>
      <c r="AF57" s="328">
        <v>1</v>
      </c>
      <c r="AG57" s="328">
        <v>1</v>
      </c>
      <c r="AH57" s="329">
        <f t="shared" si="1"/>
        <v>11</v>
      </c>
    </row>
    <row r="58" spans="1:34" x14ac:dyDescent="0.2">
      <c r="A58" s="20" t="str">
        <f>'School Level Inst. Resources'!A58</f>
        <v>0301000</v>
      </c>
      <c r="B58" s="20" t="str">
        <f>'School Level Inst. Resources'!B58</f>
        <v>Campbell #1</v>
      </c>
      <c r="C58" s="20" t="str">
        <f>'School Level Inst. Resources'!C58</f>
        <v>0301057</v>
      </c>
      <c r="D58" s="20" t="str">
        <f>'School Level Inst. Resources'!D58</f>
        <v>Westwood High School</v>
      </c>
      <c r="E58" s="138" t="str">
        <f>'School Level Inst. Resources'!E58</f>
        <v>9-12</v>
      </c>
      <c r="F58" s="328">
        <v>0</v>
      </c>
      <c r="G58" s="328">
        <v>0</v>
      </c>
      <c r="H58" s="328">
        <v>0</v>
      </c>
      <c r="I58" s="328">
        <v>0</v>
      </c>
      <c r="J58" s="328">
        <v>0</v>
      </c>
      <c r="K58" s="328">
        <v>0</v>
      </c>
      <c r="L58" s="328">
        <v>0</v>
      </c>
      <c r="M58" s="328">
        <v>0</v>
      </c>
      <c r="N58" s="328">
        <v>0</v>
      </c>
      <c r="O58" s="328">
        <v>11</v>
      </c>
      <c r="P58" s="328">
        <v>26</v>
      </c>
      <c r="Q58" s="328">
        <v>60</v>
      </c>
      <c r="R58" s="328">
        <v>62</v>
      </c>
      <c r="S58" s="329">
        <f t="shared" si="2"/>
        <v>159</v>
      </c>
      <c r="T58" s="327"/>
      <c r="U58" s="328">
        <v>0</v>
      </c>
      <c r="V58" s="328">
        <v>0</v>
      </c>
      <c r="W58" s="328">
        <v>0</v>
      </c>
      <c r="X58" s="328">
        <v>0</v>
      </c>
      <c r="Y58" s="328">
        <v>0</v>
      </c>
      <c r="Z58" s="328">
        <v>0</v>
      </c>
      <c r="AA58" s="328">
        <v>0</v>
      </c>
      <c r="AB58" s="328">
        <v>0</v>
      </c>
      <c r="AC58" s="328">
        <v>0</v>
      </c>
      <c r="AD58" s="328">
        <v>0</v>
      </c>
      <c r="AE58" s="328">
        <v>0</v>
      </c>
      <c r="AF58" s="328">
        <v>0</v>
      </c>
      <c r="AG58" s="328">
        <v>3</v>
      </c>
      <c r="AH58" s="329">
        <f t="shared" si="1"/>
        <v>3</v>
      </c>
    </row>
    <row r="59" spans="1:34" x14ac:dyDescent="0.2">
      <c r="A59" s="20" t="str">
        <f>'School Level Inst. Resources'!A59</f>
        <v>0301000</v>
      </c>
      <c r="B59" s="20" t="str">
        <f>'School Level Inst. Resources'!B59</f>
        <v>Campbell #1</v>
      </c>
      <c r="C59" s="20" t="str">
        <f>'School Level Inst. Resources'!C59</f>
        <v>0301059</v>
      </c>
      <c r="D59" s="20" t="str">
        <f>'School Level Inst. Resources'!D59</f>
        <v>Thunder Basin High School</v>
      </c>
      <c r="E59" s="138" t="str">
        <f>'School Level Inst. Resources'!E59</f>
        <v>9-12</v>
      </c>
      <c r="F59" s="328">
        <v>0</v>
      </c>
      <c r="G59" s="328">
        <v>0</v>
      </c>
      <c r="H59" s="328">
        <v>0</v>
      </c>
      <c r="I59" s="328">
        <v>0</v>
      </c>
      <c r="J59" s="328">
        <v>0</v>
      </c>
      <c r="K59" s="328">
        <v>0</v>
      </c>
      <c r="L59" s="328">
        <v>0</v>
      </c>
      <c r="M59" s="328">
        <v>0</v>
      </c>
      <c r="N59" s="328">
        <v>0</v>
      </c>
      <c r="O59" s="328">
        <v>126.5</v>
      </c>
      <c r="P59" s="328">
        <v>106.5</v>
      </c>
      <c r="Q59" s="328">
        <v>76</v>
      </c>
      <c r="R59" s="328">
        <v>58.5</v>
      </c>
      <c r="S59" s="329">
        <f t="shared" si="2"/>
        <v>367.5</v>
      </c>
      <c r="T59" s="327"/>
      <c r="U59" s="328">
        <v>0</v>
      </c>
      <c r="V59" s="328">
        <v>0</v>
      </c>
      <c r="W59" s="328">
        <v>0</v>
      </c>
      <c r="X59" s="328">
        <v>0</v>
      </c>
      <c r="Y59" s="328">
        <v>0</v>
      </c>
      <c r="Z59" s="328">
        <v>0</v>
      </c>
      <c r="AA59" s="328">
        <v>0</v>
      </c>
      <c r="AB59" s="328">
        <v>0</v>
      </c>
      <c r="AC59" s="328">
        <v>0</v>
      </c>
      <c r="AD59" s="328">
        <v>10</v>
      </c>
      <c r="AE59" s="328">
        <v>10</v>
      </c>
      <c r="AF59" s="328">
        <v>5.5</v>
      </c>
      <c r="AG59" s="328">
        <v>8</v>
      </c>
      <c r="AH59" s="329">
        <f t="shared" si="1"/>
        <v>33.5</v>
      </c>
    </row>
    <row r="60" spans="1:34" x14ac:dyDescent="0.2">
      <c r="A60" s="20" t="str">
        <f>'School Level Inst. Resources'!A60</f>
        <v>0401000</v>
      </c>
      <c r="B60" s="20" t="str">
        <f>'School Level Inst. Resources'!B60</f>
        <v>Carbon #1</v>
      </c>
      <c r="C60" s="20" t="str">
        <f>'School Level Inst. Resources'!C60</f>
        <v>0401008</v>
      </c>
      <c r="D60" s="20" t="str">
        <f>'School Level Inst. Resources'!D60</f>
        <v>Rawlins Elementary</v>
      </c>
      <c r="E60" s="138" t="str">
        <f>'School Level Inst. Resources'!E60</f>
        <v>K-5</v>
      </c>
      <c r="F60" s="328">
        <v>58</v>
      </c>
      <c r="G60" s="328">
        <v>63</v>
      </c>
      <c r="H60" s="328">
        <v>68</v>
      </c>
      <c r="I60" s="328">
        <v>68</v>
      </c>
      <c r="J60" s="328">
        <v>67</v>
      </c>
      <c r="K60" s="328">
        <v>67</v>
      </c>
      <c r="L60" s="328">
        <v>0</v>
      </c>
      <c r="M60" s="328">
        <v>0</v>
      </c>
      <c r="N60" s="328">
        <v>0</v>
      </c>
      <c r="O60" s="328">
        <v>0</v>
      </c>
      <c r="P60" s="328">
        <v>0</v>
      </c>
      <c r="Q60" s="328">
        <v>0</v>
      </c>
      <c r="R60" s="328">
        <v>0</v>
      </c>
      <c r="S60" s="329">
        <f t="shared" si="2"/>
        <v>391</v>
      </c>
      <c r="T60" s="327"/>
      <c r="U60" s="328">
        <v>12</v>
      </c>
      <c r="V60" s="328">
        <v>24</v>
      </c>
      <c r="W60" s="328">
        <v>21</v>
      </c>
      <c r="X60" s="328">
        <v>11</v>
      </c>
      <c r="Y60" s="328">
        <v>7</v>
      </c>
      <c r="Z60" s="328">
        <v>11</v>
      </c>
      <c r="AA60" s="328">
        <v>0</v>
      </c>
      <c r="AB60" s="328">
        <v>0</v>
      </c>
      <c r="AC60" s="328">
        <v>0</v>
      </c>
      <c r="AD60" s="328">
        <v>0</v>
      </c>
      <c r="AE60" s="328">
        <v>0</v>
      </c>
      <c r="AF60" s="328">
        <v>0</v>
      </c>
      <c r="AG60" s="328">
        <v>0</v>
      </c>
      <c r="AH60" s="329">
        <f t="shared" si="1"/>
        <v>86</v>
      </c>
    </row>
    <row r="61" spans="1:34" x14ac:dyDescent="0.2">
      <c r="A61" s="20" t="str">
        <f>'School Level Inst. Resources'!A61</f>
        <v>0401000</v>
      </c>
      <c r="B61" s="20" t="str">
        <f>'School Level Inst. Resources'!B61</f>
        <v>Carbon #1</v>
      </c>
      <c r="C61" s="20" t="str">
        <f>'School Level Inst. Resources'!C61</f>
        <v>0401049</v>
      </c>
      <c r="D61" s="20" t="str">
        <f>'School Level Inst. Resources'!D61</f>
        <v>Little Snake River Valley School</v>
      </c>
      <c r="E61" s="138" t="str">
        <f>'School Level Inst. Resources'!E61</f>
        <v>K-12</v>
      </c>
      <c r="F61" s="328">
        <v>8</v>
      </c>
      <c r="G61" s="328">
        <v>5</v>
      </c>
      <c r="H61" s="328">
        <v>5</v>
      </c>
      <c r="I61" s="328">
        <v>7</v>
      </c>
      <c r="J61" s="328">
        <v>6</v>
      </c>
      <c r="K61" s="328">
        <v>3</v>
      </c>
      <c r="L61" s="328">
        <v>5</v>
      </c>
      <c r="M61" s="328">
        <v>5</v>
      </c>
      <c r="N61" s="328">
        <v>4</v>
      </c>
      <c r="O61" s="328">
        <v>7</v>
      </c>
      <c r="P61" s="328">
        <v>4</v>
      </c>
      <c r="Q61" s="328">
        <v>4</v>
      </c>
      <c r="R61" s="328">
        <v>1</v>
      </c>
      <c r="S61" s="329">
        <f t="shared" si="2"/>
        <v>64</v>
      </c>
      <c r="T61" s="327"/>
      <c r="U61" s="328">
        <v>0</v>
      </c>
      <c r="V61" s="328">
        <v>0</v>
      </c>
      <c r="W61" s="328">
        <v>3</v>
      </c>
      <c r="X61" s="328">
        <v>1</v>
      </c>
      <c r="Y61" s="328">
        <v>2</v>
      </c>
      <c r="Z61" s="328">
        <v>0</v>
      </c>
      <c r="AA61" s="328">
        <v>1</v>
      </c>
      <c r="AB61" s="328">
        <v>1</v>
      </c>
      <c r="AC61" s="328">
        <v>1</v>
      </c>
      <c r="AD61" s="328">
        <v>1</v>
      </c>
      <c r="AE61" s="328">
        <v>0</v>
      </c>
      <c r="AF61" s="328">
        <v>0</v>
      </c>
      <c r="AG61" s="328">
        <v>0</v>
      </c>
      <c r="AH61" s="329">
        <f t="shared" si="1"/>
        <v>10</v>
      </c>
    </row>
    <row r="62" spans="1:34" x14ac:dyDescent="0.2">
      <c r="A62" s="20" t="str">
        <f>'School Level Inst. Resources'!A62</f>
        <v>0401000</v>
      </c>
      <c r="B62" s="20" t="str">
        <f>'School Level Inst. Resources'!B62</f>
        <v>Carbon #1</v>
      </c>
      <c r="C62" s="20" t="str">
        <f>'School Level Inst. Resources'!C62</f>
        <v>0401050</v>
      </c>
      <c r="D62" s="20" t="str">
        <f>'School Level Inst. Resources'!D62</f>
        <v>Rawlins Middle School</v>
      </c>
      <c r="E62" s="138" t="str">
        <f>'School Level Inst. Resources'!E62</f>
        <v>6-8</v>
      </c>
      <c r="F62" s="328">
        <v>0</v>
      </c>
      <c r="G62" s="328">
        <v>0</v>
      </c>
      <c r="H62" s="328">
        <v>0</v>
      </c>
      <c r="I62" s="328">
        <v>0</v>
      </c>
      <c r="J62" s="328">
        <v>0</v>
      </c>
      <c r="K62" s="328">
        <v>0</v>
      </c>
      <c r="L62" s="328">
        <v>61</v>
      </c>
      <c r="M62" s="328">
        <v>57</v>
      </c>
      <c r="N62" s="328">
        <v>53</v>
      </c>
      <c r="O62" s="328">
        <v>0</v>
      </c>
      <c r="P62" s="328">
        <v>0</v>
      </c>
      <c r="Q62" s="328">
        <v>0</v>
      </c>
      <c r="R62" s="328">
        <v>0</v>
      </c>
      <c r="S62" s="329">
        <f t="shared" si="2"/>
        <v>171</v>
      </c>
      <c r="T62" s="327"/>
      <c r="U62" s="328">
        <v>0</v>
      </c>
      <c r="V62" s="328">
        <v>0</v>
      </c>
      <c r="W62" s="328">
        <v>0</v>
      </c>
      <c r="X62" s="328">
        <v>0</v>
      </c>
      <c r="Y62" s="328">
        <v>0</v>
      </c>
      <c r="Z62" s="328">
        <v>0</v>
      </c>
      <c r="AA62" s="328">
        <v>10</v>
      </c>
      <c r="AB62" s="328">
        <v>8</v>
      </c>
      <c r="AC62" s="328">
        <v>2</v>
      </c>
      <c r="AD62" s="328">
        <v>0</v>
      </c>
      <c r="AE62" s="328">
        <v>0</v>
      </c>
      <c r="AF62" s="328">
        <v>0</v>
      </c>
      <c r="AG62" s="328">
        <v>0</v>
      </c>
      <c r="AH62" s="329">
        <f t="shared" si="1"/>
        <v>20</v>
      </c>
    </row>
    <row r="63" spans="1:34" x14ac:dyDescent="0.2">
      <c r="A63" s="20" t="str">
        <f>'School Level Inst. Resources'!A63</f>
        <v>0401000</v>
      </c>
      <c r="B63" s="20" t="str">
        <f>'School Level Inst. Resources'!B63</f>
        <v>Carbon #1</v>
      </c>
      <c r="C63" s="20" t="str">
        <f>'School Level Inst. Resources'!C63</f>
        <v>0401056</v>
      </c>
      <c r="D63" s="20" t="str">
        <f>'School Level Inst. Resources'!D63</f>
        <v>Rawlins High School</v>
      </c>
      <c r="E63" s="138" t="str">
        <f>'School Level Inst. Resources'!E63</f>
        <v>9-12</v>
      </c>
      <c r="F63" s="328">
        <v>0</v>
      </c>
      <c r="G63" s="328">
        <v>0</v>
      </c>
      <c r="H63" s="328">
        <v>0</v>
      </c>
      <c r="I63" s="328">
        <v>0</v>
      </c>
      <c r="J63" s="328">
        <v>0</v>
      </c>
      <c r="K63" s="328">
        <v>0</v>
      </c>
      <c r="L63" s="328">
        <v>0</v>
      </c>
      <c r="M63" s="328">
        <v>0</v>
      </c>
      <c r="N63" s="328">
        <v>0</v>
      </c>
      <c r="O63" s="328">
        <v>55</v>
      </c>
      <c r="P63" s="328">
        <v>51</v>
      </c>
      <c r="Q63" s="328">
        <v>27</v>
      </c>
      <c r="R63" s="328">
        <v>23</v>
      </c>
      <c r="S63" s="329">
        <f t="shared" si="2"/>
        <v>156</v>
      </c>
      <c r="T63" s="327"/>
      <c r="U63" s="328">
        <v>0</v>
      </c>
      <c r="V63" s="328">
        <v>0</v>
      </c>
      <c r="W63" s="328">
        <v>0</v>
      </c>
      <c r="X63" s="328">
        <v>0</v>
      </c>
      <c r="Y63" s="328">
        <v>0</v>
      </c>
      <c r="Z63" s="328">
        <v>0</v>
      </c>
      <c r="AA63" s="328">
        <v>0</v>
      </c>
      <c r="AB63" s="328">
        <v>0</v>
      </c>
      <c r="AC63" s="328">
        <v>0</v>
      </c>
      <c r="AD63" s="328">
        <v>6</v>
      </c>
      <c r="AE63" s="328">
        <v>13</v>
      </c>
      <c r="AF63" s="328">
        <v>8</v>
      </c>
      <c r="AG63" s="328">
        <v>1</v>
      </c>
      <c r="AH63" s="329">
        <f t="shared" si="1"/>
        <v>28</v>
      </c>
    </row>
    <row r="64" spans="1:34" x14ac:dyDescent="0.2">
      <c r="A64" s="20" t="str">
        <f>'School Level Inst. Resources'!A64</f>
        <v>0401000</v>
      </c>
      <c r="B64" s="20" t="str">
        <f>'School Level Inst. Resources'!B64</f>
        <v>Carbon #1</v>
      </c>
      <c r="C64" s="20" t="str">
        <f>'School Level Inst. Resources'!C64</f>
        <v>0401057</v>
      </c>
      <c r="D64" s="20" t="str">
        <f>'School Level Inst. Resources'!D64</f>
        <v>Cooperative High</v>
      </c>
      <c r="E64" s="138" t="str">
        <f>'School Level Inst. Resources'!E64</f>
        <v>9-12</v>
      </c>
      <c r="F64" s="328">
        <v>0</v>
      </c>
      <c r="G64" s="328">
        <v>0</v>
      </c>
      <c r="H64" s="328">
        <v>0</v>
      </c>
      <c r="I64" s="328">
        <v>0</v>
      </c>
      <c r="J64" s="328">
        <v>0</v>
      </c>
      <c r="K64" s="328">
        <v>0</v>
      </c>
      <c r="L64" s="328">
        <v>0</v>
      </c>
      <c r="M64" s="328">
        <v>0</v>
      </c>
      <c r="N64" s="328">
        <v>0</v>
      </c>
      <c r="O64" s="328">
        <v>10</v>
      </c>
      <c r="P64" s="328">
        <v>14</v>
      </c>
      <c r="Q64" s="328">
        <v>10</v>
      </c>
      <c r="R64" s="328">
        <v>9</v>
      </c>
      <c r="S64" s="329">
        <f t="shared" si="2"/>
        <v>43</v>
      </c>
      <c r="T64" s="327"/>
      <c r="U64" s="328">
        <v>0</v>
      </c>
      <c r="V64" s="328">
        <v>0</v>
      </c>
      <c r="W64" s="328">
        <v>0</v>
      </c>
      <c r="X64" s="328">
        <v>0</v>
      </c>
      <c r="Y64" s="328">
        <v>0</v>
      </c>
      <c r="Z64" s="328">
        <v>0</v>
      </c>
      <c r="AA64" s="328">
        <v>0</v>
      </c>
      <c r="AB64" s="328">
        <v>0</v>
      </c>
      <c r="AC64" s="328">
        <v>0</v>
      </c>
      <c r="AD64" s="328">
        <v>0</v>
      </c>
      <c r="AE64" s="328">
        <v>1</v>
      </c>
      <c r="AF64" s="328">
        <v>2</v>
      </c>
      <c r="AG64" s="328">
        <v>1</v>
      </c>
      <c r="AH64" s="329">
        <f t="shared" si="1"/>
        <v>4</v>
      </c>
    </row>
    <row r="65" spans="1:34" x14ac:dyDescent="0.2">
      <c r="A65" s="20" t="str">
        <f>'School Level Inst. Resources'!A65</f>
        <v>0402000</v>
      </c>
      <c r="B65" s="20" t="str">
        <f>'School Level Inst. Resources'!B65</f>
        <v>Carbon #2</v>
      </c>
      <c r="C65" s="20" t="str">
        <f>'School Level Inst. Resources'!C65</f>
        <v>0402001</v>
      </c>
      <c r="D65" s="20" t="str">
        <f>'School Level Inst. Resources'!D65</f>
        <v>Elk Mountain Elementary</v>
      </c>
      <c r="E65" s="138" t="str">
        <f>'School Level Inst. Resources'!E65</f>
        <v>K-6</v>
      </c>
      <c r="F65" s="328">
        <v>2</v>
      </c>
      <c r="G65" s="328">
        <v>0</v>
      </c>
      <c r="H65" s="328">
        <v>1</v>
      </c>
      <c r="I65" s="328">
        <v>0</v>
      </c>
      <c r="J65" s="328">
        <v>0</v>
      </c>
      <c r="K65" s="328">
        <v>0</v>
      </c>
      <c r="L65" s="328">
        <v>1</v>
      </c>
      <c r="M65" s="328">
        <v>0</v>
      </c>
      <c r="N65" s="328">
        <v>0</v>
      </c>
      <c r="O65" s="328">
        <v>0</v>
      </c>
      <c r="P65" s="328">
        <v>0</v>
      </c>
      <c r="Q65" s="328">
        <v>0</v>
      </c>
      <c r="R65" s="328">
        <v>0</v>
      </c>
      <c r="S65" s="329">
        <f t="shared" si="2"/>
        <v>4</v>
      </c>
      <c r="T65" s="327"/>
      <c r="U65" s="328">
        <v>0</v>
      </c>
      <c r="V65" s="328">
        <v>0</v>
      </c>
      <c r="W65" s="328">
        <v>0</v>
      </c>
      <c r="X65" s="328">
        <v>0</v>
      </c>
      <c r="Y65" s="328">
        <v>0</v>
      </c>
      <c r="Z65" s="328">
        <v>0</v>
      </c>
      <c r="AA65" s="328">
        <v>0</v>
      </c>
      <c r="AB65" s="328">
        <v>0</v>
      </c>
      <c r="AC65" s="328">
        <v>0</v>
      </c>
      <c r="AD65" s="328">
        <v>0</v>
      </c>
      <c r="AE65" s="328">
        <v>0</v>
      </c>
      <c r="AF65" s="328">
        <v>0</v>
      </c>
      <c r="AG65" s="328">
        <v>0</v>
      </c>
      <c r="AH65" s="329">
        <f t="shared" si="1"/>
        <v>0</v>
      </c>
    </row>
    <row r="66" spans="1:34" x14ac:dyDescent="0.2">
      <c r="A66" s="20" t="str">
        <f>'School Level Inst. Resources'!A66</f>
        <v>0402000</v>
      </c>
      <c r="B66" s="20" t="str">
        <f>'School Level Inst. Resources'!B66</f>
        <v>Carbon #2</v>
      </c>
      <c r="C66" s="20" t="str">
        <f>'School Level Inst. Resources'!C66</f>
        <v>0402003</v>
      </c>
      <c r="D66" s="20" t="str">
        <f>'School Level Inst. Resources'!D66</f>
        <v>Hanna Elementary</v>
      </c>
      <c r="E66" s="138" t="str">
        <f>'School Level Inst. Resources'!E66</f>
        <v>K-6</v>
      </c>
      <c r="F66" s="328">
        <v>11</v>
      </c>
      <c r="G66" s="328">
        <v>5</v>
      </c>
      <c r="H66" s="328">
        <v>7</v>
      </c>
      <c r="I66" s="328">
        <v>8</v>
      </c>
      <c r="J66" s="328">
        <v>6</v>
      </c>
      <c r="K66" s="328">
        <v>6</v>
      </c>
      <c r="L66" s="328">
        <v>4</v>
      </c>
      <c r="M66" s="328">
        <v>0</v>
      </c>
      <c r="N66" s="328">
        <v>0</v>
      </c>
      <c r="O66" s="328">
        <v>0</v>
      </c>
      <c r="P66" s="328">
        <v>0</v>
      </c>
      <c r="Q66" s="328">
        <v>0</v>
      </c>
      <c r="R66" s="328">
        <v>0</v>
      </c>
      <c r="S66" s="329">
        <f t="shared" si="2"/>
        <v>47</v>
      </c>
      <c r="T66" s="327"/>
      <c r="U66" s="328">
        <v>0</v>
      </c>
      <c r="V66" s="328">
        <v>0</v>
      </c>
      <c r="W66" s="328">
        <v>0</v>
      </c>
      <c r="X66" s="328">
        <v>1</v>
      </c>
      <c r="Y66" s="328">
        <v>0</v>
      </c>
      <c r="Z66" s="328">
        <v>0</v>
      </c>
      <c r="AA66" s="328">
        <v>0</v>
      </c>
      <c r="AB66" s="328">
        <v>0</v>
      </c>
      <c r="AC66" s="328">
        <v>0</v>
      </c>
      <c r="AD66" s="328">
        <v>0</v>
      </c>
      <c r="AE66" s="328">
        <v>0</v>
      </c>
      <c r="AF66" s="328">
        <v>0</v>
      </c>
      <c r="AG66" s="328">
        <v>0</v>
      </c>
      <c r="AH66" s="329">
        <f t="shared" si="1"/>
        <v>1</v>
      </c>
    </row>
    <row r="67" spans="1:34" x14ac:dyDescent="0.2">
      <c r="A67" s="20" t="str">
        <f>'School Level Inst. Resources'!A67</f>
        <v>0402000</v>
      </c>
      <c r="B67" s="20" t="str">
        <f>'School Level Inst. Resources'!B67</f>
        <v>Carbon #2</v>
      </c>
      <c r="C67" s="20" t="str">
        <f>'School Level Inst. Resources'!C67</f>
        <v>0402005</v>
      </c>
      <c r="D67" s="20" t="str">
        <f>'School Level Inst. Resources'!D67</f>
        <v>Medicine Bow Elementary</v>
      </c>
      <c r="E67" s="138" t="str">
        <f>'School Level Inst. Resources'!E67</f>
        <v>K-6</v>
      </c>
      <c r="F67" s="328">
        <v>1</v>
      </c>
      <c r="G67" s="328">
        <v>3</v>
      </c>
      <c r="H67" s="328">
        <v>1</v>
      </c>
      <c r="I67" s="328">
        <v>1</v>
      </c>
      <c r="J67" s="328">
        <v>0</v>
      </c>
      <c r="K67" s="328">
        <v>0</v>
      </c>
      <c r="L67" s="328">
        <v>0</v>
      </c>
      <c r="M67" s="328">
        <v>0</v>
      </c>
      <c r="N67" s="328">
        <v>0</v>
      </c>
      <c r="O67" s="328">
        <v>0</v>
      </c>
      <c r="P67" s="328">
        <v>0</v>
      </c>
      <c r="Q67" s="328">
        <v>0</v>
      </c>
      <c r="R67" s="328">
        <v>0</v>
      </c>
      <c r="S67" s="329">
        <f t="shared" si="2"/>
        <v>6</v>
      </c>
      <c r="T67" s="327"/>
      <c r="U67" s="328">
        <v>0</v>
      </c>
      <c r="V67" s="328">
        <v>0</v>
      </c>
      <c r="W67" s="328">
        <v>0</v>
      </c>
      <c r="X67" s="328">
        <v>0</v>
      </c>
      <c r="Y67" s="328">
        <v>0</v>
      </c>
      <c r="Z67" s="328">
        <v>0</v>
      </c>
      <c r="AA67" s="328">
        <v>0</v>
      </c>
      <c r="AB67" s="328">
        <v>0</v>
      </c>
      <c r="AC67" s="328">
        <v>0</v>
      </c>
      <c r="AD67" s="328">
        <v>0</v>
      </c>
      <c r="AE67" s="328">
        <v>0</v>
      </c>
      <c r="AF67" s="328">
        <v>0</v>
      </c>
      <c r="AG67" s="328">
        <v>0</v>
      </c>
      <c r="AH67" s="329">
        <f t="shared" si="1"/>
        <v>0</v>
      </c>
    </row>
    <row r="68" spans="1:34" x14ac:dyDescent="0.2">
      <c r="A68" s="20" t="str">
        <f>'School Level Inst. Resources'!A68</f>
        <v>0402000</v>
      </c>
      <c r="B68" s="20" t="str">
        <f>'School Level Inst. Resources'!B68</f>
        <v>Carbon #2</v>
      </c>
      <c r="C68" s="20" t="str">
        <f>'School Level Inst. Resources'!C68</f>
        <v>0402006</v>
      </c>
      <c r="D68" s="20" t="str">
        <f>'School Level Inst. Resources'!D68</f>
        <v>Saratoga Elementary</v>
      </c>
      <c r="E68" s="138" t="str">
        <f>'School Level Inst. Resources'!E68</f>
        <v>K-6</v>
      </c>
      <c r="F68" s="328">
        <v>9</v>
      </c>
      <c r="G68" s="328">
        <v>10</v>
      </c>
      <c r="H68" s="328">
        <v>13</v>
      </c>
      <c r="I68" s="328">
        <v>8</v>
      </c>
      <c r="J68" s="328">
        <v>10</v>
      </c>
      <c r="K68" s="328">
        <v>9</v>
      </c>
      <c r="L68" s="328">
        <v>6</v>
      </c>
      <c r="M68" s="328">
        <v>0</v>
      </c>
      <c r="N68" s="328">
        <v>0</v>
      </c>
      <c r="O68" s="328">
        <v>0</v>
      </c>
      <c r="P68" s="328">
        <v>0</v>
      </c>
      <c r="Q68" s="328">
        <v>0</v>
      </c>
      <c r="R68" s="328">
        <v>0</v>
      </c>
      <c r="S68" s="329">
        <f t="shared" si="2"/>
        <v>65</v>
      </c>
      <c r="T68" s="327"/>
      <c r="U68" s="328">
        <v>0</v>
      </c>
      <c r="V68" s="328">
        <v>0</v>
      </c>
      <c r="W68" s="328">
        <v>1</v>
      </c>
      <c r="X68" s="328">
        <v>1</v>
      </c>
      <c r="Y68" s="328">
        <v>0</v>
      </c>
      <c r="Z68" s="328">
        <v>0</v>
      </c>
      <c r="AA68" s="328">
        <v>0</v>
      </c>
      <c r="AB68" s="328">
        <v>0</v>
      </c>
      <c r="AC68" s="328">
        <v>0</v>
      </c>
      <c r="AD68" s="328">
        <v>0</v>
      </c>
      <c r="AE68" s="328">
        <v>0</v>
      </c>
      <c r="AF68" s="328">
        <v>0</v>
      </c>
      <c r="AG68" s="328">
        <v>0</v>
      </c>
      <c r="AH68" s="329">
        <f t="shared" si="1"/>
        <v>2</v>
      </c>
    </row>
    <row r="69" spans="1:34" x14ac:dyDescent="0.2">
      <c r="A69" s="20" t="str">
        <f>'School Level Inst. Resources'!A69</f>
        <v>0402000</v>
      </c>
      <c r="B69" s="20" t="str">
        <f>'School Level Inst. Resources'!B69</f>
        <v>Carbon #2</v>
      </c>
      <c r="C69" s="20" t="str">
        <f>'School Level Inst. Resources'!C69</f>
        <v>0402048</v>
      </c>
      <c r="D69" s="20" t="str">
        <f>'School Level Inst. Resources'!D69</f>
        <v>HEM Junior/Senior High School</v>
      </c>
      <c r="E69" s="138" t="str">
        <f>'School Level Inst. Resources'!E69</f>
        <v>7-12</v>
      </c>
      <c r="F69" s="328">
        <v>0</v>
      </c>
      <c r="G69" s="328">
        <v>0</v>
      </c>
      <c r="H69" s="328">
        <v>0</v>
      </c>
      <c r="I69" s="328">
        <v>0</v>
      </c>
      <c r="J69" s="328">
        <v>0</v>
      </c>
      <c r="K69" s="328">
        <v>0</v>
      </c>
      <c r="L69" s="328">
        <v>0</v>
      </c>
      <c r="M69" s="328">
        <v>10</v>
      </c>
      <c r="N69" s="328">
        <v>12</v>
      </c>
      <c r="O69" s="328">
        <v>7</v>
      </c>
      <c r="P69" s="328">
        <v>9</v>
      </c>
      <c r="Q69" s="328">
        <v>8</v>
      </c>
      <c r="R69" s="328">
        <v>4</v>
      </c>
      <c r="S69" s="329">
        <f t="shared" si="2"/>
        <v>50</v>
      </c>
      <c r="T69" s="327"/>
      <c r="U69" s="328">
        <v>0</v>
      </c>
      <c r="V69" s="328">
        <v>0</v>
      </c>
      <c r="W69" s="328">
        <v>0</v>
      </c>
      <c r="X69" s="328">
        <v>0</v>
      </c>
      <c r="Y69" s="328">
        <v>0</v>
      </c>
      <c r="Z69" s="328">
        <v>0</v>
      </c>
      <c r="AA69" s="328">
        <v>0</v>
      </c>
      <c r="AB69" s="328">
        <v>0</v>
      </c>
      <c r="AC69" s="328">
        <v>0</v>
      </c>
      <c r="AD69" s="328">
        <v>0</v>
      </c>
      <c r="AE69" s="328">
        <v>0</v>
      </c>
      <c r="AF69" s="328">
        <v>0</v>
      </c>
      <c r="AG69" s="328">
        <v>0</v>
      </c>
      <c r="AH69" s="329">
        <f t="shared" si="1"/>
        <v>0</v>
      </c>
    </row>
    <row r="70" spans="1:34" x14ac:dyDescent="0.2">
      <c r="A70" s="20" t="str">
        <f>'School Level Inst. Resources'!A70</f>
        <v>0402000</v>
      </c>
      <c r="B70" s="20" t="str">
        <f>'School Level Inst. Resources'!B70</f>
        <v>Carbon #2</v>
      </c>
      <c r="C70" s="20" t="str">
        <f>'School Level Inst. Resources'!C70</f>
        <v>0402049</v>
      </c>
      <c r="D70" s="20" t="str">
        <f>'School Level Inst. Resources'!D70</f>
        <v>Encampment K-12 School</v>
      </c>
      <c r="E70" s="138" t="str">
        <f>'School Level Inst. Resources'!E70</f>
        <v>K-12</v>
      </c>
      <c r="F70" s="328">
        <v>3</v>
      </c>
      <c r="G70" s="328">
        <v>4</v>
      </c>
      <c r="H70" s="328">
        <v>3</v>
      </c>
      <c r="I70" s="328">
        <v>5</v>
      </c>
      <c r="J70" s="328">
        <v>3</v>
      </c>
      <c r="K70" s="328">
        <v>2</v>
      </c>
      <c r="L70" s="328">
        <v>7</v>
      </c>
      <c r="M70" s="328">
        <v>2</v>
      </c>
      <c r="N70" s="328">
        <v>3</v>
      </c>
      <c r="O70" s="328">
        <v>4</v>
      </c>
      <c r="P70" s="328">
        <v>6</v>
      </c>
      <c r="Q70" s="328">
        <v>4</v>
      </c>
      <c r="R70" s="328">
        <v>2</v>
      </c>
      <c r="S70" s="329">
        <f t="shared" si="2"/>
        <v>48</v>
      </c>
      <c r="T70" s="327"/>
      <c r="U70" s="328">
        <v>0</v>
      </c>
      <c r="V70" s="328">
        <v>0</v>
      </c>
      <c r="W70" s="328">
        <v>0</v>
      </c>
      <c r="X70" s="328">
        <v>0</v>
      </c>
      <c r="Y70" s="328">
        <v>0</v>
      </c>
      <c r="Z70" s="328">
        <v>0</v>
      </c>
      <c r="AA70" s="328">
        <v>0</v>
      </c>
      <c r="AB70" s="328">
        <v>0</v>
      </c>
      <c r="AC70" s="328">
        <v>0</v>
      </c>
      <c r="AD70" s="328">
        <v>0</v>
      </c>
      <c r="AE70" s="328">
        <v>0</v>
      </c>
      <c r="AF70" s="328">
        <v>0</v>
      </c>
      <c r="AG70" s="328">
        <v>0</v>
      </c>
      <c r="AH70" s="329">
        <f t="shared" ref="AH70:AH133" si="3">SUM(U70:AG70)</f>
        <v>0</v>
      </c>
    </row>
    <row r="71" spans="1:34" x14ac:dyDescent="0.2">
      <c r="A71" s="20" t="str">
        <f>'School Level Inst. Resources'!A71</f>
        <v>0402000</v>
      </c>
      <c r="B71" s="20" t="str">
        <f>'School Level Inst. Resources'!B71</f>
        <v>Carbon #2</v>
      </c>
      <c r="C71" s="20" t="str">
        <f>'School Level Inst. Resources'!C71</f>
        <v>0402059</v>
      </c>
      <c r="D71" s="20" t="str">
        <f>'School Level Inst. Resources'!D71</f>
        <v>Saratoga Middle/High School</v>
      </c>
      <c r="E71" s="138" t="str">
        <f>'School Level Inst. Resources'!E71</f>
        <v>7-12</v>
      </c>
      <c r="F71" s="328">
        <v>0</v>
      </c>
      <c r="G71" s="328">
        <v>0</v>
      </c>
      <c r="H71" s="328">
        <v>0</v>
      </c>
      <c r="I71" s="328">
        <v>0</v>
      </c>
      <c r="J71" s="328">
        <v>0</v>
      </c>
      <c r="K71" s="328">
        <v>0</v>
      </c>
      <c r="L71" s="328">
        <v>0</v>
      </c>
      <c r="M71" s="328">
        <v>8</v>
      </c>
      <c r="N71" s="328">
        <v>9</v>
      </c>
      <c r="O71" s="328">
        <v>9</v>
      </c>
      <c r="P71" s="328">
        <v>9</v>
      </c>
      <c r="Q71" s="328">
        <v>7</v>
      </c>
      <c r="R71" s="328">
        <v>10</v>
      </c>
      <c r="S71" s="329">
        <f t="shared" si="2"/>
        <v>52</v>
      </c>
      <c r="T71" s="327"/>
      <c r="U71" s="328">
        <v>0</v>
      </c>
      <c r="V71" s="328">
        <v>0</v>
      </c>
      <c r="W71" s="328">
        <v>0</v>
      </c>
      <c r="X71" s="328">
        <v>0</v>
      </c>
      <c r="Y71" s="328">
        <v>0</v>
      </c>
      <c r="Z71" s="328">
        <v>0</v>
      </c>
      <c r="AA71" s="328">
        <v>0</v>
      </c>
      <c r="AB71" s="328">
        <v>0</v>
      </c>
      <c r="AC71" s="328">
        <v>1</v>
      </c>
      <c r="AD71" s="328">
        <v>1</v>
      </c>
      <c r="AE71" s="328">
        <v>0</v>
      </c>
      <c r="AF71" s="328">
        <v>0</v>
      </c>
      <c r="AG71" s="328">
        <v>0</v>
      </c>
      <c r="AH71" s="329">
        <f t="shared" si="3"/>
        <v>2</v>
      </c>
    </row>
    <row r="72" spans="1:34" x14ac:dyDescent="0.2">
      <c r="A72" s="20" t="str">
        <f>'School Level Inst. Resources'!A72</f>
        <v>0501000</v>
      </c>
      <c r="B72" s="20" t="str">
        <f>'School Level Inst. Resources'!B72</f>
        <v>Converse #1</v>
      </c>
      <c r="C72" s="20" t="str">
        <f>'School Level Inst. Resources'!C72</f>
        <v>0501001</v>
      </c>
      <c r="D72" s="20" t="str">
        <f>'School Level Inst. Resources'!D72</f>
        <v>Dry Creek Elementary</v>
      </c>
      <c r="E72" s="138" t="str">
        <f>'School Level Inst. Resources'!E72</f>
        <v>K-8</v>
      </c>
      <c r="F72" s="328">
        <v>1</v>
      </c>
      <c r="G72" s="328">
        <v>2</v>
      </c>
      <c r="H72" s="328">
        <v>1</v>
      </c>
      <c r="I72" s="328">
        <v>1</v>
      </c>
      <c r="J72" s="328">
        <v>1</v>
      </c>
      <c r="K72" s="328">
        <v>0</v>
      </c>
      <c r="L72" s="328">
        <v>0</v>
      </c>
      <c r="M72" s="328">
        <v>0</v>
      </c>
      <c r="N72" s="328">
        <v>0</v>
      </c>
      <c r="O72" s="328">
        <v>0</v>
      </c>
      <c r="P72" s="328">
        <v>0</v>
      </c>
      <c r="Q72" s="328">
        <v>0</v>
      </c>
      <c r="R72" s="328">
        <v>0</v>
      </c>
      <c r="S72" s="329">
        <f t="shared" si="2"/>
        <v>6</v>
      </c>
      <c r="T72" s="327"/>
      <c r="U72" s="328">
        <v>1</v>
      </c>
      <c r="V72" s="328">
        <v>0</v>
      </c>
      <c r="W72" s="328">
        <v>1</v>
      </c>
      <c r="X72" s="328">
        <v>0</v>
      </c>
      <c r="Y72" s="328">
        <v>1</v>
      </c>
      <c r="Z72" s="328">
        <v>0</v>
      </c>
      <c r="AA72" s="328">
        <v>0</v>
      </c>
      <c r="AB72" s="328">
        <v>0</v>
      </c>
      <c r="AC72" s="328">
        <v>0</v>
      </c>
      <c r="AD72" s="328">
        <v>0</v>
      </c>
      <c r="AE72" s="328">
        <v>0</v>
      </c>
      <c r="AF72" s="328">
        <v>0</v>
      </c>
      <c r="AG72" s="328">
        <v>0</v>
      </c>
      <c r="AH72" s="329">
        <f t="shared" si="3"/>
        <v>3</v>
      </c>
    </row>
    <row r="73" spans="1:34" x14ac:dyDescent="0.2">
      <c r="A73" s="20" t="str">
        <f>'School Level Inst. Resources'!A73</f>
        <v>0501000</v>
      </c>
      <c r="B73" s="20" t="str">
        <f>'School Level Inst. Resources'!B73</f>
        <v>Converse #1</v>
      </c>
      <c r="C73" s="20" t="str">
        <f>'School Level Inst. Resources'!C73</f>
        <v>0501002</v>
      </c>
      <c r="D73" s="20" t="str">
        <f>'School Level Inst. Resources'!D73</f>
        <v>Douglas Primary School</v>
      </c>
      <c r="E73" s="138" t="str">
        <f>'School Level Inst. Resources'!E73</f>
        <v>K-1</v>
      </c>
      <c r="F73" s="328">
        <v>46</v>
      </c>
      <c r="G73" s="328">
        <v>50</v>
      </c>
      <c r="H73" s="328">
        <v>0</v>
      </c>
      <c r="I73" s="328">
        <v>0</v>
      </c>
      <c r="J73" s="328">
        <v>0</v>
      </c>
      <c r="K73" s="328">
        <v>0</v>
      </c>
      <c r="L73" s="328">
        <v>0</v>
      </c>
      <c r="M73" s="328">
        <v>0</v>
      </c>
      <c r="N73" s="328">
        <v>0</v>
      </c>
      <c r="O73" s="328">
        <v>0</v>
      </c>
      <c r="P73" s="328">
        <v>0</v>
      </c>
      <c r="Q73" s="328">
        <v>0</v>
      </c>
      <c r="R73" s="328">
        <v>0</v>
      </c>
      <c r="S73" s="329">
        <f t="shared" si="2"/>
        <v>96</v>
      </c>
      <c r="T73" s="327"/>
      <c r="U73" s="328">
        <v>3</v>
      </c>
      <c r="V73" s="328">
        <v>2</v>
      </c>
      <c r="W73" s="328">
        <v>0</v>
      </c>
      <c r="X73" s="328">
        <v>0</v>
      </c>
      <c r="Y73" s="328">
        <v>0</v>
      </c>
      <c r="Z73" s="328">
        <v>0</v>
      </c>
      <c r="AA73" s="328">
        <v>0</v>
      </c>
      <c r="AB73" s="328">
        <v>0</v>
      </c>
      <c r="AC73" s="328">
        <v>0</v>
      </c>
      <c r="AD73" s="328">
        <v>0</v>
      </c>
      <c r="AE73" s="328">
        <v>0</v>
      </c>
      <c r="AF73" s="328">
        <v>0</v>
      </c>
      <c r="AG73" s="328">
        <v>0</v>
      </c>
      <c r="AH73" s="329">
        <f t="shared" si="3"/>
        <v>5</v>
      </c>
    </row>
    <row r="74" spans="1:34" x14ac:dyDescent="0.2">
      <c r="A74" s="20" t="str">
        <f>'School Level Inst. Resources'!A74</f>
        <v>0501000</v>
      </c>
      <c r="B74" s="20" t="str">
        <f>'School Level Inst. Resources'!B74</f>
        <v>Converse #1</v>
      </c>
      <c r="C74" s="20" t="str">
        <f>'School Level Inst. Resources'!C74</f>
        <v>0501003</v>
      </c>
      <c r="D74" s="20" t="str">
        <f>'School Level Inst. Resources'!D74</f>
        <v>Moss Agate Elementary</v>
      </c>
      <c r="E74" s="138" t="str">
        <f>'School Level Inst. Resources'!E74</f>
        <v>K-8</v>
      </c>
      <c r="F74" s="328">
        <v>0</v>
      </c>
      <c r="G74" s="328">
        <v>0</v>
      </c>
      <c r="H74" s="328">
        <v>0</v>
      </c>
      <c r="I74" s="328">
        <v>0</v>
      </c>
      <c r="J74" s="328">
        <v>0</v>
      </c>
      <c r="K74" s="328">
        <v>0</v>
      </c>
      <c r="L74" s="328">
        <v>0</v>
      </c>
      <c r="M74" s="328">
        <v>0</v>
      </c>
      <c r="N74" s="328">
        <v>0</v>
      </c>
      <c r="O74" s="328">
        <v>0</v>
      </c>
      <c r="P74" s="328">
        <v>0</v>
      </c>
      <c r="Q74" s="328">
        <v>0</v>
      </c>
      <c r="R74" s="328">
        <v>0</v>
      </c>
      <c r="S74" s="329">
        <f t="shared" si="2"/>
        <v>0</v>
      </c>
      <c r="T74" s="327"/>
      <c r="U74" s="328">
        <v>0</v>
      </c>
      <c r="V74" s="328">
        <v>0</v>
      </c>
      <c r="W74" s="328">
        <v>0</v>
      </c>
      <c r="X74" s="328">
        <v>0</v>
      </c>
      <c r="Y74" s="328">
        <v>0</v>
      </c>
      <c r="Z74" s="328">
        <v>0</v>
      </c>
      <c r="AA74" s="328">
        <v>0</v>
      </c>
      <c r="AB74" s="328">
        <v>0</v>
      </c>
      <c r="AC74" s="328">
        <v>0</v>
      </c>
      <c r="AD74" s="328">
        <v>0</v>
      </c>
      <c r="AE74" s="328">
        <v>0</v>
      </c>
      <c r="AF74" s="328">
        <v>0</v>
      </c>
      <c r="AG74" s="328">
        <v>0</v>
      </c>
      <c r="AH74" s="329">
        <f t="shared" si="3"/>
        <v>0</v>
      </c>
    </row>
    <row r="75" spans="1:34" x14ac:dyDescent="0.2">
      <c r="A75" s="20" t="str">
        <f>'School Level Inst. Resources'!A75</f>
        <v>0501000</v>
      </c>
      <c r="B75" s="20" t="str">
        <f>'School Level Inst. Resources'!B75</f>
        <v>Converse #1</v>
      </c>
      <c r="C75" s="20" t="str">
        <f>'School Level Inst. Resources'!C75</f>
        <v>0501006</v>
      </c>
      <c r="D75" s="20" t="str">
        <f>'School Level Inst. Resources'!D75</f>
        <v>Shawnee Elementary</v>
      </c>
      <c r="E75" s="138" t="str">
        <f>'School Level Inst. Resources'!E75</f>
        <v>K-8</v>
      </c>
      <c r="F75" s="328">
        <v>0</v>
      </c>
      <c r="G75" s="328">
        <v>0</v>
      </c>
      <c r="H75" s="328">
        <v>0</v>
      </c>
      <c r="I75" s="328">
        <v>0</v>
      </c>
      <c r="J75" s="328">
        <v>0</v>
      </c>
      <c r="K75" s="328">
        <v>0</v>
      </c>
      <c r="L75" s="328">
        <v>0</v>
      </c>
      <c r="M75" s="328">
        <v>0</v>
      </c>
      <c r="N75" s="328">
        <v>2</v>
      </c>
      <c r="O75" s="328">
        <v>0</v>
      </c>
      <c r="P75" s="328">
        <v>0</v>
      </c>
      <c r="Q75" s="328">
        <v>0</v>
      </c>
      <c r="R75" s="328">
        <v>0</v>
      </c>
      <c r="S75" s="329">
        <f t="shared" si="2"/>
        <v>2</v>
      </c>
      <c r="T75" s="327"/>
      <c r="U75" s="328">
        <v>0</v>
      </c>
      <c r="V75" s="328">
        <v>0</v>
      </c>
      <c r="W75" s="328">
        <v>0</v>
      </c>
      <c r="X75" s="328">
        <v>0</v>
      </c>
      <c r="Y75" s="328">
        <v>0</v>
      </c>
      <c r="Z75" s="328">
        <v>0</v>
      </c>
      <c r="AA75" s="328">
        <v>0</v>
      </c>
      <c r="AB75" s="328">
        <v>0</v>
      </c>
      <c r="AC75" s="328">
        <v>0</v>
      </c>
      <c r="AD75" s="328">
        <v>0</v>
      </c>
      <c r="AE75" s="328">
        <v>0</v>
      </c>
      <c r="AF75" s="328">
        <v>0</v>
      </c>
      <c r="AG75" s="328">
        <v>0</v>
      </c>
      <c r="AH75" s="329">
        <f t="shared" si="3"/>
        <v>0</v>
      </c>
    </row>
    <row r="76" spans="1:34" x14ac:dyDescent="0.2">
      <c r="A76" s="20" t="str">
        <f>'School Level Inst. Resources'!A76</f>
        <v>0501000</v>
      </c>
      <c r="B76" s="20" t="str">
        <f>'School Level Inst. Resources'!B76</f>
        <v>Converse #1</v>
      </c>
      <c r="C76" s="20" t="str">
        <f>'School Level Inst. Resources'!C76</f>
        <v>0501009</v>
      </c>
      <c r="D76" s="20" t="str">
        <f>'School Level Inst. Resources'!D76</f>
        <v>Walker Creek Elementary</v>
      </c>
      <c r="E76" s="138" t="str">
        <f>'School Level Inst. Resources'!E76</f>
        <v>K-8</v>
      </c>
      <c r="F76" s="328">
        <v>0</v>
      </c>
      <c r="G76" s="328">
        <v>0</v>
      </c>
      <c r="H76" s="328">
        <v>0</v>
      </c>
      <c r="I76" s="328">
        <v>0</v>
      </c>
      <c r="J76" s="328">
        <v>0</v>
      </c>
      <c r="K76" s="328">
        <v>0</v>
      </c>
      <c r="L76" s="328">
        <v>0</v>
      </c>
      <c r="M76" s="328">
        <v>0</v>
      </c>
      <c r="N76" s="328">
        <v>0</v>
      </c>
      <c r="O76" s="328">
        <v>0</v>
      </c>
      <c r="P76" s="328">
        <v>0</v>
      </c>
      <c r="Q76" s="328">
        <v>0</v>
      </c>
      <c r="R76" s="328">
        <v>0</v>
      </c>
      <c r="S76" s="329">
        <f t="shared" si="2"/>
        <v>0</v>
      </c>
      <c r="T76" s="327"/>
      <c r="U76" s="328">
        <v>0</v>
      </c>
      <c r="V76" s="328">
        <v>0</v>
      </c>
      <c r="W76" s="328">
        <v>0</v>
      </c>
      <c r="X76" s="328">
        <v>0</v>
      </c>
      <c r="Y76" s="328">
        <v>0</v>
      </c>
      <c r="Z76" s="328">
        <v>0</v>
      </c>
      <c r="AA76" s="328">
        <v>0</v>
      </c>
      <c r="AB76" s="328">
        <v>0</v>
      </c>
      <c r="AC76" s="328">
        <v>0</v>
      </c>
      <c r="AD76" s="328">
        <v>0</v>
      </c>
      <c r="AE76" s="328">
        <v>0</v>
      </c>
      <c r="AF76" s="328">
        <v>0</v>
      </c>
      <c r="AG76" s="328">
        <v>0</v>
      </c>
      <c r="AH76" s="329">
        <f t="shared" si="3"/>
        <v>0</v>
      </c>
    </row>
    <row r="77" spans="1:34" x14ac:dyDescent="0.2">
      <c r="A77" s="20" t="str">
        <f>'School Level Inst. Resources'!A77</f>
        <v>0501000</v>
      </c>
      <c r="B77" s="20" t="str">
        <f>'School Level Inst. Resources'!B77</f>
        <v>Converse #1</v>
      </c>
      <c r="C77" s="20" t="str">
        <f>'School Level Inst. Resources'!C77</f>
        <v>0501010</v>
      </c>
      <c r="D77" s="20" t="str">
        <f>'School Level Inst. Resources'!D77</f>
        <v>Douglas Upper Elementary School</v>
      </c>
      <c r="E77" s="138" t="str">
        <f>'School Level Inst. Resources'!E77</f>
        <v>4-5</v>
      </c>
      <c r="F77" s="328">
        <v>0</v>
      </c>
      <c r="G77" s="328">
        <v>0</v>
      </c>
      <c r="H77" s="328">
        <v>0</v>
      </c>
      <c r="I77" s="328">
        <v>0</v>
      </c>
      <c r="J77" s="328">
        <v>52</v>
      </c>
      <c r="K77" s="328">
        <v>49</v>
      </c>
      <c r="L77" s="328">
        <v>0</v>
      </c>
      <c r="M77" s="328">
        <v>0</v>
      </c>
      <c r="N77" s="328">
        <v>0</v>
      </c>
      <c r="O77" s="328">
        <v>0</v>
      </c>
      <c r="P77" s="328">
        <v>0</v>
      </c>
      <c r="Q77" s="328">
        <v>0</v>
      </c>
      <c r="R77" s="328">
        <v>0</v>
      </c>
      <c r="S77" s="329">
        <f t="shared" si="2"/>
        <v>101</v>
      </c>
      <c r="T77" s="327"/>
      <c r="U77" s="328">
        <v>0</v>
      </c>
      <c r="V77" s="328">
        <v>0</v>
      </c>
      <c r="W77" s="328">
        <v>0</v>
      </c>
      <c r="X77" s="328">
        <v>0</v>
      </c>
      <c r="Y77" s="328">
        <v>4</v>
      </c>
      <c r="Z77" s="328">
        <v>11</v>
      </c>
      <c r="AA77" s="328">
        <v>0</v>
      </c>
      <c r="AB77" s="328">
        <v>0</v>
      </c>
      <c r="AC77" s="328">
        <v>0</v>
      </c>
      <c r="AD77" s="328">
        <v>0</v>
      </c>
      <c r="AE77" s="328">
        <v>0</v>
      </c>
      <c r="AF77" s="328">
        <v>0</v>
      </c>
      <c r="AG77" s="328">
        <v>0</v>
      </c>
      <c r="AH77" s="329">
        <f t="shared" si="3"/>
        <v>15</v>
      </c>
    </row>
    <row r="78" spans="1:34" x14ac:dyDescent="0.2">
      <c r="A78" s="20" t="str">
        <f>'School Level Inst. Resources'!A78</f>
        <v>0501000</v>
      </c>
      <c r="B78" s="20" t="str">
        <f>'School Level Inst. Resources'!B78</f>
        <v>Converse #1</v>
      </c>
      <c r="C78" s="20" t="str">
        <f>'School Level Inst. Resources'!C78</f>
        <v>0501011</v>
      </c>
      <c r="D78" s="20" t="str">
        <f>'School Level Inst. Resources'!D78</f>
        <v>White Elementary</v>
      </c>
      <c r="E78" s="138" t="str">
        <f>'School Level Inst. Resources'!E78</f>
        <v>K-8</v>
      </c>
      <c r="F78" s="328">
        <v>0</v>
      </c>
      <c r="G78" s="328">
        <v>0</v>
      </c>
      <c r="H78" s="328">
        <v>0</v>
      </c>
      <c r="I78" s="328">
        <v>0</v>
      </c>
      <c r="J78" s="328">
        <v>0</v>
      </c>
      <c r="K78" s="328">
        <v>0</v>
      </c>
      <c r="L78" s="328">
        <v>1</v>
      </c>
      <c r="M78" s="328">
        <v>0</v>
      </c>
      <c r="N78" s="328">
        <v>0</v>
      </c>
      <c r="O78" s="328">
        <v>0</v>
      </c>
      <c r="P78" s="328">
        <v>0</v>
      </c>
      <c r="Q78" s="328">
        <v>0</v>
      </c>
      <c r="R78" s="328">
        <v>0</v>
      </c>
      <c r="S78" s="329">
        <f t="shared" si="2"/>
        <v>1</v>
      </c>
      <c r="T78" s="327"/>
      <c r="U78" s="328">
        <v>0</v>
      </c>
      <c r="V78" s="328">
        <v>0</v>
      </c>
      <c r="W78" s="328">
        <v>0</v>
      </c>
      <c r="X78" s="328">
        <v>0</v>
      </c>
      <c r="Y78" s="328">
        <v>0</v>
      </c>
      <c r="Z78" s="328">
        <v>0</v>
      </c>
      <c r="AA78" s="328">
        <v>0</v>
      </c>
      <c r="AB78" s="328">
        <v>0</v>
      </c>
      <c r="AC78" s="328">
        <v>0</v>
      </c>
      <c r="AD78" s="328">
        <v>0</v>
      </c>
      <c r="AE78" s="328">
        <v>0</v>
      </c>
      <c r="AF78" s="328">
        <v>0</v>
      </c>
      <c r="AG78" s="328">
        <v>0</v>
      </c>
      <c r="AH78" s="329">
        <f t="shared" si="3"/>
        <v>0</v>
      </c>
    </row>
    <row r="79" spans="1:34" x14ac:dyDescent="0.2">
      <c r="A79" s="20" t="str">
        <f>'School Level Inst. Resources'!A79</f>
        <v>0501000</v>
      </c>
      <c r="B79" s="20" t="str">
        <f>'School Level Inst. Resources'!B79</f>
        <v>Converse #1</v>
      </c>
      <c r="C79" s="20" t="str">
        <f>'School Level Inst. Resources'!C79</f>
        <v>0501013</v>
      </c>
      <c r="D79" s="20" t="str">
        <f>'School Level Inst. Resources'!D79</f>
        <v>Douglas Intermediate School</v>
      </c>
      <c r="E79" s="138" t="str">
        <f>'School Level Inst. Resources'!E79</f>
        <v>2-3</v>
      </c>
      <c r="F79" s="328">
        <v>0</v>
      </c>
      <c r="G79" s="328">
        <v>0</v>
      </c>
      <c r="H79" s="328">
        <v>47</v>
      </c>
      <c r="I79" s="328">
        <v>49</v>
      </c>
      <c r="J79" s="328">
        <v>0</v>
      </c>
      <c r="K79" s="328">
        <v>0</v>
      </c>
      <c r="L79" s="328">
        <v>0</v>
      </c>
      <c r="M79" s="328">
        <v>0</v>
      </c>
      <c r="N79" s="328">
        <v>0</v>
      </c>
      <c r="O79" s="328">
        <v>0</v>
      </c>
      <c r="P79" s="328">
        <v>0</v>
      </c>
      <c r="Q79" s="328">
        <v>0</v>
      </c>
      <c r="R79" s="328">
        <v>0</v>
      </c>
      <c r="S79" s="329">
        <f t="shared" si="2"/>
        <v>96</v>
      </c>
      <c r="T79" s="327"/>
      <c r="U79" s="328">
        <v>0</v>
      </c>
      <c r="V79" s="328">
        <v>0</v>
      </c>
      <c r="W79" s="328">
        <v>8</v>
      </c>
      <c r="X79" s="328">
        <v>4</v>
      </c>
      <c r="Y79" s="328">
        <v>0</v>
      </c>
      <c r="Z79" s="328">
        <v>0</v>
      </c>
      <c r="AA79" s="328">
        <v>0</v>
      </c>
      <c r="AB79" s="328">
        <v>0</v>
      </c>
      <c r="AC79" s="328">
        <v>0</v>
      </c>
      <c r="AD79" s="328">
        <v>0</v>
      </c>
      <c r="AE79" s="328">
        <v>0</v>
      </c>
      <c r="AF79" s="328">
        <v>0</v>
      </c>
      <c r="AG79" s="328">
        <v>0</v>
      </c>
      <c r="AH79" s="329">
        <f t="shared" si="3"/>
        <v>12</v>
      </c>
    </row>
    <row r="80" spans="1:34" x14ac:dyDescent="0.2">
      <c r="A80" s="20" t="str">
        <f>'School Level Inst. Resources'!A80</f>
        <v>0501000</v>
      </c>
      <c r="B80" s="20" t="str">
        <f>'School Level Inst. Resources'!B80</f>
        <v>Converse #1</v>
      </c>
      <c r="C80" s="20" t="str">
        <f>'School Level Inst. Resources'!C80</f>
        <v>0501050</v>
      </c>
      <c r="D80" s="20" t="str">
        <f>'School Level Inst. Resources'!D80</f>
        <v>Douglas Middle School</v>
      </c>
      <c r="E80" s="138" t="str">
        <f>'School Level Inst. Resources'!E80</f>
        <v>6-8</v>
      </c>
      <c r="F80" s="328">
        <v>0</v>
      </c>
      <c r="G80" s="328">
        <v>0</v>
      </c>
      <c r="H80" s="328">
        <v>0</v>
      </c>
      <c r="I80" s="328">
        <v>0</v>
      </c>
      <c r="J80" s="328">
        <v>0</v>
      </c>
      <c r="K80" s="328">
        <v>0</v>
      </c>
      <c r="L80" s="328">
        <v>56</v>
      </c>
      <c r="M80" s="328">
        <v>47</v>
      </c>
      <c r="N80" s="328">
        <v>42</v>
      </c>
      <c r="O80" s="328">
        <v>0</v>
      </c>
      <c r="P80" s="328">
        <v>0</v>
      </c>
      <c r="Q80" s="328">
        <v>0</v>
      </c>
      <c r="R80" s="328">
        <v>0</v>
      </c>
      <c r="S80" s="329">
        <f t="shared" si="2"/>
        <v>145</v>
      </c>
      <c r="T80" s="327"/>
      <c r="U80" s="328">
        <v>0</v>
      </c>
      <c r="V80" s="328">
        <v>0</v>
      </c>
      <c r="W80" s="328">
        <v>0</v>
      </c>
      <c r="X80" s="328">
        <v>0</v>
      </c>
      <c r="Y80" s="328">
        <v>0</v>
      </c>
      <c r="Z80" s="328">
        <v>0</v>
      </c>
      <c r="AA80" s="328">
        <v>4</v>
      </c>
      <c r="AB80" s="328">
        <v>2</v>
      </c>
      <c r="AC80" s="328">
        <v>2</v>
      </c>
      <c r="AD80" s="328">
        <v>0</v>
      </c>
      <c r="AE80" s="328">
        <v>0</v>
      </c>
      <c r="AF80" s="328">
        <v>0</v>
      </c>
      <c r="AG80" s="328">
        <v>0</v>
      </c>
      <c r="AH80" s="329">
        <f t="shared" si="3"/>
        <v>8</v>
      </c>
    </row>
    <row r="81" spans="1:34" x14ac:dyDescent="0.2">
      <c r="A81" s="20" t="str">
        <f>'School Level Inst. Resources'!A81</f>
        <v>0501000</v>
      </c>
      <c r="B81" s="20" t="str">
        <f>'School Level Inst. Resources'!B81</f>
        <v>Converse #1</v>
      </c>
      <c r="C81" s="20" t="str">
        <f>'School Level Inst. Resources'!C81</f>
        <v>0501055</v>
      </c>
      <c r="D81" s="20" t="str">
        <f>'School Level Inst. Resources'!D81</f>
        <v>Douglas High School</v>
      </c>
      <c r="E81" s="138" t="str">
        <f>'School Level Inst. Resources'!E81</f>
        <v>9-12</v>
      </c>
      <c r="F81" s="328">
        <v>0</v>
      </c>
      <c r="G81" s="328">
        <v>0</v>
      </c>
      <c r="H81" s="328">
        <v>0</v>
      </c>
      <c r="I81" s="328">
        <v>0</v>
      </c>
      <c r="J81" s="328">
        <v>0</v>
      </c>
      <c r="K81" s="328">
        <v>0</v>
      </c>
      <c r="L81" s="328">
        <v>0</v>
      </c>
      <c r="M81" s="328">
        <v>0</v>
      </c>
      <c r="N81" s="328">
        <v>0</v>
      </c>
      <c r="O81" s="328">
        <v>43</v>
      </c>
      <c r="P81" s="328">
        <v>46</v>
      </c>
      <c r="Q81" s="328">
        <v>33</v>
      </c>
      <c r="R81" s="328">
        <v>31</v>
      </c>
      <c r="S81" s="329">
        <f t="shared" si="2"/>
        <v>153</v>
      </c>
      <c r="T81" s="327"/>
      <c r="U81" s="328">
        <v>0</v>
      </c>
      <c r="V81" s="328">
        <v>0</v>
      </c>
      <c r="W81" s="328">
        <v>0</v>
      </c>
      <c r="X81" s="328">
        <v>0</v>
      </c>
      <c r="Y81" s="328">
        <v>0</v>
      </c>
      <c r="Z81" s="328">
        <v>0</v>
      </c>
      <c r="AA81" s="328">
        <v>0</v>
      </c>
      <c r="AB81" s="328">
        <v>0</v>
      </c>
      <c r="AC81" s="328">
        <v>0</v>
      </c>
      <c r="AD81" s="328">
        <v>3</v>
      </c>
      <c r="AE81" s="328">
        <v>4</v>
      </c>
      <c r="AF81" s="328">
        <v>1</v>
      </c>
      <c r="AG81" s="328">
        <v>2</v>
      </c>
      <c r="AH81" s="329">
        <f t="shared" si="3"/>
        <v>10</v>
      </c>
    </row>
    <row r="82" spans="1:34" x14ac:dyDescent="0.2">
      <c r="A82" s="20" t="str">
        <f>'School Level Inst. Resources'!A82</f>
        <v>0502000</v>
      </c>
      <c r="B82" s="20" t="str">
        <f>'School Level Inst. Resources'!B82</f>
        <v>Converse #2</v>
      </c>
      <c r="C82" s="20" t="str">
        <f>'School Level Inst. Resources'!C82</f>
        <v>0502001</v>
      </c>
      <c r="D82" s="20" t="str">
        <f>'School Level Inst. Resources'!D82</f>
        <v>Boxelder Elementary</v>
      </c>
      <c r="E82" s="138" t="str">
        <f>'School Level Inst. Resources'!E82</f>
        <v>K-6</v>
      </c>
      <c r="F82" s="328">
        <v>0</v>
      </c>
      <c r="G82" s="328">
        <v>0</v>
      </c>
      <c r="H82" s="328">
        <v>0</v>
      </c>
      <c r="I82" s="328">
        <v>0</v>
      </c>
      <c r="J82" s="328">
        <v>0</v>
      </c>
      <c r="K82" s="328">
        <v>0</v>
      </c>
      <c r="L82" s="328">
        <v>0</v>
      </c>
      <c r="M82" s="328">
        <v>0</v>
      </c>
      <c r="N82" s="328">
        <v>0</v>
      </c>
      <c r="O82" s="328">
        <v>0</v>
      </c>
      <c r="P82" s="328">
        <v>0</v>
      </c>
      <c r="Q82" s="328">
        <v>0</v>
      </c>
      <c r="R82" s="328">
        <v>0</v>
      </c>
      <c r="S82" s="329">
        <f t="shared" si="2"/>
        <v>0</v>
      </c>
      <c r="T82" s="327"/>
      <c r="U82" s="328">
        <v>0</v>
      </c>
      <c r="V82" s="328">
        <v>0</v>
      </c>
      <c r="W82" s="328">
        <v>0</v>
      </c>
      <c r="X82" s="328">
        <v>0</v>
      </c>
      <c r="Y82" s="328">
        <v>0</v>
      </c>
      <c r="Z82" s="328">
        <v>0</v>
      </c>
      <c r="AA82" s="328">
        <v>0</v>
      </c>
      <c r="AB82" s="328">
        <v>0</v>
      </c>
      <c r="AC82" s="328">
        <v>0</v>
      </c>
      <c r="AD82" s="328">
        <v>0</v>
      </c>
      <c r="AE82" s="328">
        <v>0</v>
      </c>
      <c r="AF82" s="328">
        <v>0</v>
      </c>
      <c r="AG82" s="328">
        <v>0</v>
      </c>
      <c r="AH82" s="329">
        <f t="shared" si="3"/>
        <v>0</v>
      </c>
    </row>
    <row r="83" spans="1:34" x14ac:dyDescent="0.2">
      <c r="A83" s="20" t="str">
        <f>'School Level Inst. Resources'!A83</f>
        <v>0502000</v>
      </c>
      <c r="B83" s="20" t="str">
        <f>'School Level Inst. Resources'!B83</f>
        <v>Converse #2</v>
      </c>
      <c r="C83" s="20" t="str">
        <f>'School Level Inst. Resources'!C83</f>
        <v>0502004</v>
      </c>
      <c r="D83" s="20" t="str">
        <f>'School Level Inst. Resources'!D83</f>
        <v>Grant Elementary</v>
      </c>
      <c r="E83" s="138" t="str">
        <f>'School Level Inst. Resources'!E83</f>
        <v>K-4</v>
      </c>
      <c r="F83" s="328">
        <v>17</v>
      </c>
      <c r="G83" s="328">
        <v>12</v>
      </c>
      <c r="H83" s="328">
        <v>21</v>
      </c>
      <c r="I83" s="328">
        <v>12</v>
      </c>
      <c r="J83" s="328">
        <v>18</v>
      </c>
      <c r="K83" s="328">
        <v>0</v>
      </c>
      <c r="L83" s="328">
        <v>0</v>
      </c>
      <c r="M83" s="328">
        <v>0</v>
      </c>
      <c r="N83" s="328">
        <v>0</v>
      </c>
      <c r="O83" s="328">
        <v>0</v>
      </c>
      <c r="P83" s="328">
        <v>0</v>
      </c>
      <c r="Q83" s="328">
        <v>0</v>
      </c>
      <c r="R83" s="328">
        <v>0</v>
      </c>
      <c r="S83" s="329">
        <f t="shared" si="2"/>
        <v>80</v>
      </c>
      <c r="T83" s="327"/>
      <c r="U83" s="328">
        <v>0</v>
      </c>
      <c r="V83" s="328">
        <v>0</v>
      </c>
      <c r="W83" s="328">
        <v>0</v>
      </c>
      <c r="X83" s="328">
        <v>0</v>
      </c>
      <c r="Y83" s="328">
        <v>0</v>
      </c>
      <c r="Z83" s="328">
        <v>0</v>
      </c>
      <c r="AA83" s="328">
        <v>0</v>
      </c>
      <c r="AB83" s="328">
        <v>0</v>
      </c>
      <c r="AC83" s="328">
        <v>0</v>
      </c>
      <c r="AD83" s="328">
        <v>0</v>
      </c>
      <c r="AE83" s="328">
        <v>0</v>
      </c>
      <c r="AF83" s="328">
        <v>0</v>
      </c>
      <c r="AG83" s="328">
        <v>0</v>
      </c>
      <c r="AH83" s="329">
        <f t="shared" si="3"/>
        <v>0</v>
      </c>
    </row>
    <row r="84" spans="1:34" x14ac:dyDescent="0.2">
      <c r="A84" s="20" t="str">
        <f>'School Level Inst. Resources'!A84</f>
        <v>0502000</v>
      </c>
      <c r="B84" s="20" t="str">
        <f>'School Level Inst. Resources'!B84</f>
        <v>Converse #2</v>
      </c>
      <c r="C84" s="20" t="str">
        <f>'School Level Inst. Resources'!C84</f>
        <v>0502007</v>
      </c>
      <c r="D84" s="20" t="str">
        <f>'School Level Inst. Resources'!D84</f>
        <v>Glenrock Intermediate School</v>
      </c>
      <c r="E84" s="138" t="str">
        <f>'School Level Inst. Resources'!E84</f>
        <v>5-6</v>
      </c>
      <c r="F84" s="328">
        <v>0</v>
      </c>
      <c r="G84" s="328">
        <v>0</v>
      </c>
      <c r="H84" s="328">
        <v>0</v>
      </c>
      <c r="I84" s="328">
        <v>0</v>
      </c>
      <c r="J84" s="328">
        <v>0</v>
      </c>
      <c r="K84" s="328">
        <v>21</v>
      </c>
      <c r="L84" s="328">
        <v>21</v>
      </c>
      <c r="M84" s="328">
        <v>0</v>
      </c>
      <c r="N84" s="328">
        <v>0</v>
      </c>
      <c r="O84" s="328">
        <v>0</v>
      </c>
      <c r="P84" s="328">
        <v>0</v>
      </c>
      <c r="Q84" s="328">
        <v>0</v>
      </c>
      <c r="R84" s="328">
        <v>0</v>
      </c>
      <c r="S84" s="329">
        <f t="shared" si="2"/>
        <v>42</v>
      </c>
      <c r="T84" s="327"/>
      <c r="U84" s="328">
        <v>0</v>
      </c>
      <c r="V84" s="328">
        <v>0</v>
      </c>
      <c r="W84" s="328">
        <v>0</v>
      </c>
      <c r="X84" s="328">
        <v>0</v>
      </c>
      <c r="Y84" s="328">
        <v>0</v>
      </c>
      <c r="Z84" s="328">
        <v>1</v>
      </c>
      <c r="AA84" s="328">
        <v>0</v>
      </c>
      <c r="AB84" s="328">
        <v>0</v>
      </c>
      <c r="AC84" s="328">
        <v>0</v>
      </c>
      <c r="AD84" s="328">
        <v>0</v>
      </c>
      <c r="AE84" s="328">
        <v>0</v>
      </c>
      <c r="AF84" s="328">
        <v>0</v>
      </c>
      <c r="AG84" s="328">
        <v>0</v>
      </c>
      <c r="AH84" s="329">
        <f t="shared" si="3"/>
        <v>1</v>
      </c>
    </row>
    <row r="85" spans="1:34" x14ac:dyDescent="0.2">
      <c r="A85" s="20" t="str">
        <f>'School Level Inst. Resources'!A85</f>
        <v>0502000</v>
      </c>
      <c r="B85" s="20" t="str">
        <f>'School Level Inst. Resources'!B85</f>
        <v>Converse #2</v>
      </c>
      <c r="C85" s="20" t="str">
        <f>'School Level Inst. Resources'!C85</f>
        <v>0502050</v>
      </c>
      <c r="D85" s="20" t="str">
        <f>'School Level Inst. Resources'!D85</f>
        <v>Glenrock Middle School</v>
      </c>
      <c r="E85" s="138" t="str">
        <f>'School Level Inst. Resources'!E85</f>
        <v>7-8</v>
      </c>
      <c r="F85" s="328">
        <v>0</v>
      </c>
      <c r="G85" s="328">
        <v>0</v>
      </c>
      <c r="H85" s="328">
        <v>0</v>
      </c>
      <c r="I85" s="328">
        <v>0</v>
      </c>
      <c r="J85" s="328">
        <v>0</v>
      </c>
      <c r="K85" s="328">
        <v>0</v>
      </c>
      <c r="L85" s="328">
        <v>0</v>
      </c>
      <c r="M85" s="328">
        <v>11</v>
      </c>
      <c r="N85" s="328">
        <v>10</v>
      </c>
      <c r="O85" s="328">
        <v>0</v>
      </c>
      <c r="P85" s="328">
        <v>0</v>
      </c>
      <c r="Q85" s="328">
        <v>0</v>
      </c>
      <c r="R85" s="328">
        <v>0</v>
      </c>
      <c r="S85" s="329">
        <f t="shared" si="2"/>
        <v>21</v>
      </c>
      <c r="T85" s="327"/>
      <c r="U85" s="328">
        <v>0</v>
      </c>
      <c r="V85" s="328">
        <v>0</v>
      </c>
      <c r="W85" s="328">
        <v>0</v>
      </c>
      <c r="X85" s="328">
        <v>0</v>
      </c>
      <c r="Y85" s="328">
        <v>0</v>
      </c>
      <c r="Z85" s="328">
        <v>0</v>
      </c>
      <c r="AA85" s="328">
        <v>0</v>
      </c>
      <c r="AB85" s="328">
        <v>0</v>
      </c>
      <c r="AC85" s="328">
        <v>0</v>
      </c>
      <c r="AD85" s="328">
        <v>0</v>
      </c>
      <c r="AE85" s="328">
        <v>0</v>
      </c>
      <c r="AF85" s="328">
        <v>0</v>
      </c>
      <c r="AG85" s="328">
        <v>0</v>
      </c>
      <c r="AH85" s="329">
        <f t="shared" si="3"/>
        <v>0</v>
      </c>
    </row>
    <row r="86" spans="1:34" x14ac:dyDescent="0.2">
      <c r="A86" s="20" t="str">
        <f>'School Level Inst. Resources'!A86</f>
        <v>0502000</v>
      </c>
      <c r="B86" s="20" t="str">
        <f>'School Level Inst. Resources'!B86</f>
        <v>Converse #2</v>
      </c>
      <c r="C86" s="20" t="str">
        <f>'School Level Inst. Resources'!C86</f>
        <v>0502055</v>
      </c>
      <c r="D86" s="20" t="str">
        <f>'School Level Inst. Resources'!D86</f>
        <v>Glenrock High School</v>
      </c>
      <c r="E86" s="138" t="str">
        <f>'School Level Inst. Resources'!E86</f>
        <v>9-12</v>
      </c>
      <c r="F86" s="328">
        <v>0</v>
      </c>
      <c r="G86" s="328">
        <v>0</v>
      </c>
      <c r="H86" s="328">
        <v>0</v>
      </c>
      <c r="I86" s="328">
        <v>0</v>
      </c>
      <c r="J86" s="328">
        <v>0</v>
      </c>
      <c r="K86" s="328">
        <v>0</v>
      </c>
      <c r="L86" s="328">
        <v>0</v>
      </c>
      <c r="M86" s="328">
        <v>0</v>
      </c>
      <c r="N86" s="328">
        <v>0</v>
      </c>
      <c r="O86" s="328">
        <v>16</v>
      </c>
      <c r="P86" s="328">
        <v>6</v>
      </c>
      <c r="Q86" s="328">
        <v>5</v>
      </c>
      <c r="R86" s="328">
        <v>14</v>
      </c>
      <c r="S86" s="329">
        <f t="shared" si="2"/>
        <v>41</v>
      </c>
      <c r="T86" s="327"/>
      <c r="U86" s="328">
        <v>0</v>
      </c>
      <c r="V86" s="328">
        <v>0</v>
      </c>
      <c r="W86" s="328">
        <v>0</v>
      </c>
      <c r="X86" s="328">
        <v>0</v>
      </c>
      <c r="Y86" s="328">
        <v>0</v>
      </c>
      <c r="Z86" s="328">
        <v>0</v>
      </c>
      <c r="AA86" s="328">
        <v>0</v>
      </c>
      <c r="AB86" s="328">
        <v>0</v>
      </c>
      <c r="AC86" s="328">
        <v>0</v>
      </c>
      <c r="AD86" s="328">
        <v>0</v>
      </c>
      <c r="AE86" s="328">
        <v>0</v>
      </c>
      <c r="AF86" s="328">
        <v>1</v>
      </c>
      <c r="AG86" s="328">
        <v>0</v>
      </c>
      <c r="AH86" s="329">
        <f t="shared" si="3"/>
        <v>1</v>
      </c>
    </row>
    <row r="87" spans="1:34" x14ac:dyDescent="0.2">
      <c r="A87" s="20" t="str">
        <f>'School Level Inst. Resources'!A87</f>
        <v>0601000</v>
      </c>
      <c r="B87" s="20" t="str">
        <f>'School Level Inst. Resources'!B87</f>
        <v>Crook #1</v>
      </c>
      <c r="C87" s="20" t="str">
        <f>'School Level Inst. Resources'!C87</f>
        <v>0601007</v>
      </c>
      <c r="D87" s="20" t="str">
        <f>'School Level Inst. Resources'!D87</f>
        <v>Sundance Elementary</v>
      </c>
      <c r="E87" s="138" t="str">
        <f>'School Level Inst. Resources'!E87</f>
        <v>K-6</v>
      </c>
      <c r="F87" s="328">
        <v>10</v>
      </c>
      <c r="G87" s="328">
        <v>6</v>
      </c>
      <c r="H87" s="328">
        <v>12</v>
      </c>
      <c r="I87" s="328">
        <v>8</v>
      </c>
      <c r="J87" s="328">
        <v>9</v>
      </c>
      <c r="K87" s="328">
        <v>9</v>
      </c>
      <c r="L87" s="328">
        <v>11</v>
      </c>
      <c r="M87" s="328">
        <v>0</v>
      </c>
      <c r="N87" s="328">
        <v>0</v>
      </c>
      <c r="O87" s="328">
        <v>0</v>
      </c>
      <c r="P87" s="328">
        <v>0</v>
      </c>
      <c r="Q87" s="328">
        <v>0</v>
      </c>
      <c r="R87" s="328">
        <v>0</v>
      </c>
      <c r="S87" s="329">
        <f t="shared" si="2"/>
        <v>65</v>
      </c>
      <c r="T87" s="327"/>
      <c r="U87" s="328">
        <v>0</v>
      </c>
      <c r="V87" s="328">
        <v>0</v>
      </c>
      <c r="W87" s="328">
        <v>0</v>
      </c>
      <c r="X87" s="328">
        <v>0</v>
      </c>
      <c r="Y87" s="328">
        <v>0</v>
      </c>
      <c r="Z87" s="328">
        <v>0</v>
      </c>
      <c r="AA87" s="328">
        <v>0</v>
      </c>
      <c r="AB87" s="328">
        <v>0</v>
      </c>
      <c r="AC87" s="328">
        <v>0</v>
      </c>
      <c r="AD87" s="328">
        <v>0</v>
      </c>
      <c r="AE87" s="328">
        <v>0</v>
      </c>
      <c r="AF87" s="328">
        <v>0</v>
      </c>
      <c r="AG87" s="328">
        <v>0</v>
      </c>
      <c r="AH87" s="329">
        <f t="shared" si="3"/>
        <v>0</v>
      </c>
    </row>
    <row r="88" spans="1:34" x14ac:dyDescent="0.2">
      <c r="A88" s="20" t="str">
        <f>'School Level Inst. Resources'!A88</f>
        <v>0601000</v>
      </c>
      <c r="B88" s="20" t="str">
        <f>'School Level Inst. Resources'!B88</f>
        <v>Crook #1</v>
      </c>
      <c r="C88" s="20" t="str">
        <f>'School Level Inst. Resources'!C88</f>
        <v>0601008</v>
      </c>
      <c r="D88" s="20" t="str">
        <f>'School Level Inst. Resources'!D88</f>
        <v>Moorcroft K-8</v>
      </c>
      <c r="E88" s="138" t="str">
        <f>'School Level Inst. Resources'!E88</f>
        <v>K-8</v>
      </c>
      <c r="F88" s="328">
        <v>28</v>
      </c>
      <c r="G88" s="328">
        <v>33</v>
      </c>
      <c r="H88" s="328">
        <v>25</v>
      </c>
      <c r="I88" s="328">
        <v>23</v>
      </c>
      <c r="J88" s="328">
        <v>19</v>
      </c>
      <c r="K88" s="328">
        <v>22</v>
      </c>
      <c r="L88" s="328">
        <v>25</v>
      </c>
      <c r="M88" s="328">
        <v>25</v>
      </c>
      <c r="N88" s="328">
        <v>14</v>
      </c>
      <c r="O88" s="328">
        <v>0</v>
      </c>
      <c r="P88" s="328">
        <v>0</v>
      </c>
      <c r="Q88" s="328">
        <v>0</v>
      </c>
      <c r="R88" s="328">
        <v>0</v>
      </c>
      <c r="S88" s="329">
        <f t="shared" si="2"/>
        <v>214</v>
      </c>
      <c r="T88" s="327"/>
      <c r="U88" s="328">
        <v>0</v>
      </c>
      <c r="V88" s="328">
        <v>0</v>
      </c>
      <c r="W88" s="328">
        <v>1</v>
      </c>
      <c r="X88" s="328">
        <v>0</v>
      </c>
      <c r="Y88" s="328">
        <v>0</v>
      </c>
      <c r="Z88" s="328">
        <v>0</v>
      </c>
      <c r="AA88" s="328">
        <v>0</v>
      </c>
      <c r="AB88" s="328">
        <v>0</v>
      </c>
      <c r="AC88" s="328">
        <v>0</v>
      </c>
      <c r="AD88" s="328">
        <v>0</v>
      </c>
      <c r="AE88" s="328">
        <v>0</v>
      </c>
      <c r="AF88" s="328">
        <v>0</v>
      </c>
      <c r="AG88" s="328">
        <v>0</v>
      </c>
      <c r="AH88" s="329">
        <f t="shared" si="3"/>
        <v>1</v>
      </c>
    </row>
    <row r="89" spans="1:34" x14ac:dyDescent="0.2">
      <c r="A89" s="20" t="str">
        <f>'School Level Inst. Resources'!A89</f>
        <v>0601000</v>
      </c>
      <c r="B89" s="20" t="str">
        <f>'School Level Inst. Resources'!B89</f>
        <v>Crook #1</v>
      </c>
      <c r="C89" s="20" t="str">
        <f>'School Level Inst. Resources'!C89</f>
        <v>0601048</v>
      </c>
      <c r="D89" s="20" t="str">
        <f>'School Level Inst. Resources'!D89</f>
        <v>Sundance Secondary</v>
      </c>
      <c r="E89" s="138" t="str">
        <f>'School Level Inst. Resources'!E89</f>
        <v>7-12</v>
      </c>
      <c r="F89" s="328">
        <v>0</v>
      </c>
      <c r="G89" s="328">
        <v>0</v>
      </c>
      <c r="H89" s="328">
        <v>0</v>
      </c>
      <c r="I89" s="328">
        <v>0</v>
      </c>
      <c r="J89" s="328">
        <v>0</v>
      </c>
      <c r="K89" s="328">
        <v>0</v>
      </c>
      <c r="L89" s="328">
        <v>0</v>
      </c>
      <c r="M89" s="328">
        <v>10</v>
      </c>
      <c r="N89" s="328">
        <v>5</v>
      </c>
      <c r="O89" s="328">
        <v>7</v>
      </c>
      <c r="P89" s="328">
        <v>8</v>
      </c>
      <c r="Q89" s="328">
        <v>8</v>
      </c>
      <c r="R89" s="328">
        <v>5</v>
      </c>
      <c r="S89" s="329">
        <f t="shared" si="2"/>
        <v>43</v>
      </c>
      <c r="T89" s="327"/>
      <c r="U89" s="328">
        <v>0</v>
      </c>
      <c r="V89" s="328">
        <v>0</v>
      </c>
      <c r="W89" s="328">
        <v>0</v>
      </c>
      <c r="X89" s="328">
        <v>0</v>
      </c>
      <c r="Y89" s="328">
        <v>0</v>
      </c>
      <c r="Z89" s="328">
        <v>0</v>
      </c>
      <c r="AA89" s="328">
        <v>0</v>
      </c>
      <c r="AB89" s="328">
        <v>0</v>
      </c>
      <c r="AC89" s="328">
        <v>0</v>
      </c>
      <c r="AD89" s="328">
        <v>0</v>
      </c>
      <c r="AE89" s="328">
        <v>0</v>
      </c>
      <c r="AF89" s="328">
        <v>0</v>
      </c>
      <c r="AG89" s="328">
        <v>0</v>
      </c>
      <c r="AH89" s="329">
        <f t="shared" si="3"/>
        <v>0</v>
      </c>
    </row>
    <row r="90" spans="1:34" x14ac:dyDescent="0.2">
      <c r="A90" s="20" t="str">
        <f>'School Level Inst. Resources'!A90</f>
        <v>0601000</v>
      </c>
      <c r="B90" s="20" t="str">
        <f>'School Level Inst. Resources'!B90</f>
        <v>Crook #1</v>
      </c>
      <c r="C90" s="20" t="str">
        <f>'School Level Inst. Resources'!C90</f>
        <v>0601049</v>
      </c>
      <c r="D90" s="20" t="str">
        <f>'School Level Inst. Resources'!D90</f>
        <v>Hulett School</v>
      </c>
      <c r="E90" s="138" t="str">
        <f>'School Level Inst. Resources'!E90</f>
        <v>K-12</v>
      </c>
      <c r="F90" s="328">
        <v>2</v>
      </c>
      <c r="G90" s="328">
        <v>4</v>
      </c>
      <c r="H90" s="328">
        <v>4</v>
      </c>
      <c r="I90" s="328">
        <v>3</v>
      </c>
      <c r="J90" s="328">
        <v>7</v>
      </c>
      <c r="K90" s="328">
        <v>7</v>
      </c>
      <c r="L90" s="328">
        <v>8</v>
      </c>
      <c r="M90" s="328">
        <v>11</v>
      </c>
      <c r="N90" s="328">
        <v>4</v>
      </c>
      <c r="O90" s="328">
        <v>10</v>
      </c>
      <c r="P90" s="328">
        <v>4</v>
      </c>
      <c r="Q90" s="328">
        <v>4</v>
      </c>
      <c r="R90" s="328">
        <v>3</v>
      </c>
      <c r="S90" s="329">
        <f t="shared" si="2"/>
        <v>71</v>
      </c>
      <c r="T90" s="327"/>
      <c r="U90" s="328">
        <v>0</v>
      </c>
      <c r="V90" s="328">
        <v>0</v>
      </c>
      <c r="W90" s="328">
        <v>0</v>
      </c>
      <c r="X90" s="328">
        <v>0</v>
      </c>
      <c r="Y90" s="328">
        <v>0</v>
      </c>
      <c r="Z90" s="328">
        <v>0</v>
      </c>
      <c r="AA90" s="328">
        <v>0</v>
      </c>
      <c r="AB90" s="328">
        <v>0</v>
      </c>
      <c r="AC90" s="328">
        <v>0</v>
      </c>
      <c r="AD90" s="328">
        <v>0</v>
      </c>
      <c r="AE90" s="328">
        <v>0</v>
      </c>
      <c r="AF90" s="328">
        <v>1</v>
      </c>
      <c r="AG90" s="328">
        <v>0</v>
      </c>
      <c r="AH90" s="329">
        <f t="shared" si="3"/>
        <v>1</v>
      </c>
    </row>
    <row r="91" spans="1:34" x14ac:dyDescent="0.2">
      <c r="A91" s="20" t="str">
        <f>'School Level Inst. Resources'!A91</f>
        <v>0601000</v>
      </c>
      <c r="B91" s="20" t="str">
        <f>'School Level Inst. Resources'!B91</f>
        <v>Crook #1</v>
      </c>
      <c r="C91" s="20" t="str">
        <f>'School Level Inst. Resources'!C91</f>
        <v>0601056</v>
      </c>
      <c r="D91" s="20" t="str">
        <f>'School Level Inst. Resources'!D91</f>
        <v>Moorcroft High School</v>
      </c>
      <c r="E91" s="138" t="str">
        <f>'School Level Inst. Resources'!E91</f>
        <v>9-12</v>
      </c>
      <c r="F91" s="328">
        <v>0</v>
      </c>
      <c r="G91" s="328">
        <v>0</v>
      </c>
      <c r="H91" s="328">
        <v>0</v>
      </c>
      <c r="I91" s="328">
        <v>0</v>
      </c>
      <c r="J91" s="328">
        <v>0</v>
      </c>
      <c r="K91" s="328">
        <v>0</v>
      </c>
      <c r="L91" s="328">
        <v>0</v>
      </c>
      <c r="M91" s="328">
        <v>0</v>
      </c>
      <c r="N91" s="328">
        <v>0</v>
      </c>
      <c r="O91" s="328">
        <v>21</v>
      </c>
      <c r="P91" s="328">
        <v>15</v>
      </c>
      <c r="Q91" s="328">
        <v>12</v>
      </c>
      <c r="R91" s="328">
        <v>17</v>
      </c>
      <c r="S91" s="329">
        <f t="shared" si="2"/>
        <v>65</v>
      </c>
      <c r="T91" s="327"/>
      <c r="U91" s="328">
        <v>0</v>
      </c>
      <c r="V91" s="328">
        <v>0</v>
      </c>
      <c r="W91" s="328">
        <v>0</v>
      </c>
      <c r="X91" s="328">
        <v>0</v>
      </c>
      <c r="Y91" s="328">
        <v>0</v>
      </c>
      <c r="Z91" s="328">
        <v>0</v>
      </c>
      <c r="AA91" s="328">
        <v>0</v>
      </c>
      <c r="AB91" s="328">
        <v>0</v>
      </c>
      <c r="AC91" s="328">
        <v>0</v>
      </c>
      <c r="AD91" s="328">
        <v>0</v>
      </c>
      <c r="AE91" s="328">
        <v>0</v>
      </c>
      <c r="AF91" s="328">
        <v>0</v>
      </c>
      <c r="AG91" s="328">
        <v>0</v>
      </c>
      <c r="AH91" s="329">
        <f t="shared" si="3"/>
        <v>0</v>
      </c>
    </row>
    <row r="92" spans="1:34" x14ac:dyDescent="0.2">
      <c r="A92" s="20" t="str">
        <f>'School Level Inst. Resources'!A92</f>
        <v>0701000</v>
      </c>
      <c r="B92" s="20" t="str">
        <f>'School Level Inst. Resources'!B92</f>
        <v>Fremont #1</v>
      </c>
      <c r="C92" s="20" t="str">
        <f>'School Level Inst. Resources'!C92</f>
        <v>0701006</v>
      </c>
      <c r="D92" s="20" t="str">
        <f>'School Level Inst. Resources'!D92</f>
        <v>Jeffrey City Elementary</v>
      </c>
      <c r="E92" s="138" t="str">
        <f>'School Level Inst. Resources'!E92</f>
        <v>K-6</v>
      </c>
      <c r="F92" s="328">
        <v>0</v>
      </c>
      <c r="G92" s="328">
        <v>0</v>
      </c>
      <c r="H92" s="328">
        <v>1</v>
      </c>
      <c r="I92" s="328">
        <v>1</v>
      </c>
      <c r="J92" s="328">
        <v>1</v>
      </c>
      <c r="K92" s="328">
        <v>1</v>
      </c>
      <c r="L92" s="328">
        <v>0</v>
      </c>
      <c r="M92" s="328">
        <v>0</v>
      </c>
      <c r="N92" s="328">
        <v>0</v>
      </c>
      <c r="O92" s="328">
        <v>0</v>
      </c>
      <c r="P92" s="328">
        <v>0</v>
      </c>
      <c r="Q92" s="328">
        <v>0</v>
      </c>
      <c r="R92" s="328">
        <v>0</v>
      </c>
      <c r="S92" s="329">
        <f t="shared" si="2"/>
        <v>4</v>
      </c>
      <c r="T92" s="327"/>
      <c r="U92" s="328">
        <v>0</v>
      </c>
      <c r="V92" s="328">
        <v>0</v>
      </c>
      <c r="W92" s="328">
        <v>0</v>
      </c>
      <c r="X92" s="328">
        <v>0</v>
      </c>
      <c r="Y92" s="328">
        <v>0</v>
      </c>
      <c r="Z92" s="328">
        <v>0</v>
      </c>
      <c r="AA92" s="328">
        <v>0</v>
      </c>
      <c r="AB92" s="328">
        <v>0</v>
      </c>
      <c r="AC92" s="328">
        <v>0</v>
      </c>
      <c r="AD92" s="328">
        <v>0</v>
      </c>
      <c r="AE92" s="328">
        <v>0</v>
      </c>
      <c r="AF92" s="328">
        <v>0</v>
      </c>
      <c r="AG92" s="328">
        <v>0</v>
      </c>
      <c r="AH92" s="329">
        <f t="shared" si="3"/>
        <v>0</v>
      </c>
    </row>
    <row r="93" spans="1:34" x14ac:dyDescent="0.2">
      <c r="A93" s="20" t="str">
        <f>'School Level Inst. Resources'!A93</f>
        <v>0701000</v>
      </c>
      <c r="B93" s="20" t="str">
        <f>'School Level Inst. Resources'!B93</f>
        <v>Fremont #1</v>
      </c>
      <c r="C93" s="20" t="str">
        <f>'School Level Inst. Resources'!C93</f>
        <v>0701008</v>
      </c>
      <c r="D93" s="20" t="str">
        <f>'School Level Inst. Resources'!D93</f>
        <v>Gannett Peak</v>
      </c>
      <c r="E93" s="138" t="str">
        <f>'School Level Inst. Resources'!E93</f>
        <v>K-3</v>
      </c>
      <c r="F93" s="328">
        <v>43</v>
      </c>
      <c r="G93" s="328">
        <v>58</v>
      </c>
      <c r="H93" s="328">
        <v>75</v>
      </c>
      <c r="I93" s="328">
        <v>68</v>
      </c>
      <c r="J93" s="328">
        <v>0</v>
      </c>
      <c r="K93" s="328">
        <v>0</v>
      </c>
      <c r="L93" s="328">
        <v>0</v>
      </c>
      <c r="M93" s="328">
        <v>0</v>
      </c>
      <c r="N93" s="328">
        <v>0</v>
      </c>
      <c r="O93" s="328">
        <v>0</v>
      </c>
      <c r="P93" s="328">
        <v>0</v>
      </c>
      <c r="Q93" s="328">
        <v>0</v>
      </c>
      <c r="R93" s="328">
        <v>0</v>
      </c>
      <c r="S93" s="329">
        <f t="shared" si="2"/>
        <v>244</v>
      </c>
      <c r="T93" s="327"/>
      <c r="U93" s="328">
        <v>0</v>
      </c>
      <c r="V93" s="328">
        <v>0</v>
      </c>
      <c r="W93" s="328">
        <v>0</v>
      </c>
      <c r="X93" s="328">
        <v>0</v>
      </c>
      <c r="Y93" s="328">
        <v>0</v>
      </c>
      <c r="Z93" s="328">
        <v>0</v>
      </c>
      <c r="AA93" s="328">
        <v>0</v>
      </c>
      <c r="AB93" s="328">
        <v>0</v>
      </c>
      <c r="AC93" s="328">
        <v>0</v>
      </c>
      <c r="AD93" s="328">
        <v>0</v>
      </c>
      <c r="AE93" s="328">
        <v>0</v>
      </c>
      <c r="AF93" s="328">
        <v>0</v>
      </c>
      <c r="AG93" s="328">
        <v>0</v>
      </c>
      <c r="AH93" s="329">
        <f t="shared" si="3"/>
        <v>0</v>
      </c>
    </row>
    <row r="94" spans="1:34" x14ac:dyDescent="0.2">
      <c r="A94" s="20" t="str">
        <f>'School Level Inst. Resources'!A94</f>
        <v>0701000</v>
      </c>
      <c r="B94" s="20" t="str">
        <f>'School Level Inst. Resources'!B94</f>
        <v>Fremont #1</v>
      </c>
      <c r="C94" s="20" t="str">
        <f>'School Level Inst. Resources'!C94</f>
        <v>0701009</v>
      </c>
      <c r="D94" s="20" t="str">
        <f>'School Level Inst. Resources'!D94</f>
        <v>Baldwin Creek</v>
      </c>
      <c r="E94" s="138" t="str">
        <f>'School Level Inst. Resources'!E94</f>
        <v>4-5</v>
      </c>
      <c r="F94" s="328">
        <v>0</v>
      </c>
      <c r="G94" s="328">
        <v>0</v>
      </c>
      <c r="H94" s="328">
        <v>0</v>
      </c>
      <c r="I94" s="328">
        <v>0</v>
      </c>
      <c r="J94" s="328">
        <v>68</v>
      </c>
      <c r="K94" s="328">
        <v>63</v>
      </c>
      <c r="L94" s="328">
        <v>0</v>
      </c>
      <c r="M94" s="328">
        <v>0</v>
      </c>
      <c r="N94" s="328">
        <v>0</v>
      </c>
      <c r="O94" s="328">
        <v>0</v>
      </c>
      <c r="P94" s="328">
        <v>0</v>
      </c>
      <c r="Q94" s="328">
        <v>0</v>
      </c>
      <c r="R94" s="328">
        <v>0</v>
      </c>
      <c r="S94" s="329">
        <f t="shared" si="2"/>
        <v>131</v>
      </c>
      <c r="T94" s="327"/>
      <c r="U94" s="328">
        <v>0</v>
      </c>
      <c r="V94" s="328">
        <v>0</v>
      </c>
      <c r="W94" s="328">
        <v>0</v>
      </c>
      <c r="X94" s="328">
        <v>0</v>
      </c>
      <c r="Y94" s="328">
        <v>1</v>
      </c>
      <c r="Z94" s="328">
        <v>1</v>
      </c>
      <c r="AA94" s="328">
        <v>0</v>
      </c>
      <c r="AB94" s="328">
        <v>0</v>
      </c>
      <c r="AC94" s="328">
        <v>0</v>
      </c>
      <c r="AD94" s="328">
        <v>0</v>
      </c>
      <c r="AE94" s="328">
        <v>0</v>
      </c>
      <c r="AF94" s="328">
        <v>0</v>
      </c>
      <c r="AG94" s="328">
        <v>0</v>
      </c>
      <c r="AH94" s="329">
        <f t="shared" si="3"/>
        <v>2</v>
      </c>
    </row>
    <row r="95" spans="1:34" x14ac:dyDescent="0.2">
      <c r="A95" s="20" t="str">
        <f>'School Level Inst. Resources'!A95</f>
        <v>0701000</v>
      </c>
      <c r="B95" s="20" t="str">
        <f>'School Level Inst. Resources'!B95</f>
        <v>Fremont #1</v>
      </c>
      <c r="C95" s="20" t="str">
        <f>'School Level Inst. Resources'!C95</f>
        <v>0701050</v>
      </c>
      <c r="D95" s="20" t="str">
        <f>'School Level Inst. Resources'!D95</f>
        <v>Lander Middle School</v>
      </c>
      <c r="E95" s="138" t="str">
        <f>'School Level Inst. Resources'!E95</f>
        <v>6-8</v>
      </c>
      <c r="F95" s="328">
        <v>0</v>
      </c>
      <c r="G95" s="328">
        <v>0</v>
      </c>
      <c r="H95" s="328">
        <v>0</v>
      </c>
      <c r="I95" s="328">
        <v>0</v>
      </c>
      <c r="J95" s="328">
        <v>0</v>
      </c>
      <c r="K95" s="328">
        <v>0</v>
      </c>
      <c r="L95" s="328">
        <v>55</v>
      </c>
      <c r="M95" s="328">
        <v>60</v>
      </c>
      <c r="N95" s="328">
        <v>52</v>
      </c>
      <c r="O95" s="328">
        <v>0</v>
      </c>
      <c r="P95" s="328">
        <v>0</v>
      </c>
      <c r="Q95" s="328">
        <v>0</v>
      </c>
      <c r="R95" s="328">
        <v>0</v>
      </c>
      <c r="S95" s="329">
        <f t="shared" si="2"/>
        <v>167</v>
      </c>
      <c r="T95" s="327"/>
      <c r="U95" s="328">
        <v>0</v>
      </c>
      <c r="V95" s="328">
        <v>0</v>
      </c>
      <c r="W95" s="328">
        <v>0</v>
      </c>
      <c r="X95" s="328">
        <v>0</v>
      </c>
      <c r="Y95" s="328">
        <v>0</v>
      </c>
      <c r="Z95" s="328">
        <v>0</v>
      </c>
      <c r="AA95" s="328">
        <v>1</v>
      </c>
      <c r="AB95" s="328">
        <v>1</v>
      </c>
      <c r="AC95" s="328">
        <v>1</v>
      </c>
      <c r="AD95" s="328">
        <v>0</v>
      </c>
      <c r="AE95" s="328">
        <v>0</v>
      </c>
      <c r="AF95" s="328">
        <v>0</v>
      </c>
      <c r="AG95" s="328">
        <v>0</v>
      </c>
      <c r="AH95" s="329">
        <f t="shared" si="3"/>
        <v>3</v>
      </c>
    </row>
    <row r="96" spans="1:34" x14ac:dyDescent="0.2">
      <c r="A96" s="20" t="str">
        <f>'School Level Inst. Resources'!A96</f>
        <v>0701000</v>
      </c>
      <c r="B96" s="20" t="str">
        <f>'School Level Inst. Resources'!B96</f>
        <v>Fremont #1</v>
      </c>
      <c r="C96" s="20" t="str">
        <f>'School Level Inst. Resources'!C96</f>
        <v>0701055</v>
      </c>
      <c r="D96" s="20" t="str">
        <f>'School Level Inst. Resources'!D96</f>
        <v>Lander Valley High School</v>
      </c>
      <c r="E96" s="138" t="str">
        <f>'School Level Inst. Resources'!E96</f>
        <v>9-12</v>
      </c>
      <c r="F96" s="328">
        <v>0</v>
      </c>
      <c r="G96" s="328">
        <v>0</v>
      </c>
      <c r="H96" s="328">
        <v>0</v>
      </c>
      <c r="I96" s="328">
        <v>0</v>
      </c>
      <c r="J96" s="328">
        <v>0</v>
      </c>
      <c r="K96" s="328">
        <v>0</v>
      </c>
      <c r="L96" s="328">
        <v>0</v>
      </c>
      <c r="M96" s="328">
        <v>0</v>
      </c>
      <c r="N96" s="328">
        <v>0</v>
      </c>
      <c r="O96" s="328">
        <v>51</v>
      </c>
      <c r="P96" s="328">
        <v>27</v>
      </c>
      <c r="Q96" s="328">
        <v>25</v>
      </c>
      <c r="R96" s="328">
        <v>24</v>
      </c>
      <c r="S96" s="329">
        <f t="shared" si="2"/>
        <v>127</v>
      </c>
      <c r="T96" s="327"/>
      <c r="U96" s="328">
        <v>0</v>
      </c>
      <c r="V96" s="328">
        <v>0</v>
      </c>
      <c r="W96" s="328">
        <v>0</v>
      </c>
      <c r="X96" s="328">
        <v>0</v>
      </c>
      <c r="Y96" s="328">
        <v>0</v>
      </c>
      <c r="Z96" s="328">
        <v>0</v>
      </c>
      <c r="AA96" s="328">
        <v>0</v>
      </c>
      <c r="AB96" s="328">
        <v>0</v>
      </c>
      <c r="AC96" s="328">
        <v>0</v>
      </c>
      <c r="AD96" s="328">
        <v>2</v>
      </c>
      <c r="AE96" s="328">
        <v>2</v>
      </c>
      <c r="AF96" s="328">
        <v>0</v>
      </c>
      <c r="AG96" s="328">
        <v>0</v>
      </c>
      <c r="AH96" s="329">
        <f t="shared" si="3"/>
        <v>4</v>
      </c>
    </row>
    <row r="97" spans="1:34" x14ac:dyDescent="0.2">
      <c r="A97" s="20" t="str">
        <f>'School Level Inst. Resources'!A97</f>
        <v>0701000</v>
      </c>
      <c r="B97" s="20" t="str">
        <f>'School Level Inst. Resources'!B97</f>
        <v>Fremont #1</v>
      </c>
      <c r="C97" s="20" t="str">
        <f>'School Level Inst. Resources'!C97</f>
        <v>0701056</v>
      </c>
      <c r="D97" s="20" t="str">
        <f>'School Level Inst. Resources'!D97</f>
        <v>Pathfinder High School</v>
      </c>
      <c r="E97" s="138" t="str">
        <f>'School Level Inst. Resources'!E97</f>
        <v>9-12</v>
      </c>
      <c r="F97" s="328">
        <v>0</v>
      </c>
      <c r="G97" s="328">
        <v>0</v>
      </c>
      <c r="H97" s="328">
        <v>0</v>
      </c>
      <c r="I97" s="328">
        <v>0</v>
      </c>
      <c r="J97" s="328">
        <v>0</v>
      </c>
      <c r="K97" s="328">
        <v>0</v>
      </c>
      <c r="L97" s="328">
        <v>0</v>
      </c>
      <c r="M97" s="328">
        <v>0</v>
      </c>
      <c r="N97" s="328">
        <v>0</v>
      </c>
      <c r="O97" s="328">
        <v>10</v>
      </c>
      <c r="P97" s="328">
        <v>8</v>
      </c>
      <c r="Q97" s="328">
        <v>12</v>
      </c>
      <c r="R97" s="328">
        <v>4</v>
      </c>
      <c r="S97" s="329">
        <f t="shared" si="2"/>
        <v>34</v>
      </c>
      <c r="T97" s="327"/>
      <c r="U97" s="328">
        <v>0</v>
      </c>
      <c r="V97" s="328">
        <v>0</v>
      </c>
      <c r="W97" s="328">
        <v>0</v>
      </c>
      <c r="X97" s="328">
        <v>0</v>
      </c>
      <c r="Y97" s="328">
        <v>0</v>
      </c>
      <c r="Z97" s="328">
        <v>0</v>
      </c>
      <c r="AA97" s="328">
        <v>0</v>
      </c>
      <c r="AB97" s="328">
        <v>0</v>
      </c>
      <c r="AC97" s="328">
        <v>0</v>
      </c>
      <c r="AD97" s="328">
        <v>0</v>
      </c>
      <c r="AE97" s="328">
        <v>0</v>
      </c>
      <c r="AF97" s="328">
        <v>0</v>
      </c>
      <c r="AG97" s="328">
        <v>0</v>
      </c>
      <c r="AH97" s="329">
        <f t="shared" si="3"/>
        <v>0</v>
      </c>
    </row>
    <row r="98" spans="1:34" x14ac:dyDescent="0.2">
      <c r="A98" s="20" t="str">
        <f>'School Level Inst. Resources'!A98</f>
        <v>0702000</v>
      </c>
      <c r="B98" s="20" t="str">
        <f>'School Level Inst. Resources'!B98</f>
        <v>Fremont #2</v>
      </c>
      <c r="C98" s="20" t="str">
        <f>'School Level Inst. Resources'!C98</f>
        <v>0702001</v>
      </c>
      <c r="D98" s="20" t="str">
        <f>'School Level Inst. Resources'!D98</f>
        <v>Dubois Elementary</v>
      </c>
      <c r="E98" s="138" t="str">
        <f>'School Level Inst. Resources'!E98</f>
        <v>K-5</v>
      </c>
      <c r="F98" s="328">
        <v>5</v>
      </c>
      <c r="G98" s="328">
        <v>6</v>
      </c>
      <c r="H98" s="328">
        <v>2</v>
      </c>
      <c r="I98" s="328">
        <v>4</v>
      </c>
      <c r="J98" s="328">
        <v>5</v>
      </c>
      <c r="K98" s="328">
        <v>2</v>
      </c>
      <c r="L98" s="328">
        <v>0</v>
      </c>
      <c r="M98" s="328">
        <v>0</v>
      </c>
      <c r="N98" s="328">
        <v>0</v>
      </c>
      <c r="O98" s="328">
        <v>0</v>
      </c>
      <c r="P98" s="328">
        <v>0</v>
      </c>
      <c r="Q98" s="328">
        <v>0</v>
      </c>
      <c r="R98" s="328">
        <v>0</v>
      </c>
      <c r="S98" s="329">
        <f t="shared" si="2"/>
        <v>24</v>
      </c>
      <c r="T98" s="327"/>
      <c r="U98" s="328">
        <v>0</v>
      </c>
      <c r="V98" s="328">
        <v>0</v>
      </c>
      <c r="W98" s="328">
        <v>0</v>
      </c>
      <c r="X98" s="328">
        <v>0</v>
      </c>
      <c r="Y98" s="328">
        <v>0</v>
      </c>
      <c r="Z98" s="328">
        <v>0</v>
      </c>
      <c r="AA98" s="328">
        <v>0</v>
      </c>
      <c r="AB98" s="328">
        <v>0</v>
      </c>
      <c r="AC98" s="328">
        <v>0</v>
      </c>
      <c r="AD98" s="328">
        <v>0</v>
      </c>
      <c r="AE98" s="328">
        <v>0</v>
      </c>
      <c r="AF98" s="328">
        <v>0</v>
      </c>
      <c r="AG98" s="328">
        <v>0</v>
      </c>
      <c r="AH98" s="329">
        <f t="shared" si="3"/>
        <v>0</v>
      </c>
    </row>
    <row r="99" spans="1:34" x14ac:dyDescent="0.2">
      <c r="A99" s="20" t="str">
        <f>'School Level Inst. Resources'!A99</f>
        <v>0702000</v>
      </c>
      <c r="B99" s="20" t="str">
        <f>'School Level Inst. Resources'!B99</f>
        <v>Fremont #2</v>
      </c>
      <c r="C99" s="20" t="str">
        <f>'School Level Inst. Resources'!C99</f>
        <v>0702050</v>
      </c>
      <c r="D99" s="20" t="str">
        <f>'School Level Inst. Resources'!D99</f>
        <v>Dubois Middle School</v>
      </c>
      <c r="E99" s="138" t="str">
        <f>'School Level Inst. Resources'!E99</f>
        <v>6-8</v>
      </c>
      <c r="F99" s="328">
        <v>0</v>
      </c>
      <c r="G99" s="328">
        <v>0</v>
      </c>
      <c r="H99" s="328">
        <v>0</v>
      </c>
      <c r="I99" s="328">
        <v>0</v>
      </c>
      <c r="J99" s="328">
        <v>0</v>
      </c>
      <c r="K99" s="328">
        <v>0</v>
      </c>
      <c r="L99" s="328">
        <v>4</v>
      </c>
      <c r="M99" s="328">
        <v>6</v>
      </c>
      <c r="N99" s="328">
        <v>4</v>
      </c>
      <c r="O99" s="328">
        <v>0</v>
      </c>
      <c r="P99" s="328">
        <v>0</v>
      </c>
      <c r="Q99" s="328">
        <v>0</v>
      </c>
      <c r="R99" s="328">
        <v>0</v>
      </c>
      <c r="S99" s="329">
        <f t="shared" si="2"/>
        <v>14</v>
      </c>
      <c r="T99" s="327"/>
      <c r="U99" s="328">
        <v>0</v>
      </c>
      <c r="V99" s="328">
        <v>0</v>
      </c>
      <c r="W99" s="328">
        <v>0</v>
      </c>
      <c r="X99" s="328">
        <v>0</v>
      </c>
      <c r="Y99" s="328">
        <v>0</v>
      </c>
      <c r="Z99" s="328">
        <v>0</v>
      </c>
      <c r="AA99" s="328">
        <v>0</v>
      </c>
      <c r="AB99" s="328">
        <v>0</v>
      </c>
      <c r="AC99" s="328">
        <v>0</v>
      </c>
      <c r="AD99" s="328">
        <v>0</v>
      </c>
      <c r="AE99" s="328">
        <v>0</v>
      </c>
      <c r="AF99" s="328">
        <v>0</v>
      </c>
      <c r="AG99" s="328">
        <v>0</v>
      </c>
      <c r="AH99" s="329">
        <f t="shared" si="3"/>
        <v>0</v>
      </c>
    </row>
    <row r="100" spans="1:34" x14ac:dyDescent="0.2">
      <c r="A100" s="20" t="str">
        <f>'School Level Inst. Resources'!A100</f>
        <v>0702000</v>
      </c>
      <c r="B100" s="20" t="str">
        <f>'School Level Inst. Resources'!B100</f>
        <v>Fremont #2</v>
      </c>
      <c r="C100" s="20" t="str">
        <f>'School Level Inst. Resources'!C100</f>
        <v>0702055</v>
      </c>
      <c r="D100" s="20" t="str">
        <f>'School Level Inst. Resources'!D100</f>
        <v>Dubois High School</v>
      </c>
      <c r="E100" s="138" t="str">
        <f>'School Level Inst. Resources'!E100</f>
        <v>9-12</v>
      </c>
      <c r="F100" s="328">
        <v>0</v>
      </c>
      <c r="G100" s="328">
        <v>0</v>
      </c>
      <c r="H100" s="328">
        <v>0</v>
      </c>
      <c r="I100" s="328">
        <v>0</v>
      </c>
      <c r="J100" s="328">
        <v>0</v>
      </c>
      <c r="K100" s="328">
        <v>0</v>
      </c>
      <c r="L100" s="328">
        <v>0</v>
      </c>
      <c r="M100" s="328">
        <v>0</v>
      </c>
      <c r="N100" s="328">
        <v>0</v>
      </c>
      <c r="O100" s="328">
        <v>5</v>
      </c>
      <c r="P100" s="328">
        <v>9</v>
      </c>
      <c r="Q100" s="328">
        <v>8</v>
      </c>
      <c r="R100" s="328">
        <v>5</v>
      </c>
      <c r="S100" s="329">
        <f t="shared" si="2"/>
        <v>27</v>
      </c>
      <c r="T100" s="327"/>
      <c r="U100" s="328">
        <v>0</v>
      </c>
      <c r="V100" s="328">
        <v>0</v>
      </c>
      <c r="W100" s="328">
        <v>0</v>
      </c>
      <c r="X100" s="328">
        <v>0</v>
      </c>
      <c r="Y100" s="328">
        <v>0</v>
      </c>
      <c r="Z100" s="328">
        <v>0</v>
      </c>
      <c r="AA100" s="328">
        <v>0</v>
      </c>
      <c r="AB100" s="328">
        <v>0</v>
      </c>
      <c r="AC100" s="328">
        <v>0</v>
      </c>
      <c r="AD100" s="328">
        <v>0</v>
      </c>
      <c r="AE100" s="328">
        <v>0</v>
      </c>
      <c r="AF100" s="328">
        <v>0</v>
      </c>
      <c r="AG100" s="328">
        <v>0</v>
      </c>
      <c r="AH100" s="329">
        <f t="shared" si="3"/>
        <v>0</v>
      </c>
    </row>
    <row r="101" spans="1:34" x14ac:dyDescent="0.2">
      <c r="A101" s="20" t="str">
        <f>'School Level Inst. Resources'!A101</f>
        <v>0706000</v>
      </c>
      <c r="B101" s="20" t="str">
        <f>'School Level Inst. Resources'!B101</f>
        <v>Fremont #6</v>
      </c>
      <c r="C101" s="20" t="str">
        <f>'School Level Inst. Resources'!C101</f>
        <v>0706001</v>
      </c>
      <c r="D101" s="20" t="str">
        <f>'School Level Inst. Resources'!D101</f>
        <v>Crowheart Elementary</v>
      </c>
      <c r="E101" s="138" t="str">
        <f>'School Level Inst. Resources'!E101</f>
        <v>P-3</v>
      </c>
      <c r="F101" s="328">
        <v>1</v>
      </c>
      <c r="G101" s="328">
        <v>3</v>
      </c>
      <c r="H101" s="328">
        <v>4</v>
      </c>
      <c r="I101" s="328">
        <v>0</v>
      </c>
      <c r="J101" s="328">
        <v>0</v>
      </c>
      <c r="K101" s="328">
        <v>0</v>
      </c>
      <c r="L101" s="328">
        <v>0</v>
      </c>
      <c r="M101" s="328">
        <v>0</v>
      </c>
      <c r="N101" s="328">
        <v>0</v>
      </c>
      <c r="O101" s="328">
        <v>0</v>
      </c>
      <c r="P101" s="328">
        <v>0</v>
      </c>
      <c r="Q101" s="328">
        <v>0</v>
      </c>
      <c r="R101" s="328">
        <v>0</v>
      </c>
      <c r="S101" s="329">
        <f t="shared" ref="S101:S164" si="4">SUM(F101:R101)</f>
        <v>8</v>
      </c>
      <c r="T101" s="327"/>
      <c r="U101" s="328">
        <v>0</v>
      </c>
      <c r="V101" s="328">
        <v>0</v>
      </c>
      <c r="W101" s="328">
        <v>0</v>
      </c>
      <c r="X101" s="328">
        <v>0</v>
      </c>
      <c r="Y101" s="328">
        <v>0</v>
      </c>
      <c r="Z101" s="328">
        <v>0</v>
      </c>
      <c r="AA101" s="328">
        <v>0</v>
      </c>
      <c r="AB101" s="328">
        <v>0</v>
      </c>
      <c r="AC101" s="328">
        <v>0</v>
      </c>
      <c r="AD101" s="328">
        <v>0</v>
      </c>
      <c r="AE101" s="328">
        <v>0</v>
      </c>
      <c r="AF101" s="328">
        <v>0</v>
      </c>
      <c r="AG101" s="328">
        <v>0</v>
      </c>
      <c r="AH101" s="329">
        <f t="shared" si="3"/>
        <v>0</v>
      </c>
    </row>
    <row r="102" spans="1:34" x14ac:dyDescent="0.2">
      <c r="A102" s="20" t="str">
        <f>'School Level Inst. Resources'!A102</f>
        <v>0706000</v>
      </c>
      <c r="B102" s="20" t="str">
        <f>'School Level Inst. Resources'!B102</f>
        <v>Fremont #6</v>
      </c>
      <c r="C102" s="20" t="str">
        <f>'School Level Inst. Resources'!C102</f>
        <v>0706002</v>
      </c>
      <c r="D102" s="20" t="str">
        <f>'School Level Inst. Resources'!D102</f>
        <v>Wind River Elementary</v>
      </c>
      <c r="E102" s="138" t="str">
        <f>'School Level Inst. Resources'!E102</f>
        <v>P-5</v>
      </c>
      <c r="F102" s="328">
        <v>10</v>
      </c>
      <c r="G102" s="328">
        <v>11</v>
      </c>
      <c r="H102" s="328">
        <v>15</v>
      </c>
      <c r="I102" s="328">
        <v>11</v>
      </c>
      <c r="J102" s="328">
        <v>19</v>
      </c>
      <c r="K102" s="328">
        <v>16</v>
      </c>
      <c r="L102" s="328">
        <v>0</v>
      </c>
      <c r="M102" s="328">
        <v>0</v>
      </c>
      <c r="N102" s="328">
        <v>0</v>
      </c>
      <c r="O102" s="328">
        <v>0</v>
      </c>
      <c r="P102" s="328">
        <v>0</v>
      </c>
      <c r="Q102" s="328">
        <v>0</v>
      </c>
      <c r="R102" s="328">
        <v>0</v>
      </c>
      <c r="S102" s="329">
        <f t="shared" si="4"/>
        <v>82</v>
      </c>
      <c r="T102" s="327"/>
      <c r="U102" s="328">
        <v>0</v>
      </c>
      <c r="V102" s="328">
        <v>0</v>
      </c>
      <c r="W102" s="328">
        <v>0</v>
      </c>
      <c r="X102" s="328">
        <v>0</v>
      </c>
      <c r="Y102" s="328">
        <v>0</v>
      </c>
      <c r="Z102" s="328">
        <v>0</v>
      </c>
      <c r="AA102" s="328">
        <v>0</v>
      </c>
      <c r="AB102" s="328">
        <v>0</v>
      </c>
      <c r="AC102" s="328">
        <v>0</v>
      </c>
      <c r="AD102" s="328">
        <v>0</v>
      </c>
      <c r="AE102" s="328">
        <v>0</v>
      </c>
      <c r="AF102" s="328">
        <v>0</v>
      </c>
      <c r="AG102" s="328">
        <v>0</v>
      </c>
      <c r="AH102" s="329">
        <f t="shared" si="3"/>
        <v>0</v>
      </c>
    </row>
    <row r="103" spans="1:34" x14ac:dyDescent="0.2">
      <c r="A103" s="20" t="str">
        <f>'School Level Inst. Resources'!A103</f>
        <v>0706000</v>
      </c>
      <c r="B103" s="20" t="str">
        <f>'School Level Inst. Resources'!B103</f>
        <v>Fremont #6</v>
      </c>
      <c r="C103" s="20" t="str">
        <f>'School Level Inst. Resources'!C103</f>
        <v>0706050</v>
      </c>
      <c r="D103" s="20" t="str">
        <f>'School Level Inst. Resources'!D103</f>
        <v>Wind River Middle School</v>
      </c>
      <c r="E103" s="138" t="str">
        <f>'School Level Inst. Resources'!E103</f>
        <v>6-8</v>
      </c>
      <c r="F103" s="328">
        <v>0</v>
      </c>
      <c r="G103" s="328">
        <v>0</v>
      </c>
      <c r="H103" s="328">
        <v>0</v>
      </c>
      <c r="I103" s="328">
        <v>0</v>
      </c>
      <c r="J103" s="328">
        <v>0</v>
      </c>
      <c r="K103" s="328">
        <v>0</v>
      </c>
      <c r="L103" s="328">
        <v>13</v>
      </c>
      <c r="M103" s="328">
        <v>15</v>
      </c>
      <c r="N103" s="328">
        <v>18</v>
      </c>
      <c r="O103" s="328">
        <v>0</v>
      </c>
      <c r="P103" s="328">
        <v>0</v>
      </c>
      <c r="Q103" s="328">
        <v>0</v>
      </c>
      <c r="R103" s="328">
        <v>0</v>
      </c>
      <c r="S103" s="329">
        <f t="shared" si="4"/>
        <v>46</v>
      </c>
      <c r="T103" s="327"/>
      <c r="U103" s="328">
        <v>0</v>
      </c>
      <c r="V103" s="328">
        <v>0</v>
      </c>
      <c r="W103" s="328">
        <v>0</v>
      </c>
      <c r="X103" s="328">
        <v>0</v>
      </c>
      <c r="Y103" s="328">
        <v>0</v>
      </c>
      <c r="Z103" s="328">
        <v>0</v>
      </c>
      <c r="AA103" s="328">
        <v>0</v>
      </c>
      <c r="AB103" s="328">
        <v>0</v>
      </c>
      <c r="AC103" s="328">
        <v>0</v>
      </c>
      <c r="AD103" s="328">
        <v>0</v>
      </c>
      <c r="AE103" s="328">
        <v>0</v>
      </c>
      <c r="AF103" s="328">
        <v>0</v>
      </c>
      <c r="AG103" s="328">
        <v>0</v>
      </c>
      <c r="AH103" s="329">
        <f t="shared" si="3"/>
        <v>0</v>
      </c>
    </row>
    <row r="104" spans="1:34" x14ac:dyDescent="0.2">
      <c r="A104" s="20" t="str">
        <f>'School Level Inst. Resources'!A104</f>
        <v>0706000</v>
      </c>
      <c r="B104" s="20" t="str">
        <f>'School Level Inst. Resources'!B104</f>
        <v>Fremont #6</v>
      </c>
      <c r="C104" s="20" t="str">
        <f>'School Level Inst. Resources'!C104</f>
        <v>0706056</v>
      </c>
      <c r="D104" s="20" t="str">
        <f>'School Level Inst. Resources'!D104</f>
        <v>Wind River High School</v>
      </c>
      <c r="E104" s="138" t="str">
        <f>'School Level Inst. Resources'!E104</f>
        <v>9-12</v>
      </c>
      <c r="F104" s="328">
        <v>0</v>
      </c>
      <c r="G104" s="328">
        <v>0</v>
      </c>
      <c r="H104" s="328">
        <v>0</v>
      </c>
      <c r="I104" s="328">
        <v>0</v>
      </c>
      <c r="J104" s="328">
        <v>0</v>
      </c>
      <c r="K104" s="328">
        <v>0</v>
      </c>
      <c r="L104" s="328">
        <v>0</v>
      </c>
      <c r="M104" s="328">
        <v>0</v>
      </c>
      <c r="N104" s="328">
        <v>0</v>
      </c>
      <c r="O104" s="328">
        <v>29</v>
      </c>
      <c r="P104" s="328">
        <v>19</v>
      </c>
      <c r="Q104" s="328">
        <v>14</v>
      </c>
      <c r="R104" s="328">
        <v>10</v>
      </c>
      <c r="S104" s="329">
        <f t="shared" si="4"/>
        <v>72</v>
      </c>
      <c r="T104" s="327"/>
      <c r="U104" s="328">
        <v>0</v>
      </c>
      <c r="V104" s="328">
        <v>0</v>
      </c>
      <c r="W104" s="328">
        <v>0</v>
      </c>
      <c r="X104" s="328">
        <v>0</v>
      </c>
      <c r="Y104" s="328">
        <v>0</v>
      </c>
      <c r="Z104" s="328">
        <v>0</v>
      </c>
      <c r="AA104" s="328">
        <v>0</v>
      </c>
      <c r="AB104" s="328">
        <v>0</v>
      </c>
      <c r="AC104" s="328">
        <v>0</v>
      </c>
      <c r="AD104" s="328">
        <v>0</v>
      </c>
      <c r="AE104" s="328">
        <v>2</v>
      </c>
      <c r="AF104" s="328">
        <v>0</v>
      </c>
      <c r="AG104" s="328">
        <v>0</v>
      </c>
      <c r="AH104" s="329">
        <f t="shared" si="3"/>
        <v>2</v>
      </c>
    </row>
    <row r="105" spans="1:34" x14ac:dyDescent="0.2">
      <c r="A105" s="20" t="str">
        <f>'School Level Inst. Resources'!A105</f>
        <v>0706000</v>
      </c>
      <c r="B105" s="20" t="str">
        <f>'School Level Inst. Resources'!B105</f>
        <v>Fremont #6</v>
      </c>
      <c r="C105" s="20" t="str">
        <f>'School Level Inst. Resources'!C105</f>
        <v>0706057</v>
      </c>
      <c r="D105" s="20" t="str">
        <f>'School Level Inst. Resources'!D105</f>
        <v>Wind River Learning Academy</v>
      </c>
      <c r="E105" s="138" t="str">
        <f>'School Level Inst. Resources'!E105</f>
        <v>9-12</v>
      </c>
      <c r="F105" s="328">
        <v>0</v>
      </c>
      <c r="G105" s="328">
        <v>0</v>
      </c>
      <c r="H105" s="328">
        <v>0</v>
      </c>
      <c r="I105" s="328">
        <v>0</v>
      </c>
      <c r="J105" s="328">
        <v>0</v>
      </c>
      <c r="K105" s="328">
        <v>0</v>
      </c>
      <c r="L105" s="328">
        <v>0</v>
      </c>
      <c r="M105" s="328">
        <v>0</v>
      </c>
      <c r="N105" s="328">
        <v>0</v>
      </c>
      <c r="O105" s="328">
        <v>0</v>
      </c>
      <c r="P105" s="328">
        <v>2</v>
      </c>
      <c r="Q105" s="328">
        <v>1</v>
      </c>
      <c r="R105" s="328">
        <v>1</v>
      </c>
      <c r="S105" s="329">
        <f t="shared" si="4"/>
        <v>4</v>
      </c>
      <c r="T105" s="327"/>
      <c r="U105" s="328">
        <v>0</v>
      </c>
      <c r="V105" s="328">
        <v>0</v>
      </c>
      <c r="W105" s="328">
        <v>0</v>
      </c>
      <c r="X105" s="328">
        <v>0</v>
      </c>
      <c r="Y105" s="328">
        <v>0</v>
      </c>
      <c r="Z105" s="328">
        <v>0</v>
      </c>
      <c r="AA105" s="328">
        <v>0</v>
      </c>
      <c r="AB105" s="328">
        <v>0</v>
      </c>
      <c r="AC105" s="328">
        <v>0</v>
      </c>
      <c r="AD105" s="328">
        <v>0</v>
      </c>
      <c r="AE105" s="328">
        <v>0</v>
      </c>
      <c r="AF105" s="328">
        <v>0</v>
      </c>
      <c r="AG105" s="328">
        <v>0</v>
      </c>
      <c r="AH105" s="329">
        <f t="shared" si="3"/>
        <v>0</v>
      </c>
    </row>
    <row r="106" spans="1:34" x14ac:dyDescent="0.2">
      <c r="A106" s="20" t="str">
        <f>'School Level Inst. Resources'!A106</f>
        <v>0714000</v>
      </c>
      <c r="B106" s="20" t="str">
        <f>'School Level Inst. Resources'!B106</f>
        <v>Fremont #14</v>
      </c>
      <c r="C106" s="20" t="str">
        <f>'School Level Inst. Resources'!C106</f>
        <v>0714001</v>
      </c>
      <c r="D106" s="20" t="str">
        <f>'School Level Inst. Resources'!D106</f>
        <v>Wyoming Indian Elementary</v>
      </c>
      <c r="E106" s="138" t="str">
        <f>'School Level Inst. Resources'!E106</f>
        <v>P-5</v>
      </c>
      <c r="F106" s="328">
        <v>38.027000000000044</v>
      </c>
      <c r="G106" s="328">
        <v>33.878600000000034</v>
      </c>
      <c r="H106" s="328">
        <v>32.495800000000031</v>
      </c>
      <c r="I106" s="328">
        <v>42.175400000000053</v>
      </c>
      <c r="J106" s="328">
        <v>37.335600000000042</v>
      </c>
      <c r="K106" s="328">
        <v>42.866800000000055</v>
      </c>
      <c r="L106" s="328">
        <v>0</v>
      </c>
      <c r="M106" s="328">
        <v>0</v>
      </c>
      <c r="N106" s="328">
        <v>0</v>
      </c>
      <c r="O106" s="328">
        <v>0</v>
      </c>
      <c r="P106" s="328">
        <v>0</v>
      </c>
      <c r="Q106" s="328">
        <v>0</v>
      </c>
      <c r="R106" s="328">
        <v>0</v>
      </c>
      <c r="S106" s="329">
        <f t="shared" si="4"/>
        <v>226.77920000000029</v>
      </c>
      <c r="T106" s="327"/>
      <c r="U106" s="328">
        <v>0</v>
      </c>
      <c r="V106" s="328">
        <v>0</v>
      </c>
      <c r="W106" s="328">
        <v>0</v>
      </c>
      <c r="X106" s="328">
        <v>0</v>
      </c>
      <c r="Y106" s="328">
        <v>0</v>
      </c>
      <c r="Z106" s="328">
        <v>3</v>
      </c>
      <c r="AA106" s="328">
        <v>0</v>
      </c>
      <c r="AB106" s="328">
        <v>0</v>
      </c>
      <c r="AC106" s="328">
        <v>0</v>
      </c>
      <c r="AD106" s="328">
        <v>0</v>
      </c>
      <c r="AE106" s="328">
        <v>0</v>
      </c>
      <c r="AF106" s="328">
        <v>0</v>
      </c>
      <c r="AG106" s="328">
        <v>0</v>
      </c>
      <c r="AH106" s="329">
        <f t="shared" si="3"/>
        <v>3</v>
      </c>
    </row>
    <row r="107" spans="1:34" x14ac:dyDescent="0.2">
      <c r="A107" s="20" t="str">
        <f>'School Level Inst. Resources'!A107</f>
        <v>0714000</v>
      </c>
      <c r="B107" s="20" t="str">
        <f>'School Level Inst. Resources'!B107</f>
        <v>Fremont #14</v>
      </c>
      <c r="C107" s="20" t="str">
        <f>'School Level Inst. Resources'!C107</f>
        <v>0714050</v>
      </c>
      <c r="D107" s="20" t="str">
        <f>'School Level Inst. Resources'!D107</f>
        <v>Wyoming Indian Middle School</v>
      </c>
      <c r="E107" s="138" t="str">
        <f>'School Level Inst. Resources'!E107</f>
        <v>6-8</v>
      </c>
      <c r="F107" s="328">
        <v>0</v>
      </c>
      <c r="G107" s="328">
        <v>0</v>
      </c>
      <c r="H107" s="328">
        <v>0</v>
      </c>
      <c r="I107" s="328">
        <v>0</v>
      </c>
      <c r="J107" s="328">
        <v>0</v>
      </c>
      <c r="K107" s="328">
        <v>0</v>
      </c>
      <c r="L107" s="328">
        <v>39.644200000000048</v>
      </c>
      <c r="M107" s="328">
        <v>40.261400000000044</v>
      </c>
      <c r="N107" s="328">
        <v>30.730200000000032</v>
      </c>
      <c r="O107" s="328">
        <v>0</v>
      </c>
      <c r="P107" s="328">
        <v>0</v>
      </c>
      <c r="Q107" s="328">
        <v>0</v>
      </c>
      <c r="R107" s="328">
        <v>0</v>
      </c>
      <c r="S107" s="329">
        <f t="shared" si="4"/>
        <v>110.63580000000013</v>
      </c>
      <c r="T107" s="327"/>
      <c r="U107" s="328">
        <v>0</v>
      </c>
      <c r="V107" s="328">
        <v>0</v>
      </c>
      <c r="W107" s="328">
        <v>0</v>
      </c>
      <c r="X107" s="328">
        <v>0</v>
      </c>
      <c r="Y107" s="328">
        <v>0</v>
      </c>
      <c r="Z107" s="328">
        <v>0</v>
      </c>
      <c r="AA107" s="328">
        <v>5</v>
      </c>
      <c r="AB107" s="328">
        <v>1</v>
      </c>
      <c r="AC107" s="328">
        <v>3</v>
      </c>
      <c r="AD107" s="328">
        <v>0</v>
      </c>
      <c r="AE107" s="328">
        <v>0</v>
      </c>
      <c r="AF107" s="328">
        <v>0</v>
      </c>
      <c r="AG107" s="328">
        <v>0</v>
      </c>
      <c r="AH107" s="329">
        <f t="shared" si="3"/>
        <v>9</v>
      </c>
    </row>
    <row r="108" spans="1:34" x14ac:dyDescent="0.2">
      <c r="A108" s="20" t="str">
        <f>'School Level Inst. Resources'!A108</f>
        <v>0714000</v>
      </c>
      <c r="B108" s="20" t="str">
        <f>'School Level Inst. Resources'!B108</f>
        <v>Fremont #14</v>
      </c>
      <c r="C108" s="20" t="str">
        <f>'School Level Inst. Resources'!C108</f>
        <v>0714055</v>
      </c>
      <c r="D108" s="20" t="str">
        <f>'School Level Inst. Resources'!D108</f>
        <v>Wyoming Indian High School</v>
      </c>
      <c r="E108" s="138" t="str">
        <f>'School Level Inst. Resources'!E108</f>
        <v>9-12</v>
      </c>
      <c r="F108" s="328">
        <v>0</v>
      </c>
      <c r="G108" s="328">
        <v>0</v>
      </c>
      <c r="H108" s="328">
        <v>0</v>
      </c>
      <c r="I108" s="328">
        <v>0</v>
      </c>
      <c r="J108" s="328">
        <v>0</v>
      </c>
      <c r="K108" s="328">
        <v>0</v>
      </c>
      <c r="L108" s="328">
        <v>0</v>
      </c>
      <c r="M108" s="328">
        <v>0</v>
      </c>
      <c r="N108" s="328">
        <v>0</v>
      </c>
      <c r="O108" s="328">
        <v>49.941000000000059</v>
      </c>
      <c r="P108" s="328">
        <v>24.433400000000017</v>
      </c>
      <c r="Q108" s="328">
        <v>21.05060000000001</v>
      </c>
      <c r="R108" s="328">
        <v>16.593599999999999</v>
      </c>
      <c r="S108" s="329">
        <f t="shared" si="4"/>
        <v>112.01860000000009</v>
      </c>
      <c r="T108" s="327"/>
      <c r="U108" s="328">
        <v>0</v>
      </c>
      <c r="V108" s="328">
        <v>0</v>
      </c>
      <c r="W108" s="328">
        <v>0</v>
      </c>
      <c r="X108" s="328">
        <v>0</v>
      </c>
      <c r="Y108" s="328">
        <v>0</v>
      </c>
      <c r="Z108" s="328">
        <v>0</v>
      </c>
      <c r="AA108" s="328">
        <v>0</v>
      </c>
      <c r="AB108" s="328">
        <v>0</v>
      </c>
      <c r="AC108" s="328">
        <v>0</v>
      </c>
      <c r="AD108" s="328">
        <v>18</v>
      </c>
      <c r="AE108" s="328">
        <v>7</v>
      </c>
      <c r="AF108" s="328">
        <v>2</v>
      </c>
      <c r="AG108" s="328">
        <v>5</v>
      </c>
      <c r="AH108" s="329">
        <f t="shared" si="3"/>
        <v>32</v>
      </c>
    </row>
    <row r="109" spans="1:34" x14ac:dyDescent="0.2">
      <c r="A109" s="20" t="str">
        <f>'School Level Inst. Resources'!A109</f>
        <v>0721000</v>
      </c>
      <c r="B109" s="20" t="str">
        <f>'School Level Inst. Resources'!B109</f>
        <v>Fremont #21</v>
      </c>
      <c r="C109" s="20" t="str">
        <f>'School Level Inst. Resources'!C109</f>
        <v>0721001</v>
      </c>
      <c r="D109" s="20" t="str">
        <f>'School Level Inst. Resources'!D109</f>
        <v>Ft. Washakie Elementary</v>
      </c>
      <c r="E109" s="138" t="str">
        <f>'School Level Inst. Resources'!E109</f>
        <v>P-6</v>
      </c>
      <c r="F109" s="328">
        <v>34.802999999999983</v>
      </c>
      <c r="G109" s="328">
        <v>36.349799999999988</v>
      </c>
      <c r="H109" s="328">
        <v>34.029599999999981</v>
      </c>
      <c r="I109" s="328">
        <v>35.576399999999985</v>
      </c>
      <c r="J109" s="328">
        <v>41.763600000000004</v>
      </c>
      <c r="K109" s="328">
        <v>35.576399999999985</v>
      </c>
      <c r="L109" s="328">
        <v>49.63060000000003</v>
      </c>
      <c r="M109" s="328">
        <v>0</v>
      </c>
      <c r="N109" s="328">
        <v>0</v>
      </c>
      <c r="O109" s="328">
        <v>0</v>
      </c>
      <c r="P109" s="328">
        <v>0</v>
      </c>
      <c r="Q109" s="328">
        <v>0</v>
      </c>
      <c r="R109" s="328">
        <v>0</v>
      </c>
      <c r="S109" s="329">
        <f t="shared" si="4"/>
        <v>267.72939999999994</v>
      </c>
      <c r="T109" s="327"/>
      <c r="U109" s="328">
        <v>0</v>
      </c>
      <c r="V109" s="328">
        <v>0</v>
      </c>
      <c r="W109" s="328">
        <v>0</v>
      </c>
      <c r="X109" s="328">
        <v>0</v>
      </c>
      <c r="Y109" s="328">
        <v>0</v>
      </c>
      <c r="Z109" s="328">
        <v>0</v>
      </c>
      <c r="AA109" s="328">
        <v>3</v>
      </c>
      <c r="AB109" s="328">
        <v>0</v>
      </c>
      <c r="AC109" s="328">
        <v>0</v>
      </c>
      <c r="AD109" s="328">
        <v>0</v>
      </c>
      <c r="AE109" s="328">
        <v>0</v>
      </c>
      <c r="AF109" s="328">
        <v>0</v>
      </c>
      <c r="AG109" s="328">
        <v>0</v>
      </c>
      <c r="AH109" s="329">
        <f t="shared" si="3"/>
        <v>3</v>
      </c>
    </row>
    <row r="110" spans="1:34" x14ac:dyDescent="0.2">
      <c r="A110" s="20" t="str">
        <f>'School Level Inst. Resources'!A110</f>
        <v>0721000</v>
      </c>
      <c r="B110" s="20" t="str">
        <f>'School Level Inst. Resources'!B110</f>
        <v>Fremont #21</v>
      </c>
      <c r="C110" s="20" t="str">
        <f>'School Level Inst. Resources'!C110</f>
        <v>0721050</v>
      </c>
      <c r="D110" s="20" t="str">
        <f>'School Level Inst. Resources'!D110</f>
        <v>Ft. Washakie Middle School</v>
      </c>
      <c r="E110" s="138" t="str">
        <f>'School Level Inst. Resources'!E110</f>
        <v>7-8</v>
      </c>
      <c r="F110" s="328">
        <v>0</v>
      </c>
      <c r="G110" s="328">
        <v>0</v>
      </c>
      <c r="H110" s="328">
        <v>0</v>
      </c>
      <c r="I110" s="328">
        <v>0</v>
      </c>
      <c r="J110" s="328">
        <v>0</v>
      </c>
      <c r="K110" s="328">
        <v>0</v>
      </c>
      <c r="L110" s="328">
        <v>0</v>
      </c>
      <c r="M110" s="328">
        <v>39.803000000000004</v>
      </c>
      <c r="N110" s="328">
        <v>51.083800000000032</v>
      </c>
      <c r="O110" s="328">
        <v>0</v>
      </c>
      <c r="P110" s="328">
        <v>0</v>
      </c>
      <c r="Q110" s="328">
        <v>0</v>
      </c>
      <c r="R110" s="328">
        <v>0</v>
      </c>
      <c r="S110" s="329">
        <f t="shared" si="4"/>
        <v>90.886800000000036</v>
      </c>
      <c r="T110" s="327"/>
      <c r="U110" s="328">
        <v>0</v>
      </c>
      <c r="V110" s="328">
        <v>0</v>
      </c>
      <c r="W110" s="328">
        <v>0</v>
      </c>
      <c r="X110" s="328">
        <v>0</v>
      </c>
      <c r="Y110" s="328">
        <v>0</v>
      </c>
      <c r="Z110" s="328">
        <v>0</v>
      </c>
      <c r="AA110" s="328">
        <v>0</v>
      </c>
      <c r="AB110" s="328">
        <v>2</v>
      </c>
      <c r="AC110" s="328">
        <v>1</v>
      </c>
      <c r="AD110" s="328">
        <v>0</v>
      </c>
      <c r="AE110" s="328">
        <v>0</v>
      </c>
      <c r="AF110" s="328">
        <v>0</v>
      </c>
      <c r="AG110" s="328">
        <v>0</v>
      </c>
      <c r="AH110" s="329">
        <f t="shared" si="3"/>
        <v>3</v>
      </c>
    </row>
    <row r="111" spans="1:34" x14ac:dyDescent="0.2">
      <c r="A111" s="20" t="str">
        <f>'School Level Inst. Resources'!A111</f>
        <v>0721000</v>
      </c>
      <c r="B111" s="20" t="str">
        <f>'School Level Inst. Resources'!B111</f>
        <v>Fremont #21</v>
      </c>
      <c r="C111" s="20" t="str">
        <f>'School Level Inst. Resources'!C111</f>
        <v>0721056</v>
      </c>
      <c r="D111" s="20" t="str">
        <f>'School Level Inst. Resources'!D111</f>
        <v>Ft. Washakie High School</v>
      </c>
      <c r="E111" s="138" t="str">
        <f>'School Level Inst. Resources'!E111</f>
        <v>9-12</v>
      </c>
      <c r="F111" s="328">
        <v>0</v>
      </c>
      <c r="G111" s="328">
        <v>0</v>
      </c>
      <c r="H111" s="328">
        <v>0</v>
      </c>
      <c r="I111" s="328">
        <v>0</v>
      </c>
      <c r="J111" s="328">
        <v>0</v>
      </c>
      <c r="K111" s="328">
        <v>0</v>
      </c>
      <c r="L111" s="328">
        <v>0</v>
      </c>
      <c r="M111" s="328">
        <v>0</v>
      </c>
      <c r="N111" s="328">
        <v>0</v>
      </c>
      <c r="O111" s="328">
        <v>19.694599999999998</v>
      </c>
      <c r="P111" s="328">
        <v>14.827600000000002</v>
      </c>
      <c r="Q111" s="328">
        <v>11.507400000000001</v>
      </c>
      <c r="R111" s="328">
        <v>7.1871999999999989</v>
      </c>
      <c r="S111" s="329">
        <f t="shared" si="4"/>
        <v>53.216799999999999</v>
      </c>
      <c r="T111" s="327"/>
      <c r="U111" s="328">
        <v>0</v>
      </c>
      <c r="V111" s="328">
        <v>0</v>
      </c>
      <c r="W111" s="328">
        <v>0</v>
      </c>
      <c r="X111" s="328">
        <v>0</v>
      </c>
      <c r="Y111" s="328">
        <v>0</v>
      </c>
      <c r="Z111" s="328">
        <v>0</v>
      </c>
      <c r="AA111" s="328">
        <v>0</v>
      </c>
      <c r="AB111" s="328">
        <v>0</v>
      </c>
      <c r="AC111" s="328">
        <v>0</v>
      </c>
      <c r="AD111" s="328">
        <v>0</v>
      </c>
      <c r="AE111" s="328">
        <v>1</v>
      </c>
      <c r="AF111" s="328">
        <v>0</v>
      </c>
      <c r="AG111" s="328">
        <v>1</v>
      </c>
      <c r="AH111" s="329">
        <f t="shared" si="3"/>
        <v>2</v>
      </c>
    </row>
    <row r="112" spans="1:34" x14ac:dyDescent="0.2">
      <c r="A112" s="20" t="str">
        <f>'School Level Inst. Resources'!A112</f>
        <v>0724000</v>
      </c>
      <c r="B112" s="20" t="str">
        <f>'School Level Inst. Resources'!B112</f>
        <v>Fremont #24</v>
      </c>
      <c r="C112" s="20" t="str">
        <f>'School Level Inst. Resources'!C112</f>
        <v>0724001</v>
      </c>
      <c r="D112" s="20" t="str">
        <f>'School Level Inst. Resources'!D112</f>
        <v>Shoshoni Elementary</v>
      </c>
      <c r="E112" s="138" t="str">
        <f>'School Level Inst. Resources'!E112</f>
        <v>P-6</v>
      </c>
      <c r="F112" s="328">
        <v>10</v>
      </c>
      <c r="G112" s="328">
        <v>15</v>
      </c>
      <c r="H112" s="328">
        <v>13</v>
      </c>
      <c r="I112" s="328">
        <v>11</v>
      </c>
      <c r="J112" s="328">
        <v>12</v>
      </c>
      <c r="K112" s="328">
        <v>10</v>
      </c>
      <c r="L112" s="328">
        <v>13</v>
      </c>
      <c r="M112" s="328">
        <v>0</v>
      </c>
      <c r="N112" s="328">
        <v>0</v>
      </c>
      <c r="O112" s="328">
        <v>0</v>
      </c>
      <c r="P112" s="328">
        <v>0</v>
      </c>
      <c r="Q112" s="328">
        <v>0</v>
      </c>
      <c r="R112" s="328">
        <v>0</v>
      </c>
      <c r="S112" s="329">
        <f t="shared" si="4"/>
        <v>84</v>
      </c>
      <c r="T112" s="327"/>
      <c r="U112" s="328">
        <v>0</v>
      </c>
      <c r="V112" s="328">
        <v>1</v>
      </c>
      <c r="W112" s="328">
        <v>1</v>
      </c>
      <c r="X112" s="328">
        <v>0</v>
      </c>
      <c r="Y112" s="328">
        <v>1</v>
      </c>
      <c r="Z112" s="328">
        <v>1</v>
      </c>
      <c r="AA112" s="328">
        <v>1</v>
      </c>
      <c r="AB112" s="328">
        <v>0</v>
      </c>
      <c r="AC112" s="328">
        <v>0</v>
      </c>
      <c r="AD112" s="328">
        <v>0</v>
      </c>
      <c r="AE112" s="328">
        <v>0</v>
      </c>
      <c r="AF112" s="328">
        <v>0</v>
      </c>
      <c r="AG112" s="328">
        <v>0</v>
      </c>
      <c r="AH112" s="329">
        <f t="shared" si="3"/>
        <v>5</v>
      </c>
    </row>
    <row r="113" spans="1:34" x14ac:dyDescent="0.2">
      <c r="A113" s="20" t="str">
        <f>'School Level Inst. Resources'!A113</f>
        <v>0724000</v>
      </c>
      <c r="B113" s="20" t="str">
        <f>'School Level Inst. Resources'!B113</f>
        <v>Fremont #24</v>
      </c>
      <c r="C113" s="20" t="str">
        <f>'School Level Inst. Resources'!C113</f>
        <v>0724050</v>
      </c>
      <c r="D113" s="20" t="str">
        <f>'School Level Inst. Resources'!D113</f>
        <v>Shoshoni Junior High School</v>
      </c>
      <c r="E113" s="138" t="str">
        <f>'School Level Inst. Resources'!E113</f>
        <v>7-8</v>
      </c>
      <c r="F113" s="328">
        <v>0</v>
      </c>
      <c r="G113" s="328">
        <v>0</v>
      </c>
      <c r="H113" s="328">
        <v>0</v>
      </c>
      <c r="I113" s="328">
        <v>0</v>
      </c>
      <c r="J113" s="328">
        <v>0</v>
      </c>
      <c r="K113" s="328">
        <v>0</v>
      </c>
      <c r="L113" s="328">
        <v>0</v>
      </c>
      <c r="M113" s="328">
        <v>7</v>
      </c>
      <c r="N113" s="328">
        <v>12</v>
      </c>
      <c r="O113" s="328">
        <v>0</v>
      </c>
      <c r="P113" s="328">
        <v>0</v>
      </c>
      <c r="Q113" s="328">
        <v>0</v>
      </c>
      <c r="R113" s="328">
        <v>0</v>
      </c>
      <c r="S113" s="329">
        <f t="shared" si="4"/>
        <v>19</v>
      </c>
      <c r="T113" s="327"/>
      <c r="U113" s="328">
        <v>0</v>
      </c>
      <c r="V113" s="328">
        <v>0</v>
      </c>
      <c r="W113" s="328">
        <v>0</v>
      </c>
      <c r="X113" s="328">
        <v>0</v>
      </c>
      <c r="Y113" s="328">
        <v>0</v>
      </c>
      <c r="Z113" s="328">
        <v>0</v>
      </c>
      <c r="AA113" s="328">
        <v>0</v>
      </c>
      <c r="AB113" s="328">
        <v>0</v>
      </c>
      <c r="AC113" s="328">
        <v>1</v>
      </c>
      <c r="AD113" s="328">
        <v>0</v>
      </c>
      <c r="AE113" s="328">
        <v>0</v>
      </c>
      <c r="AF113" s="328">
        <v>0</v>
      </c>
      <c r="AG113" s="328">
        <v>0</v>
      </c>
      <c r="AH113" s="329">
        <f t="shared" si="3"/>
        <v>1</v>
      </c>
    </row>
    <row r="114" spans="1:34" x14ac:dyDescent="0.2">
      <c r="A114" s="20" t="str">
        <f>'School Level Inst. Resources'!A114</f>
        <v>0724000</v>
      </c>
      <c r="B114" s="20" t="str">
        <f>'School Level Inst. Resources'!B114</f>
        <v>Fremont #24</v>
      </c>
      <c r="C114" s="20" t="str">
        <f>'School Level Inst. Resources'!C114</f>
        <v>0724055</v>
      </c>
      <c r="D114" s="20" t="str">
        <f>'School Level Inst. Resources'!D114</f>
        <v>Shoshoni High School</v>
      </c>
      <c r="E114" s="138" t="str">
        <f>'School Level Inst. Resources'!E114</f>
        <v>9-12</v>
      </c>
      <c r="F114" s="328">
        <v>0</v>
      </c>
      <c r="G114" s="328">
        <v>0</v>
      </c>
      <c r="H114" s="328">
        <v>0</v>
      </c>
      <c r="I114" s="328">
        <v>0</v>
      </c>
      <c r="J114" s="328">
        <v>0</v>
      </c>
      <c r="K114" s="328">
        <v>0</v>
      </c>
      <c r="L114" s="328">
        <v>0</v>
      </c>
      <c r="M114" s="328">
        <v>0</v>
      </c>
      <c r="N114" s="328">
        <v>0</v>
      </c>
      <c r="O114" s="328">
        <v>6</v>
      </c>
      <c r="P114" s="328">
        <v>8</v>
      </c>
      <c r="Q114" s="328">
        <v>5</v>
      </c>
      <c r="R114" s="328">
        <v>9</v>
      </c>
      <c r="S114" s="329">
        <f t="shared" si="4"/>
        <v>28</v>
      </c>
      <c r="T114" s="327"/>
      <c r="U114" s="328">
        <v>0</v>
      </c>
      <c r="V114" s="328">
        <v>0</v>
      </c>
      <c r="W114" s="328">
        <v>0</v>
      </c>
      <c r="X114" s="328">
        <v>0</v>
      </c>
      <c r="Y114" s="328">
        <v>0</v>
      </c>
      <c r="Z114" s="328">
        <v>0</v>
      </c>
      <c r="AA114" s="328">
        <v>0</v>
      </c>
      <c r="AB114" s="328">
        <v>0</v>
      </c>
      <c r="AC114" s="328">
        <v>0</v>
      </c>
      <c r="AD114" s="328">
        <v>1</v>
      </c>
      <c r="AE114" s="328">
        <v>1</v>
      </c>
      <c r="AF114" s="328">
        <v>0</v>
      </c>
      <c r="AG114" s="328">
        <v>0</v>
      </c>
      <c r="AH114" s="329">
        <f t="shared" si="3"/>
        <v>2</v>
      </c>
    </row>
    <row r="115" spans="1:34" x14ac:dyDescent="0.2">
      <c r="A115" s="20" t="str">
        <f>'School Level Inst. Resources'!A115</f>
        <v>0725000</v>
      </c>
      <c r="B115" s="20" t="str">
        <f>'School Level Inst. Resources'!B115</f>
        <v>Fremont #25</v>
      </c>
      <c r="C115" s="20" t="str">
        <f>'School Level Inst. Resources'!C115</f>
        <v>0725002</v>
      </c>
      <c r="D115" s="20" t="str">
        <f>'School Level Inst. Resources'!D115</f>
        <v>Ashgrove Elementary</v>
      </c>
      <c r="E115" s="138" t="str">
        <f>'School Level Inst. Resources'!E115</f>
        <v>1-3</v>
      </c>
      <c r="F115" s="328">
        <v>0</v>
      </c>
      <c r="G115" s="328">
        <v>41</v>
      </c>
      <c r="H115" s="328">
        <v>39</v>
      </c>
      <c r="I115" s="328">
        <v>41</v>
      </c>
      <c r="J115" s="328">
        <v>0</v>
      </c>
      <c r="K115" s="328">
        <v>0</v>
      </c>
      <c r="L115" s="328">
        <v>0</v>
      </c>
      <c r="M115" s="328">
        <v>0</v>
      </c>
      <c r="N115" s="328">
        <v>0</v>
      </c>
      <c r="O115" s="328">
        <v>0</v>
      </c>
      <c r="P115" s="328">
        <v>0</v>
      </c>
      <c r="Q115" s="328">
        <v>0</v>
      </c>
      <c r="R115" s="328">
        <v>0</v>
      </c>
      <c r="S115" s="329">
        <f t="shared" si="4"/>
        <v>121</v>
      </c>
      <c r="T115" s="327"/>
      <c r="U115" s="328">
        <v>0</v>
      </c>
      <c r="V115" s="328">
        <v>0</v>
      </c>
      <c r="W115" s="328">
        <v>1</v>
      </c>
      <c r="X115" s="328">
        <v>4</v>
      </c>
      <c r="Y115" s="328">
        <v>0</v>
      </c>
      <c r="Z115" s="328">
        <v>0</v>
      </c>
      <c r="AA115" s="328">
        <v>0</v>
      </c>
      <c r="AB115" s="328">
        <v>0</v>
      </c>
      <c r="AC115" s="328">
        <v>0</v>
      </c>
      <c r="AD115" s="328">
        <v>0</v>
      </c>
      <c r="AE115" s="328">
        <v>0</v>
      </c>
      <c r="AF115" s="328">
        <v>0</v>
      </c>
      <c r="AG115" s="328">
        <v>0</v>
      </c>
      <c r="AH115" s="329">
        <f t="shared" si="3"/>
        <v>5</v>
      </c>
    </row>
    <row r="116" spans="1:34" x14ac:dyDescent="0.2">
      <c r="A116" s="20" t="str">
        <f>'School Level Inst. Resources'!A116</f>
        <v>0725000</v>
      </c>
      <c r="B116" s="20" t="str">
        <f>'School Level Inst. Resources'!B116</f>
        <v>Fremont #25</v>
      </c>
      <c r="C116" s="20" t="str">
        <f>'School Level Inst. Resources'!C116</f>
        <v>0725007</v>
      </c>
      <c r="D116" s="20" t="str">
        <f>'School Level Inst. Resources'!D116</f>
        <v>Rendezvous Elementary</v>
      </c>
      <c r="E116" s="138" t="str">
        <f>'School Level Inst. Resources'!E116</f>
        <v>4-5</v>
      </c>
      <c r="F116" s="328">
        <v>0</v>
      </c>
      <c r="G116" s="328">
        <v>0</v>
      </c>
      <c r="H116" s="328">
        <v>0</v>
      </c>
      <c r="I116" s="328">
        <v>0</v>
      </c>
      <c r="J116" s="328">
        <v>100</v>
      </c>
      <c r="K116" s="328">
        <v>117</v>
      </c>
      <c r="L116" s="328">
        <v>0</v>
      </c>
      <c r="M116" s="328">
        <v>0</v>
      </c>
      <c r="N116" s="328">
        <v>0</v>
      </c>
      <c r="O116" s="328">
        <v>0</v>
      </c>
      <c r="P116" s="328">
        <v>0</v>
      </c>
      <c r="Q116" s="328">
        <v>0</v>
      </c>
      <c r="R116" s="328">
        <v>0</v>
      </c>
      <c r="S116" s="329">
        <f t="shared" si="4"/>
        <v>217</v>
      </c>
      <c r="T116" s="327"/>
      <c r="U116" s="328">
        <v>0</v>
      </c>
      <c r="V116" s="328">
        <v>0</v>
      </c>
      <c r="W116" s="328">
        <v>0</v>
      </c>
      <c r="X116" s="328">
        <v>0</v>
      </c>
      <c r="Y116" s="328">
        <v>3</v>
      </c>
      <c r="Z116" s="328">
        <v>6</v>
      </c>
      <c r="AA116" s="328">
        <v>0</v>
      </c>
      <c r="AB116" s="328">
        <v>0</v>
      </c>
      <c r="AC116" s="328">
        <v>0</v>
      </c>
      <c r="AD116" s="328">
        <v>0</v>
      </c>
      <c r="AE116" s="328">
        <v>0</v>
      </c>
      <c r="AF116" s="328">
        <v>0</v>
      </c>
      <c r="AG116" s="328">
        <v>0</v>
      </c>
      <c r="AH116" s="329">
        <f t="shared" si="3"/>
        <v>9</v>
      </c>
    </row>
    <row r="117" spans="1:34" x14ac:dyDescent="0.2">
      <c r="A117" s="20" t="str">
        <f>'School Level Inst. Resources'!A117</f>
        <v>0725000</v>
      </c>
      <c r="B117" s="20" t="str">
        <f>'School Level Inst. Resources'!B117</f>
        <v>Fremont #25</v>
      </c>
      <c r="C117" s="20" t="str">
        <f>'School Level Inst. Resources'!C117</f>
        <v>0725008</v>
      </c>
      <c r="D117" s="20" t="str">
        <f>'School Level Inst. Resources'!D117</f>
        <v>Jackson Elementary</v>
      </c>
      <c r="E117" s="138" t="str">
        <f>'School Level Inst. Resources'!E117</f>
        <v>1-3</v>
      </c>
      <c r="F117" s="328">
        <v>0</v>
      </c>
      <c r="G117" s="328">
        <v>42</v>
      </c>
      <c r="H117" s="328">
        <v>40</v>
      </c>
      <c r="I117" s="328">
        <v>31</v>
      </c>
      <c r="J117" s="328">
        <v>0</v>
      </c>
      <c r="K117" s="328">
        <v>0</v>
      </c>
      <c r="L117" s="328">
        <v>0</v>
      </c>
      <c r="M117" s="328">
        <v>0</v>
      </c>
      <c r="N117" s="328">
        <v>0</v>
      </c>
      <c r="O117" s="328">
        <v>0</v>
      </c>
      <c r="P117" s="328">
        <v>0</v>
      </c>
      <c r="Q117" s="328">
        <v>0</v>
      </c>
      <c r="R117" s="328">
        <v>0</v>
      </c>
      <c r="S117" s="329">
        <f t="shared" si="4"/>
        <v>113</v>
      </c>
      <c r="T117" s="327"/>
      <c r="U117" s="328">
        <v>0</v>
      </c>
      <c r="V117" s="328">
        <v>0</v>
      </c>
      <c r="W117" s="328">
        <v>1</v>
      </c>
      <c r="X117" s="328">
        <v>1</v>
      </c>
      <c r="Y117" s="328">
        <v>0</v>
      </c>
      <c r="Z117" s="328">
        <v>0</v>
      </c>
      <c r="AA117" s="328">
        <v>0</v>
      </c>
      <c r="AB117" s="328">
        <v>0</v>
      </c>
      <c r="AC117" s="328">
        <v>0</v>
      </c>
      <c r="AD117" s="328">
        <v>0</v>
      </c>
      <c r="AE117" s="328">
        <v>0</v>
      </c>
      <c r="AF117" s="328">
        <v>0</v>
      </c>
      <c r="AG117" s="328">
        <v>0</v>
      </c>
      <c r="AH117" s="329">
        <f t="shared" si="3"/>
        <v>2</v>
      </c>
    </row>
    <row r="118" spans="1:34" x14ac:dyDescent="0.2">
      <c r="A118" s="20" t="str">
        <f>'School Level Inst. Resources'!A118</f>
        <v>0725000</v>
      </c>
      <c r="B118" s="20" t="str">
        <f>'School Level Inst. Resources'!B118</f>
        <v>Fremont #25</v>
      </c>
      <c r="C118" s="20" t="str">
        <f>'School Level Inst. Resources'!C118</f>
        <v>0725009</v>
      </c>
      <c r="D118" s="20" t="str">
        <f>'School Level Inst. Resources'!D118</f>
        <v>Aspen Early Learning Center</v>
      </c>
      <c r="E118" s="138" t="str">
        <f>'School Level Inst. Resources'!E118</f>
        <v>K</v>
      </c>
      <c r="F118" s="328">
        <v>93</v>
      </c>
      <c r="G118" s="328">
        <v>0</v>
      </c>
      <c r="H118" s="328">
        <v>0</v>
      </c>
      <c r="I118" s="328">
        <v>0</v>
      </c>
      <c r="J118" s="328">
        <v>0</v>
      </c>
      <c r="K118" s="328">
        <v>0</v>
      </c>
      <c r="L118" s="328">
        <v>0</v>
      </c>
      <c r="M118" s="328">
        <v>0</v>
      </c>
      <c r="N118" s="328">
        <v>0</v>
      </c>
      <c r="O118" s="328">
        <v>0</v>
      </c>
      <c r="P118" s="328">
        <v>0</v>
      </c>
      <c r="Q118" s="328">
        <v>0</v>
      </c>
      <c r="R118" s="328">
        <v>0</v>
      </c>
      <c r="S118" s="329">
        <f t="shared" si="4"/>
        <v>93</v>
      </c>
      <c r="T118" s="327"/>
      <c r="U118" s="328">
        <v>2</v>
      </c>
      <c r="V118" s="328">
        <v>0</v>
      </c>
      <c r="W118" s="328">
        <v>0</v>
      </c>
      <c r="X118" s="328">
        <v>0</v>
      </c>
      <c r="Y118" s="328">
        <v>0</v>
      </c>
      <c r="Z118" s="328">
        <v>0</v>
      </c>
      <c r="AA118" s="328">
        <v>0</v>
      </c>
      <c r="AB118" s="328">
        <v>0</v>
      </c>
      <c r="AC118" s="328">
        <v>0</v>
      </c>
      <c r="AD118" s="328">
        <v>0</v>
      </c>
      <c r="AE118" s="328">
        <v>0</v>
      </c>
      <c r="AF118" s="328">
        <v>0</v>
      </c>
      <c r="AG118" s="328">
        <v>0</v>
      </c>
      <c r="AH118" s="329">
        <f t="shared" si="3"/>
        <v>2</v>
      </c>
    </row>
    <row r="119" spans="1:34" x14ac:dyDescent="0.2">
      <c r="A119" s="20" t="str">
        <f>'School Level Inst. Resources'!A119</f>
        <v>0725000</v>
      </c>
      <c r="B119" s="20" t="str">
        <f>'School Level Inst. Resources'!B119</f>
        <v>Fremont #25</v>
      </c>
      <c r="C119" s="20" t="str">
        <f>'School Level Inst. Resources'!C119</f>
        <v>0725010</v>
      </c>
      <c r="D119" s="20" t="str">
        <f>'School Level Inst. Resources'!D119</f>
        <v>Willow Creek Elementary</v>
      </c>
      <c r="E119" s="138" t="str">
        <f>'School Level Inst. Resources'!E119</f>
        <v>1-3</v>
      </c>
      <c r="F119" s="328">
        <v>0</v>
      </c>
      <c r="G119" s="328">
        <v>49</v>
      </c>
      <c r="H119" s="328">
        <v>37</v>
      </c>
      <c r="I119" s="328">
        <v>61</v>
      </c>
      <c r="J119" s="328">
        <v>0</v>
      </c>
      <c r="K119" s="328">
        <v>0</v>
      </c>
      <c r="L119" s="328">
        <v>0</v>
      </c>
      <c r="M119" s="328">
        <v>0</v>
      </c>
      <c r="N119" s="328">
        <v>0</v>
      </c>
      <c r="O119" s="328">
        <v>0</v>
      </c>
      <c r="P119" s="328">
        <v>0</v>
      </c>
      <c r="Q119" s="328">
        <v>0</v>
      </c>
      <c r="R119" s="328">
        <v>0</v>
      </c>
      <c r="S119" s="329">
        <f t="shared" si="4"/>
        <v>147</v>
      </c>
      <c r="T119" s="327"/>
      <c r="U119" s="328">
        <v>0</v>
      </c>
      <c r="V119" s="328">
        <v>0</v>
      </c>
      <c r="W119" s="328">
        <v>0</v>
      </c>
      <c r="X119" s="328">
        <v>0</v>
      </c>
      <c r="Y119" s="328">
        <v>0</v>
      </c>
      <c r="Z119" s="328">
        <v>0</v>
      </c>
      <c r="AA119" s="328">
        <v>0</v>
      </c>
      <c r="AB119" s="328">
        <v>0</v>
      </c>
      <c r="AC119" s="328">
        <v>0</v>
      </c>
      <c r="AD119" s="328">
        <v>0</v>
      </c>
      <c r="AE119" s="328">
        <v>0</v>
      </c>
      <c r="AF119" s="328">
        <v>0</v>
      </c>
      <c r="AG119" s="328">
        <v>0</v>
      </c>
      <c r="AH119" s="329">
        <f t="shared" si="3"/>
        <v>0</v>
      </c>
    </row>
    <row r="120" spans="1:34" x14ac:dyDescent="0.2">
      <c r="A120" s="20" t="str">
        <f>'School Level Inst. Resources'!A120</f>
        <v>0725000</v>
      </c>
      <c r="B120" s="20" t="str">
        <f>'School Level Inst. Resources'!B120</f>
        <v>Fremont #25</v>
      </c>
      <c r="C120" s="20" t="str">
        <f>'School Level Inst. Resources'!C120</f>
        <v>0725050</v>
      </c>
      <c r="D120" s="20" t="str">
        <f>'School Level Inst. Resources'!D120</f>
        <v>Riverton Middle School</v>
      </c>
      <c r="E120" s="138" t="str">
        <f>'School Level Inst. Resources'!E120</f>
        <v>6-8</v>
      </c>
      <c r="F120" s="328">
        <v>0</v>
      </c>
      <c r="G120" s="328">
        <v>0</v>
      </c>
      <c r="H120" s="328">
        <v>0</v>
      </c>
      <c r="I120" s="328">
        <v>0</v>
      </c>
      <c r="J120" s="328">
        <v>0</v>
      </c>
      <c r="K120" s="328">
        <v>0</v>
      </c>
      <c r="L120" s="328">
        <v>116</v>
      </c>
      <c r="M120" s="328">
        <v>115</v>
      </c>
      <c r="N120" s="328">
        <v>96</v>
      </c>
      <c r="O120" s="328">
        <v>0</v>
      </c>
      <c r="P120" s="328">
        <v>0</v>
      </c>
      <c r="Q120" s="328">
        <v>0</v>
      </c>
      <c r="R120" s="328">
        <v>0</v>
      </c>
      <c r="S120" s="329">
        <f t="shared" si="4"/>
        <v>327</v>
      </c>
      <c r="T120" s="327"/>
      <c r="U120" s="328">
        <v>0</v>
      </c>
      <c r="V120" s="328">
        <v>0</v>
      </c>
      <c r="W120" s="328">
        <v>0</v>
      </c>
      <c r="X120" s="328">
        <v>0</v>
      </c>
      <c r="Y120" s="328">
        <v>0</v>
      </c>
      <c r="Z120" s="328">
        <v>0</v>
      </c>
      <c r="AA120" s="328">
        <v>10</v>
      </c>
      <c r="AB120" s="328">
        <v>9</v>
      </c>
      <c r="AC120" s="328">
        <v>9</v>
      </c>
      <c r="AD120" s="328">
        <v>0</v>
      </c>
      <c r="AE120" s="328">
        <v>0</v>
      </c>
      <c r="AF120" s="328">
        <v>0</v>
      </c>
      <c r="AG120" s="328">
        <v>0</v>
      </c>
      <c r="AH120" s="329">
        <f t="shared" si="3"/>
        <v>28</v>
      </c>
    </row>
    <row r="121" spans="1:34" x14ac:dyDescent="0.2">
      <c r="A121" s="20" t="str">
        <f>'School Level Inst. Resources'!A121</f>
        <v>0725000</v>
      </c>
      <c r="B121" s="20" t="str">
        <f>'School Level Inst. Resources'!B121</f>
        <v>Fremont #25</v>
      </c>
      <c r="C121" s="20" t="str">
        <f>'School Level Inst. Resources'!C121</f>
        <v>0725056</v>
      </c>
      <c r="D121" s="20" t="str">
        <f>'School Level Inst. Resources'!D121</f>
        <v>Riverton High School</v>
      </c>
      <c r="E121" s="138" t="str">
        <f>'School Level Inst. Resources'!E121</f>
        <v>9-12</v>
      </c>
      <c r="F121" s="328">
        <v>0</v>
      </c>
      <c r="G121" s="328">
        <v>0</v>
      </c>
      <c r="H121" s="328">
        <v>0</v>
      </c>
      <c r="I121" s="328">
        <v>0</v>
      </c>
      <c r="J121" s="328">
        <v>0</v>
      </c>
      <c r="K121" s="328">
        <v>0</v>
      </c>
      <c r="L121" s="328">
        <v>0</v>
      </c>
      <c r="M121" s="328">
        <v>0</v>
      </c>
      <c r="N121" s="328">
        <v>0</v>
      </c>
      <c r="O121" s="328">
        <v>90</v>
      </c>
      <c r="P121" s="328">
        <v>95</v>
      </c>
      <c r="Q121" s="328">
        <v>61</v>
      </c>
      <c r="R121" s="328">
        <v>58</v>
      </c>
      <c r="S121" s="329">
        <f t="shared" si="4"/>
        <v>304</v>
      </c>
      <c r="T121" s="327"/>
      <c r="U121" s="328">
        <v>0</v>
      </c>
      <c r="V121" s="328">
        <v>0</v>
      </c>
      <c r="W121" s="328">
        <v>0</v>
      </c>
      <c r="X121" s="328">
        <v>0</v>
      </c>
      <c r="Y121" s="328">
        <v>0</v>
      </c>
      <c r="Z121" s="328">
        <v>0</v>
      </c>
      <c r="AA121" s="328">
        <v>0</v>
      </c>
      <c r="AB121" s="328">
        <v>0</v>
      </c>
      <c r="AC121" s="328">
        <v>0</v>
      </c>
      <c r="AD121" s="328">
        <v>14</v>
      </c>
      <c r="AE121" s="328">
        <v>7</v>
      </c>
      <c r="AF121" s="328">
        <v>4</v>
      </c>
      <c r="AG121" s="328">
        <v>8</v>
      </c>
      <c r="AH121" s="329">
        <f t="shared" si="3"/>
        <v>33</v>
      </c>
    </row>
    <row r="122" spans="1:34" x14ac:dyDescent="0.2">
      <c r="A122" s="20" t="str">
        <f>'School Level Inst. Resources'!A122</f>
        <v>0725000</v>
      </c>
      <c r="B122" s="20" t="str">
        <f>'School Level Inst. Resources'!B122</f>
        <v>Fremont #25</v>
      </c>
      <c r="C122" s="20" t="str">
        <f>'School Level Inst. Resources'!C122</f>
        <v>0725057</v>
      </c>
      <c r="D122" s="20" t="str">
        <f>'School Level Inst. Resources'!D122</f>
        <v>Frontier Academy</v>
      </c>
      <c r="E122" s="138" t="str">
        <f>'School Level Inst. Resources'!E122</f>
        <v>9-12</v>
      </c>
      <c r="F122" s="328">
        <v>0</v>
      </c>
      <c r="G122" s="328">
        <v>0</v>
      </c>
      <c r="H122" s="328">
        <v>0</v>
      </c>
      <c r="I122" s="328">
        <v>0</v>
      </c>
      <c r="J122" s="328">
        <v>0</v>
      </c>
      <c r="K122" s="328">
        <v>0</v>
      </c>
      <c r="L122" s="328">
        <v>0</v>
      </c>
      <c r="M122" s="328">
        <v>0</v>
      </c>
      <c r="N122" s="328">
        <v>0</v>
      </c>
      <c r="O122" s="328">
        <v>0</v>
      </c>
      <c r="P122" s="328">
        <v>4.0999999999999996</v>
      </c>
      <c r="Q122" s="328">
        <v>8.6000000000000014</v>
      </c>
      <c r="R122" s="328">
        <v>25.499999999999989</v>
      </c>
      <c r="S122" s="329">
        <f t="shared" si="4"/>
        <v>38.199999999999989</v>
      </c>
      <c r="T122" s="327"/>
      <c r="U122" s="328">
        <v>0</v>
      </c>
      <c r="V122" s="328">
        <v>0</v>
      </c>
      <c r="W122" s="328">
        <v>0</v>
      </c>
      <c r="X122" s="328">
        <v>0</v>
      </c>
      <c r="Y122" s="328">
        <v>0</v>
      </c>
      <c r="Z122" s="328">
        <v>0</v>
      </c>
      <c r="AA122" s="328">
        <v>0</v>
      </c>
      <c r="AB122" s="328">
        <v>0</v>
      </c>
      <c r="AC122" s="328">
        <v>0</v>
      </c>
      <c r="AD122" s="328">
        <v>0</v>
      </c>
      <c r="AE122" s="328">
        <v>0</v>
      </c>
      <c r="AF122" s="328">
        <v>1</v>
      </c>
      <c r="AG122" s="328">
        <v>1</v>
      </c>
      <c r="AH122" s="329">
        <f t="shared" si="3"/>
        <v>2</v>
      </c>
    </row>
    <row r="123" spans="1:34" x14ac:dyDescent="0.2">
      <c r="A123" s="20" t="str">
        <f>'School Level Inst. Resources'!A123</f>
        <v>0738000</v>
      </c>
      <c r="B123" s="20" t="str">
        <f>'School Level Inst. Resources'!B123</f>
        <v>Fremont #38</v>
      </c>
      <c r="C123" s="20" t="str">
        <f>'School Level Inst. Resources'!C123</f>
        <v>0738001</v>
      </c>
      <c r="D123" s="20" t="str">
        <f>'School Level Inst. Resources'!D123</f>
        <v>Arapahoe Elementary</v>
      </c>
      <c r="E123" s="138" t="str">
        <f>'School Level Inst. Resources'!E123</f>
        <v>P-8</v>
      </c>
      <c r="F123" s="328">
        <v>52</v>
      </c>
      <c r="G123" s="328">
        <v>51</v>
      </c>
      <c r="H123" s="328">
        <v>39</v>
      </c>
      <c r="I123" s="328">
        <v>40</v>
      </c>
      <c r="J123" s="328">
        <v>45</v>
      </c>
      <c r="K123" s="328">
        <v>43</v>
      </c>
      <c r="L123" s="328">
        <v>37</v>
      </c>
      <c r="M123" s="328">
        <v>39</v>
      </c>
      <c r="N123" s="328">
        <v>32</v>
      </c>
      <c r="O123" s="328">
        <v>0</v>
      </c>
      <c r="P123" s="328">
        <v>0</v>
      </c>
      <c r="Q123" s="328">
        <v>0</v>
      </c>
      <c r="R123" s="328">
        <v>0</v>
      </c>
      <c r="S123" s="329">
        <f t="shared" si="4"/>
        <v>378</v>
      </c>
      <c r="T123" s="327"/>
      <c r="U123" s="328">
        <v>0</v>
      </c>
      <c r="V123" s="328">
        <v>0</v>
      </c>
      <c r="W123" s="328">
        <v>1</v>
      </c>
      <c r="X123" s="328">
        <v>0</v>
      </c>
      <c r="Y123" s="328">
        <v>13</v>
      </c>
      <c r="Z123" s="328">
        <v>13</v>
      </c>
      <c r="AA123" s="328">
        <v>19</v>
      </c>
      <c r="AB123" s="328">
        <v>15</v>
      </c>
      <c r="AC123" s="328">
        <v>9</v>
      </c>
      <c r="AD123" s="328">
        <v>0</v>
      </c>
      <c r="AE123" s="328">
        <v>0</v>
      </c>
      <c r="AF123" s="328">
        <v>0</v>
      </c>
      <c r="AG123" s="328">
        <v>0</v>
      </c>
      <c r="AH123" s="329">
        <f t="shared" si="3"/>
        <v>70</v>
      </c>
    </row>
    <row r="124" spans="1:34" x14ac:dyDescent="0.2">
      <c r="A124" s="20" t="str">
        <f>'School Level Inst. Resources'!A124</f>
        <v>0738000</v>
      </c>
      <c r="B124" s="20" t="str">
        <f>'School Level Inst. Resources'!B124</f>
        <v>Fremont #38</v>
      </c>
      <c r="C124" s="20" t="str">
        <f>'School Level Inst. Resources'!C124</f>
        <v>0738055</v>
      </c>
      <c r="D124" s="20" t="str">
        <f>'School Level Inst. Resources'!D124</f>
        <v>Arapaho Charter High School</v>
      </c>
      <c r="E124" s="138" t="str">
        <f>'School Level Inst. Resources'!E124</f>
        <v>9-12</v>
      </c>
      <c r="F124" s="328">
        <v>0</v>
      </c>
      <c r="G124" s="328">
        <v>0</v>
      </c>
      <c r="H124" s="328">
        <v>0</v>
      </c>
      <c r="I124" s="328">
        <v>0</v>
      </c>
      <c r="J124" s="328">
        <v>0</v>
      </c>
      <c r="K124" s="328">
        <v>0</v>
      </c>
      <c r="L124" s="328">
        <v>0</v>
      </c>
      <c r="M124" s="328">
        <v>0</v>
      </c>
      <c r="N124" s="328">
        <v>0</v>
      </c>
      <c r="O124" s="328">
        <v>18</v>
      </c>
      <c r="P124" s="328">
        <v>5</v>
      </c>
      <c r="Q124" s="328">
        <v>4</v>
      </c>
      <c r="R124" s="328">
        <v>4</v>
      </c>
      <c r="S124" s="329">
        <f t="shared" si="4"/>
        <v>31</v>
      </c>
      <c r="T124" s="327"/>
      <c r="U124" s="328">
        <v>0</v>
      </c>
      <c r="V124" s="328">
        <v>0</v>
      </c>
      <c r="W124" s="328">
        <v>0</v>
      </c>
      <c r="X124" s="328">
        <v>0</v>
      </c>
      <c r="Y124" s="328">
        <v>0</v>
      </c>
      <c r="Z124" s="328">
        <v>0</v>
      </c>
      <c r="AA124" s="328">
        <v>0</v>
      </c>
      <c r="AB124" s="328">
        <v>0</v>
      </c>
      <c r="AC124" s="328">
        <v>0</v>
      </c>
      <c r="AD124" s="328">
        <v>1</v>
      </c>
      <c r="AE124" s="328">
        <v>1</v>
      </c>
      <c r="AF124" s="328">
        <v>1</v>
      </c>
      <c r="AG124" s="328">
        <v>0</v>
      </c>
      <c r="AH124" s="329">
        <f t="shared" si="3"/>
        <v>3</v>
      </c>
    </row>
    <row r="125" spans="1:34" x14ac:dyDescent="0.2">
      <c r="A125" s="20" t="str">
        <f>'School Level Inst. Resources'!A125</f>
        <v>0801000</v>
      </c>
      <c r="B125" s="20" t="str">
        <f>'School Level Inst. Resources'!B125</f>
        <v>Goshen #1</v>
      </c>
      <c r="C125" s="20" t="str">
        <f>'School Level Inst. Resources'!C125</f>
        <v>0801002</v>
      </c>
      <c r="D125" s="20" t="str">
        <f>'School Level Inst. Resources'!D125</f>
        <v>Southeast Elementary</v>
      </c>
      <c r="E125" s="138" t="str">
        <f>'School Level Inst. Resources'!E125</f>
        <v>K-6</v>
      </c>
      <c r="F125" s="328">
        <v>6</v>
      </c>
      <c r="G125" s="328">
        <v>0</v>
      </c>
      <c r="H125" s="328">
        <v>10</v>
      </c>
      <c r="I125" s="328">
        <v>8</v>
      </c>
      <c r="J125" s="328">
        <v>7</v>
      </c>
      <c r="K125" s="328">
        <v>7</v>
      </c>
      <c r="L125" s="328">
        <v>4</v>
      </c>
      <c r="M125" s="328">
        <v>0</v>
      </c>
      <c r="N125" s="328">
        <v>0</v>
      </c>
      <c r="O125" s="328">
        <v>0</v>
      </c>
      <c r="P125" s="328">
        <v>0</v>
      </c>
      <c r="Q125" s="328">
        <v>0</v>
      </c>
      <c r="R125" s="328">
        <v>0</v>
      </c>
      <c r="S125" s="329">
        <f t="shared" si="4"/>
        <v>42</v>
      </c>
      <c r="T125" s="327"/>
      <c r="U125" s="328">
        <v>0</v>
      </c>
      <c r="V125" s="328">
        <v>0</v>
      </c>
      <c r="W125" s="328">
        <v>0</v>
      </c>
      <c r="X125" s="328">
        <v>0</v>
      </c>
      <c r="Y125" s="328">
        <v>0</v>
      </c>
      <c r="Z125" s="328">
        <v>0</v>
      </c>
      <c r="AA125" s="328">
        <v>0</v>
      </c>
      <c r="AB125" s="328">
        <v>0</v>
      </c>
      <c r="AC125" s="328">
        <v>0</v>
      </c>
      <c r="AD125" s="328">
        <v>0</v>
      </c>
      <c r="AE125" s="328">
        <v>0</v>
      </c>
      <c r="AF125" s="328">
        <v>0</v>
      </c>
      <c r="AG125" s="328">
        <v>0</v>
      </c>
      <c r="AH125" s="329">
        <f t="shared" si="3"/>
        <v>0</v>
      </c>
    </row>
    <row r="126" spans="1:34" x14ac:dyDescent="0.2">
      <c r="A126" s="20" t="str">
        <f>'School Level Inst. Resources'!A126</f>
        <v>0801000</v>
      </c>
      <c r="B126" s="20" t="str">
        <f>'School Level Inst. Resources'!B126</f>
        <v>Goshen #1</v>
      </c>
      <c r="C126" s="20" t="str">
        <f>'School Level Inst. Resources'!C126</f>
        <v>0801004</v>
      </c>
      <c r="D126" s="20" t="str">
        <f>'School Level Inst. Resources'!D126</f>
        <v>La Grange Elementary</v>
      </c>
      <c r="E126" s="138" t="str">
        <f>'School Level Inst. Resources'!E126</f>
        <v>K-6</v>
      </c>
      <c r="F126" s="328">
        <v>3</v>
      </c>
      <c r="G126" s="328">
        <v>0</v>
      </c>
      <c r="H126" s="328">
        <v>3</v>
      </c>
      <c r="I126" s="328">
        <v>0</v>
      </c>
      <c r="J126" s="328">
        <v>3</v>
      </c>
      <c r="K126" s="328">
        <v>3</v>
      </c>
      <c r="L126" s="328">
        <v>2</v>
      </c>
      <c r="M126" s="328">
        <v>0</v>
      </c>
      <c r="N126" s="328">
        <v>0</v>
      </c>
      <c r="O126" s="328">
        <v>0</v>
      </c>
      <c r="P126" s="328">
        <v>0</v>
      </c>
      <c r="Q126" s="328">
        <v>0</v>
      </c>
      <c r="R126" s="328">
        <v>0</v>
      </c>
      <c r="S126" s="329">
        <f t="shared" si="4"/>
        <v>14</v>
      </c>
      <c r="T126" s="327"/>
      <c r="U126" s="328">
        <v>0</v>
      </c>
      <c r="V126" s="328">
        <v>0</v>
      </c>
      <c r="W126" s="328">
        <v>0</v>
      </c>
      <c r="X126" s="328">
        <v>0</v>
      </c>
      <c r="Y126" s="328">
        <v>0</v>
      </c>
      <c r="Z126" s="328">
        <v>0</v>
      </c>
      <c r="AA126" s="328">
        <v>0</v>
      </c>
      <c r="AB126" s="328">
        <v>0</v>
      </c>
      <c r="AC126" s="328">
        <v>0</v>
      </c>
      <c r="AD126" s="328">
        <v>0</v>
      </c>
      <c r="AE126" s="328">
        <v>0</v>
      </c>
      <c r="AF126" s="328">
        <v>0</v>
      </c>
      <c r="AG126" s="328">
        <v>0</v>
      </c>
      <c r="AH126" s="329">
        <f t="shared" si="3"/>
        <v>0</v>
      </c>
    </row>
    <row r="127" spans="1:34" x14ac:dyDescent="0.2">
      <c r="A127" s="20" t="str">
        <f>'School Level Inst. Resources'!A127</f>
        <v>0801000</v>
      </c>
      <c r="B127" s="20" t="str">
        <f>'School Level Inst. Resources'!B127</f>
        <v>Goshen #1</v>
      </c>
      <c r="C127" s="20" t="str">
        <f>'School Level Inst. Resources'!C127</f>
        <v>0801005</v>
      </c>
      <c r="D127" s="20" t="str">
        <f>'School Level Inst. Resources'!D127</f>
        <v>Lingle-Ft. Laramie Elementary</v>
      </c>
      <c r="E127" s="138" t="str">
        <f>'School Level Inst. Resources'!E127</f>
        <v>K-5</v>
      </c>
      <c r="F127" s="328">
        <v>6</v>
      </c>
      <c r="G127" s="328">
        <v>15</v>
      </c>
      <c r="H127" s="328">
        <v>10</v>
      </c>
      <c r="I127" s="328">
        <v>15</v>
      </c>
      <c r="J127" s="328">
        <v>21</v>
      </c>
      <c r="K127" s="328">
        <v>8</v>
      </c>
      <c r="L127" s="328">
        <v>0</v>
      </c>
      <c r="M127" s="328">
        <v>0</v>
      </c>
      <c r="N127" s="328">
        <v>0</v>
      </c>
      <c r="O127" s="328">
        <v>0</v>
      </c>
      <c r="P127" s="328">
        <v>0</v>
      </c>
      <c r="Q127" s="328">
        <v>0</v>
      </c>
      <c r="R127" s="328">
        <v>0</v>
      </c>
      <c r="S127" s="329">
        <f t="shared" si="4"/>
        <v>75</v>
      </c>
      <c r="T127" s="327"/>
      <c r="U127" s="328">
        <v>0</v>
      </c>
      <c r="V127" s="328">
        <v>0</v>
      </c>
      <c r="W127" s="328">
        <v>0</v>
      </c>
      <c r="X127" s="328">
        <v>1</v>
      </c>
      <c r="Y127" s="328">
        <v>0</v>
      </c>
      <c r="Z127" s="328">
        <v>0</v>
      </c>
      <c r="AA127" s="328">
        <v>0</v>
      </c>
      <c r="AB127" s="328">
        <v>0</v>
      </c>
      <c r="AC127" s="328">
        <v>0</v>
      </c>
      <c r="AD127" s="328">
        <v>0</v>
      </c>
      <c r="AE127" s="328">
        <v>0</v>
      </c>
      <c r="AF127" s="328">
        <v>0</v>
      </c>
      <c r="AG127" s="328">
        <v>0</v>
      </c>
      <c r="AH127" s="329">
        <f t="shared" si="3"/>
        <v>1</v>
      </c>
    </row>
    <row r="128" spans="1:34" x14ac:dyDescent="0.2">
      <c r="A128" s="20" t="str">
        <f>'School Level Inst. Resources'!A128</f>
        <v>0801000</v>
      </c>
      <c r="B128" s="20" t="str">
        <f>'School Level Inst. Resources'!B128</f>
        <v>Goshen #1</v>
      </c>
      <c r="C128" s="20" t="str">
        <f>'School Level Inst. Resources'!C128</f>
        <v>0801006</v>
      </c>
      <c r="D128" s="20" t="str">
        <f>'School Level Inst. Resources'!D128</f>
        <v>Trail Elementary</v>
      </c>
      <c r="E128" s="138" t="str">
        <f>'School Level Inst. Resources'!E128</f>
        <v>3-5</v>
      </c>
      <c r="F128" s="328">
        <v>0</v>
      </c>
      <c r="G128" s="328">
        <v>0</v>
      </c>
      <c r="H128" s="328">
        <v>0</v>
      </c>
      <c r="I128" s="328">
        <v>48</v>
      </c>
      <c r="J128" s="328">
        <v>57</v>
      </c>
      <c r="K128" s="328">
        <v>44</v>
      </c>
      <c r="L128" s="328">
        <v>0</v>
      </c>
      <c r="M128" s="328">
        <v>0</v>
      </c>
      <c r="N128" s="328">
        <v>0</v>
      </c>
      <c r="O128" s="328">
        <v>0</v>
      </c>
      <c r="P128" s="328">
        <v>0</v>
      </c>
      <c r="Q128" s="328">
        <v>0</v>
      </c>
      <c r="R128" s="328">
        <v>0</v>
      </c>
      <c r="S128" s="329">
        <f t="shared" si="4"/>
        <v>149</v>
      </c>
      <c r="T128" s="327"/>
      <c r="U128" s="328">
        <v>0</v>
      </c>
      <c r="V128" s="328">
        <v>0</v>
      </c>
      <c r="W128" s="328">
        <v>0</v>
      </c>
      <c r="X128" s="328">
        <v>1</v>
      </c>
      <c r="Y128" s="328">
        <v>2</v>
      </c>
      <c r="Z128" s="328">
        <v>2</v>
      </c>
      <c r="AA128" s="328">
        <v>0</v>
      </c>
      <c r="AB128" s="328">
        <v>0</v>
      </c>
      <c r="AC128" s="328">
        <v>0</v>
      </c>
      <c r="AD128" s="328">
        <v>0</v>
      </c>
      <c r="AE128" s="328">
        <v>0</v>
      </c>
      <c r="AF128" s="328">
        <v>0</v>
      </c>
      <c r="AG128" s="328">
        <v>0</v>
      </c>
      <c r="AH128" s="329">
        <f t="shared" si="3"/>
        <v>5</v>
      </c>
    </row>
    <row r="129" spans="1:34" x14ac:dyDescent="0.2">
      <c r="A129" s="20" t="str">
        <f>'School Level Inst. Resources'!A129</f>
        <v>0801000</v>
      </c>
      <c r="B129" s="20" t="str">
        <f>'School Level Inst. Resources'!B129</f>
        <v>Goshen #1</v>
      </c>
      <c r="C129" s="20" t="str">
        <f>'School Level Inst. Resources'!C129</f>
        <v>0801007</v>
      </c>
      <c r="D129" s="20" t="str">
        <f>'School Level Inst. Resources'!D129</f>
        <v>Lincoln Elementary</v>
      </c>
      <c r="E129" s="138" t="str">
        <f>'School Level Inst. Resources'!E129</f>
        <v>K-2</v>
      </c>
      <c r="F129" s="328">
        <v>52</v>
      </c>
      <c r="G129" s="328">
        <v>38</v>
      </c>
      <c r="H129" s="328">
        <v>51</v>
      </c>
      <c r="I129" s="328">
        <v>0</v>
      </c>
      <c r="J129" s="328">
        <v>0</v>
      </c>
      <c r="K129" s="328">
        <v>0</v>
      </c>
      <c r="L129" s="328">
        <v>0</v>
      </c>
      <c r="M129" s="328">
        <v>0</v>
      </c>
      <c r="N129" s="328">
        <v>0</v>
      </c>
      <c r="O129" s="328">
        <v>0</v>
      </c>
      <c r="P129" s="328">
        <v>0</v>
      </c>
      <c r="Q129" s="328">
        <v>0</v>
      </c>
      <c r="R129" s="328">
        <v>0</v>
      </c>
      <c r="S129" s="329">
        <f t="shared" si="4"/>
        <v>141</v>
      </c>
      <c r="T129" s="327"/>
      <c r="U129" s="328">
        <v>4</v>
      </c>
      <c r="V129" s="328">
        <v>3</v>
      </c>
      <c r="W129" s="328">
        <v>1</v>
      </c>
      <c r="X129" s="328">
        <v>0</v>
      </c>
      <c r="Y129" s="328">
        <v>0</v>
      </c>
      <c r="Z129" s="328">
        <v>0</v>
      </c>
      <c r="AA129" s="328">
        <v>0</v>
      </c>
      <c r="AB129" s="328">
        <v>0</v>
      </c>
      <c r="AC129" s="328">
        <v>0</v>
      </c>
      <c r="AD129" s="328">
        <v>0</v>
      </c>
      <c r="AE129" s="328">
        <v>0</v>
      </c>
      <c r="AF129" s="328">
        <v>0</v>
      </c>
      <c r="AG129" s="328">
        <v>0</v>
      </c>
      <c r="AH129" s="329">
        <f t="shared" si="3"/>
        <v>8</v>
      </c>
    </row>
    <row r="130" spans="1:34" x14ac:dyDescent="0.2">
      <c r="A130" s="20" t="str">
        <f>'School Level Inst. Resources'!A130</f>
        <v>0801000</v>
      </c>
      <c r="B130" s="20" t="str">
        <f>'School Level Inst. Resources'!B130</f>
        <v>Goshen #1</v>
      </c>
      <c r="C130" s="20" t="str">
        <f>'School Level Inst. Resources'!C130</f>
        <v>0801050</v>
      </c>
      <c r="D130" s="20" t="str">
        <f>'School Level Inst. Resources'!D130</f>
        <v>Lingle-Ft. Laramie Middle School</v>
      </c>
      <c r="E130" s="138" t="str">
        <f>'School Level Inst. Resources'!E130</f>
        <v>6-8</v>
      </c>
      <c r="F130" s="328">
        <v>0</v>
      </c>
      <c r="G130" s="328">
        <v>0</v>
      </c>
      <c r="H130" s="328">
        <v>0</v>
      </c>
      <c r="I130" s="328">
        <v>0</v>
      </c>
      <c r="J130" s="328">
        <v>0</v>
      </c>
      <c r="K130" s="328">
        <v>0</v>
      </c>
      <c r="L130" s="328">
        <v>8</v>
      </c>
      <c r="M130" s="328">
        <v>8</v>
      </c>
      <c r="N130" s="328">
        <v>9</v>
      </c>
      <c r="O130" s="328">
        <v>0</v>
      </c>
      <c r="P130" s="328">
        <v>0</v>
      </c>
      <c r="Q130" s="328">
        <v>0</v>
      </c>
      <c r="R130" s="328">
        <v>0</v>
      </c>
      <c r="S130" s="329">
        <f t="shared" si="4"/>
        <v>25</v>
      </c>
      <c r="T130" s="327"/>
      <c r="U130" s="328">
        <v>0</v>
      </c>
      <c r="V130" s="328">
        <v>0</v>
      </c>
      <c r="W130" s="328">
        <v>0</v>
      </c>
      <c r="X130" s="328">
        <v>0</v>
      </c>
      <c r="Y130" s="328">
        <v>0</v>
      </c>
      <c r="Z130" s="328">
        <v>0</v>
      </c>
      <c r="AA130" s="328">
        <v>0</v>
      </c>
      <c r="AB130" s="328">
        <v>0</v>
      </c>
      <c r="AC130" s="328">
        <v>0</v>
      </c>
      <c r="AD130" s="328">
        <v>0</v>
      </c>
      <c r="AE130" s="328">
        <v>0</v>
      </c>
      <c r="AF130" s="328">
        <v>0</v>
      </c>
      <c r="AG130" s="328">
        <v>0</v>
      </c>
      <c r="AH130" s="329">
        <f t="shared" si="3"/>
        <v>0</v>
      </c>
    </row>
    <row r="131" spans="1:34" x14ac:dyDescent="0.2">
      <c r="A131" s="20" t="str">
        <f>'School Level Inst. Resources'!A131</f>
        <v>0801000</v>
      </c>
      <c r="B131" s="20" t="str">
        <f>'School Level Inst. Resources'!B131</f>
        <v>Goshen #1</v>
      </c>
      <c r="C131" s="20" t="str">
        <f>'School Level Inst. Resources'!C131</f>
        <v>0801051</v>
      </c>
      <c r="D131" s="20" t="str">
        <f>'School Level Inst. Resources'!D131</f>
        <v>Southeast Junior High School</v>
      </c>
      <c r="E131" s="138" t="str">
        <f>'School Level Inst. Resources'!E131</f>
        <v>7-8</v>
      </c>
      <c r="F131" s="328">
        <v>0</v>
      </c>
      <c r="G131" s="328">
        <v>0</v>
      </c>
      <c r="H131" s="328">
        <v>0</v>
      </c>
      <c r="I131" s="328">
        <v>0</v>
      </c>
      <c r="J131" s="328">
        <v>0</v>
      </c>
      <c r="K131" s="328">
        <v>0</v>
      </c>
      <c r="L131" s="328">
        <v>0</v>
      </c>
      <c r="M131" s="328">
        <v>7</v>
      </c>
      <c r="N131" s="328">
        <v>7</v>
      </c>
      <c r="O131" s="328">
        <v>0</v>
      </c>
      <c r="P131" s="328">
        <v>0</v>
      </c>
      <c r="Q131" s="328">
        <v>0</v>
      </c>
      <c r="R131" s="328">
        <v>0</v>
      </c>
      <c r="S131" s="329">
        <f t="shared" si="4"/>
        <v>14</v>
      </c>
      <c r="T131" s="327"/>
      <c r="U131" s="328">
        <v>0</v>
      </c>
      <c r="V131" s="328">
        <v>0</v>
      </c>
      <c r="W131" s="328">
        <v>0</v>
      </c>
      <c r="X131" s="328">
        <v>0</v>
      </c>
      <c r="Y131" s="328">
        <v>0</v>
      </c>
      <c r="Z131" s="328">
        <v>0</v>
      </c>
      <c r="AA131" s="328">
        <v>0</v>
      </c>
      <c r="AB131" s="328">
        <v>0</v>
      </c>
      <c r="AC131" s="328">
        <v>0</v>
      </c>
      <c r="AD131" s="328">
        <v>0</v>
      </c>
      <c r="AE131" s="328">
        <v>0</v>
      </c>
      <c r="AF131" s="328">
        <v>0</v>
      </c>
      <c r="AG131" s="328">
        <v>0</v>
      </c>
      <c r="AH131" s="329">
        <f t="shared" si="3"/>
        <v>0</v>
      </c>
    </row>
    <row r="132" spans="1:34" x14ac:dyDescent="0.2">
      <c r="A132" s="20" t="str">
        <f>'School Level Inst. Resources'!A132</f>
        <v>0801000</v>
      </c>
      <c r="B132" s="20" t="str">
        <f>'School Level Inst. Resources'!B132</f>
        <v>Goshen #1</v>
      </c>
      <c r="C132" s="20" t="str">
        <f>'School Level Inst. Resources'!C132</f>
        <v>0801052</v>
      </c>
      <c r="D132" s="20" t="str">
        <f>'School Level Inst. Resources'!D132</f>
        <v>Torrington Middle School</v>
      </c>
      <c r="E132" s="138" t="str">
        <f>'School Level Inst. Resources'!E132</f>
        <v>6-8</v>
      </c>
      <c r="F132" s="328">
        <v>0</v>
      </c>
      <c r="G132" s="328">
        <v>0</v>
      </c>
      <c r="H132" s="328">
        <v>0</v>
      </c>
      <c r="I132" s="328">
        <v>0</v>
      </c>
      <c r="J132" s="328">
        <v>0</v>
      </c>
      <c r="K132" s="328">
        <v>0</v>
      </c>
      <c r="L132" s="328">
        <v>38</v>
      </c>
      <c r="M132" s="328">
        <v>48</v>
      </c>
      <c r="N132" s="328">
        <v>46</v>
      </c>
      <c r="O132" s="328">
        <v>0</v>
      </c>
      <c r="P132" s="328">
        <v>0</v>
      </c>
      <c r="Q132" s="328">
        <v>0</v>
      </c>
      <c r="R132" s="328">
        <v>0</v>
      </c>
      <c r="S132" s="329">
        <f t="shared" si="4"/>
        <v>132</v>
      </c>
      <c r="T132" s="327"/>
      <c r="U132" s="328">
        <v>0</v>
      </c>
      <c r="V132" s="328">
        <v>0</v>
      </c>
      <c r="W132" s="328">
        <v>0</v>
      </c>
      <c r="X132" s="328">
        <v>0</v>
      </c>
      <c r="Y132" s="328">
        <v>0</v>
      </c>
      <c r="Z132" s="328">
        <v>0</v>
      </c>
      <c r="AA132" s="328">
        <v>0</v>
      </c>
      <c r="AB132" s="328">
        <v>0</v>
      </c>
      <c r="AC132" s="328">
        <v>0</v>
      </c>
      <c r="AD132" s="328">
        <v>0</v>
      </c>
      <c r="AE132" s="328">
        <v>0</v>
      </c>
      <c r="AF132" s="328">
        <v>0</v>
      </c>
      <c r="AG132" s="328">
        <v>0</v>
      </c>
      <c r="AH132" s="329">
        <f t="shared" si="3"/>
        <v>0</v>
      </c>
    </row>
    <row r="133" spans="1:34" x14ac:dyDescent="0.2">
      <c r="A133" s="20" t="str">
        <f>'School Level Inst. Resources'!A133</f>
        <v>0801000</v>
      </c>
      <c r="B133" s="20" t="str">
        <f>'School Level Inst. Resources'!B133</f>
        <v>Goshen #1</v>
      </c>
      <c r="C133" s="20" t="str">
        <f>'School Level Inst. Resources'!C133</f>
        <v>0801055</v>
      </c>
      <c r="D133" s="20" t="str">
        <f>'School Level Inst. Resources'!D133</f>
        <v>Southeast High School</v>
      </c>
      <c r="E133" s="138" t="str">
        <f>'School Level Inst. Resources'!E133</f>
        <v>9-12</v>
      </c>
      <c r="F133" s="328">
        <v>0</v>
      </c>
      <c r="G133" s="328">
        <v>0</v>
      </c>
      <c r="H133" s="328">
        <v>0</v>
      </c>
      <c r="I133" s="328">
        <v>0</v>
      </c>
      <c r="J133" s="328">
        <v>0</v>
      </c>
      <c r="K133" s="328">
        <v>0</v>
      </c>
      <c r="L133" s="328">
        <v>0</v>
      </c>
      <c r="M133" s="328">
        <v>0</v>
      </c>
      <c r="N133" s="328">
        <v>0</v>
      </c>
      <c r="O133" s="328">
        <v>9</v>
      </c>
      <c r="P133" s="328">
        <v>7</v>
      </c>
      <c r="Q133" s="328">
        <v>8</v>
      </c>
      <c r="R133" s="328">
        <v>5</v>
      </c>
      <c r="S133" s="329">
        <f t="shared" si="4"/>
        <v>29</v>
      </c>
      <c r="T133" s="327"/>
      <c r="U133" s="328">
        <v>0</v>
      </c>
      <c r="V133" s="328">
        <v>0</v>
      </c>
      <c r="W133" s="328">
        <v>0</v>
      </c>
      <c r="X133" s="328">
        <v>0</v>
      </c>
      <c r="Y133" s="328">
        <v>0</v>
      </c>
      <c r="Z133" s="328">
        <v>0</v>
      </c>
      <c r="AA133" s="328">
        <v>0</v>
      </c>
      <c r="AB133" s="328">
        <v>0</v>
      </c>
      <c r="AC133" s="328">
        <v>0</v>
      </c>
      <c r="AD133" s="328">
        <v>0</v>
      </c>
      <c r="AE133" s="328">
        <v>0</v>
      </c>
      <c r="AF133" s="328">
        <v>0</v>
      </c>
      <c r="AG133" s="328">
        <v>0</v>
      </c>
      <c r="AH133" s="329">
        <f t="shared" si="3"/>
        <v>0</v>
      </c>
    </row>
    <row r="134" spans="1:34" x14ac:dyDescent="0.2">
      <c r="A134" s="20" t="str">
        <f>'School Level Inst. Resources'!A134</f>
        <v>0801000</v>
      </c>
      <c r="B134" s="20" t="str">
        <f>'School Level Inst. Resources'!B134</f>
        <v>Goshen #1</v>
      </c>
      <c r="C134" s="20" t="str">
        <f>'School Level Inst. Resources'!C134</f>
        <v>0801058</v>
      </c>
      <c r="D134" s="20" t="str">
        <f>'School Level Inst. Resources'!D134</f>
        <v>Lingle-Ft. Laramie High School</v>
      </c>
      <c r="E134" s="138" t="str">
        <f>'School Level Inst. Resources'!E134</f>
        <v>9-12</v>
      </c>
      <c r="F134" s="328">
        <v>0</v>
      </c>
      <c r="G134" s="328">
        <v>0</v>
      </c>
      <c r="H134" s="328">
        <v>0</v>
      </c>
      <c r="I134" s="328">
        <v>0</v>
      </c>
      <c r="J134" s="328">
        <v>0</v>
      </c>
      <c r="K134" s="328">
        <v>0</v>
      </c>
      <c r="L134" s="328">
        <v>0</v>
      </c>
      <c r="M134" s="328">
        <v>0</v>
      </c>
      <c r="N134" s="328">
        <v>0</v>
      </c>
      <c r="O134" s="328">
        <v>11</v>
      </c>
      <c r="P134" s="328">
        <v>10</v>
      </c>
      <c r="Q134" s="328">
        <v>8</v>
      </c>
      <c r="R134" s="328">
        <v>3</v>
      </c>
      <c r="S134" s="329">
        <f t="shared" si="4"/>
        <v>32</v>
      </c>
      <c r="T134" s="327"/>
      <c r="U134" s="328">
        <v>0</v>
      </c>
      <c r="V134" s="328">
        <v>0</v>
      </c>
      <c r="W134" s="328">
        <v>0</v>
      </c>
      <c r="X134" s="328">
        <v>0</v>
      </c>
      <c r="Y134" s="328">
        <v>0</v>
      </c>
      <c r="Z134" s="328">
        <v>0</v>
      </c>
      <c r="AA134" s="328">
        <v>0</v>
      </c>
      <c r="AB134" s="328">
        <v>0</v>
      </c>
      <c r="AC134" s="328">
        <v>0</v>
      </c>
      <c r="AD134" s="328">
        <v>0</v>
      </c>
      <c r="AE134" s="328">
        <v>0</v>
      </c>
      <c r="AF134" s="328">
        <v>0</v>
      </c>
      <c r="AG134" s="328">
        <v>0</v>
      </c>
      <c r="AH134" s="329">
        <f t="shared" ref="AH134:AH197" si="5">SUM(U134:AG134)</f>
        <v>0</v>
      </c>
    </row>
    <row r="135" spans="1:34" x14ac:dyDescent="0.2">
      <c r="A135" s="20" t="str">
        <f>'School Level Inst. Resources'!A135</f>
        <v>0801000</v>
      </c>
      <c r="B135" s="20" t="str">
        <f>'School Level Inst. Resources'!B135</f>
        <v>Goshen #1</v>
      </c>
      <c r="C135" s="20" t="str">
        <f>'School Level Inst. Resources'!C135</f>
        <v>0801059</v>
      </c>
      <c r="D135" s="20" t="str">
        <f>'School Level Inst. Resources'!D135</f>
        <v>Torrington High School</v>
      </c>
      <c r="E135" s="138" t="str">
        <f>'School Level Inst. Resources'!E135</f>
        <v>9-12</v>
      </c>
      <c r="F135" s="328">
        <v>0</v>
      </c>
      <c r="G135" s="328">
        <v>0</v>
      </c>
      <c r="H135" s="328">
        <v>0</v>
      </c>
      <c r="I135" s="328">
        <v>0</v>
      </c>
      <c r="J135" s="328">
        <v>0</v>
      </c>
      <c r="K135" s="328">
        <v>0</v>
      </c>
      <c r="L135" s="328">
        <v>0</v>
      </c>
      <c r="M135" s="328">
        <v>0</v>
      </c>
      <c r="N135" s="328">
        <v>0</v>
      </c>
      <c r="O135" s="328">
        <v>50</v>
      </c>
      <c r="P135" s="328">
        <v>38</v>
      </c>
      <c r="Q135" s="328">
        <v>47</v>
      </c>
      <c r="R135" s="328">
        <v>34</v>
      </c>
      <c r="S135" s="329">
        <f t="shared" si="4"/>
        <v>169</v>
      </c>
      <c r="T135" s="327"/>
      <c r="U135" s="328">
        <v>0</v>
      </c>
      <c r="V135" s="328">
        <v>0</v>
      </c>
      <c r="W135" s="328">
        <v>0</v>
      </c>
      <c r="X135" s="328">
        <v>0</v>
      </c>
      <c r="Y135" s="328">
        <v>0</v>
      </c>
      <c r="Z135" s="328">
        <v>0</v>
      </c>
      <c r="AA135" s="328">
        <v>0</v>
      </c>
      <c r="AB135" s="328">
        <v>0</v>
      </c>
      <c r="AC135" s="328">
        <v>0</v>
      </c>
      <c r="AD135" s="328">
        <v>1</v>
      </c>
      <c r="AE135" s="328">
        <v>0</v>
      </c>
      <c r="AF135" s="328">
        <v>1</v>
      </c>
      <c r="AG135" s="328">
        <v>1</v>
      </c>
      <c r="AH135" s="329">
        <f t="shared" si="5"/>
        <v>3</v>
      </c>
    </row>
    <row r="136" spans="1:34" x14ac:dyDescent="0.2">
      <c r="A136" s="20" t="str">
        <f>'School Level Inst. Resources'!A136</f>
        <v>0901000</v>
      </c>
      <c r="B136" s="20" t="str">
        <f>'School Level Inst. Resources'!B136</f>
        <v>Hot Springs #1</v>
      </c>
      <c r="C136" s="20" t="str">
        <f>'School Level Inst. Resources'!C136</f>
        <v>0901004</v>
      </c>
      <c r="D136" s="20" t="str">
        <f>'School Level Inst. Resources'!D136</f>
        <v>Ralph Witters Elementary</v>
      </c>
      <c r="E136" s="138" t="str">
        <f>'School Level Inst. Resources'!E136</f>
        <v>P-4</v>
      </c>
      <c r="F136" s="328">
        <v>20</v>
      </c>
      <c r="G136" s="328">
        <v>27</v>
      </c>
      <c r="H136" s="328">
        <v>27</v>
      </c>
      <c r="I136" s="328">
        <v>22</v>
      </c>
      <c r="J136" s="328">
        <v>28</v>
      </c>
      <c r="K136" s="328">
        <v>0</v>
      </c>
      <c r="L136" s="328">
        <v>0</v>
      </c>
      <c r="M136" s="328">
        <v>0</v>
      </c>
      <c r="N136" s="328">
        <v>0</v>
      </c>
      <c r="O136" s="328">
        <v>0</v>
      </c>
      <c r="P136" s="328">
        <v>0</v>
      </c>
      <c r="Q136" s="328">
        <v>0</v>
      </c>
      <c r="R136" s="328">
        <v>0</v>
      </c>
      <c r="S136" s="329">
        <f t="shared" si="4"/>
        <v>124</v>
      </c>
      <c r="T136" s="327"/>
      <c r="U136" s="328">
        <v>0</v>
      </c>
      <c r="V136" s="328">
        <v>0</v>
      </c>
      <c r="W136" s="328">
        <v>0</v>
      </c>
      <c r="X136" s="328">
        <v>1</v>
      </c>
      <c r="Y136" s="328">
        <v>0</v>
      </c>
      <c r="Z136" s="328">
        <v>0</v>
      </c>
      <c r="AA136" s="328">
        <v>0</v>
      </c>
      <c r="AB136" s="328">
        <v>0</v>
      </c>
      <c r="AC136" s="328">
        <v>0</v>
      </c>
      <c r="AD136" s="328">
        <v>0</v>
      </c>
      <c r="AE136" s="328">
        <v>0</v>
      </c>
      <c r="AF136" s="328">
        <v>0</v>
      </c>
      <c r="AG136" s="328">
        <v>0</v>
      </c>
      <c r="AH136" s="329">
        <f t="shared" si="5"/>
        <v>1</v>
      </c>
    </row>
    <row r="137" spans="1:34" x14ac:dyDescent="0.2">
      <c r="A137" s="20" t="str">
        <f>'School Level Inst. Resources'!A137</f>
        <v>0901000</v>
      </c>
      <c r="B137" s="20" t="str">
        <f>'School Level Inst. Resources'!B137</f>
        <v>Hot Springs #1</v>
      </c>
      <c r="C137" s="20" t="str">
        <f>'School Level Inst. Resources'!C137</f>
        <v>0901050</v>
      </c>
      <c r="D137" s="20" t="str">
        <f>'School Level Inst. Resources'!D137</f>
        <v>Thermopolis Middle School</v>
      </c>
      <c r="E137" s="138" t="str">
        <f>'School Level Inst. Resources'!E137</f>
        <v>5-8</v>
      </c>
      <c r="F137" s="328">
        <v>0</v>
      </c>
      <c r="G137" s="328">
        <v>0</v>
      </c>
      <c r="H137" s="328">
        <v>0</v>
      </c>
      <c r="I137" s="328">
        <v>0</v>
      </c>
      <c r="J137" s="328">
        <v>0</v>
      </c>
      <c r="K137" s="328">
        <v>28</v>
      </c>
      <c r="L137" s="328">
        <v>24</v>
      </c>
      <c r="M137" s="328">
        <v>26</v>
      </c>
      <c r="N137" s="328">
        <v>25</v>
      </c>
      <c r="O137" s="328">
        <v>0</v>
      </c>
      <c r="P137" s="328">
        <v>0</v>
      </c>
      <c r="Q137" s="328">
        <v>0</v>
      </c>
      <c r="R137" s="328">
        <v>0</v>
      </c>
      <c r="S137" s="329">
        <f t="shared" si="4"/>
        <v>103</v>
      </c>
      <c r="T137" s="327"/>
      <c r="U137" s="328">
        <v>0</v>
      </c>
      <c r="V137" s="328">
        <v>0</v>
      </c>
      <c r="W137" s="328">
        <v>0</v>
      </c>
      <c r="X137" s="328">
        <v>0</v>
      </c>
      <c r="Y137" s="328">
        <v>0</v>
      </c>
      <c r="Z137" s="328">
        <v>1</v>
      </c>
      <c r="AA137" s="328">
        <v>0</v>
      </c>
      <c r="AB137" s="328">
        <v>0</v>
      </c>
      <c r="AC137" s="328">
        <v>0</v>
      </c>
      <c r="AD137" s="328">
        <v>0</v>
      </c>
      <c r="AE137" s="328">
        <v>0</v>
      </c>
      <c r="AF137" s="328">
        <v>0</v>
      </c>
      <c r="AG137" s="328">
        <v>0</v>
      </c>
      <c r="AH137" s="329">
        <f t="shared" si="5"/>
        <v>1</v>
      </c>
    </row>
    <row r="138" spans="1:34" x14ac:dyDescent="0.2">
      <c r="A138" s="20" t="str">
        <f>'School Level Inst. Resources'!A138</f>
        <v>0901000</v>
      </c>
      <c r="B138" s="20" t="str">
        <f>'School Level Inst. Resources'!B138</f>
        <v>Hot Springs #1</v>
      </c>
      <c r="C138" s="20" t="str">
        <f>'School Level Inst. Resources'!C138</f>
        <v>0901055</v>
      </c>
      <c r="D138" s="20" t="str">
        <f>'School Level Inst. Resources'!D138</f>
        <v>Hot Springs County High School</v>
      </c>
      <c r="E138" s="138" t="str">
        <f>'School Level Inst. Resources'!E138</f>
        <v>9-12</v>
      </c>
      <c r="F138" s="328">
        <v>0</v>
      </c>
      <c r="G138" s="328">
        <v>0</v>
      </c>
      <c r="H138" s="328">
        <v>0</v>
      </c>
      <c r="I138" s="328">
        <v>0</v>
      </c>
      <c r="J138" s="328">
        <v>0</v>
      </c>
      <c r="K138" s="328">
        <v>0</v>
      </c>
      <c r="L138" s="328">
        <v>0</v>
      </c>
      <c r="M138" s="328">
        <v>0</v>
      </c>
      <c r="N138" s="328">
        <v>0</v>
      </c>
      <c r="O138" s="328">
        <v>38</v>
      </c>
      <c r="P138" s="328">
        <v>28</v>
      </c>
      <c r="Q138" s="328">
        <v>22</v>
      </c>
      <c r="R138" s="328">
        <v>18</v>
      </c>
      <c r="S138" s="329">
        <f t="shared" si="4"/>
        <v>106</v>
      </c>
      <c r="T138" s="327"/>
      <c r="U138" s="328">
        <v>0</v>
      </c>
      <c r="V138" s="328">
        <v>0</v>
      </c>
      <c r="W138" s="328">
        <v>0</v>
      </c>
      <c r="X138" s="328">
        <v>0</v>
      </c>
      <c r="Y138" s="328">
        <v>0</v>
      </c>
      <c r="Z138" s="328">
        <v>0</v>
      </c>
      <c r="AA138" s="328">
        <v>0</v>
      </c>
      <c r="AB138" s="328">
        <v>0</v>
      </c>
      <c r="AC138" s="328">
        <v>0</v>
      </c>
      <c r="AD138" s="328">
        <v>0</v>
      </c>
      <c r="AE138" s="328">
        <v>0</v>
      </c>
      <c r="AF138" s="328">
        <v>0</v>
      </c>
      <c r="AG138" s="328">
        <v>0</v>
      </c>
      <c r="AH138" s="329">
        <f t="shared" si="5"/>
        <v>0</v>
      </c>
    </row>
    <row r="139" spans="1:34" x14ac:dyDescent="0.2">
      <c r="A139" s="20" t="str">
        <f>'School Level Inst. Resources'!A139</f>
        <v>1001000</v>
      </c>
      <c r="B139" s="20" t="str">
        <f>'School Level Inst. Resources'!B139</f>
        <v>Johnson #1</v>
      </c>
      <c r="C139" s="20" t="str">
        <f>'School Level Inst. Resources'!C139</f>
        <v>1001002</v>
      </c>
      <c r="D139" s="20" t="str">
        <f>'School Level Inst. Resources'!D139</f>
        <v>Cloud Peak Elementary</v>
      </c>
      <c r="E139" s="138" t="str">
        <f>'School Level Inst. Resources'!E139</f>
        <v>3-5</v>
      </c>
      <c r="F139" s="328">
        <v>0</v>
      </c>
      <c r="G139" s="328">
        <v>0</v>
      </c>
      <c r="H139" s="328">
        <v>0</v>
      </c>
      <c r="I139" s="328">
        <v>33</v>
      </c>
      <c r="J139" s="328">
        <v>30</v>
      </c>
      <c r="K139" s="328">
        <v>31</v>
      </c>
      <c r="L139" s="328">
        <v>0</v>
      </c>
      <c r="M139" s="328">
        <v>0</v>
      </c>
      <c r="N139" s="328">
        <v>0</v>
      </c>
      <c r="O139" s="328">
        <v>0</v>
      </c>
      <c r="P139" s="328">
        <v>0</v>
      </c>
      <c r="Q139" s="328">
        <v>0</v>
      </c>
      <c r="R139" s="328">
        <v>0</v>
      </c>
      <c r="S139" s="329">
        <f t="shared" si="4"/>
        <v>94</v>
      </c>
      <c r="T139" s="327"/>
      <c r="U139" s="328">
        <v>0</v>
      </c>
      <c r="V139" s="328">
        <v>0</v>
      </c>
      <c r="W139" s="328">
        <v>0</v>
      </c>
      <c r="X139" s="328">
        <v>1</v>
      </c>
      <c r="Y139" s="328">
        <v>0</v>
      </c>
      <c r="Z139" s="328">
        <v>1</v>
      </c>
      <c r="AA139" s="328">
        <v>0</v>
      </c>
      <c r="AB139" s="328">
        <v>0</v>
      </c>
      <c r="AC139" s="328">
        <v>0</v>
      </c>
      <c r="AD139" s="328">
        <v>0</v>
      </c>
      <c r="AE139" s="328">
        <v>0</v>
      </c>
      <c r="AF139" s="328">
        <v>0</v>
      </c>
      <c r="AG139" s="328">
        <v>0</v>
      </c>
      <c r="AH139" s="329">
        <f t="shared" si="5"/>
        <v>2</v>
      </c>
    </row>
    <row r="140" spans="1:34" x14ac:dyDescent="0.2">
      <c r="A140" s="20" t="str">
        <f>'School Level Inst. Resources'!A140</f>
        <v>1001000</v>
      </c>
      <c r="B140" s="20" t="str">
        <f>'School Level Inst. Resources'!B140</f>
        <v>Johnson #1</v>
      </c>
      <c r="C140" s="20" t="str">
        <f>'School Level Inst. Resources'!C140</f>
        <v>1001006</v>
      </c>
      <c r="D140" s="20" t="str">
        <f>'School Level Inst. Resources'!D140</f>
        <v>Meadowlark Elementary</v>
      </c>
      <c r="E140" s="138" t="str">
        <f>'School Level Inst. Resources'!E140</f>
        <v>K-2</v>
      </c>
      <c r="F140" s="328">
        <v>39</v>
      </c>
      <c r="G140" s="328">
        <v>32</v>
      </c>
      <c r="H140" s="328">
        <v>33</v>
      </c>
      <c r="I140" s="328">
        <v>0</v>
      </c>
      <c r="J140" s="328">
        <v>0</v>
      </c>
      <c r="K140" s="328">
        <v>0</v>
      </c>
      <c r="L140" s="328">
        <v>0</v>
      </c>
      <c r="M140" s="328">
        <v>0</v>
      </c>
      <c r="N140" s="328">
        <v>0</v>
      </c>
      <c r="O140" s="328">
        <v>0</v>
      </c>
      <c r="P140" s="328">
        <v>0</v>
      </c>
      <c r="Q140" s="328">
        <v>0</v>
      </c>
      <c r="R140" s="328">
        <v>0</v>
      </c>
      <c r="S140" s="329">
        <f t="shared" si="4"/>
        <v>104</v>
      </c>
      <c r="T140" s="327"/>
      <c r="U140" s="328">
        <v>0</v>
      </c>
      <c r="V140" s="328">
        <v>0</v>
      </c>
      <c r="W140" s="328">
        <v>0</v>
      </c>
      <c r="X140" s="328">
        <v>0</v>
      </c>
      <c r="Y140" s="328">
        <v>0</v>
      </c>
      <c r="Z140" s="328">
        <v>0</v>
      </c>
      <c r="AA140" s="328">
        <v>0</v>
      </c>
      <c r="AB140" s="328">
        <v>0</v>
      </c>
      <c r="AC140" s="328">
        <v>0</v>
      </c>
      <c r="AD140" s="328">
        <v>0</v>
      </c>
      <c r="AE140" s="328">
        <v>0</v>
      </c>
      <c r="AF140" s="328">
        <v>0</v>
      </c>
      <c r="AG140" s="328">
        <v>0</v>
      </c>
      <c r="AH140" s="329">
        <f t="shared" si="5"/>
        <v>0</v>
      </c>
    </row>
    <row r="141" spans="1:34" x14ac:dyDescent="0.2">
      <c r="A141" s="20" t="str">
        <f>'School Level Inst. Resources'!A141</f>
        <v>1001000</v>
      </c>
      <c r="B141" s="20" t="str">
        <f>'School Level Inst. Resources'!B141</f>
        <v>Johnson #1</v>
      </c>
      <c r="C141" s="20" t="str">
        <f>'School Level Inst. Resources'!C141</f>
        <v>1001049</v>
      </c>
      <c r="D141" s="20" t="str">
        <f>'School Level Inst. Resources'!D141</f>
        <v>Kaycee School</v>
      </c>
      <c r="E141" s="138" t="str">
        <f>'School Level Inst. Resources'!E141</f>
        <v>K-12</v>
      </c>
      <c r="F141" s="328">
        <v>2</v>
      </c>
      <c r="G141" s="328">
        <v>3</v>
      </c>
      <c r="H141" s="328">
        <v>5</v>
      </c>
      <c r="I141" s="328">
        <v>2</v>
      </c>
      <c r="J141" s="328">
        <v>4</v>
      </c>
      <c r="K141" s="328">
        <v>5</v>
      </c>
      <c r="L141" s="328">
        <v>5</v>
      </c>
      <c r="M141" s="328">
        <v>7</v>
      </c>
      <c r="N141" s="328">
        <v>7</v>
      </c>
      <c r="O141" s="328">
        <v>3</v>
      </c>
      <c r="P141" s="328">
        <v>8</v>
      </c>
      <c r="Q141" s="328">
        <v>6</v>
      </c>
      <c r="R141" s="328">
        <v>1</v>
      </c>
      <c r="S141" s="329">
        <f t="shared" si="4"/>
        <v>58</v>
      </c>
      <c r="T141" s="327"/>
      <c r="U141" s="328">
        <v>0</v>
      </c>
      <c r="V141" s="328">
        <v>0</v>
      </c>
      <c r="W141" s="328">
        <v>0</v>
      </c>
      <c r="X141" s="328">
        <v>0</v>
      </c>
      <c r="Y141" s="328">
        <v>0</v>
      </c>
      <c r="Z141" s="328">
        <v>2</v>
      </c>
      <c r="AA141" s="328">
        <v>1</v>
      </c>
      <c r="AB141" s="328">
        <v>1</v>
      </c>
      <c r="AC141" s="328">
        <v>0</v>
      </c>
      <c r="AD141" s="328">
        <v>0</v>
      </c>
      <c r="AE141" s="328">
        <v>0</v>
      </c>
      <c r="AF141" s="328">
        <v>0</v>
      </c>
      <c r="AG141" s="328">
        <v>0</v>
      </c>
      <c r="AH141" s="329">
        <f t="shared" si="5"/>
        <v>4</v>
      </c>
    </row>
    <row r="142" spans="1:34" x14ac:dyDescent="0.2">
      <c r="A142" s="20" t="str">
        <f>'School Level Inst. Resources'!A142</f>
        <v>1001000</v>
      </c>
      <c r="B142" s="20" t="str">
        <f>'School Level Inst. Resources'!B142</f>
        <v>Johnson #1</v>
      </c>
      <c r="C142" s="20" t="str">
        <f>'School Level Inst. Resources'!C142</f>
        <v>1001050</v>
      </c>
      <c r="D142" s="20" t="str">
        <f>'School Level Inst. Resources'!D142</f>
        <v>Clear Creek Middle School</v>
      </c>
      <c r="E142" s="138" t="str">
        <f>'School Level Inst. Resources'!E142</f>
        <v>6-8</v>
      </c>
      <c r="F142" s="328">
        <v>0</v>
      </c>
      <c r="G142" s="328">
        <v>0</v>
      </c>
      <c r="H142" s="328">
        <v>0</v>
      </c>
      <c r="I142" s="328">
        <v>0</v>
      </c>
      <c r="J142" s="328">
        <v>0</v>
      </c>
      <c r="K142" s="328">
        <v>0</v>
      </c>
      <c r="L142" s="328">
        <v>28</v>
      </c>
      <c r="M142" s="328">
        <v>35</v>
      </c>
      <c r="N142" s="328">
        <v>28</v>
      </c>
      <c r="O142" s="328">
        <v>0</v>
      </c>
      <c r="P142" s="328">
        <v>0</v>
      </c>
      <c r="Q142" s="328">
        <v>0</v>
      </c>
      <c r="R142" s="328">
        <v>0</v>
      </c>
      <c r="S142" s="329">
        <f t="shared" si="4"/>
        <v>91</v>
      </c>
      <c r="T142" s="327"/>
      <c r="U142" s="328">
        <v>0</v>
      </c>
      <c r="V142" s="328">
        <v>0</v>
      </c>
      <c r="W142" s="328">
        <v>0</v>
      </c>
      <c r="X142" s="328">
        <v>0</v>
      </c>
      <c r="Y142" s="328">
        <v>0</v>
      </c>
      <c r="Z142" s="328">
        <v>0</v>
      </c>
      <c r="AA142" s="328">
        <v>0</v>
      </c>
      <c r="AB142" s="328">
        <v>0</v>
      </c>
      <c r="AC142" s="328">
        <v>0</v>
      </c>
      <c r="AD142" s="328">
        <v>0</v>
      </c>
      <c r="AE142" s="328">
        <v>0</v>
      </c>
      <c r="AF142" s="328">
        <v>0</v>
      </c>
      <c r="AG142" s="328">
        <v>0</v>
      </c>
      <c r="AH142" s="329">
        <f t="shared" si="5"/>
        <v>0</v>
      </c>
    </row>
    <row r="143" spans="1:34" x14ac:dyDescent="0.2">
      <c r="A143" s="20" t="str">
        <f>'School Level Inst. Resources'!A143</f>
        <v>1001000</v>
      </c>
      <c r="B143" s="20" t="str">
        <f>'School Level Inst. Resources'!B143</f>
        <v>Johnson #1</v>
      </c>
      <c r="C143" s="20" t="str">
        <f>'School Level Inst. Resources'!C143</f>
        <v>1001055</v>
      </c>
      <c r="D143" s="20" t="str">
        <f>'School Level Inst. Resources'!D143</f>
        <v>Buffalo High School</v>
      </c>
      <c r="E143" s="138" t="str">
        <f>'School Level Inst. Resources'!E143</f>
        <v>9-12</v>
      </c>
      <c r="F143" s="328">
        <v>0</v>
      </c>
      <c r="G143" s="328">
        <v>0</v>
      </c>
      <c r="H143" s="328">
        <v>0</v>
      </c>
      <c r="I143" s="328">
        <v>0</v>
      </c>
      <c r="J143" s="328">
        <v>0</v>
      </c>
      <c r="K143" s="328">
        <v>0</v>
      </c>
      <c r="L143" s="328">
        <v>0</v>
      </c>
      <c r="M143" s="328">
        <v>0</v>
      </c>
      <c r="N143" s="328">
        <v>0</v>
      </c>
      <c r="O143" s="328">
        <v>35</v>
      </c>
      <c r="P143" s="328">
        <v>18</v>
      </c>
      <c r="Q143" s="328">
        <v>20</v>
      </c>
      <c r="R143" s="328">
        <v>16</v>
      </c>
      <c r="S143" s="329">
        <f t="shared" si="4"/>
        <v>89</v>
      </c>
      <c r="T143" s="327"/>
      <c r="U143" s="328">
        <v>0</v>
      </c>
      <c r="V143" s="328">
        <v>0</v>
      </c>
      <c r="W143" s="328">
        <v>0</v>
      </c>
      <c r="X143" s="328">
        <v>0</v>
      </c>
      <c r="Y143" s="328">
        <v>0</v>
      </c>
      <c r="Z143" s="328">
        <v>0</v>
      </c>
      <c r="AA143" s="328">
        <v>0</v>
      </c>
      <c r="AB143" s="328">
        <v>0</v>
      </c>
      <c r="AC143" s="328">
        <v>0</v>
      </c>
      <c r="AD143" s="328">
        <v>1</v>
      </c>
      <c r="AE143" s="328">
        <v>0</v>
      </c>
      <c r="AF143" s="328">
        <v>0</v>
      </c>
      <c r="AG143" s="328">
        <v>0</v>
      </c>
      <c r="AH143" s="329">
        <f t="shared" si="5"/>
        <v>1</v>
      </c>
    </row>
    <row r="144" spans="1:34" x14ac:dyDescent="0.2">
      <c r="A144" s="20" t="str">
        <f>'School Level Inst. Resources'!A144</f>
        <v>1101000</v>
      </c>
      <c r="B144" s="20" t="str">
        <f>'School Level Inst. Resources'!B144</f>
        <v>Laramie #1</v>
      </c>
      <c r="C144" s="20" t="str">
        <f>'School Level Inst. Resources'!C144</f>
        <v>1101001</v>
      </c>
      <c r="D144" s="20" t="str">
        <f>'School Level Inst. Resources'!D144</f>
        <v>Alta Vista Elementary</v>
      </c>
      <c r="E144" s="138" t="str">
        <f>'School Level Inst. Resources'!E144</f>
        <v>P-6</v>
      </c>
      <c r="F144" s="328">
        <v>20</v>
      </c>
      <c r="G144" s="328">
        <v>30</v>
      </c>
      <c r="H144" s="328">
        <v>27</v>
      </c>
      <c r="I144" s="328">
        <v>26</v>
      </c>
      <c r="J144" s="328">
        <v>25</v>
      </c>
      <c r="K144" s="328">
        <v>33</v>
      </c>
      <c r="L144" s="328">
        <v>27</v>
      </c>
      <c r="M144" s="328">
        <v>0</v>
      </c>
      <c r="N144" s="328">
        <v>0</v>
      </c>
      <c r="O144" s="328">
        <v>0</v>
      </c>
      <c r="P144" s="328">
        <v>0</v>
      </c>
      <c r="Q144" s="328">
        <v>0</v>
      </c>
      <c r="R144" s="328">
        <v>0</v>
      </c>
      <c r="S144" s="329">
        <f t="shared" si="4"/>
        <v>188</v>
      </c>
      <c r="T144" s="327"/>
      <c r="U144" s="328">
        <v>0</v>
      </c>
      <c r="V144" s="328">
        <v>1</v>
      </c>
      <c r="W144" s="328">
        <v>0</v>
      </c>
      <c r="X144" s="328">
        <v>3</v>
      </c>
      <c r="Y144" s="328">
        <v>1</v>
      </c>
      <c r="Z144" s="328">
        <v>2</v>
      </c>
      <c r="AA144" s="328">
        <v>0</v>
      </c>
      <c r="AB144" s="328">
        <v>0</v>
      </c>
      <c r="AC144" s="328">
        <v>0</v>
      </c>
      <c r="AD144" s="328">
        <v>0</v>
      </c>
      <c r="AE144" s="328">
        <v>0</v>
      </c>
      <c r="AF144" s="328">
        <v>0</v>
      </c>
      <c r="AG144" s="328">
        <v>0</v>
      </c>
      <c r="AH144" s="329">
        <f t="shared" si="5"/>
        <v>7</v>
      </c>
    </row>
    <row r="145" spans="1:34" x14ac:dyDescent="0.2">
      <c r="A145" s="20" t="str">
        <f>'School Level Inst. Resources'!A145</f>
        <v>1101000</v>
      </c>
      <c r="B145" s="20" t="str">
        <f>'School Level Inst. Resources'!B145</f>
        <v>Laramie #1</v>
      </c>
      <c r="C145" s="20" t="str">
        <f>'School Level Inst. Resources'!C145</f>
        <v>1101002</v>
      </c>
      <c r="D145" s="20" t="str">
        <f>'School Level Inst. Resources'!D145</f>
        <v>Arp Elementary</v>
      </c>
      <c r="E145" s="138" t="str">
        <f>'School Level Inst. Resources'!E145</f>
        <v>P-6</v>
      </c>
      <c r="F145" s="328">
        <v>40</v>
      </c>
      <c r="G145" s="328">
        <v>45</v>
      </c>
      <c r="H145" s="328">
        <v>45</v>
      </c>
      <c r="I145" s="328">
        <v>37</v>
      </c>
      <c r="J145" s="328">
        <v>37</v>
      </c>
      <c r="K145" s="328">
        <v>47</v>
      </c>
      <c r="L145" s="328">
        <v>41</v>
      </c>
      <c r="M145" s="328">
        <v>0</v>
      </c>
      <c r="N145" s="328">
        <v>0</v>
      </c>
      <c r="O145" s="328">
        <v>0</v>
      </c>
      <c r="P145" s="328">
        <v>0</v>
      </c>
      <c r="Q145" s="328">
        <v>0</v>
      </c>
      <c r="R145" s="328">
        <v>0</v>
      </c>
      <c r="S145" s="329">
        <f t="shared" si="4"/>
        <v>292</v>
      </c>
      <c r="T145" s="327"/>
      <c r="U145" s="328">
        <v>1</v>
      </c>
      <c r="V145" s="328">
        <v>11</v>
      </c>
      <c r="W145" s="328">
        <v>14</v>
      </c>
      <c r="X145" s="328">
        <v>5</v>
      </c>
      <c r="Y145" s="328">
        <v>6</v>
      </c>
      <c r="Z145" s="328">
        <v>5</v>
      </c>
      <c r="AA145" s="328">
        <v>4</v>
      </c>
      <c r="AB145" s="328">
        <v>0</v>
      </c>
      <c r="AC145" s="328">
        <v>0</v>
      </c>
      <c r="AD145" s="328">
        <v>0</v>
      </c>
      <c r="AE145" s="328">
        <v>0</v>
      </c>
      <c r="AF145" s="328">
        <v>0</v>
      </c>
      <c r="AG145" s="328">
        <v>0</v>
      </c>
      <c r="AH145" s="329">
        <f t="shared" si="5"/>
        <v>46</v>
      </c>
    </row>
    <row r="146" spans="1:34" x14ac:dyDescent="0.2">
      <c r="A146" s="20" t="str">
        <f>'School Level Inst. Resources'!A146</f>
        <v>1101000</v>
      </c>
      <c r="B146" s="20" t="str">
        <f>'School Level Inst. Resources'!B146</f>
        <v>Laramie #1</v>
      </c>
      <c r="C146" s="20" t="str">
        <f>'School Level Inst. Resources'!C146</f>
        <v>1101003</v>
      </c>
      <c r="D146" s="20" t="str">
        <f>'School Level Inst. Resources'!D146</f>
        <v>Baggs Elementary</v>
      </c>
      <c r="E146" s="138" t="str">
        <f>'School Level Inst. Resources'!E146</f>
        <v>K-6</v>
      </c>
      <c r="F146" s="328">
        <v>30</v>
      </c>
      <c r="G146" s="328">
        <v>36</v>
      </c>
      <c r="H146" s="328">
        <v>34</v>
      </c>
      <c r="I146" s="328">
        <v>34</v>
      </c>
      <c r="J146" s="328">
        <v>34</v>
      </c>
      <c r="K146" s="328">
        <v>38</v>
      </c>
      <c r="L146" s="328">
        <v>25</v>
      </c>
      <c r="M146" s="328">
        <v>0</v>
      </c>
      <c r="N146" s="328">
        <v>0</v>
      </c>
      <c r="O146" s="328">
        <v>0</v>
      </c>
      <c r="P146" s="328">
        <v>0</v>
      </c>
      <c r="Q146" s="328">
        <v>0</v>
      </c>
      <c r="R146" s="328">
        <v>0</v>
      </c>
      <c r="S146" s="329">
        <f t="shared" si="4"/>
        <v>231</v>
      </c>
      <c r="T146" s="327"/>
      <c r="U146" s="328">
        <v>0</v>
      </c>
      <c r="V146" s="328">
        <v>3</v>
      </c>
      <c r="W146" s="328">
        <v>2</v>
      </c>
      <c r="X146" s="328">
        <v>4</v>
      </c>
      <c r="Y146" s="328">
        <v>5</v>
      </c>
      <c r="Z146" s="328">
        <v>5</v>
      </c>
      <c r="AA146" s="328">
        <v>2</v>
      </c>
      <c r="AB146" s="328">
        <v>0</v>
      </c>
      <c r="AC146" s="328">
        <v>0</v>
      </c>
      <c r="AD146" s="328">
        <v>0</v>
      </c>
      <c r="AE146" s="328">
        <v>0</v>
      </c>
      <c r="AF146" s="328">
        <v>0</v>
      </c>
      <c r="AG146" s="328">
        <v>0</v>
      </c>
      <c r="AH146" s="329">
        <f t="shared" si="5"/>
        <v>21</v>
      </c>
    </row>
    <row r="147" spans="1:34" x14ac:dyDescent="0.2">
      <c r="A147" s="20" t="str">
        <f>'School Level Inst. Resources'!A147</f>
        <v>1101000</v>
      </c>
      <c r="B147" s="20" t="str">
        <f>'School Level Inst. Resources'!B147</f>
        <v>Laramie #1</v>
      </c>
      <c r="C147" s="20" t="str">
        <f>'School Level Inst. Resources'!C147</f>
        <v>1101004</v>
      </c>
      <c r="D147" s="20" t="str">
        <f>'School Level Inst. Resources'!D147</f>
        <v>Bain Elementary</v>
      </c>
      <c r="E147" s="138" t="str">
        <f>'School Level Inst. Resources'!E147</f>
        <v>K-6</v>
      </c>
      <c r="F147" s="328">
        <v>19</v>
      </c>
      <c r="G147" s="328">
        <v>22</v>
      </c>
      <c r="H147" s="328">
        <v>22</v>
      </c>
      <c r="I147" s="328">
        <v>22</v>
      </c>
      <c r="J147" s="328">
        <v>20</v>
      </c>
      <c r="K147" s="328">
        <v>22</v>
      </c>
      <c r="L147" s="328">
        <v>22</v>
      </c>
      <c r="M147" s="328">
        <v>0</v>
      </c>
      <c r="N147" s="328">
        <v>0</v>
      </c>
      <c r="O147" s="328">
        <v>0</v>
      </c>
      <c r="P147" s="328">
        <v>0</v>
      </c>
      <c r="Q147" s="328">
        <v>0</v>
      </c>
      <c r="R147" s="328">
        <v>0</v>
      </c>
      <c r="S147" s="329">
        <f t="shared" si="4"/>
        <v>149</v>
      </c>
      <c r="T147" s="327"/>
      <c r="U147" s="328">
        <v>0</v>
      </c>
      <c r="V147" s="328">
        <v>0</v>
      </c>
      <c r="W147" s="328">
        <v>0</v>
      </c>
      <c r="X147" s="328">
        <v>2</v>
      </c>
      <c r="Y147" s="328">
        <v>1</v>
      </c>
      <c r="Z147" s="328">
        <v>0</v>
      </c>
      <c r="AA147" s="328">
        <v>0</v>
      </c>
      <c r="AB147" s="328">
        <v>0</v>
      </c>
      <c r="AC147" s="328">
        <v>0</v>
      </c>
      <c r="AD147" s="328">
        <v>0</v>
      </c>
      <c r="AE147" s="328">
        <v>0</v>
      </c>
      <c r="AF147" s="328">
        <v>0</v>
      </c>
      <c r="AG147" s="328">
        <v>0</v>
      </c>
      <c r="AH147" s="329">
        <f t="shared" si="5"/>
        <v>3</v>
      </c>
    </row>
    <row r="148" spans="1:34" x14ac:dyDescent="0.2">
      <c r="A148" s="20" t="str">
        <f>'School Level Inst. Resources'!A148</f>
        <v>1101000</v>
      </c>
      <c r="B148" s="20" t="str">
        <f>'School Level Inst. Resources'!B148</f>
        <v>Laramie #1</v>
      </c>
      <c r="C148" s="20" t="str">
        <f>'School Level Inst. Resources'!C148</f>
        <v>1101005</v>
      </c>
      <c r="D148" s="20" t="str">
        <f>'School Level Inst. Resources'!D148</f>
        <v>Buffalo Ridge Elementary</v>
      </c>
      <c r="E148" s="138" t="str">
        <f>'School Level Inst. Resources'!E148</f>
        <v>K-4</v>
      </c>
      <c r="F148" s="328">
        <v>9</v>
      </c>
      <c r="G148" s="328">
        <v>18</v>
      </c>
      <c r="H148" s="328">
        <v>16</v>
      </c>
      <c r="I148" s="328">
        <v>14</v>
      </c>
      <c r="J148" s="328">
        <v>17</v>
      </c>
      <c r="K148" s="328">
        <v>0</v>
      </c>
      <c r="L148" s="328">
        <v>0</v>
      </c>
      <c r="M148" s="328">
        <v>0</v>
      </c>
      <c r="N148" s="328">
        <v>0</v>
      </c>
      <c r="O148" s="328">
        <v>0</v>
      </c>
      <c r="P148" s="328">
        <v>0</v>
      </c>
      <c r="Q148" s="328">
        <v>0</v>
      </c>
      <c r="R148" s="328">
        <v>0</v>
      </c>
      <c r="S148" s="329">
        <f t="shared" si="4"/>
        <v>74</v>
      </c>
      <c r="T148" s="327"/>
      <c r="U148" s="328">
        <v>0</v>
      </c>
      <c r="V148" s="328">
        <v>1</v>
      </c>
      <c r="W148" s="328">
        <v>1</v>
      </c>
      <c r="X148" s="328">
        <v>0</v>
      </c>
      <c r="Y148" s="328">
        <v>0</v>
      </c>
      <c r="Z148" s="328">
        <v>0</v>
      </c>
      <c r="AA148" s="330">
        <v>0</v>
      </c>
      <c r="AB148" s="328">
        <v>0</v>
      </c>
      <c r="AC148" s="328">
        <v>0</v>
      </c>
      <c r="AD148" s="328">
        <v>0</v>
      </c>
      <c r="AE148" s="328">
        <v>0</v>
      </c>
      <c r="AF148" s="328">
        <v>0</v>
      </c>
      <c r="AG148" s="328">
        <v>0</v>
      </c>
      <c r="AH148" s="329">
        <f t="shared" si="5"/>
        <v>2</v>
      </c>
    </row>
    <row r="149" spans="1:34" x14ac:dyDescent="0.2">
      <c r="A149" s="20" t="str">
        <f>'School Level Inst. Resources'!A149</f>
        <v>1101000</v>
      </c>
      <c r="B149" s="20" t="str">
        <f>'School Level Inst. Resources'!B149</f>
        <v>Laramie #1</v>
      </c>
      <c r="C149" s="20" t="str">
        <f>'School Level Inst. Resources'!C149</f>
        <v>1101007</v>
      </c>
      <c r="D149" s="20" t="str">
        <f>'School Level Inst. Resources'!D149</f>
        <v>Cole Elementary</v>
      </c>
      <c r="E149" s="138" t="str">
        <f>'School Level Inst. Resources'!E149</f>
        <v>P-6</v>
      </c>
      <c r="F149" s="328">
        <v>32</v>
      </c>
      <c r="G149" s="328">
        <v>27</v>
      </c>
      <c r="H149" s="328">
        <v>21</v>
      </c>
      <c r="I149" s="328">
        <v>26</v>
      </c>
      <c r="J149" s="328">
        <v>21</v>
      </c>
      <c r="K149" s="328">
        <v>31</v>
      </c>
      <c r="L149" s="328">
        <v>19</v>
      </c>
      <c r="M149" s="328">
        <v>0</v>
      </c>
      <c r="N149" s="328">
        <v>0</v>
      </c>
      <c r="O149" s="328">
        <v>0</v>
      </c>
      <c r="P149" s="328">
        <v>0</v>
      </c>
      <c r="Q149" s="328">
        <v>0</v>
      </c>
      <c r="R149" s="328">
        <v>0</v>
      </c>
      <c r="S149" s="329">
        <f t="shared" si="4"/>
        <v>177</v>
      </c>
      <c r="T149" s="327"/>
      <c r="U149" s="328">
        <v>0</v>
      </c>
      <c r="V149" s="328">
        <v>0</v>
      </c>
      <c r="W149" s="328">
        <v>1</v>
      </c>
      <c r="X149" s="328">
        <v>0</v>
      </c>
      <c r="Y149" s="328">
        <v>1</v>
      </c>
      <c r="Z149" s="328">
        <v>1</v>
      </c>
      <c r="AA149" s="328">
        <v>0</v>
      </c>
      <c r="AB149" s="328">
        <v>0</v>
      </c>
      <c r="AC149" s="328">
        <v>0</v>
      </c>
      <c r="AD149" s="328">
        <v>0</v>
      </c>
      <c r="AE149" s="328">
        <v>0</v>
      </c>
      <c r="AF149" s="328">
        <v>0</v>
      </c>
      <c r="AG149" s="328">
        <v>0</v>
      </c>
      <c r="AH149" s="329">
        <f t="shared" si="5"/>
        <v>3</v>
      </c>
    </row>
    <row r="150" spans="1:34" x14ac:dyDescent="0.2">
      <c r="A150" s="20" t="str">
        <f>'School Level Inst. Resources'!A150</f>
        <v>1101000</v>
      </c>
      <c r="B150" s="20" t="str">
        <f>'School Level Inst. Resources'!B150</f>
        <v>Laramie #1</v>
      </c>
      <c r="C150" s="20" t="str">
        <f>'School Level Inst. Resources'!C150</f>
        <v>1101009</v>
      </c>
      <c r="D150" s="20" t="str">
        <f>'School Level Inst. Resources'!D150</f>
        <v>Davis Elementary</v>
      </c>
      <c r="E150" s="138" t="str">
        <f>'School Level Inst. Resources'!E150</f>
        <v>K-6</v>
      </c>
      <c r="F150" s="328">
        <v>10</v>
      </c>
      <c r="G150" s="328">
        <v>18</v>
      </c>
      <c r="H150" s="328">
        <v>11</v>
      </c>
      <c r="I150" s="328">
        <v>17</v>
      </c>
      <c r="J150" s="328">
        <v>13</v>
      </c>
      <c r="K150" s="328">
        <v>10</v>
      </c>
      <c r="L150" s="328">
        <v>14</v>
      </c>
      <c r="M150" s="328">
        <v>0</v>
      </c>
      <c r="N150" s="328">
        <v>0</v>
      </c>
      <c r="O150" s="328">
        <v>0</v>
      </c>
      <c r="P150" s="328">
        <v>0</v>
      </c>
      <c r="Q150" s="328">
        <v>0</v>
      </c>
      <c r="R150" s="328">
        <v>0</v>
      </c>
      <c r="S150" s="329">
        <f t="shared" si="4"/>
        <v>93</v>
      </c>
      <c r="T150" s="327"/>
      <c r="U150" s="328">
        <v>0</v>
      </c>
      <c r="V150" s="328">
        <v>1</v>
      </c>
      <c r="W150" s="328">
        <v>0</v>
      </c>
      <c r="X150" s="328">
        <v>0</v>
      </c>
      <c r="Y150" s="328">
        <v>2</v>
      </c>
      <c r="Z150" s="328">
        <v>1</v>
      </c>
      <c r="AA150" s="328">
        <v>0</v>
      </c>
      <c r="AB150" s="328">
        <v>0</v>
      </c>
      <c r="AC150" s="328">
        <v>0</v>
      </c>
      <c r="AD150" s="328">
        <v>0</v>
      </c>
      <c r="AE150" s="328">
        <v>0</v>
      </c>
      <c r="AF150" s="328">
        <v>0</v>
      </c>
      <c r="AG150" s="328">
        <v>0</v>
      </c>
      <c r="AH150" s="329">
        <f t="shared" si="5"/>
        <v>4</v>
      </c>
    </row>
    <row r="151" spans="1:34" x14ac:dyDescent="0.2">
      <c r="A151" s="20" t="str">
        <f>'School Level Inst. Resources'!A151</f>
        <v>1101000</v>
      </c>
      <c r="B151" s="20" t="str">
        <f>'School Level Inst. Resources'!B151</f>
        <v>Laramie #1</v>
      </c>
      <c r="C151" s="20" t="str">
        <f>'School Level Inst. Resources'!C151</f>
        <v>1101010</v>
      </c>
      <c r="D151" s="20" t="str">
        <f>'School Level Inst. Resources'!D151</f>
        <v>Deming Elementary</v>
      </c>
      <c r="E151" s="138" t="str">
        <f>'School Level Inst. Resources'!E151</f>
        <v>K-3</v>
      </c>
      <c r="F151" s="328">
        <v>11</v>
      </c>
      <c r="G151" s="328">
        <v>9</v>
      </c>
      <c r="H151" s="328">
        <v>8</v>
      </c>
      <c r="I151" s="328">
        <v>9</v>
      </c>
      <c r="J151" s="328">
        <v>0</v>
      </c>
      <c r="K151" s="328">
        <v>0</v>
      </c>
      <c r="L151" s="328">
        <v>0</v>
      </c>
      <c r="M151" s="328">
        <v>0</v>
      </c>
      <c r="N151" s="328">
        <v>0</v>
      </c>
      <c r="O151" s="328">
        <v>0</v>
      </c>
      <c r="P151" s="328">
        <v>0</v>
      </c>
      <c r="Q151" s="328">
        <v>0</v>
      </c>
      <c r="R151" s="328">
        <v>0</v>
      </c>
      <c r="S151" s="329">
        <f t="shared" si="4"/>
        <v>37</v>
      </c>
      <c r="T151" s="327"/>
      <c r="U151" s="328">
        <v>0</v>
      </c>
      <c r="V151" s="328">
        <v>2</v>
      </c>
      <c r="W151" s="328">
        <v>0</v>
      </c>
      <c r="X151" s="328">
        <v>2</v>
      </c>
      <c r="Y151" s="328">
        <v>0</v>
      </c>
      <c r="Z151" s="328">
        <v>0</v>
      </c>
      <c r="AA151" s="328">
        <v>0</v>
      </c>
      <c r="AB151" s="328">
        <v>0</v>
      </c>
      <c r="AC151" s="328">
        <v>0</v>
      </c>
      <c r="AD151" s="328">
        <v>0</v>
      </c>
      <c r="AE151" s="328">
        <v>0</v>
      </c>
      <c r="AF151" s="328">
        <v>0</v>
      </c>
      <c r="AG151" s="328">
        <v>0</v>
      </c>
      <c r="AH151" s="329">
        <f t="shared" si="5"/>
        <v>4</v>
      </c>
    </row>
    <row r="152" spans="1:34" x14ac:dyDescent="0.2">
      <c r="A152" s="20" t="str">
        <f>'School Level Inst. Resources'!A152</f>
        <v>1101000</v>
      </c>
      <c r="B152" s="20" t="str">
        <f>'School Level Inst. Resources'!B152</f>
        <v>Laramie #1</v>
      </c>
      <c r="C152" s="20" t="str">
        <f>'School Level Inst. Resources'!C152</f>
        <v>1101011</v>
      </c>
      <c r="D152" s="20" t="str">
        <f>'School Level Inst. Resources'!D152</f>
        <v>Dildine Elementary</v>
      </c>
      <c r="E152" s="138" t="str">
        <f>'School Level Inst. Resources'!E152</f>
        <v>K-4</v>
      </c>
      <c r="F152" s="328">
        <v>25</v>
      </c>
      <c r="G152" s="328">
        <v>29</v>
      </c>
      <c r="H152" s="328">
        <v>34</v>
      </c>
      <c r="I152" s="328">
        <v>27</v>
      </c>
      <c r="J152" s="328">
        <v>30</v>
      </c>
      <c r="K152" s="328">
        <v>0</v>
      </c>
      <c r="L152" s="328">
        <v>0</v>
      </c>
      <c r="M152" s="328">
        <v>0</v>
      </c>
      <c r="N152" s="328">
        <v>0</v>
      </c>
      <c r="O152" s="328">
        <v>0</v>
      </c>
      <c r="P152" s="328">
        <v>0</v>
      </c>
      <c r="Q152" s="328">
        <v>0</v>
      </c>
      <c r="R152" s="328">
        <v>0</v>
      </c>
      <c r="S152" s="329">
        <f t="shared" si="4"/>
        <v>145</v>
      </c>
      <c r="T152" s="327"/>
      <c r="U152" s="328">
        <v>0</v>
      </c>
      <c r="V152" s="328">
        <v>0</v>
      </c>
      <c r="W152" s="328">
        <v>2</v>
      </c>
      <c r="X152" s="328">
        <v>2</v>
      </c>
      <c r="Y152" s="328">
        <v>2</v>
      </c>
      <c r="Z152" s="328">
        <v>0</v>
      </c>
      <c r="AA152" s="330">
        <v>0</v>
      </c>
      <c r="AB152" s="328">
        <v>0</v>
      </c>
      <c r="AC152" s="328">
        <v>0</v>
      </c>
      <c r="AD152" s="328">
        <v>0</v>
      </c>
      <c r="AE152" s="328">
        <v>0</v>
      </c>
      <c r="AF152" s="328">
        <v>0</v>
      </c>
      <c r="AG152" s="328">
        <v>0</v>
      </c>
      <c r="AH152" s="329">
        <f t="shared" si="5"/>
        <v>6</v>
      </c>
    </row>
    <row r="153" spans="1:34" x14ac:dyDescent="0.2">
      <c r="A153" s="20" t="str">
        <f>'School Level Inst. Resources'!A153</f>
        <v>1101000</v>
      </c>
      <c r="B153" s="20" t="str">
        <f>'School Level Inst. Resources'!B153</f>
        <v>Laramie #1</v>
      </c>
      <c r="C153" s="20" t="str">
        <f>'School Level Inst. Resources'!C153</f>
        <v>1101013</v>
      </c>
      <c r="D153" s="20" t="str">
        <f>'School Level Inst. Resources'!D153</f>
        <v>Fairview Elementary</v>
      </c>
      <c r="E153" s="138" t="str">
        <f>'School Level Inst. Resources'!E153</f>
        <v>3-6</v>
      </c>
      <c r="F153" s="328">
        <v>0</v>
      </c>
      <c r="G153" s="328">
        <v>0</v>
      </c>
      <c r="H153" s="328">
        <v>0</v>
      </c>
      <c r="I153" s="328">
        <v>17</v>
      </c>
      <c r="J153" s="328">
        <v>20</v>
      </c>
      <c r="K153" s="328">
        <v>22</v>
      </c>
      <c r="L153" s="328">
        <v>25</v>
      </c>
      <c r="M153" s="328">
        <v>0</v>
      </c>
      <c r="N153" s="328">
        <v>0</v>
      </c>
      <c r="O153" s="328">
        <v>0</v>
      </c>
      <c r="P153" s="328">
        <v>0</v>
      </c>
      <c r="Q153" s="328">
        <v>0</v>
      </c>
      <c r="R153" s="328">
        <v>0</v>
      </c>
      <c r="S153" s="329">
        <f t="shared" si="4"/>
        <v>84</v>
      </c>
      <c r="T153" s="327"/>
      <c r="U153" s="328">
        <v>0</v>
      </c>
      <c r="V153" s="328">
        <v>0</v>
      </c>
      <c r="W153" s="328">
        <v>0</v>
      </c>
      <c r="X153" s="328">
        <v>0</v>
      </c>
      <c r="Y153" s="328">
        <v>0</v>
      </c>
      <c r="Z153" s="328">
        <v>0</v>
      </c>
      <c r="AA153" s="328">
        <v>0</v>
      </c>
      <c r="AB153" s="328">
        <v>0</v>
      </c>
      <c r="AC153" s="328">
        <v>0</v>
      </c>
      <c r="AD153" s="328">
        <v>0</v>
      </c>
      <c r="AE153" s="328">
        <v>0</v>
      </c>
      <c r="AF153" s="328">
        <v>0</v>
      </c>
      <c r="AG153" s="328">
        <v>0</v>
      </c>
      <c r="AH153" s="329">
        <f t="shared" si="5"/>
        <v>0</v>
      </c>
    </row>
    <row r="154" spans="1:34" x14ac:dyDescent="0.2">
      <c r="A154" s="20" t="str">
        <f>'School Level Inst. Resources'!A154</f>
        <v>1101000</v>
      </c>
      <c r="B154" s="20" t="str">
        <f>'School Level Inst. Resources'!B154</f>
        <v>Laramie #1</v>
      </c>
      <c r="C154" s="20" t="str">
        <f>'School Level Inst. Resources'!C154</f>
        <v>1101014</v>
      </c>
      <c r="D154" s="20" t="str">
        <f>'School Level Inst. Resources'!D154</f>
        <v>Gilchrist Elementary</v>
      </c>
      <c r="E154" s="138" t="str">
        <f>'School Level Inst. Resources'!E154</f>
        <v>K-6</v>
      </c>
      <c r="F154" s="328">
        <v>6</v>
      </c>
      <c r="G154" s="328">
        <v>4</v>
      </c>
      <c r="H154" s="328">
        <v>1</v>
      </c>
      <c r="I154" s="328">
        <v>2</v>
      </c>
      <c r="J154" s="328">
        <v>5</v>
      </c>
      <c r="K154" s="328">
        <v>6</v>
      </c>
      <c r="L154" s="328">
        <v>5</v>
      </c>
      <c r="M154" s="328">
        <v>0</v>
      </c>
      <c r="N154" s="328">
        <v>0</v>
      </c>
      <c r="O154" s="328">
        <v>0</v>
      </c>
      <c r="P154" s="328">
        <v>0</v>
      </c>
      <c r="Q154" s="328">
        <v>0</v>
      </c>
      <c r="R154" s="328">
        <v>0</v>
      </c>
      <c r="S154" s="329">
        <f t="shared" si="4"/>
        <v>29</v>
      </c>
      <c r="T154" s="327"/>
      <c r="U154" s="328">
        <v>0</v>
      </c>
      <c r="V154" s="328">
        <v>0</v>
      </c>
      <c r="W154" s="328">
        <v>0</v>
      </c>
      <c r="X154" s="328">
        <v>0</v>
      </c>
      <c r="Y154" s="328">
        <v>0</v>
      </c>
      <c r="Z154" s="328">
        <v>0</v>
      </c>
      <c r="AA154" s="328">
        <v>0</v>
      </c>
      <c r="AB154" s="328">
        <v>0</v>
      </c>
      <c r="AC154" s="328">
        <v>0</v>
      </c>
      <c r="AD154" s="328">
        <v>0</v>
      </c>
      <c r="AE154" s="328">
        <v>0</v>
      </c>
      <c r="AF154" s="328">
        <v>0</v>
      </c>
      <c r="AG154" s="328">
        <v>0</v>
      </c>
      <c r="AH154" s="329">
        <f t="shared" si="5"/>
        <v>0</v>
      </c>
    </row>
    <row r="155" spans="1:34" x14ac:dyDescent="0.2">
      <c r="A155" s="20" t="str">
        <f>'School Level Inst. Resources'!A155</f>
        <v>1101000</v>
      </c>
      <c r="B155" s="20" t="str">
        <f>'School Level Inst. Resources'!B155</f>
        <v>Laramie #1</v>
      </c>
      <c r="C155" s="20" t="str">
        <f>'School Level Inst. Resources'!C155</f>
        <v>1101015</v>
      </c>
      <c r="D155" s="20" t="str">
        <f>'School Level Inst. Resources'!D155</f>
        <v>Goins Elementary</v>
      </c>
      <c r="E155" s="138" t="str">
        <f>'School Level Inst. Resources'!E155</f>
        <v>P-6</v>
      </c>
      <c r="F155" s="328">
        <v>32</v>
      </c>
      <c r="G155" s="328">
        <v>34</v>
      </c>
      <c r="H155" s="328">
        <v>33</v>
      </c>
      <c r="I155" s="328">
        <v>38</v>
      </c>
      <c r="J155" s="328">
        <v>35</v>
      </c>
      <c r="K155" s="328">
        <v>35</v>
      </c>
      <c r="L155" s="328">
        <v>39</v>
      </c>
      <c r="M155" s="328">
        <v>0</v>
      </c>
      <c r="N155" s="328">
        <v>0</v>
      </c>
      <c r="O155" s="328">
        <v>0</v>
      </c>
      <c r="P155" s="328">
        <v>0</v>
      </c>
      <c r="Q155" s="328">
        <v>0</v>
      </c>
      <c r="R155" s="328">
        <v>0</v>
      </c>
      <c r="S155" s="329">
        <f t="shared" si="4"/>
        <v>246</v>
      </c>
      <c r="T155" s="327"/>
      <c r="U155" s="328">
        <v>0</v>
      </c>
      <c r="V155" s="328">
        <v>0</v>
      </c>
      <c r="W155" s="328">
        <v>0</v>
      </c>
      <c r="X155" s="328">
        <v>0</v>
      </c>
      <c r="Y155" s="328">
        <v>1</v>
      </c>
      <c r="Z155" s="328">
        <v>2</v>
      </c>
      <c r="AA155" s="328">
        <v>2</v>
      </c>
      <c r="AB155" s="328">
        <v>0</v>
      </c>
      <c r="AC155" s="328">
        <v>0</v>
      </c>
      <c r="AD155" s="328">
        <v>0</v>
      </c>
      <c r="AE155" s="328">
        <v>0</v>
      </c>
      <c r="AF155" s="328">
        <v>0</v>
      </c>
      <c r="AG155" s="328">
        <v>0</v>
      </c>
      <c r="AH155" s="329">
        <f t="shared" si="5"/>
        <v>5</v>
      </c>
    </row>
    <row r="156" spans="1:34" x14ac:dyDescent="0.2">
      <c r="A156" s="20" t="str">
        <f>'School Level Inst. Resources'!A156</f>
        <v>1101000</v>
      </c>
      <c r="B156" s="20" t="str">
        <f>'School Level Inst. Resources'!B156</f>
        <v>Laramie #1</v>
      </c>
      <c r="C156" s="20" t="str">
        <f>'School Level Inst. Resources'!C156</f>
        <v>1101016</v>
      </c>
      <c r="D156" s="20" t="str">
        <f>'School Level Inst. Resources'!D156</f>
        <v>Hebard Elementary</v>
      </c>
      <c r="E156" s="138" t="str">
        <f>'School Level Inst. Resources'!E156</f>
        <v>P-6</v>
      </c>
      <c r="F156" s="328">
        <v>18.34158690000001</v>
      </c>
      <c r="G156" s="328">
        <v>15.949206000000007</v>
      </c>
      <c r="H156" s="328">
        <v>15.949206000000007</v>
      </c>
      <c r="I156" s="328">
        <v>22.328888400000015</v>
      </c>
      <c r="J156" s="328">
        <v>19.139047200000011</v>
      </c>
      <c r="K156" s="328">
        <v>23.126348700000015</v>
      </c>
      <c r="L156" s="328">
        <v>16.746666300000008</v>
      </c>
      <c r="M156" s="328">
        <v>0</v>
      </c>
      <c r="N156" s="328">
        <v>0</v>
      </c>
      <c r="O156" s="328">
        <v>0</v>
      </c>
      <c r="P156" s="328">
        <v>0</v>
      </c>
      <c r="Q156" s="328">
        <v>0</v>
      </c>
      <c r="R156" s="328">
        <v>0</v>
      </c>
      <c r="S156" s="329">
        <f t="shared" si="4"/>
        <v>131.58094950000006</v>
      </c>
      <c r="T156" s="327"/>
      <c r="U156" s="328">
        <v>0</v>
      </c>
      <c r="V156" s="328">
        <v>2</v>
      </c>
      <c r="W156" s="328">
        <v>1</v>
      </c>
      <c r="X156" s="328">
        <v>2</v>
      </c>
      <c r="Y156" s="328">
        <v>0</v>
      </c>
      <c r="Z156" s="328">
        <v>1</v>
      </c>
      <c r="AA156" s="328">
        <v>1</v>
      </c>
      <c r="AB156" s="328">
        <v>0</v>
      </c>
      <c r="AC156" s="328">
        <v>0</v>
      </c>
      <c r="AD156" s="328">
        <v>0</v>
      </c>
      <c r="AE156" s="328">
        <v>0</v>
      </c>
      <c r="AF156" s="328">
        <v>0</v>
      </c>
      <c r="AG156" s="328">
        <v>0</v>
      </c>
      <c r="AH156" s="329">
        <f t="shared" si="5"/>
        <v>7</v>
      </c>
    </row>
    <row r="157" spans="1:34" x14ac:dyDescent="0.2">
      <c r="A157" s="20" t="str">
        <f>'School Level Inst. Resources'!A157</f>
        <v>1101000</v>
      </c>
      <c r="B157" s="20" t="str">
        <f>'School Level Inst. Resources'!B157</f>
        <v>Laramie #1</v>
      </c>
      <c r="C157" s="20" t="str">
        <f>'School Level Inst. Resources'!C157</f>
        <v>1101017</v>
      </c>
      <c r="D157" s="20" t="str">
        <f>'School Level Inst. Resources'!D157</f>
        <v>Henderson Elementary</v>
      </c>
      <c r="E157" s="138" t="str">
        <f>'School Level Inst. Resources'!E157</f>
        <v>K-6</v>
      </c>
      <c r="F157" s="328">
        <v>14</v>
      </c>
      <c r="G157" s="328">
        <v>19</v>
      </c>
      <c r="H157" s="328">
        <v>27</v>
      </c>
      <c r="I157" s="328">
        <v>24</v>
      </c>
      <c r="J157" s="328">
        <v>21</v>
      </c>
      <c r="K157" s="328">
        <v>14</v>
      </c>
      <c r="L157" s="328">
        <v>18</v>
      </c>
      <c r="M157" s="328">
        <v>0</v>
      </c>
      <c r="N157" s="328">
        <v>0</v>
      </c>
      <c r="O157" s="328">
        <v>0</v>
      </c>
      <c r="P157" s="328">
        <v>0</v>
      </c>
      <c r="Q157" s="328">
        <v>0</v>
      </c>
      <c r="R157" s="328">
        <v>0</v>
      </c>
      <c r="S157" s="329">
        <f t="shared" si="4"/>
        <v>137</v>
      </c>
      <c r="T157" s="327"/>
      <c r="U157" s="328">
        <v>0</v>
      </c>
      <c r="V157" s="328">
        <v>0</v>
      </c>
      <c r="W157" s="328">
        <v>0</v>
      </c>
      <c r="X157" s="328">
        <v>0</v>
      </c>
      <c r="Y157" s="328">
        <v>0</v>
      </c>
      <c r="Z157" s="328">
        <v>0</v>
      </c>
      <c r="AA157" s="328">
        <v>0</v>
      </c>
      <c r="AB157" s="328">
        <v>0</v>
      </c>
      <c r="AC157" s="328">
        <v>0</v>
      </c>
      <c r="AD157" s="328">
        <v>0</v>
      </c>
      <c r="AE157" s="328">
        <v>0</v>
      </c>
      <c r="AF157" s="328">
        <v>0</v>
      </c>
      <c r="AG157" s="328">
        <v>0</v>
      </c>
      <c r="AH157" s="329">
        <f t="shared" si="5"/>
        <v>0</v>
      </c>
    </row>
    <row r="158" spans="1:34" x14ac:dyDescent="0.2">
      <c r="A158" s="20" t="str">
        <f>'School Level Inst. Resources'!A158</f>
        <v>1101000</v>
      </c>
      <c r="B158" s="20" t="str">
        <f>'School Level Inst. Resources'!B158</f>
        <v>Laramie #1</v>
      </c>
      <c r="C158" s="20" t="str">
        <f>'School Level Inst. Resources'!C158</f>
        <v>1101018</v>
      </c>
      <c r="D158" s="20" t="str">
        <f>'School Level Inst. Resources'!D158</f>
        <v>Hobbs Elementary</v>
      </c>
      <c r="E158" s="138" t="str">
        <f>'School Level Inst. Resources'!E158</f>
        <v>K-6</v>
      </c>
      <c r="F158" s="328">
        <v>15</v>
      </c>
      <c r="G158" s="328">
        <v>22</v>
      </c>
      <c r="H158" s="328">
        <v>24</v>
      </c>
      <c r="I158" s="328">
        <v>16</v>
      </c>
      <c r="J158" s="328">
        <v>17</v>
      </c>
      <c r="K158" s="328">
        <v>12</v>
      </c>
      <c r="L158" s="328">
        <v>13</v>
      </c>
      <c r="M158" s="328">
        <v>0</v>
      </c>
      <c r="N158" s="328">
        <v>0</v>
      </c>
      <c r="O158" s="328">
        <v>0</v>
      </c>
      <c r="P158" s="328">
        <v>0</v>
      </c>
      <c r="Q158" s="328">
        <v>0</v>
      </c>
      <c r="R158" s="328">
        <v>0</v>
      </c>
      <c r="S158" s="329">
        <f t="shared" si="4"/>
        <v>119</v>
      </c>
      <c r="T158" s="327"/>
      <c r="U158" s="328">
        <v>1</v>
      </c>
      <c r="V158" s="328">
        <v>1</v>
      </c>
      <c r="W158" s="328">
        <v>2</v>
      </c>
      <c r="X158" s="328">
        <v>1</v>
      </c>
      <c r="Y158" s="328">
        <v>0</v>
      </c>
      <c r="Z158" s="328">
        <v>2</v>
      </c>
      <c r="AA158" s="328">
        <v>0</v>
      </c>
      <c r="AB158" s="328">
        <v>0</v>
      </c>
      <c r="AC158" s="328">
        <v>0</v>
      </c>
      <c r="AD158" s="328">
        <v>0</v>
      </c>
      <c r="AE158" s="328">
        <v>0</v>
      </c>
      <c r="AF158" s="328">
        <v>0</v>
      </c>
      <c r="AG158" s="328">
        <v>0</v>
      </c>
      <c r="AH158" s="329">
        <f t="shared" si="5"/>
        <v>7</v>
      </c>
    </row>
    <row r="159" spans="1:34" x14ac:dyDescent="0.2">
      <c r="A159" s="20" t="str">
        <f>'School Level Inst. Resources'!A159</f>
        <v>1101000</v>
      </c>
      <c r="B159" s="20" t="str">
        <f>'School Level Inst. Resources'!B159</f>
        <v>Laramie #1</v>
      </c>
      <c r="C159" s="20" t="str">
        <f>'School Level Inst. Resources'!C159</f>
        <v>1101019</v>
      </c>
      <c r="D159" s="20" t="str">
        <f>'School Level Inst. Resources'!D159</f>
        <v>Clawson Elementary</v>
      </c>
      <c r="E159" s="138" t="str">
        <f>'School Level Inst. Resources'!E159</f>
        <v>K-6</v>
      </c>
      <c r="F159" s="328">
        <v>0</v>
      </c>
      <c r="G159" s="328">
        <v>1</v>
      </c>
      <c r="H159" s="328">
        <v>1</v>
      </c>
      <c r="I159" s="328">
        <v>0</v>
      </c>
      <c r="J159" s="328">
        <v>2</v>
      </c>
      <c r="K159" s="328">
        <v>0</v>
      </c>
      <c r="L159" s="328">
        <v>0</v>
      </c>
      <c r="M159" s="328">
        <v>0</v>
      </c>
      <c r="N159" s="328">
        <v>0</v>
      </c>
      <c r="O159" s="328">
        <v>0</v>
      </c>
      <c r="P159" s="328">
        <v>0</v>
      </c>
      <c r="Q159" s="328">
        <v>0</v>
      </c>
      <c r="R159" s="328">
        <v>0</v>
      </c>
      <c r="S159" s="329">
        <f t="shared" si="4"/>
        <v>4</v>
      </c>
      <c r="T159" s="327"/>
      <c r="U159" s="328">
        <v>0</v>
      </c>
      <c r="V159" s="328">
        <v>0</v>
      </c>
      <c r="W159" s="328">
        <v>0</v>
      </c>
      <c r="X159" s="328">
        <v>0</v>
      </c>
      <c r="Y159" s="328">
        <v>0</v>
      </c>
      <c r="Z159" s="328">
        <v>0</v>
      </c>
      <c r="AA159" s="328">
        <v>0</v>
      </c>
      <c r="AB159" s="328">
        <v>0</v>
      </c>
      <c r="AC159" s="328">
        <v>0</v>
      </c>
      <c r="AD159" s="328">
        <v>0</v>
      </c>
      <c r="AE159" s="328">
        <v>0</v>
      </c>
      <c r="AF159" s="328">
        <v>0</v>
      </c>
      <c r="AG159" s="328">
        <v>0</v>
      </c>
      <c r="AH159" s="329">
        <f t="shared" si="5"/>
        <v>0</v>
      </c>
    </row>
    <row r="160" spans="1:34" x14ac:dyDescent="0.2">
      <c r="A160" s="20" t="str">
        <f>'School Level Inst. Resources'!A160</f>
        <v>1101000</v>
      </c>
      <c r="B160" s="20" t="str">
        <f>'School Level Inst. Resources'!B160</f>
        <v>Laramie #1</v>
      </c>
      <c r="C160" s="20" t="str">
        <f>'School Level Inst. Resources'!C160</f>
        <v>1101020</v>
      </c>
      <c r="D160" s="20" t="str">
        <f>'School Level Inst. Resources'!D160</f>
        <v>Jessup Elementary</v>
      </c>
      <c r="E160" s="138" t="str">
        <f>'School Level Inst. Resources'!E160</f>
        <v>K-6</v>
      </c>
      <c r="F160" s="328">
        <v>3</v>
      </c>
      <c r="G160" s="328">
        <v>2</v>
      </c>
      <c r="H160" s="328">
        <v>2</v>
      </c>
      <c r="I160" s="328">
        <v>3</v>
      </c>
      <c r="J160" s="328">
        <v>8</v>
      </c>
      <c r="K160" s="328">
        <v>8</v>
      </c>
      <c r="L160" s="328">
        <v>10</v>
      </c>
      <c r="M160" s="328">
        <v>0</v>
      </c>
      <c r="N160" s="328">
        <v>0</v>
      </c>
      <c r="O160" s="328">
        <v>0</v>
      </c>
      <c r="P160" s="328">
        <v>0</v>
      </c>
      <c r="Q160" s="328">
        <v>0</v>
      </c>
      <c r="R160" s="328">
        <v>0</v>
      </c>
      <c r="S160" s="329">
        <f t="shared" si="4"/>
        <v>36</v>
      </c>
      <c r="T160" s="327"/>
      <c r="U160" s="328">
        <v>0</v>
      </c>
      <c r="V160" s="328">
        <v>0</v>
      </c>
      <c r="W160" s="328">
        <v>0</v>
      </c>
      <c r="X160" s="328">
        <v>0</v>
      </c>
      <c r="Y160" s="328">
        <v>1</v>
      </c>
      <c r="Z160" s="328">
        <v>0</v>
      </c>
      <c r="AA160" s="328">
        <v>0</v>
      </c>
      <c r="AB160" s="328">
        <v>0</v>
      </c>
      <c r="AC160" s="328">
        <v>0</v>
      </c>
      <c r="AD160" s="328">
        <v>0</v>
      </c>
      <c r="AE160" s="328">
        <v>0</v>
      </c>
      <c r="AF160" s="328">
        <v>0</v>
      </c>
      <c r="AG160" s="328">
        <v>0</v>
      </c>
      <c r="AH160" s="329">
        <f t="shared" si="5"/>
        <v>1</v>
      </c>
    </row>
    <row r="161" spans="1:34" x14ac:dyDescent="0.2">
      <c r="A161" s="20" t="str">
        <f>'School Level Inst. Resources'!A161</f>
        <v>1101000</v>
      </c>
      <c r="B161" s="20" t="str">
        <f>'School Level Inst. Resources'!B161</f>
        <v>Laramie #1</v>
      </c>
      <c r="C161" s="20" t="str">
        <f>'School Level Inst. Resources'!C161</f>
        <v>1101021</v>
      </c>
      <c r="D161" s="20" t="str">
        <f>'School Level Inst. Resources'!D161</f>
        <v>Lebhart Elementary</v>
      </c>
      <c r="E161" s="138" t="str">
        <f>'School Level Inst. Resources'!E161</f>
        <v>K-2</v>
      </c>
      <c r="F161" s="328">
        <v>17</v>
      </c>
      <c r="G161" s="328">
        <v>22</v>
      </c>
      <c r="H161" s="328">
        <v>19</v>
      </c>
      <c r="I161" s="328">
        <v>0</v>
      </c>
      <c r="J161" s="328">
        <v>0</v>
      </c>
      <c r="K161" s="328">
        <v>0</v>
      </c>
      <c r="L161" s="328">
        <v>0</v>
      </c>
      <c r="M161" s="328">
        <v>0</v>
      </c>
      <c r="N161" s="328">
        <v>0</v>
      </c>
      <c r="O161" s="328">
        <v>0</v>
      </c>
      <c r="P161" s="328">
        <v>0</v>
      </c>
      <c r="Q161" s="328">
        <v>0</v>
      </c>
      <c r="R161" s="328">
        <v>0</v>
      </c>
      <c r="S161" s="329">
        <f t="shared" si="4"/>
        <v>58</v>
      </c>
      <c r="T161" s="327"/>
      <c r="U161" s="328">
        <v>0</v>
      </c>
      <c r="V161" s="328">
        <v>1</v>
      </c>
      <c r="W161" s="328">
        <v>0</v>
      </c>
      <c r="X161" s="328">
        <v>0</v>
      </c>
      <c r="Y161" s="328">
        <v>0</v>
      </c>
      <c r="Z161" s="328">
        <v>0</v>
      </c>
      <c r="AA161" s="328">
        <v>0</v>
      </c>
      <c r="AB161" s="328">
        <v>0</v>
      </c>
      <c r="AC161" s="328">
        <v>0</v>
      </c>
      <c r="AD161" s="328">
        <v>0</v>
      </c>
      <c r="AE161" s="328">
        <v>0</v>
      </c>
      <c r="AF161" s="328">
        <v>0</v>
      </c>
      <c r="AG161" s="328">
        <v>0</v>
      </c>
      <c r="AH161" s="329">
        <f t="shared" si="5"/>
        <v>1</v>
      </c>
    </row>
    <row r="162" spans="1:34" x14ac:dyDescent="0.2">
      <c r="A162" s="20" t="str">
        <f>'School Level Inst. Resources'!A162</f>
        <v>1101000</v>
      </c>
      <c r="B162" s="20" t="str">
        <f>'School Level Inst. Resources'!B162</f>
        <v>Laramie #1</v>
      </c>
      <c r="C162" s="20" t="str">
        <f>'School Level Inst. Resources'!C162</f>
        <v>1101022</v>
      </c>
      <c r="D162" s="20" t="str">
        <f>'School Level Inst. Resources'!D162</f>
        <v>Miller Elementary</v>
      </c>
      <c r="E162" s="138" t="str">
        <f>'School Level Inst. Resources'!E162</f>
        <v>4-6</v>
      </c>
      <c r="F162" s="328">
        <v>0</v>
      </c>
      <c r="G162" s="328">
        <v>0</v>
      </c>
      <c r="H162" s="328">
        <v>0</v>
      </c>
      <c r="I162" s="328">
        <v>0</v>
      </c>
      <c r="J162" s="328">
        <v>7</v>
      </c>
      <c r="K162" s="328">
        <v>10</v>
      </c>
      <c r="L162" s="328">
        <v>8</v>
      </c>
      <c r="M162" s="328">
        <v>0</v>
      </c>
      <c r="N162" s="328">
        <v>0</v>
      </c>
      <c r="O162" s="328">
        <v>0</v>
      </c>
      <c r="P162" s="328">
        <v>0</v>
      </c>
      <c r="Q162" s="328">
        <v>0</v>
      </c>
      <c r="R162" s="328">
        <v>0</v>
      </c>
      <c r="S162" s="329">
        <f t="shared" si="4"/>
        <v>25</v>
      </c>
      <c r="T162" s="327"/>
      <c r="U162" s="328">
        <v>0</v>
      </c>
      <c r="V162" s="328">
        <v>0</v>
      </c>
      <c r="W162" s="328">
        <v>0</v>
      </c>
      <c r="X162" s="328">
        <v>0</v>
      </c>
      <c r="Y162" s="328">
        <v>0</v>
      </c>
      <c r="Z162" s="328">
        <v>1</v>
      </c>
      <c r="AA162" s="328">
        <v>0</v>
      </c>
      <c r="AB162" s="328">
        <v>0</v>
      </c>
      <c r="AC162" s="328">
        <v>0</v>
      </c>
      <c r="AD162" s="328">
        <v>0</v>
      </c>
      <c r="AE162" s="328">
        <v>0</v>
      </c>
      <c r="AF162" s="328">
        <v>0</v>
      </c>
      <c r="AG162" s="328">
        <v>0</v>
      </c>
      <c r="AH162" s="329">
        <f t="shared" si="5"/>
        <v>1</v>
      </c>
    </row>
    <row r="163" spans="1:34" x14ac:dyDescent="0.2">
      <c r="A163" s="20" t="str">
        <f>'School Level Inst. Resources'!A163</f>
        <v>1101000</v>
      </c>
      <c r="B163" s="20" t="str">
        <f>'School Level Inst. Resources'!B163</f>
        <v>Laramie #1</v>
      </c>
      <c r="C163" s="20" t="str">
        <f>'School Level Inst. Resources'!C163</f>
        <v>1101023</v>
      </c>
      <c r="D163" s="20" t="str">
        <f>'School Level Inst. Resources'!D163</f>
        <v>Pioneer Park Elementary</v>
      </c>
      <c r="E163" s="138" t="str">
        <f>'School Level Inst. Resources'!E163</f>
        <v>K-6</v>
      </c>
      <c r="F163" s="328">
        <v>23</v>
      </c>
      <c r="G163" s="328">
        <v>16</v>
      </c>
      <c r="H163" s="328">
        <v>23</v>
      </c>
      <c r="I163" s="328">
        <v>19</v>
      </c>
      <c r="J163" s="328">
        <v>12</v>
      </c>
      <c r="K163" s="328">
        <v>16</v>
      </c>
      <c r="L163" s="328">
        <v>18</v>
      </c>
      <c r="M163" s="328">
        <v>0</v>
      </c>
      <c r="N163" s="328">
        <v>0</v>
      </c>
      <c r="O163" s="328">
        <v>0</v>
      </c>
      <c r="P163" s="328">
        <v>0</v>
      </c>
      <c r="Q163" s="328">
        <v>0</v>
      </c>
      <c r="R163" s="328">
        <v>0</v>
      </c>
      <c r="S163" s="329">
        <f t="shared" si="4"/>
        <v>127</v>
      </c>
      <c r="T163" s="327"/>
      <c r="U163" s="328">
        <v>0</v>
      </c>
      <c r="V163" s="328">
        <v>0</v>
      </c>
      <c r="W163" s="328">
        <v>1</v>
      </c>
      <c r="X163" s="328">
        <v>0</v>
      </c>
      <c r="Y163" s="328">
        <v>0</v>
      </c>
      <c r="Z163" s="328">
        <v>0</v>
      </c>
      <c r="AA163" s="328">
        <v>0</v>
      </c>
      <c r="AB163" s="328">
        <v>0</v>
      </c>
      <c r="AC163" s="328">
        <v>0</v>
      </c>
      <c r="AD163" s="328">
        <v>0</v>
      </c>
      <c r="AE163" s="328">
        <v>0</v>
      </c>
      <c r="AF163" s="328">
        <v>0</v>
      </c>
      <c r="AG163" s="328">
        <v>0</v>
      </c>
      <c r="AH163" s="329">
        <f t="shared" si="5"/>
        <v>1</v>
      </c>
    </row>
    <row r="164" spans="1:34" x14ac:dyDescent="0.2">
      <c r="A164" s="20" t="str">
        <f>'School Level Inst. Resources'!A164</f>
        <v>1101000</v>
      </c>
      <c r="B164" s="20" t="str">
        <f>'School Level Inst. Resources'!B164</f>
        <v>Laramie #1</v>
      </c>
      <c r="C164" s="20" t="str">
        <f>'School Level Inst. Resources'!C164</f>
        <v>1101024</v>
      </c>
      <c r="D164" s="20" t="str">
        <f>'School Level Inst. Resources'!D164</f>
        <v>Rossman Elementary</v>
      </c>
      <c r="E164" s="138" t="str">
        <f>'School Level Inst. Resources'!E164</f>
        <v>K-6</v>
      </c>
      <c r="F164" s="328">
        <v>26</v>
      </c>
      <c r="G164" s="328">
        <v>44</v>
      </c>
      <c r="H164" s="328">
        <v>32</v>
      </c>
      <c r="I164" s="328">
        <v>39</v>
      </c>
      <c r="J164" s="328">
        <v>34</v>
      </c>
      <c r="K164" s="328">
        <v>36</v>
      </c>
      <c r="L164" s="328">
        <v>30</v>
      </c>
      <c r="M164" s="328">
        <v>0</v>
      </c>
      <c r="N164" s="328">
        <v>0</v>
      </c>
      <c r="O164" s="328">
        <v>0</v>
      </c>
      <c r="P164" s="328">
        <v>0</v>
      </c>
      <c r="Q164" s="328">
        <v>0</v>
      </c>
      <c r="R164" s="328">
        <v>0</v>
      </c>
      <c r="S164" s="329">
        <f t="shared" si="4"/>
        <v>241</v>
      </c>
      <c r="T164" s="327"/>
      <c r="U164" s="328">
        <v>1</v>
      </c>
      <c r="V164" s="328">
        <v>2</v>
      </c>
      <c r="W164" s="328">
        <v>1</v>
      </c>
      <c r="X164" s="328">
        <v>1</v>
      </c>
      <c r="Y164" s="328">
        <v>3</v>
      </c>
      <c r="Z164" s="328">
        <v>2</v>
      </c>
      <c r="AA164" s="328">
        <v>2</v>
      </c>
      <c r="AB164" s="328">
        <v>0</v>
      </c>
      <c r="AC164" s="328">
        <v>0</v>
      </c>
      <c r="AD164" s="328">
        <v>0</v>
      </c>
      <c r="AE164" s="328">
        <v>0</v>
      </c>
      <c r="AF164" s="328">
        <v>0</v>
      </c>
      <c r="AG164" s="328">
        <v>0</v>
      </c>
      <c r="AH164" s="329">
        <f t="shared" si="5"/>
        <v>12</v>
      </c>
    </row>
    <row r="165" spans="1:34" x14ac:dyDescent="0.2">
      <c r="A165" s="20" t="str">
        <f>'School Level Inst. Resources'!A165</f>
        <v>1101000</v>
      </c>
      <c r="B165" s="20" t="str">
        <f>'School Level Inst. Resources'!B165</f>
        <v>Laramie #1</v>
      </c>
      <c r="C165" s="20" t="str">
        <f>'School Level Inst. Resources'!C165</f>
        <v>1101025</v>
      </c>
      <c r="D165" s="20" t="str">
        <f>'School Level Inst. Resources'!D165</f>
        <v>Willadsen Elementary</v>
      </c>
      <c r="E165" s="138" t="str">
        <f>'School Level Inst. Resources'!E165</f>
        <v>K-6</v>
      </c>
      <c r="F165" s="328">
        <v>0</v>
      </c>
      <c r="G165" s="328">
        <v>0</v>
      </c>
      <c r="H165" s="328">
        <v>0</v>
      </c>
      <c r="I165" s="328">
        <v>0</v>
      </c>
      <c r="J165" s="328">
        <v>0</v>
      </c>
      <c r="K165" s="328">
        <v>0</v>
      </c>
      <c r="L165" s="328">
        <v>0</v>
      </c>
      <c r="M165" s="328">
        <v>0</v>
      </c>
      <c r="N165" s="328">
        <v>0</v>
      </c>
      <c r="O165" s="328">
        <v>0</v>
      </c>
      <c r="P165" s="328">
        <v>0</v>
      </c>
      <c r="Q165" s="328">
        <v>0</v>
      </c>
      <c r="R165" s="328">
        <v>0</v>
      </c>
      <c r="S165" s="329">
        <f t="shared" ref="S165:S228" si="6">SUM(F165:R165)</f>
        <v>0</v>
      </c>
      <c r="T165" s="327"/>
      <c r="U165" s="328">
        <v>0</v>
      </c>
      <c r="V165" s="328">
        <v>0</v>
      </c>
      <c r="W165" s="328">
        <v>0</v>
      </c>
      <c r="X165" s="328">
        <v>0</v>
      </c>
      <c r="Y165" s="328">
        <v>0</v>
      </c>
      <c r="Z165" s="328">
        <v>0</v>
      </c>
      <c r="AA165" s="328">
        <v>0</v>
      </c>
      <c r="AB165" s="328">
        <v>0</v>
      </c>
      <c r="AC165" s="328">
        <v>0</v>
      </c>
      <c r="AD165" s="328">
        <v>0</v>
      </c>
      <c r="AE165" s="328">
        <v>0</v>
      </c>
      <c r="AF165" s="328">
        <v>0</v>
      </c>
      <c r="AG165" s="328">
        <v>0</v>
      </c>
      <c r="AH165" s="329">
        <f t="shared" si="5"/>
        <v>0</v>
      </c>
    </row>
    <row r="166" spans="1:34" x14ac:dyDescent="0.2">
      <c r="A166" s="20" t="str">
        <f>'School Level Inst. Resources'!A166</f>
        <v>1101000</v>
      </c>
      <c r="B166" s="20" t="str">
        <f>'School Level Inst. Resources'!B166</f>
        <v>Laramie #1</v>
      </c>
      <c r="C166" s="20" t="str">
        <f>'School Level Inst. Resources'!C166</f>
        <v>1101026</v>
      </c>
      <c r="D166" s="20" t="str">
        <f>'School Level Inst. Resources'!D166</f>
        <v>Anderson Elementary</v>
      </c>
      <c r="E166" s="138" t="str">
        <f>'School Level Inst. Resources'!E166</f>
        <v>K-4</v>
      </c>
      <c r="F166" s="328">
        <v>21</v>
      </c>
      <c r="G166" s="328">
        <v>14</v>
      </c>
      <c r="H166" s="328">
        <v>30</v>
      </c>
      <c r="I166" s="328">
        <v>20</v>
      </c>
      <c r="J166" s="328">
        <v>25</v>
      </c>
      <c r="K166" s="328">
        <v>0</v>
      </c>
      <c r="L166" s="328">
        <v>0</v>
      </c>
      <c r="M166" s="328">
        <v>0</v>
      </c>
      <c r="N166" s="328">
        <v>0</v>
      </c>
      <c r="O166" s="328">
        <v>0</v>
      </c>
      <c r="P166" s="328">
        <v>0</v>
      </c>
      <c r="Q166" s="328">
        <v>0</v>
      </c>
      <c r="R166" s="328">
        <v>0</v>
      </c>
      <c r="S166" s="329">
        <f t="shared" si="6"/>
        <v>110</v>
      </c>
      <c r="T166" s="327"/>
      <c r="U166" s="328">
        <v>0</v>
      </c>
      <c r="V166" s="328">
        <v>1</v>
      </c>
      <c r="W166" s="328">
        <v>2</v>
      </c>
      <c r="X166" s="328">
        <v>0</v>
      </c>
      <c r="Y166" s="328">
        <v>1</v>
      </c>
      <c r="Z166" s="328">
        <v>0</v>
      </c>
      <c r="AA166" s="330">
        <v>0</v>
      </c>
      <c r="AB166" s="328">
        <v>0</v>
      </c>
      <c r="AC166" s="328">
        <v>0</v>
      </c>
      <c r="AD166" s="328">
        <v>0</v>
      </c>
      <c r="AE166" s="328">
        <v>0</v>
      </c>
      <c r="AF166" s="328">
        <v>0</v>
      </c>
      <c r="AG166" s="328">
        <v>0</v>
      </c>
      <c r="AH166" s="329">
        <f t="shared" si="5"/>
        <v>4</v>
      </c>
    </row>
    <row r="167" spans="1:34" x14ac:dyDescent="0.2">
      <c r="A167" s="20" t="str">
        <f>'School Level Inst. Resources'!A167</f>
        <v>1101000</v>
      </c>
      <c r="B167" s="20" t="str">
        <f>'School Level Inst. Resources'!B167</f>
        <v>Laramie #1</v>
      </c>
      <c r="C167" s="20" t="str">
        <f>'School Level Inst. Resources'!C167</f>
        <v>1101027</v>
      </c>
      <c r="D167" s="20" t="str">
        <f>'School Level Inst. Resources'!D167</f>
        <v>Afflerbach Elementary</v>
      </c>
      <c r="E167" s="138" t="str">
        <f>'School Level Inst. Resources'!E167</f>
        <v>K-6</v>
      </c>
      <c r="F167" s="328">
        <v>49.44253859999997</v>
      </c>
      <c r="G167" s="328">
        <v>52.63237979999996</v>
      </c>
      <c r="H167" s="328">
        <v>53.429840099999957</v>
      </c>
      <c r="I167" s="328">
        <v>55.822220999999949</v>
      </c>
      <c r="J167" s="328">
        <v>52.63237979999996</v>
      </c>
      <c r="K167" s="328">
        <v>48.645078299999973</v>
      </c>
      <c r="L167" s="328">
        <v>52.037459199999965</v>
      </c>
      <c r="M167" s="328">
        <v>0</v>
      </c>
      <c r="N167" s="328">
        <v>0</v>
      </c>
      <c r="O167" s="328">
        <v>0</v>
      </c>
      <c r="P167" s="328">
        <v>0</v>
      </c>
      <c r="Q167" s="328">
        <v>0</v>
      </c>
      <c r="R167" s="328">
        <v>0</v>
      </c>
      <c r="S167" s="329">
        <f t="shared" si="6"/>
        <v>364.6418967999997</v>
      </c>
      <c r="T167" s="327"/>
      <c r="U167" s="328">
        <v>0</v>
      </c>
      <c r="V167" s="328">
        <v>7</v>
      </c>
      <c r="W167" s="328">
        <v>6</v>
      </c>
      <c r="X167" s="328">
        <v>12</v>
      </c>
      <c r="Y167" s="328">
        <v>9</v>
      </c>
      <c r="Z167" s="328">
        <v>9</v>
      </c>
      <c r="AA167" s="328">
        <v>2</v>
      </c>
      <c r="AB167" s="328">
        <v>0</v>
      </c>
      <c r="AC167" s="328">
        <v>0</v>
      </c>
      <c r="AD167" s="328">
        <v>0</v>
      </c>
      <c r="AE167" s="328">
        <v>0</v>
      </c>
      <c r="AF167" s="328">
        <v>0</v>
      </c>
      <c r="AG167" s="328">
        <v>0</v>
      </c>
      <c r="AH167" s="329">
        <f t="shared" si="5"/>
        <v>45</v>
      </c>
    </row>
    <row r="168" spans="1:34" x14ac:dyDescent="0.2">
      <c r="A168" s="20" t="str">
        <f>'School Level Inst. Resources'!A168</f>
        <v>1101000</v>
      </c>
      <c r="B168" s="20" t="str">
        <f>'School Level Inst. Resources'!B168</f>
        <v>Laramie #1</v>
      </c>
      <c r="C168" s="20" t="str">
        <f>'School Level Inst. Resources'!C168</f>
        <v>1101028</v>
      </c>
      <c r="D168" s="20" t="str">
        <f>'School Level Inst. Resources'!D168</f>
        <v>Freedom Elementary</v>
      </c>
      <c r="E168" s="138" t="str">
        <f>'School Level Inst. Resources'!E168</f>
        <v>K-6</v>
      </c>
      <c r="F168" s="328">
        <v>14</v>
      </c>
      <c r="G168" s="328">
        <v>14</v>
      </c>
      <c r="H168" s="328">
        <v>12</v>
      </c>
      <c r="I168" s="328">
        <v>15</v>
      </c>
      <c r="J168" s="328">
        <v>9</v>
      </c>
      <c r="K168" s="328">
        <v>9</v>
      </c>
      <c r="L168" s="328">
        <v>11</v>
      </c>
      <c r="M168" s="328">
        <v>0</v>
      </c>
      <c r="N168" s="328">
        <v>0</v>
      </c>
      <c r="O168" s="328">
        <v>0</v>
      </c>
      <c r="P168" s="328">
        <v>0</v>
      </c>
      <c r="Q168" s="328">
        <v>0</v>
      </c>
      <c r="R168" s="328">
        <v>0</v>
      </c>
      <c r="S168" s="329">
        <f t="shared" si="6"/>
        <v>84</v>
      </c>
      <c r="T168" s="327"/>
      <c r="U168" s="328">
        <v>0</v>
      </c>
      <c r="V168" s="328">
        <v>1</v>
      </c>
      <c r="W168" s="328">
        <v>1</v>
      </c>
      <c r="X168" s="328">
        <v>1</v>
      </c>
      <c r="Y168" s="328">
        <v>0</v>
      </c>
      <c r="Z168" s="328">
        <v>0</v>
      </c>
      <c r="AA168" s="328">
        <v>0</v>
      </c>
      <c r="AB168" s="328">
        <v>0</v>
      </c>
      <c r="AC168" s="328">
        <v>0</v>
      </c>
      <c r="AD168" s="328">
        <v>0</v>
      </c>
      <c r="AE168" s="328">
        <v>0</v>
      </c>
      <c r="AF168" s="328">
        <v>0</v>
      </c>
      <c r="AG168" s="328">
        <v>0</v>
      </c>
      <c r="AH168" s="329">
        <f t="shared" si="5"/>
        <v>3</v>
      </c>
    </row>
    <row r="169" spans="1:34" x14ac:dyDescent="0.2">
      <c r="A169" s="20" t="str">
        <f>'School Level Inst. Resources'!A169</f>
        <v>1101000</v>
      </c>
      <c r="B169" s="20" t="str">
        <f>'School Level Inst. Resources'!B169</f>
        <v>Laramie #1</v>
      </c>
      <c r="C169" s="20" t="str">
        <f>'School Level Inst. Resources'!C169</f>
        <v>1101029</v>
      </c>
      <c r="D169" s="20" t="str">
        <f>'School Level Inst. Resources'!D169</f>
        <v>Sunrise Elementary</v>
      </c>
      <c r="E169" s="138" t="str">
        <f>'School Level Inst. Resources'!E169</f>
        <v>K-6</v>
      </c>
      <c r="F169" s="328">
        <v>33</v>
      </c>
      <c r="G169" s="328">
        <v>35</v>
      </c>
      <c r="H169" s="328">
        <v>22</v>
      </c>
      <c r="I169" s="328">
        <v>29</v>
      </c>
      <c r="J169" s="328">
        <v>31</v>
      </c>
      <c r="K169" s="328">
        <v>19</v>
      </c>
      <c r="L169" s="328">
        <v>10</v>
      </c>
      <c r="M169" s="328">
        <v>0</v>
      </c>
      <c r="N169" s="328">
        <v>0</v>
      </c>
      <c r="O169" s="328">
        <v>0</v>
      </c>
      <c r="P169" s="328">
        <v>0</v>
      </c>
      <c r="Q169" s="328">
        <v>0</v>
      </c>
      <c r="R169" s="328">
        <v>0</v>
      </c>
      <c r="S169" s="329">
        <f t="shared" si="6"/>
        <v>179</v>
      </c>
      <c r="T169" s="327"/>
      <c r="U169" s="328">
        <v>1</v>
      </c>
      <c r="V169" s="328">
        <v>4</v>
      </c>
      <c r="W169" s="328">
        <v>2</v>
      </c>
      <c r="X169" s="328">
        <v>3</v>
      </c>
      <c r="Y169" s="328">
        <v>1</v>
      </c>
      <c r="Z169" s="328">
        <v>0</v>
      </c>
      <c r="AA169" s="328">
        <v>0</v>
      </c>
      <c r="AB169" s="328">
        <v>0</v>
      </c>
      <c r="AC169" s="328">
        <v>0</v>
      </c>
      <c r="AD169" s="328">
        <v>0</v>
      </c>
      <c r="AE169" s="328">
        <v>0</v>
      </c>
      <c r="AF169" s="328">
        <v>0</v>
      </c>
      <c r="AG169" s="328">
        <v>0</v>
      </c>
      <c r="AH169" s="329">
        <f t="shared" si="5"/>
        <v>11</v>
      </c>
    </row>
    <row r="170" spans="1:34" x14ac:dyDescent="0.2">
      <c r="A170" s="20" t="str">
        <f>'School Level Inst. Resources'!A170</f>
        <v>1101000</v>
      </c>
      <c r="B170" s="20" t="str">
        <f>'School Level Inst. Resources'!B170</f>
        <v>Laramie #1</v>
      </c>
      <c r="C170" s="20" t="str">
        <f>'School Level Inst. Resources'!C170</f>
        <v>1101030</v>
      </c>
      <c r="D170" s="20" t="str">
        <f>'School Level Inst. Resources'!D170</f>
        <v>Saddle Ridge Elementary</v>
      </c>
      <c r="E170" s="138" t="str">
        <f>'School Level Inst. Resources'!E170</f>
        <v>K-6</v>
      </c>
      <c r="F170" s="328">
        <v>10</v>
      </c>
      <c r="G170" s="328">
        <v>10</v>
      </c>
      <c r="H170" s="328">
        <v>16</v>
      </c>
      <c r="I170" s="328">
        <v>16</v>
      </c>
      <c r="J170" s="328">
        <v>13</v>
      </c>
      <c r="K170" s="328">
        <v>0</v>
      </c>
      <c r="L170" s="328">
        <v>0</v>
      </c>
      <c r="M170" s="328">
        <v>0</v>
      </c>
      <c r="N170" s="328">
        <v>0</v>
      </c>
      <c r="O170" s="328">
        <v>0</v>
      </c>
      <c r="P170" s="328">
        <v>0</v>
      </c>
      <c r="Q170" s="328">
        <v>0</v>
      </c>
      <c r="R170" s="328">
        <v>0</v>
      </c>
      <c r="S170" s="329">
        <f t="shared" si="6"/>
        <v>65</v>
      </c>
      <c r="T170" s="327"/>
      <c r="U170" s="328">
        <v>0</v>
      </c>
      <c r="V170" s="328">
        <v>0</v>
      </c>
      <c r="W170" s="328">
        <v>2</v>
      </c>
      <c r="X170" s="328">
        <v>0</v>
      </c>
      <c r="Y170" s="328">
        <v>1</v>
      </c>
      <c r="Z170" s="328">
        <v>0</v>
      </c>
      <c r="AA170" s="330">
        <v>0</v>
      </c>
      <c r="AB170" s="328">
        <v>0</v>
      </c>
      <c r="AC170" s="328">
        <v>0</v>
      </c>
      <c r="AD170" s="328">
        <v>0</v>
      </c>
      <c r="AE170" s="328">
        <v>0</v>
      </c>
      <c r="AF170" s="328">
        <v>0</v>
      </c>
      <c r="AG170" s="328">
        <v>0</v>
      </c>
      <c r="AH170" s="329">
        <f t="shared" si="5"/>
        <v>3</v>
      </c>
    </row>
    <row r="171" spans="1:34" x14ac:dyDescent="0.2">
      <c r="A171" s="20" t="str">
        <f>'School Level Inst. Resources'!A171</f>
        <v>1101000</v>
      </c>
      <c r="B171" s="20" t="str">
        <f>'School Level Inst. Resources'!B171</f>
        <v>Laramie #1</v>
      </c>
      <c r="C171" s="20" t="str">
        <f>'School Level Inst. Resources'!C171</f>
        <v>1101031</v>
      </c>
      <c r="D171" s="20" t="str">
        <f>'School Level Inst. Resources'!D171</f>
        <v>Prairie Wind Elementary</v>
      </c>
      <c r="E171" s="138" t="str">
        <f>'School Level Inst. Resources'!E171</f>
        <v>K-6</v>
      </c>
      <c r="F171" s="328">
        <v>4</v>
      </c>
      <c r="G171" s="328">
        <v>11</v>
      </c>
      <c r="H171" s="328">
        <v>8</v>
      </c>
      <c r="I171" s="328">
        <v>8</v>
      </c>
      <c r="J171" s="328">
        <v>11</v>
      </c>
      <c r="K171" s="328">
        <v>8</v>
      </c>
      <c r="L171" s="328">
        <v>11</v>
      </c>
      <c r="M171" s="328">
        <v>0</v>
      </c>
      <c r="N171" s="328">
        <v>0</v>
      </c>
      <c r="O171" s="328">
        <v>0</v>
      </c>
      <c r="P171" s="328">
        <v>0</v>
      </c>
      <c r="Q171" s="328">
        <v>0</v>
      </c>
      <c r="R171" s="328">
        <v>0</v>
      </c>
      <c r="S171" s="329">
        <f t="shared" si="6"/>
        <v>61</v>
      </c>
      <c r="T171" s="327"/>
      <c r="U171" s="328">
        <v>0</v>
      </c>
      <c r="V171" s="328">
        <v>0</v>
      </c>
      <c r="W171" s="328">
        <v>0</v>
      </c>
      <c r="X171" s="328">
        <v>1</v>
      </c>
      <c r="Y171" s="328">
        <v>0</v>
      </c>
      <c r="Z171" s="328">
        <v>0</v>
      </c>
      <c r="AA171" s="328">
        <v>1</v>
      </c>
      <c r="AB171" s="328">
        <v>0</v>
      </c>
      <c r="AC171" s="328">
        <v>0</v>
      </c>
      <c r="AD171" s="328">
        <v>0</v>
      </c>
      <c r="AE171" s="328">
        <v>0</v>
      </c>
      <c r="AF171" s="328">
        <v>0</v>
      </c>
      <c r="AG171" s="328">
        <v>0</v>
      </c>
      <c r="AH171" s="329">
        <f t="shared" si="5"/>
        <v>2</v>
      </c>
    </row>
    <row r="172" spans="1:34" x14ac:dyDescent="0.2">
      <c r="A172" s="20" t="str">
        <f>'School Level Inst. Resources'!A172</f>
        <v>1101000</v>
      </c>
      <c r="B172" s="20" t="str">
        <f>'School Level Inst. Resources'!B172</f>
        <v>Laramie #1</v>
      </c>
      <c r="C172" s="20" t="str">
        <f>'School Level Inst. Resources'!C172</f>
        <v>1101032</v>
      </c>
      <c r="D172" s="20" t="str">
        <f>'School Level Inst. Resources'!D172</f>
        <v>Meadowlark Elementary</v>
      </c>
      <c r="E172" s="138" t="str">
        <f>'School Level Inst. Resources'!E172</f>
        <v>5-6</v>
      </c>
      <c r="F172" s="328">
        <v>0</v>
      </c>
      <c r="G172" s="328">
        <v>0</v>
      </c>
      <c r="H172" s="328">
        <v>0</v>
      </c>
      <c r="I172" s="328">
        <v>0</v>
      </c>
      <c r="J172" s="328">
        <v>0</v>
      </c>
      <c r="K172" s="328">
        <v>79</v>
      </c>
      <c r="L172" s="328">
        <v>65</v>
      </c>
      <c r="M172" s="328">
        <v>0</v>
      </c>
      <c r="N172" s="328">
        <v>0</v>
      </c>
      <c r="O172" s="328">
        <v>0</v>
      </c>
      <c r="P172" s="328">
        <v>0</v>
      </c>
      <c r="Q172" s="328">
        <v>0</v>
      </c>
      <c r="R172" s="328">
        <v>0</v>
      </c>
      <c r="S172" s="329">
        <f t="shared" si="6"/>
        <v>144</v>
      </c>
      <c r="T172" s="327"/>
      <c r="U172" s="328">
        <v>0</v>
      </c>
      <c r="V172" s="328">
        <v>0</v>
      </c>
      <c r="W172" s="328">
        <v>0</v>
      </c>
      <c r="X172" s="328">
        <v>0</v>
      </c>
      <c r="Y172" s="328">
        <v>0</v>
      </c>
      <c r="Z172" s="328">
        <v>5</v>
      </c>
      <c r="AA172" s="330">
        <v>2</v>
      </c>
      <c r="AB172" s="328">
        <v>0</v>
      </c>
      <c r="AC172" s="328">
        <v>0</v>
      </c>
      <c r="AD172" s="328">
        <v>0</v>
      </c>
      <c r="AE172" s="328">
        <v>0</v>
      </c>
      <c r="AF172" s="328">
        <v>0</v>
      </c>
      <c r="AG172" s="328">
        <v>0</v>
      </c>
      <c r="AH172" s="329">
        <f t="shared" si="5"/>
        <v>7</v>
      </c>
    </row>
    <row r="173" spans="1:34" x14ac:dyDescent="0.2">
      <c r="A173" s="20" t="str">
        <f>'School Level Inst. Resources'!A173</f>
        <v>1101000</v>
      </c>
      <c r="B173" s="20" t="str">
        <f>'School Level Inst. Resources'!B173</f>
        <v>Laramie #1</v>
      </c>
      <c r="C173" s="20" t="str">
        <f>'School Level Inst. Resources'!C173</f>
        <v>1101040</v>
      </c>
      <c r="D173" s="20" t="str">
        <f>'School Level Inst. Resources'!D173</f>
        <v>PODER Academy</v>
      </c>
      <c r="E173" s="138" t="str">
        <f>'School Level Inst. Resources'!E173</f>
        <v>K-5</v>
      </c>
      <c r="F173" s="328">
        <v>17</v>
      </c>
      <c r="G173" s="328">
        <v>20</v>
      </c>
      <c r="H173" s="328">
        <v>17</v>
      </c>
      <c r="I173" s="328">
        <v>20</v>
      </c>
      <c r="J173" s="328">
        <v>15</v>
      </c>
      <c r="K173" s="328">
        <v>16</v>
      </c>
      <c r="L173" s="328">
        <v>0</v>
      </c>
      <c r="M173" s="328">
        <v>0</v>
      </c>
      <c r="N173" s="328">
        <v>0</v>
      </c>
      <c r="O173" s="328">
        <v>0</v>
      </c>
      <c r="P173" s="328">
        <v>0</v>
      </c>
      <c r="Q173" s="328">
        <v>0</v>
      </c>
      <c r="R173" s="328">
        <v>0</v>
      </c>
      <c r="S173" s="329">
        <f t="shared" si="6"/>
        <v>105</v>
      </c>
      <c r="T173" s="327"/>
      <c r="U173" s="328">
        <v>0</v>
      </c>
      <c r="V173" s="328">
        <v>1</v>
      </c>
      <c r="W173" s="328">
        <v>6</v>
      </c>
      <c r="X173" s="328">
        <v>0</v>
      </c>
      <c r="Y173" s="328">
        <v>3</v>
      </c>
      <c r="Z173" s="328">
        <v>2</v>
      </c>
      <c r="AA173" s="328">
        <v>0</v>
      </c>
      <c r="AB173" s="328">
        <v>0</v>
      </c>
      <c r="AC173" s="328">
        <v>0</v>
      </c>
      <c r="AD173" s="328">
        <v>0</v>
      </c>
      <c r="AE173" s="328">
        <v>0</v>
      </c>
      <c r="AF173" s="328">
        <v>0</v>
      </c>
      <c r="AG173" s="328">
        <v>0</v>
      </c>
      <c r="AH173" s="329">
        <f t="shared" si="5"/>
        <v>12</v>
      </c>
    </row>
    <row r="174" spans="1:34" x14ac:dyDescent="0.2">
      <c r="A174" s="20" t="str">
        <f>'School Level Inst. Resources'!A174</f>
        <v>1101000</v>
      </c>
      <c r="B174" s="20" t="str">
        <f>'School Level Inst. Resources'!B174</f>
        <v>Laramie #1</v>
      </c>
      <c r="C174" s="20" t="str">
        <f>'School Level Inst. Resources'!C174</f>
        <v>1101045</v>
      </c>
      <c r="D174" s="20" t="str">
        <f>'School Level Inst. Resources'!D174</f>
        <v>PODER Secondary School</v>
      </c>
      <c r="E174" s="138" t="str">
        <f>'School Level Inst. Resources'!E174</f>
        <v>6-9</v>
      </c>
      <c r="F174" s="328">
        <v>0</v>
      </c>
      <c r="G174" s="328">
        <v>0</v>
      </c>
      <c r="H174" s="328">
        <v>0</v>
      </c>
      <c r="I174" s="328">
        <v>0</v>
      </c>
      <c r="J174" s="328">
        <v>0</v>
      </c>
      <c r="K174" s="328">
        <v>0</v>
      </c>
      <c r="L174" s="328">
        <v>12</v>
      </c>
      <c r="M174" s="328">
        <v>8</v>
      </c>
      <c r="N174" s="328">
        <v>4</v>
      </c>
      <c r="O174" s="328">
        <v>0</v>
      </c>
      <c r="P174" s="328">
        <v>0</v>
      </c>
      <c r="Q174" s="328">
        <v>0</v>
      </c>
      <c r="R174" s="328">
        <v>0</v>
      </c>
      <c r="S174" s="329">
        <f t="shared" si="6"/>
        <v>24</v>
      </c>
      <c r="T174" s="327"/>
      <c r="U174" s="328">
        <v>0</v>
      </c>
      <c r="V174" s="328">
        <v>0</v>
      </c>
      <c r="W174" s="328">
        <v>0</v>
      </c>
      <c r="X174" s="328">
        <v>0</v>
      </c>
      <c r="Y174" s="328">
        <v>0</v>
      </c>
      <c r="Z174" s="328">
        <v>0</v>
      </c>
      <c r="AA174" s="328">
        <v>0</v>
      </c>
      <c r="AB174" s="328">
        <v>0</v>
      </c>
      <c r="AC174" s="328">
        <v>0</v>
      </c>
      <c r="AD174" s="328">
        <v>0</v>
      </c>
      <c r="AE174" s="328">
        <v>0</v>
      </c>
      <c r="AF174" s="328">
        <v>0</v>
      </c>
      <c r="AG174" s="328">
        <v>0</v>
      </c>
      <c r="AH174" s="329">
        <f t="shared" si="5"/>
        <v>0</v>
      </c>
    </row>
    <row r="175" spans="1:34" x14ac:dyDescent="0.2">
      <c r="A175" s="20" t="str">
        <f>'School Level Inst. Resources'!A175</f>
        <v>1101000</v>
      </c>
      <c r="B175" s="20" t="str">
        <f>'School Level Inst. Resources'!B175</f>
        <v>Laramie #1</v>
      </c>
      <c r="C175" s="20" t="str">
        <f>'School Level Inst. Resources'!C175</f>
        <v>1101050</v>
      </c>
      <c r="D175" s="20" t="str">
        <f>'School Level Inst. Resources'!D175</f>
        <v>Carey Junior High School</v>
      </c>
      <c r="E175" s="138" t="str">
        <f>'School Level Inst. Resources'!E175</f>
        <v>7-8</v>
      </c>
      <c r="F175" s="328">
        <v>0</v>
      </c>
      <c r="G175" s="328">
        <v>0</v>
      </c>
      <c r="H175" s="328">
        <v>0</v>
      </c>
      <c r="I175" s="328">
        <v>0</v>
      </c>
      <c r="J175" s="328">
        <v>0</v>
      </c>
      <c r="K175" s="328">
        <v>0</v>
      </c>
      <c r="L175" s="328">
        <v>0</v>
      </c>
      <c r="M175" s="328">
        <v>137</v>
      </c>
      <c r="N175" s="328">
        <v>183</v>
      </c>
      <c r="O175" s="328">
        <v>0</v>
      </c>
      <c r="P175" s="328">
        <v>0</v>
      </c>
      <c r="Q175" s="328">
        <v>0</v>
      </c>
      <c r="R175" s="328">
        <v>0</v>
      </c>
      <c r="S175" s="329">
        <f t="shared" si="6"/>
        <v>320</v>
      </c>
      <c r="T175" s="327"/>
      <c r="U175" s="328">
        <v>0</v>
      </c>
      <c r="V175" s="328">
        <v>0</v>
      </c>
      <c r="W175" s="328">
        <v>0</v>
      </c>
      <c r="X175" s="328">
        <v>0</v>
      </c>
      <c r="Y175" s="328">
        <v>0</v>
      </c>
      <c r="Z175" s="328">
        <v>0</v>
      </c>
      <c r="AA175" s="328">
        <v>0</v>
      </c>
      <c r="AB175" s="328">
        <v>3</v>
      </c>
      <c r="AC175" s="328">
        <v>6</v>
      </c>
      <c r="AD175" s="328">
        <v>0</v>
      </c>
      <c r="AE175" s="328">
        <v>0</v>
      </c>
      <c r="AF175" s="328">
        <v>0</v>
      </c>
      <c r="AG175" s="328">
        <v>0</v>
      </c>
      <c r="AH175" s="329">
        <f t="shared" si="5"/>
        <v>9</v>
      </c>
    </row>
    <row r="176" spans="1:34" x14ac:dyDescent="0.2">
      <c r="A176" s="20" t="str">
        <f>'School Level Inst. Resources'!A176</f>
        <v>1101000</v>
      </c>
      <c r="B176" s="20" t="str">
        <f>'School Level Inst. Resources'!B176</f>
        <v>Laramie #1</v>
      </c>
      <c r="C176" s="20" t="str">
        <f>'School Level Inst. Resources'!C176</f>
        <v>1101051</v>
      </c>
      <c r="D176" s="20" t="str">
        <f>'School Level Inst. Resources'!D176</f>
        <v>Johnson Junior High School</v>
      </c>
      <c r="E176" s="138" t="str">
        <f>'School Level Inst. Resources'!E176</f>
        <v>7-8</v>
      </c>
      <c r="F176" s="328">
        <v>0</v>
      </c>
      <c r="G176" s="328">
        <v>0</v>
      </c>
      <c r="H176" s="328">
        <v>0</v>
      </c>
      <c r="I176" s="328">
        <v>0</v>
      </c>
      <c r="J176" s="328">
        <v>0</v>
      </c>
      <c r="K176" s="328">
        <v>0</v>
      </c>
      <c r="L176" s="328">
        <v>0</v>
      </c>
      <c r="M176" s="328">
        <v>265</v>
      </c>
      <c r="N176" s="328">
        <v>234</v>
      </c>
      <c r="O176" s="328">
        <v>0</v>
      </c>
      <c r="P176" s="328">
        <v>0</v>
      </c>
      <c r="Q176" s="328">
        <v>0</v>
      </c>
      <c r="R176" s="328">
        <v>0</v>
      </c>
      <c r="S176" s="329">
        <f t="shared" si="6"/>
        <v>499</v>
      </c>
      <c r="T176" s="327"/>
      <c r="U176" s="328">
        <v>0</v>
      </c>
      <c r="V176" s="328">
        <v>0</v>
      </c>
      <c r="W176" s="328">
        <v>0</v>
      </c>
      <c r="X176" s="328">
        <v>0</v>
      </c>
      <c r="Y176" s="328">
        <v>0</v>
      </c>
      <c r="Z176" s="328">
        <v>0</v>
      </c>
      <c r="AA176" s="328">
        <v>0</v>
      </c>
      <c r="AB176" s="328">
        <v>8</v>
      </c>
      <c r="AC176" s="328">
        <v>10</v>
      </c>
      <c r="AD176" s="328">
        <v>0</v>
      </c>
      <c r="AE176" s="328">
        <v>0</v>
      </c>
      <c r="AF176" s="328">
        <v>0</v>
      </c>
      <c r="AG176" s="328">
        <v>0</v>
      </c>
      <c r="AH176" s="329">
        <f t="shared" si="5"/>
        <v>18</v>
      </c>
    </row>
    <row r="177" spans="1:34" x14ac:dyDescent="0.2">
      <c r="A177" s="20" t="str">
        <f>'School Level Inst. Resources'!A177</f>
        <v>1101000</v>
      </c>
      <c r="B177" s="20" t="str">
        <f>'School Level Inst. Resources'!B177</f>
        <v>Laramie #1</v>
      </c>
      <c r="C177" s="20" t="str">
        <f>'School Level Inst. Resources'!C177</f>
        <v>1101052</v>
      </c>
      <c r="D177" s="20" t="str">
        <f>'School Level Inst. Resources'!D177</f>
        <v>McCormick Junior High School</v>
      </c>
      <c r="E177" s="138" t="str">
        <f>'School Level Inst. Resources'!E177</f>
        <v>7-8</v>
      </c>
      <c r="F177" s="328">
        <v>0</v>
      </c>
      <c r="G177" s="328">
        <v>0</v>
      </c>
      <c r="H177" s="328">
        <v>0</v>
      </c>
      <c r="I177" s="328">
        <v>0</v>
      </c>
      <c r="J177" s="328">
        <v>0</v>
      </c>
      <c r="K177" s="328">
        <v>0</v>
      </c>
      <c r="L177" s="328">
        <v>0</v>
      </c>
      <c r="M177" s="328">
        <v>104</v>
      </c>
      <c r="N177" s="328">
        <v>84</v>
      </c>
      <c r="O177" s="328">
        <v>0</v>
      </c>
      <c r="P177" s="328">
        <v>0</v>
      </c>
      <c r="Q177" s="328">
        <v>0</v>
      </c>
      <c r="R177" s="328">
        <v>0</v>
      </c>
      <c r="S177" s="329">
        <f t="shared" si="6"/>
        <v>188</v>
      </c>
      <c r="T177" s="327"/>
      <c r="U177" s="328">
        <v>0</v>
      </c>
      <c r="V177" s="328">
        <v>0</v>
      </c>
      <c r="W177" s="328">
        <v>0</v>
      </c>
      <c r="X177" s="328">
        <v>0</v>
      </c>
      <c r="Y177" s="328">
        <v>0</v>
      </c>
      <c r="Z177" s="328">
        <v>0</v>
      </c>
      <c r="AA177" s="328">
        <v>0</v>
      </c>
      <c r="AB177" s="328">
        <v>2</v>
      </c>
      <c r="AC177" s="328">
        <v>1</v>
      </c>
      <c r="AD177" s="328">
        <v>0</v>
      </c>
      <c r="AE177" s="328">
        <v>0</v>
      </c>
      <c r="AF177" s="328">
        <v>0</v>
      </c>
      <c r="AG177" s="328">
        <v>0</v>
      </c>
      <c r="AH177" s="329">
        <f t="shared" si="5"/>
        <v>3</v>
      </c>
    </row>
    <row r="178" spans="1:34" x14ac:dyDescent="0.2">
      <c r="A178" s="20" t="str">
        <f>'School Level Inst. Resources'!A178</f>
        <v>1101000</v>
      </c>
      <c r="B178" s="20" t="str">
        <f>'School Level Inst. Resources'!B178</f>
        <v>Laramie #1</v>
      </c>
      <c r="C178" s="20" t="str">
        <f>'School Level Inst. Resources'!C178</f>
        <v>1101055</v>
      </c>
      <c r="D178" s="20" t="str">
        <f>'School Level Inst. Resources'!D178</f>
        <v>Central High School</v>
      </c>
      <c r="E178" s="138" t="str">
        <f>'School Level Inst. Resources'!E178</f>
        <v>9-12</v>
      </c>
      <c r="F178" s="328">
        <v>0</v>
      </c>
      <c r="G178" s="328">
        <v>0</v>
      </c>
      <c r="H178" s="328">
        <v>0</v>
      </c>
      <c r="I178" s="328">
        <v>0</v>
      </c>
      <c r="J178" s="328">
        <v>0</v>
      </c>
      <c r="K178" s="328">
        <v>0</v>
      </c>
      <c r="L178" s="328">
        <v>0</v>
      </c>
      <c r="M178" s="328">
        <v>0</v>
      </c>
      <c r="N178" s="328">
        <v>0</v>
      </c>
      <c r="O178" s="328">
        <v>74</v>
      </c>
      <c r="P178" s="328">
        <v>67</v>
      </c>
      <c r="Q178" s="328">
        <v>55</v>
      </c>
      <c r="R178" s="328">
        <v>44</v>
      </c>
      <c r="S178" s="329">
        <f t="shared" si="6"/>
        <v>240</v>
      </c>
      <c r="T178" s="327"/>
      <c r="U178" s="328">
        <v>0</v>
      </c>
      <c r="V178" s="328">
        <v>0</v>
      </c>
      <c r="W178" s="328">
        <v>0</v>
      </c>
      <c r="X178" s="328">
        <v>0</v>
      </c>
      <c r="Y178" s="328">
        <v>0</v>
      </c>
      <c r="Z178" s="328">
        <v>0</v>
      </c>
      <c r="AA178" s="328">
        <v>0</v>
      </c>
      <c r="AB178" s="328">
        <v>0</v>
      </c>
      <c r="AC178" s="328">
        <v>0</v>
      </c>
      <c r="AD178" s="328">
        <v>5</v>
      </c>
      <c r="AE178" s="328">
        <v>3</v>
      </c>
      <c r="AF178" s="328">
        <v>0</v>
      </c>
      <c r="AG178" s="328">
        <v>0</v>
      </c>
      <c r="AH178" s="329">
        <f t="shared" si="5"/>
        <v>8</v>
      </c>
    </row>
    <row r="179" spans="1:34" x14ac:dyDescent="0.2">
      <c r="A179" s="20" t="str">
        <f>'School Level Inst. Resources'!A179</f>
        <v>1101000</v>
      </c>
      <c r="B179" s="20" t="str">
        <f>'School Level Inst. Resources'!B179</f>
        <v>Laramie #1</v>
      </c>
      <c r="C179" s="20" t="str">
        <f>'School Level Inst. Resources'!C179</f>
        <v>1101056</v>
      </c>
      <c r="D179" s="20" t="str">
        <f>'School Level Inst. Resources'!D179</f>
        <v>East High School</v>
      </c>
      <c r="E179" s="138" t="str">
        <f>'School Level Inst. Resources'!E179</f>
        <v>9-12</v>
      </c>
      <c r="F179" s="328">
        <v>0</v>
      </c>
      <c r="G179" s="328">
        <v>0</v>
      </c>
      <c r="H179" s="328">
        <v>0</v>
      </c>
      <c r="I179" s="328">
        <v>0</v>
      </c>
      <c r="J179" s="328">
        <v>0</v>
      </c>
      <c r="K179" s="328">
        <v>0</v>
      </c>
      <c r="L179" s="328">
        <v>0</v>
      </c>
      <c r="M179" s="328">
        <v>0</v>
      </c>
      <c r="N179" s="328">
        <v>0</v>
      </c>
      <c r="O179" s="328">
        <v>167</v>
      </c>
      <c r="P179" s="328">
        <v>141</v>
      </c>
      <c r="Q179" s="328">
        <v>80</v>
      </c>
      <c r="R179" s="328">
        <v>66</v>
      </c>
      <c r="S179" s="329">
        <f t="shared" si="6"/>
        <v>454</v>
      </c>
      <c r="T179" s="327"/>
      <c r="U179" s="328">
        <v>0</v>
      </c>
      <c r="V179" s="328">
        <v>0</v>
      </c>
      <c r="W179" s="328">
        <v>0</v>
      </c>
      <c r="X179" s="328">
        <v>0</v>
      </c>
      <c r="Y179" s="328">
        <v>0</v>
      </c>
      <c r="Z179" s="328">
        <v>0</v>
      </c>
      <c r="AA179" s="328">
        <v>0</v>
      </c>
      <c r="AB179" s="328">
        <v>0</v>
      </c>
      <c r="AC179" s="328">
        <v>0</v>
      </c>
      <c r="AD179" s="328">
        <v>0</v>
      </c>
      <c r="AE179" s="328">
        <v>3</v>
      </c>
      <c r="AF179" s="328">
        <v>3</v>
      </c>
      <c r="AG179" s="328">
        <v>4</v>
      </c>
      <c r="AH179" s="329">
        <f t="shared" si="5"/>
        <v>10</v>
      </c>
    </row>
    <row r="180" spans="1:34" x14ac:dyDescent="0.2">
      <c r="A180" s="20" t="str">
        <f>'School Level Inst. Resources'!A180</f>
        <v>1101000</v>
      </c>
      <c r="B180" s="20" t="str">
        <f>'School Level Inst. Resources'!B180</f>
        <v>Laramie #1</v>
      </c>
      <c r="C180" s="20" t="str">
        <f>'School Level Inst. Resources'!C180</f>
        <v>1101057</v>
      </c>
      <c r="D180" s="20" t="str">
        <f>'School Level Inst. Resources'!D180</f>
        <v>Triumph High School</v>
      </c>
      <c r="E180" s="138" t="str">
        <f>'School Level Inst. Resources'!E180</f>
        <v>9-12</v>
      </c>
      <c r="F180" s="328">
        <v>0</v>
      </c>
      <c r="G180" s="328">
        <v>0</v>
      </c>
      <c r="H180" s="328">
        <v>0</v>
      </c>
      <c r="I180" s="328">
        <v>0</v>
      </c>
      <c r="J180" s="328">
        <v>0</v>
      </c>
      <c r="K180" s="328">
        <v>0</v>
      </c>
      <c r="L180" s="328">
        <v>0</v>
      </c>
      <c r="M180" s="328">
        <v>0</v>
      </c>
      <c r="N180" s="328">
        <v>2</v>
      </c>
      <c r="O180" s="328">
        <v>45</v>
      </c>
      <c r="P180" s="328">
        <v>51</v>
      </c>
      <c r="Q180" s="328">
        <v>41</v>
      </c>
      <c r="R180" s="328">
        <v>32</v>
      </c>
      <c r="S180" s="329">
        <f t="shared" si="6"/>
        <v>171</v>
      </c>
      <c r="T180" s="327"/>
      <c r="U180" s="328">
        <v>0</v>
      </c>
      <c r="V180" s="328">
        <v>0</v>
      </c>
      <c r="W180" s="328">
        <v>0</v>
      </c>
      <c r="X180" s="328">
        <v>0</v>
      </c>
      <c r="Y180" s="328">
        <v>0</v>
      </c>
      <c r="Z180" s="328">
        <v>0</v>
      </c>
      <c r="AA180" s="328">
        <v>0</v>
      </c>
      <c r="AB180" s="328">
        <v>0</v>
      </c>
      <c r="AC180" s="328">
        <v>0</v>
      </c>
      <c r="AD180" s="328">
        <v>2</v>
      </c>
      <c r="AE180" s="328">
        <v>1</v>
      </c>
      <c r="AF180" s="328">
        <v>1</v>
      </c>
      <c r="AG180" s="328">
        <v>0</v>
      </c>
      <c r="AH180" s="329">
        <f t="shared" si="5"/>
        <v>4</v>
      </c>
    </row>
    <row r="181" spans="1:34" x14ac:dyDescent="0.2">
      <c r="A181" s="20" t="str">
        <f>'School Level Inst. Resources'!A181</f>
        <v>1101000</v>
      </c>
      <c r="B181" s="20" t="str">
        <f>'School Level Inst. Resources'!B181</f>
        <v>Laramie #1</v>
      </c>
      <c r="C181" s="20" t="str">
        <f>'School Level Inst. Resources'!C181</f>
        <v>1101058</v>
      </c>
      <c r="D181" s="20" t="str">
        <f>'School Level Inst. Resources'!D181</f>
        <v>South High School</v>
      </c>
      <c r="E181" s="138" t="str">
        <f>'School Level Inst. Resources'!E181</f>
        <v>9-12</v>
      </c>
      <c r="F181" s="328">
        <v>0</v>
      </c>
      <c r="G181" s="328">
        <v>0</v>
      </c>
      <c r="H181" s="328">
        <v>0</v>
      </c>
      <c r="I181" s="328">
        <v>0</v>
      </c>
      <c r="J181" s="328">
        <v>0</v>
      </c>
      <c r="K181" s="328">
        <v>0</v>
      </c>
      <c r="L181" s="328">
        <v>0</v>
      </c>
      <c r="M181" s="328">
        <v>0</v>
      </c>
      <c r="N181" s="328">
        <v>0</v>
      </c>
      <c r="O181" s="328">
        <v>246</v>
      </c>
      <c r="P181" s="328">
        <v>187</v>
      </c>
      <c r="Q181" s="328">
        <v>124</v>
      </c>
      <c r="R181" s="328">
        <v>110</v>
      </c>
      <c r="S181" s="329">
        <f t="shared" si="6"/>
        <v>667</v>
      </c>
      <c r="T181" s="327"/>
      <c r="U181" s="328">
        <v>0</v>
      </c>
      <c r="V181" s="328">
        <v>0</v>
      </c>
      <c r="W181" s="328">
        <v>0</v>
      </c>
      <c r="X181" s="328">
        <v>0</v>
      </c>
      <c r="Y181" s="328">
        <v>0</v>
      </c>
      <c r="Z181" s="328">
        <v>0</v>
      </c>
      <c r="AA181" s="328">
        <v>0</v>
      </c>
      <c r="AB181" s="328">
        <v>0</v>
      </c>
      <c r="AC181" s="328">
        <v>0</v>
      </c>
      <c r="AD181" s="328">
        <v>12</v>
      </c>
      <c r="AE181" s="328">
        <v>8</v>
      </c>
      <c r="AF181" s="328">
        <v>9</v>
      </c>
      <c r="AG181" s="328">
        <v>4</v>
      </c>
      <c r="AH181" s="329">
        <f t="shared" si="5"/>
        <v>33</v>
      </c>
    </row>
    <row r="182" spans="1:34" x14ac:dyDescent="0.2">
      <c r="A182" s="20" t="str">
        <f>'School Level Inst. Resources'!A182</f>
        <v>1102000</v>
      </c>
      <c r="B182" s="20" t="str">
        <f>'School Level Inst. Resources'!B182</f>
        <v>Laramie #2</v>
      </c>
      <c r="C182" s="20" t="str">
        <f>'School Level Inst. Resources'!C182</f>
        <v>1102001</v>
      </c>
      <c r="D182" s="20" t="str">
        <f>'School Level Inst. Resources'!D182</f>
        <v>Albin Elementary</v>
      </c>
      <c r="E182" s="138" t="str">
        <f>'School Level Inst. Resources'!E182</f>
        <v>K-6</v>
      </c>
      <c r="F182" s="328">
        <v>2</v>
      </c>
      <c r="G182" s="328">
        <v>3</v>
      </c>
      <c r="H182" s="328">
        <v>8</v>
      </c>
      <c r="I182" s="328">
        <v>2</v>
      </c>
      <c r="J182" s="328">
        <v>3</v>
      </c>
      <c r="K182" s="328">
        <v>3</v>
      </c>
      <c r="L182" s="328">
        <v>3</v>
      </c>
      <c r="M182" s="328">
        <v>0</v>
      </c>
      <c r="N182" s="328">
        <v>0</v>
      </c>
      <c r="O182" s="328">
        <v>0</v>
      </c>
      <c r="P182" s="328">
        <v>0</v>
      </c>
      <c r="Q182" s="328">
        <v>0</v>
      </c>
      <c r="R182" s="328">
        <v>0</v>
      </c>
      <c r="S182" s="329">
        <f t="shared" si="6"/>
        <v>24</v>
      </c>
      <c r="T182" s="327"/>
      <c r="U182" s="328">
        <v>2</v>
      </c>
      <c r="V182" s="328">
        <v>3</v>
      </c>
      <c r="W182" s="328">
        <v>6</v>
      </c>
      <c r="X182" s="328">
        <v>0</v>
      </c>
      <c r="Y182" s="328">
        <v>3</v>
      </c>
      <c r="Z182" s="328">
        <v>1</v>
      </c>
      <c r="AA182" s="328">
        <v>0</v>
      </c>
      <c r="AB182" s="328">
        <v>0</v>
      </c>
      <c r="AC182" s="328">
        <v>0</v>
      </c>
      <c r="AD182" s="328">
        <v>0</v>
      </c>
      <c r="AE182" s="328">
        <v>0</v>
      </c>
      <c r="AF182" s="328">
        <v>0</v>
      </c>
      <c r="AG182" s="328">
        <v>0</v>
      </c>
      <c r="AH182" s="329">
        <f t="shared" si="5"/>
        <v>15</v>
      </c>
    </row>
    <row r="183" spans="1:34" x14ac:dyDescent="0.2">
      <c r="A183" s="20" t="str">
        <f>'School Level Inst. Resources'!A183</f>
        <v>1102000</v>
      </c>
      <c r="B183" s="20" t="str">
        <f>'School Level Inst. Resources'!B183</f>
        <v>Laramie #2</v>
      </c>
      <c r="C183" s="20" t="str">
        <f>'School Level Inst. Resources'!C183</f>
        <v>1102002</v>
      </c>
      <c r="D183" s="20" t="str">
        <f>'School Level Inst. Resources'!D183</f>
        <v>Carpenter Elementary</v>
      </c>
      <c r="E183" s="138" t="str">
        <f>'School Level Inst. Resources'!E183</f>
        <v>K-6</v>
      </c>
      <c r="F183" s="328">
        <v>6</v>
      </c>
      <c r="G183" s="328">
        <v>5</v>
      </c>
      <c r="H183" s="328">
        <v>6</v>
      </c>
      <c r="I183" s="328">
        <v>6</v>
      </c>
      <c r="J183" s="328">
        <v>8</v>
      </c>
      <c r="K183" s="328">
        <v>4</v>
      </c>
      <c r="L183" s="328">
        <v>5</v>
      </c>
      <c r="M183" s="328">
        <v>0</v>
      </c>
      <c r="N183" s="328">
        <v>0</v>
      </c>
      <c r="O183" s="328">
        <v>0</v>
      </c>
      <c r="P183" s="328">
        <v>0</v>
      </c>
      <c r="Q183" s="328">
        <v>0</v>
      </c>
      <c r="R183" s="328">
        <v>0</v>
      </c>
      <c r="S183" s="329">
        <f t="shared" si="6"/>
        <v>40</v>
      </c>
      <c r="T183" s="327"/>
      <c r="U183" s="328">
        <v>2</v>
      </c>
      <c r="V183" s="328">
        <v>1</v>
      </c>
      <c r="W183" s="328">
        <v>1</v>
      </c>
      <c r="X183" s="328">
        <v>1</v>
      </c>
      <c r="Y183" s="328">
        <v>5</v>
      </c>
      <c r="Z183" s="328">
        <v>0</v>
      </c>
      <c r="AA183" s="328">
        <v>0</v>
      </c>
      <c r="AB183" s="328">
        <v>0</v>
      </c>
      <c r="AC183" s="328">
        <v>0</v>
      </c>
      <c r="AD183" s="328">
        <v>0</v>
      </c>
      <c r="AE183" s="328">
        <v>0</v>
      </c>
      <c r="AF183" s="328">
        <v>0</v>
      </c>
      <c r="AG183" s="328">
        <v>0</v>
      </c>
      <c r="AH183" s="329">
        <f t="shared" si="5"/>
        <v>10</v>
      </c>
    </row>
    <row r="184" spans="1:34" x14ac:dyDescent="0.2">
      <c r="A184" s="20" t="str">
        <f>'School Level Inst. Resources'!A184</f>
        <v>1102000</v>
      </c>
      <c r="B184" s="20" t="str">
        <f>'School Level Inst. Resources'!B184</f>
        <v>Laramie #2</v>
      </c>
      <c r="C184" s="20" t="str">
        <f>'School Level Inst. Resources'!C184</f>
        <v>1102004</v>
      </c>
      <c r="D184" s="20" t="str">
        <f>'School Level Inst. Resources'!D184</f>
        <v>Pine Bluffs Elementary</v>
      </c>
      <c r="E184" s="138" t="str">
        <f>'School Level Inst. Resources'!E184</f>
        <v>K-6</v>
      </c>
      <c r="F184" s="328">
        <v>5</v>
      </c>
      <c r="G184" s="328">
        <v>10</v>
      </c>
      <c r="H184" s="328">
        <v>15</v>
      </c>
      <c r="I184" s="328">
        <v>6</v>
      </c>
      <c r="J184" s="328">
        <v>8</v>
      </c>
      <c r="K184" s="328">
        <v>14</v>
      </c>
      <c r="L184" s="328">
        <v>9</v>
      </c>
      <c r="M184" s="328">
        <v>0</v>
      </c>
      <c r="N184" s="328">
        <v>0</v>
      </c>
      <c r="O184" s="328">
        <v>0</v>
      </c>
      <c r="P184" s="328">
        <v>0</v>
      </c>
      <c r="Q184" s="328">
        <v>0</v>
      </c>
      <c r="R184" s="328">
        <v>0</v>
      </c>
      <c r="S184" s="329">
        <f t="shared" si="6"/>
        <v>67</v>
      </c>
      <c r="T184" s="327"/>
      <c r="U184" s="328">
        <v>2</v>
      </c>
      <c r="V184" s="328">
        <v>2</v>
      </c>
      <c r="W184" s="328">
        <v>1</v>
      </c>
      <c r="X184" s="328">
        <v>1</v>
      </c>
      <c r="Y184" s="328">
        <v>1</v>
      </c>
      <c r="Z184" s="328">
        <v>2</v>
      </c>
      <c r="AA184" s="328">
        <v>2</v>
      </c>
      <c r="AB184" s="328">
        <v>0</v>
      </c>
      <c r="AC184" s="328">
        <v>0</v>
      </c>
      <c r="AD184" s="328">
        <v>0</v>
      </c>
      <c r="AE184" s="328">
        <v>0</v>
      </c>
      <c r="AF184" s="328">
        <v>0</v>
      </c>
      <c r="AG184" s="328">
        <v>0</v>
      </c>
      <c r="AH184" s="329">
        <f t="shared" si="5"/>
        <v>11</v>
      </c>
    </row>
    <row r="185" spans="1:34" x14ac:dyDescent="0.2">
      <c r="A185" s="20" t="str">
        <f>'School Level Inst. Resources'!A185</f>
        <v>1102000</v>
      </c>
      <c r="B185" s="20" t="str">
        <f>'School Level Inst. Resources'!B185</f>
        <v>Laramie #2</v>
      </c>
      <c r="C185" s="20" t="str">
        <f>'School Level Inst. Resources'!C185</f>
        <v>1102005</v>
      </c>
      <c r="D185" s="20" t="str">
        <f>'School Level Inst. Resources'!D185</f>
        <v>Burns Elementary</v>
      </c>
      <c r="E185" s="138" t="str">
        <f>'School Level Inst. Resources'!E185</f>
        <v>K-6</v>
      </c>
      <c r="F185" s="328">
        <v>16</v>
      </c>
      <c r="G185" s="328">
        <v>14</v>
      </c>
      <c r="H185" s="328">
        <v>13</v>
      </c>
      <c r="I185" s="328">
        <v>15</v>
      </c>
      <c r="J185" s="328">
        <v>16</v>
      </c>
      <c r="K185" s="328">
        <v>16</v>
      </c>
      <c r="L185" s="328">
        <v>18</v>
      </c>
      <c r="M185" s="328">
        <v>0</v>
      </c>
      <c r="N185" s="328">
        <v>0</v>
      </c>
      <c r="O185" s="328">
        <v>0</v>
      </c>
      <c r="P185" s="328">
        <v>0</v>
      </c>
      <c r="Q185" s="328">
        <v>0</v>
      </c>
      <c r="R185" s="328">
        <v>0</v>
      </c>
      <c r="S185" s="329">
        <f t="shared" si="6"/>
        <v>108</v>
      </c>
      <c r="T185" s="327"/>
      <c r="U185" s="328">
        <v>3</v>
      </c>
      <c r="V185" s="328">
        <v>1</v>
      </c>
      <c r="W185" s="328">
        <v>0</v>
      </c>
      <c r="X185" s="328">
        <v>2</v>
      </c>
      <c r="Y185" s="328">
        <v>0</v>
      </c>
      <c r="Z185" s="328">
        <v>0</v>
      </c>
      <c r="AA185" s="328">
        <v>0</v>
      </c>
      <c r="AB185" s="328">
        <v>0</v>
      </c>
      <c r="AC185" s="328">
        <v>0</v>
      </c>
      <c r="AD185" s="328">
        <v>0</v>
      </c>
      <c r="AE185" s="328">
        <v>0</v>
      </c>
      <c r="AF185" s="328">
        <v>0</v>
      </c>
      <c r="AG185" s="328">
        <v>0</v>
      </c>
      <c r="AH185" s="329">
        <f t="shared" si="5"/>
        <v>6</v>
      </c>
    </row>
    <row r="186" spans="1:34" x14ac:dyDescent="0.2">
      <c r="A186" s="20" t="str">
        <f>'School Level Inst. Resources'!A186</f>
        <v>1102000</v>
      </c>
      <c r="B186" s="20" t="str">
        <f>'School Level Inst. Resources'!B186</f>
        <v>Laramie #2</v>
      </c>
      <c r="C186" s="20" t="str">
        <f>'School Level Inst. Resources'!C186</f>
        <v>1102056</v>
      </c>
      <c r="D186" s="20" t="str">
        <f>'School Level Inst. Resources'!D186</f>
        <v>Burns Jr &amp; Sr High School</v>
      </c>
      <c r="E186" s="138" t="str">
        <f>'School Level Inst. Resources'!E186</f>
        <v>7-12</v>
      </c>
      <c r="F186" s="328">
        <v>0</v>
      </c>
      <c r="G186" s="328">
        <v>0</v>
      </c>
      <c r="H186" s="328">
        <v>0</v>
      </c>
      <c r="I186" s="328">
        <v>0</v>
      </c>
      <c r="J186" s="328">
        <v>0</v>
      </c>
      <c r="K186" s="328">
        <v>0</v>
      </c>
      <c r="L186" s="328">
        <v>0</v>
      </c>
      <c r="M186" s="328">
        <v>26</v>
      </c>
      <c r="N186" s="328">
        <v>28</v>
      </c>
      <c r="O186" s="328">
        <v>16</v>
      </c>
      <c r="P186" s="328">
        <v>20</v>
      </c>
      <c r="Q186" s="328">
        <v>6</v>
      </c>
      <c r="R186" s="328">
        <v>13</v>
      </c>
      <c r="S186" s="329">
        <f t="shared" si="6"/>
        <v>109</v>
      </c>
      <c r="T186" s="327"/>
      <c r="U186" s="328">
        <v>0</v>
      </c>
      <c r="V186" s="328">
        <v>0</v>
      </c>
      <c r="W186" s="328">
        <v>0</v>
      </c>
      <c r="X186" s="328">
        <v>0</v>
      </c>
      <c r="Y186" s="328">
        <v>0</v>
      </c>
      <c r="Z186" s="328">
        <v>0</v>
      </c>
      <c r="AA186" s="328">
        <v>0</v>
      </c>
      <c r="AB186" s="328">
        <v>2</v>
      </c>
      <c r="AC186" s="328">
        <v>2</v>
      </c>
      <c r="AD186" s="328">
        <v>1</v>
      </c>
      <c r="AE186" s="328">
        <v>3</v>
      </c>
      <c r="AF186" s="328">
        <v>1</v>
      </c>
      <c r="AG186" s="328">
        <v>0</v>
      </c>
      <c r="AH186" s="329">
        <f t="shared" si="5"/>
        <v>9</v>
      </c>
    </row>
    <row r="187" spans="1:34" x14ac:dyDescent="0.2">
      <c r="A187" s="20" t="str">
        <f>'School Level Inst. Resources'!A187</f>
        <v>1102000</v>
      </c>
      <c r="B187" s="20" t="str">
        <f>'School Level Inst. Resources'!B187</f>
        <v>Laramie #2</v>
      </c>
      <c r="C187" s="20" t="str">
        <f>'School Level Inst. Resources'!C187</f>
        <v>1102057</v>
      </c>
      <c r="D187" s="20" t="str">
        <f>'School Level Inst. Resources'!D187</f>
        <v>Pine Bluffs Jr &amp; Sr High School</v>
      </c>
      <c r="E187" s="138" t="str">
        <f>'School Level Inst. Resources'!E187</f>
        <v>7-12</v>
      </c>
      <c r="F187" s="328">
        <v>0</v>
      </c>
      <c r="G187" s="328">
        <v>0</v>
      </c>
      <c r="H187" s="328">
        <v>0</v>
      </c>
      <c r="I187" s="328">
        <v>0</v>
      </c>
      <c r="J187" s="328">
        <v>0</v>
      </c>
      <c r="K187" s="328">
        <v>0</v>
      </c>
      <c r="L187" s="328">
        <v>0</v>
      </c>
      <c r="M187" s="328">
        <v>11</v>
      </c>
      <c r="N187" s="328">
        <v>14</v>
      </c>
      <c r="O187" s="328">
        <v>13</v>
      </c>
      <c r="P187" s="328">
        <v>9</v>
      </c>
      <c r="Q187" s="328">
        <v>9</v>
      </c>
      <c r="R187" s="328">
        <v>7</v>
      </c>
      <c r="S187" s="329">
        <f t="shared" si="6"/>
        <v>63</v>
      </c>
      <c r="T187" s="327"/>
      <c r="U187" s="328">
        <v>0</v>
      </c>
      <c r="V187" s="328">
        <v>0</v>
      </c>
      <c r="W187" s="328">
        <v>0</v>
      </c>
      <c r="X187" s="328">
        <v>0</v>
      </c>
      <c r="Y187" s="328">
        <v>0</v>
      </c>
      <c r="Z187" s="328">
        <v>0</v>
      </c>
      <c r="AA187" s="328">
        <v>0</v>
      </c>
      <c r="AB187" s="328">
        <v>3</v>
      </c>
      <c r="AC187" s="328">
        <v>2</v>
      </c>
      <c r="AD187" s="328">
        <v>0</v>
      </c>
      <c r="AE187" s="328">
        <v>1</v>
      </c>
      <c r="AF187" s="328">
        <v>0</v>
      </c>
      <c r="AG187" s="328">
        <v>0</v>
      </c>
      <c r="AH187" s="329">
        <f t="shared" si="5"/>
        <v>6</v>
      </c>
    </row>
    <row r="188" spans="1:34" x14ac:dyDescent="0.2">
      <c r="A188" s="20" t="str">
        <f>'School Level Inst. Resources'!A188</f>
        <v>1201000</v>
      </c>
      <c r="B188" s="20" t="str">
        <f>'School Level Inst. Resources'!B188</f>
        <v>Lincoln #1</v>
      </c>
      <c r="C188" s="20" t="str">
        <f>'School Level Inst. Resources'!C188</f>
        <v>1201004</v>
      </c>
      <c r="D188" s="20" t="str">
        <f>'School Level Inst. Resources'!D188</f>
        <v>Kemmerer Elementary</v>
      </c>
      <c r="E188" s="138" t="str">
        <f>'School Level Inst. Resources'!E188</f>
        <v>K-2</v>
      </c>
      <c r="F188" s="328">
        <v>24</v>
      </c>
      <c r="G188" s="328">
        <v>8</v>
      </c>
      <c r="H188" s="328">
        <v>14</v>
      </c>
      <c r="I188" s="328">
        <v>0</v>
      </c>
      <c r="J188" s="328">
        <v>0</v>
      </c>
      <c r="K188" s="328">
        <v>0</v>
      </c>
      <c r="L188" s="328">
        <v>0</v>
      </c>
      <c r="M188" s="328">
        <v>0</v>
      </c>
      <c r="N188" s="328">
        <v>0</v>
      </c>
      <c r="O188" s="328">
        <v>0</v>
      </c>
      <c r="P188" s="328">
        <v>0</v>
      </c>
      <c r="Q188" s="328">
        <v>0</v>
      </c>
      <c r="R188" s="328">
        <v>0</v>
      </c>
      <c r="S188" s="329">
        <f t="shared" si="6"/>
        <v>46</v>
      </c>
      <c r="T188" s="327"/>
      <c r="U188" s="328">
        <v>2</v>
      </c>
      <c r="V188" s="328">
        <v>0</v>
      </c>
      <c r="W188" s="328">
        <v>1</v>
      </c>
      <c r="X188" s="328">
        <v>0</v>
      </c>
      <c r="Y188" s="328">
        <v>0</v>
      </c>
      <c r="Z188" s="328">
        <v>0</v>
      </c>
      <c r="AA188" s="328">
        <v>0</v>
      </c>
      <c r="AB188" s="328">
        <v>0</v>
      </c>
      <c r="AC188" s="328">
        <v>0</v>
      </c>
      <c r="AD188" s="328">
        <v>0</v>
      </c>
      <c r="AE188" s="328">
        <v>0</v>
      </c>
      <c r="AF188" s="328">
        <v>0</v>
      </c>
      <c r="AG188" s="328">
        <v>0</v>
      </c>
      <c r="AH188" s="329">
        <f t="shared" si="5"/>
        <v>3</v>
      </c>
    </row>
    <row r="189" spans="1:34" x14ac:dyDescent="0.2">
      <c r="A189" s="20" t="str">
        <f>'School Level Inst. Resources'!A189</f>
        <v>1201000</v>
      </c>
      <c r="B189" s="20" t="str">
        <f>'School Level Inst. Resources'!B189</f>
        <v>Lincoln #1</v>
      </c>
      <c r="C189" s="20" t="str">
        <f>'School Level Inst. Resources'!C189</f>
        <v>1201051</v>
      </c>
      <c r="D189" s="20" t="str">
        <f>'School Level Inst. Resources'!D189</f>
        <v>Canyon Elementary School</v>
      </c>
      <c r="E189" s="138" t="str">
        <f>'School Level Inst. Resources'!E189</f>
        <v>3-6</v>
      </c>
      <c r="F189" s="328">
        <v>0</v>
      </c>
      <c r="G189" s="328">
        <v>0</v>
      </c>
      <c r="H189" s="328">
        <v>0</v>
      </c>
      <c r="I189" s="328">
        <v>13</v>
      </c>
      <c r="J189" s="328">
        <v>14</v>
      </c>
      <c r="K189" s="328">
        <v>11</v>
      </c>
      <c r="L189" s="328">
        <v>17</v>
      </c>
      <c r="M189" s="328">
        <v>0</v>
      </c>
      <c r="N189" s="328">
        <v>0</v>
      </c>
      <c r="O189" s="328">
        <v>0</v>
      </c>
      <c r="P189" s="328">
        <v>0</v>
      </c>
      <c r="Q189" s="328">
        <v>0</v>
      </c>
      <c r="R189" s="328">
        <v>0</v>
      </c>
      <c r="S189" s="329">
        <f t="shared" si="6"/>
        <v>55</v>
      </c>
      <c r="T189" s="327"/>
      <c r="U189" s="328">
        <v>0</v>
      </c>
      <c r="V189" s="328">
        <v>0</v>
      </c>
      <c r="W189" s="328">
        <v>0</v>
      </c>
      <c r="X189" s="328">
        <v>1</v>
      </c>
      <c r="Y189" s="328">
        <v>0</v>
      </c>
      <c r="Z189" s="328">
        <v>2</v>
      </c>
      <c r="AA189" s="328">
        <v>2</v>
      </c>
      <c r="AB189" s="328">
        <v>0</v>
      </c>
      <c r="AC189" s="328">
        <v>0</v>
      </c>
      <c r="AD189" s="328">
        <v>0</v>
      </c>
      <c r="AE189" s="328">
        <v>0</v>
      </c>
      <c r="AF189" s="328">
        <v>0</v>
      </c>
      <c r="AG189" s="328">
        <v>0</v>
      </c>
      <c r="AH189" s="329">
        <f t="shared" si="5"/>
        <v>5</v>
      </c>
    </row>
    <row r="190" spans="1:34" x14ac:dyDescent="0.2">
      <c r="A190" s="20" t="str">
        <f>'School Level Inst. Resources'!A190</f>
        <v>1201000</v>
      </c>
      <c r="B190" s="20" t="str">
        <f>'School Level Inst. Resources'!B190</f>
        <v>Lincoln #1</v>
      </c>
      <c r="C190" s="20" t="str">
        <f>'School Level Inst. Resources'!C190</f>
        <v>1201056</v>
      </c>
      <c r="D190" s="20" t="str">
        <f>'School Level Inst. Resources'!D190</f>
        <v>New Frontier High School</v>
      </c>
      <c r="E190" s="138" t="str">
        <f>'School Level Inst. Resources'!E190</f>
        <v>7-12</v>
      </c>
      <c r="F190" s="328">
        <v>0</v>
      </c>
      <c r="G190" s="328">
        <v>0</v>
      </c>
      <c r="H190" s="328">
        <v>0</v>
      </c>
      <c r="I190" s="328">
        <v>0</v>
      </c>
      <c r="J190" s="328">
        <v>0</v>
      </c>
      <c r="K190" s="328">
        <v>0</v>
      </c>
      <c r="L190" s="328">
        <v>0</v>
      </c>
      <c r="M190" s="328">
        <v>0</v>
      </c>
      <c r="N190" s="328">
        <v>0</v>
      </c>
      <c r="O190" s="328">
        <v>1</v>
      </c>
      <c r="P190" s="328">
        <v>2</v>
      </c>
      <c r="Q190" s="328">
        <v>0</v>
      </c>
      <c r="R190" s="328">
        <v>2</v>
      </c>
      <c r="S190" s="329">
        <f t="shared" si="6"/>
        <v>5</v>
      </c>
      <c r="T190" s="327"/>
      <c r="U190" s="328">
        <v>0</v>
      </c>
      <c r="V190" s="328">
        <v>0</v>
      </c>
      <c r="W190" s="328">
        <v>0</v>
      </c>
      <c r="X190" s="328">
        <v>0</v>
      </c>
      <c r="Y190" s="328">
        <v>0</v>
      </c>
      <c r="Z190" s="328">
        <v>0</v>
      </c>
      <c r="AA190" s="328">
        <v>0</v>
      </c>
      <c r="AB190" s="328">
        <v>0</v>
      </c>
      <c r="AC190" s="328">
        <v>0</v>
      </c>
      <c r="AD190" s="328">
        <v>0</v>
      </c>
      <c r="AE190" s="328">
        <v>0</v>
      </c>
      <c r="AF190" s="328">
        <v>0</v>
      </c>
      <c r="AG190" s="328">
        <v>0</v>
      </c>
      <c r="AH190" s="329">
        <f t="shared" si="5"/>
        <v>0</v>
      </c>
    </row>
    <row r="191" spans="1:34" x14ac:dyDescent="0.2">
      <c r="A191" s="20" t="str">
        <f>'School Level Inst. Resources'!A191</f>
        <v>1201000</v>
      </c>
      <c r="B191" s="20" t="str">
        <f>'School Level Inst. Resources'!B191</f>
        <v>Lincoln #1</v>
      </c>
      <c r="C191" s="20" t="str">
        <f>'School Level Inst. Resources'!C191</f>
        <v>1201057</v>
      </c>
      <c r="D191" s="20" t="str">
        <f>'School Level Inst. Resources'!D191</f>
        <v>Kemmerer Junior Senior High School</v>
      </c>
      <c r="E191" s="138" t="str">
        <f>'School Level Inst. Resources'!E191</f>
        <v>7-12</v>
      </c>
      <c r="F191" s="328">
        <v>0</v>
      </c>
      <c r="G191" s="328">
        <v>0</v>
      </c>
      <c r="H191" s="328">
        <v>0</v>
      </c>
      <c r="I191" s="328">
        <v>0</v>
      </c>
      <c r="J191" s="328">
        <v>0</v>
      </c>
      <c r="K191" s="328">
        <v>0</v>
      </c>
      <c r="L191" s="328">
        <v>0</v>
      </c>
      <c r="M191" s="328">
        <v>8</v>
      </c>
      <c r="N191" s="328">
        <v>7</v>
      </c>
      <c r="O191" s="328">
        <v>2</v>
      </c>
      <c r="P191" s="328">
        <v>4</v>
      </c>
      <c r="Q191" s="328">
        <v>0</v>
      </c>
      <c r="R191" s="328">
        <v>3</v>
      </c>
      <c r="S191" s="329">
        <f t="shared" si="6"/>
        <v>24</v>
      </c>
      <c r="T191" s="327"/>
      <c r="U191" s="328">
        <v>0</v>
      </c>
      <c r="V191" s="328">
        <v>0</v>
      </c>
      <c r="W191" s="328">
        <v>0</v>
      </c>
      <c r="X191" s="328">
        <v>0</v>
      </c>
      <c r="Y191" s="328">
        <v>0</v>
      </c>
      <c r="Z191" s="328">
        <v>0</v>
      </c>
      <c r="AA191" s="328">
        <v>0</v>
      </c>
      <c r="AB191" s="328">
        <v>0</v>
      </c>
      <c r="AC191" s="328">
        <v>1</v>
      </c>
      <c r="AD191" s="328">
        <v>0</v>
      </c>
      <c r="AE191" s="328">
        <v>0</v>
      </c>
      <c r="AF191" s="328">
        <v>0</v>
      </c>
      <c r="AG191" s="328">
        <v>0</v>
      </c>
      <c r="AH191" s="329">
        <f t="shared" si="5"/>
        <v>1</v>
      </c>
    </row>
    <row r="192" spans="1:34" x14ac:dyDescent="0.2">
      <c r="A192" s="20" t="str">
        <f>'School Level Inst. Resources'!A192</f>
        <v>1202000</v>
      </c>
      <c r="B192" s="20" t="str">
        <f>'School Level Inst. Resources'!B192</f>
        <v>Lincoln #2</v>
      </c>
      <c r="C192" s="20" t="str">
        <f>'School Level Inst. Resources'!C192</f>
        <v>1202001</v>
      </c>
      <c r="D192" s="20" t="str">
        <f>'School Level Inst. Resources'!D192</f>
        <v>Afton Elementary</v>
      </c>
      <c r="E192" s="138" t="str">
        <f>'School Level Inst. Resources'!E192</f>
        <v>K-3</v>
      </c>
      <c r="F192" s="328">
        <v>37</v>
      </c>
      <c r="G192" s="328">
        <v>38</v>
      </c>
      <c r="H192" s="328">
        <v>45</v>
      </c>
      <c r="I192" s="328">
        <v>43</v>
      </c>
      <c r="J192" s="328">
        <v>0</v>
      </c>
      <c r="K192" s="328">
        <v>0</v>
      </c>
      <c r="L192" s="328">
        <v>0</v>
      </c>
      <c r="M192" s="328">
        <v>0</v>
      </c>
      <c r="N192" s="328">
        <v>0</v>
      </c>
      <c r="O192" s="328">
        <v>0</v>
      </c>
      <c r="P192" s="328">
        <v>0</v>
      </c>
      <c r="Q192" s="328">
        <v>0</v>
      </c>
      <c r="R192" s="328">
        <v>0</v>
      </c>
      <c r="S192" s="329">
        <f t="shared" si="6"/>
        <v>163</v>
      </c>
      <c r="T192" s="327"/>
      <c r="U192" s="328">
        <v>2</v>
      </c>
      <c r="V192" s="328">
        <v>2</v>
      </c>
      <c r="W192" s="328">
        <v>3</v>
      </c>
      <c r="X192" s="328">
        <v>2</v>
      </c>
      <c r="Y192" s="328">
        <v>0</v>
      </c>
      <c r="Z192" s="328">
        <v>0</v>
      </c>
      <c r="AA192" s="328">
        <v>0</v>
      </c>
      <c r="AB192" s="328">
        <v>0</v>
      </c>
      <c r="AC192" s="328">
        <v>0</v>
      </c>
      <c r="AD192" s="328">
        <v>0</v>
      </c>
      <c r="AE192" s="328">
        <v>0</v>
      </c>
      <c r="AF192" s="328">
        <v>0</v>
      </c>
      <c r="AG192" s="328">
        <v>0</v>
      </c>
      <c r="AH192" s="329">
        <f t="shared" si="5"/>
        <v>9</v>
      </c>
    </row>
    <row r="193" spans="1:34" x14ac:dyDescent="0.2">
      <c r="A193" s="20" t="str">
        <f>'School Level Inst. Resources'!A193</f>
        <v>1202000</v>
      </c>
      <c r="B193" s="20" t="str">
        <f>'School Level Inst. Resources'!B193</f>
        <v>Lincoln #2</v>
      </c>
      <c r="C193" s="20" t="str">
        <f>'School Level Inst. Resources'!C193</f>
        <v>1202002</v>
      </c>
      <c r="D193" s="20" t="str">
        <f>'School Level Inst. Resources'!D193</f>
        <v>Cokeville Elementary</v>
      </c>
      <c r="E193" s="138" t="str">
        <f>'School Level Inst. Resources'!E193</f>
        <v>K-6</v>
      </c>
      <c r="F193" s="328">
        <v>1</v>
      </c>
      <c r="G193" s="328">
        <v>7</v>
      </c>
      <c r="H193" s="328">
        <v>8</v>
      </c>
      <c r="I193" s="328">
        <v>8</v>
      </c>
      <c r="J193" s="328">
        <v>6</v>
      </c>
      <c r="K193" s="328">
        <v>6</v>
      </c>
      <c r="L193" s="328">
        <v>8</v>
      </c>
      <c r="M193" s="328">
        <v>0</v>
      </c>
      <c r="N193" s="328">
        <v>0</v>
      </c>
      <c r="O193" s="328">
        <v>0</v>
      </c>
      <c r="P193" s="328">
        <v>0</v>
      </c>
      <c r="Q193" s="328">
        <v>0</v>
      </c>
      <c r="R193" s="328">
        <v>0</v>
      </c>
      <c r="S193" s="329">
        <f t="shared" si="6"/>
        <v>44</v>
      </c>
      <c r="T193" s="327"/>
      <c r="U193" s="328">
        <v>0</v>
      </c>
      <c r="V193" s="328">
        <v>0</v>
      </c>
      <c r="W193" s="328">
        <v>0</v>
      </c>
      <c r="X193" s="328">
        <v>0</v>
      </c>
      <c r="Y193" s="328">
        <v>0</v>
      </c>
      <c r="Z193" s="328">
        <v>0</v>
      </c>
      <c r="AA193" s="328">
        <v>0</v>
      </c>
      <c r="AB193" s="328">
        <v>0</v>
      </c>
      <c r="AC193" s="328">
        <v>0</v>
      </c>
      <c r="AD193" s="328">
        <v>0</v>
      </c>
      <c r="AE193" s="328">
        <v>0</v>
      </c>
      <c r="AF193" s="328">
        <v>0</v>
      </c>
      <c r="AG193" s="328">
        <v>0</v>
      </c>
      <c r="AH193" s="329">
        <f t="shared" si="5"/>
        <v>0</v>
      </c>
    </row>
    <row r="194" spans="1:34" x14ac:dyDescent="0.2">
      <c r="A194" s="20" t="str">
        <f>'School Level Inst. Resources'!A194</f>
        <v>1202000</v>
      </c>
      <c r="B194" s="20" t="str">
        <f>'School Level Inst. Resources'!B194</f>
        <v>Lincoln #2</v>
      </c>
      <c r="C194" s="20" t="str">
        <f>'School Level Inst. Resources'!C194</f>
        <v>1202003</v>
      </c>
      <c r="D194" s="20" t="str">
        <f>'School Level Inst. Resources'!D194</f>
        <v>Thayne Elementary</v>
      </c>
      <c r="E194" s="138" t="str">
        <f>'School Level Inst. Resources'!E194</f>
        <v>K-3</v>
      </c>
      <c r="F194" s="328">
        <v>38</v>
      </c>
      <c r="G194" s="328">
        <v>43</v>
      </c>
      <c r="H194" s="328">
        <v>33</v>
      </c>
      <c r="I194" s="328">
        <v>32</v>
      </c>
      <c r="J194" s="328">
        <v>0</v>
      </c>
      <c r="K194" s="328">
        <v>0</v>
      </c>
      <c r="L194" s="328">
        <v>0</v>
      </c>
      <c r="M194" s="328">
        <v>0</v>
      </c>
      <c r="N194" s="328">
        <v>0</v>
      </c>
      <c r="O194" s="328">
        <v>0</v>
      </c>
      <c r="P194" s="328">
        <v>0</v>
      </c>
      <c r="Q194" s="328">
        <v>0</v>
      </c>
      <c r="R194" s="328">
        <v>0</v>
      </c>
      <c r="S194" s="329">
        <f t="shared" si="6"/>
        <v>146</v>
      </c>
      <c r="T194" s="327"/>
      <c r="U194" s="328">
        <v>0</v>
      </c>
      <c r="V194" s="328">
        <v>2</v>
      </c>
      <c r="W194" s="328">
        <v>0</v>
      </c>
      <c r="X194" s="328">
        <v>2</v>
      </c>
      <c r="Y194" s="328">
        <v>0</v>
      </c>
      <c r="Z194" s="328">
        <v>0</v>
      </c>
      <c r="AA194" s="328">
        <v>0</v>
      </c>
      <c r="AB194" s="328">
        <v>0</v>
      </c>
      <c r="AC194" s="328">
        <v>0</v>
      </c>
      <c r="AD194" s="328">
        <v>0</v>
      </c>
      <c r="AE194" s="328">
        <v>0</v>
      </c>
      <c r="AF194" s="328">
        <v>0</v>
      </c>
      <c r="AG194" s="328">
        <v>0</v>
      </c>
      <c r="AH194" s="329">
        <f t="shared" si="5"/>
        <v>4</v>
      </c>
    </row>
    <row r="195" spans="1:34" x14ac:dyDescent="0.2">
      <c r="A195" s="20" t="str">
        <f>'School Level Inst. Resources'!A195</f>
        <v>1202000</v>
      </c>
      <c r="B195" s="20" t="str">
        <f>'School Level Inst. Resources'!B195</f>
        <v>Lincoln #2</v>
      </c>
      <c r="C195" s="20" t="str">
        <f>'School Level Inst. Resources'!C195</f>
        <v>1202004</v>
      </c>
      <c r="D195" s="20" t="str">
        <f>'School Level Inst. Resources'!D195</f>
        <v>Etna Elementary</v>
      </c>
      <c r="E195" s="138" t="str">
        <f>'School Level Inst. Resources'!E195</f>
        <v>4-6</v>
      </c>
      <c r="F195" s="328">
        <v>0</v>
      </c>
      <c r="G195" s="328">
        <v>0</v>
      </c>
      <c r="H195" s="328">
        <v>0</v>
      </c>
      <c r="I195" s="328">
        <v>0</v>
      </c>
      <c r="J195" s="328">
        <v>41</v>
      </c>
      <c r="K195" s="328">
        <v>28</v>
      </c>
      <c r="L195" s="328">
        <v>42</v>
      </c>
      <c r="M195" s="328">
        <v>0</v>
      </c>
      <c r="N195" s="328">
        <v>0</v>
      </c>
      <c r="O195" s="328">
        <v>0</v>
      </c>
      <c r="P195" s="328">
        <v>0</v>
      </c>
      <c r="Q195" s="328">
        <v>0</v>
      </c>
      <c r="R195" s="328">
        <v>0</v>
      </c>
      <c r="S195" s="329">
        <f t="shared" si="6"/>
        <v>111</v>
      </c>
      <c r="T195" s="327"/>
      <c r="U195" s="328">
        <v>0</v>
      </c>
      <c r="V195" s="328">
        <v>0</v>
      </c>
      <c r="W195" s="328">
        <v>0</v>
      </c>
      <c r="X195" s="328">
        <v>0</v>
      </c>
      <c r="Y195" s="328">
        <v>3</v>
      </c>
      <c r="Z195" s="328">
        <v>1</v>
      </c>
      <c r="AA195" s="328">
        <v>3</v>
      </c>
      <c r="AB195" s="328">
        <v>0</v>
      </c>
      <c r="AC195" s="328">
        <v>0</v>
      </c>
      <c r="AD195" s="328">
        <v>0</v>
      </c>
      <c r="AE195" s="328">
        <v>0</v>
      </c>
      <c r="AF195" s="328">
        <v>0</v>
      </c>
      <c r="AG195" s="328">
        <v>0</v>
      </c>
      <c r="AH195" s="329">
        <f t="shared" si="5"/>
        <v>7</v>
      </c>
    </row>
    <row r="196" spans="1:34" x14ac:dyDescent="0.2">
      <c r="A196" s="20" t="str">
        <f>'School Level Inst. Resources'!A196</f>
        <v>1202000</v>
      </c>
      <c r="B196" s="20" t="str">
        <f>'School Level Inst. Resources'!B196</f>
        <v>Lincoln #2</v>
      </c>
      <c r="C196" s="20" t="str">
        <f>'School Level Inst. Resources'!C196</f>
        <v>1202005</v>
      </c>
      <c r="D196" s="20" t="str">
        <f>'School Level Inst. Resources'!D196</f>
        <v>Osmond Elementary</v>
      </c>
      <c r="E196" s="138" t="str">
        <f>'School Level Inst. Resources'!E196</f>
        <v>4-6</v>
      </c>
      <c r="F196" s="328">
        <v>0</v>
      </c>
      <c r="G196" s="328">
        <v>0</v>
      </c>
      <c r="H196" s="328">
        <v>0</v>
      </c>
      <c r="I196" s="328">
        <v>0</v>
      </c>
      <c r="J196" s="328">
        <v>52</v>
      </c>
      <c r="K196" s="328">
        <v>41</v>
      </c>
      <c r="L196" s="328">
        <v>45</v>
      </c>
      <c r="M196" s="328">
        <v>0</v>
      </c>
      <c r="N196" s="328">
        <v>0</v>
      </c>
      <c r="O196" s="328">
        <v>0</v>
      </c>
      <c r="P196" s="328">
        <v>0</v>
      </c>
      <c r="Q196" s="328">
        <v>0</v>
      </c>
      <c r="R196" s="328">
        <v>0</v>
      </c>
      <c r="S196" s="329">
        <f t="shared" si="6"/>
        <v>138</v>
      </c>
      <c r="T196" s="327"/>
      <c r="U196" s="328">
        <v>0</v>
      </c>
      <c r="V196" s="328">
        <v>0</v>
      </c>
      <c r="W196" s="328">
        <v>0</v>
      </c>
      <c r="X196" s="328">
        <v>0</v>
      </c>
      <c r="Y196" s="328">
        <v>1</v>
      </c>
      <c r="Z196" s="328">
        <v>0</v>
      </c>
      <c r="AA196" s="328">
        <v>0</v>
      </c>
      <c r="AB196" s="328">
        <v>0</v>
      </c>
      <c r="AC196" s="328">
        <v>0</v>
      </c>
      <c r="AD196" s="328">
        <v>0</v>
      </c>
      <c r="AE196" s="328">
        <v>0</v>
      </c>
      <c r="AF196" s="328">
        <v>0</v>
      </c>
      <c r="AG196" s="328">
        <v>0</v>
      </c>
      <c r="AH196" s="329">
        <f t="shared" si="5"/>
        <v>1</v>
      </c>
    </row>
    <row r="197" spans="1:34" x14ac:dyDescent="0.2">
      <c r="A197" s="20" t="str">
        <f>'School Level Inst. Resources'!A197</f>
        <v>1202000</v>
      </c>
      <c r="B197" s="20" t="str">
        <f>'School Level Inst. Resources'!B197</f>
        <v>Lincoln #2</v>
      </c>
      <c r="C197" s="20" t="str">
        <f>'School Level Inst. Resources'!C197</f>
        <v>1202051</v>
      </c>
      <c r="D197" s="20" t="str">
        <f>'School Level Inst. Resources'!D197</f>
        <v>Star Valley Middle School</v>
      </c>
      <c r="E197" s="138" t="str">
        <f>'School Level Inst. Resources'!E197</f>
        <v>7-8</v>
      </c>
      <c r="F197" s="328">
        <v>0</v>
      </c>
      <c r="G197" s="328">
        <v>0</v>
      </c>
      <c r="H197" s="328">
        <v>0</v>
      </c>
      <c r="I197" s="328">
        <v>0</v>
      </c>
      <c r="J197" s="328">
        <v>0</v>
      </c>
      <c r="K197" s="328">
        <v>0</v>
      </c>
      <c r="L197" s="328">
        <v>0</v>
      </c>
      <c r="M197" s="328">
        <v>83</v>
      </c>
      <c r="N197" s="328">
        <v>79</v>
      </c>
      <c r="O197" s="328">
        <v>0</v>
      </c>
      <c r="P197" s="328">
        <v>0</v>
      </c>
      <c r="Q197" s="328">
        <v>0</v>
      </c>
      <c r="R197" s="328">
        <v>0</v>
      </c>
      <c r="S197" s="329">
        <f t="shared" si="6"/>
        <v>162</v>
      </c>
      <c r="T197" s="327"/>
      <c r="U197" s="328">
        <v>0</v>
      </c>
      <c r="V197" s="328">
        <v>0</v>
      </c>
      <c r="W197" s="328">
        <v>0</v>
      </c>
      <c r="X197" s="328">
        <v>0</v>
      </c>
      <c r="Y197" s="328">
        <v>0</v>
      </c>
      <c r="Z197" s="328">
        <v>0</v>
      </c>
      <c r="AA197" s="328">
        <v>0</v>
      </c>
      <c r="AB197" s="328">
        <v>4</v>
      </c>
      <c r="AC197" s="328">
        <v>3</v>
      </c>
      <c r="AD197" s="328">
        <v>0</v>
      </c>
      <c r="AE197" s="328">
        <v>0</v>
      </c>
      <c r="AF197" s="328">
        <v>0</v>
      </c>
      <c r="AG197" s="328">
        <v>0</v>
      </c>
      <c r="AH197" s="329">
        <f t="shared" si="5"/>
        <v>7</v>
      </c>
    </row>
    <row r="198" spans="1:34" x14ac:dyDescent="0.2">
      <c r="A198" s="20" t="str">
        <f>'School Level Inst. Resources'!A198</f>
        <v>1202000</v>
      </c>
      <c r="B198" s="20" t="str">
        <f>'School Level Inst. Resources'!B198</f>
        <v>Lincoln #2</v>
      </c>
      <c r="C198" s="20" t="str">
        <f>'School Level Inst. Resources'!C198</f>
        <v>1202055</v>
      </c>
      <c r="D198" s="20" t="str">
        <f>'School Level Inst. Resources'!D198</f>
        <v>Cokeville High School</v>
      </c>
      <c r="E198" s="138" t="str">
        <f>'School Level Inst. Resources'!E198</f>
        <v>7-12</v>
      </c>
      <c r="F198" s="328">
        <v>0</v>
      </c>
      <c r="G198" s="328">
        <v>0</v>
      </c>
      <c r="H198" s="328">
        <v>0</v>
      </c>
      <c r="I198" s="328">
        <v>0</v>
      </c>
      <c r="J198" s="328">
        <v>0</v>
      </c>
      <c r="K198" s="328">
        <v>0</v>
      </c>
      <c r="L198" s="328">
        <v>0</v>
      </c>
      <c r="M198" s="328">
        <v>10</v>
      </c>
      <c r="N198" s="328">
        <v>7</v>
      </c>
      <c r="O198" s="328">
        <v>5</v>
      </c>
      <c r="P198" s="328">
        <v>5</v>
      </c>
      <c r="Q198" s="328">
        <v>8</v>
      </c>
      <c r="R198" s="328">
        <v>0</v>
      </c>
      <c r="S198" s="329">
        <f t="shared" si="6"/>
        <v>35</v>
      </c>
      <c r="T198" s="327"/>
      <c r="U198" s="328">
        <v>0</v>
      </c>
      <c r="V198" s="328">
        <v>0</v>
      </c>
      <c r="W198" s="328">
        <v>0</v>
      </c>
      <c r="X198" s="328">
        <v>0</v>
      </c>
      <c r="Y198" s="328">
        <v>0</v>
      </c>
      <c r="Z198" s="328">
        <v>0</v>
      </c>
      <c r="AA198" s="328">
        <v>0</v>
      </c>
      <c r="AB198" s="328">
        <v>0</v>
      </c>
      <c r="AC198" s="328">
        <v>1</v>
      </c>
      <c r="AD198" s="328">
        <v>0</v>
      </c>
      <c r="AE198" s="328">
        <v>0</v>
      </c>
      <c r="AF198" s="328">
        <v>0</v>
      </c>
      <c r="AG198" s="328">
        <v>0</v>
      </c>
      <c r="AH198" s="329">
        <f t="shared" ref="AH198:AH261" si="7">SUM(U198:AG198)</f>
        <v>1</v>
      </c>
    </row>
    <row r="199" spans="1:34" x14ac:dyDescent="0.2">
      <c r="A199" s="20" t="str">
        <f>'School Level Inst. Resources'!A199</f>
        <v>1202000</v>
      </c>
      <c r="B199" s="20" t="str">
        <f>'School Level Inst. Resources'!B199</f>
        <v>Lincoln #2</v>
      </c>
      <c r="C199" s="20" t="str">
        <f>'School Level Inst. Resources'!C199</f>
        <v>1202056</v>
      </c>
      <c r="D199" s="20" t="str">
        <f>'School Level Inst. Resources'!D199</f>
        <v>Star Valley High School</v>
      </c>
      <c r="E199" s="138" t="str">
        <f>'School Level Inst. Resources'!E199</f>
        <v>9-12</v>
      </c>
      <c r="F199" s="328">
        <v>0</v>
      </c>
      <c r="G199" s="328">
        <v>0</v>
      </c>
      <c r="H199" s="328">
        <v>0</v>
      </c>
      <c r="I199" s="328">
        <v>0</v>
      </c>
      <c r="J199" s="328">
        <v>0</v>
      </c>
      <c r="K199" s="328">
        <v>0</v>
      </c>
      <c r="L199" s="328">
        <v>0</v>
      </c>
      <c r="M199" s="328">
        <v>0</v>
      </c>
      <c r="N199" s="328">
        <v>0</v>
      </c>
      <c r="O199" s="328">
        <v>64</v>
      </c>
      <c r="P199" s="328">
        <v>67</v>
      </c>
      <c r="Q199" s="328">
        <v>50</v>
      </c>
      <c r="R199" s="328">
        <v>48</v>
      </c>
      <c r="S199" s="329">
        <f t="shared" si="6"/>
        <v>229</v>
      </c>
      <c r="T199" s="327"/>
      <c r="U199" s="328">
        <v>0</v>
      </c>
      <c r="V199" s="328">
        <v>0</v>
      </c>
      <c r="W199" s="328">
        <v>0</v>
      </c>
      <c r="X199" s="328">
        <v>0</v>
      </c>
      <c r="Y199" s="328">
        <v>0</v>
      </c>
      <c r="Z199" s="328">
        <v>0</v>
      </c>
      <c r="AA199" s="328">
        <v>0</v>
      </c>
      <c r="AB199" s="328">
        <v>0</v>
      </c>
      <c r="AC199" s="328">
        <v>0</v>
      </c>
      <c r="AD199" s="328">
        <v>1</v>
      </c>
      <c r="AE199" s="328">
        <v>4</v>
      </c>
      <c r="AF199" s="328">
        <v>3</v>
      </c>
      <c r="AG199" s="328">
        <v>1</v>
      </c>
      <c r="AH199" s="329">
        <f t="shared" si="7"/>
        <v>9</v>
      </c>
    </row>
    <row r="200" spans="1:34" x14ac:dyDescent="0.2">
      <c r="A200" s="20" t="str">
        <f>'School Level Inst. Resources'!A200</f>
        <v>1202000</v>
      </c>
      <c r="B200" s="20" t="str">
        <f>'School Level Inst. Resources'!B200</f>
        <v>Lincoln #2</v>
      </c>
      <c r="C200" s="20" t="str">
        <f>'School Level Inst. Resources'!C200</f>
        <v>1202057</v>
      </c>
      <c r="D200" s="20" t="str">
        <f>'School Level Inst. Resources'!D200</f>
        <v>Swift Creek High School</v>
      </c>
      <c r="E200" s="138" t="str">
        <f>'School Level Inst. Resources'!E200</f>
        <v>9-12</v>
      </c>
      <c r="F200" s="328">
        <v>0</v>
      </c>
      <c r="G200" s="328">
        <v>0</v>
      </c>
      <c r="H200" s="328">
        <v>0</v>
      </c>
      <c r="I200" s="328">
        <v>0</v>
      </c>
      <c r="J200" s="328">
        <v>0</v>
      </c>
      <c r="K200" s="328">
        <v>0</v>
      </c>
      <c r="L200" s="328">
        <v>0</v>
      </c>
      <c r="M200" s="328">
        <v>0</v>
      </c>
      <c r="N200" s="328">
        <v>0</v>
      </c>
      <c r="O200" s="328">
        <v>1</v>
      </c>
      <c r="P200" s="328">
        <v>15</v>
      </c>
      <c r="Q200" s="328">
        <v>12</v>
      </c>
      <c r="R200" s="328">
        <v>15</v>
      </c>
      <c r="S200" s="329">
        <f t="shared" si="6"/>
        <v>43</v>
      </c>
      <c r="T200" s="327"/>
      <c r="U200" s="328">
        <v>0</v>
      </c>
      <c r="V200" s="328">
        <v>0</v>
      </c>
      <c r="W200" s="328">
        <v>0</v>
      </c>
      <c r="X200" s="328">
        <v>0</v>
      </c>
      <c r="Y200" s="328">
        <v>0</v>
      </c>
      <c r="Z200" s="328">
        <v>0</v>
      </c>
      <c r="AA200" s="328">
        <v>0</v>
      </c>
      <c r="AB200" s="328">
        <v>0</v>
      </c>
      <c r="AC200" s="328">
        <v>0</v>
      </c>
      <c r="AD200" s="328">
        <v>0</v>
      </c>
      <c r="AE200" s="328">
        <v>1</v>
      </c>
      <c r="AF200" s="328">
        <v>0</v>
      </c>
      <c r="AG200" s="328">
        <v>0</v>
      </c>
      <c r="AH200" s="329">
        <f t="shared" si="7"/>
        <v>1</v>
      </c>
    </row>
    <row r="201" spans="1:34" x14ac:dyDescent="0.2">
      <c r="A201" s="20" t="str">
        <f>'School Level Inst. Resources'!A201</f>
        <v>1301000</v>
      </c>
      <c r="B201" s="20" t="str">
        <f>'School Level Inst. Resources'!B201</f>
        <v>Natrona #1</v>
      </c>
      <c r="C201" s="20" t="str">
        <f>'School Level Inst. Resources'!C201</f>
        <v>1301001</v>
      </c>
      <c r="D201" s="20" t="str">
        <f>'School Level Inst. Resources'!D201</f>
        <v>Alcova Elementary</v>
      </c>
      <c r="E201" s="138" t="str">
        <f>'School Level Inst. Resources'!E201</f>
        <v>K-6</v>
      </c>
      <c r="F201" s="328">
        <v>0</v>
      </c>
      <c r="G201" s="328">
        <v>0</v>
      </c>
      <c r="H201" s="328">
        <v>0</v>
      </c>
      <c r="I201" s="328">
        <v>0</v>
      </c>
      <c r="J201" s="328">
        <v>1</v>
      </c>
      <c r="K201" s="328">
        <v>0</v>
      </c>
      <c r="L201" s="328">
        <v>0</v>
      </c>
      <c r="M201" s="328">
        <v>0</v>
      </c>
      <c r="N201" s="328">
        <v>0</v>
      </c>
      <c r="O201" s="328">
        <v>0</v>
      </c>
      <c r="P201" s="328">
        <v>0</v>
      </c>
      <c r="Q201" s="328">
        <v>0</v>
      </c>
      <c r="R201" s="328">
        <v>0</v>
      </c>
      <c r="S201" s="329">
        <f t="shared" si="6"/>
        <v>1</v>
      </c>
      <c r="T201" s="327"/>
      <c r="U201" s="328">
        <v>0</v>
      </c>
      <c r="V201" s="328">
        <v>0</v>
      </c>
      <c r="W201" s="328">
        <v>0</v>
      </c>
      <c r="X201" s="328">
        <v>0</v>
      </c>
      <c r="Y201" s="328">
        <v>0</v>
      </c>
      <c r="Z201" s="328">
        <v>0</v>
      </c>
      <c r="AA201" s="328">
        <v>0</v>
      </c>
      <c r="AB201" s="328">
        <v>0</v>
      </c>
      <c r="AC201" s="328">
        <v>0</v>
      </c>
      <c r="AD201" s="328">
        <v>0</v>
      </c>
      <c r="AE201" s="328">
        <v>0</v>
      </c>
      <c r="AF201" s="328">
        <v>0</v>
      </c>
      <c r="AG201" s="328">
        <v>0</v>
      </c>
      <c r="AH201" s="329">
        <f t="shared" si="7"/>
        <v>0</v>
      </c>
    </row>
    <row r="202" spans="1:34" x14ac:dyDescent="0.2">
      <c r="A202" s="20" t="str">
        <f>'School Level Inst. Resources'!A202</f>
        <v>1301000</v>
      </c>
      <c r="B202" s="20" t="str">
        <f>'School Level Inst. Resources'!B202</f>
        <v>Natrona #1</v>
      </c>
      <c r="C202" s="20" t="str">
        <f>'School Level Inst. Resources'!C202</f>
        <v>1301002</v>
      </c>
      <c r="D202" s="20" t="str">
        <f>'School Level Inst. Resources'!D202</f>
        <v>Crest Hill Elementary</v>
      </c>
      <c r="E202" s="138" t="str">
        <f>'School Level Inst. Resources'!E202</f>
        <v>K-5</v>
      </c>
      <c r="F202" s="328">
        <v>21.263157894736842</v>
      </c>
      <c r="G202" s="328">
        <v>22.05263157894737</v>
      </c>
      <c r="H202" s="328">
        <v>16.263157894736842</v>
      </c>
      <c r="I202" s="328">
        <v>26.105263157894736</v>
      </c>
      <c r="J202" s="328">
        <v>20.157894736842106</v>
      </c>
      <c r="K202" s="328">
        <v>11.789473684210526</v>
      </c>
      <c r="L202" s="328">
        <v>0</v>
      </c>
      <c r="M202" s="328">
        <v>0</v>
      </c>
      <c r="N202" s="328">
        <v>0</v>
      </c>
      <c r="O202" s="328">
        <v>0</v>
      </c>
      <c r="P202" s="328">
        <v>0</v>
      </c>
      <c r="Q202" s="328">
        <v>0</v>
      </c>
      <c r="R202" s="328">
        <v>0</v>
      </c>
      <c r="S202" s="329">
        <f t="shared" si="6"/>
        <v>117.63157894736842</v>
      </c>
      <c r="T202" s="327"/>
      <c r="U202" s="328">
        <v>0</v>
      </c>
      <c r="V202" s="328">
        <v>0</v>
      </c>
      <c r="W202" s="328">
        <v>1</v>
      </c>
      <c r="X202" s="328">
        <v>0</v>
      </c>
      <c r="Y202" s="328">
        <v>0</v>
      </c>
      <c r="Z202" s="328">
        <v>0</v>
      </c>
      <c r="AA202" s="328">
        <v>0</v>
      </c>
      <c r="AB202" s="328">
        <v>0</v>
      </c>
      <c r="AC202" s="328">
        <v>0</v>
      </c>
      <c r="AD202" s="328">
        <v>0</v>
      </c>
      <c r="AE202" s="328">
        <v>0</v>
      </c>
      <c r="AF202" s="328">
        <v>0</v>
      </c>
      <c r="AG202" s="328">
        <v>0</v>
      </c>
      <c r="AH202" s="329">
        <f t="shared" si="7"/>
        <v>1</v>
      </c>
    </row>
    <row r="203" spans="1:34" x14ac:dyDescent="0.2">
      <c r="A203" s="20" t="str">
        <f>'School Level Inst. Resources'!A203</f>
        <v>1301000</v>
      </c>
      <c r="B203" s="20" t="str">
        <f>'School Level Inst. Resources'!B203</f>
        <v>Natrona #1</v>
      </c>
      <c r="C203" s="20" t="str">
        <f>'School Level Inst. Resources'!C203</f>
        <v>1301003</v>
      </c>
      <c r="D203" s="20" t="str">
        <f>'School Level Inst. Resources'!D203</f>
        <v>Evansville Elementary</v>
      </c>
      <c r="E203" s="138" t="str">
        <f>'School Level Inst. Resources'!E203</f>
        <v>P-5</v>
      </c>
      <c r="F203" s="328">
        <v>39.263157894736842</v>
      </c>
      <c r="G203" s="328">
        <v>28.05263157894737</v>
      </c>
      <c r="H203" s="328">
        <v>33.263157894736842</v>
      </c>
      <c r="I203" s="328">
        <v>38.10526315789474</v>
      </c>
      <c r="J203" s="328">
        <v>44.157894736842103</v>
      </c>
      <c r="K203" s="328">
        <v>34.789473684210527</v>
      </c>
      <c r="L203" s="328">
        <v>0</v>
      </c>
      <c r="M203" s="328">
        <v>0</v>
      </c>
      <c r="N203" s="328">
        <v>0</v>
      </c>
      <c r="O203" s="328">
        <v>0</v>
      </c>
      <c r="P203" s="328">
        <v>0</v>
      </c>
      <c r="Q203" s="328">
        <v>0</v>
      </c>
      <c r="R203" s="328">
        <v>0</v>
      </c>
      <c r="S203" s="329">
        <f t="shared" si="6"/>
        <v>217.63157894736844</v>
      </c>
      <c r="T203" s="327"/>
      <c r="U203" s="328">
        <v>4</v>
      </c>
      <c r="V203" s="328">
        <v>7</v>
      </c>
      <c r="W203" s="328">
        <v>7</v>
      </c>
      <c r="X203" s="328">
        <v>5</v>
      </c>
      <c r="Y203" s="328">
        <v>5</v>
      </c>
      <c r="Z203" s="328">
        <v>4</v>
      </c>
      <c r="AA203" s="328">
        <v>0</v>
      </c>
      <c r="AB203" s="328">
        <v>0</v>
      </c>
      <c r="AC203" s="328">
        <v>0</v>
      </c>
      <c r="AD203" s="328">
        <v>0</v>
      </c>
      <c r="AE203" s="328">
        <v>0</v>
      </c>
      <c r="AF203" s="328">
        <v>0</v>
      </c>
      <c r="AG203" s="328">
        <v>0</v>
      </c>
      <c r="AH203" s="329">
        <f t="shared" si="7"/>
        <v>32</v>
      </c>
    </row>
    <row r="204" spans="1:34" x14ac:dyDescent="0.2">
      <c r="A204" s="20" t="str">
        <f>'School Level Inst. Resources'!A204</f>
        <v>1301000</v>
      </c>
      <c r="B204" s="20" t="str">
        <f>'School Level Inst. Resources'!B204</f>
        <v>Natrona #1</v>
      </c>
      <c r="C204" s="20" t="str">
        <f>'School Level Inst. Resources'!C204</f>
        <v>1301005</v>
      </c>
      <c r="D204" s="20" t="str">
        <f>'School Level Inst. Resources'!D204</f>
        <v>Cottonwood Elementary</v>
      </c>
      <c r="E204" s="138" t="str">
        <f>'School Level Inst. Resources'!E204</f>
        <v>P-5</v>
      </c>
      <c r="F204" s="328">
        <v>38.263157894736842</v>
      </c>
      <c r="G204" s="328">
        <v>36.05263157894737</v>
      </c>
      <c r="H204" s="328">
        <v>36.263157894736842</v>
      </c>
      <c r="I204" s="328">
        <v>37.10526315789474</v>
      </c>
      <c r="J204" s="328">
        <v>27.157894736842106</v>
      </c>
      <c r="K204" s="328">
        <v>26.789473684210527</v>
      </c>
      <c r="L204" s="328">
        <v>0</v>
      </c>
      <c r="M204" s="328">
        <v>0</v>
      </c>
      <c r="N204" s="328">
        <v>0</v>
      </c>
      <c r="O204" s="328">
        <v>0</v>
      </c>
      <c r="P204" s="328">
        <v>0</v>
      </c>
      <c r="Q204" s="328">
        <v>0</v>
      </c>
      <c r="R204" s="328">
        <v>0</v>
      </c>
      <c r="S204" s="329">
        <f t="shared" si="6"/>
        <v>201.63157894736844</v>
      </c>
      <c r="T204" s="327"/>
      <c r="U204" s="328">
        <v>0</v>
      </c>
      <c r="V204" s="328">
        <v>1</v>
      </c>
      <c r="W204" s="328">
        <v>1</v>
      </c>
      <c r="X204" s="328">
        <v>0</v>
      </c>
      <c r="Y204" s="328">
        <v>2</v>
      </c>
      <c r="Z204" s="328">
        <v>2</v>
      </c>
      <c r="AA204" s="328">
        <v>0</v>
      </c>
      <c r="AB204" s="328">
        <v>0</v>
      </c>
      <c r="AC204" s="328">
        <v>0</v>
      </c>
      <c r="AD204" s="328">
        <v>0</v>
      </c>
      <c r="AE204" s="328">
        <v>0</v>
      </c>
      <c r="AF204" s="328">
        <v>0</v>
      </c>
      <c r="AG204" s="328">
        <v>0</v>
      </c>
      <c r="AH204" s="329">
        <f t="shared" si="7"/>
        <v>6</v>
      </c>
    </row>
    <row r="205" spans="1:34" x14ac:dyDescent="0.2">
      <c r="A205" s="20" t="str">
        <f>'School Level Inst. Resources'!A205</f>
        <v>1301000</v>
      </c>
      <c r="B205" s="20" t="str">
        <f>'School Level Inst. Resources'!B205</f>
        <v>Natrona #1</v>
      </c>
      <c r="C205" s="20" t="str">
        <f>'School Level Inst. Resources'!C205</f>
        <v>1301006</v>
      </c>
      <c r="D205" s="20" t="str">
        <f>'School Level Inst. Resources'!D205</f>
        <v>Ft. Caspar Academy</v>
      </c>
      <c r="E205" s="138" t="str">
        <f>'School Level Inst. Resources'!E205</f>
        <v>K-6</v>
      </c>
      <c r="F205" s="328">
        <v>19.263157894736842</v>
      </c>
      <c r="G205" s="328">
        <v>20.05263157894737</v>
      </c>
      <c r="H205" s="328">
        <v>17.263157894736842</v>
      </c>
      <c r="I205" s="328">
        <v>22.105263157894736</v>
      </c>
      <c r="J205" s="328">
        <v>15.157894736842106</v>
      </c>
      <c r="K205" s="328">
        <v>25.789473684210527</v>
      </c>
      <c r="L205" s="328">
        <v>0</v>
      </c>
      <c r="M205" s="328">
        <v>0</v>
      </c>
      <c r="N205" s="328">
        <v>0</v>
      </c>
      <c r="O205" s="328">
        <v>0</v>
      </c>
      <c r="P205" s="328">
        <v>0</v>
      </c>
      <c r="Q205" s="328">
        <v>0</v>
      </c>
      <c r="R205" s="328">
        <v>0</v>
      </c>
      <c r="S205" s="329">
        <f t="shared" si="6"/>
        <v>119.63157894736844</v>
      </c>
      <c r="T205" s="327"/>
      <c r="U205" s="328">
        <v>4</v>
      </c>
      <c r="V205" s="328">
        <v>1</v>
      </c>
      <c r="W205" s="328">
        <v>4</v>
      </c>
      <c r="X205" s="328">
        <v>1</v>
      </c>
      <c r="Y205" s="328">
        <v>0</v>
      </c>
      <c r="Z205" s="328">
        <v>6</v>
      </c>
      <c r="AA205" s="328">
        <v>0</v>
      </c>
      <c r="AB205" s="328">
        <v>0</v>
      </c>
      <c r="AC205" s="328">
        <v>0</v>
      </c>
      <c r="AD205" s="328">
        <v>0</v>
      </c>
      <c r="AE205" s="328">
        <v>0</v>
      </c>
      <c r="AF205" s="328">
        <v>0</v>
      </c>
      <c r="AG205" s="328">
        <v>0</v>
      </c>
      <c r="AH205" s="329">
        <f t="shared" si="7"/>
        <v>16</v>
      </c>
    </row>
    <row r="206" spans="1:34" x14ac:dyDescent="0.2">
      <c r="A206" s="20" t="str">
        <f>'School Level Inst. Resources'!A206</f>
        <v>1301000</v>
      </c>
      <c r="B206" s="20" t="str">
        <f>'School Level Inst. Resources'!B206</f>
        <v>Natrona #1</v>
      </c>
      <c r="C206" s="20" t="str">
        <f>'School Level Inst. Resources'!C206</f>
        <v>1301009</v>
      </c>
      <c r="D206" s="20" t="str">
        <f>'School Level Inst. Resources'!D206</f>
        <v>Sagewood Elementary</v>
      </c>
      <c r="E206" s="138" t="str">
        <f>'School Level Inst. Resources'!E206</f>
        <v>K-5</v>
      </c>
      <c r="F206" s="328">
        <v>26.263157894736842</v>
      </c>
      <c r="G206" s="328">
        <v>33.05263157894737</v>
      </c>
      <c r="H206" s="328">
        <v>27.263157894736842</v>
      </c>
      <c r="I206" s="328">
        <v>28.105263157894736</v>
      </c>
      <c r="J206" s="328">
        <v>22.157894736842106</v>
      </c>
      <c r="K206" s="328">
        <v>16.789473684210527</v>
      </c>
      <c r="L206" s="328">
        <v>0</v>
      </c>
      <c r="M206" s="328">
        <v>0</v>
      </c>
      <c r="N206" s="328">
        <v>0</v>
      </c>
      <c r="O206" s="328">
        <v>0</v>
      </c>
      <c r="P206" s="328">
        <v>0</v>
      </c>
      <c r="Q206" s="328">
        <v>0</v>
      </c>
      <c r="R206" s="328">
        <v>0</v>
      </c>
      <c r="S206" s="329">
        <f t="shared" si="6"/>
        <v>153.63157894736841</v>
      </c>
      <c r="T206" s="327"/>
      <c r="U206" s="328">
        <v>0</v>
      </c>
      <c r="V206" s="328">
        <v>0</v>
      </c>
      <c r="W206" s="328">
        <v>2</v>
      </c>
      <c r="X206" s="328">
        <v>1</v>
      </c>
      <c r="Y206" s="328">
        <v>1</v>
      </c>
      <c r="Z206" s="328">
        <v>0</v>
      </c>
      <c r="AA206" s="328">
        <v>0</v>
      </c>
      <c r="AB206" s="328">
        <v>0</v>
      </c>
      <c r="AC206" s="328">
        <v>0</v>
      </c>
      <c r="AD206" s="328">
        <v>0</v>
      </c>
      <c r="AE206" s="328">
        <v>0</v>
      </c>
      <c r="AF206" s="328">
        <v>0</v>
      </c>
      <c r="AG206" s="328">
        <v>0</v>
      </c>
      <c r="AH206" s="329">
        <f t="shared" si="7"/>
        <v>4</v>
      </c>
    </row>
    <row r="207" spans="1:34" x14ac:dyDescent="0.2">
      <c r="A207" s="20" t="str">
        <f>'School Level Inst. Resources'!A207</f>
        <v>1301000</v>
      </c>
      <c r="B207" s="20" t="str">
        <f>'School Level Inst. Resources'!B207</f>
        <v>Natrona #1</v>
      </c>
      <c r="C207" s="20" t="str">
        <f>'School Level Inst. Resources'!C207</f>
        <v>1301011</v>
      </c>
      <c r="D207" s="20" t="str">
        <f>'School Level Inst. Resources'!D207</f>
        <v>Manor Heights Elementary</v>
      </c>
      <c r="E207" s="138" t="str">
        <f>'School Level Inst. Resources'!E207</f>
        <v>K-6</v>
      </c>
      <c r="F207" s="328">
        <v>29.263157894736842</v>
      </c>
      <c r="G207" s="328">
        <v>24.05263157894737</v>
      </c>
      <c r="H207" s="328">
        <v>19.263157894736842</v>
      </c>
      <c r="I207" s="328">
        <v>26.105263157894736</v>
      </c>
      <c r="J207" s="328">
        <v>21.157894736842106</v>
      </c>
      <c r="K207" s="328">
        <v>17.789473684210527</v>
      </c>
      <c r="L207" s="328">
        <v>0</v>
      </c>
      <c r="M207" s="328">
        <v>0</v>
      </c>
      <c r="N207" s="328">
        <v>0</v>
      </c>
      <c r="O207" s="328">
        <v>0</v>
      </c>
      <c r="P207" s="328">
        <v>0</v>
      </c>
      <c r="Q207" s="328">
        <v>0</v>
      </c>
      <c r="R207" s="328">
        <v>0</v>
      </c>
      <c r="S207" s="329">
        <f t="shared" si="6"/>
        <v>137.63157894736844</v>
      </c>
      <c r="T207" s="327"/>
      <c r="U207" s="328">
        <v>0</v>
      </c>
      <c r="V207" s="328">
        <v>0</v>
      </c>
      <c r="W207" s="328">
        <v>1</v>
      </c>
      <c r="X207" s="328">
        <v>2</v>
      </c>
      <c r="Y207" s="328">
        <v>0</v>
      </c>
      <c r="Z207" s="328">
        <v>0</v>
      </c>
      <c r="AA207" s="328">
        <v>0</v>
      </c>
      <c r="AB207" s="328">
        <v>0</v>
      </c>
      <c r="AC207" s="328">
        <v>0</v>
      </c>
      <c r="AD207" s="328">
        <v>0</v>
      </c>
      <c r="AE207" s="328">
        <v>0</v>
      </c>
      <c r="AF207" s="328">
        <v>0</v>
      </c>
      <c r="AG207" s="328">
        <v>0</v>
      </c>
      <c r="AH207" s="329">
        <f t="shared" si="7"/>
        <v>3</v>
      </c>
    </row>
    <row r="208" spans="1:34" x14ac:dyDescent="0.2">
      <c r="A208" s="20" t="str">
        <f>'School Level Inst. Resources'!A208</f>
        <v>1301000</v>
      </c>
      <c r="B208" s="20" t="str">
        <f>'School Level Inst. Resources'!B208</f>
        <v>Natrona #1</v>
      </c>
      <c r="C208" s="20" t="str">
        <f>'School Level Inst. Resources'!C208</f>
        <v>1301014</v>
      </c>
      <c r="D208" s="20" t="str">
        <f>'School Level Inst. Resources'!D208</f>
        <v>Journey Elementary</v>
      </c>
      <c r="E208" s="138" t="str">
        <f>'School Level Inst. Resources'!E208</f>
        <v>P-5</v>
      </c>
      <c r="F208" s="328">
        <v>23.263157894736842</v>
      </c>
      <c r="G208" s="328">
        <v>21.05263157894737</v>
      </c>
      <c r="H208" s="328">
        <v>27.263157894736842</v>
      </c>
      <c r="I208" s="328">
        <v>22.105263157894736</v>
      </c>
      <c r="J208" s="328">
        <v>20.157894736842106</v>
      </c>
      <c r="K208" s="328">
        <v>22.789473684210527</v>
      </c>
      <c r="L208" s="328">
        <v>0</v>
      </c>
      <c r="M208" s="328">
        <v>0</v>
      </c>
      <c r="N208" s="328">
        <v>0</v>
      </c>
      <c r="O208" s="328">
        <v>0</v>
      </c>
      <c r="P208" s="328">
        <v>0</v>
      </c>
      <c r="Q208" s="328">
        <v>0</v>
      </c>
      <c r="R208" s="328">
        <v>0</v>
      </c>
      <c r="S208" s="329">
        <f t="shared" si="6"/>
        <v>136.63157894736844</v>
      </c>
      <c r="T208" s="327"/>
      <c r="U208" s="328">
        <v>1</v>
      </c>
      <c r="V208" s="328">
        <v>1</v>
      </c>
      <c r="W208" s="328">
        <v>0</v>
      </c>
      <c r="X208" s="328">
        <v>2</v>
      </c>
      <c r="Y208" s="328">
        <v>1</v>
      </c>
      <c r="Z208" s="328">
        <v>1</v>
      </c>
      <c r="AA208" s="328">
        <v>0</v>
      </c>
      <c r="AB208" s="328">
        <v>0</v>
      </c>
      <c r="AC208" s="328">
        <v>0</v>
      </c>
      <c r="AD208" s="328">
        <v>0</v>
      </c>
      <c r="AE208" s="328">
        <v>0</v>
      </c>
      <c r="AF208" s="328">
        <v>0</v>
      </c>
      <c r="AG208" s="328">
        <v>0</v>
      </c>
      <c r="AH208" s="329">
        <f t="shared" si="7"/>
        <v>6</v>
      </c>
    </row>
    <row r="209" spans="1:34" x14ac:dyDescent="0.2">
      <c r="A209" s="20" t="str">
        <f>'School Level Inst. Resources'!A209</f>
        <v>1301000</v>
      </c>
      <c r="B209" s="20" t="str">
        <f>'School Level Inst. Resources'!B209</f>
        <v>Natrona #1</v>
      </c>
      <c r="C209" s="20" t="str">
        <f>'School Level Inst. Resources'!C209</f>
        <v>1301015</v>
      </c>
      <c r="D209" s="20" t="str">
        <f>'School Level Inst. Resources'!D209</f>
        <v>Mountain View Elementary</v>
      </c>
      <c r="E209" s="138" t="str">
        <f>'School Level Inst. Resources'!E209</f>
        <v>P-5</v>
      </c>
      <c r="F209" s="328">
        <v>22.263157894736842</v>
      </c>
      <c r="G209" s="328">
        <v>26.05263157894737</v>
      </c>
      <c r="H209" s="328">
        <v>19.263157894736842</v>
      </c>
      <c r="I209" s="328">
        <v>27.105263157894736</v>
      </c>
      <c r="J209" s="328">
        <v>30.157894736842106</v>
      </c>
      <c r="K209" s="328">
        <v>22.789473684210527</v>
      </c>
      <c r="L209" s="328">
        <v>0</v>
      </c>
      <c r="M209" s="328">
        <v>0</v>
      </c>
      <c r="N209" s="328">
        <v>0</v>
      </c>
      <c r="O209" s="328">
        <v>0</v>
      </c>
      <c r="P209" s="328">
        <v>0</v>
      </c>
      <c r="Q209" s="328">
        <v>0</v>
      </c>
      <c r="R209" s="328">
        <v>0</v>
      </c>
      <c r="S209" s="329">
        <f t="shared" si="6"/>
        <v>147.63157894736844</v>
      </c>
      <c r="T209" s="327"/>
      <c r="U209" s="328">
        <v>0</v>
      </c>
      <c r="V209" s="328">
        <v>3</v>
      </c>
      <c r="W209" s="328">
        <v>1</v>
      </c>
      <c r="X209" s="328">
        <v>1</v>
      </c>
      <c r="Y209" s="328">
        <v>1</v>
      </c>
      <c r="Z209" s="328">
        <v>1</v>
      </c>
      <c r="AA209" s="328">
        <v>0</v>
      </c>
      <c r="AB209" s="328">
        <v>0</v>
      </c>
      <c r="AC209" s="328">
        <v>0</v>
      </c>
      <c r="AD209" s="328">
        <v>0</v>
      </c>
      <c r="AE209" s="328">
        <v>0</v>
      </c>
      <c r="AF209" s="328">
        <v>0</v>
      </c>
      <c r="AG209" s="328">
        <v>0</v>
      </c>
      <c r="AH209" s="329">
        <f t="shared" si="7"/>
        <v>7</v>
      </c>
    </row>
    <row r="210" spans="1:34" x14ac:dyDescent="0.2">
      <c r="A210" s="20" t="str">
        <f>'School Level Inst. Resources'!A210</f>
        <v>1301000</v>
      </c>
      <c r="B210" s="20" t="str">
        <f>'School Level Inst. Resources'!B210</f>
        <v>Natrona #1</v>
      </c>
      <c r="C210" s="20" t="str">
        <f>'School Level Inst. Resources'!C210</f>
        <v>1301016</v>
      </c>
      <c r="D210" s="20" t="str">
        <f>'School Level Inst. Resources'!D210</f>
        <v>Lincoln Elementary School</v>
      </c>
      <c r="E210" s="138" t="str">
        <f>'School Level Inst. Resources'!E210</f>
        <v>P-5</v>
      </c>
      <c r="F210" s="328">
        <v>47.263157894736842</v>
      </c>
      <c r="G210" s="328">
        <v>37.05263157894737</v>
      </c>
      <c r="H210" s="328">
        <v>34.263157894736842</v>
      </c>
      <c r="I210" s="328">
        <v>41.10526315789474</v>
      </c>
      <c r="J210" s="328">
        <v>51.157894736842103</v>
      </c>
      <c r="K210" s="328">
        <v>35.789473684210527</v>
      </c>
      <c r="L210" s="328">
        <v>0</v>
      </c>
      <c r="M210" s="328">
        <v>0</v>
      </c>
      <c r="N210" s="328">
        <v>0</v>
      </c>
      <c r="O210" s="328">
        <v>0</v>
      </c>
      <c r="P210" s="328">
        <v>0</v>
      </c>
      <c r="Q210" s="328">
        <v>0</v>
      </c>
      <c r="R210" s="328">
        <v>0</v>
      </c>
      <c r="S210" s="329">
        <f t="shared" si="6"/>
        <v>246.63157894736844</v>
      </c>
      <c r="T210" s="327"/>
      <c r="U210" s="328">
        <v>10</v>
      </c>
      <c r="V210" s="328">
        <v>14</v>
      </c>
      <c r="W210" s="328">
        <v>14</v>
      </c>
      <c r="X210" s="328">
        <v>10</v>
      </c>
      <c r="Y210" s="328">
        <v>15</v>
      </c>
      <c r="Z210" s="328">
        <v>13</v>
      </c>
      <c r="AA210" s="328">
        <v>0</v>
      </c>
      <c r="AB210" s="328">
        <v>0</v>
      </c>
      <c r="AC210" s="328">
        <v>0</v>
      </c>
      <c r="AD210" s="328">
        <v>0</v>
      </c>
      <c r="AE210" s="328">
        <v>0</v>
      </c>
      <c r="AF210" s="328">
        <v>0</v>
      </c>
      <c r="AG210" s="328">
        <v>0</v>
      </c>
      <c r="AH210" s="329">
        <f t="shared" si="7"/>
        <v>76</v>
      </c>
    </row>
    <row r="211" spans="1:34" x14ac:dyDescent="0.2">
      <c r="A211" s="20" t="str">
        <f>'School Level Inst. Resources'!A211</f>
        <v>1301000</v>
      </c>
      <c r="B211" s="20" t="str">
        <f>'School Level Inst. Resources'!B211</f>
        <v>Natrona #1</v>
      </c>
      <c r="C211" s="20" t="str">
        <f>'School Level Inst. Resources'!C211</f>
        <v>1301017</v>
      </c>
      <c r="D211" s="20" t="str">
        <f>'School Level Inst. Resources'!D211</f>
        <v>Paradise Valley Elementary</v>
      </c>
      <c r="E211" s="138" t="str">
        <f>'School Level Inst. Resources'!E211</f>
        <v>P-6</v>
      </c>
      <c r="F211" s="328">
        <v>28.263157894736842</v>
      </c>
      <c r="G211" s="328">
        <v>23.05263157894737</v>
      </c>
      <c r="H211" s="328">
        <v>31.263157894736842</v>
      </c>
      <c r="I211" s="328">
        <v>30.105263157894736</v>
      </c>
      <c r="J211" s="328">
        <v>32.157894736842103</v>
      </c>
      <c r="K211" s="328">
        <v>30.789473684210527</v>
      </c>
      <c r="L211" s="328">
        <v>0</v>
      </c>
      <c r="M211" s="328">
        <v>0</v>
      </c>
      <c r="N211" s="328">
        <v>0</v>
      </c>
      <c r="O211" s="328">
        <v>0</v>
      </c>
      <c r="P211" s="328">
        <v>0</v>
      </c>
      <c r="Q211" s="328">
        <v>0</v>
      </c>
      <c r="R211" s="328">
        <v>0</v>
      </c>
      <c r="S211" s="329">
        <f t="shared" si="6"/>
        <v>175.63157894736841</v>
      </c>
      <c r="T211" s="327"/>
      <c r="U211" s="328">
        <v>3</v>
      </c>
      <c r="V211" s="328">
        <v>1</v>
      </c>
      <c r="W211" s="328">
        <v>0</v>
      </c>
      <c r="X211" s="328">
        <v>4</v>
      </c>
      <c r="Y211" s="328">
        <v>0</v>
      </c>
      <c r="Z211" s="328">
        <v>3</v>
      </c>
      <c r="AA211" s="328">
        <v>0</v>
      </c>
      <c r="AB211" s="328">
        <v>0</v>
      </c>
      <c r="AC211" s="328">
        <v>0</v>
      </c>
      <c r="AD211" s="328">
        <v>0</v>
      </c>
      <c r="AE211" s="328">
        <v>0</v>
      </c>
      <c r="AF211" s="328">
        <v>0</v>
      </c>
      <c r="AG211" s="328">
        <v>0</v>
      </c>
      <c r="AH211" s="329">
        <f t="shared" si="7"/>
        <v>11</v>
      </c>
    </row>
    <row r="212" spans="1:34" x14ac:dyDescent="0.2">
      <c r="A212" s="20" t="str">
        <f>'School Level Inst. Resources'!A212</f>
        <v>1301000</v>
      </c>
      <c r="B212" s="20" t="str">
        <f>'School Level Inst. Resources'!B212</f>
        <v>Natrona #1</v>
      </c>
      <c r="C212" s="20" t="str">
        <f>'School Level Inst. Resources'!C212</f>
        <v>1301018</v>
      </c>
      <c r="D212" s="20" t="str">
        <f>'School Level Inst. Resources'!D212</f>
        <v>Park Elementary</v>
      </c>
      <c r="E212" s="138" t="str">
        <f>'School Level Inst. Resources'!E212</f>
        <v>K-6</v>
      </c>
      <c r="F212" s="328">
        <v>17.263157894736842</v>
      </c>
      <c r="G212" s="328">
        <v>13.052631578947368</v>
      </c>
      <c r="H212" s="328">
        <v>17.263157894736842</v>
      </c>
      <c r="I212" s="328">
        <v>15.105263157894736</v>
      </c>
      <c r="J212" s="328">
        <v>15.157894736842106</v>
      </c>
      <c r="K212" s="328">
        <v>15.789473684210526</v>
      </c>
      <c r="L212" s="328">
        <v>0</v>
      </c>
      <c r="M212" s="328">
        <v>0</v>
      </c>
      <c r="N212" s="328">
        <v>0</v>
      </c>
      <c r="O212" s="328">
        <v>0</v>
      </c>
      <c r="P212" s="328">
        <v>0</v>
      </c>
      <c r="Q212" s="328">
        <v>0</v>
      </c>
      <c r="R212" s="328">
        <v>0</v>
      </c>
      <c r="S212" s="329">
        <f t="shared" si="6"/>
        <v>93.631578947368425</v>
      </c>
      <c r="T212" s="327"/>
      <c r="U212" s="328">
        <v>0</v>
      </c>
      <c r="V212" s="328">
        <v>1</v>
      </c>
      <c r="W212" s="328">
        <v>0</v>
      </c>
      <c r="X212" s="328">
        <v>0</v>
      </c>
      <c r="Y212" s="328">
        <v>0</v>
      </c>
      <c r="Z212" s="328">
        <v>0</v>
      </c>
      <c r="AA212" s="328">
        <v>0</v>
      </c>
      <c r="AB212" s="328">
        <v>0</v>
      </c>
      <c r="AC212" s="328">
        <v>0</v>
      </c>
      <c r="AD212" s="328">
        <v>0</v>
      </c>
      <c r="AE212" s="328">
        <v>0</v>
      </c>
      <c r="AF212" s="328">
        <v>0</v>
      </c>
      <c r="AG212" s="328">
        <v>0</v>
      </c>
      <c r="AH212" s="329">
        <f t="shared" si="7"/>
        <v>1</v>
      </c>
    </row>
    <row r="213" spans="1:34" x14ac:dyDescent="0.2">
      <c r="A213" s="20" t="str">
        <f>'School Level Inst. Resources'!A213</f>
        <v>1301000</v>
      </c>
      <c r="B213" s="20" t="str">
        <f>'School Level Inst. Resources'!B213</f>
        <v>Natrona #1</v>
      </c>
      <c r="C213" s="20" t="str">
        <f>'School Level Inst. Resources'!C213</f>
        <v>1301019</v>
      </c>
      <c r="D213" s="20" t="str">
        <f>'School Level Inst. Resources'!D213</f>
        <v>Pineview Elementary</v>
      </c>
      <c r="E213" s="138" t="str">
        <f>'School Level Inst. Resources'!E213</f>
        <v>P-6</v>
      </c>
      <c r="F213" s="328">
        <v>22.263157894736842</v>
      </c>
      <c r="G213" s="328">
        <v>20.05263157894737</v>
      </c>
      <c r="H213" s="328">
        <v>22.263157894736842</v>
      </c>
      <c r="I213" s="328">
        <v>26.105263157894736</v>
      </c>
      <c r="J213" s="328">
        <v>33.157894736842103</v>
      </c>
      <c r="K213" s="328">
        <v>27.789473684210527</v>
      </c>
      <c r="L213" s="328">
        <v>0</v>
      </c>
      <c r="M213" s="328">
        <v>0</v>
      </c>
      <c r="N213" s="328">
        <v>0</v>
      </c>
      <c r="O213" s="328">
        <v>0</v>
      </c>
      <c r="P213" s="328">
        <v>0</v>
      </c>
      <c r="Q213" s="328">
        <v>0</v>
      </c>
      <c r="R213" s="328">
        <v>0</v>
      </c>
      <c r="S213" s="329">
        <f t="shared" si="6"/>
        <v>151.63157894736841</v>
      </c>
      <c r="T213" s="327"/>
      <c r="U213" s="328">
        <v>3</v>
      </c>
      <c r="V213" s="328">
        <v>0</v>
      </c>
      <c r="W213" s="328">
        <v>0</v>
      </c>
      <c r="X213" s="328">
        <v>1</v>
      </c>
      <c r="Y213" s="328">
        <v>0</v>
      </c>
      <c r="Z213" s="328">
        <v>0</v>
      </c>
      <c r="AA213" s="328">
        <v>0</v>
      </c>
      <c r="AB213" s="328">
        <v>0</v>
      </c>
      <c r="AC213" s="328">
        <v>0</v>
      </c>
      <c r="AD213" s="328">
        <v>0</v>
      </c>
      <c r="AE213" s="328">
        <v>0</v>
      </c>
      <c r="AF213" s="328">
        <v>0</v>
      </c>
      <c r="AG213" s="328">
        <v>0</v>
      </c>
      <c r="AH213" s="329">
        <f t="shared" si="7"/>
        <v>4</v>
      </c>
    </row>
    <row r="214" spans="1:34" x14ac:dyDescent="0.2">
      <c r="A214" s="20" t="str">
        <f>'School Level Inst. Resources'!A214</f>
        <v>1301000</v>
      </c>
      <c r="B214" s="20" t="str">
        <f>'School Level Inst. Resources'!B214</f>
        <v>Natrona #1</v>
      </c>
      <c r="C214" s="20" t="str">
        <f>'School Level Inst. Resources'!C214</f>
        <v>1301020</v>
      </c>
      <c r="D214" s="20" t="str">
        <f>'School Level Inst. Resources'!D214</f>
        <v>Poison Spider Elementary</v>
      </c>
      <c r="E214" s="138" t="str">
        <f>'School Level Inst. Resources'!E214</f>
        <v>K-8</v>
      </c>
      <c r="F214" s="328">
        <v>8</v>
      </c>
      <c r="G214" s="328">
        <v>9</v>
      </c>
      <c r="H214" s="328">
        <v>4</v>
      </c>
      <c r="I214" s="328">
        <v>6</v>
      </c>
      <c r="J214" s="328">
        <v>12</v>
      </c>
      <c r="K214" s="328">
        <v>7</v>
      </c>
      <c r="L214" s="328">
        <v>14</v>
      </c>
      <c r="M214" s="328">
        <v>4</v>
      </c>
      <c r="N214" s="328">
        <v>13</v>
      </c>
      <c r="O214" s="328">
        <v>0</v>
      </c>
      <c r="P214" s="328">
        <v>0</v>
      </c>
      <c r="Q214" s="328">
        <v>0</v>
      </c>
      <c r="R214" s="328">
        <v>0</v>
      </c>
      <c r="S214" s="329">
        <f t="shared" si="6"/>
        <v>77</v>
      </c>
      <c r="T214" s="327"/>
      <c r="U214" s="328">
        <v>0</v>
      </c>
      <c r="V214" s="328">
        <v>0</v>
      </c>
      <c r="W214" s="328">
        <v>0</v>
      </c>
      <c r="X214" s="328">
        <v>0</v>
      </c>
      <c r="Y214" s="328">
        <v>0</v>
      </c>
      <c r="Z214" s="328">
        <v>0</v>
      </c>
      <c r="AA214" s="328">
        <v>0</v>
      </c>
      <c r="AB214" s="328">
        <v>0</v>
      </c>
      <c r="AC214" s="328">
        <v>0</v>
      </c>
      <c r="AD214" s="328">
        <v>0</v>
      </c>
      <c r="AE214" s="328">
        <v>0</v>
      </c>
      <c r="AF214" s="328">
        <v>0</v>
      </c>
      <c r="AG214" s="328">
        <v>0</v>
      </c>
      <c r="AH214" s="329">
        <f t="shared" si="7"/>
        <v>0</v>
      </c>
    </row>
    <row r="215" spans="1:34" x14ac:dyDescent="0.2">
      <c r="A215" s="20" t="str">
        <f>'School Level Inst. Resources'!A215</f>
        <v>1301000</v>
      </c>
      <c r="B215" s="20" t="str">
        <f>'School Level Inst. Resources'!B215</f>
        <v>Natrona #1</v>
      </c>
      <c r="C215" s="20" t="str">
        <f>'School Level Inst. Resources'!C215</f>
        <v>1301021</v>
      </c>
      <c r="D215" s="20" t="str">
        <f>'School Level Inst. Resources'!D215</f>
        <v>Powder River Elementary</v>
      </c>
      <c r="E215" s="138" t="str">
        <f>'School Level Inst. Resources'!E215</f>
        <v>K-6</v>
      </c>
      <c r="F215" s="328">
        <v>0</v>
      </c>
      <c r="G215" s="328">
        <v>0</v>
      </c>
      <c r="H215" s="328">
        <v>0</v>
      </c>
      <c r="I215" s="328">
        <v>1</v>
      </c>
      <c r="J215" s="328">
        <v>1</v>
      </c>
      <c r="K215" s="328">
        <v>0</v>
      </c>
      <c r="L215" s="328">
        <v>0</v>
      </c>
      <c r="M215" s="328">
        <v>0</v>
      </c>
      <c r="N215" s="328">
        <v>0</v>
      </c>
      <c r="O215" s="328">
        <v>0</v>
      </c>
      <c r="P215" s="328">
        <v>0</v>
      </c>
      <c r="Q215" s="328">
        <v>0</v>
      </c>
      <c r="R215" s="328">
        <v>0</v>
      </c>
      <c r="S215" s="329">
        <f t="shared" si="6"/>
        <v>2</v>
      </c>
      <c r="T215" s="327"/>
      <c r="U215" s="328">
        <v>0</v>
      </c>
      <c r="V215" s="328">
        <v>0</v>
      </c>
      <c r="W215" s="328">
        <v>0</v>
      </c>
      <c r="X215" s="328">
        <v>0</v>
      </c>
      <c r="Y215" s="328">
        <v>0</v>
      </c>
      <c r="Z215" s="328">
        <v>0</v>
      </c>
      <c r="AA215" s="328">
        <v>0</v>
      </c>
      <c r="AB215" s="328">
        <v>0</v>
      </c>
      <c r="AC215" s="328">
        <v>0</v>
      </c>
      <c r="AD215" s="328">
        <v>0</v>
      </c>
      <c r="AE215" s="328">
        <v>0</v>
      </c>
      <c r="AF215" s="328">
        <v>0</v>
      </c>
      <c r="AG215" s="328">
        <v>0</v>
      </c>
      <c r="AH215" s="329">
        <f t="shared" si="7"/>
        <v>0</v>
      </c>
    </row>
    <row r="216" spans="1:34" x14ac:dyDescent="0.2">
      <c r="A216" s="20" t="str">
        <f>'School Level Inst. Resources'!A216</f>
        <v>1301000</v>
      </c>
      <c r="B216" s="20" t="str">
        <f>'School Level Inst. Resources'!B216</f>
        <v>Natrona #1</v>
      </c>
      <c r="C216" s="20" t="str">
        <f>'School Level Inst. Resources'!C216</f>
        <v>1301022</v>
      </c>
      <c r="D216" s="20" t="str">
        <f>'School Level Inst. Resources'!D216</f>
        <v>Red Creek Elementary</v>
      </c>
      <c r="E216" s="138" t="str">
        <f>'School Level Inst. Resources'!E216</f>
        <v>K-6</v>
      </c>
      <c r="F216" s="328">
        <v>0</v>
      </c>
      <c r="G216" s="328">
        <v>0</v>
      </c>
      <c r="H216" s="328">
        <v>0</v>
      </c>
      <c r="I216" s="328">
        <v>0</v>
      </c>
      <c r="J216" s="328">
        <v>0</v>
      </c>
      <c r="K216" s="328">
        <v>0</v>
      </c>
      <c r="L216" s="328">
        <v>0</v>
      </c>
      <c r="M216" s="328">
        <v>0</v>
      </c>
      <c r="N216" s="328">
        <v>0</v>
      </c>
      <c r="O216" s="328">
        <v>0</v>
      </c>
      <c r="P216" s="328">
        <v>0</v>
      </c>
      <c r="Q216" s="328">
        <v>0</v>
      </c>
      <c r="R216" s="328">
        <v>0</v>
      </c>
      <c r="S216" s="329">
        <f t="shared" si="6"/>
        <v>0</v>
      </c>
      <c r="T216" s="327"/>
      <c r="U216" s="328">
        <v>0</v>
      </c>
      <c r="V216" s="328">
        <v>0</v>
      </c>
      <c r="W216" s="328">
        <v>0</v>
      </c>
      <c r="X216" s="328">
        <v>0</v>
      </c>
      <c r="Y216" s="328">
        <v>0</v>
      </c>
      <c r="Z216" s="328">
        <v>0</v>
      </c>
      <c r="AA216" s="328">
        <v>0</v>
      </c>
      <c r="AB216" s="328">
        <v>0</v>
      </c>
      <c r="AC216" s="328">
        <v>0</v>
      </c>
      <c r="AD216" s="328">
        <v>0</v>
      </c>
      <c r="AE216" s="328">
        <v>0</v>
      </c>
      <c r="AF216" s="328">
        <v>0</v>
      </c>
      <c r="AG216" s="328">
        <v>0</v>
      </c>
      <c r="AH216" s="329">
        <f t="shared" si="7"/>
        <v>0</v>
      </c>
    </row>
    <row r="217" spans="1:34" x14ac:dyDescent="0.2">
      <c r="A217" s="20" t="str">
        <f>'School Level Inst. Resources'!A217</f>
        <v>1301000</v>
      </c>
      <c r="B217" s="20" t="str">
        <f>'School Level Inst. Resources'!B217</f>
        <v>Natrona #1</v>
      </c>
      <c r="C217" s="20" t="str">
        <f>'School Level Inst. Resources'!C217</f>
        <v>1301023</v>
      </c>
      <c r="D217" s="20" t="str">
        <f>'School Level Inst. Resources'!D217</f>
        <v>Southridge Elementary</v>
      </c>
      <c r="E217" s="138" t="str">
        <f>'School Level Inst. Resources'!E217</f>
        <v>K-5</v>
      </c>
      <c r="F217" s="328">
        <v>16.263157894736842</v>
      </c>
      <c r="G217" s="328">
        <v>15.052631578947368</v>
      </c>
      <c r="H217" s="328">
        <v>11.263157894736842</v>
      </c>
      <c r="I217" s="328">
        <v>17.105263157894736</v>
      </c>
      <c r="J217" s="328">
        <v>10.157894736842106</v>
      </c>
      <c r="K217" s="328">
        <v>20.789473684210527</v>
      </c>
      <c r="L217" s="328">
        <v>0</v>
      </c>
      <c r="M217" s="328">
        <v>0</v>
      </c>
      <c r="N217" s="328">
        <v>0</v>
      </c>
      <c r="O217" s="328">
        <v>0</v>
      </c>
      <c r="P217" s="328">
        <v>0</v>
      </c>
      <c r="Q217" s="328">
        <v>0</v>
      </c>
      <c r="R217" s="328">
        <v>0</v>
      </c>
      <c r="S217" s="329">
        <f t="shared" si="6"/>
        <v>90.631578947368439</v>
      </c>
      <c r="T217" s="327"/>
      <c r="U217" s="328">
        <v>0</v>
      </c>
      <c r="V217" s="328">
        <v>0</v>
      </c>
      <c r="W217" s="328">
        <v>1</v>
      </c>
      <c r="X217" s="328">
        <v>1</v>
      </c>
      <c r="Y217" s="328">
        <v>0</v>
      </c>
      <c r="Z217" s="328">
        <v>1</v>
      </c>
      <c r="AA217" s="328">
        <v>0</v>
      </c>
      <c r="AB217" s="328">
        <v>0</v>
      </c>
      <c r="AC217" s="328">
        <v>0</v>
      </c>
      <c r="AD217" s="328">
        <v>0</v>
      </c>
      <c r="AE217" s="328">
        <v>0</v>
      </c>
      <c r="AF217" s="328">
        <v>0</v>
      </c>
      <c r="AG217" s="328">
        <v>0</v>
      </c>
      <c r="AH217" s="329">
        <f t="shared" si="7"/>
        <v>3</v>
      </c>
    </row>
    <row r="218" spans="1:34" x14ac:dyDescent="0.2">
      <c r="A218" s="20" t="str">
        <f>'School Level Inst. Resources'!A218</f>
        <v>1301000</v>
      </c>
      <c r="B218" s="20" t="str">
        <f>'School Level Inst. Resources'!B218</f>
        <v>Natrona #1</v>
      </c>
      <c r="C218" s="20" t="str">
        <f>'School Level Inst. Resources'!C218</f>
        <v>1301024</v>
      </c>
      <c r="D218" s="20" t="str">
        <f>'School Level Inst. Resources'!D218</f>
        <v>University Park Elementary</v>
      </c>
      <c r="E218" s="138" t="str">
        <f>'School Level Inst. Resources'!E218</f>
        <v>P-5</v>
      </c>
      <c r="F218" s="328">
        <v>23.263157894736842</v>
      </c>
      <c r="G218" s="328">
        <v>24.05263157894737</v>
      </c>
      <c r="H218" s="328">
        <v>22.263157894736842</v>
      </c>
      <c r="I218" s="328">
        <v>22.105263157894736</v>
      </c>
      <c r="J218" s="328">
        <v>18.157894736842106</v>
      </c>
      <c r="K218" s="328">
        <v>24.789473684210527</v>
      </c>
      <c r="L218" s="328">
        <v>0</v>
      </c>
      <c r="M218" s="328">
        <v>0</v>
      </c>
      <c r="N218" s="328">
        <v>0</v>
      </c>
      <c r="O218" s="328">
        <v>0</v>
      </c>
      <c r="P218" s="328">
        <v>0</v>
      </c>
      <c r="Q218" s="328">
        <v>0</v>
      </c>
      <c r="R218" s="328">
        <v>0</v>
      </c>
      <c r="S218" s="329">
        <f t="shared" si="6"/>
        <v>134.63157894736844</v>
      </c>
      <c r="T218" s="327"/>
      <c r="U218" s="328">
        <v>1</v>
      </c>
      <c r="V218" s="328">
        <v>3</v>
      </c>
      <c r="W218" s="328">
        <v>2</v>
      </c>
      <c r="X218" s="328">
        <v>2</v>
      </c>
      <c r="Y218" s="328">
        <v>3</v>
      </c>
      <c r="Z218" s="328">
        <v>0</v>
      </c>
      <c r="AA218" s="328">
        <v>0</v>
      </c>
      <c r="AB218" s="328">
        <v>0</v>
      </c>
      <c r="AC218" s="328">
        <v>0</v>
      </c>
      <c r="AD218" s="328">
        <v>0</v>
      </c>
      <c r="AE218" s="328">
        <v>0</v>
      </c>
      <c r="AF218" s="328">
        <v>0</v>
      </c>
      <c r="AG218" s="328">
        <v>0</v>
      </c>
      <c r="AH218" s="329">
        <f t="shared" si="7"/>
        <v>11</v>
      </c>
    </row>
    <row r="219" spans="1:34" x14ac:dyDescent="0.2">
      <c r="A219" s="20" t="str">
        <f>'School Level Inst. Resources'!A219</f>
        <v>1301000</v>
      </c>
      <c r="B219" s="20" t="str">
        <f>'School Level Inst. Resources'!B219</f>
        <v>Natrona #1</v>
      </c>
      <c r="C219" s="20" t="str">
        <f>'School Level Inst. Resources'!C219</f>
        <v>1301025</v>
      </c>
      <c r="D219" s="20" t="str">
        <f>'School Level Inst. Resources'!D219</f>
        <v>Verda James Elementary</v>
      </c>
      <c r="E219" s="138" t="str">
        <f>'School Level Inst. Resources'!E219</f>
        <v>K-5</v>
      </c>
      <c r="F219" s="328">
        <v>21.263157894736842</v>
      </c>
      <c r="G219" s="328">
        <v>17.05263157894737</v>
      </c>
      <c r="H219" s="328">
        <v>17.263157894736842</v>
      </c>
      <c r="I219" s="328">
        <v>20.105263157894736</v>
      </c>
      <c r="J219" s="328">
        <v>27.157894736842106</v>
      </c>
      <c r="K219" s="328">
        <v>19.789473684210527</v>
      </c>
      <c r="L219" s="328">
        <v>0</v>
      </c>
      <c r="M219" s="328">
        <v>0</v>
      </c>
      <c r="N219" s="328">
        <v>0</v>
      </c>
      <c r="O219" s="328">
        <v>0</v>
      </c>
      <c r="P219" s="328">
        <v>0</v>
      </c>
      <c r="Q219" s="328">
        <v>0</v>
      </c>
      <c r="R219" s="328">
        <v>0</v>
      </c>
      <c r="S219" s="329">
        <f t="shared" si="6"/>
        <v>122.63157894736844</v>
      </c>
      <c r="T219" s="327"/>
      <c r="U219" s="328">
        <v>1</v>
      </c>
      <c r="V219" s="328">
        <v>1</v>
      </c>
      <c r="W219" s="328">
        <v>1</v>
      </c>
      <c r="X219" s="328">
        <v>1</v>
      </c>
      <c r="Y219" s="328">
        <v>2</v>
      </c>
      <c r="Z219" s="328">
        <v>1</v>
      </c>
      <c r="AA219" s="328">
        <v>0</v>
      </c>
      <c r="AB219" s="328">
        <v>0</v>
      </c>
      <c r="AC219" s="328">
        <v>0</v>
      </c>
      <c r="AD219" s="328">
        <v>0</v>
      </c>
      <c r="AE219" s="328">
        <v>0</v>
      </c>
      <c r="AF219" s="328">
        <v>0</v>
      </c>
      <c r="AG219" s="328">
        <v>0</v>
      </c>
      <c r="AH219" s="329">
        <f t="shared" si="7"/>
        <v>7</v>
      </c>
    </row>
    <row r="220" spans="1:34" x14ac:dyDescent="0.2">
      <c r="A220" s="20" t="str">
        <f>'School Level Inst. Resources'!A220</f>
        <v>1301000</v>
      </c>
      <c r="B220" s="20" t="str">
        <f>'School Level Inst. Resources'!B220</f>
        <v>Natrona #1</v>
      </c>
      <c r="C220" s="20" t="str">
        <f>'School Level Inst. Resources'!C220</f>
        <v>1301027</v>
      </c>
      <c r="D220" s="20" t="str">
        <f>'School Level Inst. Resources'!D220</f>
        <v>Willard Elementary</v>
      </c>
      <c r="E220" s="138" t="str">
        <f>'School Level Inst. Resources'!E220</f>
        <v>P-5</v>
      </c>
      <c r="F220" s="328">
        <v>29.263157894736842</v>
      </c>
      <c r="G220" s="328">
        <v>20.05263157894737</v>
      </c>
      <c r="H220" s="328">
        <v>23.263157894736842</v>
      </c>
      <c r="I220" s="328">
        <v>28.105263157894736</v>
      </c>
      <c r="J220" s="328">
        <v>18.157894736842106</v>
      </c>
      <c r="K220" s="328">
        <v>22.789473684210527</v>
      </c>
      <c r="L220" s="328">
        <v>0</v>
      </c>
      <c r="M220" s="328">
        <v>0</v>
      </c>
      <c r="N220" s="328">
        <v>0</v>
      </c>
      <c r="O220" s="328">
        <v>0</v>
      </c>
      <c r="P220" s="328">
        <v>0</v>
      </c>
      <c r="Q220" s="328">
        <v>0</v>
      </c>
      <c r="R220" s="328">
        <v>0</v>
      </c>
      <c r="S220" s="329">
        <f t="shared" si="6"/>
        <v>141.63157894736844</v>
      </c>
      <c r="T220" s="327"/>
      <c r="U220" s="328">
        <v>0</v>
      </c>
      <c r="V220" s="328">
        <v>1</v>
      </c>
      <c r="W220" s="328">
        <v>0</v>
      </c>
      <c r="X220" s="328">
        <v>1</v>
      </c>
      <c r="Y220" s="328">
        <v>0</v>
      </c>
      <c r="Z220" s="328">
        <v>2</v>
      </c>
      <c r="AA220" s="328">
        <v>0</v>
      </c>
      <c r="AB220" s="328">
        <v>0</v>
      </c>
      <c r="AC220" s="328">
        <v>0</v>
      </c>
      <c r="AD220" s="328">
        <v>0</v>
      </c>
      <c r="AE220" s="328">
        <v>0</v>
      </c>
      <c r="AF220" s="328">
        <v>0</v>
      </c>
      <c r="AG220" s="328">
        <v>0</v>
      </c>
      <c r="AH220" s="329">
        <f t="shared" si="7"/>
        <v>4</v>
      </c>
    </row>
    <row r="221" spans="1:34" x14ac:dyDescent="0.2">
      <c r="A221" s="20" t="str">
        <f>'School Level Inst. Resources'!A221</f>
        <v>1301000</v>
      </c>
      <c r="B221" s="20" t="str">
        <f>'School Level Inst. Resources'!B221</f>
        <v>Natrona #1</v>
      </c>
      <c r="C221" s="20" t="str">
        <f>'School Level Inst. Resources'!C221</f>
        <v>1301029</v>
      </c>
      <c r="D221" s="20" t="str">
        <f>'School Level Inst. Resources'!D221</f>
        <v>Woods Learning Center</v>
      </c>
      <c r="E221" s="138" t="str">
        <f>'School Level Inst. Resources'!E221</f>
        <v>K-8</v>
      </c>
      <c r="F221" s="328">
        <v>5.2631578947368425</v>
      </c>
      <c r="G221" s="328">
        <v>5.0526315789473681</v>
      </c>
      <c r="H221" s="328">
        <v>5.2631578947368425</v>
      </c>
      <c r="I221" s="328">
        <v>6.1052631578947372</v>
      </c>
      <c r="J221" s="328">
        <v>6.1578947368421053</v>
      </c>
      <c r="K221" s="328">
        <v>1.7894736842105263</v>
      </c>
      <c r="L221" s="328">
        <v>5</v>
      </c>
      <c r="M221" s="328">
        <v>5</v>
      </c>
      <c r="N221" s="328">
        <v>1</v>
      </c>
      <c r="O221" s="328">
        <v>0</v>
      </c>
      <c r="P221" s="328">
        <v>0</v>
      </c>
      <c r="Q221" s="328">
        <v>0</v>
      </c>
      <c r="R221" s="328">
        <v>0</v>
      </c>
      <c r="S221" s="329">
        <f t="shared" si="6"/>
        <v>40.631578947368425</v>
      </c>
      <c r="T221" s="327"/>
      <c r="U221" s="328">
        <v>0</v>
      </c>
      <c r="V221" s="328">
        <v>1</v>
      </c>
      <c r="W221" s="328">
        <v>0</v>
      </c>
      <c r="X221" s="328">
        <v>1</v>
      </c>
      <c r="Y221" s="328">
        <v>0</v>
      </c>
      <c r="Z221" s="328">
        <v>0</v>
      </c>
      <c r="AA221" s="328">
        <v>1</v>
      </c>
      <c r="AB221" s="328">
        <v>2</v>
      </c>
      <c r="AC221" s="328">
        <v>0</v>
      </c>
      <c r="AD221" s="328">
        <v>0</v>
      </c>
      <c r="AE221" s="328">
        <v>0</v>
      </c>
      <c r="AF221" s="328">
        <v>0</v>
      </c>
      <c r="AG221" s="328">
        <v>0</v>
      </c>
      <c r="AH221" s="329">
        <f t="shared" si="7"/>
        <v>5</v>
      </c>
    </row>
    <row r="222" spans="1:34" x14ac:dyDescent="0.2">
      <c r="A222" s="20" t="str">
        <f>'School Level Inst. Resources'!A222</f>
        <v>1301000</v>
      </c>
      <c r="B222" s="20" t="str">
        <f>'School Level Inst. Resources'!B222</f>
        <v>Natrona #1</v>
      </c>
      <c r="C222" s="20" t="str">
        <f>'School Level Inst. Resources'!C222</f>
        <v>1301031</v>
      </c>
      <c r="D222" s="20" t="str">
        <f>'School Level Inst. Resources'!D222</f>
        <v>Oregon Trail Elementary</v>
      </c>
      <c r="E222" s="138" t="str">
        <f>'School Level Inst. Resources'!E222</f>
        <v>K-5</v>
      </c>
      <c r="F222" s="328">
        <v>21.263157894736842</v>
      </c>
      <c r="G222" s="328">
        <v>19.05263157894737</v>
      </c>
      <c r="H222" s="328">
        <v>16.263157894736842</v>
      </c>
      <c r="I222" s="328">
        <v>20.105263157894736</v>
      </c>
      <c r="J222" s="328">
        <v>30.157894736842106</v>
      </c>
      <c r="K222" s="328">
        <v>17.789473684210527</v>
      </c>
      <c r="L222" s="328">
        <v>0</v>
      </c>
      <c r="M222" s="328">
        <v>0</v>
      </c>
      <c r="N222" s="328">
        <v>0</v>
      </c>
      <c r="O222" s="328">
        <v>0</v>
      </c>
      <c r="P222" s="328">
        <v>0</v>
      </c>
      <c r="Q222" s="328">
        <v>0</v>
      </c>
      <c r="R222" s="328">
        <v>0</v>
      </c>
      <c r="S222" s="329">
        <f t="shared" si="6"/>
        <v>124.63157894736844</v>
      </c>
      <c r="T222" s="327"/>
      <c r="U222" s="328">
        <v>0</v>
      </c>
      <c r="V222" s="328">
        <v>2</v>
      </c>
      <c r="W222" s="328">
        <v>0</v>
      </c>
      <c r="X222" s="328">
        <v>0</v>
      </c>
      <c r="Y222" s="328">
        <v>2</v>
      </c>
      <c r="Z222" s="328">
        <v>0</v>
      </c>
      <c r="AA222" s="328">
        <v>0</v>
      </c>
      <c r="AB222" s="328">
        <v>0</v>
      </c>
      <c r="AC222" s="328">
        <v>0</v>
      </c>
      <c r="AD222" s="328">
        <v>0</v>
      </c>
      <c r="AE222" s="328">
        <v>0</v>
      </c>
      <c r="AF222" s="328">
        <v>0</v>
      </c>
      <c r="AG222" s="328">
        <v>0</v>
      </c>
      <c r="AH222" s="329">
        <f t="shared" si="7"/>
        <v>4</v>
      </c>
    </row>
    <row r="223" spans="1:34" x14ac:dyDescent="0.2">
      <c r="A223" s="20" t="str">
        <f>'School Level Inst. Resources'!A223</f>
        <v>1301000</v>
      </c>
      <c r="B223" s="20" t="str">
        <f>'School Level Inst. Resources'!B223</f>
        <v>Natrona #1</v>
      </c>
      <c r="C223" s="20" t="str">
        <f>'School Level Inst. Resources'!C223</f>
        <v>1301033</v>
      </c>
      <c r="D223" s="20" t="str">
        <f>'School Level Inst. Resources'!D223</f>
        <v>Bar Nunn Elementary</v>
      </c>
      <c r="E223" s="138" t="str">
        <f>'School Level Inst. Resources'!E223</f>
        <v>P-6</v>
      </c>
      <c r="F223" s="328">
        <v>23.263157894736842</v>
      </c>
      <c r="G223" s="328">
        <v>15.052631578947368</v>
      </c>
      <c r="H223" s="328">
        <v>21.263157894736842</v>
      </c>
      <c r="I223" s="328">
        <v>20.105263157894736</v>
      </c>
      <c r="J223" s="328">
        <v>22.157894736842106</v>
      </c>
      <c r="K223" s="328">
        <v>23.789473684210527</v>
      </c>
      <c r="L223" s="328">
        <v>0</v>
      </c>
      <c r="M223" s="328">
        <v>0</v>
      </c>
      <c r="N223" s="328">
        <v>0</v>
      </c>
      <c r="O223" s="328">
        <v>0</v>
      </c>
      <c r="P223" s="328">
        <v>0</v>
      </c>
      <c r="Q223" s="328">
        <v>0</v>
      </c>
      <c r="R223" s="328">
        <v>0</v>
      </c>
      <c r="S223" s="329">
        <f t="shared" si="6"/>
        <v>125.63157894736844</v>
      </c>
      <c r="T223" s="327"/>
      <c r="U223" s="328">
        <v>1</v>
      </c>
      <c r="V223" s="328">
        <v>0</v>
      </c>
      <c r="W223" s="328">
        <v>0</v>
      </c>
      <c r="X223" s="328">
        <v>1</v>
      </c>
      <c r="Y223" s="328">
        <v>1</v>
      </c>
      <c r="Z223" s="328">
        <v>2</v>
      </c>
      <c r="AA223" s="328">
        <v>0</v>
      </c>
      <c r="AB223" s="328">
        <v>0</v>
      </c>
      <c r="AC223" s="328">
        <v>0</v>
      </c>
      <c r="AD223" s="328">
        <v>0</v>
      </c>
      <c r="AE223" s="328">
        <v>0</v>
      </c>
      <c r="AF223" s="328">
        <v>0</v>
      </c>
      <c r="AG223" s="328">
        <v>0</v>
      </c>
      <c r="AH223" s="329">
        <f t="shared" si="7"/>
        <v>5</v>
      </c>
    </row>
    <row r="224" spans="1:34" x14ac:dyDescent="0.2">
      <c r="A224" s="20" t="str">
        <f>'School Level Inst. Resources'!A224</f>
        <v>1301000</v>
      </c>
      <c r="B224" s="20" t="str">
        <f>'School Level Inst. Resources'!B224</f>
        <v>Natrona #1</v>
      </c>
      <c r="C224" s="20" t="str">
        <f>'School Level Inst. Resources'!C224</f>
        <v>1301038</v>
      </c>
      <c r="D224" s="20" t="str">
        <f>'School Level Inst. Resources'!D224</f>
        <v>Casper Classical Academy</v>
      </c>
      <c r="E224" s="138" t="str">
        <f>'School Level Inst. Resources'!E224</f>
        <v>6-9</v>
      </c>
      <c r="F224" s="328">
        <v>0</v>
      </c>
      <c r="G224" s="328">
        <v>0</v>
      </c>
      <c r="H224" s="328">
        <v>0</v>
      </c>
      <c r="I224" s="328">
        <v>0</v>
      </c>
      <c r="J224" s="328">
        <v>0</v>
      </c>
      <c r="K224" s="328">
        <v>0</v>
      </c>
      <c r="L224" s="328">
        <v>41</v>
      </c>
      <c r="M224" s="328">
        <v>37</v>
      </c>
      <c r="N224" s="328">
        <v>44</v>
      </c>
      <c r="O224" s="328">
        <v>5</v>
      </c>
      <c r="P224" s="328">
        <v>0</v>
      </c>
      <c r="Q224" s="328">
        <v>0</v>
      </c>
      <c r="R224" s="328">
        <v>0</v>
      </c>
      <c r="S224" s="329">
        <f t="shared" si="6"/>
        <v>127</v>
      </c>
      <c r="T224" s="327"/>
      <c r="U224" s="328">
        <v>0</v>
      </c>
      <c r="V224" s="328">
        <v>0</v>
      </c>
      <c r="W224" s="328">
        <v>0</v>
      </c>
      <c r="X224" s="328">
        <v>0</v>
      </c>
      <c r="Y224" s="328">
        <v>0</v>
      </c>
      <c r="Z224" s="328">
        <v>0</v>
      </c>
      <c r="AA224" s="328">
        <v>2</v>
      </c>
      <c r="AB224" s="328">
        <v>2</v>
      </c>
      <c r="AC224" s="328">
        <v>3</v>
      </c>
      <c r="AD224" s="328">
        <v>1</v>
      </c>
      <c r="AE224" s="328">
        <v>0</v>
      </c>
      <c r="AF224" s="328">
        <v>0</v>
      </c>
      <c r="AG224" s="328">
        <v>0</v>
      </c>
      <c r="AH224" s="329">
        <f t="shared" si="7"/>
        <v>8</v>
      </c>
    </row>
    <row r="225" spans="1:34" x14ac:dyDescent="0.2">
      <c r="A225" s="20" t="str">
        <f>'School Level Inst. Resources'!A225</f>
        <v>1301000</v>
      </c>
      <c r="B225" s="20" t="str">
        <f>'School Level Inst. Resources'!B225</f>
        <v>Natrona #1</v>
      </c>
      <c r="C225" s="20" t="str">
        <f>'School Level Inst. Resources'!C225</f>
        <v>1301039</v>
      </c>
      <c r="D225" s="20" t="str">
        <f>'School Level Inst. Resources'!D225</f>
        <v>Summit Elementary</v>
      </c>
      <c r="E225" s="138" t="str">
        <f>'School Level Inst. Resources'!E225</f>
        <v>P-5</v>
      </c>
      <c r="F225" s="328">
        <v>12</v>
      </c>
      <c r="G225" s="328">
        <v>9</v>
      </c>
      <c r="H225" s="328">
        <v>16</v>
      </c>
      <c r="I225" s="328">
        <v>15</v>
      </c>
      <c r="J225" s="328">
        <v>19</v>
      </c>
      <c r="K225" s="328">
        <v>14</v>
      </c>
      <c r="L225" s="328">
        <v>0</v>
      </c>
      <c r="M225" s="328">
        <v>0</v>
      </c>
      <c r="N225" s="328">
        <v>0</v>
      </c>
      <c r="O225" s="328">
        <v>0</v>
      </c>
      <c r="P225" s="328">
        <v>0</v>
      </c>
      <c r="Q225" s="328">
        <v>0</v>
      </c>
      <c r="R225" s="328">
        <v>0</v>
      </c>
      <c r="S225" s="329">
        <f t="shared" si="6"/>
        <v>85</v>
      </c>
      <c r="T225" s="327"/>
      <c r="U225" s="328">
        <v>3</v>
      </c>
      <c r="V225" s="328">
        <v>0</v>
      </c>
      <c r="W225" s="328">
        <v>1</v>
      </c>
      <c r="X225" s="328">
        <v>1</v>
      </c>
      <c r="Y225" s="328">
        <v>0</v>
      </c>
      <c r="Z225" s="328">
        <v>2</v>
      </c>
      <c r="AA225" s="328">
        <v>0</v>
      </c>
      <c r="AB225" s="328">
        <v>0</v>
      </c>
      <c r="AC225" s="328">
        <v>0</v>
      </c>
      <c r="AD225" s="328">
        <v>0</v>
      </c>
      <c r="AE225" s="328">
        <v>0</v>
      </c>
      <c r="AF225" s="328">
        <v>0</v>
      </c>
      <c r="AG225" s="328">
        <v>0</v>
      </c>
      <c r="AH225" s="329">
        <f t="shared" si="7"/>
        <v>7</v>
      </c>
    </row>
    <row r="226" spans="1:34" x14ac:dyDescent="0.2">
      <c r="A226" s="20" t="str">
        <f>'School Level Inst. Resources'!A226</f>
        <v>1301000</v>
      </c>
      <c r="B226" s="20" t="str">
        <f>'School Level Inst. Resources'!B226</f>
        <v>Natrona #1</v>
      </c>
      <c r="C226" s="20" t="str">
        <f>'School Level Inst. Resources'!C226</f>
        <v>1301048</v>
      </c>
      <c r="D226" s="20" t="str">
        <f>'School Level Inst. Resources'!D226</f>
        <v>Frontier Middle School</v>
      </c>
      <c r="E226" s="138" t="str">
        <f>'School Level Inst. Resources'!E226</f>
        <v>6-8</v>
      </c>
      <c r="F226" s="328">
        <v>0</v>
      </c>
      <c r="G226" s="328">
        <v>0</v>
      </c>
      <c r="H226" s="328">
        <v>0</v>
      </c>
      <c r="I226" s="328">
        <v>0</v>
      </c>
      <c r="J226" s="328">
        <v>0</v>
      </c>
      <c r="K226" s="328">
        <v>0</v>
      </c>
      <c r="L226" s="328">
        <v>56</v>
      </c>
      <c r="M226" s="328">
        <v>47</v>
      </c>
      <c r="N226" s="328">
        <v>58</v>
      </c>
      <c r="O226" s="328">
        <v>0</v>
      </c>
      <c r="P226" s="328">
        <v>0</v>
      </c>
      <c r="Q226" s="328">
        <v>0</v>
      </c>
      <c r="R226" s="328">
        <v>0</v>
      </c>
      <c r="S226" s="329">
        <f t="shared" si="6"/>
        <v>161</v>
      </c>
      <c r="T226" s="327"/>
      <c r="U226" s="328">
        <v>0</v>
      </c>
      <c r="V226" s="328">
        <v>0</v>
      </c>
      <c r="W226" s="328">
        <v>0</v>
      </c>
      <c r="X226" s="328">
        <v>0</v>
      </c>
      <c r="Y226" s="328">
        <v>0</v>
      </c>
      <c r="Z226" s="328">
        <v>0</v>
      </c>
      <c r="AA226" s="328">
        <v>1</v>
      </c>
      <c r="AB226" s="328">
        <v>3</v>
      </c>
      <c r="AC226" s="328">
        <v>1</v>
      </c>
      <c r="AD226" s="328">
        <v>0</v>
      </c>
      <c r="AE226" s="328">
        <v>0</v>
      </c>
      <c r="AF226" s="328">
        <v>0</v>
      </c>
      <c r="AG226" s="328">
        <v>0</v>
      </c>
      <c r="AH226" s="329">
        <f t="shared" si="7"/>
        <v>5</v>
      </c>
    </row>
    <row r="227" spans="1:34" x14ac:dyDescent="0.2">
      <c r="A227" s="20" t="str">
        <f>'School Level Inst. Resources'!A227</f>
        <v>1301000</v>
      </c>
      <c r="B227" s="20" t="str">
        <f>'School Level Inst. Resources'!B227</f>
        <v>Natrona #1</v>
      </c>
      <c r="C227" s="20" t="str">
        <f>'School Level Inst. Resources'!C227</f>
        <v>1301049</v>
      </c>
      <c r="D227" s="20" t="str">
        <f>'School Level Inst. Resources'!D227</f>
        <v>Midwest School</v>
      </c>
      <c r="E227" s="138" t="str">
        <f>'School Level Inst. Resources'!E227</f>
        <v>P-12</v>
      </c>
      <c r="F227" s="328">
        <v>7</v>
      </c>
      <c r="G227" s="328">
        <v>11</v>
      </c>
      <c r="H227" s="328">
        <v>7</v>
      </c>
      <c r="I227" s="328">
        <v>9</v>
      </c>
      <c r="J227" s="328">
        <v>11</v>
      </c>
      <c r="K227" s="328">
        <v>8</v>
      </c>
      <c r="L227" s="328">
        <v>8</v>
      </c>
      <c r="M227" s="328">
        <v>9</v>
      </c>
      <c r="N227" s="328">
        <v>6</v>
      </c>
      <c r="O227" s="328">
        <v>7</v>
      </c>
      <c r="P227" s="328">
        <v>12</v>
      </c>
      <c r="Q227" s="328">
        <v>4</v>
      </c>
      <c r="R227" s="328">
        <v>7</v>
      </c>
      <c r="S227" s="329">
        <f t="shared" si="6"/>
        <v>106</v>
      </c>
      <c r="T227" s="327"/>
      <c r="U227" s="328">
        <v>1</v>
      </c>
      <c r="V227" s="328">
        <v>0</v>
      </c>
      <c r="W227" s="328">
        <v>0</v>
      </c>
      <c r="X227" s="328">
        <v>1</v>
      </c>
      <c r="Y227" s="328">
        <v>1</v>
      </c>
      <c r="Z227" s="328">
        <v>1</v>
      </c>
      <c r="AA227" s="328">
        <v>1</v>
      </c>
      <c r="AB227" s="328">
        <v>0</v>
      </c>
      <c r="AC227" s="328">
        <v>0</v>
      </c>
      <c r="AD227" s="328">
        <v>0</v>
      </c>
      <c r="AE227" s="328">
        <v>1</v>
      </c>
      <c r="AF227" s="328">
        <v>0</v>
      </c>
      <c r="AG227" s="328">
        <v>0</v>
      </c>
      <c r="AH227" s="329">
        <f t="shared" si="7"/>
        <v>6</v>
      </c>
    </row>
    <row r="228" spans="1:34" x14ac:dyDescent="0.2">
      <c r="A228" s="20" t="str">
        <f>'School Level Inst. Resources'!A228</f>
        <v>1301000</v>
      </c>
      <c r="B228" s="20" t="str">
        <f>'School Level Inst. Resources'!B228</f>
        <v>Natrona #1</v>
      </c>
      <c r="C228" s="20" t="str">
        <f>'School Level Inst. Resources'!C228</f>
        <v>1301050</v>
      </c>
      <c r="D228" s="20" t="str">
        <f>'School Level Inst. Resources'!D228</f>
        <v>C Y Junior High School</v>
      </c>
      <c r="E228" s="138" t="str">
        <f>'School Level Inst. Resources'!E228</f>
        <v>6-9</v>
      </c>
      <c r="F228" s="328">
        <v>0</v>
      </c>
      <c r="G228" s="328">
        <v>0</v>
      </c>
      <c r="H228" s="328">
        <v>0</v>
      </c>
      <c r="I228" s="328">
        <v>0</v>
      </c>
      <c r="J228" s="328">
        <v>0</v>
      </c>
      <c r="K228" s="328">
        <v>0</v>
      </c>
      <c r="L228" s="328">
        <v>108</v>
      </c>
      <c r="M228" s="328">
        <v>126</v>
      </c>
      <c r="N228" s="328">
        <v>119</v>
      </c>
      <c r="O228" s="328">
        <v>0</v>
      </c>
      <c r="P228" s="328">
        <v>0</v>
      </c>
      <c r="Q228" s="328">
        <v>0</v>
      </c>
      <c r="R228" s="328">
        <v>0</v>
      </c>
      <c r="S228" s="329">
        <f t="shared" si="6"/>
        <v>353</v>
      </c>
      <c r="T228" s="327"/>
      <c r="U228" s="328">
        <v>0</v>
      </c>
      <c r="V228" s="328">
        <v>0</v>
      </c>
      <c r="W228" s="328">
        <v>0</v>
      </c>
      <c r="X228" s="328">
        <v>0</v>
      </c>
      <c r="Y228" s="328">
        <v>0</v>
      </c>
      <c r="Z228" s="328">
        <v>0</v>
      </c>
      <c r="AA228" s="328">
        <v>2</v>
      </c>
      <c r="AB228" s="328">
        <v>2</v>
      </c>
      <c r="AC228" s="328">
        <v>1</v>
      </c>
      <c r="AD228" s="328">
        <v>0</v>
      </c>
      <c r="AE228" s="328">
        <v>0</v>
      </c>
      <c r="AF228" s="328">
        <v>0</v>
      </c>
      <c r="AG228" s="328">
        <v>0</v>
      </c>
      <c r="AH228" s="329">
        <f t="shared" si="7"/>
        <v>5</v>
      </c>
    </row>
    <row r="229" spans="1:34" x14ac:dyDescent="0.2">
      <c r="A229" s="20" t="str">
        <f>'School Level Inst. Resources'!A229</f>
        <v>1301000</v>
      </c>
      <c r="B229" s="20" t="str">
        <f>'School Level Inst. Resources'!B229</f>
        <v>Natrona #1</v>
      </c>
      <c r="C229" s="20" t="str">
        <f>'School Level Inst. Resources'!C229</f>
        <v>1301051</v>
      </c>
      <c r="D229" s="20" t="str">
        <f>'School Level Inst. Resources'!D229</f>
        <v>Dean Morgan Junior High School</v>
      </c>
      <c r="E229" s="138" t="str">
        <f>'School Level Inst. Resources'!E229</f>
        <v>6-9</v>
      </c>
      <c r="F229" s="328">
        <v>0</v>
      </c>
      <c r="G229" s="328">
        <v>0</v>
      </c>
      <c r="H229" s="328">
        <v>0</v>
      </c>
      <c r="I229" s="328">
        <v>0</v>
      </c>
      <c r="J229" s="328">
        <v>0</v>
      </c>
      <c r="K229" s="328">
        <v>0</v>
      </c>
      <c r="L229" s="328">
        <v>147</v>
      </c>
      <c r="M229" s="328">
        <v>138</v>
      </c>
      <c r="N229" s="328">
        <v>115</v>
      </c>
      <c r="O229" s="328">
        <v>0</v>
      </c>
      <c r="P229" s="328">
        <v>0</v>
      </c>
      <c r="Q229" s="328">
        <v>0</v>
      </c>
      <c r="R229" s="328">
        <v>0</v>
      </c>
      <c r="S229" s="329">
        <f t="shared" ref="S229:S292" si="8">SUM(F229:R229)</f>
        <v>400</v>
      </c>
      <c r="T229" s="327"/>
      <c r="U229" s="328">
        <v>0</v>
      </c>
      <c r="V229" s="328">
        <v>0</v>
      </c>
      <c r="W229" s="328">
        <v>0</v>
      </c>
      <c r="X229" s="328">
        <v>0</v>
      </c>
      <c r="Y229" s="328">
        <v>0</v>
      </c>
      <c r="Z229" s="328">
        <v>0</v>
      </c>
      <c r="AA229" s="328">
        <v>9</v>
      </c>
      <c r="AB229" s="328">
        <v>5</v>
      </c>
      <c r="AC229" s="328">
        <v>2</v>
      </c>
      <c r="AD229" s="328">
        <v>0</v>
      </c>
      <c r="AE229" s="328">
        <v>0</v>
      </c>
      <c r="AF229" s="328">
        <v>0</v>
      </c>
      <c r="AG229" s="328">
        <v>0</v>
      </c>
      <c r="AH229" s="329">
        <f t="shared" si="7"/>
        <v>16</v>
      </c>
    </row>
    <row r="230" spans="1:34" x14ac:dyDescent="0.2">
      <c r="A230" s="20" t="str">
        <f>'School Level Inst. Resources'!A230</f>
        <v>1301000</v>
      </c>
      <c r="B230" s="20" t="str">
        <f>'School Level Inst. Resources'!B230</f>
        <v>Natrona #1</v>
      </c>
      <c r="C230" s="20" t="str">
        <f>'School Level Inst. Resources'!C230</f>
        <v>1301054</v>
      </c>
      <c r="D230" s="20" t="str">
        <f>'School Level Inst. Resources'!D230</f>
        <v>Centennial Junior High School</v>
      </c>
      <c r="E230" s="138" t="str">
        <f>'School Level Inst. Resources'!E230</f>
        <v>6-9</v>
      </c>
      <c r="F230" s="328">
        <v>0</v>
      </c>
      <c r="G230" s="328">
        <v>0</v>
      </c>
      <c r="H230" s="328">
        <v>0</v>
      </c>
      <c r="I230" s="328">
        <v>0</v>
      </c>
      <c r="J230" s="328">
        <v>0</v>
      </c>
      <c r="K230" s="328">
        <v>0</v>
      </c>
      <c r="L230" s="328">
        <v>104</v>
      </c>
      <c r="M230" s="328">
        <v>100</v>
      </c>
      <c r="N230" s="328">
        <v>107</v>
      </c>
      <c r="O230" s="328">
        <v>0</v>
      </c>
      <c r="P230" s="328">
        <v>0</v>
      </c>
      <c r="Q230" s="328">
        <v>0</v>
      </c>
      <c r="R230" s="328">
        <v>0</v>
      </c>
      <c r="S230" s="329">
        <f t="shared" si="8"/>
        <v>311</v>
      </c>
      <c r="T230" s="327"/>
      <c r="U230" s="328">
        <v>0</v>
      </c>
      <c r="V230" s="328">
        <v>0</v>
      </c>
      <c r="W230" s="328">
        <v>0</v>
      </c>
      <c r="X230" s="328">
        <v>0</v>
      </c>
      <c r="Y230" s="328">
        <v>0</v>
      </c>
      <c r="Z230" s="328">
        <v>0</v>
      </c>
      <c r="AA230" s="328">
        <v>12</v>
      </c>
      <c r="AB230" s="328">
        <v>6</v>
      </c>
      <c r="AC230" s="328">
        <v>6</v>
      </c>
      <c r="AD230" s="328">
        <v>0</v>
      </c>
      <c r="AE230" s="328">
        <v>0</v>
      </c>
      <c r="AF230" s="328">
        <v>0</v>
      </c>
      <c r="AG230" s="328">
        <v>0</v>
      </c>
      <c r="AH230" s="329">
        <f t="shared" si="7"/>
        <v>24</v>
      </c>
    </row>
    <row r="231" spans="1:34" x14ac:dyDescent="0.2">
      <c r="A231" s="20" t="str">
        <f>'School Level Inst. Resources'!A231</f>
        <v>1301000</v>
      </c>
      <c r="B231" s="20" t="str">
        <f>'School Level Inst. Resources'!B231</f>
        <v>Natrona #1</v>
      </c>
      <c r="C231" s="20" t="str">
        <f>'School Level Inst. Resources'!C231</f>
        <v>1301055</v>
      </c>
      <c r="D231" s="20" t="str">
        <f>'School Level Inst. Resources'!D231</f>
        <v>Kelly Walsh High School</v>
      </c>
      <c r="E231" s="138" t="str">
        <f>'School Level Inst. Resources'!E231</f>
        <v>9-12</v>
      </c>
      <c r="F231" s="328">
        <v>0</v>
      </c>
      <c r="G231" s="328">
        <v>0</v>
      </c>
      <c r="H231" s="328">
        <v>0</v>
      </c>
      <c r="I231" s="328">
        <v>0</v>
      </c>
      <c r="J231" s="328">
        <v>0</v>
      </c>
      <c r="K231" s="328">
        <v>0</v>
      </c>
      <c r="L231" s="328">
        <v>0</v>
      </c>
      <c r="M231" s="328">
        <v>0</v>
      </c>
      <c r="N231" s="328">
        <v>0</v>
      </c>
      <c r="O231" s="328">
        <v>169</v>
      </c>
      <c r="P231" s="328">
        <v>187</v>
      </c>
      <c r="Q231" s="328">
        <v>129</v>
      </c>
      <c r="R231" s="328">
        <v>135</v>
      </c>
      <c r="S231" s="329">
        <f t="shared" si="8"/>
        <v>620</v>
      </c>
      <c r="T231" s="327"/>
      <c r="U231" s="328">
        <v>0</v>
      </c>
      <c r="V231" s="328">
        <v>0</v>
      </c>
      <c r="W231" s="328">
        <v>0</v>
      </c>
      <c r="X231" s="328">
        <v>0</v>
      </c>
      <c r="Y231" s="328">
        <v>0</v>
      </c>
      <c r="Z231" s="328">
        <v>0</v>
      </c>
      <c r="AA231" s="328">
        <v>0</v>
      </c>
      <c r="AB231" s="328">
        <v>0</v>
      </c>
      <c r="AC231" s="328">
        <v>0</v>
      </c>
      <c r="AD231" s="328">
        <v>10</v>
      </c>
      <c r="AE231" s="328">
        <v>11</v>
      </c>
      <c r="AF231" s="328">
        <v>13</v>
      </c>
      <c r="AG231" s="328">
        <v>7</v>
      </c>
      <c r="AH231" s="329">
        <f t="shared" si="7"/>
        <v>41</v>
      </c>
    </row>
    <row r="232" spans="1:34" x14ac:dyDescent="0.2">
      <c r="A232" s="20" t="str">
        <f>'School Level Inst. Resources'!A232</f>
        <v>1301000</v>
      </c>
      <c r="B232" s="20" t="str">
        <f>'School Level Inst. Resources'!B232</f>
        <v>Natrona #1</v>
      </c>
      <c r="C232" s="20" t="str">
        <f>'School Level Inst. Resources'!C232</f>
        <v>1301057</v>
      </c>
      <c r="D232" s="20" t="str">
        <f>'School Level Inst. Resources'!D232</f>
        <v>Natrona County High School</v>
      </c>
      <c r="E232" s="138" t="str">
        <f>'School Level Inst. Resources'!E232</f>
        <v>9-12</v>
      </c>
      <c r="F232" s="328">
        <v>0</v>
      </c>
      <c r="G232" s="328">
        <v>0</v>
      </c>
      <c r="H232" s="328">
        <v>0</v>
      </c>
      <c r="I232" s="328">
        <v>0</v>
      </c>
      <c r="J232" s="328">
        <v>0</v>
      </c>
      <c r="K232" s="328">
        <v>0</v>
      </c>
      <c r="L232" s="328">
        <v>0</v>
      </c>
      <c r="M232" s="328">
        <v>0</v>
      </c>
      <c r="N232" s="328">
        <v>0</v>
      </c>
      <c r="O232" s="328">
        <v>197</v>
      </c>
      <c r="P232" s="328">
        <v>171</v>
      </c>
      <c r="Q232" s="328">
        <v>131</v>
      </c>
      <c r="R232" s="328">
        <v>116</v>
      </c>
      <c r="S232" s="329">
        <f t="shared" si="8"/>
        <v>615</v>
      </c>
      <c r="T232" s="327"/>
      <c r="U232" s="328">
        <v>0</v>
      </c>
      <c r="V232" s="328">
        <v>0</v>
      </c>
      <c r="W232" s="328">
        <v>0</v>
      </c>
      <c r="X232" s="328">
        <v>0</v>
      </c>
      <c r="Y232" s="328">
        <v>0</v>
      </c>
      <c r="Z232" s="328">
        <v>0</v>
      </c>
      <c r="AA232" s="328">
        <v>0</v>
      </c>
      <c r="AB232" s="328">
        <v>0</v>
      </c>
      <c r="AC232" s="328">
        <v>0</v>
      </c>
      <c r="AD232" s="328">
        <v>9</v>
      </c>
      <c r="AE232" s="328">
        <v>7</v>
      </c>
      <c r="AF232" s="328">
        <v>6</v>
      </c>
      <c r="AG232" s="328">
        <v>3</v>
      </c>
      <c r="AH232" s="329">
        <f t="shared" si="7"/>
        <v>25</v>
      </c>
    </row>
    <row r="233" spans="1:34" x14ac:dyDescent="0.2">
      <c r="A233" s="20" t="str">
        <f>'School Level Inst. Resources'!A233</f>
        <v>1301000</v>
      </c>
      <c r="B233" s="20" t="str">
        <f>'School Level Inst. Resources'!B233</f>
        <v>Natrona #1</v>
      </c>
      <c r="C233" s="20" t="str">
        <f>'School Level Inst. Resources'!C233</f>
        <v>1301058</v>
      </c>
      <c r="D233" s="20" t="str">
        <f>'School Level Inst. Resources'!D233</f>
        <v>Roosevelt High School</v>
      </c>
      <c r="E233" s="138" t="str">
        <f>'School Level Inst. Resources'!E233</f>
        <v>7-12</v>
      </c>
      <c r="F233" s="328">
        <v>0</v>
      </c>
      <c r="G233" s="328">
        <v>0</v>
      </c>
      <c r="H233" s="328">
        <v>0</v>
      </c>
      <c r="I233" s="328">
        <v>0</v>
      </c>
      <c r="J233" s="328">
        <v>0</v>
      </c>
      <c r="K233" s="328">
        <v>0</v>
      </c>
      <c r="L233" s="328">
        <v>0</v>
      </c>
      <c r="M233" s="328">
        <v>0</v>
      </c>
      <c r="N233" s="328">
        <v>0</v>
      </c>
      <c r="O233" s="328">
        <v>46</v>
      </c>
      <c r="P233" s="328">
        <v>39</v>
      </c>
      <c r="Q233" s="328">
        <v>61</v>
      </c>
      <c r="R233" s="328">
        <v>46</v>
      </c>
      <c r="S233" s="329">
        <f t="shared" si="8"/>
        <v>192</v>
      </c>
      <c r="T233" s="327"/>
      <c r="U233" s="328">
        <v>0</v>
      </c>
      <c r="V233" s="328">
        <v>0</v>
      </c>
      <c r="W233" s="328">
        <v>0</v>
      </c>
      <c r="X233" s="328">
        <v>0</v>
      </c>
      <c r="Y233" s="328">
        <v>0</v>
      </c>
      <c r="Z233" s="328">
        <v>0</v>
      </c>
      <c r="AA233" s="328">
        <v>0</v>
      </c>
      <c r="AB233" s="328">
        <v>0</v>
      </c>
      <c r="AC233" s="328">
        <v>0</v>
      </c>
      <c r="AD233" s="328">
        <v>0</v>
      </c>
      <c r="AE233" s="328">
        <v>0</v>
      </c>
      <c r="AF233" s="328">
        <v>4</v>
      </c>
      <c r="AG233" s="328">
        <v>0</v>
      </c>
      <c r="AH233" s="329">
        <f t="shared" si="7"/>
        <v>4</v>
      </c>
    </row>
    <row r="234" spans="1:34" x14ac:dyDescent="0.2">
      <c r="A234" s="20" t="str">
        <f>'School Level Inst. Resources'!A234</f>
        <v>1401000</v>
      </c>
      <c r="B234" s="20" t="str">
        <f>'School Level Inst. Resources'!B234</f>
        <v>Niobrara #1</v>
      </c>
      <c r="C234" s="20" t="str">
        <f>'School Level Inst. Resources'!C234</f>
        <v>1401003</v>
      </c>
      <c r="D234" s="20" t="str">
        <f>'School Level Inst. Resources'!D234</f>
        <v>Lance Creek Elementary</v>
      </c>
      <c r="E234" s="138" t="str">
        <f>'School Level Inst. Resources'!E234</f>
        <v>K-6</v>
      </c>
      <c r="F234" s="328">
        <v>0</v>
      </c>
      <c r="G234" s="328">
        <v>0</v>
      </c>
      <c r="H234" s="328">
        <v>0</v>
      </c>
      <c r="I234" s="328">
        <v>0</v>
      </c>
      <c r="J234" s="328">
        <v>0</v>
      </c>
      <c r="K234" s="328">
        <v>0</v>
      </c>
      <c r="L234" s="328">
        <v>0</v>
      </c>
      <c r="M234" s="328">
        <v>0</v>
      </c>
      <c r="N234" s="328">
        <v>0</v>
      </c>
      <c r="O234" s="328">
        <v>0</v>
      </c>
      <c r="P234" s="328">
        <v>0</v>
      </c>
      <c r="Q234" s="328">
        <v>0</v>
      </c>
      <c r="R234" s="328">
        <v>0</v>
      </c>
      <c r="S234" s="329">
        <f t="shared" si="8"/>
        <v>0</v>
      </c>
      <c r="T234" s="327"/>
      <c r="U234" s="328">
        <v>0</v>
      </c>
      <c r="V234" s="328">
        <v>0</v>
      </c>
      <c r="W234" s="328">
        <v>0</v>
      </c>
      <c r="X234" s="328">
        <v>0</v>
      </c>
      <c r="Y234" s="328">
        <v>0</v>
      </c>
      <c r="Z234" s="328">
        <v>0</v>
      </c>
      <c r="AA234" s="328">
        <v>0</v>
      </c>
      <c r="AB234" s="328">
        <v>0</v>
      </c>
      <c r="AC234" s="328">
        <v>0</v>
      </c>
      <c r="AD234" s="328">
        <v>0</v>
      </c>
      <c r="AE234" s="328">
        <v>0</v>
      </c>
      <c r="AF234" s="328">
        <v>0</v>
      </c>
      <c r="AG234" s="328">
        <v>0</v>
      </c>
      <c r="AH234" s="329">
        <f t="shared" si="7"/>
        <v>0</v>
      </c>
    </row>
    <row r="235" spans="1:34" x14ac:dyDescent="0.2">
      <c r="A235" s="20" t="str">
        <f>'School Level Inst. Resources'!A235</f>
        <v>1401000</v>
      </c>
      <c r="B235" s="20" t="str">
        <f>'School Level Inst. Resources'!B235</f>
        <v>Niobrara #1</v>
      </c>
      <c r="C235" s="20" t="str">
        <f>'School Level Inst. Resources'!C235</f>
        <v>1401004</v>
      </c>
      <c r="D235" s="20" t="str">
        <f>'School Level Inst. Resources'!D235</f>
        <v>Lusk Elementary</v>
      </c>
      <c r="E235" s="138" t="str">
        <f>'School Level Inst. Resources'!E235</f>
        <v>K-5</v>
      </c>
      <c r="F235" s="328">
        <v>10</v>
      </c>
      <c r="G235" s="328">
        <v>9</v>
      </c>
      <c r="H235" s="328">
        <v>9</v>
      </c>
      <c r="I235" s="328">
        <v>6</v>
      </c>
      <c r="J235" s="328">
        <v>9</v>
      </c>
      <c r="K235" s="328">
        <v>9</v>
      </c>
      <c r="L235" s="328">
        <v>0</v>
      </c>
      <c r="M235" s="328">
        <v>0</v>
      </c>
      <c r="N235" s="328">
        <v>0</v>
      </c>
      <c r="O235" s="328">
        <v>0</v>
      </c>
      <c r="P235" s="328">
        <v>0</v>
      </c>
      <c r="Q235" s="328">
        <v>0</v>
      </c>
      <c r="R235" s="328">
        <v>0</v>
      </c>
      <c r="S235" s="329">
        <f t="shared" si="8"/>
        <v>52</v>
      </c>
      <c r="T235" s="327"/>
      <c r="U235" s="328">
        <v>0</v>
      </c>
      <c r="V235" s="328">
        <v>0</v>
      </c>
      <c r="W235" s="328">
        <v>0</v>
      </c>
      <c r="X235" s="328">
        <v>0</v>
      </c>
      <c r="Y235" s="328">
        <v>0</v>
      </c>
      <c r="Z235" s="328">
        <v>0</v>
      </c>
      <c r="AA235" s="328">
        <v>0</v>
      </c>
      <c r="AB235" s="328">
        <v>0</v>
      </c>
      <c r="AC235" s="328">
        <v>0</v>
      </c>
      <c r="AD235" s="328">
        <v>0</v>
      </c>
      <c r="AE235" s="328">
        <v>0</v>
      </c>
      <c r="AF235" s="328">
        <v>0</v>
      </c>
      <c r="AG235" s="328">
        <v>0</v>
      </c>
      <c r="AH235" s="329">
        <f t="shared" si="7"/>
        <v>0</v>
      </c>
    </row>
    <row r="236" spans="1:34" x14ac:dyDescent="0.2">
      <c r="A236" s="20" t="str">
        <f>'School Level Inst. Resources'!A236</f>
        <v>1401000</v>
      </c>
      <c r="B236" s="20" t="str">
        <f>'School Level Inst. Resources'!B236</f>
        <v>Niobrara #1</v>
      </c>
      <c r="C236" s="20" t="str">
        <f>'School Level Inst. Resources'!C236</f>
        <v>1401050</v>
      </c>
      <c r="D236" s="20" t="str">
        <f>'School Level Inst. Resources'!D236</f>
        <v>Lusk Middle School</v>
      </c>
      <c r="E236" s="138" t="str">
        <f>'School Level Inst. Resources'!E236</f>
        <v>6-8</v>
      </c>
      <c r="F236" s="328">
        <v>0</v>
      </c>
      <c r="G236" s="328">
        <v>0</v>
      </c>
      <c r="H236" s="328">
        <v>0</v>
      </c>
      <c r="I236" s="328">
        <v>0</v>
      </c>
      <c r="J236" s="328">
        <v>0</v>
      </c>
      <c r="K236" s="328">
        <v>0</v>
      </c>
      <c r="L236" s="328">
        <v>22</v>
      </c>
      <c r="M236" s="328">
        <v>25</v>
      </c>
      <c r="N236" s="328">
        <v>39</v>
      </c>
      <c r="O236" s="328">
        <v>0</v>
      </c>
      <c r="P236" s="328">
        <v>0</v>
      </c>
      <c r="Q236" s="328">
        <v>0</v>
      </c>
      <c r="R236" s="328">
        <v>0</v>
      </c>
      <c r="S236" s="329">
        <f t="shared" si="8"/>
        <v>86</v>
      </c>
      <c r="T236" s="327"/>
      <c r="U236" s="328">
        <v>0</v>
      </c>
      <c r="V236" s="328">
        <v>0</v>
      </c>
      <c r="W236" s="328">
        <v>0</v>
      </c>
      <c r="X236" s="328">
        <v>0</v>
      </c>
      <c r="Y236" s="328">
        <v>0</v>
      </c>
      <c r="Z236" s="328">
        <v>0</v>
      </c>
      <c r="AA236" s="328">
        <v>0</v>
      </c>
      <c r="AB236" s="328">
        <v>0</v>
      </c>
      <c r="AC236" s="328">
        <v>1</v>
      </c>
      <c r="AD236" s="328">
        <v>0</v>
      </c>
      <c r="AE236" s="328">
        <v>0</v>
      </c>
      <c r="AF236" s="328">
        <v>0</v>
      </c>
      <c r="AG236" s="328">
        <v>0</v>
      </c>
      <c r="AH236" s="329">
        <f t="shared" si="7"/>
        <v>1</v>
      </c>
    </row>
    <row r="237" spans="1:34" x14ac:dyDescent="0.2">
      <c r="A237" s="20" t="str">
        <f>'School Level Inst. Resources'!A237</f>
        <v>1401000</v>
      </c>
      <c r="B237" s="20" t="str">
        <f>'School Level Inst. Resources'!B237</f>
        <v>Niobrara #1</v>
      </c>
      <c r="C237" s="20" t="str">
        <f>'School Level Inst. Resources'!C237</f>
        <v>1401055</v>
      </c>
      <c r="D237" s="20" t="str">
        <f>'School Level Inst. Resources'!D237</f>
        <v>Niobrara County High School</v>
      </c>
      <c r="E237" s="138" t="str">
        <f>'School Level Inst. Resources'!E237</f>
        <v>9-12</v>
      </c>
      <c r="F237" s="328">
        <v>0</v>
      </c>
      <c r="G237" s="328">
        <v>0</v>
      </c>
      <c r="H237" s="328">
        <v>0</v>
      </c>
      <c r="I237" s="328">
        <v>0</v>
      </c>
      <c r="J237" s="328">
        <v>0</v>
      </c>
      <c r="K237" s="328">
        <v>0</v>
      </c>
      <c r="L237" s="328">
        <v>0</v>
      </c>
      <c r="M237" s="328">
        <v>0</v>
      </c>
      <c r="N237" s="328">
        <v>0</v>
      </c>
      <c r="O237" s="328">
        <v>10</v>
      </c>
      <c r="P237" s="328">
        <v>19</v>
      </c>
      <c r="Q237" s="328">
        <v>13</v>
      </c>
      <c r="R237" s="328">
        <v>11</v>
      </c>
      <c r="S237" s="329">
        <f t="shared" si="8"/>
        <v>53</v>
      </c>
      <c r="T237" s="327"/>
      <c r="U237" s="328">
        <v>0</v>
      </c>
      <c r="V237" s="328">
        <v>0</v>
      </c>
      <c r="W237" s="328">
        <v>0</v>
      </c>
      <c r="X237" s="328">
        <v>0</v>
      </c>
      <c r="Y237" s="328">
        <v>0</v>
      </c>
      <c r="Z237" s="328">
        <v>0</v>
      </c>
      <c r="AA237" s="328">
        <v>0</v>
      </c>
      <c r="AB237" s="328">
        <v>0</v>
      </c>
      <c r="AC237" s="328">
        <v>0</v>
      </c>
      <c r="AD237" s="328">
        <v>0</v>
      </c>
      <c r="AE237" s="328">
        <v>0</v>
      </c>
      <c r="AF237" s="328">
        <v>1</v>
      </c>
      <c r="AG237" s="328">
        <v>0</v>
      </c>
      <c r="AH237" s="329">
        <f t="shared" si="7"/>
        <v>1</v>
      </c>
    </row>
    <row r="238" spans="1:34" x14ac:dyDescent="0.2">
      <c r="A238" s="20" t="str">
        <f>'School Level Inst. Resources'!A238</f>
        <v>1501000</v>
      </c>
      <c r="B238" s="20" t="str">
        <f>'School Level Inst. Resources'!B238</f>
        <v>Park #1</v>
      </c>
      <c r="C238" s="20" t="str">
        <f>'School Level Inst. Resources'!C238</f>
        <v>1501001</v>
      </c>
      <c r="D238" s="20" t="str">
        <f>'School Level Inst. Resources'!D238</f>
        <v>Clark Elementary</v>
      </c>
      <c r="E238" s="138" t="str">
        <f>'School Level Inst. Resources'!E238</f>
        <v>K-5</v>
      </c>
      <c r="F238" s="328">
        <v>3</v>
      </c>
      <c r="G238" s="328">
        <v>2</v>
      </c>
      <c r="H238" s="328">
        <v>0</v>
      </c>
      <c r="I238" s="328">
        <v>3</v>
      </c>
      <c r="J238" s="328">
        <v>3</v>
      </c>
      <c r="K238" s="328">
        <v>0</v>
      </c>
      <c r="L238" s="328">
        <v>0</v>
      </c>
      <c r="M238" s="328">
        <v>0</v>
      </c>
      <c r="N238" s="328">
        <v>0</v>
      </c>
      <c r="O238" s="328">
        <v>0</v>
      </c>
      <c r="P238" s="328">
        <v>0</v>
      </c>
      <c r="Q238" s="328">
        <v>0</v>
      </c>
      <c r="R238" s="328">
        <v>0</v>
      </c>
      <c r="S238" s="329">
        <f t="shared" si="8"/>
        <v>11</v>
      </c>
      <c r="T238" s="327"/>
      <c r="U238" s="328">
        <v>0</v>
      </c>
      <c r="V238" s="328">
        <v>0</v>
      </c>
      <c r="W238" s="328">
        <v>0</v>
      </c>
      <c r="X238" s="328">
        <v>0</v>
      </c>
      <c r="Y238" s="328">
        <v>1</v>
      </c>
      <c r="Z238" s="328">
        <v>0</v>
      </c>
      <c r="AA238" s="328">
        <v>0</v>
      </c>
      <c r="AB238" s="328">
        <v>0</v>
      </c>
      <c r="AC238" s="328">
        <v>0</v>
      </c>
      <c r="AD238" s="328">
        <v>0</v>
      </c>
      <c r="AE238" s="328">
        <v>0</v>
      </c>
      <c r="AF238" s="328">
        <v>0</v>
      </c>
      <c r="AG238" s="328">
        <v>0</v>
      </c>
      <c r="AH238" s="329">
        <f t="shared" si="7"/>
        <v>1</v>
      </c>
    </row>
    <row r="239" spans="1:34" x14ac:dyDescent="0.2">
      <c r="A239" s="20" t="str">
        <f>'School Level Inst. Resources'!A239</f>
        <v>1501000</v>
      </c>
      <c r="B239" s="20" t="str">
        <f>'School Level Inst. Resources'!B239</f>
        <v>Park #1</v>
      </c>
      <c r="C239" s="20" t="str">
        <f>'School Level Inst. Resources'!C239</f>
        <v>1501002</v>
      </c>
      <c r="D239" s="20" t="str">
        <f>'School Level Inst. Resources'!D239</f>
        <v>Parkside Elementary</v>
      </c>
      <c r="E239" s="138" t="str">
        <f>'School Level Inst. Resources'!E239</f>
        <v>K-5</v>
      </c>
      <c r="F239" s="328">
        <v>13</v>
      </c>
      <c r="G239" s="328">
        <v>23</v>
      </c>
      <c r="H239" s="328">
        <v>21</v>
      </c>
      <c r="I239" s="328">
        <v>15</v>
      </c>
      <c r="J239" s="328">
        <v>16</v>
      </c>
      <c r="K239" s="328">
        <v>13</v>
      </c>
      <c r="L239" s="328">
        <v>0</v>
      </c>
      <c r="M239" s="328">
        <v>0</v>
      </c>
      <c r="N239" s="328">
        <v>0</v>
      </c>
      <c r="O239" s="328">
        <v>0</v>
      </c>
      <c r="P239" s="328">
        <v>0</v>
      </c>
      <c r="Q239" s="328">
        <v>0</v>
      </c>
      <c r="R239" s="328">
        <v>0</v>
      </c>
      <c r="S239" s="329">
        <f t="shared" si="8"/>
        <v>101</v>
      </c>
      <c r="T239" s="327"/>
      <c r="U239" s="328">
        <v>0</v>
      </c>
      <c r="V239" s="328">
        <v>0</v>
      </c>
      <c r="W239" s="328">
        <v>0</v>
      </c>
      <c r="X239" s="328">
        <v>1</v>
      </c>
      <c r="Y239" s="328">
        <v>0</v>
      </c>
      <c r="Z239" s="328">
        <v>0</v>
      </c>
      <c r="AA239" s="328">
        <v>0</v>
      </c>
      <c r="AB239" s="328">
        <v>0</v>
      </c>
      <c r="AC239" s="328">
        <v>0</v>
      </c>
      <c r="AD239" s="328">
        <v>0</v>
      </c>
      <c r="AE239" s="328">
        <v>0</v>
      </c>
      <c r="AF239" s="328">
        <v>0</v>
      </c>
      <c r="AG239" s="328">
        <v>0</v>
      </c>
      <c r="AH239" s="329">
        <f t="shared" si="7"/>
        <v>1</v>
      </c>
    </row>
    <row r="240" spans="1:34" x14ac:dyDescent="0.2">
      <c r="A240" s="20" t="str">
        <f>'School Level Inst. Resources'!A240</f>
        <v>1501000</v>
      </c>
      <c r="B240" s="20" t="str">
        <f>'School Level Inst. Resources'!B240</f>
        <v>Park #1</v>
      </c>
      <c r="C240" s="20" t="str">
        <f>'School Level Inst. Resources'!C240</f>
        <v>1501003</v>
      </c>
      <c r="D240" s="20" t="str">
        <f>'School Level Inst. Resources'!D240</f>
        <v>Southside Elementary</v>
      </c>
      <c r="E240" s="138" t="str">
        <f>'School Level Inst. Resources'!E240</f>
        <v>K-5</v>
      </c>
      <c r="F240" s="328">
        <v>21</v>
      </c>
      <c r="G240" s="328">
        <v>33</v>
      </c>
      <c r="H240" s="328">
        <v>25</v>
      </c>
      <c r="I240" s="328">
        <v>23</v>
      </c>
      <c r="J240" s="328">
        <v>26</v>
      </c>
      <c r="K240" s="328">
        <v>20</v>
      </c>
      <c r="L240" s="328">
        <v>0</v>
      </c>
      <c r="M240" s="328">
        <v>0</v>
      </c>
      <c r="N240" s="328">
        <v>0</v>
      </c>
      <c r="O240" s="328">
        <v>0</v>
      </c>
      <c r="P240" s="328">
        <v>0</v>
      </c>
      <c r="Q240" s="328">
        <v>0</v>
      </c>
      <c r="R240" s="328">
        <v>0</v>
      </c>
      <c r="S240" s="329">
        <f t="shared" si="8"/>
        <v>148</v>
      </c>
      <c r="T240" s="327"/>
      <c r="U240" s="328">
        <v>2</v>
      </c>
      <c r="V240" s="328">
        <v>3</v>
      </c>
      <c r="W240" s="328">
        <v>1</v>
      </c>
      <c r="X240" s="328">
        <v>1</v>
      </c>
      <c r="Y240" s="328">
        <v>3</v>
      </c>
      <c r="Z240" s="328">
        <v>0</v>
      </c>
      <c r="AA240" s="328">
        <v>0</v>
      </c>
      <c r="AB240" s="328">
        <v>0</v>
      </c>
      <c r="AC240" s="328">
        <v>0</v>
      </c>
      <c r="AD240" s="328">
        <v>0</v>
      </c>
      <c r="AE240" s="328">
        <v>0</v>
      </c>
      <c r="AF240" s="328">
        <v>0</v>
      </c>
      <c r="AG240" s="328">
        <v>0</v>
      </c>
      <c r="AH240" s="329">
        <f t="shared" si="7"/>
        <v>10</v>
      </c>
    </row>
    <row r="241" spans="1:34" x14ac:dyDescent="0.2">
      <c r="A241" s="20" t="str">
        <f>'School Level Inst. Resources'!A241</f>
        <v>1501000</v>
      </c>
      <c r="B241" s="20" t="str">
        <f>'School Level Inst. Resources'!B241</f>
        <v>Park #1</v>
      </c>
      <c r="C241" s="20" t="str">
        <f>'School Level Inst. Resources'!C241</f>
        <v>1501004</v>
      </c>
      <c r="D241" s="20" t="str">
        <f>'School Level Inst. Resources'!D241</f>
        <v>Westside Elementary</v>
      </c>
      <c r="E241" s="138" t="str">
        <f>'School Level Inst. Resources'!E241</f>
        <v>K-5</v>
      </c>
      <c r="F241" s="328">
        <v>14</v>
      </c>
      <c r="G241" s="328">
        <v>22</v>
      </c>
      <c r="H241" s="328">
        <v>17</v>
      </c>
      <c r="I241" s="328">
        <v>24</v>
      </c>
      <c r="J241" s="328">
        <v>19</v>
      </c>
      <c r="K241" s="328">
        <v>28</v>
      </c>
      <c r="L241" s="328">
        <v>0</v>
      </c>
      <c r="M241" s="328">
        <v>0</v>
      </c>
      <c r="N241" s="328">
        <v>0</v>
      </c>
      <c r="O241" s="328">
        <v>0</v>
      </c>
      <c r="P241" s="328">
        <v>0</v>
      </c>
      <c r="Q241" s="328">
        <v>0</v>
      </c>
      <c r="R241" s="328">
        <v>0</v>
      </c>
      <c r="S241" s="329">
        <f t="shared" si="8"/>
        <v>124</v>
      </c>
      <c r="T241" s="327"/>
      <c r="U241" s="328">
        <v>2</v>
      </c>
      <c r="V241" s="328">
        <v>1</v>
      </c>
      <c r="W241" s="328">
        <v>1</v>
      </c>
      <c r="X241" s="328">
        <v>1</v>
      </c>
      <c r="Y241" s="328">
        <v>4</v>
      </c>
      <c r="Z241" s="328">
        <v>1</v>
      </c>
      <c r="AA241" s="328">
        <v>0</v>
      </c>
      <c r="AB241" s="328">
        <v>0</v>
      </c>
      <c r="AC241" s="328">
        <v>0</v>
      </c>
      <c r="AD241" s="328">
        <v>0</v>
      </c>
      <c r="AE241" s="328">
        <v>0</v>
      </c>
      <c r="AF241" s="328">
        <v>0</v>
      </c>
      <c r="AG241" s="328">
        <v>0</v>
      </c>
      <c r="AH241" s="329">
        <f t="shared" si="7"/>
        <v>10</v>
      </c>
    </row>
    <row r="242" spans="1:34" x14ac:dyDescent="0.2">
      <c r="A242" s="20" t="str">
        <f>'School Level Inst. Resources'!A242</f>
        <v>1501000</v>
      </c>
      <c r="B242" s="20" t="str">
        <f>'School Level Inst. Resources'!B242</f>
        <v>Park #1</v>
      </c>
      <c r="C242" s="20" t="str">
        <f>'School Level Inst. Resources'!C242</f>
        <v>1501050</v>
      </c>
      <c r="D242" s="20" t="str">
        <f>'School Level Inst. Resources'!D242</f>
        <v>Powell Middle School</v>
      </c>
      <c r="E242" s="138" t="str">
        <f>'School Level Inst. Resources'!E242</f>
        <v>6-8</v>
      </c>
      <c r="F242" s="328">
        <v>0</v>
      </c>
      <c r="G242" s="328">
        <v>0</v>
      </c>
      <c r="H242" s="328">
        <v>0</v>
      </c>
      <c r="I242" s="328">
        <v>0</v>
      </c>
      <c r="J242" s="328">
        <v>0</v>
      </c>
      <c r="K242" s="328">
        <v>0</v>
      </c>
      <c r="L242" s="328">
        <v>76</v>
      </c>
      <c r="M242" s="328">
        <v>49</v>
      </c>
      <c r="N242" s="328">
        <v>61</v>
      </c>
      <c r="O242" s="328">
        <v>0</v>
      </c>
      <c r="P242" s="328">
        <v>0</v>
      </c>
      <c r="Q242" s="328">
        <v>0</v>
      </c>
      <c r="R242" s="328">
        <v>0</v>
      </c>
      <c r="S242" s="329">
        <f t="shared" si="8"/>
        <v>186</v>
      </c>
      <c r="T242" s="327"/>
      <c r="U242" s="328">
        <v>0</v>
      </c>
      <c r="V242" s="328">
        <v>0</v>
      </c>
      <c r="W242" s="328">
        <v>0</v>
      </c>
      <c r="X242" s="328">
        <v>0</v>
      </c>
      <c r="Y242" s="328">
        <v>0</v>
      </c>
      <c r="Z242" s="328">
        <v>0</v>
      </c>
      <c r="AA242" s="328">
        <v>4</v>
      </c>
      <c r="AB242" s="328">
        <v>5</v>
      </c>
      <c r="AC242" s="328">
        <v>2</v>
      </c>
      <c r="AD242" s="328">
        <v>0</v>
      </c>
      <c r="AE242" s="328">
        <v>0</v>
      </c>
      <c r="AF242" s="328">
        <v>0</v>
      </c>
      <c r="AG242" s="328">
        <v>0</v>
      </c>
      <c r="AH242" s="329">
        <f t="shared" si="7"/>
        <v>11</v>
      </c>
    </row>
    <row r="243" spans="1:34" x14ac:dyDescent="0.2">
      <c r="A243" s="20" t="str">
        <f>'School Level Inst. Resources'!A243</f>
        <v>1501000</v>
      </c>
      <c r="B243" s="20" t="str">
        <f>'School Level Inst. Resources'!B243</f>
        <v>Park #1</v>
      </c>
      <c r="C243" s="20" t="str">
        <f>'School Level Inst. Resources'!C243</f>
        <v>1501055</v>
      </c>
      <c r="D243" s="20" t="str">
        <f>'School Level Inst. Resources'!D243</f>
        <v>Powell High School</v>
      </c>
      <c r="E243" s="138" t="str">
        <f>'School Level Inst. Resources'!E243</f>
        <v>9-12</v>
      </c>
      <c r="F243" s="328">
        <v>0</v>
      </c>
      <c r="G243" s="328">
        <v>0</v>
      </c>
      <c r="H243" s="328">
        <v>0</v>
      </c>
      <c r="I243" s="328">
        <v>0</v>
      </c>
      <c r="J243" s="328">
        <v>0</v>
      </c>
      <c r="K243" s="328">
        <v>0</v>
      </c>
      <c r="L243" s="328">
        <v>0</v>
      </c>
      <c r="M243" s="328">
        <v>0</v>
      </c>
      <c r="N243" s="328">
        <v>0</v>
      </c>
      <c r="O243" s="328">
        <v>59</v>
      </c>
      <c r="P243" s="328">
        <v>52</v>
      </c>
      <c r="Q243" s="328">
        <v>40</v>
      </c>
      <c r="R243" s="328">
        <v>31</v>
      </c>
      <c r="S243" s="329">
        <f t="shared" si="8"/>
        <v>182</v>
      </c>
      <c r="T243" s="327"/>
      <c r="U243" s="328">
        <v>0</v>
      </c>
      <c r="V243" s="328">
        <v>0</v>
      </c>
      <c r="W243" s="328">
        <v>0</v>
      </c>
      <c r="X243" s="328">
        <v>0</v>
      </c>
      <c r="Y243" s="328">
        <v>0</v>
      </c>
      <c r="Z243" s="328">
        <v>0</v>
      </c>
      <c r="AA243" s="328">
        <v>0</v>
      </c>
      <c r="AB243" s="328">
        <v>0</v>
      </c>
      <c r="AC243" s="328">
        <v>0</v>
      </c>
      <c r="AD243" s="328">
        <v>1</v>
      </c>
      <c r="AE243" s="328">
        <v>3</v>
      </c>
      <c r="AF243" s="328">
        <v>6</v>
      </c>
      <c r="AG243" s="328">
        <v>1</v>
      </c>
      <c r="AH243" s="329">
        <f t="shared" si="7"/>
        <v>11</v>
      </c>
    </row>
    <row r="244" spans="1:34" x14ac:dyDescent="0.2">
      <c r="A244" s="20" t="str">
        <f>'School Level Inst. Resources'!A244</f>
        <v>1501000</v>
      </c>
      <c r="B244" s="20" t="str">
        <f>'School Level Inst. Resources'!B244</f>
        <v>Park #1</v>
      </c>
      <c r="C244" s="20" t="str">
        <f>'School Level Inst. Resources'!C244</f>
        <v>1501056</v>
      </c>
      <c r="D244" s="20" t="str">
        <f>'School Level Inst. Resources'!D244</f>
        <v>Shoshone Learning Center</v>
      </c>
      <c r="E244" s="138" t="str">
        <f>'School Level Inst. Resources'!E244</f>
        <v>9-12</v>
      </c>
      <c r="F244" s="328">
        <v>0</v>
      </c>
      <c r="G244" s="328">
        <v>0</v>
      </c>
      <c r="H244" s="328">
        <v>0</v>
      </c>
      <c r="I244" s="328">
        <v>0</v>
      </c>
      <c r="J244" s="328">
        <v>0</v>
      </c>
      <c r="K244" s="328">
        <v>0</v>
      </c>
      <c r="L244" s="328">
        <v>0</v>
      </c>
      <c r="M244" s="328">
        <v>0</v>
      </c>
      <c r="N244" s="328">
        <v>0</v>
      </c>
      <c r="O244" s="328">
        <v>1</v>
      </c>
      <c r="P244" s="328">
        <v>2</v>
      </c>
      <c r="Q244" s="328">
        <v>4</v>
      </c>
      <c r="R244" s="328">
        <v>6</v>
      </c>
      <c r="S244" s="329">
        <f t="shared" si="8"/>
        <v>13</v>
      </c>
      <c r="T244" s="327"/>
      <c r="U244" s="328">
        <v>0</v>
      </c>
      <c r="V244" s="328">
        <v>0</v>
      </c>
      <c r="W244" s="328">
        <v>0</v>
      </c>
      <c r="X244" s="328">
        <v>0</v>
      </c>
      <c r="Y244" s="328">
        <v>0</v>
      </c>
      <c r="Z244" s="328">
        <v>0</v>
      </c>
      <c r="AA244" s="328">
        <v>0</v>
      </c>
      <c r="AB244" s="328">
        <v>0</v>
      </c>
      <c r="AC244" s="328">
        <v>0</v>
      </c>
      <c r="AD244" s="328">
        <v>0</v>
      </c>
      <c r="AE244" s="328">
        <v>0</v>
      </c>
      <c r="AF244" s="328">
        <v>0</v>
      </c>
      <c r="AG244" s="328">
        <v>1</v>
      </c>
      <c r="AH244" s="329">
        <f t="shared" si="7"/>
        <v>1</v>
      </c>
    </row>
    <row r="245" spans="1:34" x14ac:dyDescent="0.2">
      <c r="A245" s="20" t="str">
        <f>'School Level Inst. Resources'!A245</f>
        <v>1506000</v>
      </c>
      <c r="B245" s="20" t="str">
        <f>'School Level Inst. Resources'!B245</f>
        <v>Park #6</v>
      </c>
      <c r="C245" s="20" t="str">
        <f>'School Level Inst. Resources'!C245</f>
        <v>1506001</v>
      </c>
      <c r="D245" s="20" t="str">
        <f>'School Level Inst. Resources'!D245</f>
        <v>Eastside Elementary</v>
      </c>
      <c r="E245" s="138" t="str">
        <f>'School Level Inst. Resources'!E245</f>
        <v>K-5</v>
      </c>
      <c r="F245" s="328">
        <v>27</v>
      </c>
      <c r="G245" s="328">
        <v>23</v>
      </c>
      <c r="H245" s="328">
        <v>22</v>
      </c>
      <c r="I245" s="328">
        <v>18</v>
      </c>
      <c r="J245" s="328">
        <v>19</v>
      </c>
      <c r="K245" s="328">
        <v>26</v>
      </c>
      <c r="L245" s="328">
        <v>0</v>
      </c>
      <c r="M245" s="328">
        <v>0</v>
      </c>
      <c r="N245" s="328">
        <v>0</v>
      </c>
      <c r="O245" s="328">
        <v>0</v>
      </c>
      <c r="P245" s="328">
        <v>0</v>
      </c>
      <c r="Q245" s="328">
        <v>0</v>
      </c>
      <c r="R245" s="328">
        <v>0</v>
      </c>
      <c r="S245" s="329">
        <f t="shared" si="8"/>
        <v>135</v>
      </c>
      <c r="T245" s="327"/>
      <c r="U245" s="328">
        <v>0</v>
      </c>
      <c r="V245" s="328">
        <v>1</v>
      </c>
      <c r="W245" s="328">
        <v>1</v>
      </c>
      <c r="X245" s="328">
        <v>1</v>
      </c>
      <c r="Y245" s="328">
        <v>0</v>
      </c>
      <c r="Z245" s="328">
        <v>1</v>
      </c>
      <c r="AA245" s="328">
        <v>0</v>
      </c>
      <c r="AB245" s="328">
        <v>0</v>
      </c>
      <c r="AC245" s="328">
        <v>0</v>
      </c>
      <c r="AD245" s="328">
        <v>0</v>
      </c>
      <c r="AE245" s="328">
        <v>0</v>
      </c>
      <c r="AF245" s="328">
        <v>0</v>
      </c>
      <c r="AG245" s="328">
        <v>0</v>
      </c>
      <c r="AH245" s="329">
        <f t="shared" si="7"/>
        <v>4</v>
      </c>
    </row>
    <row r="246" spans="1:34" x14ac:dyDescent="0.2">
      <c r="A246" s="20" t="str">
        <f>'School Level Inst. Resources'!A246</f>
        <v>1506000</v>
      </c>
      <c r="B246" s="20" t="str">
        <f>'School Level Inst. Resources'!B246</f>
        <v>Park #6</v>
      </c>
      <c r="C246" s="20" t="str">
        <f>'School Level Inst. Resources'!C246</f>
        <v>1506002</v>
      </c>
      <c r="D246" s="20" t="str">
        <f>'School Level Inst. Resources'!D246</f>
        <v>Sunset Elementary</v>
      </c>
      <c r="E246" s="138" t="str">
        <f>'School Level Inst. Resources'!E246</f>
        <v>K-5</v>
      </c>
      <c r="F246" s="328">
        <v>14</v>
      </c>
      <c r="G246" s="328">
        <v>12</v>
      </c>
      <c r="H246" s="328">
        <v>15</v>
      </c>
      <c r="I246" s="328">
        <v>23</v>
      </c>
      <c r="J246" s="328">
        <v>14</v>
      </c>
      <c r="K246" s="328">
        <v>13</v>
      </c>
      <c r="L246" s="328">
        <v>0</v>
      </c>
      <c r="M246" s="328">
        <v>0</v>
      </c>
      <c r="N246" s="328">
        <v>0</v>
      </c>
      <c r="O246" s="328">
        <v>0</v>
      </c>
      <c r="P246" s="328">
        <v>0</v>
      </c>
      <c r="Q246" s="328">
        <v>0</v>
      </c>
      <c r="R246" s="328">
        <v>0</v>
      </c>
      <c r="S246" s="329">
        <f t="shared" si="8"/>
        <v>91</v>
      </c>
      <c r="T246" s="327"/>
      <c r="U246" s="328">
        <v>0</v>
      </c>
      <c r="V246" s="328">
        <v>0</v>
      </c>
      <c r="W246" s="328">
        <v>0</v>
      </c>
      <c r="X246" s="328">
        <v>0</v>
      </c>
      <c r="Y246" s="328">
        <v>0</v>
      </c>
      <c r="Z246" s="328">
        <v>0</v>
      </c>
      <c r="AA246" s="328">
        <v>0</v>
      </c>
      <c r="AB246" s="328">
        <v>0</v>
      </c>
      <c r="AC246" s="328">
        <v>0</v>
      </c>
      <c r="AD246" s="328">
        <v>0</v>
      </c>
      <c r="AE246" s="328">
        <v>0</v>
      </c>
      <c r="AF246" s="328">
        <v>0</v>
      </c>
      <c r="AG246" s="328">
        <v>0</v>
      </c>
      <c r="AH246" s="329">
        <f t="shared" si="7"/>
        <v>0</v>
      </c>
    </row>
    <row r="247" spans="1:34" x14ac:dyDescent="0.2">
      <c r="A247" s="20" t="str">
        <f>'School Level Inst. Resources'!A247</f>
        <v>1506000</v>
      </c>
      <c r="B247" s="20" t="str">
        <f>'School Level Inst. Resources'!B247</f>
        <v>Park #6</v>
      </c>
      <c r="C247" s="20" t="str">
        <f>'School Level Inst. Resources'!C247</f>
        <v>1506003</v>
      </c>
      <c r="D247" s="20" t="str">
        <f>'School Level Inst. Resources'!D247</f>
        <v>Valley Elementary</v>
      </c>
      <c r="E247" s="138" t="str">
        <f>'School Level Inst. Resources'!E247</f>
        <v>K-5</v>
      </c>
      <c r="F247" s="328">
        <v>0</v>
      </c>
      <c r="G247" s="328">
        <v>0</v>
      </c>
      <c r="H247" s="328">
        <v>1</v>
      </c>
      <c r="I247" s="328">
        <v>0</v>
      </c>
      <c r="J247" s="328">
        <v>0</v>
      </c>
      <c r="K247" s="328">
        <v>0</v>
      </c>
      <c r="L247" s="328">
        <v>0</v>
      </c>
      <c r="M247" s="328">
        <v>0</v>
      </c>
      <c r="N247" s="328">
        <v>0</v>
      </c>
      <c r="O247" s="328">
        <v>0</v>
      </c>
      <c r="P247" s="328">
        <v>0</v>
      </c>
      <c r="Q247" s="328">
        <v>0</v>
      </c>
      <c r="R247" s="328">
        <v>0</v>
      </c>
      <c r="S247" s="329">
        <f t="shared" si="8"/>
        <v>1</v>
      </c>
      <c r="T247" s="327"/>
      <c r="U247" s="328">
        <v>0</v>
      </c>
      <c r="V247" s="328">
        <v>0</v>
      </c>
      <c r="W247" s="328">
        <v>0</v>
      </c>
      <c r="X247" s="328">
        <v>0</v>
      </c>
      <c r="Y247" s="328">
        <v>0</v>
      </c>
      <c r="Z247" s="328">
        <v>0</v>
      </c>
      <c r="AA247" s="328">
        <v>0</v>
      </c>
      <c r="AB247" s="328">
        <v>0</v>
      </c>
      <c r="AC247" s="328">
        <v>0</v>
      </c>
      <c r="AD247" s="328">
        <v>0</v>
      </c>
      <c r="AE247" s="328">
        <v>0</v>
      </c>
      <c r="AF247" s="328">
        <v>0</v>
      </c>
      <c r="AG247" s="328">
        <v>0</v>
      </c>
      <c r="AH247" s="329">
        <f t="shared" si="7"/>
        <v>0</v>
      </c>
    </row>
    <row r="248" spans="1:34" x14ac:dyDescent="0.2">
      <c r="A248" s="20" t="str">
        <f>'School Level Inst. Resources'!A248</f>
        <v>1506000</v>
      </c>
      <c r="B248" s="20" t="str">
        <f>'School Level Inst. Resources'!B248</f>
        <v>Park #6</v>
      </c>
      <c r="C248" s="20" t="str">
        <f>'School Level Inst. Resources'!C248</f>
        <v>1506004</v>
      </c>
      <c r="D248" s="20" t="str">
        <f>'School Level Inst. Resources'!D248</f>
        <v>Wapiti Elementary</v>
      </c>
      <c r="E248" s="138" t="str">
        <f>'School Level Inst. Resources'!E248</f>
        <v>K-5</v>
      </c>
      <c r="F248" s="328">
        <v>0</v>
      </c>
      <c r="G248" s="328">
        <v>0</v>
      </c>
      <c r="H248" s="328">
        <v>0</v>
      </c>
      <c r="I248" s="328">
        <v>0</v>
      </c>
      <c r="J248" s="328">
        <v>1</v>
      </c>
      <c r="K248" s="328">
        <v>1</v>
      </c>
      <c r="L248" s="328">
        <v>0</v>
      </c>
      <c r="M248" s="328">
        <v>0</v>
      </c>
      <c r="N248" s="328">
        <v>0</v>
      </c>
      <c r="O248" s="328">
        <v>0</v>
      </c>
      <c r="P248" s="328">
        <v>0</v>
      </c>
      <c r="Q248" s="328">
        <v>0</v>
      </c>
      <c r="R248" s="328">
        <v>0</v>
      </c>
      <c r="S248" s="329">
        <f t="shared" si="8"/>
        <v>2</v>
      </c>
      <c r="T248" s="327"/>
      <c r="U248" s="328">
        <v>0</v>
      </c>
      <c r="V248" s="328">
        <v>0</v>
      </c>
      <c r="W248" s="328">
        <v>0</v>
      </c>
      <c r="X248" s="328">
        <v>0</v>
      </c>
      <c r="Y248" s="328">
        <v>0</v>
      </c>
      <c r="Z248" s="328">
        <v>0</v>
      </c>
      <c r="AA248" s="328">
        <v>0</v>
      </c>
      <c r="AB248" s="328">
        <v>0</v>
      </c>
      <c r="AC248" s="328">
        <v>0</v>
      </c>
      <c r="AD248" s="328">
        <v>0</v>
      </c>
      <c r="AE248" s="328">
        <v>0</v>
      </c>
      <c r="AF248" s="328">
        <v>0</v>
      </c>
      <c r="AG248" s="328">
        <v>0</v>
      </c>
      <c r="AH248" s="329">
        <f t="shared" si="7"/>
        <v>0</v>
      </c>
    </row>
    <row r="249" spans="1:34" x14ac:dyDescent="0.2">
      <c r="A249" s="20" t="str">
        <f>'School Level Inst. Resources'!A249</f>
        <v>1506000</v>
      </c>
      <c r="B249" s="20" t="str">
        <f>'School Level Inst. Resources'!B249</f>
        <v>Park #6</v>
      </c>
      <c r="C249" s="20" t="str">
        <f>'School Level Inst. Resources'!C249</f>
        <v>1506005</v>
      </c>
      <c r="D249" s="20" t="str">
        <f>'School Level Inst. Resources'!D249</f>
        <v>Glenn Livingston Elementary</v>
      </c>
      <c r="E249" s="138" t="str">
        <f>'School Level Inst. Resources'!E249</f>
        <v>K-5</v>
      </c>
      <c r="F249" s="328">
        <v>18</v>
      </c>
      <c r="G249" s="328">
        <v>8</v>
      </c>
      <c r="H249" s="328">
        <v>9</v>
      </c>
      <c r="I249" s="328">
        <v>10</v>
      </c>
      <c r="J249" s="328">
        <v>12</v>
      </c>
      <c r="K249" s="328">
        <v>6</v>
      </c>
      <c r="L249" s="328">
        <v>0</v>
      </c>
      <c r="M249" s="328">
        <v>0</v>
      </c>
      <c r="N249" s="328">
        <v>0</v>
      </c>
      <c r="O249" s="328">
        <v>0</v>
      </c>
      <c r="P249" s="328">
        <v>0</v>
      </c>
      <c r="Q249" s="328">
        <v>0</v>
      </c>
      <c r="R249" s="328">
        <v>0</v>
      </c>
      <c r="S249" s="329">
        <f t="shared" si="8"/>
        <v>63</v>
      </c>
      <c r="T249" s="327"/>
      <c r="U249" s="328">
        <v>0</v>
      </c>
      <c r="V249" s="328">
        <v>0</v>
      </c>
      <c r="W249" s="328">
        <v>0</v>
      </c>
      <c r="X249" s="328">
        <v>0</v>
      </c>
      <c r="Y249" s="328">
        <v>0</v>
      </c>
      <c r="Z249" s="328">
        <v>1</v>
      </c>
      <c r="AA249" s="328">
        <v>0</v>
      </c>
      <c r="AB249" s="328">
        <v>0</v>
      </c>
      <c r="AC249" s="328">
        <v>0</v>
      </c>
      <c r="AD249" s="328">
        <v>0</v>
      </c>
      <c r="AE249" s="328">
        <v>0</v>
      </c>
      <c r="AF249" s="328">
        <v>0</v>
      </c>
      <c r="AG249" s="328">
        <v>0</v>
      </c>
      <c r="AH249" s="329">
        <f t="shared" si="7"/>
        <v>1</v>
      </c>
    </row>
    <row r="250" spans="1:34" x14ac:dyDescent="0.2">
      <c r="A250" s="20" t="str">
        <f>'School Level Inst. Resources'!A250</f>
        <v>1506000</v>
      </c>
      <c r="B250" s="20" t="str">
        <f>'School Level Inst. Resources'!B250</f>
        <v>Park #6</v>
      </c>
      <c r="C250" s="20" t="str">
        <f>'School Level Inst. Resources'!C250</f>
        <v>1506050</v>
      </c>
      <c r="D250" s="20" t="str">
        <f>'School Level Inst. Resources'!D250</f>
        <v>Cody Middle School</v>
      </c>
      <c r="E250" s="138" t="str">
        <f>'School Level Inst. Resources'!E250</f>
        <v>6-8</v>
      </c>
      <c r="F250" s="328">
        <v>0</v>
      </c>
      <c r="G250" s="328">
        <v>0</v>
      </c>
      <c r="H250" s="328">
        <v>0</v>
      </c>
      <c r="I250" s="328">
        <v>0</v>
      </c>
      <c r="J250" s="328">
        <v>0</v>
      </c>
      <c r="K250" s="328">
        <v>0</v>
      </c>
      <c r="L250" s="328">
        <v>52</v>
      </c>
      <c r="M250" s="328">
        <v>45</v>
      </c>
      <c r="N250" s="328">
        <v>32</v>
      </c>
      <c r="O250" s="328">
        <v>0</v>
      </c>
      <c r="P250" s="328">
        <v>0</v>
      </c>
      <c r="Q250" s="328">
        <v>0</v>
      </c>
      <c r="R250" s="328">
        <v>0</v>
      </c>
      <c r="S250" s="329">
        <f t="shared" si="8"/>
        <v>129</v>
      </c>
      <c r="T250" s="327"/>
      <c r="U250" s="328">
        <v>0</v>
      </c>
      <c r="V250" s="328">
        <v>0</v>
      </c>
      <c r="W250" s="328">
        <v>0</v>
      </c>
      <c r="X250" s="328">
        <v>0</v>
      </c>
      <c r="Y250" s="328">
        <v>0</v>
      </c>
      <c r="Z250" s="328">
        <v>0</v>
      </c>
      <c r="AA250" s="328">
        <v>0</v>
      </c>
      <c r="AB250" s="328">
        <v>0</v>
      </c>
      <c r="AC250" s="328">
        <v>1</v>
      </c>
      <c r="AD250" s="328">
        <v>0</v>
      </c>
      <c r="AE250" s="328">
        <v>0</v>
      </c>
      <c r="AF250" s="328">
        <v>0</v>
      </c>
      <c r="AG250" s="328">
        <v>0</v>
      </c>
      <c r="AH250" s="329">
        <f t="shared" si="7"/>
        <v>1</v>
      </c>
    </row>
    <row r="251" spans="1:34" x14ac:dyDescent="0.2">
      <c r="A251" s="20" t="str">
        <f>'School Level Inst. Resources'!A251</f>
        <v>1506000</v>
      </c>
      <c r="B251" s="20" t="str">
        <f>'School Level Inst. Resources'!B251</f>
        <v>Park #6</v>
      </c>
      <c r="C251" s="20" t="str">
        <f>'School Level Inst. Resources'!C251</f>
        <v>1506055</v>
      </c>
      <c r="D251" s="20" t="str">
        <f>'School Level Inst. Resources'!D251</f>
        <v>Cody High School</v>
      </c>
      <c r="E251" s="138" t="str">
        <f>'School Level Inst. Resources'!E251</f>
        <v>9-12</v>
      </c>
      <c r="F251" s="328">
        <v>0</v>
      </c>
      <c r="G251" s="328">
        <v>0</v>
      </c>
      <c r="H251" s="328">
        <v>0</v>
      </c>
      <c r="I251" s="328">
        <v>0</v>
      </c>
      <c r="J251" s="328">
        <v>0</v>
      </c>
      <c r="K251" s="328">
        <v>0</v>
      </c>
      <c r="L251" s="328">
        <v>0</v>
      </c>
      <c r="M251" s="328">
        <v>0</v>
      </c>
      <c r="N251" s="328">
        <v>0</v>
      </c>
      <c r="O251" s="328">
        <v>42</v>
      </c>
      <c r="P251" s="328">
        <v>35</v>
      </c>
      <c r="Q251" s="328">
        <v>22</v>
      </c>
      <c r="R251" s="328">
        <v>27</v>
      </c>
      <c r="S251" s="329">
        <f t="shared" si="8"/>
        <v>126</v>
      </c>
      <c r="T251" s="327"/>
      <c r="U251" s="328">
        <v>0</v>
      </c>
      <c r="V251" s="328">
        <v>0</v>
      </c>
      <c r="W251" s="328">
        <v>0</v>
      </c>
      <c r="X251" s="328">
        <v>0</v>
      </c>
      <c r="Y251" s="328">
        <v>0</v>
      </c>
      <c r="Z251" s="328">
        <v>0</v>
      </c>
      <c r="AA251" s="328">
        <v>0</v>
      </c>
      <c r="AB251" s="328">
        <v>0</v>
      </c>
      <c r="AC251" s="328">
        <v>0</v>
      </c>
      <c r="AD251" s="328">
        <v>1</v>
      </c>
      <c r="AE251" s="328">
        <v>0</v>
      </c>
      <c r="AF251" s="328">
        <v>0</v>
      </c>
      <c r="AG251" s="328">
        <v>2</v>
      </c>
      <c r="AH251" s="329">
        <f t="shared" si="7"/>
        <v>3</v>
      </c>
    </row>
    <row r="252" spans="1:34" x14ac:dyDescent="0.2">
      <c r="A252" s="20" t="str">
        <f>'School Level Inst. Resources'!A252</f>
        <v>1506000</v>
      </c>
      <c r="B252" s="20" t="str">
        <f>'School Level Inst. Resources'!B252</f>
        <v>Park #6</v>
      </c>
      <c r="C252" s="20" t="str">
        <f>'School Level Inst. Resources'!C252</f>
        <v>1506056</v>
      </c>
      <c r="D252" s="20" t="str">
        <f>'School Level Inst. Resources'!D252</f>
        <v>Heart Mountain Academy</v>
      </c>
      <c r="E252" s="138" t="str">
        <f>'School Level Inst. Resources'!E252</f>
        <v>9-12</v>
      </c>
      <c r="F252" s="328">
        <v>0</v>
      </c>
      <c r="G252" s="328">
        <v>0</v>
      </c>
      <c r="H252" s="328">
        <v>0</v>
      </c>
      <c r="I252" s="328">
        <v>0</v>
      </c>
      <c r="J252" s="328">
        <v>0</v>
      </c>
      <c r="K252" s="328">
        <v>0</v>
      </c>
      <c r="L252" s="328">
        <v>0</v>
      </c>
      <c r="M252" s="328">
        <v>0</v>
      </c>
      <c r="N252" s="328">
        <v>0</v>
      </c>
      <c r="O252" s="328">
        <v>1</v>
      </c>
      <c r="P252" s="328">
        <v>4</v>
      </c>
      <c r="Q252" s="328">
        <v>9</v>
      </c>
      <c r="R252" s="328">
        <v>6</v>
      </c>
      <c r="S252" s="329">
        <f t="shared" si="8"/>
        <v>20</v>
      </c>
      <c r="T252" s="327"/>
      <c r="U252" s="328">
        <v>0</v>
      </c>
      <c r="V252" s="328">
        <v>0</v>
      </c>
      <c r="W252" s="328">
        <v>0</v>
      </c>
      <c r="X252" s="328">
        <v>0</v>
      </c>
      <c r="Y252" s="328">
        <v>0</v>
      </c>
      <c r="Z252" s="328">
        <v>0</v>
      </c>
      <c r="AA252" s="328">
        <v>0</v>
      </c>
      <c r="AB252" s="328">
        <v>0</v>
      </c>
      <c r="AC252" s="328">
        <v>0</v>
      </c>
      <c r="AD252" s="328">
        <v>0</v>
      </c>
      <c r="AE252" s="328">
        <v>0</v>
      </c>
      <c r="AF252" s="328">
        <v>0</v>
      </c>
      <c r="AG252" s="328">
        <v>1</v>
      </c>
      <c r="AH252" s="329">
        <f t="shared" si="7"/>
        <v>1</v>
      </c>
    </row>
    <row r="253" spans="1:34" x14ac:dyDescent="0.2">
      <c r="A253" s="20" t="str">
        <f>'School Level Inst. Resources'!A253</f>
        <v>1516000</v>
      </c>
      <c r="B253" s="20" t="str">
        <f>'School Level Inst. Resources'!B253</f>
        <v>Park #16</v>
      </c>
      <c r="C253" s="20" t="str">
        <f>'School Level Inst. Resources'!C253</f>
        <v>1516049</v>
      </c>
      <c r="D253" s="20" t="str">
        <f>'School Level Inst. Resources'!D253</f>
        <v>Meeteetse School</v>
      </c>
      <c r="E253" s="138" t="str">
        <f>'School Level Inst. Resources'!E253</f>
        <v>P-12</v>
      </c>
      <c r="F253" s="328">
        <v>3</v>
      </c>
      <c r="G253" s="328">
        <v>3</v>
      </c>
      <c r="H253" s="328">
        <v>5</v>
      </c>
      <c r="I253" s="328">
        <v>2</v>
      </c>
      <c r="J253" s="328">
        <v>6</v>
      </c>
      <c r="K253" s="328">
        <v>3</v>
      </c>
      <c r="L253" s="328">
        <v>3</v>
      </c>
      <c r="M253" s="328">
        <v>7</v>
      </c>
      <c r="N253" s="328">
        <v>4</v>
      </c>
      <c r="O253" s="328">
        <v>4</v>
      </c>
      <c r="P253" s="328">
        <v>6</v>
      </c>
      <c r="Q253" s="328">
        <v>4</v>
      </c>
      <c r="R253" s="328">
        <v>3</v>
      </c>
      <c r="S253" s="329">
        <f t="shared" si="8"/>
        <v>53</v>
      </c>
      <c r="T253" s="327"/>
      <c r="U253" s="328">
        <v>0</v>
      </c>
      <c r="V253" s="328">
        <v>0</v>
      </c>
      <c r="W253" s="328">
        <v>0</v>
      </c>
      <c r="X253" s="328">
        <v>0</v>
      </c>
      <c r="Y253" s="328">
        <v>0</v>
      </c>
      <c r="Z253" s="328">
        <v>0</v>
      </c>
      <c r="AA253" s="328">
        <v>0</v>
      </c>
      <c r="AB253" s="328">
        <v>0</v>
      </c>
      <c r="AC253" s="328">
        <v>0</v>
      </c>
      <c r="AD253" s="328">
        <v>0</v>
      </c>
      <c r="AE253" s="328">
        <v>0</v>
      </c>
      <c r="AF253" s="328">
        <v>0</v>
      </c>
      <c r="AG253" s="328">
        <v>0</v>
      </c>
      <c r="AH253" s="329">
        <f t="shared" si="7"/>
        <v>0</v>
      </c>
    </row>
    <row r="254" spans="1:34" x14ac:dyDescent="0.2">
      <c r="A254" s="20" t="str">
        <f>'School Level Inst. Resources'!A254</f>
        <v>1601000</v>
      </c>
      <c r="B254" s="20" t="str">
        <f>'School Level Inst. Resources'!B254</f>
        <v>Platte #1</v>
      </c>
      <c r="C254" s="20" t="str">
        <f>'School Level Inst. Resources'!C254</f>
        <v>1601001</v>
      </c>
      <c r="D254" s="20" t="str">
        <f>'School Level Inst. Resources'!D254</f>
        <v>Chugwater Elementary</v>
      </c>
      <c r="E254" s="138" t="str">
        <f>'School Level Inst. Resources'!E254</f>
        <v>K-6</v>
      </c>
      <c r="F254" s="328">
        <v>3</v>
      </c>
      <c r="G254" s="328">
        <v>2</v>
      </c>
      <c r="H254" s="328">
        <v>5</v>
      </c>
      <c r="I254" s="328">
        <v>4</v>
      </c>
      <c r="J254" s="328">
        <v>5</v>
      </c>
      <c r="K254" s="328">
        <v>1</v>
      </c>
      <c r="L254" s="328">
        <v>0</v>
      </c>
      <c r="M254" s="328">
        <v>0</v>
      </c>
      <c r="N254" s="328">
        <v>0</v>
      </c>
      <c r="O254" s="328">
        <v>0</v>
      </c>
      <c r="P254" s="328">
        <v>0</v>
      </c>
      <c r="Q254" s="328">
        <v>0</v>
      </c>
      <c r="R254" s="328">
        <v>0</v>
      </c>
      <c r="S254" s="329">
        <f t="shared" si="8"/>
        <v>20</v>
      </c>
      <c r="T254" s="327"/>
      <c r="U254" s="328">
        <v>0</v>
      </c>
      <c r="V254" s="328">
        <v>0</v>
      </c>
      <c r="W254" s="328">
        <v>0</v>
      </c>
      <c r="X254" s="328">
        <v>0</v>
      </c>
      <c r="Y254" s="328">
        <v>0</v>
      </c>
      <c r="Z254" s="328">
        <v>0</v>
      </c>
      <c r="AA254" s="328">
        <v>0</v>
      </c>
      <c r="AB254" s="328">
        <v>0</v>
      </c>
      <c r="AC254" s="328">
        <v>0</v>
      </c>
      <c r="AD254" s="328">
        <v>0</v>
      </c>
      <c r="AE254" s="328">
        <v>0</v>
      </c>
      <c r="AF254" s="328">
        <v>0</v>
      </c>
      <c r="AG254" s="328">
        <v>0</v>
      </c>
      <c r="AH254" s="329">
        <f t="shared" si="7"/>
        <v>0</v>
      </c>
    </row>
    <row r="255" spans="1:34" x14ac:dyDescent="0.2">
      <c r="A255" s="20" t="str">
        <f>'School Level Inst. Resources'!A255</f>
        <v>1601000</v>
      </c>
      <c r="B255" s="20" t="str">
        <f>'School Level Inst. Resources'!B255</f>
        <v>Platte #1</v>
      </c>
      <c r="C255" s="20" t="str">
        <f>'School Level Inst. Resources'!C255</f>
        <v>1601002</v>
      </c>
      <c r="D255" s="20" t="str">
        <f>'School Level Inst. Resources'!D255</f>
        <v>Glendo Elementary</v>
      </c>
      <c r="E255" s="138" t="str">
        <f>'School Level Inst. Resources'!E255</f>
        <v>K-6</v>
      </c>
      <c r="F255" s="328">
        <v>2</v>
      </c>
      <c r="G255" s="328">
        <v>1</v>
      </c>
      <c r="H255" s="328">
        <v>1</v>
      </c>
      <c r="I255" s="328">
        <v>1</v>
      </c>
      <c r="J255" s="328">
        <v>0</v>
      </c>
      <c r="K255" s="328">
        <v>2</v>
      </c>
      <c r="L255" s="328">
        <v>3</v>
      </c>
      <c r="M255" s="328">
        <v>0</v>
      </c>
      <c r="N255" s="328">
        <v>0</v>
      </c>
      <c r="O255" s="328">
        <v>0</v>
      </c>
      <c r="P255" s="328">
        <v>0</v>
      </c>
      <c r="Q255" s="328">
        <v>0</v>
      </c>
      <c r="R255" s="328">
        <v>0</v>
      </c>
      <c r="S255" s="329">
        <f t="shared" si="8"/>
        <v>10</v>
      </c>
      <c r="T255" s="327"/>
      <c r="U255" s="328">
        <v>0</v>
      </c>
      <c r="V255" s="328">
        <v>0</v>
      </c>
      <c r="W255" s="328">
        <v>0</v>
      </c>
      <c r="X255" s="328">
        <v>0</v>
      </c>
      <c r="Y255" s="328">
        <v>0</v>
      </c>
      <c r="Z255" s="328">
        <v>0</v>
      </c>
      <c r="AA255" s="328">
        <v>0</v>
      </c>
      <c r="AB255" s="328">
        <v>0</v>
      </c>
      <c r="AC255" s="328">
        <v>0</v>
      </c>
      <c r="AD255" s="328">
        <v>0</v>
      </c>
      <c r="AE255" s="328">
        <v>0</v>
      </c>
      <c r="AF255" s="328">
        <v>0</v>
      </c>
      <c r="AG255" s="328">
        <v>0</v>
      </c>
      <c r="AH255" s="329">
        <f t="shared" si="7"/>
        <v>0</v>
      </c>
    </row>
    <row r="256" spans="1:34" x14ac:dyDescent="0.2">
      <c r="A256" s="20" t="str">
        <f>'School Level Inst. Resources'!A256</f>
        <v>1601000</v>
      </c>
      <c r="B256" s="20" t="str">
        <f>'School Level Inst. Resources'!B256</f>
        <v>Platte #1</v>
      </c>
      <c r="C256" s="20" t="str">
        <f>'School Level Inst. Resources'!C256</f>
        <v>1601003</v>
      </c>
      <c r="D256" s="20" t="str">
        <f>'School Level Inst. Resources'!D256</f>
        <v>Libbey Elementary</v>
      </c>
      <c r="E256" s="138" t="str">
        <f>'School Level Inst. Resources'!E256</f>
        <v>K-2</v>
      </c>
      <c r="F256" s="328">
        <v>29</v>
      </c>
      <c r="G256" s="328">
        <v>21</v>
      </c>
      <c r="H256" s="328">
        <v>17</v>
      </c>
      <c r="I256" s="328">
        <v>0</v>
      </c>
      <c r="J256" s="328">
        <v>0</v>
      </c>
      <c r="K256" s="328">
        <v>0</v>
      </c>
      <c r="L256" s="328">
        <v>0</v>
      </c>
      <c r="M256" s="328">
        <v>0</v>
      </c>
      <c r="N256" s="328">
        <v>0</v>
      </c>
      <c r="O256" s="328">
        <v>0</v>
      </c>
      <c r="P256" s="328">
        <v>0</v>
      </c>
      <c r="Q256" s="328">
        <v>0</v>
      </c>
      <c r="R256" s="328">
        <v>0</v>
      </c>
      <c r="S256" s="329">
        <f t="shared" si="8"/>
        <v>67</v>
      </c>
      <c r="T256" s="327"/>
      <c r="U256" s="328">
        <v>3</v>
      </c>
      <c r="V256" s="328">
        <v>1</v>
      </c>
      <c r="W256" s="328">
        <v>0</v>
      </c>
      <c r="X256" s="328">
        <v>0</v>
      </c>
      <c r="Y256" s="328">
        <v>0</v>
      </c>
      <c r="Z256" s="328">
        <v>0</v>
      </c>
      <c r="AA256" s="328">
        <v>0</v>
      </c>
      <c r="AB256" s="328">
        <v>0</v>
      </c>
      <c r="AC256" s="328">
        <v>0</v>
      </c>
      <c r="AD256" s="328">
        <v>0</v>
      </c>
      <c r="AE256" s="328">
        <v>0</v>
      </c>
      <c r="AF256" s="328">
        <v>0</v>
      </c>
      <c r="AG256" s="328">
        <v>0</v>
      </c>
      <c r="AH256" s="329">
        <f t="shared" si="7"/>
        <v>4</v>
      </c>
    </row>
    <row r="257" spans="1:34" x14ac:dyDescent="0.2">
      <c r="A257" s="20" t="str">
        <f>'School Level Inst. Resources'!A257</f>
        <v>1601000</v>
      </c>
      <c r="B257" s="20" t="str">
        <f>'School Level Inst. Resources'!B257</f>
        <v>Platte #1</v>
      </c>
      <c r="C257" s="20" t="str">
        <f>'School Level Inst. Resources'!C257</f>
        <v>1601005</v>
      </c>
      <c r="D257" s="20" t="str">
        <f>'School Level Inst. Resources'!D257</f>
        <v>West Elementary</v>
      </c>
      <c r="E257" s="138" t="str">
        <f>'School Level Inst. Resources'!E257</f>
        <v>3-5</v>
      </c>
      <c r="F257" s="328">
        <v>0</v>
      </c>
      <c r="G257" s="328">
        <v>0</v>
      </c>
      <c r="H257" s="328">
        <v>0</v>
      </c>
      <c r="I257" s="328">
        <v>29</v>
      </c>
      <c r="J257" s="328">
        <v>30</v>
      </c>
      <c r="K257" s="328">
        <v>31</v>
      </c>
      <c r="L257" s="328">
        <v>0</v>
      </c>
      <c r="M257" s="328">
        <v>0</v>
      </c>
      <c r="N257" s="328">
        <v>0</v>
      </c>
      <c r="O257" s="328">
        <v>0</v>
      </c>
      <c r="P257" s="328">
        <v>0</v>
      </c>
      <c r="Q257" s="328">
        <v>0</v>
      </c>
      <c r="R257" s="328">
        <v>0</v>
      </c>
      <c r="S257" s="329">
        <f t="shared" si="8"/>
        <v>90</v>
      </c>
      <c r="T257" s="327"/>
      <c r="U257" s="328">
        <v>0</v>
      </c>
      <c r="V257" s="328">
        <v>0</v>
      </c>
      <c r="W257" s="328">
        <v>0</v>
      </c>
      <c r="X257" s="328">
        <v>1</v>
      </c>
      <c r="Y257" s="328">
        <v>4</v>
      </c>
      <c r="Z257" s="328">
        <v>4</v>
      </c>
      <c r="AA257" s="328">
        <v>0</v>
      </c>
      <c r="AB257" s="328">
        <v>0</v>
      </c>
      <c r="AC257" s="328">
        <v>0</v>
      </c>
      <c r="AD257" s="328">
        <v>0</v>
      </c>
      <c r="AE257" s="328">
        <v>0</v>
      </c>
      <c r="AF257" s="328">
        <v>0</v>
      </c>
      <c r="AG257" s="328">
        <v>0</v>
      </c>
      <c r="AH257" s="329">
        <f t="shared" si="7"/>
        <v>9</v>
      </c>
    </row>
    <row r="258" spans="1:34" x14ac:dyDescent="0.2">
      <c r="A258" s="20" t="str">
        <f>'School Level Inst. Resources'!A258</f>
        <v>1601000</v>
      </c>
      <c r="B258" s="20" t="str">
        <f>'School Level Inst. Resources'!B258</f>
        <v>Platte #1</v>
      </c>
      <c r="C258" s="20" t="str">
        <f>'School Level Inst. Resources'!C258</f>
        <v>1601050</v>
      </c>
      <c r="D258" s="20" t="str">
        <f>'School Level Inst. Resources'!D258</f>
        <v>Wheatland Middle School</v>
      </c>
      <c r="E258" s="138" t="str">
        <f>'School Level Inst. Resources'!E258</f>
        <v>6-8</v>
      </c>
      <c r="F258" s="328">
        <v>0</v>
      </c>
      <c r="G258" s="328">
        <v>0</v>
      </c>
      <c r="H258" s="328">
        <v>0</v>
      </c>
      <c r="I258" s="328">
        <v>0</v>
      </c>
      <c r="J258" s="328">
        <v>0</v>
      </c>
      <c r="K258" s="328">
        <v>0</v>
      </c>
      <c r="L258" s="328">
        <v>38</v>
      </c>
      <c r="M258" s="328">
        <v>26</v>
      </c>
      <c r="N258" s="328">
        <v>24</v>
      </c>
      <c r="O258" s="328">
        <v>0</v>
      </c>
      <c r="P258" s="328">
        <v>0</v>
      </c>
      <c r="Q258" s="328">
        <v>0</v>
      </c>
      <c r="R258" s="328">
        <v>0</v>
      </c>
      <c r="S258" s="329">
        <f t="shared" si="8"/>
        <v>88</v>
      </c>
      <c r="T258" s="327"/>
      <c r="U258" s="328">
        <v>0</v>
      </c>
      <c r="V258" s="328">
        <v>0</v>
      </c>
      <c r="W258" s="328">
        <v>0</v>
      </c>
      <c r="X258" s="328">
        <v>0</v>
      </c>
      <c r="Y258" s="328">
        <v>0</v>
      </c>
      <c r="Z258" s="328">
        <v>0</v>
      </c>
      <c r="AA258" s="328">
        <v>4</v>
      </c>
      <c r="AB258" s="328">
        <v>1</v>
      </c>
      <c r="AC258" s="328">
        <v>1</v>
      </c>
      <c r="AD258" s="328">
        <v>0</v>
      </c>
      <c r="AE258" s="328">
        <v>0</v>
      </c>
      <c r="AF258" s="328">
        <v>0</v>
      </c>
      <c r="AG258" s="328">
        <v>0</v>
      </c>
      <c r="AH258" s="329">
        <f t="shared" si="7"/>
        <v>6</v>
      </c>
    </row>
    <row r="259" spans="1:34" x14ac:dyDescent="0.2">
      <c r="A259" s="20" t="str">
        <f>'School Level Inst. Resources'!A259</f>
        <v>1601000</v>
      </c>
      <c r="B259" s="20" t="str">
        <f>'School Level Inst. Resources'!B259</f>
        <v>Platte #1</v>
      </c>
      <c r="C259" s="20" t="str">
        <f>'School Level Inst. Resources'!C259</f>
        <v>1601051</v>
      </c>
      <c r="D259" s="20" t="str">
        <f>'School Level Inst. Resources'!D259</f>
        <v>Chugwater Junior High School</v>
      </c>
      <c r="E259" s="138" t="str">
        <f>'School Level Inst. Resources'!E259</f>
        <v>7-8</v>
      </c>
      <c r="F259" s="328">
        <v>0</v>
      </c>
      <c r="G259" s="328">
        <v>0</v>
      </c>
      <c r="H259" s="328">
        <v>0</v>
      </c>
      <c r="I259" s="328">
        <v>0</v>
      </c>
      <c r="J259" s="328">
        <v>0</v>
      </c>
      <c r="K259" s="328">
        <v>0</v>
      </c>
      <c r="L259" s="328">
        <v>0</v>
      </c>
      <c r="M259" s="328">
        <v>0</v>
      </c>
      <c r="N259" s="328">
        <v>2</v>
      </c>
      <c r="O259" s="328">
        <v>0</v>
      </c>
      <c r="P259" s="328">
        <v>0</v>
      </c>
      <c r="Q259" s="328">
        <v>0</v>
      </c>
      <c r="R259" s="328">
        <v>0</v>
      </c>
      <c r="S259" s="329">
        <f t="shared" si="8"/>
        <v>2</v>
      </c>
      <c r="T259" s="327"/>
      <c r="U259" s="328">
        <v>0</v>
      </c>
      <c r="V259" s="328">
        <v>0</v>
      </c>
      <c r="W259" s="328">
        <v>0</v>
      </c>
      <c r="X259" s="328">
        <v>0</v>
      </c>
      <c r="Y259" s="328">
        <v>0</v>
      </c>
      <c r="Z259" s="328">
        <v>0</v>
      </c>
      <c r="AA259" s="328">
        <v>0</v>
      </c>
      <c r="AB259" s="328">
        <v>0</v>
      </c>
      <c r="AC259" s="328">
        <v>0</v>
      </c>
      <c r="AD259" s="328">
        <v>0</v>
      </c>
      <c r="AE259" s="328">
        <v>0</v>
      </c>
      <c r="AF259" s="328">
        <v>0</v>
      </c>
      <c r="AG259" s="328">
        <v>0</v>
      </c>
      <c r="AH259" s="329">
        <f t="shared" si="7"/>
        <v>0</v>
      </c>
    </row>
    <row r="260" spans="1:34" x14ac:dyDescent="0.2">
      <c r="A260" s="20" t="str">
        <f>'School Level Inst. Resources'!A260</f>
        <v>1601000</v>
      </c>
      <c r="B260" s="20" t="str">
        <f>'School Level Inst. Resources'!B260</f>
        <v>Platte #1</v>
      </c>
      <c r="C260" s="20" t="str">
        <f>'School Level Inst. Resources'!C260</f>
        <v>1601052</v>
      </c>
      <c r="D260" s="20" t="str">
        <f>'School Level Inst. Resources'!D260</f>
        <v>Glendo Junior High School</v>
      </c>
      <c r="E260" s="138" t="str">
        <f>'School Level Inst. Resources'!E260</f>
        <v>7-8</v>
      </c>
      <c r="F260" s="328">
        <v>0</v>
      </c>
      <c r="G260" s="328">
        <v>0</v>
      </c>
      <c r="H260" s="328">
        <v>0</v>
      </c>
      <c r="I260" s="328">
        <v>0</v>
      </c>
      <c r="J260" s="328">
        <v>0</v>
      </c>
      <c r="K260" s="328">
        <v>0</v>
      </c>
      <c r="L260" s="328">
        <v>0</v>
      </c>
      <c r="M260" s="328">
        <v>3</v>
      </c>
      <c r="N260" s="328">
        <v>2</v>
      </c>
      <c r="O260" s="328">
        <v>0</v>
      </c>
      <c r="P260" s="328">
        <v>0</v>
      </c>
      <c r="Q260" s="328">
        <v>0</v>
      </c>
      <c r="R260" s="328">
        <v>0</v>
      </c>
      <c r="S260" s="329">
        <f t="shared" si="8"/>
        <v>5</v>
      </c>
      <c r="T260" s="327"/>
      <c r="U260" s="328">
        <v>0</v>
      </c>
      <c r="V260" s="328">
        <v>0</v>
      </c>
      <c r="W260" s="328">
        <v>0</v>
      </c>
      <c r="X260" s="328">
        <v>0</v>
      </c>
      <c r="Y260" s="328">
        <v>0</v>
      </c>
      <c r="Z260" s="328">
        <v>0</v>
      </c>
      <c r="AA260" s="328">
        <v>0</v>
      </c>
      <c r="AB260" s="328">
        <v>0</v>
      </c>
      <c r="AC260" s="328">
        <v>0</v>
      </c>
      <c r="AD260" s="328">
        <v>0</v>
      </c>
      <c r="AE260" s="328">
        <v>0</v>
      </c>
      <c r="AF260" s="328">
        <v>0</v>
      </c>
      <c r="AG260" s="328">
        <v>0</v>
      </c>
      <c r="AH260" s="329">
        <f t="shared" si="7"/>
        <v>0</v>
      </c>
    </row>
    <row r="261" spans="1:34" x14ac:dyDescent="0.2">
      <c r="A261" s="20" t="str">
        <f>'School Level Inst. Resources'!A261</f>
        <v>1601000</v>
      </c>
      <c r="B261" s="20" t="str">
        <f>'School Level Inst. Resources'!B261</f>
        <v>Platte #1</v>
      </c>
      <c r="C261" s="20" t="str">
        <f>'School Level Inst. Resources'!C261</f>
        <v>1601055</v>
      </c>
      <c r="D261" s="20" t="str">
        <f>'School Level Inst. Resources'!D261</f>
        <v>Chugwater High School</v>
      </c>
      <c r="E261" s="138" t="str">
        <f>'School Level Inst. Resources'!E261</f>
        <v>9-12</v>
      </c>
      <c r="F261" s="328">
        <v>0</v>
      </c>
      <c r="G261" s="328">
        <v>0</v>
      </c>
      <c r="H261" s="328">
        <v>0</v>
      </c>
      <c r="I261" s="328">
        <v>0</v>
      </c>
      <c r="J261" s="328">
        <v>0</v>
      </c>
      <c r="K261" s="328">
        <v>0</v>
      </c>
      <c r="L261" s="328">
        <v>0</v>
      </c>
      <c r="M261" s="328">
        <v>0</v>
      </c>
      <c r="N261" s="328">
        <v>0</v>
      </c>
      <c r="O261" s="328">
        <v>1</v>
      </c>
      <c r="P261" s="328">
        <v>4</v>
      </c>
      <c r="Q261" s="328">
        <v>4</v>
      </c>
      <c r="R261" s="328">
        <v>2</v>
      </c>
      <c r="S261" s="329">
        <f t="shared" si="8"/>
        <v>11</v>
      </c>
      <c r="T261" s="327"/>
      <c r="U261" s="328">
        <v>0</v>
      </c>
      <c r="V261" s="328">
        <v>0</v>
      </c>
      <c r="W261" s="328">
        <v>0</v>
      </c>
      <c r="X261" s="328">
        <v>0</v>
      </c>
      <c r="Y261" s="328">
        <v>0</v>
      </c>
      <c r="Z261" s="328">
        <v>0</v>
      </c>
      <c r="AA261" s="328">
        <v>0</v>
      </c>
      <c r="AB261" s="328">
        <v>0</v>
      </c>
      <c r="AC261" s="328">
        <v>0</v>
      </c>
      <c r="AD261" s="328">
        <v>0</v>
      </c>
      <c r="AE261" s="328">
        <v>0</v>
      </c>
      <c r="AF261" s="328">
        <v>0</v>
      </c>
      <c r="AG261" s="328">
        <v>0</v>
      </c>
      <c r="AH261" s="329">
        <f t="shared" si="7"/>
        <v>0</v>
      </c>
    </row>
    <row r="262" spans="1:34" x14ac:dyDescent="0.2">
      <c r="A262" s="20" t="str">
        <f>'School Level Inst. Resources'!A262</f>
        <v>1601000</v>
      </c>
      <c r="B262" s="20" t="str">
        <f>'School Level Inst. Resources'!B262</f>
        <v>Platte #1</v>
      </c>
      <c r="C262" s="20" t="str">
        <f>'School Level Inst. Resources'!C262</f>
        <v>1601056</v>
      </c>
      <c r="D262" s="20" t="str">
        <f>'School Level Inst. Resources'!D262</f>
        <v>Glendo High School</v>
      </c>
      <c r="E262" s="138" t="str">
        <f>'School Level Inst. Resources'!E262</f>
        <v>9-12</v>
      </c>
      <c r="F262" s="328">
        <v>0</v>
      </c>
      <c r="G262" s="328">
        <v>0</v>
      </c>
      <c r="H262" s="328">
        <v>0</v>
      </c>
      <c r="I262" s="328">
        <v>0</v>
      </c>
      <c r="J262" s="328">
        <v>0</v>
      </c>
      <c r="K262" s="328">
        <v>0</v>
      </c>
      <c r="L262" s="328">
        <v>0</v>
      </c>
      <c r="M262" s="328">
        <v>0</v>
      </c>
      <c r="N262" s="328">
        <v>0</v>
      </c>
      <c r="O262" s="328">
        <v>1</v>
      </c>
      <c r="P262" s="328">
        <v>1</v>
      </c>
      <c r="Q262" s="328">
        <v>2</v>
      </c>
      <c r="R262" s="328">
        <v>5</v>
      </c>
      <c r="S262" s="329">
        <f t="shared" si="8"/>
        <v>9</v>
      </c>
      <c r="T262" s="327"/>
      <c r="U262" s="328">
        <v>0</v>
      </c>
      <c r="V262" s="328">
        <v>0</v>
      </c>
      <c r="W262" s="328">
        <v>0</v>
      </c>
      <c r="X262" s="328">
        <v>0</v>
      </c>
      <c r="Y262" s="328">
        <v>0</v>
      </c>
      <c r="Z262" s="328">
        <v>0</v>
      </c>
      <c r="AA262" s="328">
        <v>0</v>
      </c>
      <c r="AB262" s="328">
        <v>0</v>
      </c>
      <c r="AC262" s="328">
        <v>0</v>
      </c>
      <c r="AD262" s="328">
        <v>0</v>
      </c>
      <c r="AE262" s="328">
        <v>0</v>
      </c>
      <c r="AF262" s="328">
        <v>0</v>
      </c>
      <c r="AG262" s="328">
        <v>0</v>
      </c>
      <c r="AH262" s="329">
        <f t="shared" ref="AH262:AH325" si="9">SUM(U262:AG262)</f>
        <v>0</v>
      </c>
    </row>
    <row r="263" spans="1:34" x14ac:dyDescent="0.2">
      <c r="A263" s="20" t="str">
        <f>'School Level Inst. Resources'!A263</f>
        <v>1601000</v>
      </c>
      <c r="B263" s="20" t="str">
        <f>'School Level Inst. Resources'!B263</f>
        <v>Platte #1</v>
      </c>
      <c r="C263" s="20" t="str">
        <f>'School Level Inst. Resources'!C263</f>
        <v>1601057</v>
      </c>
      <c r="D263" s="20" t="str">
        <f>'School Level Inst. Resources'!D263</f>
        <v>Wheatland High School</v>
      </c>
      <c r="E263" s="138" t="str">
        <f>'School Level Inst. Resources'!E263</f>
        <v>9-12</v>
      </c>
      <c r="F263" s="328">
        <v>0</v>
      </c>
      <c r="G263" s="328">
        <v>0</v>
      </c>
      <c r="H263" s="328">
        <v>0</v>
      </c>
      <c r="I263" s="328">
        <v>0</v>
      </c>
      <c r="J263" s="328">
        <v>0</v>
      </c>
      <c r="K263" s="328">
        <v>0</v>
      </c>
      <c r="L263" s="328">
        <v>0</v>
      </c>
      <c r="M263" s="328">
        <v>0</v>
      </c>
      <c r="N263" s="328">
        <v>0</v>
      </c>
      <c r="O263" s="328">
        <v>26</v>
      </c>
      <c r="P263" s="328">
        <v>24</v>
      </c>
      <c r="Q263" s="328">
        <v>16</v>
      </c>
      <c r="R263" s="328">
        <v>16</v>
      </c>
      <c r="S263" s="329">
        <f t="shared" si="8"/>
        <v>82</v>
      </c>
      <c r="T263" s="327"/>
      <c r="U263" s="328">
        <v>0</v>
      </c>
      <c r="V263" s="328">
        <v>0</v>
      </c>
      <c r="W263" s="328">
        <v>0</v>
      </c>
      <c r="X263" s="328">
        <v>0</v>
      </c>
      <c r="Y263" s="328">
        <v>0</v>
      </c>
      <c r="Z263" s="328">
        <v>0</v>
      </c>
      <c r="AA263" s="328">
        <v>0</v>
      </c>
      <c r="AB263" s="328">
        <v>0</v>
      </c>
      <c r="AC263" s="328">
        <v>0</v>
      </c>
      <c r="AD263" s="328">
        <v>0</v>
      </c>
      <c r="AE263" s="328">
        <v>0</v>
      </c>
      <c r="AF263" s="328">
        <v>1</v>
      </c>
      <c r="AG263" s="328">
        <v>2</v>
      </c>
      <c r="AH263" s="329">
        <f t="shared" si="9"/>
        <v>3</v>
      </c>
    </row>
    <row r="264" spans="1:34" x14ac:dyDescent="0.2">
      <c r="A264" s="20" t="str">
        <f>'School Level Inst. Resources'!A264</f>
        <v>1601000</v>
      </c>
      <c r="B264" s="20" t="str">
        <f>'School Level Inst. Resources'!B264</f>
        <v>Platte #1</v>
      </c>
      <c r="C264" s="20" t="str">
        <f>'School Level Inst. Resources'!C264</f>
        <v>1601058</v>
      </c>
      <c r="D264" s="20" t="str">
        <f>'School Level Inst. Resources'!D264</f>
        <v>Peak High School</v>
      </c>
      <c r="E264" s="138" t="str">
        <f>'School Level Inst. Resources'!E264</f>
        <v>9-12</v>
      </c>
      <c r="F264" s="328">
        <v>0</v>
      </c>
      <c r="G264" s="328">
        <v>0</v>
      </c>
      <c r="H264" s="328">
        <v>0</v>
      </c>
      <c r="I264" s="328">
        <v>0</v>
      </c>
      <c r="J264" s="328">
        <v>0</v>
      </c>
      <c r="K264" s="328">
        <v>0</v>
      </c>
      <c r="L264" s="328">
        <v>0</v>
      </c>
      <c r="M264" s="328">
        <v>0</v>
      </c>
      <c r="N264" s="328">
        <v>0</v>
      </c>
      <c r="O264" s="328">
        <v>1</v>
      </c>
      <c r="P264" s="328">
        <v>0</v>
      </c>
      <c r="Q264" s="328">
        <v>1</v>
      </c>
      <c r="R264" s="328">
        <v>5</v>
      </c>
      <c r="S264" s="329">
        <f t="shared" si="8"/>
        <v>7</v>
      </c>
      <c r="T264" s="327"/>
      <c r="U264" s="328">
        <v>0</v>
      </c>
      <c r="V264" s="328">
        <v>0</v>
      </c>
      <c r="W264" s="328">
        <v>0</v>
      </c>
      <c r="X264" s="328">
        <v>0</v>
      </c>
      <c r="Y264" s="328">
        <v>0</v>
      </c>
      <c r="Z264" s="328">
        <v>0</v>
      </c>
      <c r="AA264" s="328">
        <v>0</v>
      </c>
      <c r="AB264" s="328">
        <v>0</v>
      </c>
      <c r="AC264" s="328">
        <v>0</v>
      </c>
      <c r="AD264" s="328">
        <v>0</v>
      </c>
      <c r="AE264" s="328">
        <v>0</v>
      </c>
      <c r="AF264" s="328">
        <v>0</v>
      </c>
      <c r="AG264" s="328">
        <v>0</v>
      </c>
      <c r="AH264" s="329">
        <f t="shared" si="9"/>
        <v>0</v>
      </c>
    </row>
    <row r="265" spans="1:34" x14ac:dyDescent="0.2">
      <c r="A265" s="20" t="str">
        <f>'School Level Inst. Resources'!A265</f>
        <v>1602000</v>
      </c>
      <c r="B265" s="20" t="str">
        <f>'School Level Inst. Resources'!B265</f>
        <v>Platte #2</v>
      </c>
      <c r="C265" s="20" t="str">
        <f>'School Level Inst. Resources'!C265</f>
        <v>1602001</v>
      </c>
      <c r="D265" s="20" t="str">
        <f>'School Level Inst. Resources'!D265</f>
        <v>Guernsey-Sunrise Elementary</v>
      </c>
      <c r="E265" s="138" t="str">
        <f>'School Level Inst. Resources'!E265</f>
        <v>K-6</v>
      </c>
      <c r="F265" s="328">
        <v>13</v>
      </c>
      <c r="G265" s="328">
        <v>9</v>
      </c>
      <c r="H265" s="328">
        <v>7</v>
      </c>
      <c r="I265" s="328">
        <v>9</v>
      </c>
      <c r="J265" s="328">
        <v>8</v>
      </c>
      <c r="K265" s="328">
        <v>8</v>
      </c>
      <c r="L265" s="328">
        <v>11</v>
      </c>
      <c r="M265" s="328">
        <v>0</v>
      </c>
      <c r="N265" s="328">
        <v>0</v>
      </c>
      <c r="O265" s="328">
        <v>0</v>
      </c>
      <c r="P265" s="328">
        <v>0</v>
      </c>
      <c r="Q265" s="328">
        <v>0</v>
      </c>
      <c r="R265" s="328">
        <v>0</v>
      </c>
      <c r="S265" s="329">
        <f t="shared" si="8"/>
        <v>65</v>
      </c>
      <c r="T265" s="327"/>
      <c r="U265" s="328">
        <v>0</v>
      </c>
      <c r="V265" s="328">
        <v>0</v>
      </c>
      <c r="W265" s="328">
        <v>0</v>
      </c>
      <c r="X265" s="328">
        <v>0</v>
      </c>
      <c r="Y265" s="328">
        <v>0</v>
      </c>
      <c r="Z265" s="328">
        <v>0</v>
      </c>
      <c r="AA265" s="328">
        <v>0</v>
      </c>
      <c r="AB265" s="328">
        <v>0</v>
      </c>
      <c r="AC265" s="328">
        <v>0</v>
      </c>
      <c r="AD265" s="328">
        <v>0</v>
      </c>
      <c r="AE265" s="328">
        <v>0</v>
      </c>
      <c r="AF265" s="328">
        <v>0</v>
      </c>
      <c r="AG265" s="328">
        <v>0</v>
      </c>
      <c r="AH265" s="329">
        <f t="shared" si="9"/>
        <v>0</v>
      </c>
    </row>
    <row r="266" spans="1:34" x14ac:dyDescent="0.2">
      <c r="A266" s="20" t="str">
        <f>'School Level Inst. Resources'!A266</f>
        <v>1602000</v>
      </c>
      <c r="B266" s="20" t="str">
        <f>'School Level Inst. Resources'!B266</f>
        <v>Platte #2</v>
      </c>
      <c r="C266" s="20" t="str">
        <f>'School Level Inst. Resources'!C266</f>
        <v>1602050</v>
      </c>
      <c r="D266" s="20" t="str">
        <f>'School Level Inst. Resources'!D266</f>
        <v>Guernsey-Sunrise Junior High</v>
      </c>
      <c r="E266" s="138" t="str">
        <f>'School Level Inst. Resources'!E266</f>
        <v>7-8</v>
      </c>
      <c r="F266" s="328">
        <v>0</v>
      </c>
      <c r="G266" s="328">
        <v>0</v>
      </c>
      <c r="H266" s="328">
        <v>0</v>
      </c>
      <c r="I266" s="328">
        <v>0</v>
      </c>
      <c r="J266" s="328">
        <v>0</v>
      </c>
      <c r="K266" s="328">
        <v>0</v>
      </c>
      <c r="L266" s="328">
        <v>0</v>
      </c>
      <c r="M266" s="328">
        <v>10</v>
      </c>
      <c r="N266" s="328">
        <v>11</v>
      </c>
      <c r="O266" s="328">
        <v>0</v>
      </c>
      <c r="P266" s="328">
        <v>0</v>
      </c>
      <c r="Q266" s="328">
        <v>0</v>
      </c>
      <c r="R266" s="328">
        <v>0</v>
      </c>
      <c r="S266" s="329">
        <f t="shared" si="8"/>
        <v>21</v>
      </c>
      <c r="T266" s="327"/>
      <c r="U266" s="328">
        <v>0</v>
      </c>
      <c r="V266" s="328">
        <v>0</v>
      </c>
      <c r="W266" s="328">
        <v>0</v>
      </c>
      <c r="X266" s="328">
        <v>0</v>
      </c>
      <c r="Y266" s="328">
        <v>0</v>
      </c>
      <c r="Z266" s="328">
        <v>0</v>
      </c>
      <c r="AA266" s="328">
        <v>0</v>
      </c>
      <c r="AB266" s="328">
        <v>0</v>
      </c>
      <c r="AC266" s="328">
        <v>0</v>
      </c>
      <c r="AD266" s="328">
        <v>0</v>
      </c>
      <c r="AE266" s="328">
        <v>0</v>
      </c>
      <c r="AF266" s="328">
        <v>0</v>
      </c>
      <c r="AG266" s="328">
        <v>0</v>
      </c>
      <c r="AH266" s="329">
        <f t="shared" si="9"/>
        <v>0</v>
      </c>
    </row>
    <row r="267" spans="1:34" x14ac:dyDescent="0.2">
      <c r="A267" s="20" t="str">
        <f>'School Level Inst. Resources'!A267</f>
        <v>1602000</v>
      </c>
      <c r="B267" s="20" t="str">
        <f>'School Level Inst. Resources'!B267</f>
        <v>Platte #2</v>
      </c>
      <c r="C267" s="20" t="str">
        <f>'School Level Inst. Resources'!C267</f>
        <v>1602055</v>
      </c>
      <c r="D267" s="20" t="str">
        <f>'School Level Inst. Resources'!D267</f>
        <v>Guernsey-Sunrise High School</v>
      </c>
      <c r="E267" s="138" t="str">
        <f>'School Level Inst. Resources'!E267</f>
        <v>9-12</v>
      </c>
      <c r="F267" s="328">
        <v>0</v>
      </c>
      <c r="G267" s="328">
        <v>0</v>
      </c>
      <c r="H267" s="328">
        <v>0</v>
      </c>
      <c r="I267" s="328">
        <v>0</v>
      </c>
      <c r="J267" s="328">
        <v>0</v>
      </c>
      <c r="K267" s="328">
        <v>0</v>
      </c>
      <c r="L267" s="328">
        <v>0</v>
      </c>
      <c r="M267" s="328">
        <v>0</v>
      </c>
      <c r="N267" s="328">
        <v>0</v>
      </c>
      <c r="O267" s="328">
        <v>3</v>
      </c>
      <c r="P267" s="328">
        <v>8</v>
      </c>
      <c r="Q267" s="328">
        <v>2</v>
      </c>
      <c r="R267" s="328">
        <v>6</v>
      </c>
      <c r="S267" s="329">
        <f t="shared" si="8"/>
        <v>19</v>
      </c>
      <c r="T267" s="327"/>
      <c r="U267" s="328">
        <v>0</v>
      </c>
      <c r="V267" s="328">
        <v>0</v>
      </c>
      <c r="W267" s="328">
        <v>0</v>
      </c>
      <c r="X267" s="328">
        <v>0</v>
      </c>
      <c r="Y267" s="328">
        <v>0</v>
      </c>
      <c r="Z267" s="328">
        <v>0</v>
      </c>
      <c r="AA267" s="328">
        <v>0</v>
      </c>
      <c r="AB267" s="328">
        <v>0</v>
      </c>
      <c r="AC267" s="328">
        <v>0</v>
      </c>
      <c r="AD267" s="328">
        <v>0</v>
      </c>
      <c r="AE267" s="328">
        <v>0</v>
      </c>
      <c r="AF267" s="328">
        <v>0</v>
      </c>
      <c r="AG267" s="328">
        <v>0</v>
      </c>
      <c r="AH267" s="329">
        <f t="shared" si="9"/>
        <v>0</v>
      </c>
    </row>
    <row r="268" spans="1:34" x14ac:dyDescent="0.2">
      <c r="A268" s="20" t="str">
        <f>'School Level Inst. Resources'!A268</f>
        <v>1701000</v>
      </c>
      <c r="B268" s="20" t="str">
        <f>'School Level Inst. Resources'!B268</f>
        <v>Sheridan #1</v>
      </c>
      <c r="C268" s="20" t="str">
        <f>'School Level Inst. Resources'!C268</f>
        <v>1701001</v>
      </c>
      <c r="D268" s="20" t="str">
        <f>'School Level Inst. Resources'!D268</f>
        <v>Big Horn Elementary</v>
      </c>
      <c r="E268" s="138" t="str">
        <f>'School Level Inst. Resources'!E268</f>
        <v>K-5</v>
      </c>
      <c r="F268" s="328">
        <v>5</v>
      </c>
      <c r="G268" s="328">
        <v>4</v>
      </c>
      <c r="H268" s="328">
        <v>6</v>
      </c>
      <c r="I268" s="328">
        <v>5</v>
      </c>
      <c r="J268" s="328">
        <v>4</v>
      </c>
      <c r="K268" s="328">
        <v>4</v>
      </c>
      <c r="L268" s="328">
        <v>0</v>
      </c>
      <c r="M268" s="328">
        <v>0</v>
      </c>
      <c r="N268" s="328">
        <v>0</v>
      </c>
      <c r="O268" s="328">
        <v>0</v>
      </c>
      <c r="P268" s="328">
        <v>0</v>
      </c>
      <c r="Q268" s="328">
        <v>0</v>
      </c>
      <c r="R268" s="328">
        <v>0</v>
      </c>
      <c r="S268" s="329">
        <f t="shared" si="8"/>
        <v>28</v>
      </c>
      <c r="T268" s="327"/>
      <c r="U268" s="328">
        <v>0</v>
      </c>
      <c r="V268" s="328">
        <v>0</v>
      </c>
      <c r="W268" s="328">
        <v>0</v>
      </c>
      <c r="X268" s="328">
        <v>0</v>
      </c>
      <c r="Y268" s="328">
        <v>0</v>
      </c>
      <c r="Z268" s="328">
        <v>0</v>
      </c>
      <c r="AA268" s="328">
        <v>0</v>
      </c>
      <c r="AB268" s="328">
        <v>0</v>
      </c>
      <c r="AC268" s="328">
        <v>0</v>
      </c>
      <c r="AD268" s="328">
        <v>0</v>
      </c>
      <c r="AE268" s="328">
        <v>0</v>
      </c>
      <c r="AF268" s="328">
        <v>0</v>
      </c>
      <c r="AG268" s="328">
        <v>0</v>
      </c>
      <c r="AH268" s="329">
        <f t="shared" si="9"/>
        <v>0</v>
      </c>
    </row>
    <row r="269" spans="1:34" x14ac:dyDescent="0.2">
      <c r="A269" s="20" t="str">
        <f>'School Level Inst. Resources'!A269</f>
        <v>1701000</v>
      </c>
      <c r="B269" s="20" t="str">
        <f>'School Level Inst. Resources'!B269</f>
        <v>Sheridan #1</v>
      </c>
      <c r="C269" s="20" t="str">
        <f>'School Level Inst. Resources'!C269</f>
        <v>1701002</v>
      </c>
      <c r="D269" s="20" t="str">
        <f>'School Level Inst. Resources'!D269</f>
        <v>Slack Elementary</v>
      </c>
      <c r="E269" s="138" t="str">
        <f>'School Level Inst. Resources'!E269</f>
        <v>K-5</v>
      </c>
      <c r="F269" s="328">
        <v>1</v>
      </c>
      <c r="G269" s="328">
        <v>0</v>
      </c>
      <c r="H269" s="328">
        <v>2</v>
      </c>
      <c r="I269" s="328">
        <v>0</v>
      </c>
      <c r="J269" s="328">
        <v>0</v>
      </c>
      <c r="K269" s="328">
        <v>2</v>
      </c>
      <c r="L269" s="328">
        <v>0</v>
      </c>
      <c r="M269" s="328">
        <v>0</v>
      </c>
      <c r="N269" s="328">
        <v>0</v>
      </c>
      <c r="O269" s="328">
        <v>0</v>
      </c>
      <c r="P269" s="328">
        <v>0</v>
      </c>
      <c r="Q269" s="328">
        <v>0</v>
      </c>
      <c r="R269" s="328">
        <v>0</v>
      </c>
      <c r="S269" s="329">
        <f t="shared" si="8"/>
        <v>5</v>
      </c>
      <c r="T269" s="327"/>
      <c r="U269" s="328">
        <v>0</v>
      </c>
      <c r="V269" s="328">
        <v>0</v>
      </c>
      <c r="W269" s="328">
        <v>1</v>
      </c>
      <c r="X269" s="328">
        <v>0</v>
      </c>
      <c r="Y269" s="328">
        <v>0</v>
      </c>
      <c r="Z269" s="328">
        <v>0</v>
      </c>
      <c r="AA269" s="328">
        <v>0</v>
      </c>
      <c r="AB269" s="328">
        <v>0</v>
      </c>
      <c r="AC269" s="328">
        <v>0</v>
      </c>
      <c r="AD269" s="328">
        <v>0</v>
      </c>
      <c r="AE269" s="328">
        <v>0</v>
      </c>
      <c r="AF269" s="328">
        <v>0</v>
      </c>
      <c r="AG269" s="328">
        <v>0</v>
      </c>
      <c r="AH269" s="329">
        <f t="shared" si="9"/>
        <v>1</v>
      </c>
    </row>
    <row r="270" spans="1:34" x14ac:dyDescent="0.2">
      <c r="A270" s="20" t="str">
        <f>'School Level Inst. Resources'!A270</f>
        <v>1701000</v>
      </c>
      <c r="B270" s="20" t="str">
        <f>'School Level Inst. Resources'!B270</f>
        <v>Sheridan #1</v>
      </c>
      <c r="C270" s="20" t="str">
        <f>'School Level Inst. Resources'!C270</f>
        <v>1701003</v>
      </c>
      <c r="D270" s="20" t="str">
        <f>'School Level Inst. Resources'!D270</f>
        <v>Tongue River Elementary</v>
      </c>
      <c r="E270" s="138" t="str">
        <f>'School Level Inst. Resources'!E270</f>
        <v>K-5</v>
      </c>
      <c r="F270" s="328">
        <v>19</v>
      </c>
      <c r="G270" s="328">
        <v>12</v>
      </c>
      <c r="H270" s="328">
        <v>8</v>
      </c>
      <c r="I270" s="328">
        <v>12</v>
      </c>
      <c r="J270" s="328">
        <v>15</v>
      </c>
      <c r="K270" s="328">
        <v>9</v>
      </c>
      <c r="L270" s="328">
        <v>0</v>
      </c>
      <c r="M270" s="328">
        <v>0</v>
      </c>
      <c r="N270" s="328">
        <v>0</v>
      </c>
      <c r="O270" s="328">
        <v>0</v>
      </c>
      <c r="P270" s="328">
        <v>0</v>
      </c>
      <c r="Q270" s="328">
        <v>0</v>
      </c>
      <c r="R270" s="328">
        <v>0</v>
      </c>
      <c r="S270" s="329">
        <f t="shared" si="8"/>
        <v>75</v>
      </c>
      <c r="T270" s="327"/>
      <c r="U270" s="328">
        <v>0</v>
      </c>
      <c r="V270" s="328">
        <v>0</v>
      </c>
      <c r="W270" s="328">
        <v>0</v>
      </c>
      <c r="X270" s="328">
        <v>0</v>
      </c>
      <c r="Y270" s="328">
        <v>0</v>
      </c>
      <c r="Z270" s="328">
        <v>0</v>
      </c>
      <c r="AA270" s="328">
        <v>0</v>
      </c>
      <c r="AB270" s="328">
        <v>0</v>
      </c>
      <c r="AC270" s="328">
        <v>0</v>
      </c>
      <c r="AD270" s="328">
        <v>0</v>
      </c>
      <c r="AE270" s="328">
        <v>0</v>
      </c>
      <c r="AF270" s="328">
        <v>0</v>
      </c>
      <c r="AG270" s="328">
        <v>0</v>
      </c>
      <c r="AH270" s="329">
        <f t="shared" si="9"/>
        <v>0</v>
      </c>
    </row>
    <row r="271" spans="1:34" x14ac:dyDescent="0.2">
      <c r="A271" s="20" t="str">
        <f>'School Level Inst. Resources'!A271</f>
        <v>1701000</v>
      </c>
      <c r="B271" s="20" t="str">
        <f>'School Level Inst. Resources'!B271</f>
        <v>Sheridan #1</v>
      </c>
      <c r="C271" s="20" t="str">
        <f>'School Level Inst. Resources'!C271</f>
        <v>1701048</v>
      </c>
      <c r="D271" s="20" t="str">
        <f>'School Level Inst. Resources'!D271</f>
        <v>The Bridge School</v>
      </c>
      <c r="E271" s="138" t="str">
        <f>'School Level Inst. Resources'!E271</f>
        <v>6-12</v>
      </c>
      <c r="F271" s="328">
        <v>0</v>
      </c>
      <c r="G271" s="328">
        <v>0</v>
      </c>
      <c r="H271" s="328">
        <v>0</v>
      </c>
      <c r="I271" s="328">
        <v>0</v>
      </c>
      <c r="J271" s="328">
        <v>0</v>
      </c>
      <c r="K271" s="328">
        <v>0</v>
      </c>
      <c r="L271" s="328">
        <v>0</v>
      </c>
      <c r="M271" s="328">
        <v>0</v>
      </c>
      <c r="N271" s="328">
        <v>0</v>
      </c>
      <c r="O271" s="328">
        <v>0</v>
      </c>
      <c r="P271" s="328">
        <v>0</v>
      </c>
      <c r="Q271" s="328">
        <v>0</v>
      </c>
      <c r="R271" s="328">
        <v>1</v>
      </c>
      <c r="S271" s="329">
        <f t="shared" si="8"/>
        <v>1</v>
      </c>
      <c r="T271" s="327"/>
      <c r="U271" s="328">
        <v>0</v>
      </c>
      <c r="V271" s="328">
        <v>0</v>
      </c>
      <c r="W271" s="328">
        <v>0</v>
      </c>
      <c r="X271" s="328">
        <v>0</v>
      </c>
      <c r="Y271" s="328">
        <v>0</v>
      </c>
      <c r="Z271" s="328">
        <v>0</v>
      </c>
      <c r="AA271" s="328">
        <v>0</v>
      </c>
      <c r="AB271" s="328">
        <v>0</v>
      </c>
      <c r="AC271" s="328">
        <v>0</v>
      </c>
      <c r="AD271" s="328">
        <v>0</v>
      </c>
      <c r="AE271" s="328">
        <v>0</v>
      </c>
      <c r="AF271" s="328">
        <v>0</v>
      </c>
      <c r="AG271" s="328">
        <v>0</v>
      </c>
      <c r="AH271" s="329">
        <f t="shared" si="9"/>
        <v>0</v>
      </c>
    </row>
    <row r="272" spans="1:34" x14ac:dyDescent="0.2">
      <c r="A272" s="20" t="str">
        <f>'School Level Inst. Resources'!A272</f>
        <v>1701000</v>
      </c>
      <c r="B272" s="20" t="str">
        <f>'School Level Inst. Resources'!B272</f>
        <v>Sheridan #1</v>
      </c>
      <c r="C272" s="20" t="str">
        <f>'School Level Inst. Resources'!C272</f>
        <v>1701050</v>
      </c>
      <c r="D272" s="20" t="str">
        <f>'School Level Inst. Resources'!D272</f>
        <v>Big Horn Middle School</v>
      </c>
      <c r="E272" s="138" t="str">
        <f>'School Level Inst. Resources'!E272</f>
        <v>6-8</v>
      </c>
      <c r="F272" s="328">
        <v>0</v>
      </c>
      <c r="G272" s="328">
        <v>0</v>
      </c>
      <c r="H272" s="328">
        <v>0</v>
      </c>
      <c r="I272" s="328">
        <v>0</v>
      </c>
      <c r="J272" s="328">
        <v>0</v>
      </c>
      <c r="K272" s="328">
        <v>0</v>
      </c>
      <c r="L272" s="328">
        <v>3</v>
      </c>
      <c r="M272" s="328">
        <v>4</v>
      </c>
      <c r="N272" s="328">
        <v>3</v>
      </c>
      <c r="O272" s="328">
        <v>0</v>
      </c>
      <c r="P272" s="328">
        <v>0</v>
      </c>
      <c r="Q272" s="328">
        <v>0</v>
      </c>
      <c r="R272" s="328">
        <v>0</v>
      </c>
      <c r="S272" s="329">
        <f t="shared" si="8"/>
        <v>10</v>
      </c>
      <c r="T272" s="327"/>
      <c r="U272" s="328">
        <v>0</v>
      </c>
      <c r="V272" s="328">
        <v>0</v>
      </c>
      <c r="W272" s="328">
        <v>0</v>
      </c>
      <c r="X272" s="328">
        <v>0</v>
      </c>
      <c r="Y272" s="328">
        <v>0</v>
      </c>
      <c r="Z272" s="328">
        <v>0</v>
      </c>
      <c r="AA272" s="328">
        <v>0</v>
      </c>
      <c r="AB272" s="328">
        <v>0</v>
      </c>
      <c r="AC272" s="328">
        <v>0</v>
      </c>
      <c r="AD272" s="328">
        <v>0</v>
      </c>
      <c r="AE272" s="328">
        <v>0</v>
      </c>
      <c r="AF272" s="328">
        <v>0</v>
      </c>
      <c r="AG272" s="328">
        <v>0</v>
      </c>
      <c r="AH272" s="329">
        <f t="shared" si="9"/>
        <v>0</v>
      </c>
    </row>
    <row r="273" spans="1:34" x14ac:dyDescent="0.2">
      <c r="A273" s="20" t="str">
        <f>'School Level Inst. Resources'!A273</f>
        <v>1701000</v>
      </c>
      <c r="B273" s="20" t="str">
        <f>'School Level Inst. Resources'!B273</f>
        <v>Sheridan #1</v>
      </c>
      <c r="C273" s="20" t="str">
        <f>'School Level Inst. Resources'!C273</f>
        <v>1701051</v>
      </c>
      <c r="D273" s="20" t="str">
        <f>'School Level Inst. Resources'!D273</f>
        <v>Tongue River Middle School</v>
      </c>
      <c r="E273" s="138" t="str">
        <f>'School Level Inst. Resources'!E273</f>
        <v>6-8</v>
      </c>
      <c r="F273" s="328">
        <v>0</v>
      </c>
      <c r="G273" s="328">
        <v>0</v>
      </c>
      <c r="H273" s="328">
        <v>0</v>
      </c>
      <c r="I273" s="328">
        <v>0</v>
      </c>
      <c r="J273" s="328">
        <v>0</v>
      </c>
      <c r="K273" s="328">
        <v>0</v>
      </c>
      <c r="L273" s="328">
        <v>13</v>
      </c>
      <c r="M273" s="328">
        <v>12</v>
      </c>
      <c r="N273" s="328">
        <v>13</v>
      </c>
      <c r="O273" s="328">
        <v>0</v>
      </c>
      <c r="P273" s="328">
        <v>0</v>
      </c>
      <c r="Q273" s="328">
        <v>0</v>
      </c>
      <c r="R273" s="328">
        <v>0</v>
      </c>
      <c r="S273" s="329">
        <f t="shared" si="8"/>
        <v>38</v>
      </c>
      <c r="T273" s="327"/>
      <c r="U273" s="328">
        <v>0</v>
      </c>
      <c r="V273" s="328">
        <v>0</v>
      </c>
      <c r="W273" s="328">
        <v>0</v>
      </c>
      <c r="X273" s="328">
        <v>0</v>
      </c>
      <c r="Y273" s="328">
        <v>0</v>
      </c>
      <c r="Z273" s="328">
        <v>0</v>
      </c>
      <c r="AA273" s="328">
        <v>0</v>
      </c>
      <c r="AB273" s="328">
        <v>0</v>
      </c>
      <c r="AC273" s="328">
        <v>0</v>
      </c>
      <c r="AD273" s="328">
        <v>0</v>
      </c>
      <c r="AE273" s="328">
        <v>0</v>
      </c>
      <c r="AF273" s="328">
        <v>0</v>
      </c>
      <c r="AG273" s="328">
        <v>0</v>
      </c>
      <c r="AH273" s="329">
        <f t="shared" si="9"/>
        <v>0</v>
      </c>
    </row>
    <row r="274" spans="1:34" x14ac:dyDescent="0.2">
      <c r="A274" s="20" t="str">
        <f>'School Level Inst. Resources'!A274</f>
        <v>1701000</v>
      </c>
      <c r="B274" s="20" t="str">
        <f>'School Level Inst. Resources'!B274</f>
        <v>Sheridan #1</v>
      </c>
      <c r="C274" s="20" t="str">
        <f>'School Level Inst. Resources'!C274</f>
        <v>1701055</v>
      </c>
      <c r="D274" s="20" t="str">
        <f>'School Level Inst. Resources'!D274</f>
        <v>Big Horn High School</v>
      </c>
      <c r="E274" s="138" t="str">
        <f>'School Level Inst. Resources'!E274</f>
        <v>9-12</v>
      </c>
      <c r="F274" s="328">
        <v>0</v>
      </c>
      <c r="G274" s="328">
        <v>0</v>
      </c>
      <c r="H274" s="328">
        <v>0</v>
      </c>
      <c r="I274" s="328">
        <v>0</v>
      </c>
      <c r="J274" s="328">
        <v>0</v>
      </c>
      <c r="K274" s="328">
        <v>0</v>
      </c>
      <c r="L274" s="328">
        <v>0</v>
      </c>
      <c r="M274" s="328">
        <v>0</v>
      </c>
      <c r="N274" s="328">
        <v>0</v>
      </c>
      <c r="O274" s="328">
        <v>5</v>
      </c>
      <c r="P274" s="328">
        <v>2</v>
      </c>
      <c r="Q274" s="328">
        <v>5</v>
      </c>
      <c r="R274" s="328">
        <v>2</v>
      </c>
      <c r="S274" s="329">
        <f t="shared" si="8"/>
        <v>14</v>
      </c>
      <c r="T274" s="327"/>
      <c r="U274" s="328">
        <v>0</v>
      </c>
      <c r="V274" s="328">
        <v>0</v>
      </c>
      <c r="W274" s="328">
        <v>0</v>
      </c>
      <c r="X274" s="328">
        <v>0</v>
      </c>
      <c r="Y274" s="328">
        <v>0</v>
      </c>
      <c r="Z274" s="328">
        <v>0</v>
      </c>
      <c r="AA274" s="328">
        <v>0</v>
      </c>
      <c r="AB274" s="328">
        <v>0</v>
      </c>
      <c r="AC274" s="328">
        <v>0</v>
      </c>
      <c r="AD274" s="328">
        <v>1</v>
      </c>
      <c r="AE274" s="328">
        <v>0</v>
      </c>
      <c r="AF274" s="328">
        <v>0</v>
      </c>
      <c r="AG274" s="328">
        <v>0</v>
      </c>
      <c r="AH274" s="329">
        <f t="shared" si="9"/>
        <v>1</v>
      </c>
    </row>
    <row r="275" spans="1:34" x14ac:dyDescent="0.2">
      <c r="A275" s="20" t="str">
        <f>'School Level Inst. Resources'!A275</f>
        <v>1701000</v>
      </c>
      <c r="B275" s="20" t="str">
        <f>'School Level Inst. Resources'!B275</f>
        <v>Sheridan #1</v>
      </c>
      <c r="C275" s="20" t="str">
        <f>'School Level Inst. Resources'!C275</f>
        <v>1701056</v>
      </c>
      <c r="D275" s="20" t="str">
        <f>'School Level Inst. Resources'!D275</f>
        <v>Tongue River High School</v>
      </c>
      <c r="E275" s="138" t="str">
        <f>'School Level Inst. Resources'!E275</f>
        <v>9-12</v>
      </c>
      <c r="F275" s="328">
        <v>0</v>
      </c>
      <c r="G275" s="328">
        <v>0</v>
      </c>
      <c r="H275" s="328">
        <v>0</v>
      </c>
      <c r="I275" s="328">
        <v>0</v>
      </c>
      <c r="J275" s="328">
        <v>0</v>
      </c>
      <c r="K275" s="328">
        <v>0</v>
      </c>
      <c r="L275" s="328">
        <v>0</v>
      </c>
      <c r="M275" s="328">
        <v>0</v>
      </c>
      <c r="N275" s="328">
        <v>0</v>
      </c>
      <c r="O275" s="328">
        <v>8</v>
      </c>
      <c r="P275" s="328">
        <v>7</v>
      </c>
      <c r="Q275" s="328">
        <v>6</v>
      </c>
      <c r="R275" s="328">
        <v>5</v>
      </c>
      <c r="S275" s="329">
        <f t="shared" si="8"/>
        <v>26</v>
      </c>
      <c r="T275" s="327"/>
      <c r="U275" s="328">
        <v>0</v>
      </c>
      <c r="V275" s="328">
        <v>0</v>
      </c>
      <c r="W275" s="328">
        <v>0</v>
      </c>
      <c r="X275" s="328">
        <v>0</v>
      </c>
      <c r="Y275" s="328">
        <v>0</v>
      </c>
      <c r="Z275" s="328">
        <v>0</v>
      </c>
      <c r="AA275" s="328">
        <v>0</v>
      </c>
      <c r="AB275" s="328">
        <v>0</v>
      </c>
      <c r="AC275" s="328">
        <v>0</v>
      </c>
      <c r="AD275" s="328">
        <v>0</v>
      </c>
      <c r="AE275" s="328">
        <v>0</v>
      </c>
      <c r="AF275" s="328">
        <v>0</v>
      </c>
      <c r="AG275" s="328">
        <v>0</v>
      </c>
      <c r="AH275" s="329">
        <f t="shared" si="9"/>
        <v>0</v>
      </c>
    </row>
    <row r="276" spans="1:34" x14ac:dyDescent="0.2">
      <c r="A276" s="20" t="str">
        <f>'School Level Inst. Resources'!A276</f>
        <v>1702000</v>
      </c>
      <c r="B276" s="20" t="str">
        <f>'School Level Inst. Resources'!B276</f>
        <v>Sheridan #2</v>
      </c>
      <c r="C276" s="20" t="str">
        <f>'School Level Inst. Resources'!C276</f>
        <v>1702002</v>
      </c>
      <c r="D276" s="20" t="str">
        <f>'School Level Inst. Resources'!D276</f>
        <v>Coffeen Elementary</v>
      </c>
      <c r="E276" s="138" t="str">
        <f>'School Level Inst. Resources'!E276</f>
        <v>K-5</v>
      </c>
      <c r="F276" s="328">
        <v>35</v>
      </c>
      <c r="G276" s="328">
        <v>32</v>
      </c>
      <c r="H276" s="328">
        <v>36</v>
      </c>
      <c r="I276" s="328">
        <v>44</v>
      </c>
      <c r="J276" s="328">
        <v>29</v>
      </c>
      <c r="K276" s="328">
        <v>27</v>
      </c>
      <c r="L276" s="328">
        <v>0</v>
      </c>
      <c r="M276" s="328">
        <v>0</v>
      </c>
      <c r="N276" s="328">
        <v>0</v>
      </c>
      <c r="O276" s="328">
        <v>0</v>
      </c>
      <c r="P276" s="328">
        <v>0</v>
      </c>
      <c r="Q276" s="328">
        <v>0</v>
      </c>
      <c r="R276" s="328">
        <v>0</v>
      </c>
      <c r="S276" s="329">
        <f t="shared" si="8"/>
        <v>203</v>
      </c>
      <c r="T276" s="327"/>
      <c r="U276" s="328">
        <v>1</v>
      </c>
      <c r="V276" s="328">
        <v>0</v>
      </c>
      <c r="W276" s="328">
        <v>1</v>
      </c>
      <c r="X276" s="328">
        <v>0</v>
      </c>
      <c r="Y276" s="328">
        <v>0</v>
      </c>
      <c r="Z276" s="328">
        <v>0</v>
      </c>
      <c r="AA276" s="328">
        <v>0</v>
      </c>
      <c r="AB276" s="328">
        <v>0</v>
      </c>
      <c r="AC276" s="328">
        <v>0</v>
      </c>
      <c r="AD276" s="328">
        <v>0</v>
      </c>
      <c r="AE276" s="328">
        <v>0</v>
      </c>
      <c r="AF276" s="328">
        <v>0</v>
      </c>
      <c r="AG276" s="328">
        <v>0</v>
      </c>
      <c r="AH276" s="329">
        <f t="shared" si="9"/>
        <v>2</v>
      </c>
    </row>
    <row r="277" spans="1:34" x14ac:dyDescent="0.2">
      <c r="A277" s="20" t="str">
        <f>'School Level Inst. Resources'!A277</f>
        <v>1702000</v>
      </c>
      <c r="B277" s="20" t="str">
        <f>'School Level Inst. Resources'!B277</f>
        <v>Sheridan #2</v>
      </c>
      <c r="C277" s="20" t="str">
        <f>'School Level Inst. Resources'!C277</f>
        <v>1702003</v>
      </c>
      <c r="D277" s="20" t="str">
        <f>'School Level Inst. Resources'!D277</f>
        <v>Highland Park Elementary</v>
      </c>
      <c r="E277" s="138" t="str">
        <f>'School Level Inst. Resources'!E277</f>
        <v>K-5</v>
      </c>
      <c r="F277" s="328">
        <v>13</v>
      </c>
      <c r="G277" s="328">
        <v>16</v>
      </c>
      <c r="H277" s="328">
        <v>20</v>
      </c>
      <c r="I277" s="328">
        <v>25</v>
      </c>
      <c r="J277" s="328">
        <v>19</v>
      </c>
      <c r="K277" s="328">
        <v>13</v>
      </c>
      <c r="L277" s="328">
        <v>0</v>
      </c>
      <c r="M277" s="328">
        <v>0</v>
      </c>
      <c r="N277" s="328">
        <v>0</v>
      </c>
      <c r="O277" s="328">
        <v>0</v>
      </c>
      <c r="P277" s="328">
        <v>0</v>
      </c>
      <c r="Q277" s="328">
        <v>0</v>
      </c>
      <c r="R277" s="328">
        <v>0</v>
      </c>
      <c r="S277" s="329">
        <f t="shared" si="8"/>
        <v>106</v>
      </c>
      <c r="T277" s="327"/>
      <c r="U277" s="328">
        <v>0</v>
      </c>
      <c r="V277" s="328">
        <v>2</v>
      </c>
      <c r="W277" s="328">
        <v>0</v>
      </c>
      <c r="X277" s="328">
        <v>2</v>
      </c>
      <c r="Y277" s="328">
        <v>0</v>
      </c>
      <c r="Z277" s="328">
        <v>0</v>
      </c>
      <c r="AA277" s="328">
        <v>0</v>
      </c>
      <c r="AB277" s="328">
        <v>0</v>
      </c>
      <c r="AC277" s="328">
        <v>0</v>
      </c>
      <c r="AD277" s="328">
        <v>0</v>
      </c>
      <c r="AE277" s="328">
        <v>0</v>
      </c>
      <c r="AF277" s="328">
        <v>0</v>
      </c>
      <c r="AG277" s="328">
        <v>0</v>
      </c>
      <c r="AH277" s="329">
        <f t="shared" si="9"/>
        <v>4</v>
      </c>
    </row>
    <row r="278" spans="1:34" x14ac:dyDescent="0.2">
      <c r="A278" s="20" t="str">
        <f>'School Level Inst. Resources'!A278</f>
        <v>1702000</v>
      </c>
      <c r="B278" s="20" t="str">
        <f>'School Level Inst. Resources'!B278</f>
        <v>Sheridan #2</v>
      </c>
      <c r="C278" s="20" t="str">
        <f>'School Level Inst. Resources'!C278</f>
        <v>1702005</v>
      </c>
      <c r="D278" s="20" t="str">
        <f>'School Level Inst. Resources'!D278</f>
        <v>Story Elementary</v>
      </c>
      <c r="E278" s="138" t="str">
        <f>'School Level Inst. Resources'!E278</f>
        <v>K-5</v>
      </c>
      <c r="F278" s="328">
        <v>1</v>
      </c>
      <c r="G278" s="328">
        <v>1</v>
      </c>
      <c r="H278" s="328">
        <v>0</v>
      </c>
      <c r="I278" s="328">
        <v>2</v>
      </c>
      <c r="J278" s="328">
        <v>1</v>
      </c>
      <c r="K278" s="328">
        <v>1</v>
      </c>
      <c r="L278" s="328">
        <v>0</v>
      </c>
      <c r="M278" s="328">
        <v>0</v>
      </c>
      <c r="N278" s="328">
        <v>0</v>
      </c>
      <c r="O278" s="328">
        <v>0</v>
      </c>
      <c r="P278" s="328">
        <v>0</v>
      </c>
      <c r="Q278" s="328">
        <v>0</v>
      </c>
      <c r="R278" s="328">
        <v>0</v>
      </c>
      <c r="S278" s="329">
        <f t="shared" si="8"/>
        <v>6</v>
      </c>
      <c r="T278" s="327"/>
      <c r="U278" s="328">
        <v>0</v>
      </c>
      <c r="V278" s="328">
        <v>0</v>
      </c>
      <c r="W278" s="328">
        <v>0</v>
      </c>
      <c r="X278" s="328">
        <v>0</v>
      </c>
      <c r="Y278" s="328">
        <v>0</v>
      </c>
      <c r="Z278" s="328">
        <v>0</v>
      </c>
      <c r="AA278" s="328">
        <v>0</v>
      </c>
      <c r="AB278" s="328">
        <v>0</v>
      </c>
      <c r="AC278" s="328">
        <v>0</v>
      </c>
      <c r="AD278" s="328">
        <v>0</v>
      </c>
      <c r="AE278" s="328">
        <v>0</v>
      </c>
      <c r="AF278" s="328">
        <v>0</v>
      </c>
      <c r="AG278" s="328">
        <v>0</v>
      </c>
      <c r="AH278" s="329">
        <f t="shared" si="9"/>
        <v>0</v>
      </c>
    </row>
    <row r="279" spans="1:34" x14ac:dyDescent="0.2">
      <c r="A279" s="20" t="str">
        <f>'School Level Inst. Resources'!A279</f>
        <v>1702000</v>
      </c>
      <c r="B279" s="20" t="str">
        <f>'School Level Inst. Resources'!B279</f>
        <v>Sheridan #2</v>
      </c>
      <c r="C279" s="20" t="str">
        <f>'School Level Inst. Resources'!C279</f>
        <v>1702007</v>
      </c>
      <c r="D279" s="20" t="str">
        <f>'School Level Inst. Resources'!D279</f>
        <v>Woodland Park Elementary</v>
      </c>
      <c r="E279" s="138" t="str">
        <f>'School Level Inst. Resources'!E279</f>
        <v>K-5</v>
      </c>
      <c r="F279" s="328">
        <v>19</v>
      </c>
      <c r="G279" s="328">
        <v>17</v>
      </c>
      <c r="H279" s="328">
        <v>19</v>
      </c>
      <c r="I279" s="328">
        <v>16</v>
      </c>
      <c r="J279" s="328">
        <v>16</v>
      </c>
      <c r="K279" s="328">
        <v>21</v>
      </c>
      <c r="L279" s="328">
        <v>0</v>
      </c>
      <c r="M279" s="328">
        <v>0</v>
      </c>
      <c r="N279" s="328">
        <v>0</v>
      </c>
      <c r="O279" s="328">
        <v>0</v>
      </c>
      <c r="P279" s="328">
        <v>0</v>
      </c>
      <c r="Q279" s="328">
        <v>0</v>
      </c>
      <c r="R279" s="328">
        <v>0</v>
      </c>
      <c r="S279" s="329">
        <f t="shared" si="8"/>
        <v>108</v>
      </c>
      <c r="T279" s="327"/>
      <c r="U279" s="328">
        <v>3</v>
      </c>
      <c r="V279" s="328">
        <v>0</v>
      </c>
      <c r="W279" s="328">
        <v>2</v>
      </c>
      <c r="X279" s="328">
        <v>0</v>
      </c>
      <c r="Y279" s="328">
        <v>1</v>
      </c>
      <c r="Z279" s="328">
        <v>0</v>
      </c>
      <c r="AA279" s="328">
        <v>0</v>
      </c>
      <c r="AB279" s="328">
        <v>0</v>
      </c>
      <c r="AC279" s="328">
        <v>0</v>
      </c>
      <c r="AD279" s="328">
        <v>0</v>
      </c>
      <c r="AE279" s="328">
        <v>0</v>
      </c>
      <c r="AF279" s="328">
        <v>0</v>
      </c>
      <c r="AG279" s="328">
        <v>0</v>
      </c>
      <c r="AH279" s="329">
        <f t="shared" si="9"/>
        <v>6</v>
      </c>
    </row>
    <row r="280" spans="1:34" x14ac:dyDescent="0.2">
      <c r="A280" s="20" t="str">
        <f>'School Level Inst. Resources'!A280</f>
        <v>1702000</v>
      </c>
      <c r="B280" s="20" t="str">
        <f>'School Level Inst. Resources'!B280</f>
        <v>Sheridan #2</v>
      </c>
      <c r="C280" s="20" t="str">
        <f>'School Level Inst. Resources'!C280</f>
        <v>1702009</v>
      </c>
      <c r="D280" s="20" t="str">
        <f>'School Level Inst. Resources'!D280</f>
        <v>Meadowlark Elementary</v>
      </c>
      <c r="E280" s="138" t="str">
        <f>'School Level Inst. Resources'!E280</f>
        <v>K-5</v>
      </c>
      <c r="F280" s="328">
        <v>20</v>
      </c>
      <c r="G280" s="328">
        <v>22</v>
      </c>
      <c r="H280" s="328">
        <v>16</v>
      </c>
      <c r="I280" s="328">
        <v>21</v>
      </c>
      <c r="J280" s="328">
        <v>32</v>
      </c>
      <c r="K280" s="328">
        <v>18</v>
      </c>
      <c r="L280" s="328">
        <v>0</v>
      </c>
      <c r="M280" s="328">
        <v>0</v>
      </c>
      <c r="N280" s="328">
        <v>0</v>
      </c>
      <c r="O280" s="328">
        <v>0</v>
      </c>
      <c r="P280" s="328">
        <v>0</v>
      </c>
      <c r="Q280" s="328">
        <v>0</v>
      </c>
      <c r="R280" s="328">
        <v>0</v>
      </c>
      <c r="S280" s="329">
        <f t="shared" si="8"/>
        <v>129</v>
      </c>
      <c r="T280" s="327"/>
      <c r="U280" s="328">
        <v>0</v>
      </c>
      <c r="V280" s="328">
        <v>0</v>
      </c>
      <c r="W280" s="328">
        <v>0</v>
      </c>
      <c r="X280" s="328">
        <v>0</v>
      </c>
      <c r="Y280" s="328">
        <v>1</v>
      </c>
      <c r="Z280" s="328">
        <v>0</v>
      </c>
      <c r="AA280" s="328">
        <v>0</v>
      </c>
      <c r="AB280" s="328">
        <v>0</v>
      </c>
      <c r="AC280" s="328">
        <v>0</v>
      </c>
      <c r="AD280" s="328">
        <v>0</v>
      </c>
      <c r="AE280" s="328">
        <v>0</v>
      </c>
      <c r="AF280" s="328">
        <v>0</v>
      </c>
      <c r="AG280" s="328">
        <v>0</v>
      </c>
      <c r="AH280" s="329">
        <f t="shared" si="9"/>
        <v>1</v>
      </c>
    </row>
    <row r="281" spans="1:34" x14ac:dyDescent="0.2">
      <c r="A281" s="20" t="str">
        <f>'School Level Inst. Resources'!A281</f>
        <v>1702000</v>
      </c>
      <c r="B281" s="20" t="str">
        <f>'School Level Inst. Resources'!B281</f>
        <v>Sheridan #2</v>
      </c>
      <c r="C281" s="20" t="str">
        <f>'School Level Inst. Resources'!C281</f>
        <v>1702010</v>
      </c>
      <c r="D281" s="20" t="str">
        <f>'School Level Inst. Resources'!D281</f>
        <v>Sagebrush Elementary</v>
      </c>
      <c r="E281" s="138" t="str">
        <f>'School Level Inst. Resources'!E281</f>
        <v>K-5</v>
      </c>
      <c r="F281" s="328">
        <v>29</v>
      </c>
      <c r="G281" s="328">
        <v>20</v>
      </c>
      <c r="H281" s="328">
        <v>28</v>
      </c>
      <c r="I281" s="328">
        <v>31</v>
      </c>
      <c r="J281" s="328">
        <v>13</v>
      </c>
      <c r="K281" s="328">
        <v>20</v>
      </c>
      <c r="L281" s="328">
        <v>0</v>
      </c>
      <c r="M281" s="328">
        <v>0</v>
      </c>
      <c r="N281" s="328">
        <v>0</v>
      </c>
      <c r="O281" s="328">
        <v>0</v>
      </c>
      <c r="P281" s="328">
        <v>0</v>
      </c>
      <c r="Q281" s="328">
        <v>0</v>
      </c>
      <c r="R281" s="328">
        <v>0</v>
      </c>
      <c r="S281" s="329">
        <f t="shared" si="8"/>
        <v>141</v>
      </c>
      <c r="T281" s="327"/>
      <c r="U281" s="328">
        <v>0</v>
      </c>
      <c r="V281" s="328">
        <v>0</v>
      </c>
      <c r="W281" s="328">
        <v>0</v>
      </c>
      <c r="X281" s="328">
        <v>0</v>
      </c>
      <c r="Y281" s="328">
        <v>0</v>
      </c>
      <c r="Z281" s="328">
        <v>0</v>
      </c>
      <c r="AA281" s="328">
        <v>0</v>
      </c>
      <c r="AB281" s="328">
        <v>0</v>
      </c>
      <c r="AC281" s="328">
        <v>0</v>
      </c>
      <c r="AD281" s="328">
        <v>0</v>
      </c>
      <c r="AE281" s="328">
        <v>0</v>
      </c>
      <c r="AF281" s="328">
        <v>0</v>
      </c>
      <c r="AG281" s="328">
        <v>0</v>
      </c>
      <c r="AH281" s="329">
        <f t="shared" si="9"/>
        <v>0</v>
      </c>
    </row>
    <row r="282" spans="1:34" x14ac:dyDescent="0.2">
      <c r="A282" s="20" t="str">
        <f>'School Level Inst. Resources'!A282</f>
        <v>1702000</v>
      </c>
      <c r="B282" s="20" t="str">
        <f>'School Level Inst. Resources'!B282</f>
        <v>Sheridan #2</v>
      </c>
      <c r="C282" s="20" t="str">
        <f>'School Level Inst. Resources'!C282</f>
        <v>1702050</v>
      </c>
      <c r="D282" s="20" t="str">
        <f>'School Level Inst. Resources'!D282</f>
        <v>Sheridan Junior High School</v>
      </c>
      <c r="E282" s="138" t="str">
        <f>'School Level Inst. Resources'!E282</f>
        <v>6-8</v>
      </c>
      <c r="F282" s="328">
        <v>0</v>
      </c>
      <c r="G282" s="328">
        <v>0</v>
      </c>
      <c r="H282" s="328">
        <v>0</v>
      </c>
      <c r="I282" s="328">
        <v>0</v>
      </c>
      <c r="J282" s="328">
        <v>0</v>
      </c>
      <c r="K282" s="328">
        <v>0</v>
      </c>
      <c r="L282" s="328">
        <v>112</v>
      </c>
      <c r="M282" s="328">
        <v>94</v>
      </c>
      <c r="N282" s="328">
        <v>84</v>
      </c>
      <c r="O282" s="328">
        <v>0</v>
      </c>
      <c r="P282" s="328">
        <v>0</v>
      </c>
      <c r="Q282" s="328">
        <v>0</v>
      </c>
      <c r="R282" s="328">
        <v>0</v>
      </c>
      <c r="S282" s="329">
        <f t="shared" si="8"/>
        <v>290</v>
      </c>
      <c r="T282" s="327"/>
      <c r="U282" s="328">
        <v>0</v>
      </c>
      <c r="V282" s="328">
        <v>0</v>
      </c>
      <c r="W282" s="328">
        <v>0</v>
      </c>
      <c r="X282" s="328">
        <v>0</v>
      </c>
      <c r="Y282" s="328">
        <v>0</v>
      </c>
      <c r="Z282" s="328">
        <v>0</v>
      </c>
      <c r="AA282" s="328">
        <v>2</v>
      </c>
      <c r="AB282" s="328">
        <v>2</v>
      </c>
      <c r="AC282" s="328">
        <v>1</v>
      </c>
      <c r="AD282" s="328">
        <v>0</v>
      </c>
      <c r="AE282" s="328">
        <v>0</v>
      </c>
      <c r="AF282" s="328">
        <v>0</v>
      </c>
      <c r="AG282" s="328">
        <v>0</v>
      </c>
      <c r="AH282" s="329">
        <f t="shared" si="9"/>
        <v>5</v>
      </c>
    </row>
    <row r="283" spans="1:34" x14ac:dyDescent="0.2">
      <c r="A283" s="20" t="str">
        <f>'School Level Inst. Resources'!A283</f>
        <v>1702000</v>
      </c>
      <c r="B283" s="20" t="str">
        <f>'School Level Inst. Resources'!B283</f>
        <v>Sheridan #2</v>
      </c>
      <c r="C283" s="20" t="str">
        <f>'School Level Inst. Resources'!C283</f>
        <v>1702052</v>
      </c>
      <c r="D283" s="20" t="str">
        <f>'School Level Inst. Resources'!D283</f>
        <v>The Wright Place</v>
      </c>
      <c r="E283" s="138" t="str">
        <f>'School Level Inst. Resources'!E283</f>
        <v>6-8</v>
      </c>
      <c r="F283" s="328">
        <v>0</v>
      </c>
      <c r="G283" s="328">
        <v>0</v>
      </c>
      <c r="H283" s="328">
        <v>0</v>
      </c>
      <c r="I283" s="328">
        <v>0</v>
      </c>
      <c r="J283" s="328">
        <v>0</v>
      </c>
      <c r="K283" s="328">
        <v>0</v>
      </c>
      <c r="L283" s="328">
        <v>6</v>
      </c>
      <c r="M283" s="328">
        <v>9</v>
      </c>
      <c r="N283" s="328">
        <v>5</v>
      </c>
      <c r="O283" s="328">
        <v>0</v>
      </c>
      <c r="P283" s="328">
        <v>0</v>
      </c>
      <c r="Q283" s="328">
        <v>0</v>
      </c>
      <c r="R283" s="328">
        <v>0</v>
      </c>
      <c r="S283" s="329">
        <f t="shared" si="8"/>
        <v>20</v>
      </c>
      <c r="T283" s="327"/>
      <c r="U283" s="328">
        <v>0</v>
      </c>
      <c r="V283" s="328">
        <v>0</v>
      </c>
      <c r="W283" s="328">
        <v>0</v>
      </c>
      <c r="X283" s="328">
        <v>0</v>
      </c>
      <c r="Y283" s="328">
        <v>0</v>
      </c>
      <c r="Z283" s="328">
        <v>0</v>
      </c>
      <c r="AA283" s="328">
        <v>0</v>
      </c>
      <c r="AB283" s="328">
        <v>0</v>
      </c>
      <c r="AC283" s="328">
        <v>0</v>
      </c>
      <c r="AD283" s="328">
        <v>0</v>
      </c>
      <c r="AE283" s="328">
        <v>0</v>
      </c>
      <c r="AF283" s="328">
        <v>0</v>
      </c>
      <c r="AG283" s="328">
        <v>0</v>
      </c>
      <c r="AH283" s="329">
        <f t="shared" si="9"/>
        <v>0</v>
      </c>
    </row>
    <row r="284" spans="1:34" x14ac:dyDescent="0.2">
      <c r="A284" s="20" t="str">
        <f>'School Level Inst. Resources'!A284</f>
        <v>1702000</v>
      </c>
      <c r="B284" s="20" t="str">
        <f>'School Level Inst. Resources'!B284</f>
        <v>Sheridan #2</v>
      </c>
      <c r="C284" s="20" t="str">
        <f>'School Level Inst. Resources'!C284</f>
        <v>1702056</v>
      </c>
      <c r="D284" s="20" t="str">
        <f>'School Level Inst. Resources'!D284</f>
        <v>John C. Schiffer Collaborative School</v>
      </c>
      <c r="E284" s="138" t="str">
        <f>'School Level Inst. Resources'!E284</f>
        <v>9-12</v>
      </c>
      <c r="F284" s="328">
        <v>0</v>
      </c>
      <c r="G284" s="328">
        <v>0</v>
      </c>
      <c r="H284" s="328">
        <v>0</v>
      </c>
      <c r="I284" s="328">
        <v>0</v>
      </c>
      <c r="J284" s="328">
        <v>0</v>
      </c>
      <c r="K284" s="328">
        <v>0</v>
      </c>
      <c r="L284" s="328">
        <v>0</v>
      </c>
      <c r="M284" s="328">
        <v>0</v>
      </c>
      <c r="N284" s="328">
        <v>0</v>
      </c>
      <c r="O284" s="328">
        <v>12</v>
      </c>
      <c r="P284" s="328">
        <v>8</v>
      </c>
      <c r="Q284" s="328">
        <v>10</v>
      </c>
      <c r="R284" s="328">
        <v>10</v>
      </c>
      <c r="S284" s="329">
        <f t="shared" si="8"/>
        <v>40</v>
      </c>
      <c r="T284" s="327"/>
      <c r="U284" s="328">
        <v>0</v>
      </c>
      <c r="V284" s="328">
        <v>0</v>
      </c>
      <c r="W284" s="328">
        <v>0</v>
      </c>
      <c r="X284" s="328">
        <v>0</v>
      </c>
      <c r="Y284" s="328">
        <v>0</v>
      </c>
      <c r="Z284" s="328">
        <v>0</v>
      </c>
      <c r="AA284" s="328">
        <v>0</v>
      </c>
      <c r="AB284" s="328">
        <v>0</v>
      </c>
      <c r="AC284" s="328">
        <v>0</v>
      </c>
      <c r="AD284" s="328">
        <v>0</v>
      </c>
      <c r="AE284" s="328">
        <v>0</v>
      </c>
      <c r="AF284" s="328">
        <v>0</v>
      </c>
      <c r="AG284" s="328">
        <v>0</v>
      </c>
      <c r="AH284" s="329">
        <f t="shared" si="9"/>
        <v>0</v>
      </c>
    </row>
    <row r="285" spans="1:34" x14ac:dyDescent="0.2">
      <c r="A285" s="20" t="str">
        <f>'School Level Inst. Resources'!A285</f>
        <v>1702000</v>
      </c>
      <c r="B285" s="20" t="str">
        <f>'School Level Inst. Resources'!B285</f>
        <v>Sheridan #2</v>
      </c>
      <c r="C285" s="20" t="str">
        <f>'School Level Inst. Resources'!C285</f>
        <v>1702057</v>
      </c>
      <c r="D285" s="20" t="str">
        <f>'School Level Inst. Resources'!D285</f>
        <v>Sheridan High School</v>
      </c>
      <c r="E285" s="138" t="str">
        <f>'School Level Inst. Resources'!E285</f>
        <v>9-12</v>
      </c>
      <c r="F285" s="328">
        <v>0</v>
      </c>
      <c r="G285" s="328">
        <v>0</v>
      </c>
      <c r="H285" s="328">
        <v>0</v>
      </c>
      <c r="I285" s="328">
        <v>0</v>
      </c>
      <c r="J285" s="328">
        <v>0</v>
      </c>
      <c r="K285" s="328">
        <v>0</v>
      </c>
      <c r="L285" s="328">
        <v>0</v>
      </c>
      <c r="M285" s="328">
        <v>0</v>
      </c>
      <c r="N285" s="328">
        <v>0</v>
      </c>
      <c r="O285" s="328">
        <v>83</v>
      </c>
      <c r="P285" s="328">
        <v>82</v>
      </c>
      <c r="Q285" s="328">
        <v>57</v>
      </c>
      <c r="R285" s="328">
        <v>50</v>
      </c>
      <c r="S285" s="329">
        <f t="shared" si="8"/>
        <v>272</v>
      </c>
      <c r="T285" s="327"/>
      <c r="U285" s="328">
        <v>0</v>
      </c>
      <c r="V285" s="328">
        <v>0</v>
      </c>
      <c r="W285" s="328">
        <v>0</v>
      </c>
      <c r="X285" s="328">
        <v>0</v>
      </c>
      <c r="Y285" s="328">
        <v>0</v>
      </c>
      <c r="Z285" s="328">
        <v>0</v>
      </c>
      <c r="AA285" s="328">
        <v>0</v>
      </c>
      <c r="AB285" s="328">
        <v>0</v>
      </c>
      <c r="AC285" s="328">
        <v>0</v>
      </c>
      <c r="AD285" s="328">
        <v>5</v>
      </c>
      <c r="AE285" s="328">
        <v>1</v>
      </c>
      <c r="AF285" s="328">
        <v>1</v>
      </c>
      <c r="AG285" s="328">
        <v>0</v>
      </c>
      <c r="AH285" s="329">
        <f t="shared" si="9"/>
        <v>7</v>
      </c>
    </row>
    <row r="286" spans="1:34" x14ac:dyDescent="0.2">
      <c r="A286" s="20" t="str">
        <f>'School Level Inst. Resources'!A286</f>
        <v>1703000</v>
      </c>
      <c r="B286" s="20" t="str">
        <f>'School Level Inst. Resources'!B286</f>
        <v>Sheridan #3</v>
      </c>
      <c r="C286" s="20" t="str">
        <f>'School Level Inst. Resources'!C286</f>
        <v>1703001</v>
      </c>
      <c r="D286" s="20" t="str">
        <f>'School Level Inst. Resources'!D286</f>
        <v>Arvada Elementary</v>
      </c>
      <c r="E286" s="138" t="str">
        <f>'School Level Inst. Resources'!E286</f>
        <v>K-6</v>
      </c>
      <c r="F286" s="328">
        <v>0</v>
      </c>
      <c r="G286" s="328">
        <v>1</v>
      </c>
      <c r="H286" s="328">
        <v>0</v>
      </c>
      <c r="I286" s="328">
        <v>1</v>
      </c>
      <c r="J286" s="328">
        <v>0</v>
      </c>
      <c r="K286" s="328">
        <v>0</v>
      </c>
      <c r="L286" s="328">
        <v>0</v>
      </c>
      <c r="M286" s="328">
        <v>0</v>
      </c>
      <c r="N286" s="328">
        <v>0</v>
      </c>
      <c r="O286" s="328">
        <v>0</v>
      </c>
      <c r="P286" s="328">
        <v>0</v>
      </c>
      <c r="Q286" s="328">
        <v>0</v>
      </c>
      <c r="R286" s="328">
        <v>0</v>
      </c>
      <c r="S286" s="329">
        <f t="shared" si="8"/>
        <v>2</v>
      </c>
      <c r="T286" s="327"/>
      <c r="U286" s="328">
        <v>0</v>
      </c>
      <c r="V286" s="328">
        <v>0</v>
      </c>
      <c r="W286" s="328">
        <v>0</v>
      </c>
      <c r="X286" s="328">
        <v>0</v>
      </c>
      <c r="Y286" s="328">
        <v>0</v>
      </c>
      <c r="Z286" s="328">
        <v>0</v>
      </c>
      <c r="AA286" s="328">
        <v>0</v>
      </c>
      <c r="AB286" s="328">
        <v>0</v>
      </c>
      <c r="AC286" s="328">
        <v>0</v>
      </c>
      <c r="AD286" s="328">
        <v>0</v>
      </c>
      <c r="AE286" s="328">
        <v>0</v>
      </c>
      <c r="AF286" s="328">
        <v>0</v>
      </c>
      <c r="AG286" s="328">
        <v>0</v>
      </c>
      <c r="AH286" s="329">
        <f t="shared" si="9"/>
        <v>0</v>
      </c>
    </row>
    <row r="287" spans="1:34" x14ac:dyDescent="0.2">
      <c r="A287" s="20" t="str">
        <f>'School Level Inst. Resources'!A287</f>
        <v>1703000</v>
      </c>
      <c r="B287" s="20" t="str">
        <f>'School Level Inst. Resources'!B287</f>
        <v>Sheridan #3</v>
      </c>
      <c r="C287" s="20" t="str">
        <f>'School Level Inst. Resources'!C287</f>
        <v>1703049</v>
      </c>
      <c r="D287" s="20" t="str">
        <f>'School Level Inst. Resources'!D287</f>
        <v>Clearmont K-12</v>
      </c>
      <c r="E287" s="138" t="str">
        <f>'School Level Inst. Resources'!E287</f>
        <v>K-12</v>
      </c>
      <c r="F287" s="328">
        <v>0</v>
      </c>
      <c r="G287" s="328">
        <v>3</v>
      </c>
      <c r="H287" s="328">
        <v>0</v>
      </c>
      <c r="I287" s="328">
        <v>3</v>
      </c>
      <c r="J287" s="328">
        <v>2</v>
      </c>
      <c r="K287" s="328">
        <v>4</v>
      </c>
      <c r="L287" s="328">
        <v>4</v>
      </c>
      <c r="M287" s="328">
        <v>4</v>
      </c>
      <c r="N287" s="328">
        <v>5</v>
      </c>
      <c r="O287" s="328">
        <v>7</v>
      </c>
      <c r="P287" s="328">
        <v>4</v>
      </c>
      <c r="Q287" s="328">
        <v>4</v>
      </c>
      <c r="R287" s="328">
        <v>7</v>
      </c>
      <c r="S287" s="329">
        <f t="shared" si="8"/>
        <v>47</v>
      </c>
      <c r="T287" s="327"/>
      <c r="U287" s="328">
        <v>0</v>
      </c>
      <c r="V287" s="328">
        <v>0</v>
      </c>
      <c r="W287" s="328">
        <v>0</v>
      </c>
      <c r="X287" s="328">
        <v>0</v>
      </c>
      <c r="Y287" s="328">
        <v>0</v>
      </c>
      <c r="Z287" s="328">
        <v>0</v>
      </c>
      <c r="AA287" s="328">
        <v>0</v>
      </c>
      <c r="AB287" s="328">
        <v>0</v>
      </c>
      <c r="AC287" s="328">
        <v>0</v>
      </c>
      <c r="AD287" s="328">
        <v>0</v>
      </c>
      <c r="AE287" s="328">
        <v>0</v>
      </c>
      <c r="AF287" s="328">
        <v>0</v>
      </c>
      <c r="AG287" s="328">
        <v>0</v>
      </c>
      <c r="AH287" s="329">
        <f t="shared" si="9"/>
        <v>0</v>
      </c>
    </row>
    <row r="288" spans="1:34" x14ac:dyDescent="0.2">
      <c r="A288" s="20" t="str">
        <f>'School Level Inst. Resources'!A288</f>
        <v>1801000</v>
      </c>
      <c r="B288" s="20" t="str">
        <f>'School Level Inst. Resources'!B288</f>
        <v>Sublette #1</v>
      </c>
      <c r="C288" s="20" t="str">
        <f>'School Level Inst. Resources'!C288</f>
        <v>1801001</v>
      </c>
      <c r="D288" s="20" t="str">
        <f>'School Level Inst. Resources'!D288</f>
        <v>Bondurant Elementary</v>
      </c>
      <c r="E288" s="138" t="str">
        <f>'School Level Inst. Resources'!E288</f>
        <v>K-5</v>
      </c>
      <c r="F288" s="328">
        <v>0</v>
      </c>
      <c r="G288" s="328">
        <v>0</v>
      </c>
      <c r="H288" s="328">
        <v>0</v>
      </c>
      <c r="I288" s="328">
        <v>0</v>
      </c>
      <c r="J288" s="328">
        <v>0</v>
      </c>
      <c r="K288" s="328">
        <v>0</v>
      </c>
      <c r="L288" s="328">
        <v>0</v>
      </c>
      <c r="M288" s="328">
        <v>0</v>
      </c>
      <c r="N288" s="328">
        <v>0</v>
      </c>
      <c r="O288" s="328">
        <v>0</v>
      </c>
      <c r="P288" s="328">
        <v>0</v>
      </c>
      <c r="Q288" s="328">
        <v>0</v>
      </c>
      <c r="R288" s="328">
        <v>0</v>
      </c>
      <c r="S288" s="329">
        <f t="shared" si="8"/>
        <v>0</v>
      </c>
      <c r="T288" s="327"/>
      <c r="U288" s="328">
        <v>0</v>
      </c>
      <c r="V288" s="328">
        <v>0</v>
      </c>
      <c r="W288" s="328">
        <v>0</v>
      </c>
      <c r="X288" s="328">
        <v>0</v>
      </c>
      <c r="Y288" s="328">
        <v>0</v>
      </c>
      <c r="Z288" s="328">
        <v>0</v>
      </c>
      <c r="AA288" s="328">
        <v>0</v>
      </c>
      <c r="AB288" s="328">
        <v>0</v>
      </c>
      <c r="AC288" s="328">
        <v>0</v>
      </c>
      <c r="AD288" s="328">
        <v>0</v>
      </c>
      <c r="AE288" s="328">
        <v>0</v>
      </c>
      <c r="AF288" s="328">
        <v>0</v>
      </c>
      <c r="AG288" s="328">
        <v>0</v>
      </c>
      <c r="AH288" s="329">
        <f t="shared" si="9"/>
        <v>0</v>
      </c>
    </row>
    <row r="289" spans="1:34" x14ac:dyDescent="0.2">
      <c r="A289" s="20" t="str">
        <f>'School Level Inst. Resources'!A289</f>
        <v>1801000</v>
      </c>
      <c r="B289" s="20" t="str">
        <f>'School Level Inst. Resources'!B289</f>
        <v>Sublette #1</v>
      </c>
      <c r="C289" s="20" t="str">
        <f>'School Level Inst. Resources'!C289</f>
        <v>1801002</v>
      </c>
      <c r="D289" s="20" t="str">
        <f>'School Level Inst. Resources'!D289</f>
        <v>Pinedale Elementary</v>
      </c>
      <c r="E289" s="138" t="str">
        <f>'School Level Inst. Resources'!E289</f>
        <v>K-5</v>
      </c>
      <c r="F289" s="328">
        <v>18</v>
      </c>
      <c r="G289" s="328">
        <v>25</v>
      </c>
      <c r="H289" s="328">
        <v>17</v>
      </c>
      <c r="I289" s="328">
        <v>19</v>
      </c>
      <c r="J289" s="328">
        <v>35</v>
      </c>
      <c r="K289" s="328">
        <v>17</v>
      </c>
      <c r="L289" s="328">
        <v>0</v>
      </c>
      <c r="M289" s="328">
        <v>0</v>
      </c>
      <c r="N289" s="328">
        <v>0</v>
      </c>
      <c r="O289" s="328">
        <v>0</v>
      </c>
      <c r="P289" s="328">
        <v>0</v>
      </c>
      <c r="Q289" s="328">
        <v>0</v>
      </c>
      <c r="R289" s="328">
        <v>0</v>
      </c>
      <c r="S289" s="329">
        <f t="shared" si="8"/>
        <v>131</v>
      </c>
      <c r="T289" s="327"/>
      <c r="U289" s="328">
        <v>5</v>
      </c>
      <c r="V289" s="328">
        <v>4</v>
      </c>
      <c r="W289" s="328">
        <v>7</v>
      </c>
      <c r="X289" s="328">
        <v>7</v>
      </c>
      <c r="Y289" s="328">
        <v>5</v>
      </c>
      <c r="Z289" s="328">
        <v>1</v>
      </c>
      <c r="AA289" s="328">
        <v>0</v>
      </c>
      <c r="AB289" s="328">
        <v>0</v>
      </c>
      <c r="AC289" s="328">
        <v>0</v>
      </c>
      <c r="AD289" s="328">
        <v>0</v>
      </c>
      <c r="AE289" s="328">
        <v>0</v>
      </c>
      <c r="AF289" s="328">
        <v>0</v>
      </c>
      <c r="AG289" s="328">
        <v>0</v>
      </c>
      <c r="AH289" s="329">
        <f t="shared" si="9"/>
        <v>29</v>
      </c>
    </row>
    <row r="290" spans="1:34" x14ac:dyDescent="0.2">
      <c r="A290" s="20" t="str">
        <f>'School Level Inst. Resources'!A290</f>
        <v>1801000</v>
      </c>
      <c r="B290" s="20" t="str">
        <f>'School Level Inst. Resources'!B290</f>
        <v>Sublette #1</v>
      </c>
      <c r="C290" s="20" t="str">
        <f>'School Level Inst. Resources'!C290</f>
        <v>1801050</v>
      </c>
      <c r="D290" s="20" t="str">
        <f>'School Level Inst. Resources'!D290</f>
        <v>Pinedale Middle School</v>
      </c>
      <c r="E290" s="138" t="str">
        <f>'School Level Inst. Resources'!E290</f>
        <v>6-8</v>
      </c>
      <c r="F290" s="328">
        <v>0</v>
      </c>
      <c r="G290" s="328">
        <v>0</v>
      </c>
      <c r="H290" s="328">
        <v>0</v>
      </c>
      <c r="I290" s="328">
        <v>0</v>
      </c>
      <c r="J290" s="328">
        <v>0</v>
      </c>
      <c r="K290" s="328">
        <v>0</v>
      </c>
      <c r="L290" s="328">
        <v>22</v>
      </c>
      <c r="M290" s="328">
        <v>20</v>
      </c>
      <c r="N290" s="328">
        <v>14</v>
      </c>
      <c r="O290" s="328">
        <v>0</v>
      </c>
      <c r="P290" s="328">
        <v>0</v>
      </c>
      <c r="Q290" s="328">
        <v>0</v>
      </c>
      <c r="R290" s="328">
        <v>0</v>
      </c>
      <c r="S290" s="329">
        <f t="shared" si="8"/>
        <v>56</v>
      </c>
      <c r="T290" s="327"/>
      <c r="U290" s="328">
        <v>0</v>
      </c>
      <c r="V290" s="328">
        <v>0</v>
      </c>
      <c r="W290" s="328">
        <v>0</v>
      </c>
      <c r="X290" s="328">
        <v>0</v>
      </c>
      <c r="Y290" s="328">
        <v>0</v>
      </c>
      <c r="Z290" s="328">
        <v>0</v>
      </c>
      <c r="AA290" s="328">
        <v>3</v>
      </c>
      <c r="AB290" s="328">
        <v>2</v>
      </c>
      <c r="AC290" s="328">
        <v>0</v>
      </c>
      <c r="AD290" s="328">
        <v>0</v>
      </c>
      <c r="AE290" s="328">
        <v>0</v>
      </c>
      <c r="AF290" s="328">
        <v>0</v>
      </c>
      <c r="AG290" s="328">
        <v>0</v>
      </c>
      <c r="AH290" s="329">
        <f t="shared" si="9"/>
        <v>5</v>
      </c>
    </row>
    <row r="291" spans="1:34" x14ac:dyDescent="0.2">
      <c r="A291" s="20" t="str">
        <f>'School Level Inst. Resources'!A291</f>
        <v>1801000</v>
      </c>
      <c r="B291" s="20" t="str">
        <f>'School Level Inst. Resources'!B291</f>
        <v>Sublette #1</v>
      </c>
      <c r="C291" s="20" t="str">
        <f>'School Level Inst. Resources'!C291</f>
        <v>1801055</v>
      </c>
      <c r="D291" s="20" t="str">
        <f>'School Level Inst. Resources'!D291</f>
        <v>Pinedale High School</v>
      </c>
      <c r="E291" s="138" t="str">
        <f>'School Level Inst. Resources'!E291</f>
        <v>9-12</v>
      </c>
      <c r="F291" s="328">
        <v>0</v>
      </c>
      <c r="G291" s="328">
        <v>0</v>
      </c>
      <c r="H291" s="328">
        <v>0</v>
      </c>
      <c r="I291" s="328">
        <v>0</v>
      </c>
      <c r="J291" s="328">
        <v>0</v>
      </c>
      <c r="K291" s="328">
        <v>0</v>
      </c>
      <c r="L291" s="328">
        <v>0</v>
      </c>
      <c r="M291" s="328">
        <v>0</v>
      </c>
      <c r="N291" s="328">
        <v>0</v>
      </c>
      <c r="O291" s="328">
        <v>23</v>
      </c>
      <c r="P291" s="328">
        <v>20</v>
      </c>
      <c r="Q291" s="328">
        <v>18</v>
      </c>
      <c r="R291" s="328">
        <v>10</v>
      </c>
      <c r="S291" s="329">
        <f t="shared" si="8"/>
        <v>71</v>
      </c>
      <c r="T291" s="327"/>
      <c r="U291" s="328">
        <v>0</v>
      </c>
      <c r="V291" s="328">
        <v>0</v>
      </c>
      <c r="W291" s="328">
        <v>0</v>
      </c>
      <c r="X291" s="328">
        <v>0</v>
      </c>
      <c r="Y291" s="328">
        <v>0</v>
      </c>
      <c r="Z291" s="328">
        <v>0</v>
      </c>
      <c r="AA291" s="328">
        <v>0</v>
      </c>
      <c r="AB291" s="328">
        <v>0</v>
      </c>
      <c r="AC291" s="328">
        <v>0</v>
      </c>
      <c r="AD291" s="328">
        <v>2</v>
      </c>
      <c r="AE291" s="328">
        <v>3</v>
      </c>
      <c r="AF291" s="328">
        <v>2</v>
      </c>
      <c r="AG291" s="328">
        <v>1</v>
      </c>
      <c r="AH291" s="329">
        <f t="shared" si="9"/>
        <v>8</v>
      </c>
    </row>
    <row r="292" spans="1:34" x14ac:dyDescent="0.2">
      <c r="A292" s="20" t="str">
        <f>'School Level Inst. Resources'!A292</f>
        <v>1801000</v>
      </c>
      <c r="B292" s="20" t="str">
        <f>'School Level Inst. Resources'!B292</f>
        <v>Sublette #1</v>
      </c>
      <c r="C292" s="20" t="str">
        <f>'School Level Inst. Resources'!C292</f>
        <v>1801056</v>
      </c>
      <c r="D292" s="20" t="str">
        <f>'School Level Inst. Resources'!D292</f>
        <v>Skyline Academy</v>
      </c>
      <c r="E292" s="138" t="str">
        <f>'School Level Inst. Resources'!E292</f>
        <v>9-12</v>
      </c>
      <c r="F292" s="328">
        <v>0</v>
      </c>
      <c r="G292" s="328">
        <v>0</v>
      </c>
      <c r="H292" s="328">
        <v>0</v>
      </c>
      <c r="I292" s="328">
        <v>0</v>
      </c>
      <c r="J292" s="328">
        <v>0</v>
      </c>
      <c r="K292" s="328">
        <v>0</v>
      </c>
      <c r="L292" s="328">
        <v>0</v>
      </c>
      <c r="M292" s="328">
        <v>0</v>
      </c>
      <c r="N292" s="328">
        <v>0</v>
      </c>
      <c r="O292" s="328">
        <v>1</v>
      </c>
      <c r="P292" s="328">
        <v>6</v>
      </c>
      <c r="Q292" s="328">
        <v>5</v>
      </c>
      <c r="R292" s="328">
        <v>3</v>
      </c>
      <c r="S292" s="329">
        <f t="shared" si="8"/>
        <v>15</v>
      </c>
      <c r="T292" s="327"/>
      <c r="U292" s="328">
        <v>0</v>
      </c>
      <c r="V292" s="328">
        <v>0</v>
      </c>
      <c r="W292" s="328">
        <v>0</v>
      </c>
      <c r="X292" s="328">
        <v>0</v>
      </c>
      <c r="Y292" s="328">
        <v>0</v>
      </c>
      <c r="Z292" s="328">
        <v>0</v>
      </c>
      <c r="AA292" s="328">
        <v>0</v>
      </c>
      <c r="AB292" s="328">
        <v>0</v>
      </c>
      <c r="AC292" s="328">
        <v>0</v>
      </c>
      <c r="AD292" s="328">
        <v>0</v>
      </c>
      <c r="AE292" s="328">
        <v>1</v>
      </c>
      <c r="AF292" s="328">
        <v>0</v>
      </c>
      <c r="AG292" s="328">
        <v>0</v>
      </c>
      <c r="AH292" s="329">
        <f t="shared" si="9"/>
        <v>1</v>
      </c>
    </row>
    <row r="293" spans="1:34" x14ac:dyDescent="0.2">
      <c r="A293" s="20" t="str">
        <f>'School Level Inst. Resources'!A293</f>
        <v>1809000</v>
      </c>
      <c r="B293" s="20" t="str">
        <f>'School Level Inst. Resources'!B293</f>
        <v>Sublette #9</v>
      </c>
      <c r="C293" s="20" t="str">
        <f>'School Level Inst. Resources'!C293</f>
        <v>1809001</v>
      </c>
      <c r="D293" s="20" t="str">
        <f>'School Level Inst. Resources'!D293</f>
        <v>Big Piney Elementary</v>
      </c>
      <c r="E293" s="138" t="str">
        <f>'School Level Inst. Resources'!E293</f>
        <v>K-5</v>
      </c>
      <c r="F293" s="328">
        <v>8</v>
      </c>
      <c r="G293" s="328">
        <v>7</v>
      </c>
      <c r="H293" s="328">
        <v>11</v>
      </c>
      <c r="I293" s="328">
        <v>15</v>
      </c>
      <c r="J293" s="328">
        <v>12</v>
      </c>
      <c r="K293" s="328">
        <v>13</v>
      </c>
      <c r="L293" s="328">
        <v>0</v>
      </c>
      <c r="M293" s="328">
        <v>0</v>
      </c>
      <c r="N293" s="328">
        <v>0</v>
      </c>
      <c r="O293" s="328">
        <v>0</v>
      </c>
      <c r="P293" s="328">
        <v>0</v>
      </c>
      <c r="Q293" s="328">
        <v>0</v>
      </c>
      <c r="R293" s="328">
        <v>0</v>
      </c>
      <c r="S293" s="329">
        <f t="shared" ref="S293:S356" si="10">SUM(F293:R293)</f>
        <v>66</v>
      </c>
      <c r="T293" s="327"/>
      <c r="U293" s="328">
        <v>3</v>
      </c>
      <c r="V293" s="328">
        <v>2</v>
      </c>
      <c r="W293" s="328">
        <v>2</v>
      </c>
      <c r="X293" s="328">
        <v>2</v>
      </c>
      <c r="Y293" s="328">
        <v>4</v>
      </c>
      <c r="Z293" s="328">
        <v>2</v>
      </c>
      <c r="AA293" s="328">
        <v>0</v>
      </c>
      <c r="AB293" s="328">
        <v>0</v>
      </c>
      <c r="AC293" s="328">
        <v>0</v>
      </c>
      <c r="AD293" s="328">
        <v>0</v>
      </c>
      <c r="AE293" s="328">
        <v>0</v>
      </c>
      <c r="AF293" s="328">
        <v>0</v>
      </c>
      <c r="AG293" s="328">
        <v>0</v>
      </c>
      <c r="AH293" s="329">
        <f t="shared" si="9"/>
        <v>15</v>
      </c>
    </row>
    <row r="294" spans="1:34" x14ac:dyDescent="0.2">
      <c r="A294" s="20" t="str">
        <f>'School Level Inst. Resources'!A294</f>
        <v>1809000</v>
      </c>
      <c r="B294" s="20" t="str">
        <f>'School Level Inst. Resources'!B294</f>
        <v>Sublette #9</v>
      </c>
      <c r="C294" s="20" t="str">
        <f>'School Level Inst. Resources'!C294</f>
        <v>1809002</v>
      </c>
      <c r="D294" s="20" t="str">
        <f>'School Level Inst. Resources'!D294</f>
        <v>La Barge Elementary</v>
      </c>
      <c r="E294" s="138" t="str">
        <f>'School Level Inst. Resources'!E294</f>
        <v>K-5</v>
      </c>
      <c r="F294" s="328">
        <v>2</v>
      </c>
      <c r="G294" s="328">
        <v>2</v>
      </c>
      <c r="H294" s="328">
        <v>3</v>
      </c>
      <c r="I294" s="328">
        <v>4</v>
      </c>
      <c r="J294" s="328">
        <v>3</v>
      </c>
      <c r="K294" s="328">
        <v>1</v>
      </c>
      <c r="L294" s="328">
        <v>0</v>
      </c>
      <c r="M294" s="328">
        <v>0</v>
      </c>
      <c r="N294" s="328">
        <v>0</v>
      </c>
      <c r="O294" s="328">
        <v>0</v>
      </c>
      <c r="P294" s="328">
        <v>0</v>
      </c>
      <c r="Q294" s="328">
        <v>0</v>
      </c>
      <c r="R294" s="328">
        <v>0</v>
      </c>
      <c r="S294" s="329">
        <f t="shared" si="10"/>
        <v>15</v>
      </c>
      <c r="T294" s="327"/>
      <c r="U294" s="328">
        <v>0</v>
      </c>
      <c r="V294" s="328">
        <v>0</v>
      </c>
      <c r="W294" s="328">
        <v>0</v>
      </c>
      <c r="X294" s="328">
        <v>1</v>
      </c>
      <c r="Y294" s="328">
        <v>0</v>
      </c>
      <c r="Z294" s="328">
        <v>0</v>
      </c>
      <c r="AA294" s="328">
        <v>0</v>
      </c>
      <c r="AB294" s="328">
        <v>0</v>
      </c>
      <c r="AC294" s="328">
        <v>0</v>
      </c>
      <c r="AD294" s="328">
        <v>0</v>
      </c>
      <c r="AE294" s="328">
        <v>0</v>
      </c>
      <c r="AF294" s="328">
        <v>0</v>
      </c>
      <c r="AG294" s="328">
        <v>0</v>
      </c>
      <c r="AH294" s="329">
        <f t="shared" si="9"/>
        <v>1</v>
      </c>
    </row>
    <row r="295" spans="1:34" x14ac:dyDescent="0.2">
      <c r="A295" s="20" t="str">
        <f>'School Level Inst. Resources'!A295</f>
        <v>1809000</v>
      </c>
      <c r="B295" s="20" t="str">
        <f>'School Level Inst. Resources'!B295</f>
        <v>Sublette #9</v>
      </c>
      <c r="C295" s="20" t="str">
        <f>'School Level Inst. Resources'!C295</f>
        <v>1809050</v>
      </c>
      <c r="D295" s="20" t="str">
        <f>'School Level Inst. Resources'!D295</f>
        <v>Big Piney Middle School</v>
      </c>
      <c r="E295" s="138" t="str">
        <f>'School Level Inst. Resources'!E295</f>
        <v>6-8</v>
      </c>
      <c r="F295" s="328">
        <v>0</v>
      </c>
      <c r="G295" s="328">
        <v>0</v>
      </c>
      <c r="H295" s="328">
        <v>0</v>
      </c>
      <c r="I295" s="328">
        <v>0</v>
      </c>
      <c r="J295" s="328">
        <v>0</v>
      </c>
      <c r="K295" s="328">
        <v>0</v>
      </c>
      <c r="L295" s="328">
        <v>12</v>
      </c>
      <c r="M295" s="328">
        <v>14</v>
      </c>
      <c r="N295" s="328">
        <v>20</v>
      </c>
      <c r="O295" s="328">
        <v>0</v>
      </c>
      <c r="P295" s="328">
        <v>0</v>
      </c>
      <c r="Q295" s="328">
        <v>0</v>
      </c>
      <c r="R295" s="328">
        <v>0</v>
      </c>
      <c r="S295" s="329">
        <f t="shared" si="10"/>
        <v>46</v>
      </c>
      <c r="T295" s="327"/>
      <c r="U295" s="328">
        <v>0</v>
      </c>
      <c r="V295" s="328">
        <v>0</v>
      </c>
      <c r="W295" s="328">
        <v>0</v>
      </c>
      <c r="X295" s="328">
        <v>0</v>
      </c>
      <c r="Y295" s="328">
        <v>0</v>
      </c>
      <c r="Z295" s="328">
        <v>0</v>
      </c>
      <c r="AA295" s="328">
        <v>0</v>
      </c>
      <c r="AB295" s="328">
        <v>1</v>
      </c>
      <c r="AC295" s="328">
        <v>1</v>
      </c>
      <c r="AD295" s="328">
        <v>0</v>
      </c>
      <c r="AE295" s="328">
        <v>0</v>
      </c>
      <c r="AF295" s="328">
        <v>0</v>
      </c>
      <c r="AG295" s="328">
        <v>0</v>
      </c>
      <c r="AH295" s="329">
        <f t="shared" si="9"/>
        <v>2</v>
      </c>
    </row>
    <row r="296" spans="1:34" x14ac:dyDescent="0.2">
      <c r="A296" s="20" t="str">
        <f>'School Level Inst. Resources'!A296</f>
        <v>1809000</v>
      </c>
      <c r="B296" s="20" t="str">
        <f>'School Level Inst. Resources'!B296</f>
        <v>Sublette #9</v>
      </c>
      <c r="C296" s="20" t="str">
        <f>'School Level Inst. Resources'!C296</f>
        <v>1809055</v>
      </c>
      <c r="D296" s="20" t="str">
        <f>'School Level Inst. Resources'!D296</f>
        <v>Big Piney High School</v>
      </c>
      <c r="E296" s="138" t="str">
        <f>'School Level Inst. Resources'!E296</f>
        <v>9-12</v>
      </c>
      <c r="F296" s="328">
        <v>0</v>
      </c>
      <c r="G296" s="328">
        <v>0</v>
      </c>
      <c r="H296" s="328">
        <v>0</v>
      </c>
      <c r="I296" s="328">
        <v>0</v>
      </c>
      <c r="J296" s="328">
        <v>0</v>
      </c>
      <c r="K296" s="328">
        <v>0</v>
      </c>
      <c r="L296" s="328">
        <v>0</v>
      </c>
      <c r="M296" s="328">
        <v>0</v>
      </c>
      <c r="N296" s="328">
        <v>0</v>
      </c>
      <c r="O296" s="328">
        <v>16</v>
      </c>
      <c r="P296" s="328">
        <v>13</v>
      </c>
      <c r="Q296" s="328">
        <v>15</v>
      </c>
      <c r="R296" s="328">
        <v>11</v>
      </c>
      <c r="S296" s="329">
        <f t="shared" si="10"/>
        <v>55</v>
      </c>
      <c r="T296" s="327"/>
      <c r="U296" s="328">
        <v>0</v>
      </c>
      <c r="V296" s="328">
        <v>0</v>
      </c>
      <c r="W296" s="328">
        <v>0</v>
      </c>
      <c r="X296" s="328">
        <v>0</v>
      </c>
      <c r="Y296" s="328">
        <v>0</v>
      </c>
      <c r="Z296" s="328">
        <v>0</v>
      </c>
      <c r="AA296" s="328">
        <v>0</v>
      </c>
      <c r="AB296" s="328">
        <v>0</v>
      </c>
      <c r="AC296" s="328">
        <v>0</v>
      </c>
      <c r="AD296" s="328">
        <v>4</v>
      </c>
      <c r="AE296" s="328">
        <v>2</v>
      </c>
      <c r="AF296" s="328">
        <v>5</v>
      </c>
      <c r="AG296" s="328">
        <v>0</v>
      </c>
      <c r="AH296" s="329">
        <f t="shared" si="9"/>
        <v>11</v>
      </c>
    </row>
    <row r="297" spans="1:34" x14ac:dyDescent="0.2">
      <c r="A297" s="20" t="str">
        <f>'School Level Inst. Resources'!A297</f>
        <v>1901000</v>
      </c>
      <c r="B297" s="20" t="str">
        <f>'School Level Inst. Resources'!B297</f>
        <v>Sweetwater #1</v>
      </c>
      <c r="C297" s="20" t="str">
        <f>'School Level Inst. Resources'!C297</f>
        <v>1901001</v>
      </c>
      <c r="D297" s="20" t="str">
        <f>'School Level Inst. Resources'!D297</f>
        <v>Desert Elementary</v>
      </c>
      <c r="E297" s="138" t="str">
        <f>'School Level Inst. Resources'!E297</f>
        <v>K-6</v>
      </c>
      <c r="F297" s="328">
        <v>1</v>
      </c>
      <c r="G297" s="328">
        <v>4</v>
      </c>
      <c r="H297" s="328">
        <v>5</v>
      </c>
      <c r="I297" s="328">
        <v>1</v>
      </c>
      <c r="J297" s="328">
        <v>2</v>
      </c>
      <c r="K297" s="328">
        <v>1</v>
      </c>
      <c r="L297" s="328">
        <v>3</v>
      </c>
      <c r="M297" s="328">
        <v>0</v>
      </c>
      <c r="N297" s="328">
        <v>0</v>
      </c>
      <c r="O297" s="328">
        <v>0</v>
      </c>
      <c r="P297" s="328">
        <v>0</v>
      </c>
      <c r="Q297" s="328">
        <v>0</v>
      </c>
      <c r="R297" s="328">
        <v>0</v>
      </c>
      <c r="S297" s="329">
        <f t="shared" si="10"/>
        <v>17</v>
      </c>
      <c r="T297" s="327"/>
      <c r="U297" s="328">
        <v>0</v>
      </c>
      <c r="V297" s="328">
        <v>1</v>
      </c>
      <c r="W297" s="328">
        <v>2</v>
      </c>
      <c r="X297" s="328">
        <v>0</v>
      </c>
      <c r="Y297" s="328">
        <v>1</v>
      </c>
      <c r="Z297" s="328">
        <v>1</v>
      </c>
      <c r="AA297" s="328">
        <v>0</v>
      </c>
      <c r="AB297" s="328">
        <v>0</v>
      </c>
      <c r="AC297" s="328">
        <v>0</v>
      </c>
      <c r="AD297" s="328">
        <v>0</v>
      </c>
      <c r="AE297" s="328">
        <v>0</v>
      </c>
      <c r="AF297" s="328">
        <v>0</v>
      </c>
      <c r="AG297" s="328">
        <v>0</v>
      </c>
      <c r="AH297" s="329">
        <f t="shared" si="9"/>
        <v>5</v>
      </c>
    </row>
    <row r="298" spans="1:34" x14ac:dyDescent="0.2">
      <c r="A298" s="20" t="str">
        <f>'School Level Inst. Resources'!A298</f>
        <v>1901000</v>
      </c>
      <c r="B298" s="20" t="str">
        <f>'School Level Inst. Resources'!B298</f>
        <v>Sweetwater #1</v>
      </c>
      <c r="C298" s="20" t="str">
        <f>'School Level Inst. Resources'!C298</f>
        <v>1901002</v>
      </c>
      <c r="D298" s="20" t="str">
        <f>'School Level Inst. Resources'!D298</f>
        <v>Desert View Elementary</v>
      </c>
      <c r="E298" s="138" t="str">
        <f>'School Level Inst. Resources'!E298</f>
        <v>K-4</v>
      </c>
      <c r="F298" s="328">
        <v>25.571428571428573</v>
      </c>
      <c r="G298" s="328">
        <v>20.428571428571427</v>
      </c>
      <c r="H298" s="328">
        <v>37.285714285714285</v>
      </c>
      <c r="I298" s="328">
        <v>32.714285714285715</v>
      </c>
      <c r="J298" s="328">
        <v>29.714285714285715</v>
      </c>
      <c r="K298" s="328">
        <v>0</v>
      </c>
      <c r="L298" s="328">
        <v>0</v>
      </c>
      <c r="M298" s="328">
        <v>0</v>
      </c>
      <c r="N298" s="328">
        <v>0</v>
      </c>
      <c r="O298" s="328">
        <v>0</v>
      </c>
      <c r="P298" s="328">
        <v>0</v>
      </c>
      <c r="Q298" s="328">
        <v>0</v>
      </c>
      <c r="R298" s="328">
        <v>0</v>
      </c>
      <c r="S298" s="329">
        <f t="shared" si="10"/>
        <v>145.71428571428572</v>
      </c>
      <c r="T298" s="327"/>
      <c r="U298" s="328">
        <v>10</v>
      </c>
      <c r="V298" s="328">
        <v>6</v>
      </c>
      <c r="W298" s="328">
        <v>17</v>
      </c>
      <c r="X298" s="328">
        <v>11</v>
      </c>
      <c r="Y298" s="328">
        <v>11</v>
      </c>
      <c r="Z298" s="328">
        <v>0</v>
      </c>
      <c r="AA298" s="328">
        <v>0</v>
      </c>
      <c r="AB298" s="328">
        <v>0</v>
      </c>
      <c r="AC298" s="328">
        <v>0</v>
      </c>
      <c r="AD298" s="328">
        <v>0</v>
      </c>
      <c r="AE298" s="328">
        <v>0</v>
      </c>
      <c r="AF298" s="328">
        <v>0</v>
      </c>
      <c r="AG298" s="328">
        <v>0</v>
      </c>
      <c r="AH298" s="329">
        <f t="shared" si="9"/>
        <v>55</v>
      </c>
    </row>
    <row r="299" spans="1:34" x14ac:dyDescent="0.2">
      <c r="A299" s="20" t="str">
        <f>'School Level Inst. Resources'!A299</f>
        <v>1901000</v>
      </c>
      <c r="B299" s="20" t="str">
        <f>'School Level Inst. Resources'!B299</f>
        <v>Sweetwater #1</v>
      </c>
      <c r="C299" s="20" t="str">
        <f>'School Level Inst. Resources'!C299</f>
        <v>1901003</v>
      </c>
      <c r="D299" s="20" t="str">
        <f>'School Level Inst. Resources'!D299</f>
        <v>Farson-Eden Elementary</v>
      </c>
      <c r="E299" s="138" t="str">
        <f>'School Level Inst. Resources'!E299</f>
        <v>K-5</v>
      </c>
      <c r="F299" s="328">
        <v>5</v>
      </c>
      <c r="G299" s="328">
        <v>7</v>
      </c>
      <c r="H299" s="328">
        <v>5</v>
      </c>
      <c r="I299" s="328">
        <v>6</v>
      </c>
      <c r="J299" s="328">
        <v>5</v>
      </c>
      <c r="K299" s="328">
        <v>5</v>
      </c>
      <c r="L299" s="328">
        <v>0</v>
      </c>
      <c r="M299" s="328">
        <v>0</v>
      </c>
      <c r="N299" s="328">
        <v>0</v>
      </c>
      <c r="O299" s="328">
        <v>0</v>
      </c>
      <c r="P299" s="328">
        <v>0</v>
      </c>
      <c r="Q299" s="328">
        <v>0</v>
      </c>
      <c r="R299" s="328">
        <v>0</v>
      </c>
      <c r="S299" s="329">
        <f t="shared" si="10"/>
        <v>33</v>
      </c>
      <c r="T299" s="327"/>
      <c r="U299" s="328">
        <v>0</v>
      </c>
      <c r="V299" s="328">
        <v>1</v>
      </c>
      <c r="W299" s="328">
        <v>0</v>
      </c>
      <c r="X299" s="328">
        <v>0</v>
      </c>
      <c r="Y299" s="328">
        <v>1</v>
      </c>
      <c r="Z299" s="328">
        <v>0</v>
      </c>
      <c r="AA299" s="328">
        <v>0</v>
      </c>
      <c r="AB299" s="328">
        <v>0</v>
      </c>
      <c r="AC299" s="328">
        <v>0</v>
      </c>
      <c r="AD299" s="328">
        <v>0</v>
      </c>
      <c r="AE299" s="328">
        <v>0</v>
      </c>
      <c r="AF299" s="328">
        <v>0</v>
      </c>
      <c r="AG299" s="328">
        <v>0</v>
      </c>
      <c r="AH299" s="329">
        <f t="shared" si="9"/>
        <v>2</v>
      </c>
    </row>
    <row r="300" spans="1:34" x14ac:dyDescent="0.2">
      <c r="A300" s="20" t="str">
        <f>'School Level Inst. Resources'!A300</f>
        <v>1901000</v>
      </c>
      <c r="B300" s="20" t="str">
        <f>'School Level Inst. Resources'!B300</f>
        <v>Sweetwater #1</v>
      </c>
      <c r="C300" s="20" t="str">
        <f>'School Level Inst. Resources'!C300</f>
        <v>1901004</v>
      </c>
      <c r="D300" s="20" t="str">
        <f>'School Level Inst. Resources'!D300</f>
        <v>Eastside Elementary</v>
      </c>
      <c r="E300" s="138" t="str">
        <f>'School Level Inst. Resources'!E300</f>
        <v>5-6</v>
      </c>
      <c r="F300" s="328">
        <v>0</v>
      </c>
      <c r="G300" s="328">
        <v>0</v>
      </c>
      <c r="H300" s="328">
        <v>0</v>
      </c>
      <c r="I300" s="328">
        <v>0</v>
      </c>
      <c r="J300" s="328">
        <v>0</v>
      </c>
      <c r="K300" s="328">
        <v>114</v>
      </c>
      <c r="L300" s="328">
        <v>118</v>
      </c>
      <c r="M300" s="328">
        <v>0</v>
      </c>
      <c r="N300" s="328">
        <v>0</v>
      </c>
      <c r="O300" s="328">
        <v>0</v>
      </c>
      <c r="P300" s="328">
        <v>0</v>
      </c>
      <c r="Q300" s="328">
        <v>0</v>
      </c>
      <c r="R300" s="328">
        <v>0</v>
      </c>
      <c r="S300" s="329">
        <f t="shared" si="10"/>
        <v>232</v>
      </c>
      <c r="T300" s="327"/>
      <c r="U300" s="328">
        <v>0</v>
      </c>
      <c r="V300" s="328">
        <v>0</v>
      </c>
      <c r="W300" s="328">
        <v>0</v>
      </c>
      <c r="X300" s="328">
        <v>0</v>
      </c>
      <c r="Y300" s="328">
        <v>0</v>
      </c>
      <c r="Z300" s="328">
        <v>31</v>
      </c>
      <c r="AA300" s="328">
        <v>14</v>
      </c>
      <c r="AB300" s="328">
        <v>0</v>
      </c>
      <c r="AC300" s="328">
        <v>0</v>
      </c>
      <c r="AD300" s="328">
        <v>0</v>
      </c>
      <c r="AE300" s="328">
        <v>0</v>
      </c>
      <c r="AF300" s="328">
        <v>0</v>
      </c>
      <c r="AG300" s="328">
        <v>0</v>
      </c>
      <c r="AH300" s="329">
        <f t="shared" si="9"/>
        <v>45</v>
      </c>
    </row>
    <row r="301" spans="1:34" x14ac:dyDescent="0.2">
      <c r="A301" s="20" t="str">
        <f>'School Level Inst. Resources'!A301</f>
        <v>1901000</v>
      </c>
      <c r="B301" s="20" t="str">
        <f>'School Level Inst. Resources'!B301</f>
        <v>Sweetwater #1</v>
      </c>
      <c r="C301" s="20" t="str">
        <f>'School Level Inst. Resources'!C301</f>
        <v>1901006</v>
      </c>
      <c r="D301" s="20" t="str">
        <f>'School Level Inst. Resources'!D301</f>
        <v>Overland Elementary</v>
      </c>
      <c r="E301" s="138" t="str">
        <f>'School Level Inst. Resources'!E301</f>
        <v>K-4</v>
      </c>
      <c r="F301" s="328">
        <v>22.571428571428573</v>
      </c>
      <c r="G301" s="328">
        <v>22.428571428571427</v>
      </c>
      <c r="H301" s="328">
        <v>33.285714285714285</v>
      </c>
      <c r="I301" s="328">
        <v>36.714285714285715</v>
      </c>
      <c r="J301" s="328">
        <v>30.714285714285715</v>
      </c>
      <c r="K301" s="328">
        <v>0</v>
      </c>
      <c r="L301" s="328">
        <v>0</v>
      </c>
      <c r="M301" s="328">
        <v>0</v>
      </c>
      <c r="N301" s="328">
        <v>0</v>
      </c>
      <c r="O301" s="328">
        <v>0</v>
      </c>
      <c r="P301" s="328">
        <v>0</v>
      </c>
      <c r="Q301" s="328">
        <v>0</v>
      </c>
      <c r="R301" s="328">
        <v>0</v>
      </c>
      <c r="S301" s="329">
        <f t="shared" si="10"/>
        <v>145.71428571428572</v>
      </c>
      <c r="T301" s="327"/>
      <c r="U301" s="328">
        <v>4</v>
      </c>
      <c r="V301" s="328">
        <v>6</v>
      </c>
      <c r="W301" s="328">
        <v>10</v>
      </c>
      <c r="X301" s="328">
        <v>10</v>
      </c>
      <c r="Y301" s="328">
        <v>10</v>
      </c>
      <c r="Z301" s="328">
        <v>0</v>
      </c>
      <c r="AA301" s="328">
        <v>0</v>
      </c>
      <c r="AB301" s="328">
        <v>0</v>
      </c>
      <c r="AC301" s="328">
        <v>0</v>
      </c>
      <c r="AD301" s="328">
        <v>0</v>
      </c>
      <c r="AE301" s="328">
        <v>0</v>
      </c>
      <c r="AF301" s="328">
        <v>0</v>
      </c>
      <c r="AG301" s="328">
        <v>0</v>
      </c>
      <c r="AH301" s="329">
        <f t="shared" si="9"/>
        <v>40</v>
      </c>
    </row>
    <row r="302" spans="1:34" x14ac:dyDescent="0.2">
      <c r="A302" s="20" t="str">
        <f>'School Level Inst. Resources'!A302</f>
        <v>1901000</v>
      </c>
      <c r="B302" s="20" t="str">
        <f>'School Level Inst. Resources'!B302</f>
        <v>Sweetwater #1</v>
      </c>
      <c r="C302" s="20" t="str">
        <f>'School Level Inst. Resources'!C302</f>
        <v>1901010</v>
      </c>
      <c r="D302" s="20" t="str">
        <f>'School Level Inst. Resources'!D302</f>
        <v>Walnut Elementary</v>
      </c>
      <c r="E302" s="138" t="str">
        <f>'School Level Inst. Resources'!E302</f>
        <v>K-4</v>
      </c>
      <c r="F302" s="328">
        <v>17.571428571428573</v>
      </c>
      <c r="G302" s="328">
        <v>15.428571428571429</v>
      </c>
      <c r="H302" s="328">
        <v>24.285714285714285</v>
      </c>
      <c r="I302" s="328">
        <v>16.714285714285715</v>
      </c>
      <c r="J302" s="328">
        <v>26.714285714285715</v>
      </c>
      <c r="K302" s="328">
        <v>0</v>
      </c>
      <c r="L302" s="328">
        <v>0</v>
      </c>
      <c r="M302" s="328">
        <v>0</v>
      </c>
      <c r="N302" s="328">
        <v>0</v>
      </c>
      <c r="O302" s="328">
        <v>0</v>
      </c>
      <c r="P302" s="328">
        <v>0</v>
      </c>
      <c r="Q302" s="328">
        <v>0</v>
      </c>
      <c r="R302" s="328">
        <v>0</v>
      </c>
      <c r="S302" s="329">
        <f t="shared" si="10"/>
        <v>100.71428571428572</v>
      </c>
      <c r="T302" s="327"/>
      <c r="U302" s="328">
        <v>1</v>
      </c>
      <c r="V302" s="328">
        <v>1</v>
      </c>
      <c r="W302" s="328">
        <v>4</v>
      </c>
      <c r="X302" s="328">
        <v>0</v>
      </c>
      <c r="Y302" s="328">
        <v>4</v>
      </c>
      <c r="Z302" s="328">
        <v>0</v>
      </c>
      <c r="AA302" s="328">
        <v>0</v>
      </c>
      <c r="AB302" s="328">
        <v>0</v>
      </c>
      <c r="AC302" s="328">
        <v>0</v>
      </c>
      <c r="AD302" s="328">
        <v>0</v>
      </c>
      <c r="AE302" s="328">
        <v>0</v>
      </c>
      <c r="AF302" s="328">
        <v>0</v>
      </c>
      <c r="AG302" s="328">
        <v>0</v>
      </c>
      <c r="AH302" s="329">
        <f t="shared" si="9"/>
        <v>10</v>
      </c>
    </row>
    <row r="303" spans="1:34" x14ac:dyDescent="0.2">
      <c r="A303" s="20" t="str">
        <f>'School Level Inst. Resources'!A303</f>
        <v>1901000</v>
      </c>
      <c r="B303" s="20" t="str">
        <f>'School Level Inst. Resources'!B303</f>
        <v>Sweetwater #1</v>
      </c>
      <c r="C303" s="20" t="str">
        <f>'School Level Inst. Resources'!C303</f>
        <v>1901013</v>
      </c>
      <c r="D303" s="20" t="str">
        <f>'School Level Inst. Resources'!D303</f>
        <v>Northpark Elementary</v>
      </c>
      <c r="E303" s="138" t="str">
        <f>'School Level Inst. Resources'!E303</f>
        <v>K-4</v>
      </c>
      <c r="F303" s="328">
        <v>25.571428571428573</v>
      </c>
      <c r="G303" s="328">
        <v>32.428571428571431</v>
      </c>
      <c r="H303" s="328">
        <v>26.285714285714285</v>
      </c>
      <c r="I303" s="328">
        <v>33.714285714285715</v>
      </c>
      <c r="J303" s="328">
        <v>30.714285714285715</v>
      </c>
      <c r="K303" s="328">
        <v>0</v>
      </c>
      <c r="L303" s="328">
        <v>0</v>
      </c>
      <c r="M303" s="328">
        <v>0</v>
      </c>
      <c r="N303" s="328">
        <v>0</v>
      </c>
      <c r="O303" s="328">
        <v>0</v>
      </c>
      <c r="P303" s="328">
        <v>0</v>
      </c>
      <c r="Q303" s="328">
        <v>0</v>
      </c>
      <c r="R303" s="328">
        <v>0</v>
      </c>
      <c r="S303" s="329">
        <f t="shared" si="10"/>
        <v>148.71428571428572</v>
      </c>
      <c r="T303" s="327"/>
      <c r="U303" s="328">
        <v>8</v>
      </c>
      <c r="V303" s="328">
        <v>5</v>
      </c>
      <c r="W303" s="328">
        <v>5</v>
      </c>
      <c r="X303" s="328">
        <v>4</v>
      </c>
      <c r="Y303" s="328">
        <v>6</v>
      </c>
      <c r="Z303" s="328">
        <v>0</v>
      </c>
      <c r="AA303" s="328">
        <v>0</v>
      </c>
      <c r="AB303" s="328">
        <v>0</v>
      </c>
      <c r="AC303" s="328">
        <v>0</v>
      </c>
      <c r="AD303" s="328">
        <v>0</v>
      </c>
      <c r="AE303" s="328">
        <v>0</v>
      </c>
      <c r="AF303" s="328">
        <v>0</v>
      </c>
      <c r="AG303" s="328">
        <v>0</v>
      </c>
      <c r="AH303" s="329">
        <f t="shared" si="9"/>
        <v>28</v>
      </c>
    </row>
    <row r="304" spans="1:34" x14ac:dyDescent="0.2">
      <c r="A304" s="20" t="str">
        <f>'School Level Inst. Resources'!A304</f>
        <v>1901000</v>
      </c>
      <c r="B304" s="20" t="str">
        <f>'School Level Inst. Resources'!B304</f>
        <v>Sweetwater #1</v>
      </c>
      <c r="C304" s="20" t="str">
        <f>'School Level Inst. Resources'!C304</f>
        <v>1901014</v>
      </c>
      <c r="D304" s="20" t="str">
        <f>'School Level Inst. Resources'!D304</f>
        <v>Westridge Elementary</v>
      </c>
      <c r="E304" s="138" t="str">
        <f>'School Level Inst. Resources'!E304</f>
        <v>K-4</v>
      </c>
      <c r="F304" s="328">
        <v>43.571428571428569</v>
      </c>
      <c r="G304" s="328">
        <v>37.428571428571431</v>
      </c>
      <c r="H304" s="328">
        <v>31.285714285714285</v>
      </c>
      <c r="I304" s="328">
        <v>50.714285714285715</v>
      </c>
      <c r="J304" s="328">
        <v>25.714285714285715</v>
      </c>
      <c r="K304" s="328">
        <v>0</v>
      </c>
      <c r="L304" s="328">
        <v>0</v>
      </c>
      <c r="M304" s="328">
        <v>0</v>
      </c>
      <c r="N304" s="328">
        <v>0</v>
      </c>
      <c r="O304" s="328">
        <v>0</v>
      </c>
      <c r="P304" s="328">
        <v>0</v>
      </c>
      <c r="Q304" s="328">
        <v>0</v>
      </c>
      <c r="R304" s="328">
        <v>0</v>
      </c>
      <c r="S304" s="329">
        <f t="shared" si="10"/>
        <v>188.71428571428572</v>
      </c>
      <c r="T304" s="327"/>
      <c r="U304" s="328">
        <v>13</v>
      </c>
      <c r="V304" s="328">
        <v>9</v>
      </c>
      <c r="W304" s="328">
        <v>6</v>
      </c>
      <c r="X304" s="328">
        <v>14</v>
      </c>
      <c r="Y304" s="328">
        <v>5</v>
      </c>
      <c r="Z304" s="328">
        <v>0</v>
      </c>
      <c r="AA304" s="328">
        <v>0</v>
      </c>
      <c r="AB304" s="328">
        <v>0</v>
      </c>
      <c r="AC304" s="328">
        <v>0</v>
      </c>
      <c r="AD304" s="328">
        <v>0</v>
      </c>
      <c r="AE304" s="328">
        <v>0</v>
      </c>
      <c r="AF304" s="328">
        <v>0</v>
      </c>
      <c r="AG304" s="328">
        <v>0</v>
      </c>
      <c r="AH304" s="329">
        <f t="shared" si="9"/>
        <v>47</v>
      </c>
    </row>
    <row r="305" spans="1:34" x14ac:dyDescent="0.2">
      <c r="A305" s="20" t="str">
        <f>'School Level Inst. Resources'!A305</f>
        <v>1901000</v>
      </c>
      <c r="B305" s="20" t="str">
        <f>'School Level Inst. Resources'!B305</f>
        <v>Sweetwater #1</v>
      </c>
      <c r="C305" s="20" t="str">
        <f>'School Level Inst. Resources'!C305</f>
        <v>1901015</v>
      </c>
      <c r="D305" s="20" t="str">
        <f>'School Level Inst. Resources'!D305</f>
        <v>Pilot Butte Elementary</v>
      </c>
      <c r="E305" s="138" t="str">
        <f>'School Level Inst. Resources'!E305</f>
        <v>5-6</v>
      </c>
      <c r="F305" s="328">
        <v>0</v>
      </c>
      <c r="G305" s="328">
        <v>0</v>
      </c>
      <c r="H305" s="328">
        <v>0</v>
      </c>
      <c r="I305" s="328">
        <v>0</v>
      </c>
      <c r="J305" s="328">
        <v>0</v>
      </c>
      <c r="K305" s="328">
        <v>83</v>
      </c>
      <c r="L305" s="328">
        <v>87</v>
      </c>
      <c r="M305" s="328">
        <v>0</v>
      </c>
      <c r="N305" s="328">
        <v>0</v>
      </c>
      <c r="O305" s="328">
        <v>0</v>
      </c>
      <c r="P305" s="328">
        <v>0</v>
      </c>
      <c r="Q305" s="328">
        <v>0</v>
      </c>
      <c r="R305" s="328">
        <v>0</v>
      </c>
      <c r="S305" s="329">
        <f t="shared" si="10"/>
        <v>170</v>
      </c>
      <c r="T305" s="327"/>
      <c r="U305" s="328">
        <v>0</v>
      </c>
      <c r="V305" s="328">
        <v>0</v>
      </c>
      <c r="W305" s="328">
        <v>0</v>
      </c>
      <c r="X305" s="328">
        <v>0</v>
      </c>
      <c r="Y305" s="328">
        <v>0</v>
      </c>
      <c r="Z305" s="328">
        <v>21</v>
      </c>
      <c r="AA305" s="328">
        <v>21</v>
      </c>
      <c r="AB305" s="328">
        <v>0</v>
      </c>
      <c r="AC305" s="328">
        <v>0</v>
      </c>
      <c r="AD305" s="328">
        <v>0</v>
      </c>
      <c r="AE305" s="328">
        <v>0</v>
      </c>
      <c r="AF305" s="328">
        <v>0</v>
      </c>
      <c r="AG305" s="328">
        <v>0</v>
      </c>
      <c r="AH305" s="329">
        <f t="shared" si="9"/>
        <v>42</v>
      </c>
    </row>
    <row r="306" spans="1:34" x14ac:dyDescent="0.2">
      <c r="A306" s="20" t="str">
        <f>'School Level Inst. Resources'!A306</f>
        <v>1901000</v>
      </c>
      <c r="B306" s="20" t="str">
        <f>'School Level Inst. Resources'!B306</f>
        <v>Sweetwater #1</v>
      </c>
      <c r="C306" s="20" t="str">
        <f>'School Level Inst. Resources'!C306</f>
        <v>1901016</v>
      </c>
      <c r="D306" s="20" t="str">
        <f>'School Level Inst. Resources'!D306</f>
        <v>Sage Elementary</v>
      </c>
      <c r="E306" s="138" t="str">
        <f>'School Level Inst. Resources'!E306</f>
        <v>K-4</v>
      </c>
      <c r="F306" s="328">
        <v>15.571428571428571</v>
      </c>
      <c r="G306" s="328">
        <v>24.428571428571427</v>
      </c>
      <c r="H306" s="328">
        <v>21.285714285714285</v>
      </c>
      <c r="I306" s="328">
        <v>21.714285714285715</v>
      </c>
      <c r="J306" s="328">
        <v>17.714285714285715</v>
      </c>
      <c r="K306" s="328">
        <v>0</v>
      </c>
      <c r="L306" s="328">
        <v>0</v>
      </c>
      <c r="M306" s="328">
        <v>0</v>
      </c>
      <c r="N306" s="328">
        <v>0</v>
      </c>
      <c r="O306" s="328">
        <v>0</v>
      </c>
      <c r="P306" s="328">
        <v>0</v>
      </c>
      <c r="Q306" s="328">
        <v>0</v>
      </c>
      <c r="R306" s="328">
        <v>0</v>
      </c>
      <c r="S306" s="329">
        <f t="shared" si="10"/>
        <v>100.71428571428572</v>
      </c>
      <c r="T306" s="327"/>
      <c r="U306" s="328">
        <v>8</v>
      </c>
      <c r="V306" s="328">
        <v>8</v>
      </c>
      <c r="W306" s="328">
        <v>10</v>
      </c>
      <c r="X306" s="328">
        <v>10</v>
      </c>
      <c r="Y306" s="328">
        <v>5</v>
      </c>
      <c r="Z306" s="328">
        <v>0</v>
      </c>
      <c r="AA306" s="328">
        <v>0</v>
      </c>
      <c r="AB306" s="328">
        <v>0</v>
      </c>
      <c r="AC306" s="328">
        <v>0</v>
      </c>
      <c r="AD306" s="328">
        <v>0</v>
      </c>
      <c r="AE306" s="328">
        <v>0</v>
      </c>
      <c r="AF306" s="328">
        <v>0</v>
      </c>
      <c r="AG306" s="328">
        <v>0</v>
      </c>
      <c r="AH306" s="329">
        <f t="shared" si="9"/>
        <v>41</v>
      </c>
    </row>
    <row r="307" spans="1:34" x14ac:dyDescent="0.2">
      <c r="A307" s="20" t="str">
        <f>'School Level Inst. Resources'!A307</f>
        <v>1901000</v>
      </c>
      <c r="B307" s="20" t="str">
        <f>'School Level Inst. Resources'!B307</f>
        <v>Sweetwater #1</v>
      </c>
      <c r="C307" s="20" t="str">
        <f>'School Level Inst. Resources'!C307</f>
        <v>1901018</v>
      </c>
      <c r="D307" s="20" t="str">
        <f>'School Level Inst. Resources'!D307</f>
        <v>Stagecoach Elementary</v>
      </c>
      <c r="E307" s="138" t="str">
        <f>'School Level Inst. Resources'!E307</f>
        <v>K-4</v>
      </c>
      <c r="F307" s="328">
        <v>35.571428571428569</v>
      </c>
      <c r="G307" s="328">
        <v>31.428571428571427</v>
      </c>
      <c r="H307" s="328">
        <v>39.285714285714285</v>
      </c>
      <c r="I307" s="328">
        <v>35.714285714285715</v>
      </c>
      <c r="J307" s="328">
        <v>48.714285714285715</v>
      </c>
      <c r="K307" s="328">
        <v>0</v>
      </c>
      <c r="L307" s="328">
        <v>0</v>
      </c>
      <c r="M307" s="328">
        <v>0</v>
      </c>
      <c r="N307" s="328">
        <v>0</v>
      </c>
      <c r="O307" s="328">
        <v>0</v>
      </c>
      <c r="P307" s="328">
        <v>0</v>
      </c>
      <c r="Q307" s="328">
        <v>0</v>
      </c>
      <c r="R307" s="328">
        <v>0</v>
      </c>
      <c r="S307" s="329">
        <f t="shared" si="10"/>
        <v>190.71428571428572</v>
      </c>
      <c r="T307" s="327"/>
      <c r="U307" s="328">
        <v>14</v>
      </c>
      <c r="V307" s="328">
        <v>11</v>
      </c>
      <c r="W307" s="328">
        <v>14</v>
      </c>
      <c r="X307" s="328">
        <v>13</v>
      </c>
      <c r="Y307" s="328">
        <v>14</v>
      </c>
      <c r="Z307" s="328">
        <v>0</v>
      </c>
      <c r="AA307" s="328">
        <v>0</v>
      </c>
      <c r="AB307" s="328">
        <v>0</v>
      </c>
      <c r="AC307" s="328">
        <v>0</v>
      </c>
      <c r="AD307" s="328">
        <v>0</v>
      </c>
      <c r="AE307" s="328">
        <v>0</v>
      </c>
      <c r="AF307" s="328">
        <v>0</v>
      </c>
      <c r="AG307" s="328">
        <v>0</v>
      </c>
      <c r="AH307" s="329">
        <f t="shared" si="9"/>
        <v>66</v>
      </c>
    </row>
    <row r="308" spans="1:34" x14ac:dyDescent="0.2">
      <c r="A308" s="20" t="str">
        <f>'School Level Inst. Resources'!A308</f>
        <v>1901000</v>
      </c>
      <c r="B308" s="20" t="str">
        <f>'School Level Inst. Resources'!B308</f>
        <v>Sweetwater #1</v>
      </c>
      <c r="C308" s="20" t="str">
        <f>'School Level Inst. Resources'!C308</f>
        <v>1901050</v>
      </c>
      <c r="D308" s="20" t="str">
        <f>'School Level Inst. Resources'!D308</f>
        <v>Rock Springs Junior High</v>
      </c>
      <c r="E308" s="138" t="str">
        <f>'School Level Inst. Resources'!E308</f>
        <v>7-8</v>
      </c>
      <c r="F308" s="328">
        <v>0</v>
      </c>
      <c r="G308" s="328">
        <v>0</v>
      </c>
      <c r="H308" s="328">
        <v>0</v>
      </c>
      <c r="I308" s="328">
        <v>0</v>
      </c>
      <c r="J308" s="328">
        <v>0</v>
      </c>
      <c r="K308" s="328">
        <v>0</v>
      </c>
      <c r="L308" s="328">
        <v>0</v>
      </c>
      <c r="M308" s="328">
        <v>170</v>
      </c>
      <c r="N308" s="328">
        <v>181</v>
      </c>
      <c r="O308" s="328">
        <v>0</v>
      </c>
      <c r="P308" s="328">
        <v>0</v>
      </c>
      <c r="Q308" s="328">
        <v>0</v>
      </c>
      <c r="R308" s="328">
        <v>0</v>
      </c>
      <c r="S308" s="329">
        <f t="shared" si="10"/>
        <v>351</v>
      </c>
      <c r="T308" s="327"/>
      <c r="U308" s="328">
        <v>0</v>
      </c>
      <c r="V308" s="328">
        <v>0</v>
      </c>
      <c r="W308" s="328">
        <v>0</v>
      </c>
      <c r="X308" s="328">
        <v>0</v>
      </c>
      <c r="Y308" s="328">
        <v>0</v>
      </c>
      <c r="Z308" s="328">
        <v>0</v>
      </c>
      <c r="AA308" s="328">
        <v>0</v>
      </c>
      <c r="AB308" s="328">
        <v>13</v>
      </c>
      <c r="AC308" s="328">
        <v>26</v>
      </c>
      <c r="AD308" s="328">
        <v>0</v>
      </c>
      <c r="AE308" s="328">
        <v>0</v>
      </c>
      <c r="AF308" s="328">
        <v>0</v>
      </c>
      <c r="AG308" s="328">
        <v>0</v>
      </c>
      <c r="AH308" s="329">
        <f t="shared" si="9"/>
        <v>39</v>
      </c>
    </row>
    <row r="309" spans="1:34" x14ac:dyDescent="0.2">
      <c r="A309" s="20" t="str">
        <f>'School Level Inst. Resources'!A309</f>
        <v>1901000</v>
      </c>
      <c r="B309" s="20" t="str">
        <f>'School Level Inst. Resources'!B309</f>
        <v>Sweetwater #1</v>
      </c>
      <c r="C309" s="20" t="str">
        <f>'School Level Inst. Resources'!C309</f>
        <v>1901053</v>
      </c>
      <c r="D309" s="20" t="str">
        <f>'School Level Inst. Resources'!D309</f>
        <v>Desert Middle School</v>
      </c>
      <c r="E309" s="138" t="str">
        <f>'School Level Inst. Resources'!E309</f>
        <v>7-8</v>
      </c>
      <c r="F309" s="328">
        <v>0</v>
      </c>
      <c r="G309" s="328">
        <v>0</v>
      </c>
      <c r="H309" s="328">
        <v>0</v>
      </c>
      <c r="I309" s="328">
        <v>0</v>
      </c>
      <c r="J309" s="328">
        <v>0</v>
      </c>
      <c r="K309" s="328">
        <v>0</v>
      </c>
      <c r="L309" s="328">
        <v>0</v>
      </c>
      <c r="M309" s="328">
        <v>3</v>
      </c>
      <c r="N309" s="328">
        <v>0</v>
      </c>
      <c r="O309" s="328">
        <v>0</v>
      </c>
      <c r="P309" s="328">
        <v>0</v>
      </c>
      <c r="Q309" s="328">
        <v>0</v>
      </c>
      <c r="R309" s="328">
        <v>0</v>
      </c>
      <c r="S309" s="329">
        <f t="shared" si="10"/>
        <v>3</v>
      </c>
      <c r="T309" s="327"/>
      <c r="U309" s="328">
        <v>0</v>
      </c>
      <c r="V309" s="328">
        <v>0</v>
      </c>
      <c r="W309" s="328">
        <v>0</v>
      </c>
      <c r="X309" s="328">
        <v>0</v>
      </c>
      <c r="Y309" s="328">
        <v>0</v>
      </c>
      <c r="Z309" s="328">
        <v>0</v>
      </c>
      <c r="AA309" s="328">
        <v>0</v>
      </c>
      <c r="AB309" s="328">
        <v>0</v>
      </c>
      <c r="AC309" s="328">
        <v>0</v>
      </c>
      <c r="AD309" s="328">
        <v>0</v>
      </c>
      <c r="AE309" s="328">
        <v>0</v>
      </c>
      <c r="AF309" s="328">
        <v>0</v>
      </c>
      <c r="AG309" s="328">
        <v>0</v>
      </c>
      <c r="AH309" s="329">
        <f t="shared" si="9"/>
        <v>0</v>
      </c>
    </row>
    <row r="310" spans="1:34" x14ac:dyDescent="0.2">
      <c r="A310" s="20" t="str">
        <f>'School Level Inst. Resources'!A310</f>
        <v>1901000</v>
      </c>
      <c r="B310" s="20" t="str">
        <f>'School Level Inst. Resources'!B310</f>
        <v>Sweetwater #1</v>
      </c>
      <c r="C310" s="20" t="str">
        <f>'School Level Inst. Resources'!C310</f>
        <v>1901054</v>
      </c>
      <c r="D310" s="20" t="str">
        <f>'School Level Inst. Resources'!D310</f>
        <v>Farson-Eden Middle School</v>
      </c>
      <c r="E310" s="138" t="str">
        <f>'School Level Inst. Resources'!E310</f>
        <v>6-8</v>
      </c>
      <c r="F310" s="328">
        <v>0</v>
      </c>
      <c r="G310" s="328">
        <v>0</v>
      </c>
      <c r="H310" s="328">
        <v>0</v>
      </c>
      <c r="I310" s="328">
        <v>0</v>
      </c>
      <c r="J310" s="328">
        <v>0</v>
      </c>
      <c r="K310" s="328">
        <v>0</v>
      </c>
      <c r="L310" s="328">
        <v>4</v>
      </c>
      <c r="M310" s="328">
        <v>6</v>
      </c>
      <c r="N310" s="328">
        <v>4</v>
      </c>
      <c r="O310" s="328">
        <v>0</v>
      </c>
      <c r="P310" s="328">
        <v>0</v>
      </c>
      <c r="Q310" s="328">
        <v>0</v>
      </c>
      <c r="R310" s="328">
        <v>0</v>
      </c>
      <c r="S310" s="329">
        <f t="shared" si="10"/>
        <v>14</v>
      </c>
      <c r="T310" s="327"/>
      <c r="U310" s="328">
        <v>0</v>
      </c>
      <c r="V310" s="328">
        <v>0</v>
      </c>
      <c r="W310" s="328">
        <v>0</v>
      </c>
      <c r="X310" s="328">
        <v>0</v>
      </c>
      <c r="Y310" s="328">
        <v>0</v>
      </c>
      <c r="Z310" s="328">
        <v>0</v>
      </c>
      <c r="AA310" s="328">
        <v>0</v>
      </c>
      <c r="AB310" s="328">
        <v>0</v>
      </c>
      <c r="AC310" s="328">
        <v>0</v>
      </c>
      <c r="AD310" s="328">
        <v>0</v>
      </c>
      <c r="AE310" s="328">
        <v>0</v>
      </c>
      <c r="AF310" s="328">
        <v>0</v>
      </c>
      <c r="AG310" s="328">
        <v>0</v>
      </c>
      <c r="AH310" s="329">
        <f t="shared" si="9"/>
        <v>0</v>
      </c>
    </row>
    <row r="311" spans="1:34" x14ac:dyDescent="0.2">
      <c r="A311" s="20" t="str">
        <f>'School Level Inst. Resources'!A311</f>
        <v>1901000</v>
      </c>
      <c r="B311" s="20" t="str">
        <f>'School Level Inst. Resources'!B311</f>
        <v>Sweetwater #1</v>
      </c>
      <c r="C311" s="20" t="str">
        <f>'School Level Inst. Resources'!C311</f>
        <v>1901055</v>
      </c>
      <c r="D311" s="20" t="str">
        <f>'School Level Inst. Resources'!D311</f>
        <v>Farson-Eden High School</v>
      </c>
      <c r="E311" s="138" t="str">
        <f>'School Level Inst. Resources'!E311</f>
        <v>9-12</v>
      </c>
      <c r="F311" s="328">
        <v>0</v>
      </c>
      <c r="G311" s="328">
        <v>0</v>
      </c>
      <c r="H311" s="328">
        <v>0</v>
      </c>
      <c r="I311" s="328">
        <v>0</v>
      </c>
      <c r="J311" s="328">
        <v>0</v>
      </c>
      <c r="K311" s="328">
        <v>0</v>
      </c>
      <c r="L311" s="328">
        <v>0</v>
      </c>
      <c r="M311" s="328">
        <v>0</v>
      </c>
      <c r="N311" s="328">
        <v>0</v>
      </c>
      <c r="O311" s="328">
        <v>4</v>
      </c>
      <c r="P311" s="328">
        <v>3</v>
      </c>
      <c r="Q311" s="328">
        <v>0</v>
      </c>
      <c r="R311" s="328">
        <v>1</v>
      </c>
      <c r="S311" s="329">
        <f t="shared" si="10"/>
        <v>8</v>
      </c>
      <c r="T311" s="327"/>
      <c r="U311" s="328">
        <v>0</v>
      </c>
      <c r="V311" s="328">
        <v>0</v>
      </c>
      <c r="W311" s="328">
        <v>0</v>
      </c>
      <c r="X311" s="328">
        <v>0</v>
      </c>
      <c r="Y311" s="328">
        <v>0</v>
      </c>
      <c r="Z311" s="328">
        <v>0</v>
      </c>
      <c r="AA311" s="328">
        <v>0</v>
      </c>
      <c r="AB311" s="328">
        <v>0</v>
      </c>
      <c r="AC311" s="328">
        <v>0</v>
      </c>
      <c r="AD311" s="328">
        <v>0</v>
      </c>
      <c r="AE311" s="328">
        <v>0</v>
      </c>
      <c r="AF311" s="328">
        <v>0</v>
      </c>
      <c r="AG311" s="328">
        <v>0</v>
      </c>
      <c r="AH311" s="329">
        <f t="shared" si="9"/>
        <v>0</v>
      </c>
    </row>
    <row r="312" spans="1:34" x14ac:dyDescent="0.2">
      <c r="A312" s="20" t="str">
        <f>'School Level Inst. Resources'!A312</f>
        <v>1901000</v>
      </c>
      <c r="B312" s="20" t="str">
        <f>'School Level Inst. Resources'!B312</f>
        <v>Sweetwater #1</v>
      </c>
      <c r="C312" s="20" t="str">
        <f>'School Level Inst. Resources'!C312</f>
        <v>1901056</v>
      </c>
      <c r="D312" s="20" t="str">
        <f>'School Level Inst. Resources'!D312</f>
        <v>Rock Springs High School</v>
      </c>
      <c r="E312" s="138" t="str">
        <f>'School Level Inst. Resources'!E312</f>
        <v>9-12</v>
      </c>
      <c r="F312" s="328">
        <v>0</v>
      </c>
      <c r="G312" s="328">
        <v>0</v>
      </c>
      <c r="H312" s="328">
        <v>0</v>
      </c>
      <c r="I312" s="328">
        <v>0</v>
      </c>
      <c r="J312" s="328">
        <v>0</v>
      </c>
      <c r="K312" s="328">
        <v>0</v>
      </c>
      <c r="L312" s="328">
        <v>0</v>
      </c>
      <c r="M312" s="328">
        <v>0</v>
      </c>
      <c r="N312" s="328">
        <v>0</v>
      </c>
      <c r="O312" s="328">
        <v>148</v>
      </c>
      <c r="P312" s="328">
        <v>143</v>
      </c>
      <c r="Q312" s="328">
        <v>122</v>
      </c>
      <c r="R312" s="328">
        <v>94</v>
      </c>
      <c r="S312" s="329">
        <f t="shared" si="10"/>
        <v>507</v>
      </c>
      <c r="T312" s="327"/>
      <c r="U312" s="328">
        <v>0</v>
      </c>
      <c r="V312" s="328">
        <v>0</v>
      </c>
      <c r="W312" s="328">
        <v>0</v>
      </c>
      <c r="X312" s="328">
        <v>0</v>
      </c>
      <c r="Y312" s="328">
        <v>0</v>
      </c>
      <c r="Z312" s="328">
        <v>0</v>
      </c>
      <c r="AA312" s="328">
        <v>0</v>
      </c>
      <c r="AB312" s="328">
        <v>0</v>
      </c>
      <c r="AC312" s="328">
        <v>0</v>
      </c>
      <c r="AD312" s="328">
        <v>15</v>
      </c>
      <c r="AE312" s="328">
        <v>22</v>
      </c>
      <c r="AF312" s="328">
        <v>18</v>
      </c>
      <c r="AG312" s="328">
        <v>16</v>
      </c>
      <c r="AH312" s="329">
        <f t="shared" si="9"/>
        <v>71</v>
      </c>
    </row>
    <row r="313" spans="1:34" x14ac:dyDescent="0.2">
      <c r="A313" s="20" t="str">
        <f>'School Level Inst. Resources'!A313</f>
        <v>1901000</v>
      </c>
      <c r="B313" s="20" t="str">
        <f>'School Level Inst. Resources'!B313</f>
        <v>Sweetwater #1</v>
      </c>
      <c r="C313" s="20" t="str">
        <f>'School Level Inst. Resources'!C313</f>
        <v>1901057</v>
      </c>
      <c r="D313" s="20" t="str">
        <f>'School Level Inst. Resources'!D313</f>
        <v>Black Butte High School</v>
      </c>
      <c r="E313" s="138" t="str">
        <f>'School Level Inst. Resources'!E313</f>
        <v>9-12</v>
      </c>
      <c r="F313" s="328">
        <v>0</v>
      </c>
      <c r="G313" s="328">
        <v>0</v>
      </c>
      <c r="H313" s="328">
        <v>0</v>
      </c>
      <c r="I313" s="328">
        <v>0</v>
      </c>
      <c r="J313" s="328">
        <v>0</v>
      </c>
      <c r="K313" s="328">
        <v>0</v>
      </c>
      <c r="L313" s="328">
        <v>0</v>
      </c>
      <c r="M313" s="328">
        <v>0</v>
      </c>
      <c r="N313" s="328">
        <v>0</v>
      </c>
      <c r="O313" s="328">
        <v>16</v>
      </c>
      <c r="P313" s="328">
        <v>12</v>
      </c>
      <c r="Q313" s="328">
        <v>13</v>
      </c>
      <c r="R313" s="328">
        <v>4</v>
      </c>
      <c r="S313" s="329">
        <f t="shared" si="10"/>
        <v>45</v>
      </c>
      <c r="T313" s="327"/>
      <c r="U313" s="328">
        <v>0</v>
      </c>
      <c r="V313" s="328">
        <v>0</v>
      </c>
      <c r="W313" s="328">
        <v>0</v>
      </c>
      <c r="X313" s="328">
        <v>0</v>
      </c>
      <c r="Y313" s="328">
        <v>0</v>
      </c>
      <c r="Z313" s="328">
        <v>0</v>
      </c>
      <c r="AA313" s="328">
        <v>0</v>
      </c>
      <c r="AB313" s="328">
        <v>0</v>
      </c>
      <c r="AC313" s="328">
        <v>0</v>
      </c>
      <c r="AD313" s="328">
        <v>0</v>
      </c>
      <c r="AE313" s="328">
        <v>0</v>
      </c>
      <c r="AF313" s="328">
        <v>1</v>
      </c>
      <c r="AG313" s="328">
        <v>0</v>
      </c>
      <c r="AH313" s="329">
        <f t="shared" si="9"/>
        <v>1</v>
      </c>
    </row>
    <row r="314" spans="1:34" x14ac:dyDescent="0.2">
      <c r="A314" s="20" t="str">
        <f>'School Level Inst. Resources'!A314</f>
        <v>1902000</v>
      </c>
      <c r="B314" s="20" t="str">
        <f>'School Level Inst. Resources'!B314</f>
        <v>Sweetwater #2</v>
      </c>
      <c r="C314" s="20" t="str">
        <f>'School Level Inst. Resources'!C314</f>
        <v>1902001</v>
      </c>
      <c r="D314" s="20" t="str">
        <f>'School Level Inst. Resources'!D314</f>
        <v>Granger Elementary</v>
      </c>
      <c r="E314" s="138" t="str">
        <f>'School Level Inst. Resources'!E314</f>
        <v>K-4</v>
      </c>
      <c r="F314" s="328">
        <v>2</v>
      </c>
      <c r="G314" s="328">
        <v>0</v>
      </c>
      <c r="H314" s="328">
        <v>1</v>
      </c>
      <c r="I314" s="328">
        <v>0</v>
      </c>
      <c r="J314" s="328">
        <v>0</v>
      </c>
      <c r="K314" s="328">
        <v>0</v>
      </c>
      <c r="L314" s="328">
        <v>0</v>
      </c>
      <c r="M314" s="328">
        <v>0</v>
      </c>
      <c r="N314" s="328">
        <v>0</v>
      </c>
      <c r="O314" s="328">
        <v>0</v>
      </c>
      <c r="P314" s="328">
        <v>0</v>
      </c>
      <c r="Q314" s="328">
        <v>0</v>
      </c>
      <c r="R314" s="328">
        <v>0</v>
      </c>
      <c r="S314" s="329">
        <f t="shared" si="10"/>
        <v>3</v>
      </c>
      <c r="T314" s="327"/>
      <c r="U314" s="328">
        <v>0</v>
      </c>
      <c r="V314" s="328">
        <v>0</v>
      </c>
      <c r="W314" s="328">
        <v>0</v>
      </c>
      <c r="X314" s="328">
        <v>0</v>
      </c>
      <c r="Y314" s="328">
        <v>0</v>
      </c>
      <c r="Z314" s="328">
        <v>0</v>
      </c>
      <c r="AA314" s="328">
        <v>0</v>
      </c>
      <c r="AB314" s="328">
        <v>0</v>
      </c>
      <c r="AC314" s="328">
        <v>0</v>
      </c>
      <c r="AD314" s="328">
        <v>0</v>
      </c>
      <c r="AE314" s="328">
        <v>0</v>
      </c>
      <c r="AF314" s="328">
        <v>0</v>
      </c>
      <c r="AG314" s="328">
        <v>0</v>
      </c>
      <c r="AH314" s="329">
        <f t="shared" si="9"/>
        <v>0</v>
      </c>
    </row>
    <row r="315" spans="1:34" x14ac:dyDescent="0.2">
      <c r="A315" s="20" t="str">
        <f>'School Level Inst. Resources'!A315</f>
        <v>1902000</v>
      </c>
      <c r="B315" s="20" t="str">
        <f>'School Level Inst. Resources'!B315</f>
        <v>Sweetwater #2</v>
      </c>
      <c r="C315" s="20" t="str">
        <f>'School Level Inst. Resources'!C315</f>
        <v>1902002</v>
      </c>
      <c r="D315" s="20" t="str">
        <f>'School Level Inst. Resources'!D315</f>
        <v>Harrison Elementary</v>
      </c>
      <c r="E315" s="138" t="str">
        <f>'School Level Inst. Resources'!E315</f>
        <v>K-4</v>
      </c>
      <c r="F315" s="328">
        <v>13</v>
      </c>
      <c r="G315" s="328">
        <v>11</v>
      </c>
      <c r="H315" s="328">
        <v>14</v>
      </c>
      <c r="I315" s="328">
        <v>15</v>
      </c>
      <c r="J315" s="328">
        <v>17</v>
      </c>
      <c r="K315" s="328">
        <v>0</v>
      </c>
      <c r="L315" s="328">
        <v>0</v>
      </c>
      <c r="M315" s="328">
        <v>0</v>
      </c>
      <c r="N315" s="328">
        <v>0</v>
      </c>
      <c r="O315" s="328">
        <v>0</v>
      </c>
      <c r="P315" s="328">
        <v>0</v>
      </c>
      <c r="Q315" s="328">
        <v>0</v>
      </c>
      <c r="R315" s="328">
        <v>0</v>
      </c>
      <c r="S315" s="329">
        <f t="shared" si="10"/>
        <v>70</v>
      </c>
      <c r="T315" s="327"/>
      <c r="U315" s="328">
        <v>0</v>
      </c>
      <c r="V315" s="328">
        <v>1</v>
      </c>
      <c r="W315" s="328">
        <v>3</v>
      </c>
      <c r="X315" s="328">
        <v>1</v>
      </c>
      <c r="Y315" s="328">
        <v>0</v>
      </c>
      <c r="Z315" s="328">
        <v>0</v>
      </c>
      <c r="AA315" s="328">
        <v>0</v>
      </c>
      <c r="AB315" s="328">
        <v>0</v>
      </c>
      <c r="AC315" s="328">
        <v>0</v>
      </c>
      <c r="AD315" s="328">
        <v>0</v>
      </c>
      <c r="AE315" s="328">
        <v>0</v>
      </c>
      <c r="AF315" s="328">
        <v>0</v>
      </c>
      <c r="AG315" s="328">
        <v>0</v>
      </c>
      <c r="AH315" s="329">
        <f t="shared" si="9"/>
        <v>5</v>
      </c>
    </row>
    <row r="316" spans="1:34" x14ac:dyDescent="0.2">
      <c r="A316" s="20" t="str">
        <f>'School Level Inst. Resources'!A316</f>
        <v>1902000</v>
      </c>
      <c r="B316" s="20" t="str">
        <f>'School Level Inst. Resources'!B316</f>
        <v>Sweetwater #2</v>
      </c>
      <c r="C316" s="20" t="str">
        <f>'School Level Inst. Resources'!C316</f>
        <v>1902004</v>
      </c>
      <c r="D316" s="20" t="str">
        <f>'School Level Inst. Resources'!D316</f>
        <v>McKinnon Elementary</v>
      </c>
      <c r="E316" s="138" t="str">
        <f>'School Level Inst. Resources'!E316</f>
        <v>K-5</v>
      </c>
      <c r="F316" s="328">
        <v>2</v>
      </c>
      <c r="G316" s="328">
        <v>1</v>
      </c>
      <c r="H316" s="328">
        <v>3</v>
      </c>
      <c r="I316" s="328">
        <v>2</v>
      </c>
      <c r="J316" s="328">
        <v>1</v>
      </c>
      <c r="K316" s="328">
        <v>1</v>
      </c>
      <c r="L316" s="328">
        <v>0</v>
      </c>
      <c r="M316" s="328">
        <v>0</v>
      </c>
      <c r="N316" s="328">
        <v>0</v>
      </c>
      <c r="O316" s="328">
        <v>0</v>
      </c>
      <c r="P316" s="328">
        <v>0</v>
      </c>
      <c r="Q316" s="328">
        <v>0</v>
      </c>
      <c r="R316" s="328">
        <v>0</v>
      </c>
      <c r="S316" s="329">
        <f t="shared" si="10"/>
        <v>10</v>
      </c>
      <c r="T316" s="327"/>
      <c r="U316" s="328">
        <v>0</v>
      </c>
      <c r="V316" s="328">
        <v>0</v>
      </c>
      <c r="W316" s="328">
        <v>0</v>
      </c>
      <c r="X316" s="328">
        <v>0</v>
      </c>
      <c r="Y316" s="328">
        <v>0</v>
      </c>
      <c r="Z316" s="328">
        <v>0</v>
      </c>
      <c r="AA316" s="328">
        <v>0</v>
      </c>
      <c r="AB316" s="328">
        <v>0</v>
      </c>
      <c r="AC316" s="328">
        <v>0</v>
      </c>
      <c r="AD316" s="328">
        <v>0</v>
      </c>
      <c r="AE316" s="328">
        <v>0</v>
      </c>
      <c r="AF316" s="328">
        <v>0</v>
      </c>
      <c r="AG316" s="328">
        <v>0</v>
      </c>
      <c r="AH316" s="329">
        <f t="shared" si="9"/>
        <v>0</v>
      </c>
    </row>
    <row r="317" spans="1:34" x14ac:dyDescent="0.2">
      <c r="A317" s="20" t="str">
        <f>'School Level Inst. Resources'!A317</f>
        <v>1902000</v>
      </c>
      <c r="B317" s="20" t="str">
        <f>'School Level Inst. Resources'!B317</f>
        <v>Sweetwater #2</v>
      </c>
      <c r="C317" s="20" t="str">
        <f>'School Level Inst. Resources'!C317</f>
        <v>1902006</v>
      </c>
      <c r="D317" s="20" t="str">
        <f>'School Level Inst. Resources'!D317</f>
        <v>Thoman Ranch Elementary</v>
      </c>
      <c r="E317" s="138" t="str">
        <f>'School Level Inst. Resources'!E317</f>
        <v>K-8</v>
      </c>
      <c r="F317" s="328">
        <v>0</v>
      </c>
      <c r="G317" s="328">
        <v>0</v>
      </c>
      <c r="H317" s="328">
        <v>0</v>
      </c>
      <c r="I317" s="328">
        <v>0</v>
      </c>
      <c r="J317" s="328">
        <v>0</v>
      </c>
      <c r="K317" s="328">
        <v>0</v>
      </c>
      <c r="L317" s="328">
        <v>0</v>
      </c>
      <c r="M317" s="328">
        <v>0</v>
      </c>
      <c r="N317" s="328">
        <v>0</v>
      </c>
      <c r="O317" s="328">
        <v>0</v>
      </c>
      <c r="P317" s="328">
        <v>0</v>
      </c>
      <c r="Q317" s="328">
        <v>0</v>
      </c>
      <c r="R317" s="328">
        <v>0</v>
      </c>
      <c r="S317" s="329">
        <f t="shared" si="10"/>
        <v>0</v>
      </c>
      <c r="T317" s="327"/>
      <c r="U317" s="328">
        <v>0</v>
      </c>
      <c r="V317" s="328">
        <v>0</v>
      </c>
      <c r="W317" s="328">
        <v>0</v>
      </c>
      <c r="X317" s="328">
        <v>0</v>
      </c>
      <c r="Y317" s="328">
        <v>0</v>
      </c>
      <c r="Z317" s="328">
        <v>0</v>
      </c>
      <c r="AA317" s="328">
        <v>0</v>
      </c>
      <c r="AB317" s="328">
        <v>0</v>
      </c>
      <c r="AC317" s="328">
        <v>0</v>
      </c>
      <c r="AD317" s="328">
        <v>0</v>
      </c>
      <c r="AE317" s="328">
        <v>0</v>
      </c>
      <c r="AF317" s="328">
        <v>0</v>
      </c>
      <c r="AG317" s="328">
        <v>0</v>
      </c>
      <c r="AH317" s="329">
        <f t="shared" si="9"/>
        <v>0</v>
      </c>
    </row>
    <row r="318" spans="1:34" x14ac:dyDescent="0.2">
      <c r="A318" s="20" t="str">
        <f>'School Level Inst. Resources'!A318</f>
        <v>1902000</v>
      </c>
      <c r="B318" s="20" t="str">
        <f>'School Level Inst. Resources'!B318</f>
        <v>Sweetwater #2</v>
      </c>
      <c r="C318" s="20" t="str">
        <f>'School Level Inst. Resources'!C318</f>
        <v>1902007</v>
      </c>
      <c r="D318" s="20" t="str">
        <f>'School Level Inst. Resources'!D318</f>
        <v>Washington Elementary</v>
      </c>
      <c r="E318" s="138" t="str">
        <f>'School Level Inst. Resources'!E318</f>
        <v>K-4</v>
      </c>
      <c r="F318" s="328">
        <v>6</v>
      </c>
      <c r="G318" s="328">
        <v>14</v>
      </c>
      <c r="H318" s="328">
        <v>11</v>
      </c>
      <c r="I318" s="328">
        <v>16</v>
      </c>
      <c r="J318" s="328">
        <v>11</v>
      </c>
      <c r="K318" s="328">
        <v>0</v>
      </c>
      <c r="L318" s="328">
        <v>0</v>
      </c>
      <c r="M318" s="328">
        <v>0</v>
      </c>
      <c r="N318" s="328">
        <v>0</v>
      </c>
      <c r="O318" s="328">
        <v>0</v>
      </c>
      <c r="P318" s="328">
        <v>0</v>
      </c>
      <c r="Q318" s="328">
        <v>0</v>
      </c>
      <c r="R318" s="328">
        <v>0</v>
      </c>
      <c r="S318" s="329">
        <f t="shared" si="10"/>
        <v>58</v>
      </c>
      <c r="T318" s="327"/>
      <c r="U318" s="328">
        <v>0</v>
      </c>
      <c r="V318" s="328">
        <v>0</v>
      </c>
      <c r="W318" s="328">
        <v>0</v>
      </c>
      <c r="X318" s="328">
        <v>0</v>
      </c>
      <c r="Y318" s="328">
        <v>0</v>
      </c>
      <c r="Z318" s="328">
        <v>0</v>
      </c>
      <c r="AA318" s="328">
        <v>0</v>
      </c>
      <c r="AB318" s="328">
        <v>0</v>
      </c>
      <c r="AC318" s="328">
        <v>0</v>
      </c>
      <c r="AD318" s="328">
        <v>0</v>
      </c>
      <c r="AE318" s="328">
        <v>0</v>
      </c>
      <c r="AF318" s="328">
        <v>0</v>
      </c>
      <c r="AG318" s="328">
        <v>0</v>
      </c>
      <c r="AH318" s="329">
        <f t="shared" si="9"/>
        <v>0</v>
      </c>
    </row>
    <row r="319" spans="1:34" x14ac:dyDescent="0.2">
      <c r="A319" s="20" t="str">
        <f>'School Level Inst. Resources'!A319</f>
        <v>1902000</v>
      </c>
      <c r="B319" s="20" t="str">
        <f>'School Level Inst. Resources'!B319</f>
        <v>Sweetwater #2</v>
      </c>
      <c r="C319" s="20" t="str">
        <f>'School Level Inst. Resources'!C319</f>
        <v>1902010</v>
      </c>
      <c r="D319" s="20" t="str">
        <f>'School Level Inst. Resources'!D319</f>
        <v>Jackson Elementary</v>
      </c>
      <c r="E319" s="138" t="str">
        <f>'School Level Inst. Resources'!E319</f>
        <v>K-4</v>
      </c>
      <c r="F319" s="328">
        <v>15</v>
      </c>
      <c r="G319" s="328">
        <v>11</v>
      </c>
      <c r="H319" s="328">
        <v>19</v>
      </c>
      <c r="I319" s="328">
        <v>16</v>
      </c>
      <c r="J319" s="328">
        <v>17</v>
      </c>
      <c r="K319" s="328">
        <v>0</v>
      </c>
      <c r="L319" s="328">
        <v>0</v>
      </c>
      <c r="M319" s="328">
        <v>0</v>
      </c>
      <c r="N319" s="328">
        <v>0</v>
      </c>
      <c r="O319" s="328">
        <v>0</v>
      </c>
      <c r="P319" s="328">
        <v>0</v>
      </c>
      <c r="Q319" s="328">
        <v>0</v>
      </c>
      <c r="R319" s="328">
        <v>0</v>
      </c>
      <c r="S319" s="329">
        <f t="shared" si="10"/>
        <v>78</v>
      </c>
      <c r="T319" s="327"/>
      <c r="U319" s="328">
        <v>10</v>
      </c>
      <c r="V319" s="328">
        <v>3</v>
      </c>
      <c r="W319" s="328">
        <v>13</v>
      </c>
      <c r="X319" s="328">
        <v>8</v>
      </c>
      <c r="Y319" s="328">
        <v>12</v>
      </c>
      <c r="Z319" s="328">
        <v>0</v>
      </c>
      <c r="AA319" s="328">
        <v>0</v>
      </c>
      <c r="AB319" s="328">
        <v>0</v>
      </c>
      <c r="AC319" s="328">
        <v>0</v>
      </c>
      <c r="AD319" s="328">
        <v>0</v>
      </c>
      <c r="AE319" s="328">
        <v>0</v>
      </c>
      <c r="AF319" s="328">
        <v>0</v>
      </c>
      <c r="AG319" s="328">
        <v>0</v>
      </c>
      <c r="AH319" s="329">
        <f t="shared" si="9"/>
        <v>46</v>
      </c>
    </row>
    <row r="320" spans="1:34" x14ac:dyDescent="0.2">
      <c r="A320" s="20" t="str">
        <f>'School Level Inst. Resources'!A320</f>
        <v>1902000</v>
      </c>
      <c r="B320" s="20" t="str">
        <f>'School Level Inst. Resources'!B320</f>
        <v>Sweetwater #2</v>
      </c>
      <c r="C320" s="20" t="str">
        <f>'School Level Inst. Resources'!C320</f>
        <v>1902011</v>
      </c>
      <c r="D320" s="20" t="str">
        <f>'School Level Inst. Resources'!D320</f>
        <v>Truman Elementary</v>
      </c>
      <c r="E320" s="138" t="str">
        <f>'School Level Inst. Resources'!E320</f>
        <v>K-4</v>
      </c>
      <c r="F320" s="328">
        <v>33</v>
      </c>
      <c r="G320" s="328">
        <v>21</v>
      </c>
      <c r="H320" s="328">
        <v>18</v>
      </c>
      <c r="I320" s="328">
        <v>39</v>
      </c>
      <c r="J320" s="328">
        <v>22</v>
      </c>
      <c r="K320" s="328">
        <v>0</v>
      </c>
      <c r="L320" s="328">
        <v>0</v>
      </c>
      <c r="M320" s="328">
        <v>0</v>
      </c>
      <c r="N320" s="328">
        <v>0</v>
      </c>
      <c r="O320" s="328">
        <v>0</v>
      </c>
      <c r="P320" s="328">
        <v>0</v>
      </c>
      <c r="Q320" s="328">
        <v>0</v>
      </c>
      <c r="R320" s="328">
        <v>0</v>
      </c>
      <c r="S320" s="329">
        <f t="shared" si="10"/>
        <v>133</v>
      </c>
      <c r="T320" s="327"/>
      <c r="U320" s="328">
        <v>2</v>
      </c>
      <c r="V320" s="328">
        <v>0</v>
      </c>
      <c r="W320" s="328">
        <v>0</v>
      </c>
      <c r="X320" s="328">
        <v>2</v>
      </c>
      <c r="Y320" s="328">
        <v>3</v>
      </c>
      <c r="Z320" s="328">
        <v>0</v>
      </c>
      <c r="AA320" s="328">
        <v>0</v>
      </c>
      <c r="AB320" s="328">
        <v>0</v>
      </c>
      <c r="AC320" s="328">
        <v>0</v>
      </c>
      <c r="AD320" s="328">
        <v>0</v>
      </c>
      <c r="AE320" s="328">
        <v>0</v>
      </c>
      <c r="AF320" s="328">
        <v>0</v>
      </c>
      <c r="AG320" s="328">
        <v>0</v>
      </c>
      <c r="AH320" s="329">
        <f t="shared" si="9"/>
        <v>7</v>
      </c>
    </row>
    <row r="321" spans="1:34" x14ac:dyDescent="0.2">
      <c r="A321" s="20" t="str">
        <f>'School Level Inst. Resources'!A321</f>
        <v>1902000</v>
      </c>
      <c r="B321" s="20" t="str">
        <f>'School Level Inst. Resources'!B321</f>
        <v>Sweetwater #2</v>
      </c>
      <c r="C321" s="20" t="str">
        <f>'School Level Inst. Resources'!C321</f>
        <v>1902012</v>
      </c>
      <c r="D321" s="20" t="str">
        <f>'School Level Inst. Resources'!D321</f>
        <v>Monroe Intermediate School</v>
      </c>
      <c r="E321" s="138" t="str">
        <f>'School Level Inst. Resources'!E321</f>
        <v>5-6</v>
      </c>
      <c r="F321" s="328">
        <v>0</v>
      </c>
      <c r="G321" s="328">
        <v>0</v>
      </c>
      <c r="H321" s="328">
        <v>0</v>
      </c>
      <c r="I321" s="328">
        <v>0</v>
      </c>
      <c r="J321" s="328">
        <v>0</v>
      </c>
      <c r="K321" s="328">
        <v>63</v>
      </c>
      <c r="L321" s="328">
        <v>72</v>
      </c>
      <c r="M321" s="328">
        <v>0</v>
      </c>
      <c r="N321" s="328">
        <v>0</v>
      </c>
      <c r="O321" s="328">
        <v>0</v>
      </c>
      <c r="P321" s="328">
        <v>0</v>
      </c>
      <c r="Q321" s="328">
        <v>0</v>
      </c>
      <c r="R321" s="328">
        <v>0</v>
      </c>
      <c r="S321" s="329">
        <f t="shared" si="10"/>
        <v>135</v>
      </c>
      <c r="T321" s="327"/>
      <c r="U321" s="328">
        <v>0</v>
      </c>
      <c r="V321" s="328">
        <v>0</v>
      </c>
      <c r="W321" s="328">
        <v>0</v>
      </c>
      <c r="X321" s="328">
        <v>0</v>
      </c>
      <c r="Y321" s="328">
        <v>0</v>
      </c>
      <c r="Z321" s="328">
        <v>8</v>
      </c>
      <c r="AA321" s="328">
        <v>2</v>
      </c>
      <c r="AB321" s="328">
        <v>0</v>
      </c>
      <c r="AC321" s="328">
        <v>0</v>
      </c>
      <c r="AD321" s="328">
        <v>0</v>
      </c>
      <c r="AE321" s="328">
        <v>0</v>
      </c>
      <c r="AF321" s="328">
        <v>0</v>
      </c>
      <c r="AG321" s="328">
        <v>0</v>
      </c>
      <c r="AH321" s="329">
        <f t="shared" si="9"/>
        <v>10</v>
      </c>
    </row>
    <row r="322" spans="1:34" x14ac:dyDescent="0.2">
      <c r="A322" s="20" t="str">
        <f>'School Level Inst. Resources'!A322</f>
        <v>1902000</v>
      </c>
      <c r="B322" s="20" t="str">
        <f>'School Level Inst. Resources'!B322</f>
        <v>Sweetwater #2</v>
      </c>
      <c r="C322" s="20" t="str">
        <f>'School Level Inst. Resources'!C322</f>
        <v>1902050</v>
      </c>
      <c r="D322" s="20" t="str">
        <f>'School Level Inst. Resources'!D322</f>
        <v>Lincoln Middle School</v>
      </c>
      <c r="E322" s="138" t="str">
        <f>'School Level Inst. Resources'!E322</f>
        <v>7-8</v>
      </c>
      <c r="F322" s="328">
        <v>0</v>
      </c>
      <c r="G322" s="328">
        <v>0</v>
      </c>
      <c r="H322" s="328">
        <v>0</v>
      </c>
      <c r="I322" s="328">
        <v>0</v>
      </c>
      <c r="J322" s="328">
        <v>0</v>
      </c>
      <c r="K322" s="328">
        <v>0</v>
      </c>
      <c r="L322" s="328">
        <v>0</v>
      </c>
      <c r="M322" s="328">
        <v>55</v>
      </c>
      <c r="N322" s="328">
        <v>59</v>
      </c>
      <c r="O322" s="328">
        <v>0</v>
      </c>
      <c r="P322" s="328">
        <v>0</v>
      </c>
      <c r="Q322" s="328">
        <v>0</v>
      </c>
      <c r="R322" s="328">
        <v>0</v>
      </c>
      <c r="S322" s="329">
        <f t="shared" si="10"/>
        <v>114</v>
      </c>
      <c r="T322" s="327"/>
      <c r="U322" s="328">
        <v>0</v>
      </c>
      <c r="V322" s="328">
        <v>0</v>
      </c>
      <c r="W322" s="328">
        <v>0</v>
      </c>
      <c r="X322" s="328">
        <v>0</v>
      </c>
      <c r="Y322" s="328">
        <v>0</v>
      </c>
      <c r="Z322" s="328">
        <v>0</v>
      </c>
      <c r="AA322" s="328">
        <v>0</v>
      </c>
      <c r="AB322" s="328">
        <v>4</v>
      </c>
      <c r="AC322" s="328">
        <v>2</v>
      </c>
      <c r="AD322" s="328">
        <v>0</v>
      </c>
      <c r="AE322" s="328">
        <v>0</v>
      </c>
      <c r="AF322" s="328">
        <v>0</v>
      </c>
      <c r="AG322" s="328">
        <v>0</v>
      </c>
      <c r="AH322" s="329">
        <f t="shared" si="9"/>
        <v>6</v>
      </c>
    </row>
    <row r="323" spans="1:34" x14ac:dyDescent="0.2">
      <c r="A323" s="20" t="str">
        <f>'School Level Inst. Resources'!A323</f>
        <v>1902000</v>
      </c>
      <c r="B323" s="20" t="str">
        <f>'School Level Inst. Resources'!B323</f>
        <v>Sweetwater #2</v>
      </c>
      <c r="C323" s="20" t="str">
        <f>'School Level Inst. Resources'!C323</f>
        <v>1902055</v>
      </c>
      <c r="D323" s="20" t="str">
        <f>'School Level Inst. Resources'!D323</f>
        <v>Green River High School</v>
      </c>
      <c r="E323" s="138" t="str">
        <f>'School Level Inst. Resources'!E323</f>
        <v>9-12</v>
      </c>
      <c r="F323" s="328">
        <v>0</v>
      </c>
      <c r="G323" s="328">
        <v>0</v>
      </c>
      <c r="H323" s="328">
        <v>0</v>
      </c>
      <c r="I323" s="328">
        <v>0</v>
      </c>
      <c r="J323" s="328">
        <v>0</v>
      </c>
      <c r="K323" s="328">
        <v>0</v>
      </c>
      <c r="L323" s="328">
        <v>0</v>
      </c>
      <c r="M323" s="328">
        <v>0</v>
      </c>
      <c r="N323" s="328">
        <v>0</v>
      </c>
      <c r="O323" s="328">
        <v>64</v>
      </c>
      <c r="P323" s="328">
        <v>52</v>
      </c>
      <c r="Q323" s="328">
        <v>47</v>
      </c>
      <c r="R323" s="328">
        <v>30</v>
      </c>
      <c r="S323" s="329">
        <f t="shared" si="10"/>
        <v>193</v>
      </c>
      <c r="T323" s="327"/>
      <c r="U323" s="328">
        <v>0</v>
      </c>
      <c r="V323" s="328">
        <v>0</v>
      </c>
      <c r="W323" s="328">
        <v>0</v>
      </c>
      <c r="X323" s="328">
        <v>0</v>
      </c>
      <c r="Y323" s="328">
        <v>0</v>
      </c>
      <c r="Z323" s="328">
        <v>0</v>
      </c>
      <c r="AA323" s="328">
        <v>0</v>
      </c>
      <c r="AB323" s="328">
        <v>0</v>
      </c>
      <c r="AC323" s="328">
        <v>0</v>
      </c>
      <c r="AD323" s="328">
        <v>9</v>
      </c>
      <c r="AE323" s="328">
        <v>4</v>
      </c>
      <c r="AF323" s="328">
        <v>12</v>
      </c>
      <c r="AG323" s="328">
        <v>4</v>
      </c>
      <c r="AH323" s="329">
        <f t="shared" si="9"/>
        <v>29</v>
      </c>
    </row>
    <row r="324" spans="1:34" x14ac:dyDescent="0.2">
      <c r="A324" s="20" t="str">
        <f>'School Level Inst. Resources'!A324</f>
        <v>1902000</v>
      </c>
      <c r="B324" s="20" t="str">
        <f>'School Level Inst. Resources'!B324</f>
        <v>Sweetwater #2</v>
      </c>
      <c r="C324" s="20" t="str">
        <f>'School Level Inst. Resources'!C324</f>
        <v>1902056</v>
      </c>
      <c r="D324" s="20" t="str">
        <f>'School Level Inst. Resources'!D324</f>
        <v>Expedition Academy</v>
      </c>
      <c r="E324" s="138" t="str">
        <f>'School Level Inst. Resources'!E324</f>
        <v>9-12</v>
      </c>
      <c r="F324" s="328">
        <v>0</v>
      </c>
      <c r="G324" s="328">
        <v>0</v>
      </c>
      <c r="H324" s="328">
        <v>0</v>
      </c>
      <c r="I324" s="328">
        <v>0</v>
      </c>
      <c r="J324" s="328">
        <v>0</v>
      </c>
      <c r="K324" s="328">
        <v>0</v>
      </c>
      <c r="L324" s="328">
        <v>0</v>
      </c>
      <c r="M324" s="328">
        <v>0</v>
      </c>
      <c r="N324" s="328">
        <v>0</v>
      </c>
      <c r="O324" s="328">
        <v>8</v>
      </c>
      <c r="P324" s="328">
        <v>10</v>
      </c>
      <c r="Q324" s="328">
        <v>17</v>
      </c>
      <c r="R324" s="328">
        <v>11</v>
      </c>
      <c r="S324" s="329">
        <f t="shared" si="10"/>
        <v>46</v>
      </c>
      <c r="T324" s="327"/>
      <c r="U324" s="328">
        <v>0</v>
      </c>
      <c r="V324" s="328">
        <v>0</v>
      </c>
      <c r="W324" s="328">
        <v>0</v>
      </c>
      <c r="X324" s="328">
        <v>0</v>
      </c>
      <c r="Y324" s="328">
        <v>0</v>
      </c>
      <c r="Z324" s="328">
        <v>0</v>
      </c>
      <c r="AA324" s="328">
        <v>0</v>
      </c>
      <c r="AB324" s="328">
        <v>0</v>
      </c>
      <c r="AC324" s="328">
        <v>0</v>
      </c>
      <c r="AD324" s="328">
        <v>0</v>
      </c>
      <c r="AE324" s="328">
        <v>0</v>
      </c>
      <c r="AF324" s="328">
        <v>0</v>
      </c>
      <c r="AG324" s="328">
        <v>0</v>
      </c>
      <c r="AH324" s="329">
        <f t="shared" si="9"/>
        <v>0</v>
      </c>
    </row>
    <row r="325" spans="1:34" x14ac:dyDescent="0.2">
      <c r="A325" s="20" t="str">
        <f>'School Level Inst. Resources'!A325</f>
        <v>2001000</v>
      </c>
      <c r="B325" s="20" t="str">
        <f>'School Level Inst. Resources'!B325</f>
        <v>Teton #1</v>
      </c>
      <c r="C325" s="20" t="str">
        <f>'School Level Inst. Resources'!C325</f>
        <v>2001001</v>
      </c>
      <c r="D325" s="20" t="str">
        <f>'School Level Inst. Resources'!D325</f>
        <v>Alta Elementary</v>
      </c>
      <c r="E325" s="138" t="str">
        <f>'School Level Inst. Resources'!E325</f>
        <v>K-6</v>
      </c>
      <c r="F325" s="328">
        <v>0</v>
      </c>
      <c r="G325" s="328">
        <v>1</v>
      </c>
      <c r="H325" s="328">
        <v>0</v>
      </c>
      <c r="I325" s="328">
        <v>1</v>
      </c>
      <c r="J325" s="328">
        <v>0</v>
      </c>
      <c r="K325" s="328">
        <v>1</v>
      </c>
      <c r="L325" s="328">
        <v>3</v>
      </c>
      <c r="M325" s="328">
        <v>0</v>
      </c>
      <c r="N325" s="328">
        <v>0</v>
      </c>
      <c r="O325" s="328">
        <v>0</v>
      </c>
      <c r="P325" s="328">
        <v>0</v>
      </c>
      <c r="Q325" s="328">
        <v>0</v>
      </c>
      <c r="R325" s="328">
        <v>0</v>
      </c>
      <c r="S325" s="329">
        <f t="shared" si="10"/>
        <v>6</v>
      </c>
      <c r="T325" s="327"/>
      <c r="U325" s="328">
        <v>0</v>
      </c>
      <c r="V325" s="328">
        <v>0</v>
      </c>
      <c r="W325" s="328">
        <v>0</v>
      </c>
      <c r="X325" s="328">
        <v>0</v>
      </c>
      <c r="Y325" s="328">
        <v>0</v>
      </c>
      <c r="Z325" s="328">
        <v>0</v>
      </c>
      <c r="AA325" s="328">
        <v>0</v>
      </c>
      <c r="AB325" s="328">
        <v>0</v>
      </c>
      <c r="AC325" s="328">
        <v>0</v>
      </c>
      <c r="AD325" s="328">
        <v>0</v>
      </c>
      <c r="AE325" s="328">
        <v>0</v>
      </c>
      <c r="AF325" s="328">
        <v>0</v>
      </c>
      <c r="AG325" s="328">
        <v>0</v>
      </c>
      <c r="AH325" s="329">
        <f t="shared" si="9"/>
        <v>0</v>
      </c>
    </row>
    <row r="326" spans="1:34" x14ac:dyDescent="0.2">
      <c r="A326" s="20" t="str">
        <f>'School Level Inst. Resources'!A326</f>
        <v>2001000</v>
      </c>
      <c r="B326" s="20" t="str">
        <f>'School Level Inst. Resources'!B326</f>
        <v>Teton #1</v>
      </c>
      <c r="C326" s="20" t="str">
        <f>'School Level Inst. Resources'!C326</f>
        <v>2001003</v>
      </c>
      <c r="D326" s="20" t="str">
        <f>'School Level Inst. Resources'!D326</f>
        <v>Kelly Elementary</v>
      </c>
      <c r="E326" s="138" t="str">
        <f>'School Level Inst. Resources'!E326</f>
        <v>K-5</v>
      </c>
      <c r="F326" s="328">
        <v>0</v>
      </c>
      <c r="G326" s="328">
        <v>0</v>
      </c>
      <c r="H326" s="328">
        <v>0</v>
      </c>
      <c r="I326" s="328">
        <v>0</v>
      </c>
      <c r="J326" s="328">
        <v>0</v>
      </c>
      <c r="K326" s="328">
        <v>0</v>
      </c>
      <c r="L326" s="328">
        <v>0</v>
      </c>
      <c r="M326" s="328">
        <v>0</v>
      </c>
      <c r="N326" s="328">
        <v>0</v>
      </c>
      <c r="O326" s="328">
        <v>0</v>
      </c>
      <c r="P326" s="328">
        <v>0</v>
      </c>
      <c r="Q326" s="328">
        <v>0</v>
      </c>
      <c r="R326" s="328">
        <v>0</v>
      </c>
      <c r="S326" s="329">
        <f t="shared" si="10"/>
        <v>0</v>
      </c>
      <c r="T326" s="327"/>
      <c r="U326" s="328">
        <v>0</v>
      </c>
      <c r="V326" s="328">
        <v>0</v>
      </c>
      <c r="W326" s="328">
        <v>0</v>
      </c>
      <c r="X326" s="328">
        <v>0</v>
      </c>
      <c r="Y326" s="328">
        <v>0</v>
      </c>
      <c r="Z326" s="328">
        <v>0</v>
      </c>
      <c r="AA326" s="328">
        <v>0</v>
      </c>
      <c r="AB326" s="328">
        <v>0</v>
      </c>
      <c r="AC326" s="328">
        <v>0</v>
      </c>
      <c r="AD326" s="328">
        <v>0</v>
      </c>
      <c r="AE326" s="328">
        <v>0</v>
      </c>
      <c r="AF326" s="328">
        <v>0</v>
      </c>
      <c r="AG326" s="328">
        <v>0</v>
      </c>
      <c r="AH326" s="329">
        <f t="shared" ref="AH326:AH359" si="11">SUM(U326:AG326)</f>
        <v>0</v>
      </c>
    </row>
    <row r="327" spans="1:34" x14ac:dyDescent="0.2">
      <c r="A327" s="20" t="str">
        <f>'School Level Inst. Resources'!A327</f>
        <v>2001000</v>
      </c>
      <c r="B327" s="20" t="str">
        <f>'School Level Inst. Resources'!B327</f>
        <v>Teton #1</v>
      </c>
      <c r="C327" s="20" t="str">
        <f>'School Level Inst. Resources'!C327</f>
        <v>2001004</v>
      </c>
      <c r="D327" s="20" t="str">
        <f>'School Level Inst. Resources'!D327</f>
        <v>Moran Elementary</v>
      </c>
      <c r="E327" s="138" t="str">
        <f>'School Level Inst. Resources'!E327</f>
        <v>K-5</v>
      </c>
      <c r="F327" s="328">
        <v>0</v>
      </c>
      <c r="G327" s="328">
        <v>0</v>
      </c>
      <c r="H327" s="328">
        <v>0</v>
      </c>
      <c r="I327" s="328">
        <v>0</v>
      </c>
      <c r="J327" s="328">
        <v>0</v>
      </c>
      <c r="K327" s="328">
        <v>0</v>
      </c>
      <c r="L327" s="328">
        <v>0</v>
      </c>
      <c r="M327" s="328">
        <v>0</v>
      </c>
      <c r="N327" s="328">
        <v>0</v>
      </c>
      <c r="O327" s="328">
        <v>0</v>
      </c>
      <c r="P327" s="328">
        <v>0</v>
      </c>
      <c r="Q327" s="328">
        <v>0</v>
      </c>
      <c r="R327" s="328">
        <v>0</v>
      </c>
      <c r="S327" s="329">
        <f t="shared" si="10"/>
        <v>0</v>
      </c>
      <c r="T327" s="327"/>
      <c r="U327" s="328">
        <v>0</v>
      </c>
      <c r="V327" s="328">
        <v>0</v>
      </c>
      <c r="W327" s="328">
        <v>0</v>
      </c>
      <c r="X327" s="328">
        <v>0</v>
      </c>
      <c r="Y327" s="328">
        <v>0</v>
      </c>
      <c r="Z327" s="328">
        <v>0</v>
      </c>
      <c r="AA327" s="328">
        <v>0</v>
      </c>
      <c r="AB327" s="328">
        <v>0</v>
      </c>
      <c r="AC327" s="328">
        <v>0</v>
      </c>
      <c r="AD327" s="328">
        <v>0</v>
      </c>
      <c r="AE327" s="328">
        <v>0</v>
      </c>
      <c r="AF327" s="328">
        <v>0</v>
      </c>
      <c r="AG327" s="328">
        <v>0</v>
      </c>
      <c r="AH327" s="329">
        <f t="shared" si="11"/>
        <v>0</v>
      </c>
    </row>
    <row r="328" spans="1:34" x14ac:dyDescent="0.2">
      <c r="A328" s="20" t="str">
        <f>'School Level Inst. Resources'!A328</f>
        <v>2001000</v>
      </c>
      <c r="B328" s="20" t="str">
        <f>'School Level Inst. Resources'!B328</f>
        <v>Teton #1</v>
      </c>
      <c r="C328" s="20" t="str">
        <f>'School Level Inst. Resources'!C328</f>
        <v>2001005</v>
      </c>
      <c r="D328" s="20" t="str">
        <f>'School Level Inst. Resources'!D328</f>
        <v>Wilson Elementary</v>
      </c>
      <c r="E328" s="138" t="str">
        <f>'School Level Inst. Resources'!E328</f>
        <v>K-5</v>
      </c>
      <c r="F328" s="328">
        <v>1</v>
      </c>
      <c r="G328" s="328">
        <v>5</v>
      </c>
      <c r="H328" s="328">
        <v>4</v>
      </c>
      <c r="I328" s="328">
        <v>4</v>
      </c>
      <c r="J328" s="328">
        <v>3</v>
      </c>
      <c r="K328" s="328">
        <v>0</v>
      </c>
      <c r="L328" s="328">
        <v>0</v>
      </c>
      <c r="M328" s="328">
        <v>0</v>
      </c>
      <c r="N328" s="328">
        <v>0</v>
      </c>
      <c r="O328" s="328">
        <v>0</v>
      </c>
      <c r="P328" s="328">
        <v>0</v>
      </c>
      <c r="Q328" s="328">
        <v>0</v>
      </c>
      <c r="R328" s="328">
        <v>0</v>
      </c>
      <c r="S328" s="329">
        <f t="shared" si="10"/>
        <v>17</v>
      </c>
      <c r="T328" s="327"/>
      <c r="U328" s="328">
        <v>0</v>
      </c>
      <c r="V328" s="328">
        <v>1</v>
      </c>
      <c r="W328" s="328">
        <v>0</v>
      </c>
      <c r="X328" s="328">
        <v>0</v>
      </c>
      <c r="Y328" s="328">
        <v>0</v>
      </c>
      <c r="Z328" s="328">
        <v>0</v>
      </c>
      <c r="AA328" s="328">
        <v>0</v>
      </c>
      <c r="AB328" s="328">
        <v>0</v>
      </c>
      <c r="AC328" s="328">
        <v>0</v>
      </c>
      <c r="AD328" s="328">
        <v>0</v>
      </c>
      <c r="AE328" s="328">
        <v>0</v>
      </c>
      <c r="AF328" s="328">
        <v>0</v>
      </c>
      <c r="AG328" s="328">
        <v>0</v>
      </c>
      <c r="AH328" s="329">
        <f t="shared" si="11"/>
        <v>1</v>
      </c>
    </row>
    <row r="329" spans="1:34" x14ac:dyDescent="0.2">
      <c r="A329" s="20" t="str">
        <f>'School Level Inst. Resources'!A329</f>
        <v>2001000</v>
      </c>
      <c r="B329" s="20" t="str">
        <f>'School Level Inst. Resources'!B329</f>
        <v>Teton #1</v>
      </c>
      <c r="C329" s="20" t="str">
        <f>'School Level Inst. Resources'!C329</f>
        <v>2001009</v>
      </c>
      <c r="D329" s="20" t="str">
        <f>'School Level Inst. Resources'!D329</f>
        <v>Colter Elementary</v>
      </c>
      <c r="E329" s="138" t="str">
        <f>'School Level Inst. Resources'!E329</f>
        <v>K-5</v>
      </c>
      <c r="F329" s="328">
        <v>0</v>
      </c>
      <c r="G329" s="328">
        <v>0</v>
      </c>
      <c r="H329" s="328">
        <v>0</v>
      </c>
      <c r="I329" s="328">
        <v>81</v>
      </c>
      <c r="J329" s="328">
        <v>83</v>
      </c>
      <c r="K329" s="328">
        <v>71</v>
      </c>
      <c r="L329" s="328">
        <v>0</v>
      </c>
      <c r="M329" s="328">
        <v>0</v>
      </c>
      <c r="N329" s="328">
        <v>0</v>
      </c>
      <c r="O329" s="328">
        <v>0</v>
      </c>
      <c r="P329" s="328">
        <v>0</v>
      </c>
      <c r="Q329" s="328">
        <v>0</v>
      </c>
      <c r="R329" s="328">
        <v>0</v>
      </c>
      <c r="S329" s="329">
        <f t="shared" si="10"/>
        <v>235</v>
      </c>
      <c r="T329" s="327"/>
      <c r="U329" s="328">
        <v>0</v>
      </c>
      <c r="V329" s="328">
        <v>0</v>
      </c>
      <c r="W329" s="328">
        <v>0</v>
      </c>
      <c r="X329" s="328">
        <v>70</v>
      </c>
      <c r="Y329" s="328">
        <v>73</v>
      </c>
      <c r="Z329" s="328">
        <v>53</v>
      </c>
      <c r="AA329" s="328">
        <v>0</v>
      </c>
      <c r="AB329" s="328">
        <v>0</v>
      </c>
      <c r="AC329" s="328">
        <v>0</v>
      </c>
      <c r="AD329" s="328">
        <v>0</v>
      </c>
      <c r="AE329" s="328">
        <v>0</v>
      </c>
      <c r="AF329" s="328">
        <v>0</v>
      </c>
      <c r="AG329" s="328">
        <v>0</v>
      </c>
      <c r="AH329" s="329">
        <f t="shared" si="11"/>
        <v>196</v>
      </c>
    </row>
    <row r="330" spans="1:34" x14ac:dyDescent="0.2">
      <c r="A330" s="20" t="str">
        <f>'School Level Inst. Resources'!A330</f>
        <v>2001000</v>
      </c>
      <c r="B330" s="20" t="str">
        <f>'School Level Inst. Resources'!B330</f>
        <v>Teton #1</v>
      </c>
      <c r="C330" s="20" t="str">
        <f>'School Level Inst. Resources'!C330</f>
        <v>2001010</v>
      </c>
      <c r="D330" s="20" t="str">
        <f>'School Level Inst. Resources'!D330</f>
        <v>Jackson Elementary</v>
      </c>
      <c r="E330" s="138" t="str">
        <f>'School Level Inst. Resources'!E330</f>
        <v>K-5</v>
      </c>
      <c r="F330" s="328">
        <v>68</v>
      </c>
      <c r="G330" s="328">
        <v>75</v>
      </c>
      <c r="H330" s="328">
        <v>90</v>
      </c>
      <c r="I330" s="328">
        <v>0</v>
      </c>
      <c r="J330" s="328">
        <v>0</v>
      </c>
      <c r="K330" s="328">
        <v>0</v>
      </c>
      <c r="L330" s="328">
        <v>0</v>
      </c>
      <c r="M330" s="328">
        <v>0</v>
      </c>
      <c r="N330" s="328">
        <v>0</v>
      </c>
      <c r="O330" s="328">
        <v>0</v>
      </c>
      <c r="P330" s="328">
        <v>0</v>
      </c>
      <c r="Q330" s="328">
        <v>0</v>
      </c>
      <c r="R330" s="328">
        <v>0</v>
      </c>
      <c r="S330" s="329">
        <f t="shared" si="10"/>
        <v>233</v>
      </c>
      <c r="T330" s="327"/>
      <c r="U330" s="328">
        <v>65</v>
      </c>
      <c r="V330" s="328">
        <v>64</v>
      </c>
      <c r="W330" s="328">
        <v>80</v>
      </c>
      <c r="X330" s="328">
        <v>0</v>
      </c>
      <c r="Y330" s="328">
        <v>0</v>
      </c>
      <c r="Z330" s="328">
        <v>0</v>
      </c>
      <c r="AA330" s="328">
        <v>0</v>
      </c>
      <c r="AB330" s="328">
        <v>0</v>
      </c>
      <c r="AC330" s="328">
        <v>0</v>
      </c>
      <c r="AD330" s="328">
        <v>0</v>
      </c>
      <c r="AE330" s="328">
        <v>0</v>
      </c>
      <c r="AF330" s="328">
        <v>0</v>
      </c>
      <c r="AG330" s="328">
        <v>0</v>
      </c>
      <c r="AH330" s="329">
        <f t="shared" si="11"/>
        <v>209</v>
      </c>
    </row>
    <row r="331" spans="1:34" x14ac:dyDescent="0.2">
      <c r="A331" s="20" t="str">
        <f>'School Level Inst. Resources'!A331</f>
        <v>2001000</v>
      </c>
      <c r="B331" s="20" t="str">
        <f>'School Level Inst. Resources'!B331</f>
        <v>Teton #1</v>
      </c>
      <c r="C331" s="20" t="str">
        <f>'School Level Inst. Resources'!C331</f>
        <v>2001050</v>
      </c>
      <c r="D331" s="20" t="str">
        <f>'School Level Inst. Resources'!D331</f>
        <v>Jackson Hole Middle School</v>
      </c>
      <c r="E331" s="138" t="str">
        <f>'School Level Inst. Resources'!E331</f>
        <v>6-8</v>
      </c>
      <c r="F331" s="328">
        <v>0</v>
      </c>
      <c r="G331" s="328">
        <v>0</v>
      </c>
      <c r="H331" s="328">
        <v>0</v>
      </c>
      <c r="I331" s="328">
        <v>0</v>
      </c>
      <c r="J331" s="328">
        <v>0</v>
      </c>
      <c r="K331" s="328">
        <v>0</v>
      </c>
      <c r="L331" s="328">
        <v>78</v>
      </c>
      <c r="M331" s="328">
        <v>61</v>
      </c>
      <c r="N331" s="328">
        <v>48</v>
      </c>
      <c r="O331" s="328">
        <v>0</v>
      </c>
      <c r="P331" s="328">
        <v>0</v>
      </c>
      <c r="Q331" s="328">
        <v>0</v>
      </c>
      <c r="R331" s="328">
        <v>0</v>
      </c>
      <c r="S331" s="329">
        <f t="shared" si="10"/>
        <v>187</v>
      </c>
      <c r="T331" s="327"/>
      <c r="U331" s="328">
        <v>0</v>
      </c>
      <c r="V331" s="328">
        <v>0</v>
      </c>
      <c r="W331" s="328">
        <v>0</v>
      </c>
      <c r="X331" s="328">
        <v>0</v>
      </c>
      <c r="Y331" s="328">
        <v>0</v>
      </c>
      <c r="Z331" s="328">
        <v>0</v>
      </c>
      <c r="AA331" s="328">
        <v>34</v>
      </c>
      <c r="AB331" s="328">
        <v>27</v>
      </c>
      <c r="AC331" s="328">
        <v>17</v>
      </c>
      <c r="AD331" s="328">
        <v>0</v>
      </c>
      <c r="AE331" s="328">
        <v>0</v>
      </c>
      <c r="AF331" s="328">
        <v>0</v>
      </c>
      <c r="AG331" s="328">
        <v>0</v>
      </c>
      <c r="AH331" s="329">
        <f t="shared" si="11"/>
        <v>78</v>
      </c>
    </row>
    <row r="332" spans="1:34" x14ac:dyDescent="0.2">
      <c r="A332" s="20" t="str">
        <f>'School Level Inst. Resources'!A332</f>
        <v>2001000</v>
      </c>
      <c r="B332" s="20" t="str">
        <f>'School Level Inst. Resources'!B332</f>
        <v>Teton #1</v>
      </c>
      <c r="C332" s="20" t="str">
        <f>'School Level Inst. Resources'!C332</f>
        <v>2001055</v>
      </c>
      <c r="D332" s="20" t="str">
        <f>'School Level Inst. Resources'!D332</f>
        <v>Jackson Hole High School</v>
      </c>
      <c r="E332" s="138" t="str">
        <f>'School Level Inst. Resources'!E332</f>
        <v>9-12</v>
      </c>
      <c r="F332" s="328">
        <v>0</v>
      </c>
      <c r="G332" s="328">
        <v>0</v>
      </c>
      <c r="H332" s="328">
        <v>0</v>
      </c>
      <c r="I332" s="328">
        <v>0</v>
      </c>
      <c r="J332" s="328">
        <v>0</v>
      </c>
      <c r="K332" s="328">
        <v>0</v>
      </c>
      <c r="L332" s="328">
        <v>0</v>
      </c>
      <c r="M332" s="328">
        <v>0</v>
      </c>
      <c r="N332" s="328">
        <v>0</v>
      </c>
      <c r="O332" s="328">
        <v>61</v>
      </c>
      <c r="P332" s="328">
        <v>52</v>
      </c>
      <c r="Q332" s="328">
        <v>45</v>
      </c>
      <c r="R332" s="328">
        <v>20</v>
      </c>
      <c r="S332" s="329">
        <f t="shared" si="10"/>
        <v>178</v>
      </c>
      <c r="T332" s="327"/>
      <c r="U332" s="328">
        <v>0</v>
      </c>
      <c r="V332" s="328">
        <v>0</v>
      </c>
      <c r="W332" s="328">
        <v>0</v>
      </c>
      <c r="X332" s="328">
        <v>0</v>
      </c>
      <c r="Y332" s="328">
        <v>0</v>
      </c>
      <c r="Z332" s="328">
        <v>0</v>
      </c>
      <c r="AA332" s="328">
        <v>0</v>
      </c>
      <c r="AB332" s="328">
        <v>0</v>
      </c>
      <c r="AC332" s="328">
        <v>0</v>
      </c>
      <c r="AD332" s="328">
        <v>20</v>
      </c>
      <c r="AE332" s="328">
        <v>17</v>
      </c>
      <c r="AF332" s="328">
        <v>19</v>
      </c>
      <c r="AG332" s="328">
        <v>6</v>
      </c>
      <c r="AH332" s="329">
        <f t="shared" si="11"/>
        <v>62</v>
      </c>
    </row>
    <row r="333" spans="1:34" x14ac:dyDescent="0.2">
      <c r="A333" s="20" t="str">
        <f>'School Level Inst. Resources'!A333</f>
        <v>2001000</v>
      </c>
      <c r="B333" s="20" t="str">
        <f>'School Level Inst. Resources'!B333</f>
        <v>Teton #1</v>
      </c>
      <c r="C333" s="20" t="str">
        <f>'School Level Inst. Resources'!C333</f>
        <v>2001056</v>
      </c>
      <c r="D333" s="20" t="str">
        <f>'School Level Inst. Resources'!D333</f>
        <v>Summit High School</v>
      </c>
      <c r="E333" s="138" t="str">
        <f>'School Level Inst. Resources'!E333</f>
        <v>9-12</v>
      </c>
      <c r="F333" s="328">
        <v>0</v>
      </c>
      <c r="G333" s="328">
        <v>0</v>
      </c>
      <c r="H333" s="328">
        <v>0</v>
      </c>
      <c r="I333" s="328">
        <v>0</v>
      </c>
      <c r="J333" s="328">
        <v>0</v>
      </c>
      <c r="K333" s="328">
        <v>0</v>
      </c>
      <c r="L333" s="328">
        <v>0</v>
      </c>
      <c r="M333" s="328">
        <v>0</v>
      </c>
      <c r="N333" s="328">
        <v>0</v>
      </c>
      <c r="O333" s="328">
        <v>2</v>
      </c>
      <c r="P333" s="328">
        <v>12</v>
      </c>
      <c r="Q333" s="328">
        <v>24</v>
      </c>
      <c r="R333" s="328">
        <v>11</v>
      </c>
      <c r="S333" s="329">
        <f t="shared" si="10"/>
        <v>49</v>
      </c>
      <c r="T333" s="327"/>
      <c r="U333" s="328">
        <v>0</v>
      </c>
      <c r="V333" s="328">
        <v>0</v>
      </c>
      <c r="W333" s="328">
        <v>0</v>
      </c>
      <c r="X333" s="328">
        <v>0</v>
      </c>
      <c r="Y333" s="328">
        <v>0</v>
      </c>
      <c r="Z333" s="328">
        <v>0</v>
      </c>
      <c r="AA333" s="328">
        <v>0</v>
      </c>
      <c r="AB333" s="328">
        <v>0</v>
      </c>
      <c r="AC333" s="328">
        <v>0</v>
      </c>
      <c r="AD333" s="328">
        <v>0</v>
      </c>
      <c r="AE333" s="328">
        <v>3</v>
      </c>
      <c r="AF333" s="328">
        <v>11</v>
      </c>
      <c r="AG333" s="328">
        <v>2</v>
      </c>
      <c r="AH333" s="329">
        <f t="shared" si="11"/>
        <v>16</v>
      </c>
    </row>
    <row r="334" spans="1:34" x14ac:dyDescent="0.2">
      <c r="A334" s="20" t="str">
        <f>'School Level Inst. Resources'!A334</f>
        <v>2101000</v>
      </c>
      <c r="B334" s="20" t="str">
        <f>'School Level Inst. Resources'!B334</f>
        <v>Uinta #1</v>
      </c>
      <c r="C334" s="20" t="str">
        <f>'School Level Inst. Resources'!C334</f>
        <v>2101002</v>
      </c>
      <c r="D334" s="20" t="str">
        <f>'School Level Inst. Resources'!D334</f>
        <v>Clark Elementary</v>
      </c>
      <c r="E334" s="138" t="str">
        <f>'School Level Inst. Resources'!E334</f>
        <v>K-5</v>
      </c>
      <c r="F334" s="328">
        <v>21</v>
      </c>
      <c r="G334" s="328">
        <v>18</v>
      </c>
      <c r="H334" s="328">
        <v>12</v>
      </c>
      <c r="I334" s="328">
        <v>22</v>
      </c>
      <c r="J334" s="328">
        <v>18</v>
      </c>
      <c r="K334" s="328">
        <v>12</v>
      </c>
      <c r="L334" s="328">
        <v>0</v>
      </c>
      <c r="M334" s="328">
        <v>0</v>
      </c>
      <c r="N334" s="328">
        <v>0</v>
      </c>
      <c r="O334" s="328">
        <v>0</v>
      </c>
      <c r="P334" s="328">
        <v>0</v>
      </c>
      <c r="Q334" s="328">
        <v>0</v>
      </c>
      <c r="R334" s="328">
        <v>0</v>
      </c>
      <c r="S334" s="329">
        <f t="shared" si="10"/>
        <v>103</v>
      </c>
      <c r="T334" s="327"/>
      <c r="U334" s="328">
        <v>2</v>
      </c>
      <c r="V334" s="328">
        <v>6</v>
      </c>
      <c r="W334" s="328">
        <v>1</v>
      </c>
      <c r="X334" s="328">
        <v>0</v>
      </c>
      <c r="Y334" s="328">
        <v>0</v>
      </c>
      <c r="Z334" s="328">
        <v>1</v>
      </c>
      <c r="AA334" s="328">
        <v>0</v>
      </c>
      <c r="AB334" s="328">
        <v>0</v>
      </c>
      <c r="AC334" s="328">
        <v>0</v>
      </c>
      <c r="AD334" s="328">
        <v>0</v>
      </c>
      <c r="AE334" s="328">
        <v>0</v>
      </c>
      <c r="AF334" s="328">
        <v>0</v>
      </c>
      <c r="AG334" s="328">
        <v>0</v>
      </c>
      <c r="AH334" s="329">
        <f t="shared" si="11"/>
        <v>10</v>
      </c>
    </row>
    <row r="335" spans="1:34" x14ac:dyDescent="0.2">
      <c r="A335" s="20" t="str">
        <f>'School Level Inst. Resources'!A335</f>
        <v>2101000</v>
      </c>
      <c r="B335" s="20" t="str">
        <f>'School Level Inst. Resources'!B335</f>
        <v>Uinta #1</v>
      </c>
      <c r="C335" s="20" t="str">
        <f>'School Level Inst. Resources'!C335</f>
        <v>2101004</v>
      </c>
      <c r="D335" s="20" t="str">
        <f>'School Level Inst. Resources'!D335</f>
        <v>Uinta Meadows Elementary</v>
      </c>
      <c r="E335" s="138" t="str">
        <f>'School Level Inst. Resources'!E335</f>
        <v>K-5</v>
      </c>
      <c r="F335" s="328">
        <v>40</v>
      </c>
      <c r="G335" s="328">
        <v>33</v>
      </c>
      <c r="H335" s="328">
        <v>35</v>
      </c>
      <c r="I335" s="328">
        <v>42</v>
      </c>
      <c r="J335" s="328">
        <v>37</v>
      </c>
      <c r="K335" s="328">
        <v>48</v>
      </c>
      <c r="L335" s="328">
        <v>0</v>
      </c>
      <c r="M335" s="328">
        <v>0</v>
      </c>
      <c r="N335" s="328">
        <v>0</v>
      </c>
      <c r="O335" s="328">
        <v>0</v>
      </c>
      <c r="P335" s="328">
        <v>0</v>
      </c>
      <c r="Q335" s="328">
        <v>0</v>
      </c>
      <c r="R335" s="328">
        <v>0</v>
      </c>
      <c r="S335" s="329">
        <f t="shared" si="10"/>
        <v>235</v>
      </c>
      <c r="T335" s="327"/>
      <c r="U335" s="328">
        <v>13</v>
      </c>
      <c r="V335" s="328">
        <v>6</v>
      </c>
      <c r="W335" s="328">
        <v>8</v>
      </c>
      <c r="X335" s="328">
        <v>9</v>
      </c>
      <c r="Y335" s="328">
        <v>6</v>
      </c>
      <c r="Z335" s="328">
        <v>6</v>
      </c>
      <c r="AA335" s="328">
        <v>0</v>
      </c>
      <c r="AB335" s="328">
        <v>0</v>
      </c>
      <c r="AC335" s="328">
        <v>0</v>
      </c>
      <c r="AD335" s="328">
        <v>0</v>
      </c>
      <c r="AE335" s="328">
        <v>0</v>
      </c>
      <c r="AF335" s="328">
        <v>0</v>
      </c>
      <c r="AG335" s="328">
        <v>0</v>
      </c>
      <c r="AH335" s="329">
        <f t="shared" si="11"/>
        <v>48</v>
      </c>
    </row>
    <row r="336" spans="1:34" x14ac:dyDescent="0.2">
      <c r="A336" s="20" t="str">
        <f>'School Level Inst. Resources'!A336</f>
        <v>2101000</v>
      </c>
      <c r="B336" s="20" t="str">
        <f>'School Level Inst. Resources'!B336</f>
        <v>Uinta #1</v>
      </c>
      <c r="C336" s="20" t="str">
        <f>'School Level Inst. Resources'!C336</f>
        <v>2101005</v>
      </c>
      <c r="D336" s="20" t="str">
        <f>'School Level Inst. Resources'!D336</f>
        <v>North Evanston Elementary</v>
      </c>
      <c r="E336" s="138" t="str">
        <f>'School Level Inst. Resources'!E336</f>
        <v>K-5</v>
      </c>
      <c r="F336" s="328">
        <v>36</v>
      </c>
      <c r="G336" s="328">
        <v>31</v>
      </c>
      <c r="H336" s="328">
        <v>30</v>
      </c>
      <c r="I336" s="328">
        <v>41</v>
      </c>
      <c r="J336" s="328">
        <v>34</v>
      </c>
      <c r="K336" s="328">
        <v>28</v>
      </c>
      <c r="L336" s="328">
        <v>0</v>
      </c>
      <c r="M336" s="328">
        <v>0</v>
      </c>
      <c r="N336" s="328">
        <v>0</v>
      </c>
      <c r="O336" s="328">
        <v>0</v>
      </c>
      <c r="P336" s="328">
        <v>0</v>
      </c>
      <c r="Q336" s="328">
        <v>0</v>
      </c>
      <c r="R336" s="328">
        <v>0</v>
      </c>
      <c r="S336" s="329">
        <f t="shared" si="10"/>
        <v>200</v>
      </c>
      <c r="T336" s="327"/>
      <c r="U336" s="328">
        <v>12</v>
      </c>
      <c r="V336" s="328">
        <v>13</v>
      </c>
      <c r="W336" s="328">
        <v>11</v>
      </c>
      <c r="X336" s="328">
        <v>8</v>
      </c>
      <c r="Y336" s="328">
        <v>11</v>
      </c>
      <c r="Z336" s="328">
        <v>10</v>
      </c>
      <c r="AA336" s="328">
        <v>0</v>
      </c>
      <c r="AB336" s="328">
        <v>0</v>
      </c>
      <c r="AC336" s="328">
        <v>0</v>
      </c>
      <c r="AD336" s="328">
        <v>0</v>
      </c>
      <c r="AE336" s="328">
        <v>0</v>
      </c>
      <c r="AF336" s="328">
        <v>0</v>
      </c>
      <c r="AG336" s="328">
        <v>0</v>
      </c>
      <c r="AH336" s="329">
        <f t="shared" si="11"/>
        <v>65</v>
      </c>
    </row>
    <row r="337" spans="1:34" x14ac:dyDescent="0.2">
      <c r="A337" s="20" t="str">
        <f>'School Level Inst. Resources'!A337</f>
        <v>2101000</v>
      </c>
      <c r="B337" s="20" t="str">
        <f>'School Level Inst. Resources'!B337</f>
        <v>Uinta #1</v>
      </c>
      <c r="C337" s="20" t="str">
        <f>'School Level Inst. Resources'!C337</f>
        <v>2101006</v>
      </c>
      <c r="D337" s="20" t="str">
        <f>'School Level Inst. Resources'!D337</f>
        <v>Aspen Elementary</v>
      </c>
      <c r="E337" s="138" t="str">
        <f>'School Level Inst. Resources'!E337</f>
        <v>K-5</v>
      </c>
      <c r="F337" s="328">
        <v>15</v>
      </c>
      <c r="G337" s="328">
        <v>29</v>
      </c>
      <c r="H337" s="328">
        <v>35</v>
      </c>
      <c r="I337" s="328">
        <v>22</v>
      </c>
      <c r="J337" s="328">
        <v>23</v>
      </c>
      <c r="K337" s="328">
        <v>17</v>
      </c>
      <c r="L337" s="328">
        <v>0</v>
      </c>
      <c r="M337" s="328">
        <v>0</v>
      </c>
      <c r="N337" s="328">
        <v>0</v>
      </c>
      <c r="O337" s="328">
        <v>0</v>
      </c>
      <c r="P337" s="328">
        <v>0</v>
      </c>
      <c r="Q337" s="328">
        <v>0</v>
      </c>
      <c r="R337" s="328">
        <v>0</v>
      </c>
      <c r="S337" s="329">
        <f t="shared" si="10"/>
        <v>141</v>
      </c>
      <c r="T337" s="327"/>
      <c r="U337" s="328">
        <v>2</v>
      </c>
      <c r="V337" s="328">
        <v>6</v>
      </c>
      <c r="W337" s="328">
        <v>10</v>
      </c>
      <c r="X337" s="328">
        <v>6</v>
      </c>
      <c r="Y337" s="328">
        <v>2</v>
      </c>
      <c r="Z337" s="328">
        <v>2</v>
      </c>
      <c r="AA337" s="328">
        <v>0</v>
      </c>
      <c r="AB337" s="328">
        <v>0</v>
      </c>
      <c r="AC337" s="328">
        <v>0</v>
      </c>
      <c r="AD337" s="328">
        <v>0</v>
      </c>
      <c r="AE337" s="328">
        <v>0</v>
      </c>
      <c r="AF337" s="328">
        <v>0</v>
      </c>
      <c r="AG337" s="328">
        <v>0</v>
      </c>
      <c r="AH337" s="329">
        <f t="shared" si="11"/>
        <v>28</v>
      </c>
    </row>
    <row r="338" spans="1:34" x14ac:dyDescent="0.2">
      <c r="A338" s="20" t="str">
        <f>'School Level Inst. Resources'!A338</f>
        <v>2101000</v>
      </c>
      <c r="B338" s="20" t="str">
        <f>'School Level Inst. Resources'!B338</f>
        <v>Uinta #1</v>
      </c>
      <c r="C338" s="20" t="str">
        <f>'School Level Inst. Resources'!C338</f>
        <v>2101050</v>
      </c>
      <c r="D338" s="20" t="str">
        <f>'School Level Inst. Resources'!D338</f>
        <v>Davis Middle School</v>
      </c>
      <c r="E338" s="138" t="str">
        <f>'School Level Inst. Resources'!E338</f>
        <v>6-8</v>
      </c>
      <c r="F338" s="328">
        <v>0</v>
      </c>
      <c r="G338" s="328">
        <v>0</v>
      </c>
      <c r="H338" s="328">
        <v>0</v>
      </c>
      <c r="I338" s="328">
        <v>0</v>
      </c>
      <c r="J338" s="328">
        <v>0</v>
      </c>
      <c r="K338" s="328">
        <v>0</v>
      </c>
      <c r="L338" s="328">
        <v>47</v>
      </c>
      <c r="M338" s="328">
        <v>49</v>
      </c>
      <c r="N338" s="328">
        <v>51</v>
      </c>
      <c r="O338" s="328">
        <v>0</v>
      </c>
      <c r="P338" s="328">
        <v>0</v>
      </c>
      <c r="Q338" s="328">
        <v>0</v>
      </c>
      <c r="R338" s="328">
        <v>0</v>
      </c>
      <c r="S338" s="329">
        <f t="shared" si="10"/>
        <v>147</v>
      </c>
      <c r="T338" s="327"/>
      <c r="U338" s="328">
        <v>0</v>
      </c>
      <c r="V338" s="328">
        <v>0</v>
      </c>
      <c r="W338" s="328">
        <v>0</v>
      </c>
      <c r="X338" s="328">
        <v>0</v>
      </c>
      <c r="Y338" s="328">
        <v>0</v>
      </c>
      <c r="Z338" s="328">
        <v>0</v>
      </c>
      <c r="AA338" s="328">
        <v>4</v>
      </c>
      <c r="AB338" s="328">
        <v>4</v>
      </c>
      <c r="AC338" s="328">
        <v>1</v>
      </c>
      <c r="AD338" s="328">
        <v>0</v>
      </c>
      <c r="AE338" s="328">
        <v>0</v>
      </c>
      <c r="AF338" s="328">
        <v>0</v>
      </c>
      <c r="AG338" s="328">
        <v>0</v>
      </c>
      <c r="AH338" s="329">
        <f t="shared" si="11"/>
        <v>9</v>
      </c>
    </row>
    <row r="339" spans="1:34" x14ac:dyDescent="0.2">
      <c r="A339" s="20" t="str">
        <f>'School Level Inst. Resources'!A339</f>
        <v>2101000</v>
      </c>
      <c r="B339" s="20" t="str">
        <f>'School Level Inst. Resources'!B339</f>
        <v>Uinta #1</v>
      </c>
      <c r="C339" s="20" t="str">
        <f>'School Level Inst. Resources'!C339</f>
        <v>2101051</v>
      </c>
      <c r="D339" s="20" t="str">
        <f>'School Level Inst. Resources'!D339</f>
        <v>Evanston Middle School</v>
      </c>
      <c r="E339" s="138" t="str">
        <f>'School Level Inst. Resources'!E339</f>
        <v>6-8</v>
      </c>
      <c r="F339" s="328">
        <v>0</v>
      </c>
      <c r="G339" s="328">
        <v>0</v>
      </c>
      <c r="H339" s="328">
        <v>0</v>
      </c>
      <c r="I339" s="328">
        <v>0</v>
      </c>
      <c r="J339" s="328">
        <v>0</v>
      </c>
      <c r="K339" s="328">
        <v>0</v>
      </c>
      <c r="L339" s="328">
        <v>63</v>
      </c>
      <c r="M339" s="328">
        <v>41</v>
      </c>
      <c r="N339" s="328">
        <v>61</v>
      </c>
      <c r="O339" s="328">
        <v>0</v>
      </c>
      <c r="P339" s="328">
        <v>0</v>
      </c>
      <c r="Q339" s="328">
        <v>0</v>
      </c>
      <c r="R339" s="328">
        <v>0</v>
      </c>
      <c r="S339" s="329">
        <f t="shared" si="10"/>
        <v>165</v>
      </c>
      <c r="T339" s="327"/>
      <c r="U339" s="328">
        <v>0</v>
      </c>
      <c r="V339" s="328">
        <v>0</v>
      </c>
      <c r="W339" s="328">
        <v>0</v>
      </c>
      <c r="X339" s="328">
        <v>0</v>
      </c>
      <c r="Y339" s="328">
        <v>0</v>
      </c>
      <c r="Z339" s="328">
        <v>0</v>
      </c>
      <c r="AA339" s="328">
        <v>12</v>
      </c>
      <c r="AB339" s="328">
        <v>2</v>
      </c>
      <c r="AC339" s="328">
        <v>7</v>
      </c>
      <c r="AD339" s="328">
        <v>0</v>
      </c>
      <c r="AE339" s="328">
        <v>0</v>
      </c>
      <c r="AF339" s="328">
        <v>0</v>
      </c>
      <c r="AG339" s="328">
        <v>0</v>
      </c>
      <c r="AH339" s="329">
        <f t="shared" si="11"/>
        <v>21</v>
      </c>
    </row>
    <row r="340" spans="1:34" x14ac:dyDescent="0.2">
      <c r="A340" s="20" t="str">
        <f>'School Level Inst. Resources'!A340</f>
        <v>2101000</v>
      </c>
      <c r="B340" s="20" t="str">
        <f>'School Level Inst. Resources'!B340</f>
        <v>Uinta #1</v>
      </c>
      <c r="C340" s="20" t="str">
        <f>'School Level Inst. Resources'!C340</f>
        <v>2101055</v>
      </c>
      <c r="D340" s="20" t="str">
        <f>'School Level Inst. Resources'!D340</f>
        <v>Evanston High School</v>
      </c>
      <c r="E340" s="138" t="str">
        <f>'School Level Inst. Resources'!E340</f>
        <v>9-12</v>
      </c>
      <c r="F340" s="328">
        <v>0</v>
      </c>
      <c r="G340" s="328">
        <v>0</v>
      </c>
      <c r="H340" s="328">
        <v>0</v>
      </c>
      <c r="I340" s="328">
        <v>0</v>
      </c>
      <c r="J340" s="328">
        <v>0</v>
      </c>
      <c r="K340" s="328">
        <v>0</v>
      </c>
      <c r="L340" s="328">
        <v>0</v>
      </c>
      <c r="M340" s="328">
        <v>0</v>
      </c>
      <c r="N340" s="328">
        <v>0</v>
      </c>
      <c r="O340" s="328">
        <v>95</v>
      </c>
      <c r="P340" s="328">
        <v>75</v>
      </c>
      <c r="Q340" s="328">
        <v>62</v>
      </c>
      <c r="R340" s="328">
        <v>49</v>
      </c>
      <c r="S340" s="329">
        <f t="shared" si="10"/>
        <v>281</v>
      </c>
      <c r="T340" s="327"/>
      <c r="U340" s="328">
        <v>0</v>
      </c>
      <c r="V340" s="328">
        <v>0</v>
      </c>
      <c r="W340" s="328">
        <v>0</v>
      </c>
      <c r="X340" s="328">
        <v>0</v>
      </c>
      <c r="Y340" s="328">
        <v>0</v>
      </c>
      <c r="Z340" s="328">
        <v>0</v>
      </c>
      <c r="AA340" s="328">
        <v>0</v>
      </c>
      <c r="AB340" s="328">
        <v>0</v>
      </c>
      <c r="AC340" s="328">
        <v>0</v>
      </c>
      <c r="AD340" s="328">
        <v>13</v>
      </c>
      <c r="AE340" s="328">
        <v>9</v>
      </c>
      <c r="AF340" s="328">
        <v>8</v>
      </c>
      <c r="AG340" s="328">
        <v>8</v>
      </c>
      <c r="AH340" s="329">
        <f t="shared" si="11"/>
        <v>38</v>
      </c>
    </row>
    <row r="341" spans="1:34" x14ac:dyDescent="0.2">
      <c r="A341" s="20" t="str">
        <f>'School Level Inst. Resources'!A341</f>
        <v>2101000</v>
      </c>
      <c r="B341" s="20" t="str">
        <f>'School Level Inst. Resources'!B341</f>
        <v>Uinta #1</v>
      </c>
      <c r="C341" s="20" t="str">
        <f>'School Level Inst. Resources'!C341</f>
        <v>2101056</v>
      </c>
      <c r="D341" s="20" t="str">
        <f>'School Level Inst. Resources'!D341</f>
        <v>Horizon Alternative School</v>
      </c>
      <c r="E341" s="138" t="str">
        <f>'School Level Inst. Resources'!E341</f>
        <v>7-12</v>
      </c>
      <c r="F341" s="328">
        <v>0</v>
      </c>
      <c r="G341" s="328">
        <v>0</v>
      </c>
      <c r="H341" s="328">
        <v>0</v>
      </c>
      <c r="I341" s="328">
        <v>0</v>
      </c>
      <c r="J341" s="328">
        <v>0</v>
      </c>
      <c r="K341" s="328">
        <v>0</v>
      </c>
      <c r="L341" s="328">
        <v>0</v>
      </c>
      <c r="M341" s="328">
        <v>3</v>
      </c>
      <c r="N341" s="328">
        <v>5</v>
      </c>
      <c r="O341" s="328">
        <v>5</v>
      </c>
      <c r="P341" s="328">
        <v>9</v>
      </c>
      <c r="Q341" s="328">
        <v>13</v>
      </c>
      <c r="R341" s="328">
        <v>16</v>
      </c>
      <c r="S341" s="329">
        <f t="shared" si="10"/>
        <v>51</v>
      </c>
      <c r="T341" s="327"/>
      <c r="U341" s="328">
        <v>0</v>
      </c>
      <c r="V341" s="328">
        <v>0</v>
      </c>
      <c r="W341" s="328">
        <v>0</v>
      </c>
      <c r="X341" s="328">
        <v>0</v>
      </c>
      <c r="Y341" s="328">
        <v>0</v>
      </c>
      <c r="Z341" s="328">
        <v>0</v>
      </c>
      <c r="AA341" s="328">
        <v>0</v>
      </c>
      <c r="AB341" s="328">
        <v>0</v>
      </c>
      <c r="AC341" s="328">
        <v>0</v>
      </c>
      <c r="AD341" s="328">
        <v>0</v>
      </c>
      <c r="AE341" s="328">
        <v>0</v>
      </c>
      <c r="AF341" s="328">
        <v>0</v>
      </c>
      <c r="AG341" s="328">
        <v>0</v>
      </c>
      <c r="AH341" s="329">
        <f t="shared" si="11"/>
        <v>0</v>
      </c>
    </row>
    <row r="342" spans="1:34" x14ac:dyDescent="0.2">
      <c r="A342" s="20" t="str">
        <f>'School Level Inst. Resources'!A342</f>
        <v>2104000</v>
      </c>
      <c r="B342" s="20" t="str">
        <f>'School Level Inst. Resources'!B342</f>
        <v>Uinta #4</v>
      </c>
      <c r="C342" s="20" t="str">
        <f>'School Level Inst. Resources'!C342</f>
        <v>2104020</v>
      </c>
      <c r="D342" s="20" t="str">
        <f>'School Level Inst. Resources'!D342</f>
        <v>Mountain View K-8</v>
      </c>
      <c r="E342" s="138" t="str">
        <f>'School Level Inst. Resources'!E342</f>
        <v>K-8</v>
      </c>
      <c r="F342" s="328">
        <v>14</v>
      </c>
      <c r="G342" s="328">
        <v>26</v>
      </c>
      <c r="H342" s="328">
        <v>19</v>
      </c>
      <c r="I342" s="328">
        <v>24</v>
      </c>
      <c r="J342" s="328">
        <v>20</v>
      </c>
      <c r="K342" s="328">
        <v>15</v>
      </c>
      <c r="L342" s="328">
        <v>17</v>
      </c>
      <c r="M342" s="328">
        <v>18</v>
      </c>
      <c r="N342" s="328">
        <v>16</v>
      </c>
      <c r="O342" s="328">
        <v>0</v>
      </c>
      <c r="P342" s="328">
        <v>0</v>
      </c>
      <c r="Q342" s="328">
        <v>0</v>
      </c>
      <c r="R342" s="328">
        <v>0</v>
      </c>
      <c r="S342" s="329">
        <f t="shared" si="10"/>
        <v>169</v>
      </c>
      <c r="T342" s="327"/>
      <c r="U342" s="328">
        <v>0</v>
      </c>
      <c r="V342" s="328">
        <v>0</v>
      </c>
      <c r="W342" s="328">
        <v>0</v>
      </c>
      <c r="X342" s="328">
        <v>0</v>
      </c>
      <c r="Y342" s="328">
        <v>0</v>
      </c>
      <c r="Z342" s="328">
        <v>0</v>
      </c>
      <c r="AA342" s="328">
        <v>0</v>
      </c>
      <c r="AB342" s="328">
        <v>0</v>
      </c>
      <c r="AC342" s="328">
        <v>0</v>
      </c>
      <c r="AD342" s="328">
        <v>0</v>
      </c>
      <c r="AE342" s="328">
        <v>0</v>
      </c>
      <c r="AF342" s="328">
        <v>0</v>
      </c>
      <c r="AG342" s="328">
        <v>0</v>
      </c>
      <c r="AH342" s="329">
        <f t="shared" si="11"/>
        <v>0</v>
      </c>
    </row>
    <row r="343" spans="1:34" x14ac:dyDescent="0.2">
      <c r="A343" s="20" t="str">
        <f>'School Level Inst. Resources'!A343</f>
        <v>2104000</v>
      </c>
      <c r="B343" s="20" t="str">
        <f>'School Level Inst. Resources'!B343</f>
        <v>Uinta #4</v>
      </c>
      <c r="C343" s="20" t="str">
        <f>'School Level Inst. Resources'!C343</f>
        <v>2104055</v>
      </c>
      <c r="D343" s="20" t="str">
        <f>'School Level Inst. Resources'!D343</f>
        <v>Mountain View High School</v>
      </c>
      <c r="E343" s="138" t="str">
        <f>'School Level Inst. Resources'!E343</f>
        <v>9-12</v>
      </c>
      <c r="F343" s="328">
        <v>0</v>
      </c>
      <c r="G343" s="328">
        <v>0</v>
      </c>
      <c r="H343" s="328">
        <v>0</v>
      </c>
      <c r="I343" s="328">
        <v>0</v>
      </c>
      <c r="J343" s="328">
        <v>0</v>
      </c>
      <c r="K343" s="328">
        <v>0</v>
      </c>
      <c r="L343" s="328">
        <v>0</v>
      </c>
      <c r="M343" s="328">
        <v>0</v>
      </c>
      <c r="N343" s="328">
        <v>0</v>
      </c>
      <c r="O343" s="328">
        <v>10</v>
      </c>
      <c r="P343" s="328">
        <v>10</v>
      </c>
      <c r="Q343" s="328">
        <v>13</v>
      </c>
      <c r="R343" s="328">
        <v>9</v>
      </c>
      <c r="S343" s="329">
        <f t="shared" si="10"/>
        <v>42</v>
      </c>
      <c r="T343" s="327"/>
      <c r="U343" s="328">
        <v>0</v>
      </c>
      <c r="V343" s="328">
        <v>0</v>
      </c>
      <c r="W343" s="328">
        <v>0</v>
      </c>
      <c r="X343" s="328">
        <v>0</v>
      </c>
      <c r="Y343" s="328">
        <v>0</v>
      </c>
      <c r="Z343" s="328">
        <v>0</v>
      </c>
      <c r="AA343" s="328">
        <v>0</v>
      </c>
      <c r="AB343" s="328">
        <v>0</v>
      </c>
      <c r="AC343" s="328">
        <v>0</v>
      </c>
      <c r="AD343" s="328">
        <v>0</v>
      </c>
      <c r="AE343" s="328">
        <v>0</v>
      </c>
      <c r="AF343" s="328">
        <v>0</v>
      </c>
      <c r="AG343" s="328">
        <v>0</v>
      </c>
      <c r="AH343" s="329">
        <f t="shared" si="11"/>
        <v>0</v>
      </c>
    </row>
    <row r="344" spans="1:34" x14ac:dyDescent="0.2">
      <c r="A344" s="20" t="str">
        <f>'School Level Inst. Resources'!A344</f>
        <v>2106000</v>
      </c>
      <c r="B344" s="20" t="str">
        <f>'School Level Inst. Resources'!B344</f>
        <v>Uinta #6</v>
      </c>
      <c r="C344" s="20" t="str">
        <f>'School Level Inst. Resources'!C344</f>
        <v>2106002</v>
      </c>
      <c r="D344" s="20" t="str">
        <f>'School Level Inst. Resources'!D344</f>
        <v>Urie Elementary</v>
      </c>
      <c r="E344" s="138" t="str">
        <f>'School Level Inst. Resources'!E344</f>
        <v>K-4</v>
      </c>
      <c r="F344" s="328">
        <v>10</v>
      </c>
      <c r="G344" s="328">
        <v>20</v>
      </c>
      <c r="H344" s="328">
        <v>12</v>
      </c>
      <c r="I344" s="328">
        <v>17</v>
      </c>
      <c r="J344" s="328">
        <v>13</v>
      </c>
      <c r="K344" s="328">
        <v>0</v>
      </c>
      <c r="L344" s="328">
        <v>0</v>
      </c>
      <c r="M344" s="328">
        <v>0</v>
      </c>
      <c r="N344" s="328">
        <v>0</v>
      </c>
      <c r="O344" s="328">
        <v>0</v>
      </c>
      <c r="P344" s="328">
        <v>0</v>
      </c>
      <c r="Q344" s="328">
        <v>0</v>
      </c>
      <c r="R344" s="328">
        <v>0</v>
      </c>
      <c r="S344" s="329">
        <f t="shared" si="10"/>
        <v>72</v>
      </c>
      <c r="T344" s="327"/>
      <c r="U344" s="328">
        <v>0</v>
      </c>
      <c r="V344" s="328">
        <v>2</v>
      </c>
      <c r="W344" s="328">
        <v>1</v>
      </c>
      <c r="X344" s="328">
        <v>1</v>
      </c>
      <c r="Y344" s="328">
        <v>0</v>
      </c>
      <c r="Z344" s="328">
        <v>0</v>
      </c>
      <c r="AA344" s="328">
        <v>0</v>
      </c>
      <c r="AB344" s="328">
        <v>0</v>
      </c>
      <c r="AC344" s="328">
        <v>0</v>
      </c>
      <c r="AD344" s="328">
        <v>0</v>
      </c>
      <c r="AE344" s="328">
        <v>0</v>
      </c>
      <c r="AF344" s="328">
        <v>0</v>
      </c>
      <c r="AG344" s="328">
        <v>0</v>
      </c>
      <c r="AH344" s="329">
        <f t="shared" si="11"/>
        <v>4</v>
      </c>
    </row>
    <row r="345" spans="1:34" x14ac:dyDescent="0.2">
      <c r="A345" s="20" t="str">
        <f>'School Level Inst. Resources'!A345</f>
        <v>2106000</v>
      </c>
      <c r="B345" s="20" t="str">
        <f>'School Level Inst. Resources'!B345</f>
        <v>Uinta #6</v>
      </c>
      <c r="C345" s="20" t="str">
        <f>'School Level Inst. Resources'!C345</f>
        <v>2106050</v>
      </c>
      <c r="D345" s="20" t="str">
        <f>'School Level Inst. Resources'!D345</f>
        <v>Lyman Intermediate School</v>
      </c>
      <c r="E345" s="138" t="str">
        <f>'School Level Inst. Resources'!E345</f>
        <v>5-8</v>
      </c>
      <c r="F345" s="328">
        <v>0</v>
      </c>
      <c r="G345" s="328">
        <v>0</v>
      </c>
      <c r="H345" s="328">
        <v>0</v>
      </c>
      <c r="I345" s="328">
        <v>0</v>
      </c>
      <c r="J345" s="328">
        <v>0</v>
      </c>
      <c r="K345" s="328">
        <v>18</v>
      </c>
      <c r="L345" s="328">
        <v>16</v>
      </c>
      <c r="M345" s="328">
        <v>19</v>
      </c>
      <c r="N345" s="328">
        <v>19</v>
      </c>
      <c r="O345" s="328">
        <v>0</v>
      </c>
      <c r="P345" s="328">
        <v>0</v>
      </c>
      <c r="Q345" s="328">
        <v>0</v>
      </c>
      <c r="R345" s="328">
        <v>0</v>
      </c>
      <c r="S345" s="329">
        <f t="shared" si="10"/>
        <v>72</v>
      </c>
      <c r="T345" s="327"/>
      <c r="U345" s="328">
        <v>0</v>
      </c>
      <c r="V345" s="328">
        <v>0</v>
      </c>
      <c r="W345" s="328">
        <v>0</v>
      </c>
      <c r="X345" s="328">
        <v>0</v>
      </c>
      <c r="Y345" s="328">
        <v>0</v>
      </c>
      <c r="Z345" s="328">
        <v>1</v>
      </c>
      <c r="AA345" s="328">
        <v>0</v>
      </c>
      <c r="AB345" s="328">
        <v>1</v>
      </c>
      <c r="AC345" s="328">
        <v>1</v>
      </c>
      <c r="AD345" s="328">
        <v>0</v>
      </c>
      <c r="AE345" s="328">
        <v>0</v>
      </c>
      <c r="AF345" s="328">
        <v>0</v>
      </c>
      <c r="AG345" s="328">
        <v>0</v>
      </c>
      <c r="AH345" s="329">
        <f t="shared" si="11"/>
        <v>3</v>
      </c>
    </row>
    <row r="346" spans="1:34" x14ac:dyDescent="0.2">
      <c r="A346" s="20" t="str">
        <f>'School Level Inst. Resources'!A346</f>
        <v>2106000</v>
      </c>
      <c r="B346" s="20" t="str">
        <f>'School Level Inst. Resources'!B346</f>
        <v>Uinta #6</v>
      </c>
      <c r="C346" s="20" t="str">
        <f>'School Level Inst. Resources'!C346</f>
        <v>2106055</v>
      </c>
      <c r="D346" s="20" t="str">
        <f>'School Level Inst. Resources'!D346</f>
        <v>Lyman High School</v>
      </c>
      <c r="E346" s="138" t="str">
        <f>'School Level Inst. Resources'!E346</f>
        <v>9-12</v>
      </c>
      <c r="F346" s="328">
        <v>0</v>
      </c>
      <c r="G346" s="328">
        <v>0</v>
      </c>
      <c r="H346" s="328">
        <v>0</v>
      </c>
      <c r="I346" s="328">
        <v>0</v>
      </c>
      <c r="J346" s="328">
        <v>0</v>
      </c>
      <c r="K346" s="328">
        <v>0</v>
      </c>
      <c r="L346" s="328">
        <v>0</v>
      </c>
      <c r="M346" s="328">
        <v>0</v>
      </c>
      <c r="N346" s="328">
        <v>0</v>
      </c>
      <c r="O346" s="328">
        <v>13</v>
      </c>
      <c r="P346" s="328">
        <v>8</v>
      </c>
      <c r="Q346" s="328">
        <v>13</v>
      </c>
      <c r="R346" s="328">
        <v>3</v>
      </c>
      <c r="S346" s="329">
        <f t="shared" si="10"/>
        <v>37</v>
      </c>
      <c r="T346" s="327"/>
      <c r="U346" s="328">
        <v>0</v>
      </c>
      <c r="V346" s="328">
        <v>0</v>
      </c>
      <c r="W346" s="328">
        <v>0</v>
      </c>
      <c r="X346" s="328">
        <v>0</v>
      </c>
      <c r="Y346" s="328">
        <v>0</v>
      </c>
      <c r="Z346" s="328">
        <v>0</v>
      </c>
      <c r="AA346" s="328">
        <v>0</v>
      </c>
      <c r="AB346" s="328">
        <v>0</v>
      </c>
      <c r="AC346" s="328">
        <v>0</v>
      </c>
      <c r="AD346" s="328">
        <v>0</v>
      </c>
      <c r="AE346" s="328">
        <v>0</v>
      </c>
      <c r="AF346" s="328">
        <v>0</v>
      </c>
      <c r="AG346" s="328">
        <v>0</v>
      </c>
      <c r="AH346" s="329">
        <f t="shared" si="11"/>
        <v>0</v>
      </c>
    </row>
    <row r="347" spans="1:34" x14ac:dyDescent="0.2">
      <c r="A347" s="20" t="str">
        <f>'School Level Inst. Resources'!A347</f>
        <v>2201000</v>
      </c>
      <c r="B347" s="20" t="str">
        <f>'School Level Inst. Resources'!B347</f>
        <v>Washakie #1</v>
      </c>
      <c r="C347" s="20" t="str">
        <f>'School Level Inst. Resources'!C347</f>
        <v>2201004</v>
      </c>
      <c r="D347" s="20" t="str">
        <f>'School Level Inst. Resources'!D347</f>
        <v>East Side Elementary</v>
      </c>
      <c r="E347" s="138" t="str">
        <f>'School Level Inst. Resources'!E347</f>
        <v>K-1</v>
      </c>
      <c r="F347" s="328">
        <v>47</v>
      </c>
      <c r="G347" s="328">
        <v>47</v>
      </c>
      <c r="H347" s="328">
        <v>0</v>
      </c>
      <c r="I347" s="328">
        <v>0</v>
      </c>
      <c r="J347" s="328">
        <v>0</v>
      </c>
      <c r="K347" s="328">
        <v>0</v>
      </c>
      <c r="L347" s="328">
        <v>0</v>
      </c>
      <c r="M347" s="328">
        <v>0</v>
      </c>
      <c r="N347" s="328">
        <v>0</v>
      </c>
      <c r="O347" s="328">
        <v>0</v>
      </c>
      <c r="P347" s="328">
        <v>0</v>
      </c>
      <c r="Q347" s="328">
        <v>0</v>
      </c>
      <c r="R347" s="328">
        <v>0</v>
      </c>
      <c r="S347" s="329">
        <f t="shared" si="10"/>
        <v>94</v>
      </c>
      <c r="T347" s="327"/>
      <c r="U347" s="328">
        <v>6</v>
      </c>
      <c r="V347" s="328">
        <v>3</v>
      </c>
      <c r="W347" s="328">
        <v>0</v>
      </c>
      <c r="X347" s="328">
        <v>0</v>
      </c>
      <c r="Y347" s="328">
        <v>0</v>
      </c>
      <c r="Z347" s="328">
        <v>0</v>
      </c>
      <c r="AA347" s="328">
        <v>0</v>
      </c>
      <c r="AB347" s="328">
        <v>0</v>
      </c>
      <c r="AC347" s="328">
        <v>0</v>
      </c>
      <c r="AD347" s="328">
        <v>0</v>
      </c>
      <c r="AE347" s="328">
        <v>0</v>
      </c>
      <c r="AF347" s="328">
        <v>0</v>
      </c>
      <c r="AG347" s="328">
        <v>0</v>
      </c>
      <c r="AH347" s="329">
        <f t="shared" si="11"/>
        <v>9</v>
      </c>
    </row>
    <row r="348" spans="1:34" x14ac:dyDescent="0.2">
      <c r="A348" s="20" t="str">
        <f>'School Level Inst. Resources'!A348</f>
        <v>2201000</v>
      </c>
      <c r="B348" s="20" t="str">
        <f>'School Level Inst. Resources'!B348</f>
        <v>Washakie #1</v>
      </c>
      <c r="C348" s="20" t="str">
        <f>'School Level Inst. Resources'!C348</f>
        <v>2201005</v>
      </c>
      <c r="D348" s="20" t="str">
        <f>'School Level Inst. Resources'!D348</f>
        <v>South Side Elementary</v>
      </c>
      <c r="E348" s="138" t="str">
        <f>'School Level Inst. Resources'!E348</f>
        <v>2-3</v>
      </c>
      <c r="F348" s="328">
        <v>0</v>
      </c>
      <c r="G348" s="328">
        <v>0</v>
      </c>
      <c r="H348" s="328">
        <v>38</v>
      </c>
      <c r="I348" s="328">
        <v>40</v>
      </c>
      <c r="J348" s="328">
        <v>0</v>
      </c>
      <c r="K348" s="328">
        <v>0</v>
      </c>
      <c r="L348" s="328">
        <v>0</v>
      </c>
      <c r="M348" s="328">
        <v>0</v>
      </c>
      <c r="N348" s="328">
        <v>0</v>
      </c>
      <c r="O348" s="328">
        <v>0</v>
      </c>
      <c r="P348" s="328">
        <v>0</v>
      </c>
      <c r="Q348" s="328">
        <v>0</v>
      </c>
      <c r="R348" s="328">
        <v>0</v>
      </c>
      <c r="S348" s="329">
        <f t="shared" si="10"/>
        <v>78</v>
      </c>
      <c r="T348" s="327"/>
      <c r="U348" s="328">
        <v>0</v>
      </c>
      <c r="V348" s="328">
        <v>0</v>
      </c>
      <c r="W348" s="328">
        <v>6</v>
      </c>
      <c r="X348" s="328">
        <v>3</v>
      </c>
      <c r="Y348" s="328">
        <v>0</v>
      </c>
      <c r="Z348" s="328">
        <v>0</v>
      </c>
      <c r="AA348" s="328">
        <v>0</v>
      </c>
      <c r="AB348" s="328">
        <v>0</v>
      </c>
      <c r="AC348" s="328">
        <v>0</v>
      </c>
      <c r="AD348" s="328">
        <v>0</v>
      </c>
      <c r="AE348" s="328">
        <v>0</v>
      </c>
      <c r="AF348" s="328">
        <v>0</v>
      </c>
      <c r="AG348" s="328">
        <v>0</v>
      </c>
      <c r="AH348" s="329">
        <f t="shared" si="11"/>
        <v>9</v>
      </c>
    </row>
    <row r="349" spans="1:34" x14ac:dyDescent="0.2">
      <c r="A349" s="20" t="str">
        <f>'School Level Inst. Resources'!A349</f>
        <v>2201000</v>
      </c>
      <c r="B349" s="20" t="str">
        <f>'School Level Inst. Resources'!B349</f>
        <v>Washakie #1</v>
      </c>
      <c r="C349" s="20" t="str">
        <f>'School Level Inst. Resources'!C349</f>
        <v>2201006</v>
      </c>
      <c r="D349" s="20" t="str">
        <f>'School Level Inst. Resources'!D349</f>
        <v>West Side Elementary</v>
      </c>
      <c r="E349" s="138" t="str">
        <f>'School Level Inst. Resources'!E349</f>
        <v>4-5</v>
      </c>
      <c r="F349" s="328">
        <v>0</v>
      </c>
      <c r="G349" s="328">
        <v>0</v>
      </c>
      <c r="H349" s="328">
        <v>0</v>
      </c>
      <c r="I349" s="328">
        <v>0</v>
      </c>
      <c r="J349" s="328">
        <v>57</v>
      </c>
      <c r="K349" s="328">
        <v>52</v>
      </c>
      <c r="L349" s="328">
        <v>0</v>
      </c>
      <c r="M349" s="328">
        <v>0</v>
      </c>
      <c r="N349" s="328">
        <v>0</v>
      </c>
      <c r="O349" s="328">
        <v>0</v>
      </c>
      <c r="P349" s="328">
        <v>0</v>
      </c>
      <c r="Q349" s="328">
        <v>0</v>
      </c>
      <c r="R349" s="328">
        <v>0</v>
      </c>
      <c r="S349" s="329">
        <f t="shared" si="10"/>
        <v>109</v>
      </c>
      <c r="T349" s="327"/>
      <c r="U349" s="328">
        <v>0</v>
      </c>
      <c r="V349" s="328">
        <v>0</v>
      </c>
      <c r="W349" s="328">
        <v>0</v>
      </c>
      <c r="X349" s="328">
        <v>0</v>
      </c>
      <c r="Y349" s="328">
        <v>5</v>
      </c>
      <c r="Z349" s="328">
        <v>4</v>
      </c>
      <c r="AA349" s="328">
        <v>0</v>
      </c>
      <c r="AB349" s="328">
        <v>0</v>
      </c>
      <c r="AC349" s="328">
        <v>0</v>
      </c>
      <c r="AD349" s="328">
        <v>0</v>
      </c>
      <c r="AE349" s="328">
        <v>0</v>
      </c>
      <c r="AF349" s="328">
        <v>0</v>
      </c>
      <c r="AG349" s="328">
        <v>0</v>
      </c>
      <c r="AH349" s="329">
        <f t="shared" si="11"/>
        <v>9</v>
      </c>
    </row>
    <row r="350" spans="1:34" x14ac:dyDescent="0.2">
      <c r="A350" s="20" t="str">
        <f>'School Level Inst. Resources'!A350</f>
        <v>2201000</v>
      </c>
      <c r="B350" s="20" t="str">
        <f>'School Level Inst. Resources'!B350</f>
        <v>Washakie #1</v>
      </c>
      <c r="C350" s="20" t="str">
        <f>'School Level Inst. Resources'!C350</f>
        <v>2201050</v>
      </c>
      <c r="D350" s="20" t="str">
        <f>'School Level Inst. Resources'!D350</f>
        <v>Worland Middle School</v>
      </c>
      <c r="E350" s="138" t="str">
        <f>'School Level Inst. Resources'!E350</f>
        <v>6-8</v>
      </c>
      <c r="F350" s="328">
        <v>0</v>
      </c>
      <c r="G350" s="328">
        <v>0</v>
      </c>
      <c r="H350" s="328">
        <v>0</v>
      </c>
      <c r="I350" s="328">
        <v>0</v>
      </c>
      <c r="J350" s="328">
        <v>0</v>
      </c>
      <c r="K350" s="328">
        <v>0</v>
      </c>
      <c r="L350" s="328">
        <v>51</v>
      </c>
      <c r="M350" s="328">
        <v>50</v>
      </c>
      <c r="N350" s="328">
        <v>44</v>
      </c>
      <c r="O350" s="328">
        <v>0</v>
      </c>
      <c r="P350" s="328">
        <v>0</v>
      </c>
      <c r="Q350" s="328">
        <v>0</v>
      </c>
      <c r="R350" s="328">
        <v>0</v>
      </c>
      <c r="S350" s="329">
        <f t="shared" si="10"/>
        <v>145</v>
      </c>
      <c r="T350" s="327"/>
      <c r="U350" s="328">
        <v>0</v>
      </c>
      <c r="V350" s="328">
        <v>0</v>
      </c>
      <c r="W350" s="328">
        <v>0</v>
      </c>
      <c r="X350" s="328">
        <v>0</v>
      </c>
      <c r="Y350" s="328">
        <v>0</v>
      </c>
      <c r="Z350" s="328">
        <v>0</v>
      </c>
      <c r="AA350" s="328">
        <v>1</v>
      </c>
      <c r="AB350" s="328">
        <v>4</v>
      </c>
      <c r="AC350" s="328">
        <v>2</v>
      </c>
      <c r="AD350" s="328">
        <v>0</v>
      </c>
      <c r="AE350" s="328">
        <v>0</v>
      </c>
      <c r="AF350" s="328">
        <v>0</v>
      </c>
      <c r="AG350" s="328">
        <v>0</v>
      </c>
      <c r="AH350" s="329">
        <f t="shared" si="11"/>
        <v>7</v>
      </c>
    </row>
    <row r="351" spans="1:34" x14ac:dyDescent="0.2">
      <c r="A351" s="20" t="str">
        <f>'School Level Inst. Resources'!A351</f>
        <v>2201000</v>
      </c>
      <c r="B351" s="20" t="str">
        <f>'School Level Inst. Resources'!B351</f>
        <v>Washakie #1</v>
      </c>
      <c r="C351" s="20" t="str">
        <f>'School Level Inst. Resources'!C351</f>
        <v>2201055</v>
      </c>
      <c r="D351" s="20" t="str">
        <f>'School Level Inst. Resources'!D351</f>
        <v>Worland High School</v>
      </c>
      <c r="E351" s="138" t="str">
        <f>'School Level Inst. Resources'!E351</f>
        <v>9-12</v>
      </c>
      <c r="F351" s="328">
        <v>0</v>
      </c>
      <c r="G351" s="328">
        <v>0</v>
      </c>
      <c r="H351" s="328">
        <v>0</v>
      </c>
      <c r="I351" s="328">
        <v>0</v>
      </c>
      <c r="J351" s="328">
        <v>0</v>
      </c>
      <c r="K351" s="328">
        <v>0</v>
      </c>
      <c r="L351" s="328">
        <v>0</v>
      </c>
      <c r="M351" s="328">
        <v>0</v>
      </c>
      <c r="N351" s="328">
        <v>0</v>
      </c>
      <c r="O351" s="328">
        <v>45</v>
      </c>
      <c r="P351" s="328">
        <v>42</v>
      </c>
      <c r="Q351" s="328">
        <v>34</v>
      </c>
      <c r="R351" s="328">
        <v>31</v>
      </c>
      <c r="S351" s="329">
        <f t="shared" si="10"/>
        <v>152</v>
      </c>
      <c r="T351" s="327"/>
      <c r="U351" s="328">
        <v>0</v>
      </c>
      <c r="V351" s="328">
        <v>0</v>
      </c>
      <c r="W351" s="328">
        <v>0</v>
      </c>
      <c r="X351" s="328">
        <v>0</v>
      </c>
      <c r="Y351" s="328">
        <v>0</v>
      </c>
      <c r="Z351" s="328">
        <v>0</v>
      </c>
      <c r="AA351" s="328">
        <v>0</v>
      </c>
      <c r="AB351" s="328">
        <v>0</v>
      </c>
      <c r="AC351" s="328">
        <v>0</v>
      </c>
      <c r="AD351" s="328">
        <v>3</v>
      </c>
      <c r="AE351" s="328">
        <v>0</v>
      </c>
      <c r="AF351" s="328">
        <v>1</v>
      </c>
      <c r="AG351" s="328">
        <v>1</v>
      </c>
      <c r="AH351" s="329">
        <f t="shared" si="11"/>
        <v>5</v>
      </c>
    </row>
    <row r="352" spans="1:34" x14ac:dyDescent="0.2">
      <c r="A352" s="20" t="str">
        <f>'School Level Inst. Resources'!A352</f>
        <v>2202000</v>
      </c>
      <c r="B352" s="20" t="str">
        <f>'School Level Inst. Resources'!B352</f>
        <v>Washakie #2</v>
      </c>
      <c r="C352" s="20" t="str">
        <f>'School Level Inst. Resources'!C352</f>
        <v>2202049</v>
      </c>
      <c r="D352" s="20" t="str">
        <f>'School Level Inst. Resources'!D352</f>
        <v>Ten Sleep K-12</v>
      </c>
      <c r="E352" s="138" t="str">
        <f>'School Level Inst. Resources'!E352</f>
        <v>K-12</v>
      </c>
      <c r="F352" s="328">
        <v>3</v>
      </c>
      <c r="G352" s="328">
        <v>3</v>
      </c>
      <c r="H352" s="328">
        <v>2</v>
      </c>
      <c r="I352" s="328">
        <v>3</v>
      </c>
      <c r="J352" s="328">
        <v>2</v>
      </c>
      <c r="K352" s="328">
        <v>1</v>
      </c>
      <c r="L352" s="328">
        <v>2</v>
      </c>
      <c r="M352" s="328">
        <v>1</v>
      </c>
      <c r="N352" s="328">
        <v>4</v>
      </c>
      <c r="O352" s="328">
        <v>5</v>
      </c>
      <c r="P352" s="328">
        <v>1</v>
      </c>
      <c r="Q352" s="328">
        <v>4</v>
      </c>
      <c r="R352" s="328">
        <v>0</v>
      </c>
      <c r="S352" s="329">
        <f t="shared" si="10"/>
        <v>31</v>
      </c>
      <c r="T352" s="327"/>
      <c r="U352" s="328">
        <v>0</v>
      </c>
      <c r="V352" s="328">
        <v>0</v>
      </c>
      <c r="W352" s="328">
        <v>0</v>
      </c>
      <c r="X352" s="328">
        <v>0</v>
      </c>
      <c r="Y352" s="328">
        <v>0</v>
      </c>
      <c r="Z352" s="328">
        <v>0</v>
      </c>
      <c r="AA352" s="328">
        <v>0</v>
      </c>
      <c r="AB352" s="328">
        <v>0</v>
      </c>
      <c r="AC352" s="328">
        <v>0</v>
      </c>
      <c r="AD352" s="328">
        <v>0</v>
      </c>
      <c r="AE352" s="328">
        <v>0</v>
      </c>
      <c r="AF352" s="328">
        <v>0</v>
      </c>
      <c r="AG352" s="328">
        <v>0</v>
      </c>
      <c r="AH352" s="329">
        <f t="shared" si="11"/>
        <v>0</v>
      </c>
    </row>
    <row r="353" spans="1:34" x14ac:dyDescent="0.2">
      <c r="A353" s="20" t="str">
        <f>'School Level Inst. Resources'!A353</f>
        <v>2301000</v>
      </c>
      <c r="B353" s="20" t="str">
        <f>'School Level Inst. Resources'!B353</f>
        <v>Weston #1</v>
      </c>
      <c r="C353" s="20" t="str">
        <f>'School Level Inst. Resources'!C353</f>
        <v>2301001</v>
      </c>
      <c r="D353" s="20" t="str">
        <f>'School Level Inst. Resources'!D353</f>
        <v>Newcastle Elementary 3-5</v>
      </c>
      <c r="E353" s="138" t="str">
        <f>'School Level Inst. Resources'!E353</f>
        <v>3-5</v>
      </c>
      <c r="F353" s="328">
        <v>0</v>
      </c>
      <c r="G353" s="328">
        <v>0</v>
      </c>
      <c r="H353" s="328">
        <v>0</v>
      </c>
      <c r="I353" s="328">
        <v>19</v>
      </c>
      <c r="J353" s="328">
        <v>22</v>
      </c>
      <c r="K353" s="328">
        <v>30</v>
      </c>
      <c r="L353" s="328">
        <v>0</v>
      </c>
      <c r="M353" s="328">
        <v>0</v>
      </c>
      <c r="N353" s="328">
        <v>0</v>
      </c>
      <c r="O353" s="328">
        <v>0</v>
      </c>
      <c r="P353" s="328">
        <v>0</v>
      </c>
      <c r="Q353" s="328">
        <v>0</v>
      </c>
      <c r="R353" s="328">
        <v>0</v>
      </c>
      <c r="S353" s="329">
        <f t="shared" si="10"/>
        <v>71</v>
      </c>
      <c r="T353" s="327"/>
      <c r="U353" s="328">
        <v>0</v>
      </c>
      <c r="V353" s="328">
        <v>0</v>
      </c>
      <c r="W353" s="328">
        <v>0</v>
      </c>
      <c r="X353" s="328">
        <v>2</v>
      </c>
      <c r="Y353" s="328">
        <v>0</v>
      </c>
      <c r="Z353" s="328">
        <v>0</v>
      </c>
      <c r="AA353" s="328">
        <v>0</v>
      </c>
      <c r="AB353" s="328">
        <v>0</v>
      </c>
      <c r="AC353" s="328">
        <v>0</v>
      </c>
      <c r="AD353" s="328">
        <v>0</v>
      </c>
      <c r="AE353" s="328">
        <v>0</v>
      </c>
      <c r="AF353" s="328">
        <v>0</v>
      </c>
      <c r="AG353" s="328">
        <v>0</v>
      </c>
      <c r="AH353" s="329">
        <f t="shared" si="11"/>
        <v>2</v>
      </c>
    </row>
    <row r="354" spans="1:34" x14ac:dyDescent="0.2">
      <c r="A354" s="20" t="str">
        <f>'School Level Inst. Resources'!A354</f>
        <v>2301000</v>
      </c>
      <c r="B354" s="20" t="str">
        <f>'School Level Inst. Resources'!B354</f>
        <v>Weston #1</v>
      </c>
      <c r="C354" s="20" t="str">
        <f>'School Level Inst. Resources'!C354</f>
        <v>2301003</v>
      </c>
      <c r="D354" s="20" t="str">
        <f>'School Level Inst. Resources'!D354</f>
        <v>Newcastle Elementary K-2</v>
      </c>
      <c r="E354" s="138" t="str">
        <f>'School Level Inst. Resources'!E354</f>
        <v>K-2</v>
      </c>
      <c r="F354" s="328">
        <v>20</v>
      </c>
      <c r="G354" s="328">
        <v>20</v>
      </c>
      <c r="H354" s="328">
        <v>16</v>
      </c>
      <c r="I354" s="328">
        <v>0</v>
      </c>
      <c r="J354" s="328">
        <v>0</v>
      </c>
      <c r="K354" s="328">
        <v>0</v>
      </c>
      <c r="L354" s="328">
        <v>0</v>
      </c>
      <c r="M354" s="328">
        <v>0</v>
      </c>
      <c r="N354" s="328">
        <v>0</v>
      </c>
      <c r="O354" s="328">
        <v>0</v>
      </c>
      <c r="P354" s="328">
        <v>0</v>
      </c>
      <c r="Q354" s="328">
        <v>0</v>
      </c>
      <c r="R354" s="328">
        <v>0</v>
      </c>
      <c r="S354" s="329">
        <f t="shared" si="10"/>
        <v>56</v>
      </c>
      <c r="T354" s="327"/>
      <c r="U354" s="328">
        <v>1</v>
      </c>
      <c r="V354" s="328">
        <v>1</v>
      </c>
      <c r="W354" s="328">
        <v>0</v>
      </c>
      <c r="X354" s="328">
        <v>0</v>
      </c>
      <c r="Y354" s="328">
        <v>0</v>
      </c>
      <c r="Z354" s="328">
        <v>0</v>
      </c>
      <c r="AA354" s="328">
        <v>0</v>
      </c>
      <c r="AB354" s="328">
        <v>0</v>
      </c>
      <c r="AC354" s="328">
        <v>0</v>
      </c>
      <c r="AD354" s="328">
        <v>0</v>
      </c>
      <c r="AE354" s="328">
        <v>0</v>
      </c>
      <c r="AF354" s="328">
        <v>0</v>
      </c>
      <c r="AG354" s="328">
        <v>0</v>
      </c>
      <c r="AH354" s="329">
        <f t="shared" si="11"/>
        <v>2</v>
      </c>
    </row>
    <row r="355" spans="1:34" x14ac:dyDescent="0.2">
      <c r="A355" s="20" t="str">
        <f>'School Level Inst. Resources'!A355</f>
        <v>2301000</v>
      </c>
      <c r="B355" s="20" t="str">
        <f>'School Level Inst. Resources'!B355</f>
        <v>Weston #1</v>
      </c>
      <c r="C355" s="20" t="str">
        <f>'School Level Inst. Resources'!C355</f>
        <v>2301050</v>
      </c>
      <c r="D355" s="20" t="str">
        <f>'School Level Inst. Resources'!D355</f>
        <v>Newcastle Middle School</v>
      </c>
      <c r="E355" s="138" t="str">
        <f>'School Level Inst. Resources'!E355</f>
        <v>6-8</v>
      </c>
      <c r="F355" s="328">
        <v>0</v>
      </c>
      <c r="G355" s="328">
        <v>0</v>
      </c>
      <c r="H355" s="328">
        <v>0</v>
      </c>
      <c r="I355" s="328">
        <v>0</v>
      </c>
      <c r="J355" s="328">
        <v>0</v>
      </c>
      <c r="K355" s="328">
        <v>0</v>
      </c>
      <c r="L355" s="328">
        <v>20</v>
      </c>
      <c r="M355" s="328">
        <v>32</v>
      </c>
      <c r="N355" s="328">
        <v>20</v>
      </c>
      <c r="O355" s="328">
        <v>0</v>
      </c>
      <c r="P355" s="328">
        <v>0</v>
      </c>
      <c r="Q355" s="328">
        <v>0</v>
      </c>
      <c r="R355" s="328">
        <v>0</v>
      </c>
      <c r="S355" s="329">
        <f t="shared" si="10"/>
        <v>72</v>
      </c>
      <c r="T355" s="327"/>
      <c r="U355" s="328">
        <v>0</v>
      </c>
      <c r="V355" s="328">
        <v>0</v>
      </c>
      <c r="W355" s="328">
        <v>0</v>
      </c>
      <c r="X355" s="328">
        <v>0</v>
      </c>
      <c r="Y355" s="328">
        <v>0</v>
      </c>
      <c r="Z355" s="328">
        <v>0</v>
      </c>
      <c r="AA355" s="328">
        <v>1</v>
      </c>
      <c r="AB355" s="328">
        <v>0</v>
      </c>
      <c r="AC355" s="328">
        <v>0</v>
      </c>
      <c r="AD355" s="328">
        <v>0</v>
      </c>
      <c r="AE355" s="328">
        <v>0</v>
      </c>
      <c r="AF355" s="328">
        <v>0</v>
      </c>
      <c r="AG355" s="328">
        <v>0</v>
      </c>
      <c r="AH355" s="329">
        <f t="shared" si="11"/>
        <v>1</v>
      </c>
    </row>
    <row r="356" spans="1:34" x14ac:dyDescent="0.2">
      <c r="A356" s="20" t="str">
        <f>'School Level Inst. Resources'!A356</f>
        <v>2301000</v>
      </c>
      <c r="B356" s="20" t="str">
        <f>'School Level Inst. Resources'!B356</f>
        <v>Weston #1</v>
      </c>
      <c r="C356" s="20" t="str">
        <f>'School Level Inst. Resources'!C356</f>
        <v>2301055</v>
      </c>
      <c r="D356" s="20" t="str">
        <f>'School Level Inst. Resources'!D356</f>
        <v>Newcastle High School</v>
      </c>
      <c r="E356" s="138" t="str">
        <f>'School Level Inst. Resources'!E356</f>
        <v>9-12</v>
      </c>
      <c r="F356" s="328">
        <v>0</v>
      </c>
      <c r="G356" s="328">
        <v>0</v>
      </c>
      <c r="H356" s="328">
        <v>0</v>
      </c>
      <c r="I356" s="328">
        <v>0</v>
      </c>
      <c r="J356" s="328">
        <v>0</v>
      </c>
      <c r="K356" s="328">
        <v>0</v>
      </c>
      <c r="L356" s="328">
        <v>0</v>
      </c>
      <c r="M356" s="328">
        <v>0</v>
      </c>
      <c r="N356" s="328">
        <v>0</v>
      </c>
      <c r="O356" s="328">
        <v>19</v>
      </c>
      <c r="P356" s="328">
        <v>21</v>
      </c>
      <c r="Q356" s="328">
        <v>10</v>
      </c>
      <c r="R356" s="328">
        <v>9</v>
      </c>
      <c r="S356" s="329">
        <f t="shared" si="10"/>
        <v>59</v>
      </c>
      <c r="T356" s="327"/>
      <c r="U356" s="328">
        <v>0</v>
      </c>
      <c r="V356" s="328">
        <v>0</v>
      </c>
      <c r="W356" s="328">
        <v>0</v>
      </c>
      <c r="X356" s="328">
        <v>0</v>
      </c>
      <c r="Y356" s="328">
        <v>0</v>
      </c>
      <c r="Z356" s="328">
        <v>0</v>
      </c>
      <c r="AA356" s="328">
        <v>0</v>
      </c>
      <c r="AB356" s="328">
        <v>0</v>
      </c>
      <c r="AC356" s="328">
        <v>0</v>
      </c>
      <c r="AD356" s="328">
        <v>1</v>
      </c>
      <c r="AE356" s="328">
        <v>0</v>
      </c>
      <c r="AF356" s="328">
        <v>0</v>
      </c>
      <c r="AG356" s="328">
        <v>0</v>
      </c>
      <c r="AH356" s="329">
        <f t="shared" si="11"/>
        <v>1</v>
      </c>
    </row>
    <row r="357" spans="1:34" x14ac:dyDescent="0.2">
      <c r="A357" s="20" t="str">
        <f>'School Level Inst. Resources'!A357</f>
        <v>2307000</v>
      </c>
      <c r="B357" s="20" t="str">
        <f>'School Level Inst. Resources'!B357</f>
        <v>Weston #7</v>
      </c>
      <c r="C357" s="20" t="str">
        <f>'School Level Inst. Resources'!C357</f>
        <v>2307001</v>
      </c>
      <c r="D357" s="20" t="str">
        <f>'School Level Inst. Resources'!D357</f>
        <v>Upton Elementary</v>
      </c>
      <c r="E357" s="138" t="str">
        <f>'School Level Inst. Resources'!E357</f>
        <v>K-5</v>
      </c>
      <c r="F357" s="328">
        <v>11</v>
      </c>
      <c r="G357" s="328">
        <v>7</v>
      </c>
      <c r="H357" s="328">
        <v>10</v>
      </c>
      <c r="I357" s="328">
        <v>12</v>
      </c>
      <c r="J357" s="328">
        <v>7</v>
      </c>
      <c r="K357" s="328">
        <v>6</v>
      </c>
      <c r="L357" s="328">
        <v>0</v>
      </c>
      <c r="M357" s="328">
        <v>0</v>
      </c>
      <c r="N357" s="328">
        <v>0</v>
      </c>
      <c r="O357" s="328">
        <v>0</v>
      </c>
      <c r="P357" s="328">
        <v>0</v>
      </c>
      <c r="Q357" s="328">
        <v>0</v>
      </c>
      <c r="R357" s="328">
        <v>0</v>
      </c>
      <c r="S357" s="329">
        <f t="shared" ref="S357:S359" si="12">SUM(F357:R357)</f>
        <v>53</v>
      </c>
      <c r="T357" s="327"/>
      <c r="U357" s="328">
        <v>0</v>
      </c>
      <c r="V357" s="328">
        <v>0</v>
      </c>
      <c r="W357" s="328">
        <v>0</v>
      </c>
      <c r="X357" s="328">
        <v>0</v>
      </c>
      <c r="Y357" s="328">
        <v>0</v>
      </c>
      <c r="Z357" s="328">
        <v>0</v>
      </c>
      <c r="AA357" s="328">
        <v>0</v>
      </c>
      <c r="AB357" s="328">
        <v>0</v>
      </c>
      <c r="AC357" s="328">
        <v>0</v>
      </c>
      <c r="AD357" s="328">
        <v>0</v>
      </c>
      <c r="AE357" s="328">
        <v>0</v>
      </c>
      <c r="AF357" s="328">
        <v>0</v>
      </c>
      <c r="AG357" s="328">
        <v>0</v>
      </c>
      <c r="AH357" s="329">
        <f t="shared" si="11"/>
        <v>0</v>
      </c>
    </row>
    <row r="358" spans="1:34" x14ac:dyDescent="0.2">
      <c r="A358" s="20" t="str">
        <f>'School Level Inst. Resources'!A358</f>
        <v>2307000</v>
      </c>
      <c r="B358" s="20" t="str">
        <f>'School Level Inst. Resources'!B358</f>
        <v>Weston #7</v>
      </c>
      <c r="C358" s="20" t="str">
        <f>'School Level Inst. Resources'!C358</f>
        <v>2307050</v>
      </c>
      <c r="D358" s="20" t="str">
        <f>'School Level Inst. Resources'!D358</f>
        <v>Upton Middle School</v>
      </c>
      <c r="E358" s="138" t="str">
        <f>'School Level Inst. Resources'!E358</f>
        <v>6-8</v>
      </c>
      <c r="F358" s="328">
        <v>0</v>
      </c>
      <c r="G358" s="328">
        <v>0</v>
      </c>
      <c r="H358" s="328">
        <v>0</v>
      </c>
      <c r="I358" s="328">
        <v>0</v>
      </c>
      <c r="J358" s="328">
        <v>0</v>
      </c>
      <c r="K358" s="328">
        <v>0</v>
      </c>
      <c r="L358" s="328">
        <v>2</v>
      </c>
      <c r="M358" s="328">
        <v>10</v>
      </c>
      <c r="N358" s="328">
        <v>8</v>
      </c>
      <c r="O358" s="328">
        <v>0</v>
      </c>
      <c r="P358" s="328">
        <v>0</v>
      </c>
      <c r="Q358" s="328">
        <v>0</v>
      </c>
      <c r="R358" s="328">
        <v>0</v>
      </c>
      <c r="S358" s="329">
        <f t="shared" si="12"/>
        <v>20</v>
      </c>
      <c r="T358" s="327"/>
      <c r="U358" s="328">
        <v>0</v>
      </c>
      <c r="V358" s="328">
        <v>0</v>
      </c>
      <c r="W358" s="328">
        <v>0</v>
      </c>
      <c r="X358" s="328">
        <v>0</v>
      </c>
      <c r="Y358" s="328">
        <v>0</v>
      </c>
      <c r="Z358" s="328">
        <v>0</v>
      </c>
      <c r="AA358" s="328">
        <v>0</v>
      </c>
      <c r="AB358" s="328">
        <v>0</v>
      </c>
      <c r="AC358" s="328">
        <v>0</v>
      </c>
      <c r="AD358" s="328">
        <v>0</v>
      </c>
      <c r="AE358" s="328">
        <v>0</v>
      </c>
      <c r="AF358" s="328">
        <v>0</v>
      </c>
      <c r="AG358" s="328">
        <v>0</v>
      </c>
      <c r="AH358" s="329">
        <f t="shared" si="11"/>
        <v>0</v>
      </c>
    </row>
    <row r="359" spans="1:34" x14ac:dyDescent="0.2">
      <c r="A359" s="20" t="str">
        <f>'School Level Inst. Resources'!A359</f>
        <v>2307000</v>
      </c>
      <c r="B359" s="20" t="str">
        <f>'School Level Inst. Resources'!B359</f>
        <v>Weston #7</v>
      </c>
      <c r="C359" s="20" t="str">
        <f>'School Level Inst. Resources'!C359</f>
        <v>2307055</v>
      </c>
      <c r="D359" s="20" t="str">
        <f>'School Level Inst. Resources'!D359</f>
        <v>Upton High School</v>
      </c>
      <c r="E359" s="138" t="str">
        <f>'School Level Inst. Resources'!E359</f>
        <v>9-12</v>
      </c>
      <c r="F359" s="328">
        <v>0</v>
      </c>
      <c r="G359" s="328">
        <v>0</v>
      </c>
      <c r="H359" s="328">
        <v>0</v>
      </c>
      <c r="I359" s="328">
        <v>0</v>
      </c>
      <c r="J359" s="328">
        <v>0</v>
      </c>
      <c r="K359" s="328">
        <v>0</v>
      </c>
      <c r="L359" s="328">
        <v>0</v>
      </c>
      <c r="M359" s="328">
        <v>0</v>
      </c>
      <c r="N359" s="328">
        <v>0</v>
      </c>
      <c r="O359" s="328">
        <v>8</v>
      </c>
      <c r="P359" s="328">
        <v>8</v>
      </c>
      <c r="Q359" s="328">
        <v>4</v>
      </c>
      <c r="R359" s="328">
        <v>4</v>
      </c>
      <c r="S359" s="329">
        <f t="shared" si="12"/>
        <v>24</v>
      </c>
      <c r="T359" s="327"/>
      <c r="U359" s="328">
        <v>0</v>
      </c>
      <c r="V359" s="328">
        <v>0</v>
      </c>
      <c r="W359" s="328">
        <v>0</v>
      </c>
      <c r="X359" s="328">
        <v>0</v>
      </c>
      <c r="Y359" s="328">
        <v>0</v>
      </c>
      <c r="Z359" s="328">
        <v>0</v>
      </c>
      <c r="AA359" s="328">
        <v>0</v>
      </c>
      <c r="AB359" s="328">
        <v>0</v>
      </c>
      <c r="AC359" s="328">
        <v>0</v>
      </c>
      <c r="AD359" s="328">
        <v>0</v>
      </c>
      <c r="AE359" s="328">
        <v>0</v>
      </c>
      <c r="AF359" s="328">
        <v>0</v>
      </c>
      <c r="AG359" s="328">
        <v>0</v>
      </c>
      <c r="AH359" s="329">
        <f t="shared" si="11"/>
        <v>0</v>
      </c>
    </row>
    <row r="360" spans="1:34" x14ac:dyDescent="0.2">
      <c r="U360" s="304"/>
      <c r="V360" s="304"/>
      <c r="W360" s="304"/>
      <c r="X360" s="304"/>
      <c r="Y360" s="304"/>
      <c r="Z360" s="304"/>
      <c r="AA360" s="304"/>
      <c r="AB360" s="304"/>
      <c r="AC360" s="304"/>
      <c r="AD360" s="304"/>
      <c r="AE360" s="304"/>
      <c r="AF360" s="304"/>
      <c r="AG360" s="304"/>
      <c r="AH360" s="304"/>
    </row>
    <row r="361" spans="1:34" ht="13.5" thickBot="1" x14ac:dyDescent="0.25">
      <c r="F361" s="8">
        <f t="shared" ref="F361:AH361" si="13">SUM(F5:F359)</f>
        <v>3135.614125499998</v>
      </c>
      <c r="G361" s="8">
        <f t="shared" si="13"/>
        <v>3202.8099858000019</v>
      </c>
      <c r="H361" s="8">
        <f t="shared" si="13"/>
        <v>3207.9044460999976</v>
      </c>
      <c r="I361" s="8">
        <f t="shared" si="13"/>
        <v>3374.9029093999989</v>
      </c>
      <c r="J361" s="8">
        <f t="shared" si="13"/>
        <v>3333.8706270000002</v>
      </c>
      <c r="K361" s="8">
        <f t="shared" si="13"/>
        <v>3084.2146270000007</v>
      </c>
      <c r="L361" s="8">
        <f t="shared" si="13"/>
        <v>3240.0589255000004</v>
      </c>
      <c r="M361" s="8">
        <f t="shared" si="13"/>
        <v>3031.0644000000002</v>
      </c>
      <c r="N361" s="8">
        <f t="shared" si="13"/>
        <v>2961.8140000000003</v>
      </c>
      <c r="O361" s="8">
        <f t="shared" si="13"/>
        <v>2961.3555999999999</v>
      </c>
      <c r="P361" s="8">
        <f t="shared" si="13"/>
        <v>2667.1210000000001</v>
      </c>
      <c r="Q361" s="8">
        <f t="shared" si="13"/>
        <v>2150.2379999999998</v>
      </c>
      <c r="R361" s="8">
        <f t="shared" si="13"/>
        <v>1814.2808</v>
      </c>
      <c r="S361" s="8">
        <f t="shared" si="13"/>
        <v>38165.249446300033</v>
      </c>
      <c r="T361" s="331"/>
      <c r="U361" s="8">
        <f t="shared" si="13"/>
        <v>326</v>
      </c>
      <c r="V361" s="8">
        <f t="shared" si="13"/>
        <v>387</v>
      </c>
      <c r="W361" s="8">
        <f t="shared" si="13"/>
        <v>424</v>
      </c>
      <c r="X361" s="8">
        <f t="shared" si="13"/>
        <v>371</v>
      </c>
      <c r="Y361" s="8">
        <f t="shared" si="13"/>
        <v>387</v>
      </c>
      <c r="Z361" s="8">
        <f t="shared" si="13"/>
        <v>362</v>
      </c>
      <c r="AA361" s="8">
        <f t="shared" si="13"/>
        <v>258</v>
      </c>
      <c r="AB361" s="8">
        <f t="shared" si="13"/>
        <v>181</v>
      </c>
      <c r="AC361" s="8">
        <f t="shared" si="13"/>
        <v>158</v>
      </c>
      <c r="AD361" s="8">
        <f t="shared" si="13"/>
        <v>203</v>
      </c>
      <c r="AE361" s="8">
        <f t="shared" si="13"/>
        <v>178</v>
      </c>
      <c r="AF361" s="8">
        <f t="shared" si="13"/>
        <v>164</v>
      </c>
      <c r="AG361" s="8">
        <f t="shared" si="13"/>
        <v>113</v>
      </c>
      <c r="AH361" s="8">
        <f t="shared" si="13"/>
        <v>3512</v>
      </c>
    </row>
    <row r="362" spans="1:34" ht="13.5" thickTop="1" x14ac:dyDescent="0.2"/>
    <row r="363" spans="1:34" x14ac:dyDescent="0.2">
      <c r="H363" s="304"/>
      <c r="I363" s="304"/>
      <c r="W363" s="304"/>
      <c r="X363" s="304"/>
    </row>
    <row r="364" spans="1:34" x14ac:dyDescent="0.2">
      <c r="J364" s="304"/>
      <c r="K364" s="304"/>
      <c r="Y364" s="304"/>
      <c r="Z364" s="304"/>
    </row>
  </sheetData>
  <sheetProtection algorithmName="SHA-512" hashValue="oZBPObbvM5lq9EkbxM820YwQd4103yrsYjtsaV9Ur+QpJSkFp6PqKCalm7XdGCAQjz/kr4Cr/C2EhYtwAppg4A==" saltValue="00IS7zxaIVOuPU+grIRa0Q==" spinCount="100000" sheet="1" objects="1" scenarios="1"/>
  <mergeCells count="2">
    <mergeCell ref="A1:E1"/>
    <mergeCell ref="B2:E2"/>
  </mergeCells>
  <pageMargins left="0.5" right="0.5" top="0.5" bottom="0.5" header="0.25" footer="0.25"/>
  <pageSetup scale="10" fitToWidth="3" fitToHeight="7" orientation="landscape" r:id="rId1"/>
  <headerFooter>
    <oddHeader>&amp;L&amp;"Calibri,Bold"&amp;12School Level Student At-Risk and ELL Proxy Worksheet</oddHeader>
  </headerFooter>
  <colBreaks count="1" manualBreakCount="1">
    <brk id="15" min="3" max="358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5"/>
  <sheetViews>
    <sheetView showGridLines="0" zoomScale="85" zoomScaleNormal="85" zoomScalePageLayoutView="85" workbookViewId="0">
      <selection sqref="A1:O1"/>
    </sheetView>
  </sheetViews>
  <sheetFormatPr defaultColWidth="8.85546875" defaultRowHeight="12.75" x14ac:dyDescent="0.2"/>
  <cols>
    <col min="1" max="1" width="10.7109375" customWidth="1"/>
    <col min="2" max="2" width="15.7109375" customWidth="1"/>
    <col min="3" max="16" width="12.7109375" customWidth="1"/>
    <col min="17" max="17" width="1.7109375" customWidth="1"/>
    <col min="18" max="18" width="64.85546875" customWidth="1"/>
    <col min="19" max="24" width="11.7109375" customWidth="1"/>
  </cols>
  <sheetData>
    <row r="1" spans="1:24" ht="15.75" x14ac:dyDescent="0.25">
      <c r="A1" s="448" t="s">
        <v>2379</v>
      </c>
      <c r="B1" s="448"/>
      <c r="C1" s="448"/>
      <c r="D1" s="448"/>
      <c r="E1" s="448"/>
      <c r="F1" s="448"/>
      <c r="G1" s="448"/>
      <c r="H1" s="448"/>
      <c r="I1" s="448"/>
      <c r="J1" s="448"/>
      <c r="K1" s="448"/>
      <c r="L1" s="448"/>
      <c r="M1" s="448"/>
      <c r="N1" s="448"/>
      <c r="O1" s="448"/>
    </row>
    <row r="2" spans="1:24" ht="13.5" thickBot="1" x14ac:dyDescent="0.25"/>
    <row r="3" spans="1:24" x14ac:dyDescent="0.2">
      <c r="C3" s="480" t="s">
        <v>2380</v>
      </c>
      <c r="D3" s="480"/>
      <c r="E3" s="480"/>
      <c r="F3" s="480"/>
      <c r="G3" s="480"/>
      <c r="H3" s="480"/>
      <c r="J3" s="494" t="s">
        <v>2381</v>
      </c>
      <c r="K3" s="494"/>
      <c r="L3" s="494"/>
      <c r="M3" s="494"/>
      <c r="N3" s="494"/>
      <c r="O3" s="495" t="s">
        <v>2382</v>
      </c>
      <c r="P3" s="495"/>
      <c r="R3" s="496" t="s">
        <v>2383</v>
      </c>
      <c r="S3" s="497"/>
      <c r="T3" s="497"/>
      <c r="U3" s="497"/>
      <c r="V3" s="497"/>
      <c r="W3" s="497"/>
      <c r="X3" s="498"/>
    </row>
    <row r="4" spans="1:24" ht="39" thickBot="1" x14ac:dyDescent="0.25">
      <c r="A4" s="1" t="s">
        <v>1</v>
      </c>
      <c r="B4" s="1" t="s">
        <v>2</v>
      </c>
      <c r="C4" s="1" t="s">
        <v>2384</v>
      </c>
      <c r="D4" s="1" t="s">
        <v>2385</v>
      </c>
      <c r="E4" s="1" t="s">
        <v>2386</v>
      </c>
      <c r="F4" s="1" t="s">
        <v>2387</v>
      </c>
      <c r="G4" s="1" t="s">
        <v>2388</v>
      </c>
      <c r="H4" s="1" t="s">
        <v>1191</v>
      </c>
      <c r="I4" s="1" t="s">
        <v>2389</v>
      </c>
      <c r="J4" s="1" t="s">
        <v>2384</v>
      </c>
      <c r="K4" s="1" t="s">
        <v>2385</v>
      </c>
      <c r="L4" s="1" t="s">
        <v>2386</v>
      </c>
      <c r="M4" s="1" t="s">
        <v>2387</v>
      </c>
      <c r="N4" s="1" t="s">
        <v>2388</v>
      </c>
      <c r="O4" s="1" t="s">
        <v>2390</v>
      </c>
      <c r="P4" s="1" t="s">
        <v>2391</v>
      </c>
      <c r="R4" s="332" t="s">
        <v>2392</v>
      </c>
      <c r="S4" s="333" t="s">
        <v>2384</v>
      </c>
      <c r="T4" s="333" t="s">
        <v>2385</v>
      </c>
      <c r="U4" s="333" t="s">
        <v>2386</v>
      </c>
      <c r="V4" s="333" t="s">
        <v>2387</v>
      </c>
      <c r="W4" s="333" t="s">
        <v>2388</v>
      </c>
      <c r="X4" s="334" t="s">
        <v>170</v>
      </c>
    </row>
    <row r="5" spans="1:24" x14ac:dyDescent="0.2">
      <c r="A5" s="2" t="s">
        <v>14</v>
      </c>
      <c r="B5" s="2" t="s">
        <v>15</v>
      </c>
      <c r="C5" s="122">
        <v>240.33928600000016</v>
      </c>
      <c r="D5" s="122">
        <v>72.400715999999989</v>
      </c>
      <c r="E5" s="122">
        <v>33.652856999999997</v>
      </c>
      <c r="F5" s="122">
        <v>202.01870800000009</v>
      </c>
      <c r="G5" s="122">
        <v>70.630516999999998</v>
      </c>
      <c r="H5" s="122">
        <v>113.77210699999998</v>
      </c>
      <c r="I5" s="122">
        <f>SUM(C5:H5)</f>
        <v>732.81419100000016</v>
      </c>
      <c r="J5" s="335">
        <f>C5/SUM($C5:$G5)</f>
        <v>0.38824385645483855</v>
      </c>
      <c r="K5" s="335">
        <f t="shared" ref="K5:N5" si="0">D5/SUM($C5:$G5)</f>
        <v>0.11695604850025022</v>
      </c>
      <c r="L5" s="335">
        <f t="shared" si="0"/>
        <v>5.436279353182067E-2</v>
      </c>
      <c r="M5" s="335">
        <f t="shared" si="0"/>
        <v>0.32634083081175469</v>
      </c>
      <c r="N5" s="335">
        <f t="shared" si="0"/>
        <v>0.11409647070133599</v>
      </c>
      <c r="O5" s="335">
        <f>SUM(C5:G5)/I5</f>
        <v>0.8447463103235674</v>
      </c>
      <c r="P5" s="336">
        <f>H5/I5</f>
        <v>0.15525368967643252</v>
      </c>
      <c r="R5" s="337" t="s">
        <v>2393</v>
      </c>
      <c r="S5" s="338">
        <f>C54</f>
        <v>4111.6338579999992</v>
      </c>
      <c r="T5" s="338">
        <f t="shared" ref="T5:W5" si="1">D54</f>
        <v>1265.0775450000001</v>
      </c>
      <c r="U5" s="338">
        <f t="shared" si="1"/>
        <v>850.95880999999997</v>
      </c>
      <c r="V5" s="338">
        <f t="shared" si="1"/>
        <v>5203.7025379999995</v>
      </c>
      <c r="W5" s="338">
        <f t="shared" si="1"/>
        <v>1163.3967560000001</v>
      </c>
      <c r="X5" s="339">
        <f>SUM(S5:W5)</f>
        <v>12594.769506999999</v>
      </c>
    </row>
    <row r="6" spans="1:24" x14ac:dyDescent="0.2">
      <c r="A6" s="6" t="s">
        <v>16</v>
      </c>
      <c r="B6" s="6" t="s">
        <v>17</v>
      </c>
      <c r="C6" s="44">
        <v>23.644995999999999</v>
      </c>
      <c r="D6" s="44">
        <v>15.931428</v>
      </c>
      <c r="E6" s="44">
        <v>10.801428000000001</v>
      </c>
      <c r="F6" s="44">
        <v>55.784183999999989</v>
      </c>
      <c r="G6" s="44">
        <v>18.773569999999999</v>
      </c>
      <c r="H6" s="44">
        <v>35.97642900000001</v>
      </c>
      <c r="I6" s="122">
        <f t="shared" ref="I6:I52" si="2">SUM(C6:H6)</f>
        <v>160.912035</v>
      </c>
      <c r="J6" s="335">
        <f t="shared" ref="J6:J52" si="3">C6/SUM($C6:$G6)</f>
        <v>0.18925746436128063</v>
      </c>
      <c r="K6" s="335">
        <f t="shared" ref="K6:N52" si="4">D6/SUM($C6:$G6)</f>
        <v>0.12751711469667021</v>
      </c>
      <c r="L6" s="335">
        <f t="shared" si="4"/>
        <v>8.645596196171651E-2</v>
      </c>
      <c r="M6" s="335">
        <f t="shared" si="4"/>
        <v>0.44650348916545046</v>
      </c>
      <c r="N6" s="335">
        <f t="shared" si="4"/>
        <v>0.15026596981488205</v>
      </c>
      <c r="O6" s="335">
        <f t="shared" ref="O6:O52" si="5">SUM(C6:G6)/I6</f>
        <v>0.77642176360518966</v>
      </c>
      <c r="P6" s="336">
        <f t="shared" ref="P6:P52" si="6">H6/I6</f>
        <v>0.22357823639481042</v>
      </c>
      <c r="R6" s="340" t="s">
        <v>2394</v>
      </c>
      <c r="S6" s="341">
        <f>J54</f>
        <v>0.32645566524379899</v>
      </c>
      <c r="T6" s="341">
        <f t="shared" ref="T6:W6" si="7">K54</f>
        <v>0.10044467620442657</v>
      </c>
      <c r="U6" s="341">
        <f t="shared" si="7"/>
        <v>6.7564460749126753E-2</v>
      </c>
      <c r="V6" s="341">
        <f t="shared" si="7"/>
        <v>0.41316377684465394</v>
      </c>
      <c r="W6" s="341">
        <f t="shared" si="7"/>
        <v>9.2371420957993736E-2</v>
      </c>
      <c r="X6" s="342">
        <f>SUM(S6:W6)</f>
        <v>1</v>
      </c>
    </row>
    <row r="7" spans="1:24" x14ac:dyDescent="0.2">
      <c r="A7" s="6" t="s">
        <v>18</v>
      </c>
      <c r="B7" s="6" t="s">
        <v>19</v>
      </c>
      <c r="C7" s="44">
        <v>24.095713</v>
      </c>
      <c r="D7" s="44"/>
      <c r="E7" s="44"/>
      <c r="F7" s="44">
        <v>61.030715000000015</v>
      </c>
      <c r="G7" s="44"/>
      <c r="H7" s="44">
        <v>33.422144000000003</v>
      </c>
      <c r="I7" s="122">
        <f t="shared" si="2"/>
        <v>118.54857200000002</v>
      </c>
      <c r="J7" s="335">
        <f t="shared" si="3"/>
        <v>0.28305795939188233</v>
      </c>
      <c r="K7" s="335">
        <f t="shared" si="4"/>
        <v>0</v>
      </c>
      <c r="L7" s="335">
        <f t="shared" si="4"/>
        <v>0</v>
      </c>
      <c r="M7" s="335">
        <f t="shared" si="4"/>
        <v>0.71694204060811761</v>
      </c>
      <c r="N7" s="335">
        <f t="shared" si="4"/>
        <v>0</v>
      </c>
      <c r="O7" s="335">
        <f t="shared" si="5"/>
        <v>0.71807215020692117</v>
      </c>
      <c r="P7" s="336">
        <f t="shared" si="6"/>
        <v>0.28192784979307889</v>
      </c>
      <c r="R7" s="337" t="s">
        <v>2395</v>
      </c>
      <c r="S7" s="343">
        <f>S11*12</f>
        <v>9996.84</v>
      </c>
      <c r="T7" s="343">
        <f>S12*12</f>
        <v>19923</v>
      </c>
      <c r="U7" s="343">
        <f>S13*12</f>
        <v>15206.16</v>
      </c>
      <c r="V7" s="343">
        <f>S14*12</f>
        <v>22797.119999999999</v>
      </c>
      <c r="W7" s="343">
        <f>S15*12</f>
        <v>11398.56</v>
      </c>
      <c r="X7" s="344">
        <f>SUM(S7:W7)</f>
        <v>79321.679999999993</v>
      </c>
    </row>
    <row r="8" spans="1:24" x14ac:dyDescent="0.2">
      <c r="A8" s="6" t="s">
        <v>20</v>
      </c>
      <c r="B8" s="6" t="s">
        <v>21</v>
      </c>
      <c r="C8" s="44">
        <v>20.537143</v>
      </c>
      <c r="D8" s="44">
        <v>14.708572</v>
      </c>
      <c r="E8" s="44">
        <v>5.9428570000000001</v>
      </c>
      <c r="F8" s="44">
        <v>21.942857</v>
      </c>
      <c r="G8" s="44">
        <v>25.885714</v>
      </c>
      <c r="H8" s="44">
        <v>21.159998999999999</v>
      </c>
      <c r="I8" s="122">
        <f t="shared" si="2"/>
        <v>110.177142</v>
      </c>
      <c r="J8" s="335">
        <f t="shared" si="3"/>
        <v>0.23070997684120237</v>
      </c>
      <c r="K8" s="335">
        <f t="shared" si="4"/>
        <v>0.16523302708108706</v>
      </c>
      <c r="L8" s="335">
        <f t="shared" si="4"/>
        <v>6.6760814824173814E-2</v>
      </c>
      <c r="M8" s="335">
        <f t="shared" si="4"/>
        <v>0.2465014744407153</v>
      </c>
      <c r="N8" s="335">
        <f t="shared" si="4"/>
        <v>0.29079470681282144</v>
      </c>
      <c r="O8" s="335">
        <f t="shared" si="5"/>
        <v>0.80794565355489079</v>
      </c>
      <c r="P8" s="336">
        <f t="shared" si="6"/>
        <v>0.19205434644510927</v>
      </c>
      <c r="R8" s="340" t="s">
        <v>2396</v>
      </c>
      <c r="S8" s="343">
        <f>S7*S6</f>
        <v>3263.5250525358197</v>
      </c>
      <c r="T8" s="343">
        <f t="shared" ref="T8:W8" si="8">T7*T6</f>
        <v>2001.1592840207904</v>
      </c>
      <c r="U8" s="343">
        <f t="shared" si="8"/>
        <v>1027.3960004649412</v>
      </c>
      <c r="V8" s="343">
        <f t="shared" si="8"/>
        <v>9418.9442003807962</v>
      </c>
      <c r="W8" s="343">
        <f t="shared" si="8"/>
        <v>1052.901184074949</v>
      </c>
      <c r="X8" s="344">
        <f>ROUND(SUM(S8:W8),2)</f>
        <v>16763.93</v>
      </c>
    </row>
    <row r="9" spans="1:24" x14ac:dyDescent="0.2">
      <c r="A9" s="6" t="s">
        <v>22</v>
      </c>
      <c r="B9" s="6" t="s">
        <v>23</v>
      </c>
      <c r="C9" s="44">
        <v>25.370000000000005</v>
      </c>
      <c r="D9" s="44">
        <v>10.945</v>
      </c>
      <c r="E9" s="44">
        <v>4</v>
      </c>
      <c r="F9" s="44">
        <v>16.86</v>
      </c>
      <c r="G9" s="44"/>
      <c r="H9" s="44">
        <v>14.499633000000001</v>
      </c>
      <c r="I9" s="122">
        <f t="shared" si="2"/>
        <v>71.674633</v>
      </c>
      <c r="J9" s="335">
        <f t="shared" si="3"/>
        <v>0.44372540445999131</v>
      </c>
      <c r="K9" s="335">
        <f t="shared" si="4"/>
        <v>0.19142982072584169</v>
      </c>
      <c r="L9" s="335">
        <f t="shared" si="4"/>
        <v>6.9960647135986001E-2</v>
      </c>
      <c r="M9" s="335">
        <f t="shared" si="4"/>
        <v>0.29488412767818101</v>
      </c>
      <c r="N9" s="335">
        <f t="shared" si="4"/>
        <v>0</v>
      </c>
      <c r="O9" s="335">
        <f t="shared" si="5"/>
        <v>0.79770202660123846</v>
      </c>
      <c r="P9" s="336">
        <f t="shared" si="6"/>
        <v>0.2022979733987616</v>
      </c>
      <c r="R9" s="345"/>
      <c r="S9" s="346"/>
      <c r="T9" s="346"/>
      <c r="U9" s="346"/>
      <c r="V9" s="346"/>
      <c r="W9" s="346"/>
      <c r="X9" s="347"/>
    </row>
    <row r="10" spans="1:24" x14ac:dyDescent="0.2">
      <c r="A10" s="6" t="s">
        <v>24</v>
      </c>
      <c r="B10" s="6" t="s">
        <v>25</v>
      </c>
      <c r="C10" s="44">
        <v>324.07571000000013</v>
      </c>
      <c r="D10" s="44">
        <v>155.000711</v>
      </c>
      <c r="E10" s="44">
        <v>110.22856899999994</v>
      </c>
      <c r="F10" s="44">
        <v>258.17428300000006</v>
      </c>
      <c r="G10" s="44">
        <v>186.56183999999999</v>
      </c>
      <c r="H10" s="44">
        <v>572.4309480000004</v>
      </c>
      <c r="I10" s="122">
        <f t="shared" si="2"/>
        <v>1606.4720610000006</v>
      </c>
      <c r="J10" s="335">
        <f t="shared" si="3"/>
        <v>0.3134069873293327</v>
      </c>
      <c r="K10" s="335">
        <f t="shared" si="4"/>
        <v>0.14989801570878156</v>
      </c>
      <c r="L10" s="335">
        <f t="shared" si="4"/>
        <v>0.10659979338751874</v>
      </c>
      <c r="M10" s="335">
        <f t="shared" si="4"/>
        <v>0.24967506586945543</v>
      </c>
      <c r="N10" s="335">
        <f t="shared" si="4"/>
        <v>0.1804201377049115</v>
      </c>
      <c r="O10" s="335">
        <f t="shared" si="5"/>
        <v>0.643672017773112</v>
      </c>
      <c r="P10" s="336">
        <f t="shared" si="6"/>
        <v>0.35632798222688805</v>
      </c>
      <c r="R10" s="499" t="s">
        <v>2397</v>
      </c>
      <c r="S10" s="500"/>
      <c r="T10" s="348"/>
      <c r="U10" s="349"/>
      <c r="V10" s="346"/>
      <c r="W10" s="346"/>
      <c r="X10" s="347"/>
    </row>
    <row r="11" spans="1:24" x14ac:dyDescent="0.2">
      <c r="A11" s="6" t="s">
        <v>26</v>
      </c>
      <c r="B11" s="6" t="s">
        <v>27</v>
      </c>
      <c r="C11" s="44">
        <v>98.467856999999995</v>
      </c>
      <c r="D11" s="44"/>
      <c r="E11" s="44"/>
      <c r="F11" s="44">
        <v>98.927199999999985</v>
      </c>
      <c r="G11" s="44"/>
      <c r="H11" s="44">
        <v>111.63249899999995</v>
      </c>
      <c r="I11" s="122">
        <f t="shared" si="2"/>
        <v>309.02755599999995</v>
      </c>
      <c r="J11" s="335">
        <f t="shared" si="3"/>
        <v>0.49883648808895964</v>
      </c>
      <c r="K11" s="335">
        <f t="shared" si="4"/>
        <v>0</v>
      </c>
      <c r="L11" s="335">
        <f t="shared" si="4"/>
        <v>0</v>
      </c>
      <c r="M11" s="335">
        <f t="shared" si="4"/>
        <v>0.50116351191104036</v>
      </c>
      <c r="N11" s="335">
        <f t="shared" si="4"/>
        <v>0</v>
      </c>
      <c r="O11" s="335">
        <f t="shared" si="5"/>
        <v>0.63876199117984167</v>
      </c>
      <c r="P11" s="336">
        <f t="shared" si="6"/>
        <v>0.36123800882015833</v>
      </c>
      <c r="R11" s="350" t="s">
        <v>2398</v>
      </c>
      <c r="S11" s="351">
        <v>833.07</v>
      </c>
      <c r="T11" s="352"/>
      <c r="U11" s="490"/>
      <c r="V11" s="491"/>
      <c r="W11" s="353"/>
      <c r="X11" s="354"/>
    </row>
    <row r="12" spans="1:24" x14ac:dyDescent="0.2">
      <c r="A12" s="6" t="s">
        <v>28</v>
      </c>
      <c r="B12" s="6" t="s">
        <v>29</v>
      </c>
      <c r="C12" s="44">
        <v>38.225630000000002</v>
      </c>
      <c r="D12" s="44"/>
      <c r="E12" s="44"/>
      <c r="F12" s="44">
        <v>94.759433000000001</v>
      </c>
      <c r="G12" s="44"/>
      <c r="H12" s="44">
        <v>44.627352000000009</v>
      </c>
      <c r="I12" s="122">
        <f t="shared" si="2"/>
        <v>177.612415</v>
      </c>
      <c r="J12" s="335">
        <f t="shared" si="3"/>
        <v>0.28744303410977823</v>
      </c>
      <c r="K12" s="335">
        <f t="shared" si="4"/>
        <v>0</v>
      </c>
      <c r="L12" s="335">
        <f t="shared" si="4"/>
        <v>0</v>
      </c>
      <c r="M12" s="335">
        <f t="shared" si="4"/>
        <v>0.71255696589022188</v>
      </c>
      <c r="N12" s="335">
        <f t="shared" si="4"/>
        <v>0</v>
      </c>
      <c r="O12" s="335">
        <f t="shared" si="5"/>
        <v>0.74873742919378694</v>
      </c>
      <c r="P12" s="336">
        <f t="shared" si="6"/>
        <v>0.25126257080621311</v>
      </c>
      <c r="R12" s="355" t="s">
        <v>2399</v>
      </c>
      <c r="S12" s="351">
        <v>1660.25</v>
      </c>
      <c r="T12" s="352"/>
      <c r="U12" s="346"/>
      <c r="V12" s="346"/>
      <c r="W12" s="346"/>
      <c r="X12" s="347"/>
    </row>
    <row r="13" spans="1:24" x14ac:dyDescent="0.2">
      <c r="A13" s="6" t="s">
        <v>30</v>
      </c>
      <c r="B13" s="6" t="s">
        <v>31</v>
      </c>
      <c r="C13" s="44">
        <v>81.323575000000005</v>
      </c>
      <c r="D13" s="44"/>
      <c r="E13" s="44"/>
      <c r="F13" s="44">
        <v>115.05750500000009</v>
      </c>
      <c r="G13" s="44">
        <v>43.624285999999998</v>
      </c>
      <c r="H13" s="44">
        <v>92.250295000000051</v>
      </c>
      <c r="I13" s="122">
        <f t="shared" si="2"/>
        <v>332.25566100000015</v>
      </c>
      <c r="J13" s="335">
        <f t="shared" si="3"/>
        <v>0.33884065325439422</v>
      </c>
      <c r="K13" s="335">
        <f t="shared" si="4"/>
        <v>0</v>
      </c>
      <c r="L13" s="335">
        <f t="shared" si="4"/>
        <v>0</v>
      </c>
      <c r="M13" s="335">
        <f t="shared" si="4"/>
        <v>0.47939555234777559</v>
      </c>
      <c r="N13" s="335">
        <f t="shared" si="4"/>
        <v>0.18176379439783016</v>
      </c>
      <c r="O13" s="335">
        <f t="shared" si="5"/>
        <v>0.7223514725908613</v>
      </c>
      <c r="P13" s="336">
        <f t="shared" si="6"/>
        <v>0.27764852740913876</v>
      </c>
      <c r="R13" s="355" t="s">
        <v>2400</v>
      </c>
      <c r="S13" s="351">
        <v>1267.18</v>
      </c>
      <c r="T13" s="352"/>
      <c r="U13" s="348"/>
      <c r="V13" s="348"/>
      <c r="W13" s="348"/>
      <c r="X13" s="356"/>
    </row>
    <row r="14" spans="1:24" x14ac:dyDescent="0.2">
      <c r="A14" s="6" t="s">
        <v>32</v>
      </c>
      <c r="B14" s="6" t="s">
        <v>33</v>
      </c>
      <c r="C14" s="44">
        <v>22.733756</v>
      </c>
      <c r="D14" s="44">
        <v>11.971045</v>
      </c>
      <c r="E14" s="44">
        <v>4.0932200000000005</v>
      </c>
      <c r="F14" s="44">
        <v>22.142656000000002</v>
      </c>
      <c r="G14" s="44">
        <v>16</v>
      </c>
      <c r="H14" s="44">
        <v>35.386298000000004</v>
      </c>
      <c r="I14" s="122">
        <f t="shared" si="2"/>
        <v>112.326975</v>
      </c>
      <c r="J14" s="335">
        <f t="shared" si="3"/>
        <v>0.29547122388850305</v>
      </c>
      <c r="K14" s="335">
        <f t="shared" si="4"/>
        <v>0.15558798631314355</v>
      </c>
      <c r="L14" s="335">
        <f t="shared" si="4"/>
        <v>5.3199687858218353E-2</v>
      </c>
      <c r="M14" s="335">
        <f t="shared" si="4"/>
        <v>0.28778868166184707</v>
      </c>
      <c r="N14" s="335">
        <f t="shared" si="4"/>
        <v>0.20795242027828789</v>
      </c>
      <c r="O14" s="335">
        <f t="shared" si="5"/>
        <v>0.68497061369274836</v>
      </c>
      <c r="P14" s="336">
        <f t="shared" si="6"/>
        <v>0.31502938630725169</v>
      </c>
      <c r="R14" s="350" t="s">
        <v>2401</v>
      </c>
      <c r="S14" s="351">
        <v>1899.76</v>
      </c>
      <c r="T14" s="352"/>
      <c r="U14" s="348"/>
      <c r="V14" s="348"/>
      <c r="W14" s="348"/>
      <c r="X14" s="356"/>
    </row>
    <row r="15" spans="1:24" x14ac:dyDescent="0.2">
      <c r="A15" s="6" t="s">
        <v>34</v>
      </c>
      <c r="B15" s="6" t="s">
        <v>35</v>
      </c>
      <c r="C15" s="44">
        <v>36.570684999999997</v>
      </c>
      <c r="D15" s="44"/>
      <c r="E15" s="44"/>
      <c r="F15" s="44">
        <v>148.87723499999998</v>
      </c>
      <c r="G15" s="44"/>
      <c r="H15" s="44">
        <v>46.125449999999994</v>
      </c>
      <c r="I15" s="122">
        <f t="shared" si="2"/>
        <v>231.57336999999998</v>
      </c>
      <c r="J15" s="335">
        <f t="shared" si="3"/>
        <v>0.19720191523312852</v>
      </c>
      <c r="K15" s="335">
        <f t="shared" si="4"/>
        <v>0</v>
      </c>
      <c r="L15" s="335">
        <f t="shared" si="4"/>
        <v>0</v>
      </c>
      <c r="M15" s="335">
        <f t="shared" si="4"/>
        <v>0.80279808476687142</v>
      </c>
      <c r="N15" s="335">
        <f t="shared" si="4"/>
        <v>0</v>
      </c>
      <c r="O15" s="335">
        <f t="shared" si="5"/>
        <v>0.80081712331603583</v>
      </c>
      <c r="P15" s="336">
        <f t="shared" si="6"/>
        <v>0.19918287668396412</v>
      </c>
      <c r="R15" s="350" t="s">
        <v>2402</v>
      </c>
      <c r="S15" s="351">
        <v>949.88</v>
      </c>
      <c r="T15" s="352"/>
      <c r="U15" s="348"/>
      <c r="V15" s="348"/>
      <c r="W15" s="348"/>
      <c r="X15" s="356"/>
    </row>
    <row r="16" spans="1:24" ht="13.5" thickBot="1" x14ac:dyDescent="0.25">
      <c r="A16" s="6" t="s">
        <v>36</v>
      </c>
      <c r="B16" s="6" t="s">
        <v>37</v>
      </c>
      <c r="C16" s="44">
        <v>172.53124400000024</v>
      </c>
      <c r="D16" s="44"/>
      <c r="E16" s="44"/>
      <c r="F16" s="44">
        <v>57.997143000000001</v>
      </c>
      <c r="G16" s="44">
        <v>67.674286000000009</v>
      </c>
      <c r="H16" s="44">
        <v>20.409999999999997</v>
      </c>
      <c r="I16" s="122">
        <f t="shared" si="2"/>
        <v>318.6126730000002</v>
      </c>
      <c r="J16" s="335">
        <f t="shared" si="3"/>
        <v>0.57857041408881038</v>
      </c>
      <c r="K16" s="335">
        <f t="shared" si="4"/>
        <v>0</v>
      </c>
      <c r="L16" s="335">
        <f t="shared" si="4"/>
        <v>0</v>
      </c>
      <c r="M16" s="335">
        <f t="shared" si="4"/>
        <v>0.19448901116992992</v>
      </c>
      <c r="N16" s="335">
        <f t="shared" si="4"/>
        <v>0.22694057474125981</v>
      </c>
      <c r="O16" s="335">
        <f t="shared" si="5"/>
        <v>0.93594102893703801</v>
      </c>
      <c r="P16" s="336">
        <f t="shared" si="6"/>
        <v>6.4058971062962031E-2</v>
      </c>
      <c r="R16" s="492" t="s">
        <v>2403</v>
      </c>
      <c r="S16" s="493"/>
      <c r="T16" s="493"/>
      <c r="U16" s="493"/>
      <c r="V16" s="493"/>
      <c r="W16" s="357"/>
      <c r="X16" s="358"/>
    </row>
    <row r="17" spans="1:16" x14ac:dyDescent="0.2">
      <c r="A17" s="6" t="s">
        <v>38</v>
      </c>
      <c r="B17" s="6" t="s">
        <v>39</v>
      </c>
      <c r="C17" s="44">
        <v>6.9749999999999996</v>
      </c>
      <c r="D17" s="44">
        <v>5.9874999999999998</v>
      </c>
      <c r="E17" s="44">
        <v>1</v>
      </c>
      <c r="F17" s="44">
        <v>22.690624</v>
      </c>
      <c r="G17" s="44">
        <v>1</v>
      </c>
      <c r="H17" s="44">
        <v>3.2312500000000002</v>
      </c>
      <c r="I17" s="122">
        <f t="shared" si="2"/>
        <v>40.884374000000001</v>
      </c>
      <c r="J17" s="335">
        <f t="shared" si="3"/>
        <v>0.18524359359929871</v>
      </c>
      <c r="K17" s="335">
        <f t="shared" si="4"/>
        <v>0.15901735006104672</v>
      </c>
      <c r="L17" s="335">
        <f t="shared" si="4"/>
        <v>2.6558221304558954E-2</v>
      </c>
      <c r="M17" s="335">
        <f t="shared" si="4"/>
        <v>0.60262261373053672</v>
      </c>
      <c r="N17" s="335">
        <f t="shared" si="4"/>
        <v>2.6558221304558954E-2</v>
      </c>
      <c r="O17" s="335">
        <f t="shared" si="5"/>
        <v>0.92096613733158783</v>
      </c>
      <c r="P17" s="336">
        <f t="shared" si="6"/>
        <v>7.9033862668412141E-2</v>
      </c>
    </row>
    <row r="18" spans="1:16" x14ac:dyDescent="0.2">
      <c r="A18" s="6" t="s">
        <v>40</v>
      </c>
      <c r="B18" s="6" t="s">
        <v>41</v>
      </c>
      <c r="C18" s="44">
        <v>19.957576</v>
      </c>
      <c r="D18" s="44">
        <v>19.781212</v>
      </c>
      <c r="E18" s="44">
        <v>5</v>
      </c>
      <c r="F18" s="44">
        <v>27.958787999999998</v>
      </c>
      <c r="G18" s="44">
        <v>6</v>
      </c>
      <c r="H18" s="44">
        <v>9.4098489999999995</v>
      </c>
      <c r="I18" s="122">
        <f t="shared" si="2"/>
        <v>88.107424999999992</v>
      </c>
      <c r="J18" s="335">
        <f t="shared" si="3"/>
        <v>0.2535983573369528</v>
      </c>
      <c r="K18" s="335">
        <f t="shared" si="4"/>
        <v>0.25135732261944127</v>
      </c>
      <c r="L18" s="335">
        <f t="shared" si="4"/>
        <v>6.3534358415308759E-2</v>
      </c>
      <c r="M18" s="335">
        <f t="shared" si="4"/>
        <v>0.35526873152992666</v>
      </c>
      <c r="N18" s="335">
        <f t="shared" si="4"/>
        <v>7.6241230098370499E-2</v>
      </c>
      <c r="O18" s="335">
        <f t="shared" si="5"/>
        <v>0.89320027228125221</v>
      </c>
      <c r="P18" s="336">
        <f t="shared" si="6"/>
        <v>0.10679972771874788</v>
      </c>
    </row>
    <row r="19" spans="1:16" x14ac:dyDescent="0.2">
      <c r="A19" s="6" t="s">
        <v>42</v>
      </c>
      <c r="B19" s="6" t="s">
        <v>43</v>
      </c>
      <c r="C19" s="44">
        <v>36.818224000000001</v>
      </c>
      <c r="D19" s="44">
        <v>16</v>
      </c>
      <c r="E19" s="44">
        <v>23.748570999999998</v>
      </c>
      <c r="F19" s="44">
        <v>59.692856999999997</v>
      </c>
      <c r="G19" s="44"/>
      <c r="H19" s="44">
        <v>14.435713999999999</v>
      </c>
      <c r="I19" s="122">
        <f t="shared" si="2"/>
        <v>150.69536599999998</v>
      </c>
      <c r="J19" s="335">
        <f t="shared" si="3"/>
        <v>0.27020635573030821</v>
      </c>
      <c r="K19" s="335">
        <f t="shared" si="4"/>
        <v>0.11742287438103835</v>
      </c>
      <c r="L19" s="335">
        <f t="shared" si="4"/>
        <v>0.17428909182888563</v>
      </c>
      <c r="M19" s="335">
        <f t="shared" si="4"/>
        <v>0.43808167805976783</v>
      </c>
      <c r="N19" s="335">
        <f t="shared" si="4"/>
        <v>0</v>
      </c>
      <c r="O19" s="335">
        <f t="shared" si="5"/>
        <v>0.90420598600225044</v>
      </c>
      <c r="P19" s="336">
        <f t="shared" si="6"/>
        <v>9.5794013997749616E-2</v>
      </c>
    </row>
    <row r="20" spans="1:16" x14ac:dyDescent="0.2">
      <c r="A20" s="6" t="s">
        <v>44</v>
      </c>
      <c r="B20" s="6" t="s">
        <v>45</v>
      </c>
      <c r="C20" s="44">
        <v>56.822856000000002</v>
      </c>
      <c r="D20" s="44">
        <v>12</v>
      </c>
      <c r="E20" s="44">
        <v>24</v>
      </c>
      <c r="F20" s="44">
        <v>30.822856999999999</v>
      </c>
      <c r="G20" s="44"/>
      <c r="H20" s="44">
        <v>19.843571999999998</v>
      </c>
      <c r="I20" s="122">
        <f t="shared" si="2"/>
        <v>143.489285</v>
      </c>
      <c r="J20" s="335">
        <f t="shared" si="3"/>
        <v>0.45956187741017757</v>
      </c>
      <c r="K20" s="335">
        <f t="shared" si="4"/>
        <v>9.7051484510425362E-2</v>
      </c>
      <c r="L20" s="335">
        <f t="shared" si="4"/>
        <v>0.19410296902085072</v>
      </c>
      <c r="M20" s="335">
        <f t="shared" si="4"/>
        <v>0.24928366905854632</v>
      </c>
      <c r="N20" s="335">
        <f t="shared" si="4"/>
        <v>0</v>
      </c>
      <c r="O20" s="335">
        <f t="shared" si="5"/>
        <v>0.86170694208978749</v>
      </c>
      <c r="P20" s="336">
        <f t="shared" si="6"/>
        <v>0.1382930579102126</v>
      </c>
    </row>
    <row r="21" spans="1:16" x14ac:dyDescent="0.2">
      <c r="A21" s="6" t="s">
        <v>46</v>
      </c>
      <c r="B21" s="6" t="s">
        <v>47</v>
      </c>
      <c r="C21" s="44">
        <v>15.781400999999999</v>
      </c>
      <c r="D21" s="44">
        <v>12.726744</v>
      </c>
      <c r="E21" s="44">
        <v>4</v>
      </c>
      <c r="F21" s="44">
        <v>20.726744</v>
      </c>
      <c r="G21" s="44">
        <v>15.706211</v>
      </c>
      <c r="H21" s="44">
        <v>15.169852999999996</v>
      </c>
      <c r="I21" s="122">
        <f t="shared" si="2"/>
        <v>84.110952999999995</v>
      </c>
      <c r="J21" s="335">
        <f t="shared" si="3"/>
        <v>0.22891136056720884</v>
      </c>
      <c r="K21" s="335">
        <f t="shared" si="4"/>
        <v>0.18460314674410477</v>
      </c>
      <c r="L21" s="335">
        <f t="shared" si="4"/>
        <v>5.8020542172956345E-2</v>
      </c>
      <c r="M21" s="335">
        <f t="shared" si="4"/>
        <v>0.30064423109001748</v>
      </c>
      <c r="N21" s="335">
        <f t="shared" si="4"/>
        <v>0.22782071942571269</v>
      </c>
      <c r="O21" s="335">
        <f t="shared" si="5"/>
        <v>0.81964473758845646</v>
      </c>
      <c r="P21" s="336">
        <f t="shared" si="6"/>
        <v>0.18035526241154345</v>
      </c>
    </row>
    <row r="22" spans="1:16" x14ac:dyDescent="0.2">
      <c r="A22" s="6" t="s">
        <v>48</v>
      </c>
      <c r="B22" s="6" t="s">
        <v>49</v>
      </c>
      <c r="C22" s="44">
        <v>197.23875899999999</v>
      </c>
      <c r="D22" s="44">
        <v>57.944524999999999</v>
      </c>
      <c r="E22" s="44">
        <v>37.903369999999995</v>
      </c>
      <c r="F22" s="44">
        <v>94.571628000000047</v>
      </c>
      <c r="G22" s="44">
        <v>4.6383419999999997</v>
      </c>
      <c r="H22" s="44">
        <v>69.636235999999982</v>
      </c>
      <c r="I22" s="122">
        <f t="shared" si="2"/>
        <v>461.93286000000001</v>
      </c>
      <c r="J22" s="335">
        <f t="shared" si="3"/>
        <v>0.5027796492074833</v>
      </c>
      <c r="K22" s="335">
        <f t="shared" si="4"/>
        <v>0.14770589766788306</v>
      </c>
      <c r="L22" s="335">
        <f t="shared" si="4"/>
        <v>9.6619159281880529E-2</v>
      </c>
      <c r="M22" s="335">
        <f t="shared" si="4"/>
        <v>0.24107173555487962</v>
      </c>
      <c r="N22" s="335">
        <f t="shared" si="4"/>
        <v>1.1823558287873515E-2</v>
      </c>
      <c r="O22" s="335">
        <f t="shared" si="5"/>
        <v>0.84925030880028751</v>
      </c>
      <c r="P22" s="336">
        <f t="shared" si="6"/>
        <v>0.1507496911997124</v>
      </c>
    </row>
    <row r="23" spans="1:16" x14ac:dyDescent="0.2">
      <c r="A23" s="6" t="s">
        <v>50</v>
      </c>
      <c r="B23" s="6" t="s">
        <v>51</v>
      </c>
      <c r="C23" s="44">
        <v>54</v>
      </c>
      <c r="D23" s="44">
        <v>14</v>
      </c>
      <c r="E23" s="44">
        <v>10</v>
      </c>
      <c r="F23" s="44">
        <v>24</v>
      </c>
      <c r="G23" s="44"/>
      <c r="H23" s="44">
        <v>7</v>
      </c>
      <c r="I23" s="122">
        <f t="shared" si="2"/>
        <v>109</v>
      </c>
      <c r="J23" s="335">
        <f t="shared" si="3"/>
        <v>0.52941176470588236</v>
      </c>
      <c r="K23" s="335">
        <f t="shared" si="4"/>
        <v>0.13725490196078433</v>
      </c>
      <c r="L23" s="335">
        <f t="shared" si="4"/>
        <v>9.8039215686274508E-2</v>
      </c>
      <c r="M23" s="335">
        <f t="shared" si="4"/>
        <v>0.23529411764705882</v>
      </c>
      <c r="N23" s="335">
        <f t="shared" si="4"/>
        <v>0</v>
      </c>
      <c r="O23" s="335">
        <f t="shared" si="5"/>
        <v>0.93577981651376152</v>
      </c>
      <c r="P23" s="336">
        <f t="shared" si="6"/>
        <v>6.4220183486238536E-2</v>
      </c>
    </row>
    <row r="24" spans="1:16" x14ac:dyDescent="0.2">
      <c r="A24" s="6" t="s">
        <v>52</v>
      </c>
      <c r="B24" s="6" t="s">
        <v>53</v>
      </c>
      <c r="C24" s="44">
        <v>56.536428000000001</v>
      </c>
      <c r="D24" s="44">
        <v>57.823574000000008</v>
      </c>
      <c r="E24" s="44">
        <v>15.511429</v>
      </c>
      <c r="F24" s="44">
        <v>118.14041999999999</v>
      </c>
      <c r="G24" s="44">
        <v>46.180714000000002</v>
      </c>
      <c r="H24" s="44">
        <v>42.702854000000002</v>
      </c>
      <c r="I24" s="122">
        <f t="shared" si="2"/>
        <v>336.895419</v>
      </c>
      <c r="J24" s="335">
        <f t="shared" si="3"/>
        <v>0.19217490421622313</v>
      </c>
      <c r="K24" s="335">
        <f t="shared" si="4"/>
        <v>0.19655008616550187</v>
      </c>
      <c r="L24" s="335">
        <f t="shared" si="4"/>
        <v>5.2725428326171331E-2</v>
      </c>
      <c r="M24" s="335">
        <f t="shared" si="4"/>
        <v>0.40157513837917691</v>
      </c>
      <c r="N24" s="335">
        <f t="shared" si="4"/>
        <v>0.15697444291292678</v>
      </c>
      <c r="O24" s="335">
        <f t="shared" si="5"/>
        <v>0.87324596420232115</v>
      </c>
      <c r="P24" s="336">
        <f t="shared" si="6"/>
        <v>0.1267540357976788</v>
      </c>
    </row>
    <row r="25" spans="1:16" x14ac:dyDescent="0.2">
      <c r="A25" s="6" t="s">
        <v>54</v>
      </c>
      <c r="B25" s="6" t="s">
        <v>55</v>
      </c>
      <c r="C25" s="44">
        <v>16.725852</v>
      </c>
      <c r="D25" s="44">
        <v>12.575284</v>
      </c>
      <c r="E25" s="44">
        <v>4</v>
      </c>
      <c r="F25" s="44">
        <v>41.636704000000002</v>
      </c>
      <c r="G25" s="44"/>
      <c r="H25" s="44">
        <v>71.58948700000002</v>
      </c>
      <c r="I25" s="122">
        <f t="shared" si="2"/>
        <v>146.52732700000001</v>
      </c>
      <c r="J25" s="335">
        <f t="shared" si="3"/>
        <v>0.22319634513084446</v>
      </c>
      <c r="K25" s="335">
        <f t="shared" si="4"/>
        <v>0.16780953387500896</v>
      </c>
      <c r="L25" s="335">
        <f t="shared" si="4"/>
        <v>5.3377572665558551E-2</v>
      </c>
      <c r="M25" s="335">
        <f t="shared" si="4"/>
        <v>0.55561654832858809</v>
      </c>
      <c r="N25" s="335">
        <f t="shared" si="4"/>
        <v>0</v>
      </c>
      <c r="O25" s="335">
        <f t="shared" si="5"/>
        <v>0.5114256946760517</v>
      </c>
      <c r="P25" s="336">
        <f t="shared" si="6"/>
        <v>0.4885743053239483</v>
      </c>
    </row>
    <row r="26" spans="1:16" x14ac:dyDescent="0.2">
      <c r="A26" s="6" t="s">
        <v>56</v>
      </c>
      <c r="B26" s="6" t="s">
        <v>57</v>
      </c>
      <c r="C26" s="44">
        <v>101.36316699999998</v>
      </c>
      <c r="D26" s="44"/>
      <c r="E26" s="44"/>
      <c r="F26" s="44">
        <v>53.034999999999997</v>
      </c>
      <c r="G26" s="44">
        <v>38.76</v>
      </c>
      <c r="H26" s="44">
        <v>44.711434999999994</v>
      </c>
      <c r="I26" s="122">
        <f t="shared" si="2"/>
        <v>237.86960199999996</v>
      </c>
      <c r="J26" s="335">
        <f t="shared" si="3"/>
        <v>0.52476769983016036</v>
      </c>
      <c r="K26" s="335">
        <f t="shared" si="4"/>
        <v>0</v>
      </c>
      <c r="L26" s="335">
        <f t="shared" si="4"/>
        <v>0</v>
      </c>
      <c r="M26" s="335">
        <f t="shared" si="4"/>
        <v>0.27456773287768882</v>
      </c>
      <c r="N26" s="335">
        <f t="shared" si="4"/>
        <v>0.20066456729215082</v>
      </c>
      <c r="O26" s="335">
        <f t="shared" si="5"/>
        <v>0.81203384281107094</v>
      </c>
      <c r="P26" s="336">
        <f t="shared" si="6"/>
        <v>0.18796615718892909</v>
      </c>
    </row>
    <row r="27" spans="1:16" x14ac:dyDescent="0.2">
      <c r="A27" s="6" t="s">
        <v>58</v>
      </c>
      <c r="B27" s="6" t="s">
        <v>59</v>
      </c>
      <c r="C27" s="44">
        <v>614.05379099999925</v>
      </c>
      <c r="D27" s="44"/>
      <c r="E27" s="44"/>
      <c r="F27" s="44">
        <v>1117.5453349999982</v>
      </c>
      <c r="G27" s="44"/>
      <c r="H27" s="44">
        <v>462.86974099999952</v>
      </c>
      <c r="I27" s="122">
        <f t="shared" si="2"/>
        <v>2194.4688669999969</v>
      </c>
      <c r="J27" s="335">
        <f t="shared" si="3"/>
        <v>0.35461659790650657</v>
      </c>
      <c r="K27" s="335">
        <f t="shared" si="4"/>
        <v>0</v>
      </c>
      <c r="L27" s="335">
        <f t="shared" si="4"/>
        <v>0</v>
      </c>
      <c r="M27" s="335">
        <f t="shared" si="4"/>
        <v>0.64538340209349354</v>
      </c>
      <c r="N27" s="335">
        <f t="shared" si="4"/>
        <v>0</v>
      </c>
      <c r="O27" s="335">
        <f t="shared" si="5"/>
        <v>0.7890743642069632</v>
      </c>
      <c r="P27" s="336">
        <f t="shared" si="6"/>
        <v>0.21092563579303683</v>
      </c>
    </row>
    <row r="28" spans="1:16" x14ac:dyDescent="0.2">
      <c r="A28" s="6" t="s">
        <v>60</v>
      </c>
      <c r="B28" s="6" t="s">
        <v>61</v>
      </c>
      <c r="C28" s="44">
        <v>61.173575000000014</v>
      </c>
      <c r="D28" s="44">
        <v>28.894034000000001</v>
      </c>
      <c r="E28" s="44">
        <v>11.734226999999999</v>
      </c>
      <c r="F28" s="44">
        <v>76.130185999999995</v>
      </c>
      <c r="G28" s="44"/>
      <c r="H28" s="44">
        <v>29.320966000000009</v>
      </c>
      <c r="I28" s="122">
        <f t="shared" si="2"/>
        <v>207.25298800000002</v>
      </c>
      <c r="J28" s="335">
        <f t="shared" si="3"/>
        <v>0.34380306766816826</v>
      </c>
      <c r="K28" s="335">
        <f t="shared" si="4"/>
        <v>0.16238804952151895</v>
      </c>
      <c r="L28" s="335">
        <f t="shared" si="4"/>
        <v>6.5947808989660101E-2</v>
      </c>
      <c r="M28" s="335">
        <f t="shared" si="4"/>
        <v>0.42786107382065264</v>
      </c>
      <c r="N28" s="335">
        <f t="shared" si="4"/>
        <v>0</v>
      </c>
      <c r="O28" s="335">
        <f t="shared" si="5"/>
        <v>0.85852572605611843</v>
      </c>
      <c r="P28" s="336">
        <f t="shared" si="6"/>
        <v>0.1414742739438816</v>
      </c>
    </row>
    <row r="29" spans="1:16" x14ac:dyDescent="0.2">
      <c r="A29" s="6" t="s">
        <v>62</v>
      </c>
      <c r="B29" s="6" t="s">
        <v>63</v>
      </c>
      <c r="C29" s="44">
        <v>18.005000000000003</v>
      </c>
      <c r="D29" s="44">
        <v>11.638571000000001</v>
      </c>
      <c r="E29" s="44">
        <v>5.64</v>
      </c>
      <c r="F29" s="44">
        <v>34.715000000000003</v>
      </c>
      <c r="G29" s="44"/>
      <c r="H29" s="44">
        <v>41.925000000000011</v>
      </c>
      <c r="I29" s="122">
        <f t="shared" si="2"/>
        <v>111.92357100000001</v>
      </c>
      <c r="J29" s="335">
        <f t="shared" si="3"/>
        <v>0.25721953666739861</v>
      </c>
      <c r="K29" s="335">
        <f t="shared" si="4"/>
        <v>0.16626869425662991</v>
      </c>
      <c r="L29" s="335">
        <f t="shared" si="4"/>
        <v>8.0573073413170104E-2</v>
      </c>
      <c r="M29" s="335">
        <f t="shared" si="4"/>
        <v>0.49593869566280152</v>
      </c>
      <c r="N29" s="335">
        <f t="shared" si="4"/>
        <v>0</v>
      </c>
      <c r="O29" s="335">
        <f t="shared" si="5"/>
        <v>0.62541402471870733</v>
      </c>
      <c r="P29" s="336">
        <f t="shared" si="6"/>
        <v>0.37458597528129267</v>
      </c>
    </row>
    <row r="30" spans="1:16" x14ac:dyDescent="0.2">
      <c r="A30" s="6" t="s">
        <v>64</v>
      </c>
      <c r="B30" s="6" t="s">
        <v>65</v>
      </c>
      <c r="C30" s="44">
        <v>38.898331999999996</v>
      </c>
      <c r="D30" s="44">
        <v>90.352529000000004</v>
      </c>
      <c r="E30" s="44">
        <v>10.769577999999999</v>
      </c>
      <c r="F30" s="44">
        <v>187.32471700000002</v>
      </c>
      <c r="G30" s="44">
        <v>74.021168000000003</v>
      </c>
      <c r="H30" s="44">
        <v>55.077458000000021</v>
      </c>
      <c r="I30" s="122">
        <f t="shared" si="2"/>
        <v>456.443782</v>
      </c>
      <c r="J30" s="335">
        <f t="shared" si="3"/>
        <v>9.6914787499710608E-2</v>
      </c>
      <c r="K30" s="335">
        <f t="shared" si="4"/>
        <v>0.22511238137657014</v>
      </c>
      <c r="L30" s="335">
        <f t="shared" si="4"/>
        <v>2.6832290992106253E-2</v>
      </c>
      <c r="M30" s="335">
        <f t="shared" si="4"/>
        <v>0.4667175739437473</v>
      </c>
      <c r="N30" s="335">
        <f t="shared" si="4"/>
        <v>0.18442296618786586</v>
      </c>
      <c r="O30" s="335">
        <f t="shared" si="5"/>
        <v>0.87933353422262184</v>
      </c>
      <c r="P30" s="336">
        <f t="shared" si="6"/>
        <v>0.12066646577737808</v>
      </c>
    </row>
    <row r="31" spans="1:16" x14ac:dyDescent="0.2">
      <c r="A31" s="6" t="s">
        <v>66</v>
      </c>
      <c r="B31" s="6" t="s">
        <v>67</v>
      </c>
      <c r="C31" s="44">
        <v>597.87467800000024</v>
      </c>
      <c r="D31" s="44">
        <v>266.31431800000007</v>
      </c>
      <c r="E31" s="44">
        <v>239.63571200000001</v>
      </c>
      <c r="F31" s="44">
        <v>582.42220400000008</v>
      </c>
      <c r="G31" s="44">
        <v>269.11414300000001</v>
      </c>
      <c r="H31" s="44">
        <v>151.42526900000001</v>
      </c>
      <c r="I31" s="122">
        <f t="shared" si="2"/>
        <v>2106.7863240000006</v>
      </c>
      <c r="J31" s="335">
        <f t="shared" si="3"/>
        <v>0.30576178065487764</v>
      </c>
      <c r="K31" s="335">
        <f t="shared" si="4"/>
        <v>0.1361970042918749</v>
      </c>
      <c r="L31" s="335">
        <f t="shared" si="4"/>
        <v>0.1225531782926913</v>
      </c>
      <c r="M31" s="335">
        <f t="shared" si="4"/>
        <v>0.29785916136086688</v>
      </c>
      <c r="N31" s="335">
        <f t="shared" si="4"/>
        <v>0.13762887539968927</v>
      </c>
      <c r="O31" s="335">
        <f t="shared" si="5"/>
        <v>0.92812499906848644</v>
      </c>
      <c r="P31" s="336">
        <f t="shared" si="6"/>
        <v>7.1875000931513527E-2</v>
      </c>
    </row>
    <row r="32" spans="1:16" x14ac:dyDescent="0.2">
      <c r="A32" s="6" t="s">
        <v>68</v>
      </c>
      <c r="B32" s="6" t="s">
        <v>69</v>
      </c>
      <c r="C32" s="44">
        <v>17.124998999999999</v>
      </c>
      <c r="D32" s="44">
        <v>19.129998999999998</v>
      </c>
      <c r="E32" s="44">
        <v>6</v>
      </c>
      <c r="F32" s="44">
        <v>26.75</v>
      </c>
      <c r="G32" s="44">
        <v>15.75</v>
      </c>
      <c r="H32" s="44">
        <v>27.291622999999998</v>
      </c>
      <c r="I32" s="122">
        <f t="shared" si="2"/>
        <v>112.046621</v>
      </c>
      <c r="J32" s="335">
        <f t="shared" si="3"/>
        <v>0.20205296919480784</v>
      </c>
      <c r="K32" s="335">
        <f t="shared" si="4"/>
        <v>0.22570939120310046</v>
      </c>
      <c r="L32" s="335">
        <f t="shared" si="4"/>
        <v>7.0792285311598965E-2</v>
      </c>
      <c r="M32" s="335">
        <f t="shared" si="4"/>
        <v>0.3156156053475454</v>
      </c>
      <c r="N32" s="335">
        <f t="shared" si="4"/>
        <v>0.18582974894294729</v>
      </c>
      <c r="O32" s="335">
        <f t="shared" si="5"/>
        <v>0.75642618441835918</v>
      </c>
      <c r="P32" s="336">
        <f t="shared" si="6"/>
        <v>0.24357381558164076</v>
      </c>
    </row>
    <row r="33" spans="1:16" x14ac:dyDescent="0.2">
      <c r="A33" s="6" t="s">
        <v>70</v>
      </c>
      <c r="B33" s="6" t="s">
        <v>71</v>
      </c>
      <c r="C33" s="44">
        <v>70.665483000000009</v>
      </c>
      <c r="D33" s="44"/>
      <c r="E33" s="44"/>
      <c r="F33" s="44">
        <v>107.852273</v>
      </c>
      <c r="G33" s="44">
        <v>4</v>
      </c>
      <c r="H33" s="44">
        <v>129.866139</v>
      </c>
      <c r="I33" s="122">
        <f t="shared" si="2"/>
        <v>312.38389500000005</v>
      </c>
      <c r="J33" s="335">
        <f t="shared" si="3"/>
        <v>0.38717045699378422</v>
      </c>
      <c r="K33" s="335">
        <f t="shared" si="4"/>
        <v>0</v>
      </c>
      <c r="L33" s="335">
        <f t="shared" si="4"/>
        <v>0</v>
      </c>
      <c r="M33" s="335">
        <f t="shared" si="4"/>
        <v>0.5909138670322025</v>
      </c>
      <c r="N33" s="335">
        <f t="shared" si="4"/>
        <v>2.1915675974013178E-2</v>
      </c>
      <c r="O33" s="335">
        <f t="shared" si="5"/>
        <v>0.5842738979869625</v>
      </c>
      <c r="P33" s="336">
        <f t="shared" si="6"/>
        <v>0.41572610201303745</v>
      </c>
    </row>
    <row r="34" spans="1:16" x14ac:dyDescent="0.2">
      <c r="A34" s="6" t="s">
        <v>72</v>
      </c>
      <c r="B34" s="6" t="s">
        <v>73</v>
      </c>
      <c r="C34" s="44">
        <v>73.330000999999982</v>
      </c>
      <c r="D34" s="44">
        <v>20.508572000000001</v>
      </c>
      <c r="E34" s="44">
        <v>22.855</v>
      </c>
      <c r="F34" s="44">
        <v>94.861429000000015</v>
      </c>
      <c r="G34" s="44"/>
      <c r="H34" s="44">
        <v>146.97428599999989</v>
      </c>
      <c r="I34" s="122">
        <f t="shared" si="2"/>
        <v>358.52928799999989</v>
      </c>
      <c r="J34" s="335">
        <f t="shared" si="3"/>
        <v>0.34662381086125293</v>
      </c>
      <c r="K34" s="335">
        <f t="shared" si="4"/>
        <v>9.6942033069962588E-2</v>
      </c>
      <c r="L34" s="335">
        <f t="shared" si="4"/>
        <v>0.10803337091504932</v>
      </c>
      <c r="M34" s="335">
        <f t="shared" si="4"/>
        <v>0.44840078515373516</v>
      </c>
      <c r="N34" s="335">
        <f t="shared" si="4"/>
        <v>0</v>
      </c>
      <c r="O34" s="335">
        <f t="shared" si="5"/>
        <v>0.59006337579874391</v>
      </c>
      <c r="P34" s="336">
        <f t="shared" si="6"/>
        <v>0.40993662420125615</v>
      </c>
    </row>
    <row r="35" spans="1:16" x14ac:dyDescent="0.2">
      <c r="A35" s="6" t="s">
        <v>74</v>
      </c>
      <c r="B35" s="6" t="s">
        <v>75</v>
      </c>
      <c r="C35" s="44">
        <v>5.89</v>
      </c>
      <c r="D35" s="44"/>
      <c r="E35" s="44"/>
      <c r="F35" s="44">
        <v>17.927143000000001</v>
      </c>
      <c r="G35" s="44">
        <v>6.5428579999999998</v>
      </c>
      <c r="H35" s="44">
        <v>3.617143</v>
      </c>
      <c r="I35" s="122">
        <f t="shared" si="2"/>
        <v>33.977144000000003</v>
      </c>
      <c r="J35" s="335">
        <f t="shared" si="3"/>
        <v>0.19400526370206639</v>
      </c>
      <c r="K35" s="335">
        <f t="shared" si="4"/>
        <v>0</v>
      </c>
      <c r="L35" s="335">
        <f t="shared" si="4"/>
        <v>0</v>
      </c>
      <c r="M35" s="335">
        <f t="shared" si="4"/>
        <v>0.5904855866111467</v>
      </c>
      <c r="N35" s="335">
        <f t="shared" si="4"/>
        <v>0.21550914968678689</v>
      </c>
      <c r="O35" s="335">
        <f t="shared" si="5"/>
        <v>0.89354187626835258</v>
      </c>
      <c r="P35" s="336">
        <f t="shared" si="6"/>
        <v>0.10645812373164736</v>
      </c>
    </row>
    <row r="36" spans="1:16" x14ac:dyDescent="0.2">
      <c r="A36" s="6" t="s">
        <v>76</v>
      </c>
      <c r="B36" s="6" t="s">
        <v>77</v>
      </c>
      <c r="C36" s="44">
        <v>44.514283000000006</v>
      </c>
      <c r="D36" s="44"/>
      <c r="E36" s="44"/>
      <c r="F36" s="44">
        <v>109.947138</v>
      </c>
      <c r="G36" s="44">
        <v>13.12</v>
      </c>
      <c r="H36" s="44">
        <v>72.33284900000011</v>
      </c>
      <c r="I36" s="122">
        <f t="shared" si="2"/>
        <v>239.9142700000001</v>
      </c>
      <c r="J36" s="335">
        <f t="shared" si="3"/>
        <v>0.26562779295206002</v>
      </c>
      <c r="K36" s="335">
        <f t="shared" si="4"/>
        <v>0</v>
      </c>
      <c r="L36" s="335">
        <f t="shared" si="4"/>
        <v>0</v>
      </c>
      <c r="M36" s="335">
        <f t="shared" si="4"/>
        <v>0.65608190540406019</v>
      </c>
      <c r="N36" s="335">
        <f t="shared" si="4"/>
        <v>7.829030164387972E-2</v>
      </c>
      <c r="O36" s="335">
        <f t="shared" si="5"/>
        <v>0.69850543279480592</v>
      </c>
      <c r="P36" s="336">
        <f t="shared" si="6"/>
        <v>0.30149456720519408</v>
      </c>
    </row>
    <row r="37" spans="1:16" x14ac:dyDescent="0.2">
      <c r="A37" s="6" t="s">
        <v>78</v>
      </c>
      <c r="B37" s="6" t="s">
        <v>79</v>
      </c>
      <c r="C37" s="44">
        <v>14.942143999999999</v>
      </c>
      <c r="D37" s="44">
        <v>13.920713999999998</v>
      </c>
      <c r="E37" s="44">
        <v>5</v>
      </c>
      <c r="F37" s="44">
        <v>13.717143999999999</v>
      </c>
      <c r="G37" s="44"/>
      <c r="H37" s="44">
        <v>15.501831000000001</v>
      </c>
      <c r="I37" s="122">
        <f t="shared" si="2"/>
        <v>63.081832999999996</v>
      </c>
      <c r="J37" s="335">
        <f t="shared" si="3"/>
        <v>0.31404252568127261</v>
      </c>
      <c r="K37" s="335">
        <f t="shared" si="4"/>
        <v>0.29257489312421636</v>
      </c>
      <c r="L37" s="335">
        <f t="shared" si="4"/>
        <v>0.10508616624270005</v>
      </c>
      <c r="M37" s="335">
        <f t="shared" si="4"/>
        <v>0.28829641495181108</v>
      </c>
      <c r="N37" s="335">
        <f t="shared" si="4"/>
        <v>0</v>
      </c>
      <c r="O37" s="335">
        <f t="shared" si="5"/>
        <v>0.75425839322075494</v>
      </c>
      <c r="P37" s="336">
        <f t="shared" si="6"/>
        <v>0.245741606779245</v>
      </c>
    </row>
    <row r="38" spans="1:16" x14ac:dyDescent="0.2">
      <c r="A38" s="6" t="s">
        <v>80</v>
      </c>
      <c r="B38" s="6" t="s">
        <v>81</v>
      </c>
      <c r="C38" s="44">
        <v>81.414323999999993</v>
      </c>
      <c r="D38" s="44"/>
      <c r="E38" s="44"/>
      <c r="F38" s="44">
        <v>48.412162000000002</v>
      </c>
      <c r="G38" s="44">
        <v>17.483108000000001</v>
      </c>
      <c r="H38" s="44">
        <v>12.7125</v>
      </c>
      <c r="I38" s="122">
        <f t="shared" si="2"/>
        <v>160.02209400000001</v>
      </c>
      <c r="J38" s="335">
        <f t="shared" si="3"/>
        <v>0.55267496019302031</v>
      </c>
      <c r="K38" s="335">
        <f t="shared" si="4"/>
        <v>0</v>
      </c>
      <c r="L38" s="335">
        <f t="shared" si="4"/>
        <v>0</v>
      </c>
      <c r="M38" s="335">
        <f t="shared" si="4"/>
        <v>0.32864228788791583</v>
      </c>
      <c r="N38" s="335">
        <f t="shared" si="4"/>
        <v>0.11868275191906374</v>
      </c>
      <c r="O38" s="335">
        <f t="shared" si="5"/>
        <v>0.92055784496858284</v>
      </c>
      <c r="P38" s="336">
        <f t="shared" si="6"/>
        <v>7.9442155031417092E-2</v>
      </c>
    </row>
    <row r="39" spans="1:16" x14ac:dyDescent="0.2">
      <c r="A39" s="6" t="s">
        <v>82</v>
      </c>
      <c r="B39" s="6" t="s">
        <v>83</v>
      </c>
      <c r="C39" s="44">
        <v>223.64785599999996</v>
      </c>
      <c r="D39" s="44">
        <v>43.967143</v>
      </c>
      <c r="E39" s="44">
        <v>44.965000000000003</v>
      </c>
      <c r="F39" s="44">
        <v>92.330713999999986</v>
      </c>
      <c r="G39" s="44">
        <v>57.31</v>
      </c>
      <c r="H39" s="44">
        <v>80.231431000000015</v>
      </c>
      <c r="I39" s="122">
        <f t="shared" si="2"/>
        <v>542.45214399999998</v>
      </c>
      <c r="J39" s="335">
        <f t="shared" si="3"/>
        <v>0.48385511447212015</v>
      </c>
      <c r="K39" s="335">
        <f t="shared" si="4"/>
        <v>9.5121533422064544E-2</v>
      </c>
      <c r="L39" s="335">
        <f t="shared" si="4"/>
        <v>9.7280365711347974E-2</v>
      </c>
      <c r="M39" s="335">
        <f t="shared" si="4"/>
        <v>0.19975460078527463</v>
      </c>
      <c r="N39" s="335">
        <f t="shared" si="4"/>
        <v>0.12398838560919274</v>
      </c>
      <c r="O39" s="335">
        <f t="shared" si="5"/>
        <v>0.85209491401696802</v>
      </c>
      <c r="P39" s="336">
        <f t="shared" si="6"/>
        <v>0.14790508598303193</v>
      </c>
    </row>
    <row r="40" spans="1:16" x14ac:dyDescent="0.2">
      <c r="A40" s="6" t="s">
        <v>84</v>
      </c>
      <c r="B40" s="6" t="s">
        <v>85</v>
      </c>
      <c r="C40" s="44">
        <v>7.9729729999999996</v>
      </c>
      <c r="D40" s="44">
        <v>3</v>
      </c>
      <c r="E40" s="44">
        <v>1</v>
      </c>
      <c r="F40" s="44">
        <v>8.9995810000000009</v>
      </c>
      <c r="G40" s="44">
        <v>5</v>
      </c>
      <c r="H40" s="44">
        <v>8.5092909999999993</v>
      </c>
      <c r="I40" s="122">
        <f t="shared" si="2"/>
        <v>34.481845</v>
      </c>
      <c r="J40" s="335">
        <f t="shared" si="3"/>
        <v>0.30697685718547352</v>
      </c>
      <c r="K40" s="335">
        <f t="shared" si="4"/>
        <v>0.11550654587146107</v>
      </c>
      <c r="L40" s="335">
        <f t="shared" si="4"/>
        <v>3.8502181957153693E-2</v>
      </c>
      <c r="M40" s="335">
        <f t="shared" si="4"/>
        <v>0.34650350520014322</v>
      </c>
      <c r="N40" s="335">
        <f t="shared" si="4"/>
        <v>0.19251090978576846</v>
      </c>
      <c r="O40" s="335">
        <f t="shared" si="5"/>
        <v>0.75322402267048072</v>
      </c>
      <c r="P40" s="336">
        <f t="shared" si="6"/>
        <v>0.24677597732951934</v>
      </c>
    </row>
    <row r="41" spans="1:16" x14ac:dyDescent="0.2">
      <c r="A41" s="6" t="s">
        <v>86</v>
      </c>
      <c r="B41" s="6" t="s">
        <v>87</v>
      </c>
      <c r="C41" s="44">
        <v>26.4375</v>
      </c>
      <c r="D41" s="44">
        <v>28.6875</v>
      </c>
      <c r="E41" s="44">
        <v>13</v>
      </c>
      <c r="F41" s="44">
        <v>84.035511</v>
      </c>
      <c r="G41" s="44"/>
      <c r="H41" s="44">
        <v>26.275765999999997</v>
      </c>
      <c r="I41" s="122">
        <f t="shared" si="2"/>
        <v>178.43627699999999</v>
      </c>
      <c r="J41" s="335">
        <f t="shared" si="3"/>
        <v>0.17374744489389893</v>
      </c>
      <c r="K41" s="335">
        <f t="shared" si="4"/>
        <v>0.18853446148061373</v>
      </c>
      <c r="L41" s="335">
        <f t="shared" si="4"/>
        <v>8.5436095834352188E-2</v>
      </c>
      <c r="M41" s="335">
        <f t="shared" si="4"/>
        <v>0.55228199779113518</v>
      </c>
      <c r="N41" s="335">
        <f t="shared" si="4"/>
        <v>0</v>
      </c>
      <c r="O41" s="335">
        <f t="shared" si="5"/>
        <v>0.85274426006994075</v>
      </c>
      <c r="P41" s="336">
        <f t="shared" si="6"/>
        <v>0.14725573993005917</v>
      </c>
    </row>
    <row r="42" spans="1:16" x14ac:dyDescent="0.2">
      <c r="A42" s="6" t="s">
        <v>88</v>
      </c>
      <c r="B42" s="6" t="s">
        <v>89</v>
      </c>
      <c r="C42" s="44">
        <v>16.730713999999999</v>
      </c>
      <c r="D42" s="44">
        <v>22.587857</v>
      </c>
      <c r="E42" s="44">
        <v>5.77</v>
      </c>
      <c r="F42" s="44">
        <v>32.64</v>
      </c>
      <c r="G42" s="44"/>
      <c r="H42" s="44">
        <v>25.299479999999999</v>
      </c>
      <c r="I42" s="122">
        <f t="shared" si="2"/>
        <v>103.028051</v>
      </c>
      <c r="J42" s="335">
        <f t="shared" si="3"/>
        <v>0.21524535681995233</v>
      </c>
      <c r="K42" s="335">
        <f t="shared" si="4"/>
        <v>0.29059915433155203</v>
      </c>
      <c r="L42" s="335">
        <f t="shared" si="4"/>
        <v>7.4232678225873983E-2</v>
      </c>
      <c r="M42" s="335">
        <f t="shared" si="4"/>
        <v>0.41992281062262166</v>
      </c>
      <c r="N42" s="335">
        <f t="shared" si="4"/>
        <v>0</v>
      </c>
      <c r="O42" s="335">
        <f t="shared" si="5"/>
        <v>0.75444085611208933</v>
      </c>
      <c r="P42" s="336">
        <f t="shared" si="6"/>
        <v>0.24555914388791067</v>
      </c>
    </row>
    <row r="43" spans="1:16" x14ac:dyDescent="0.2">
      <c r="A43" s="6" t="s">
        <v>90</v>
      </c>
      <c r="B43" s="6" t="s">
        <v>91</v>
      </c>
      <c r="C43" s="44">
        <v>144.98648700000001</v>
      </c>
      <c r="D43" s="44">
        <v>43</v>
      </c>
      <c r="E43" s="44">
        <v>84</v>
      </c>
      <c r="F43" s="44">
        <v>106</v>
      </c>
      <c r="G43" s="44">
        <v>22</v>
      </c>
      <c r="H43" s="44">
        <v>451.50522999999936</v>
      </c>
      <c r="I43" s="122">
        <f t="shared" si="2"/>
        <v>851.49171699999943</v>
      </c>
      <c r="J43" s="335">
        <f t="shared" si="3"/>
        <v>0.36247846292867392</v>
      </c>
      <c r="K43" s="335">
        <f t="shared" si="4"/>
        <v>0.1075036317414393</v>
      </c>
      <c r="L43" s="335">
        <f t="shared" si="4"/>
        <v>0.21000709456467212</v>
      </c>
      <c r="M43" s="335">
        <f t="shared" si="4"/>
        <v>0.2650089526649434</v>
      </c>
      <c r="N43" s="335">
        <f t="shared" si="4"/>
        <v>5.5001858100271271E-2</v>
      </c>
      <c r="O43" s="335">
        <f t="shared" si="5"/>
        <v>0.46974794823517968</v>
      </c>
      <c r="P43" s="336">
        <f t="shared" si="6"/>
        <v>0.53025205176482026</v>
      </c>
    </row>
    <row r="44" spans="1:16" x14ac:dyDescent="0.2">
      <c r="A44" s="6" t="s">
        <v>92</v>
      </c>
      <c r="B44" s="6" t="s">
        <v>93</v>
      </c>
      <c r="C44" s="44">
        <v>77.877141999999992</v>
      </c>
      <c r="D44" s="44"/>
      <c r="E44" s="44"/>
      <c r="F44" s="44">
        <v>195.546426</v>
      </c>
      <c r="G44" s="44">
        <v>23.708570999999999</v>
      </c>
      <c r="H44" s="44">
        <v>163.97214600000029</v>
      </c>
      <c r="I44" s="122">
        <f t="shared" si="2"/>
        <v>461.10428500000029</v>
      </c>
      <c r="J44" s="335">
        <f t="shared" si="3"/>
        <v>0.26209598955567709</v>
      </c>
      <c r="K44" s="335">
        <f t="shared" si="4"/>
        <v>0</v>
      </c>
      <c r="L44" s="335">
        <f t="shared" si="4"/>
        <v>0</v>
      </c>
      <c r="M44" s="335">
        <f t="shared" si="4"/>
        <v>0.65811267222089365</v>
      </c>
      <c r="N44" s="335">
        <f t="shared" si="4"/>
        <v>7.9791338223429278E-2</v>
      </c>
      <c r="O44" s="335">
        <f t="shared" si="5"/>
        <v>0.64439249138619437</v>
      </c>
      <c r="P44" s="336">
        <f t="shared" si="6"/>
        <v>0.35560750861380563</v>
      </c>
    </row>
    <row r="45" spans="1:16" x14ac:dyDescent="0.2">
      <c r="A45" s="6" t="s">
        <v>94</v>
      </c>
      <c r="B45" s="6" t="s">
        <v>95</v>
      </c>
      <c r="C45" s="44">
        <v>115.87784999999992</v>
      </c>
      <c r="D45" s="44">
        <v>53.035713000000001</v>
      </c>
      <c r="E45" s="44">
        <v>37.875911000000002</v>
      </c>
      <c r="F45" s="44">
        <v>194.20356999999996</v>
      </c>
      <c r="G45" s="44">
        <v>11.593571000000001</v>
      </c>
      <c r="H45" s="44">
        <v>40.434280999999999</v>
      </c>
      <c r="I45" s="122">
        <f t="shared" si="2"/>
        <v>453.02089599999988</v>
      </c>
      <c r="J45" s="335">
        <f t="shared" si="3"/>
        <v>0.28085702683302016</v>
      </c>
      <c r="K45" s="335">
        <f t="shared" si="4"/>
        <v>0.12854443423958389</v>
      </c>
      <c r="L45" s="335">
        <f t="shared" si="4"/>
        <v>9.1801114294510044E-2</v>
      </c>
      <c r="M45" s="335">
        <f t="shared" si="4"/>
        <v>0.47069769822755886</v>
      </c>
      <c r="N45" s="335">
        <f t="shared" si="4"/>
        <v>2.8099726405327048E-2</v>
      </c>
      <c r="O45" s="335">
        <f t="shared" si="5"/>
        <v>0.91074521869295844</v>
      </c>
      <c r="P45" s="336">
        <f t="shared" si="6"/>
        <v>8.9254781307041536E-2</v>
      </c>
    </row>
    <row r="46" spans="1:16" x14ac:dyDescent="0.2">
      <c r="A46" s="6" t="s">
        <v>96</v>
      </c>
      <c r="B46" s="6" t="s">
        <v>97</v>
      </c>
      <c r="C46" s="44">
        <v>71.343571000000011</v>
      </c>
      <c r="D46" s="44">
        <v>66.185000000000002</v>
      </c>
      <c r="E46" s="44">
        <v>28.201429000000001</v>
      </c>
      <c r="F46" s="44">
        <v>161.54571399999998</v>
      </c>
      <c r="G46" s="44">
        <v>56.937857000000001</v>
      </c>
      <c r="H46" s="44">
        <v>98.333293999999981</v>
      </c>
      <c r="I46" s="122">
        <f t="shared" si="2"/>
        <v>482.54686499999997</v>
      </c>
      <c r="J46" s="335">
        <f t="shared" si="3"/>
        <v>0.18568727495573031</v>
      </c>
      <c r="K46" s="335">
        <f t="shared" si="4"/>
        <v>0.17226096368157698</v>
      </c>
      <c r="L46" s="335">
        <f t="shared" si="4"/>
        <v>7.3400397926079511E-2</v>
      </c>
      <c r="M46" s="335">
        <f t="shared" si="4"/>
        <v>0.42045811546828465</v>
      </c>
      <c r="N46" s="335">
        <f t="shared" si="4"/>
        <v>0.14819324796832853</v>
      </c>
      <c r="O46" s="335">
        <f t="shared" si="5"/>
        <v>0.79622021997801196</v>
      </c>
      <c r="P46" s="336">
        <f t="shared" si="6"/>
        <v>0.2037797800219881</v>
      </c>
    </row>
    <row r="47" spans="1:16" x14ac:dyDescent="0.2">
      <c r="A47" s="6" t="s">
        <v>98</v>
      </c>
      <c r="B47" s="6" t="s">
        <v>99</v>
      </c>
      <c r="C47" s="44">
        <v>26.634848000000002</v>
      </c>
      <c r="D47" s="44">
        <v>13.75</v>
      </c>
      <c r="E47" s="44">
        <v>21.843938999999999</v>
      </c>
      <c r="F47" s="44">
        <v>34</v>
      </c>
      <c r="G47" s="44"/>
      <c r="H47" s="44">
        <v>48.732574000000028</v>
      </c>
      <c r="I47" s="122">
        <f t="shared" si="2"/>
        <v>144.96136100000004</v>
      </c>
      <c r="J47" s="335">
        <f t="shared" si="3"/>
        <v>0.27678669585640731</v>
      </c>
      <c r="K47" s="335">
        <f t="shared" si="4"/>
        <v>0.14288863476996752</v>
      </c>
      <c r="L47" s="335">
        <f t="shared" si="4"/>
        <v>0.22700004521515996</v>
      </c>
      <c r="M47" s="335">
        <f t="shared" si="4"/>
        <v>0.35332462415846516</v>
      </c>
      <c r="N47" s="335">
        <f t="shared" si="4"/>
        <v>0</v>
      </c>
      <c r="O47" s="335">
        <f t="shared" si="5"/>
        <v>0.66382369988924139</v>
      </c>
      <c r="P47" s="336">
        <f t="shared" si="6"/>
        <v>0.33617630011075861</v>
      </c>
    </row>
    <row r="48" spans="1:16" x14ac:dyDescent="0.2">
      <c r="A48" s="6" t="s">
        <v>100</v>
      </c>
      <c r="B48" s="6" t="s">
        <v>101</v>
      </c>
      <c r="C48" s="44">
        <v>7.5138420000000004</v>
      </c>
      <c r="D48" s="44">
        <v>12</v>
      </c>
      <c r="E48" s="44">
        <v>1</v>
      </c>
      <c r="F48" s="44">
        <v>54.88</v>
      </c>
      <c r="G48" s="44">
        <v>8.379999999999999</v>
      </c>
      <c r="H48" s="44">
        <v>59.356137999999994</v>
      </c>
      <c r="I48" s="122">
        <f t="shared" si="2"/>
        <v>143.12997999999999</v>
      </c>
      <c r="J48" s="335">
        <f t="shared" si="3"/>
        <v>8.9691982850685067E-2</v>
      </c>
      <c r="K48" s="335">
        <f t="shared" si="4"/>
        <v>0.14324280364269315</v>
      </c>
      <c r="L48" s="335">
        <f t="shared" si="4"/>
        <v>1.1936900303557763E-2</v>
      </c>
      <c r="M48" s="335">
        <f t="shared" si="4"/>
        <v>0.65509708865924998</v>
      </c>
      <c r="N48" s="335">
        <f t="shared" si="4"/>
        <v>0.10003122454381404</v>
      </c>
      <c r="O48" s="335">
        <f t="shared" si="5"/>
        <v>0.58529905474730037</v>
      </c>
      <c r="P48" s="336">
        <f t="shared" si="6"/>
        <v>0.41470094525269968</v>
      </c>
    </row>
    <row r="49" spans="1:16" x14ac:dyDescent="0.2">
      <c r="A49" s="6" t="s">
        <v>102</v>
      </c>
      <c r="B49" s="6" t="s">
        <v>103</v>
      </c>
      <c r="C49" s="44">
        <v>42.193894999999998</v>
      </c>
      <c r="D49" s="44"/>
      <c r="E49" s="44"/>
      <c r="F49" s="44">
        <v>96.719464000000002</v>
      </c>
      <c r="G49" s="44">
        <v>34</v>
      </c>
      <c r="H49" s="44">
        <v>78.313923000000003</v>
      </c>
      <c r="I49" s="122">
        <f t="shared" si="2"/>
        <v>251.227282</v>
      </c>
      <c r="J49" s="335">
        <f t="shared" si="3"/>
        <v>0.24401755447940834</v>
      </c>
      <c r="K49" s="335">
        <f t="shared" si="4"/>
        <v>0</v>
      </c>
      <c r="L49" s="335">
        <f t="shared" si="4"/>
        <v>0</v>
      </c>
      <c r="M49" s="335">
        <f t="shared" si="4"/>
        <v>0.5593521782200761</v>
      </c>
      <c r="N49" s="335">
        <f t="shared" si="4"/>
        <v>0.1966302673005155</v>
      </c>
      <c r="O49" s="335">
        <f t="shared" si="5"/>
        <v>0.6882746078509101</v>
      </c>
      <c r="P49" s="336">
        <f t="shared" si="6"/>
        <v>0.31172539214908995</v>
      </c>
    </row>
    <row r="50" spans="1:16" x14ac:dyDescent="0.2">
      <c r="A50" s="6" t="s">
        <v>104</v>
      </c>
      <c r="B50" s="6" t="s">
        <v>105</v>
      </c>
      <c r="C50" s="44">
        <v>4.8571429999999998</v>
      </c>
      <c r="D50" s="44">
        <v>5</v>
      </c>
      <c r="E50" s="44"/>
      <c r="F50" s="44">
        <v>20.85</v>
      </c>
      <c r="G50" s="44"/>
      <c r="H50" s="44">
        <v>3.5464280000000001</v>
      </c>
      <c r="I50" s="122">
        <f t="shared" si="2"/>
        <v>34.253571000000001</v>
      </c>
      <c r="J50" s="335">
        <f t="shared" si="3"/>
        <v>0.15817632399080564</v>
      </c>
      <c r="K50" s="335">
        <f t="shared" si="4"/>
        <v>0.16282856402498921</v>
      </c>
      <c r="L50" s="335">
        <f t="shared" si="4"/>
        <v>0</v>
      </c>
      <c r="M50" s="335">
        <f t="shared" si="4"/>
        <v>0.67899511198420515</v>
      </c>
      <c r="N50" s="335">
        <f t="shared" si="4"/>
        <v>0</v>
      </c>
      <c r="O50" s="335">
        <f t="shared" si="5"/>
        <v>0.89646545173348502</v>
      </c>
      <c r="P50" s="336">
        <f t="shared" si="6"/>
        <v>0.10353454826651505</v>
      </c>
    </row>
    <row r="51" spans="1:16" x14ac:dyDescent="0.2">
      <c r="A51" s="6" t="s">
        <v>106</v>
      </c>
      <c r="B51" s="6" t="s">
        <v>107</v>
      </c>
      <c r="C51" s="44">
        <v>24.748570999999998</v>
      </c>
      <c r="D51" s="44">
        <v>21.500000999999997</v>
      </c>
      <c r="E51" s="44">
        <v>9</v>
      </c>
      <c r="F51" s="44">
        <v>41.499285999999998</v>
      </c>
      <c r="G51" s="44"/>
      <c r="H51" s="44">
        <v>63.112861999999993</v>
      </c>
      <c r="I51" s="122">
        <f t="shared" si="2"/>
        <v>159.86071999999999</v>
      </c>
      <c r="J51" s="335">
        <f t="shared" si="3"/>
        <v>0.25580484686286287</v>
      </c>
      <c r="K51" s="335">
        <f t="shared" si="4"/>
        <v>0.22222715256393583</v>
      </c>
      <c r="L51" s="335">
        <f t="shared" si="4"/>
        <v>9.3025315351167787E-2</v>
      </c>
      <c r="M51" s="335">
        <f t="shared" si="4"/>
        <v>0.42894268522203355</v>
      </c>
      <c r="N51" s="335">
        <f t="shared" si="4"/>
        <v>0</v>
      </c>
      <c r="O51" s="335">
        <f t="shared" si="5"/>
        <v>0.60520093991819879</v>
      </c>
      <c r="P51" s="336">
        <f t="shared" si="6"/>
        <v>0.39479906008180121</v>
      </c>
    </row>
    <row r="52" spans="1:16" x14ac:dyDescent="0.2">
      <c r="A52" s="6" t="s">
        <v>108</v>
      </c>
      <c r="B52" s="6" t="s">
        <v>109</v>
      </c>
      <c r="C52" s="44">
        <v>12.789997999999997</v>
      </c>
      <c r="D52" s="44">
        <v>11.809283000000001</v>
      </c>
      <c r="E52" s="44">
        <v>8.7857129999999994</v>
      </c>
      <c r="F52" s="44">
        <v>16</v>
      </c>
      <c r="G52" s="44">
        <v>3</v>
      </c>
      <c r="H52" s="44">
        <v>8.9171429999999994</v>
      </c>
      <c r="I52" s="122">
        <f t="shared" si="2"/>
        <v>61.302137000000002</v>
      </c>
      <c r="J52" s="335">
        <f t="shared" si="3"/>
        <v>0.24415385062371101</v>
      </c>
      <c r="K52" s="335">
        <f t="shared" si="4"/>
        <v>0.22543255421581226</v>
      </c>
      <c r="L52" s="335">
        <f t="shared" si="4"/>
        <v>0.16771430765077494</v>
      </c>
      <c r="M52" s="335">
        <f t="shared" si="4"/>
        <v>0.30543097895553828</v>
      </c>
      <c r="N52" s="335">
        <f t="shared" si="4"/>
        <v>5.7268308554163434E-2</v>
      </c>
      <c r="O52" s="335">
        <f t="shared" si="5"/>
        <v>0.8545378116263711</v>
      </c>
      <c r="P52" s="336">
        <f t="shared" si="6"/>
        <v>0.14546218837362879</v>
      </c>
    </row>
    <row r="54" spans="1:16" ht="13.5" thickBot="1" x14ac:dyDescent="0.25">
      <c r="C54" s="124">
        <f>SUM(C5:C52)</f>
        <v>4111.6338579999992</v>
      </c>
      <c r="D54" s="124">
        <f t="shared" ref="D54:I54" si="9">SUM(D5:D52)</f>
        <v>1265.0775450000001</v>
      </c>
      <c r="E54" s="124">
        <f t="shared" si="9"/>
        <v>850.95880999999997</v>
      </c>
      <c r="F54" s="124">
        <f t="shared" si="9"/>
        <v>5203.7025379999995</v>
      </c>
      <c r="G54" s="124">
        <f t="shared" si="9"/>
        <v>1163.3967560000001</v>
      </c>
      <c r="H54" s="124">
        <f t="shared" si="9"/>
        <v>3744.8781959999997</v>
      </c>
      <c r="I54" s="124">
        <f t="shared" si="9"/>
        <v>16339.647702999997</v>
      </c>
      <c r="J54" s="359">
        <f t="shared" ref="J54" si="10">C54/SUM($C54:$G54)</f>
        <v>0.32645566524379899</v>
      </c>
      <c r="K54" s="359">
        <f t="shared" ref="K54" si="11">D54/SUM($C54:$G54)</f>
        <v>0.10044467620442657</v>
      </c>
      <c r="L54" s="359">
        <f t="shared" ref="L54:N54" si="12">E54/SUM($C54:$G54)</f>
        <v>6.7564460749126753E-2</v>
      </c>
      <c r="M54" s="359">
        <f t="shared" si="12"/>
        <v>0.41316377684465394</v>
      </c>
      <c r="N54" s="359">
        <f t="shared" si="12"/>
        <v>9.2371420957993736E-2</v>
      </c>
      <c r="O54" s="359">
        <f t="shared" ref="O54" si="13">SUM(C54:G54)/I54</f>
        <v>0.77081034646099322</v>
      </c>
      <c r="P54" s="359">
        <f t="shared" ref="P54" si="14">H54/I54</f>
        <v>0.22918965353900692</v>
      </c>
    </row>
    <row r="55" spans="1:16" ht="13.5" thickTop="1" x14ac:dyDescent="0.2"/>
  </sheetData>
  <sheetProtection algorithmName="SHA-512" hashValue="G8KVu41/Jz9FHZ7qENDxoiJr4boZOG1GYG+CqPMK5VSDQ38CafYxtaRAFsO96y+UL/QdTaneDjs/A7HRlIL3bQ==" saltValue="n+mTndhkIDZ2T6LMMZl/Wg==" spinCount="100000" sheet="1" objects="1" scenarios="1"/>
  <mergeCells count="8">
    <mergeCell ref="U11:V11"/>
    <mergeCell ref="R16:V16"/>
    <mergeCell ref="A1:O1"/>
    <mergeCell ref="C3:H3"/>
    <mergeCell ref="J3:N3"/>
    <mergeCell ref="O3:P3"/>
    <mergeCell ref="R3:X3"/>
    <mergeCell ref="R10:S10"/>
  </mergeCells>
  <hyperlinks>
    <hyperlink ref="R16" r:id="rId1" display="https://drive.google.com/file/d/0B6bA9LFa-kaJdHo2c3AxTy10X3M/view"/>
    <hyperlink ref="R16:V16" r:id="rId2" display="State of Wyoming Employee Group Insurance"/>
  </hyperlinks>
  <pageMargins left="0.5" right="0.5" top="0.5" bottom="0.5" header="0.25" footer="0.25"/>
  <pageSetup scale="69" orientation="landscape" r:id="rId3"/>
  <headerFooter>
    <oddHeader>&amp;L&amp;"Calibri,Bold"&amp;12Health Insurance Composite Amount Calculation</oddHeader>
  </headerFooter>
  <colBreaks count="1" manualBreakCount="1">
    <brk id="16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52"/>
  <sheetViews>
    <sheetView showGridLines="0" zoomScale="90" zoomScaleNormal="90" zoomScalePageLayoutView="90" workbookViewId="0">
      <selection sqref="A1:B1"/>
    </sheetView>
  </sheetViews>
  <sheetFormatPr defaultColWidth="8.85546875" defaultRowHeight="12.75" x14ac:dyDescent="0.2"/>
  <cols>
    <col min="1" max="1" width="12.7109375" customWidth="1"/>
    <col min="2" max="2" width="30.7109375" customWidth="1"/>
    <col min="3" max="3" width="12.7109375" customWidth="1"/>
  </cols>
  <sheetData>
    <row r="1" spans="1:3" ht="15.75" x14ac:dyDescent="0.25">
      <c r="A1" s="479" t="s">
        <v>2404</v>
      </c>
      <c r="B1" s="479"/>
      <c r="C1" s="360"/>
    </row>
    <row r="2" spans="1:3" ht="12.75" customHeight="1" x14ac:dyDescent="0.2">
      <c r="A2" s="501"/>
      <c r="B2" s="501"/>
      <c r="C2" s="361"/>
    </row>
    <row r="3" spans="1:3" x14ac:dyDescent="0.2">
      <c r="A3" s="502"/>
      <c r="B3" s="502"/>
      <c r="C3" s="362"/>
    </row>
    <row r="4" spans="1:3" ht="38.25" x14ac:dyDescent="0.2">
      <c r="A4" s="16" t="s">
        <v>1</v>
      </c>
      <c r="B4" s="363" t="s">
        <v>2</v>
      </c>
      <c r="C4" s="46" t="s">
        <v>2405</v>
      </c>
    </row>
    <row r="5" spans="1:3" x14ac:dyDescent="0.2">
      <c r="A5" s="6" t="s">
        <v>14</v>
      </c>
      <c r="B5" s="6" t="s">
        <v>15</v>
      </c>
      <c r="C5" s="364">
        <v>0.94</v>
      </c>
    </row>
    <row r="6" spans="1:3" x14ac:dyDescent="0.2">
      <c r="A6" s="6" t="s">
        <v>16</v>
      </c>
      <c r="B6" s="6" t="s">
        <v>17</v>
      </c>
      <c r="C6" s="364">
        <v>0.92</v>
      </c>
    </row>
    <row r="7" spans="1:3" x14ac:dyDescent="0.2">
      <c r="A7" s="6" t="s">
        <v>18</v>
      </c>
      <c r="B7" s="6" t="s">
        <v>19</v>
      </c>
      <c r="C7" s="364">
        <v>0.92</v>
      </c>
    </row>
    <row r="8" spans="1:3" x14ac:dyDescent="0.2">
      <c r="A8" s="6" t="s">
        <v>20</v>
      </c>
      <c r="B8" s="6" t="s">
        <v>21</v>
      </c>
      <c r="C8" s="364">
        <v>0.92</v>
      </c>
    </row>
    <row r="9" spans="1:3" x14ac:dyDescent="0.2">
      <c r="A9" s="6" t="s">
        <v>22</v>
      </c>
      <c r="B9" s="6" t="s">
        <v>23</v>
      </c>
      <c r="C9" s="364">
        <v>0.92</v>
      </c>
    </row>
    <row r="10" spans="1:3" x14ac:dyDescent="0.2">
      <c r="A10" s="6" t="s">
        <v>24</v>
      </c>
      <c r="B10" s="6" t="s">
        <v>25</v>
      </c>
      <c r="C10" s="364">
        <v>1.17</v>
      </c>
    </row>
    <row r="11" spans="1:3" x14ac:dyDescent="0.2">
      <c r="A11" s="6" t="s">
        <v>26</v>
      </c>
      <c r="B11" s="6" t="s">
        <v>27</v>
      </c>
      <c r="C11" s="364">
        <v>0.99</v>
      </c>
    </row>
    <row r="12" spans="1:3" x14ac:dyDescent="0.2">
      <c r="A12" s="6" t="s">
        <v>28</v>
      </c>
      <c r="B12" s="6" t="s">
        <v>29</v>
      </c>
      <c r="C12" s="364">
        <v>0.99</v>
      </c>
    </row>
    <row r="13" spans="1:3" x14ac:dyDescent="0.2">
      <c r="A13" s="6" t="s">
        <v>30</v>
      </c>
      <c r="B13" s="6" t="s">
        <v>31</v>
      </c>
      <c r="C13" s="364">
        <v>1.0900000000000001</v>
      </c>
    </row>
    <row r="14" spans="1:3" x14ac:dyDescent="0.2">
      <c r="A14" s="6" t="s">
        <v>32</v>
      </c>
      <c r="B14" s="6" t="s">
        <v>33</v>
      </c>
      <c r="C14" s="364">
        <v>1.0900000000000001</v>
      </c>
    </row>
    <row r="15" spans="1:3" x14ac:dyDescent="0.2">
      <c r="A15" s="6" t="s">
        <v>34</v>
      </c>
      <c r="B15" s="6" t="s">
        <v>35</v>
      </c>
      <c r="C15" s="364">
        <v>0.96</v>
      </c>
    </row>
    <row r="16" spans="1:3" x14ac:dyDescent="0.2">
      <c r="A16" s="6" t="s">
        <v>36</v>
      </c>
      <c r="B16" s="6" t="s">
        <v>37</v>
      </c>
      <c r="C16" s="364">
        <v>0.94</v>
      </c>
    </row>
    <row r="17" spans="1:3" x14ac:dyDescent="0.2">
      <c r="A17" s="6" t="s">
        <v>38</v>
      </c>
      <c r="B17" s="6" t="s">
        <v>39</v>
      </c>
      <c r="C17" s="364">
        <v>0.94</v>
      </c>
    </row>
    <row r="18" spans="1:3" x14ac:dyDescent="0.2">
      <c r="A18" s="6" t="s">
        <v>40</v>
      </c>
      <c r="B18" s="6" t="s">
        <v>41</v>
      </c>
      <c r="C18" s="364">
        <v>0.94</v>
      </c>
    </row>
    <row r="19" spans="1:3" x14ac:dyDescent="0.2">
      <c r="A19" s="6" t="s">
        <v>42</v>
      </c>
      <c r="B19" s="6" t="s">
        <v>43</v>
      </c>
      <c r="C19" s="364">
        <v>0.94</v>
      </c>
    </row>
    <row r="20" spans="1:3" x14ac:dyDescent="0.2">
      <c r="A20" s="6" t="s">
        <v>44</v>
      </c>
      <c r="B20" s="6" t="s">
        <v>45</v>
      </c>
      <c r="C20" s="364">
        <v>0.94</v>
      </c>
    </row>
    <row r="21" spans="1:3" x14ac:dyDescent="0.2">
      <c r="A21" s="6" t="s">
        <v>46</v>
      </c>
      <c r="B21" s="6" t="s">
        <v>47</v>
      </c>
      <c r="C21" s="364">
        <v>0.94</v>
      </c>
    </row>
    <row r="22" spans="1:3" x14ac:dyDescent="0.2">
      <c r="A22" s="6" t="s">
        <v>48</v>
      </c>
      <c r="B22" s="6" t="s">
        <v>49</v>
      </c>
      <c r="C22" s="364">
        <v>0.94</v>
      </c>
    </row>
    <row r="23" spans="1:3" x14ac:dyDescent="0.2">
      <c r="A23" s="6" t="s">
        <v>50</v>
      </c>
      <c r="B23" s="6" t="s">
        <v>51</v>
      </c>
      <c r="C23" s="364">
        <v>0.94</v>
      </c>
    </row>
    <row r="24" spans="1:3" x14ac:dyDescent="0.2">
      <c r="A24" s="6" t="s">
        <v>52</v>
      </c>
      <c r="B24" s="6" t="s">
        <v>53</v>
      </c>
      <c r="C24" s="364">
        <v>0.91</v>
      </c>
    </row>
    <row r="25" spans="1:3" x14ac:dyDescent="0.2">
      <c r="A25" s="6" t="s">
        <v>54</v>
      </c>
      <c r="B25" s="6" t="s">
        <v>55</v>
      </c>
      <c r="C25" s="364">
        <v>0.93</v>
      </c>
    </row>
    <row r="26" spans="1:3" x14ac:dyDescent="0.2">
      <c r="A26" s="6" t="s">
        <v>56</v>
      </c>
      <c r="B26" s="6" t="s">
        <v>57</v>
      </c>
      <c r="C26" s="364">
        <v>0.94</v>
      </c>
    </row>
    <row r="27" spans="1:3" x14ac:dyDescent="0.2">
      <c r="A27" s="6" t="s">
        <v>58</v>
      </c>
      <c r="B27" s="6" t="s">
        <v>59</v>
      </c>
      <c r="C27" s="364">
        <v>1</v>
      </c>
    </row>
    <row r="28" spans="1:3" x14ac:dyDescent="0.2">
      <c r="A28" s="6" t="s">
        <v>60</v>
      </c>
      <c r="B28" s="6" t="s">
        <v>61</v>
      </c>
      <c r="C28" s="364">
        <v>1</v>
      </c>
    </row>
    <row r="29" spans="1:3" x14ac:dyDescent="0.2">
      <c r="A29" s="6" t="s">
        <v>62</v>
      </c>
      <c r="B29" s="6" t="s">
        <v>63</v>
      </c>
      <c r="C29" s="364">
        <v>1.01</v>
      </c>
    </row>
    <row r="30" spans="1:3" x14ac:dyDescent="0.2">
      <c r="A30" s="6" t="s">
        <v>64</v>
      </c>
      <c r="B30" s="6" t="s">
        <v>65</v>
      </c>
      <c r="C30" s="364">
        <v>1.01</v>
      </c>
    </row>
    <row r="31" spans="1:3" x14ac:dyDescent="0.2">
      <c r="A31" s="6" t="s">
        <v>66</v>
      </c>
      <c r="B31" s="6" t="s">
        <v>67</v>
      </c>
      <c r="C31" s="364">
        <v>1.03</v>
      </c>
    </row>
    <row r="32" spans="1:3" x14ac:dyDescent="0.2">
      <c r="A32" s="6" t="s">
        <v>68</v>
      </c>
      <c r="B32" s="6" t="s">
        <v>69</v>
      </c>
      <c r="C32" s="364">
        <v>0.87</v>
      </c>
    </row>
    <row r="33" spans="1:3" x14ac:dyDescent="0.2">
      <c r="A33" s="6" t="s">
        <v>70</v>
      </c>
      <c r="B33" s="6" t="s">
        <v>71</v>
      </c>
      <c r="C33" s="364">
        <v>0.99</v>
      </c>
    </row>
    <row r="34" spans="1:3" x14ac:dyDescent="0.2">
      <c r="A34" s="6" t="s">
        <v>72</v>
      </c>
      <c r="B34" s="6" t="s">
        <v>73</v>
      </c>
      <c r="C34" s="364">
        <v>0.99</v>
      </c>
    </row>
    <row r="35" spans="1:3" x14ac:dyDescent="0.2">
      <c r="A35" s="6" t="s">
        <v>74</v>
      </c>
      <c r="B35" s="6" t="s">
        <v>75</v>
      </c>
      <c r="C35" s="364">
        <v>0.99</v>
      </c>
    </row>
    <row r="36" spans="1:3" x14ac:dyDescent="0.2">
      <c r="A36" s="6" t="s">
        <v>76</v>
      </c>
      <c r="B36" s="6" t="s">
        <v>77</v>
      </c>
      <c r="C36" s="364">
        <v>1.01</v>
      </c>
    </row>
    <row r="37" spans="1:3" x14ac:dyDescent="0.2">
      <c r="A37" s="6" t="s">
        <v>78</v>
      </c>
      <c r="B37" s="6" t="s">
        <v>79</v>
      </c>
      <c r="C37" s="364">
        <v>1.01</v>
      </c>
    </row>
    <row r="38" spans="1:3" x14ac:dyDescent="0.2">
      <c r="A38" s="6" t="s">
        <v>80</v>
      </c>
      <c r="B38" s="6" t="s">
        <v>81</v>
      </c>
      <c r="C38" s="364">
        <v>0.98</v>
      </c>
    </row>
    <row r="39" spans="1:3" x14ac:dyDescent="0.2">
      <c r="A39" s="6" t="s">
        <v>82</v>
      </c>
      <c r="B39" s="6" t="s">
        <v>83</v>
      </c>
      <c r="C39" s="364">
        <v>0.98</v>
      </c>
    </row>
    <row r="40" spans="1:3" x14ac:dyDescent="0.2">
      <c r="A40" s="6" t="s">
        <v>84</v>
      </c>
      <c r="B40" s="6" t="s">
        <v>85</v>
      </c>
      <c r="C40" s="364">
        <v>0.98</v>
      </c>
    </row>
    <row r="41" spans="1:3" x14ac:dyDescent="0.2">
      <c r="A41" s="6" t="s">
        <v>86</v>
      </c>
      <c r="B41" s="6" t="s">
        <v>87</v>
      </c>
      <c r="C41" s="364">
        <v>1.19</v>
      </c>
    </row>
    <row r="42" spans="1:3" x14ac:dyDescent="0.2">
      <c r="A42" s="6" t="s">
        <v>88</v>
      </c>
      <c r="B42" s="6" t="s">
        <v>89</v>
      </c>
      <c r="C42" s="364">
        <v>1.19</v>
      </c>
    </row>
    <row r="43" spans="1:3" x14ac:dyDescent="0.2">
      <c r="A43" s="6" t="s">
        <v>90</v>
      </c>
      <c r="B43" s="6" t="s">
        <v>91</v>
      </c>
      <c r="C43" s="364">
        <v>1.17</v>
      </c>
    </row>
    <row r="44" spans="1:3" x14ac:dyDescent="0.2">
      <c r="A44" s="6" t="s">
        <v>92</v>
      </c>
      <c r="B44" s="6" t="s">
        <v>93</v>
      </c>
      <c r="C44" s="364">
        <v>1.17</v>
      </c>
    </row>
    <row r="45" spans="1:3" x14ac:dyDescent="0.2">
      <c r="A45" s="6" t="s">
        <v>94</v>
      </c>
      <c r="B45" s="6" t="s">
        <v>95</v>
      </c>
      <c r="C45" s="364">
        <v>1.1200000000000001</v>
      </c>
    </row>
    <row r="46" spans="1:3" x14ac:dyDescent="0.2">
      <c r="A46" s="6" t="s">
        <v>96</v>
      </c>
      <c r="B46" s="6" t="s">
        <v>97</v>
      </c>
      <c r="C46" s="364">
        <v>0.98</v>
      </c>
    </row>
    <row r="47" spans="1:3" x14ac:dyDescent="0.2">
      <c r="A47" s="6" t="s">
        <v>98</v>
      </c>
      <c r="B47" s="6" t="s">
        <v>99</v>
      </c>
      <c r="C47" s="364">
        <v>0.98</v>
      </c>
    </row>
    <row r="48" spans="1:3" x14ac:dyDescent="0.2">
      <c r="A48" s="6" t="s">
        <v>100</v>
      </c>
      <c r="B48" s="6" t="s">
        <v>101</v>
      </c>
      <c r="C48" s="364">
        <v>0.98</v>
      </c>
    </row>
    <row r="49" spans="1:3" x14ac:dyDescent="0.2">
      <c r="A49" s="6" t="s">
        <v>102</v>
      </c>
      <c r="B49" s="6" t="s">
        <v>103</v>
      </c>
      <c r="C49" s="364">
        <v>0.95</v>
      </c>
    </row>
    <row r="50" spans="1:3" x14ac:dyDescent="0.2">
      <c r="A50" s="6" t="s">
        <v>104</v>
      </c>
      <c r="B50" s="6" t="s">
        <v>105</v>
      </c>
      <c r="C50" s="364">
        <v>0.95</v>
      </c>
    </row>
    <row r="51" spans="1:3" x14ac:dyDescent="0.2">
      <c r="A51" s="6" t="s">
        <v>106</v>
      </c>
      <c r="B51" s="6" t="s">
        <v>107</v>
      </c>
      <c r="C51" s="364">
        <v>0.91</v>
      </c>
    </row>
    <row r="52" spans="1:3" x14ac:dyDescent="0.2">
      <c r="A52" s="6" t="s">
        <v>108</v>
      </c>
      <c r="B52" s="6" t="s">
        <v>109</v>
      </c>
      <c r="C52" s="364">
        <v>0.91</v>
      </c>
    </row>
  </sheetData>
  <sheetProtection algorithmName="SHA-512" hashValue="onbx7v18/S444wnOLys3O8DCZJmBoGN1ktxzQ9RQVPgTtrKHNRb2vtEhvAf7A4qGNQzPDGFUE+/67F7KWLHgXA==" saltValue="/udcyPSwc3CqREKTrl+Vbw==" spinCount="100000" sheet="1" objects="1" scenarios="1"/>
  <mergeCells count="2">
    <mergeCell ref="A1:B1"/>
    <mergeCell ref="A2:B3"/>
  </mergeCells>
  <pageMargins left="0.5" right="0.5" top="0.5" bottom="0.5" header="0.25" footer="0.25"/>
  <pageSetup scale="10" orientation="landscape" r:id="rId1"/>
  <headerFooter>
    <oddHeader>&amp;L&amp;"Calibri,Bold"&amp;12Regional Cost Adjustment Worksheet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P187"/>
  <sheetViews>
    <sheetView showGridLines="0" workbookViewId="0">
      <pane ySplit="2" topLeftCell="A3" activePane="bottomLeft" state="frozen"/>
      <selection sqref="A1:M1"/>
      <selection pane="bottomLeft" sqref="A1:E1"/>
    </sheetView>
  </sheetViews>
  <sheetFormatPr defaultColWidth="8.85546875" defaultRowHeight="12.75" x14ac:dyDescent="0.2"/>
  <cols>
    <col min="1" max="1" width="50.7109375" customWidth="1"/>
    <col min="2" max="2" width="18.140625" customWidth="1"/>
    <col min="3" max="3" width="16.7109375" customWidth="1"/>
    <col min="4" max="4" width="15.28515625" customWidth="1"/>
    <col min="5" max="5" width="16.28515625" customWidth="1"/>
    <col min="6" max="10" width="14.7109375" customWidth="1"/>
    <col min="11" max="11" width="10.7109375" hidden="1" customWidth="1"/>
  </cols>
  <sheetData>
    <row r="1" spans="1:9" ht="15.75" x14ac:dyDescent="0.25">
      <c r="A1" s="449" t="s">
        <v>110</v>
      </c>
      <c r="B1" s="449"/>
      <c r="C1" s="449"/>
      <c r="D1" s="449"/>
      <c r="E1" s="449"/>
      <c r="H1" s="13" t="s">
        <v>111</v>
      </c>
      <c r="I1" s="14" t="s">
        <v>111</v>
      </c>
    </row>
    <row r="2" spans="1:9" ht="13.5" thickBot="1" x14ac:dyDescent="0.25">
      <c r="H2" s="456" t="s">
        <v>2434</v>
      </c>
      <c r="I2" s="456"/>
    </row>
    <row r="3" spans="1:9" x14ac:dyDescent="0.2">
      <c r="A3" s="450" t="s">
        <v>112</v>
      </c>
      <c r="B3" s="451"/>
      <c r="C3" s="452"/>
    </row>
    <row r="4" spans="1:9" x14ac:dyDescent="0.2">
      <c r="A4" s="379"/>
      <c r="B4" s="53" t="s">
        <v>113</v>
      </c>
      <c r="C4" s="380" t="s">
        <v>114</v>
      </c>
    </row>
    <row r="5" spans="1:9" x14ac:dyDescent="0.2">
      <c r="A5" s="381" t="s">
        <v>115</v>
      </c>
      <c r="B5" s="17">
        <v>300</v>
      </c>
      <c r="C5" s="382">
        <v>1000</v>
      </c>
    </row>
    <row r="6" spans="1:9" x14ac:dyDescent="0.2">
      <c r="A6" s="381"/>
      <c r="B6" s="17"/>
      <c r="C6" s="382"/>
    </row>
    <row r="7" spans="1:9" x14ac:dyDescent="0.2">
      <c r="A7" s="383" t="s">
        <v>116</v>
      </c>
      <c r="B7" s="6"/>
      <c r="C7" s="384"/>
    </row>
    <row r="8" spans="1:9" x14ac:dyDescent="0.2">
      <c r="A8" s="374" t="s">
        <v>117</v>
      </c>
      <c r="B8" s="20">
        <v>18</v>
      </c>
      <c r="C8" s="384">
        <v>23</v>
      </c>
    </row>
    <row r="9" spans="1:9" x14ac:dyDescent="0.2">
      <c r="A9" s="374" t="s">
        <v>118</v>
      </c>
      <c r="B9" s="21">
        <v>0.2</v>
      </c>
      <c r="C9" s="385">
        <v>0.33300000000000002</v>
      </c>
    </row>
    <row r="10" spans="1:9" x14ac:dyDescent="0.2">
      <c r="A10" s="374" t="s">
        <v>119</v>
      </c>
      <c r="B10" s="22">
        <v>20</v>
      </c>
      <c r="C10" s="386">
        <v>20</v>
      </c>
    </row>
    <row r="11" spans="1:9" x14ac:dyDescent="0.2">
      <c r="A11" s="374" t="s">
        <v>120</v>
      </c>
      <c r="B11" s="6">
        <v>300</v>
      </c>
      <c r="C11" s="387">
        <v>400</v>
      </c>
    </row>
    <row r="12" spans="1:9" x14ac:dyDescent="0.2">
      <c r="A12" s="374" t="s">
        <v>121</v>
      </c>
      <c r="B12" s="24">
        <v>300</v>
      </c>
      <c r="C12" s="388">
        <v>300</v>
      </c>
    </row>
    <row r="13" spans="1:9" x14ac:dyDescent="0.2">
      <c r="A13" s="374" t="s">
        <v>122</v>
      </c>
      <c r="B13" s="6">
        <v>350</v>
      </c>
      <c r="C13" s="387">
        <v>350</v>
      </c>
    </row>
    <row r="14" spans="1:9" x14ac:dyDescent="0.2">
      <c r="A14" s="374" t="s">
        <v>123</v>
      </c>
      <c r="B14" s="6">
        <v>200</v>
      </c>
      <c r="C14" s="387">
        <v>200</v>
      </c>
    </row>
    <row r="15" spans="1:9" x14ac:dyDescent="0.2">
      <c r="A15" s="374" t="s">
        <v>124</v>
      </c>
      <c r="B15" s="6">
        <v>750</v>
      </c>
      <c r="C15" s="387">
        <v>750</v>
      </c>
    </row>
    <row r="16" spans="1:9" x14ac:dyDescent="0.2">
      <c r="A16" s="374" t="s">
        <v>125</v>
      </c>
      <c r="B16" s="25">
        <v>1</v>
      </c>
      <c r="C16" s="389">
        <v>1</v>
      </c>
    </row>
    <row r="17" spans="1:7" x14ac:dyDescent="0.2">
      <c r="A17" s="374" t="s">
        <v>126</v>
      </c>
      <c r="B17" s="20"/>
      <c r="C17" s="389">
        <v>2</v>
      </c>
    </row>
    <row r="18" spans="1:7" x14ac:dyDescent="0.2">
      <c r="A18" s="372" t="s">
        <v>127</v>
      </c>
      <c r="B18" s="25">
        <v>1</v>
      </c>
      <c r="C18" s="389">
        <v>1</v>
      </c>
    </row>
    <row r="19" spans="1:7" x14ac:dyDescent="0.2">
      <c r="A19" s="372" t="s">
        <v>128</v>
      </c>
      <c r="B19" s="6">
        <v>200</v>
      </c>
      <c r="C19" s="384">
        <v>200</v>
      </c>
    </row>
    <row r="20" spans="1:7" x14ac:dyDescent="0.2">
      <c r="A20" s="372" t="s">
        <v>129</v>
      </c>
      <c r="B20" s="6">
        <v>250</v>
      </c>
      <c r="C20" s="384">
        <v>250</v>
      </c>
    </row>
    <row r="21" spans="1:7" x14ac:dyDescent="0.2">
      <c r="A21" s="383" t="s">
        <v>130</v>
      </c>
      <c r="B21" s="6"/>
      <c r="C21" s="384"/>
    </row>
    <row r="22" spans="1:7" ht="13.5" thickBot="1" x14ac:dyDescent="0.25">
      <c r="A22" s="390" t="s">
        <v>131</v>
      </c>
      <c r="B22" s="391">
        <f>(15*(106.84*($B$183*$B$184*$B$185*$B$186*$B$187))*SUM(B27:B28))/B5</f>
        <v>106.84000000000002</v>
      </c>
      <c r="C22" s="378">
        <f>(15*(106.84*($B$183*$B$184*$B$185*$B$186*$B$187))*SUM(C27:C28))/C5</f>
        <v>92.88112173913045</v>
      </c>
    </row>
    <row r="23" spans="1:7" s="28" customFormat="1" ht="13.5" thickBot="1" x14ac:dyDescent="0.25">
      <c r="A23" s="27"/>
    </row>
    <row r="24" spans="1:7" x14ac:dyDescent="0.2">
      <c r="A24" s="453" t="s">
        <v>132</v>
      </c>
      <c r="B24" s="454"/>
      <c r="C24" s="455"/>
    </row>
    <row r="25" spans="1:7" x14ac:dyDescent="0.2">
      <c r="A25" s="392"/>
      <c r="B25" s="53" t="s">
        <v>113</v>
      </c>
      <c r="C25" s="380" t="s">
        <v>114</v>
      </c>
    </row>
    <row r="26" spans="1:7" x14ac:dyDescent="0.2">
      <c r="A26" s="393" t="s">
        <v>133</v>
      </c>
      <c r="B26" s="17"/>
      <c r="C26" s="382"/>
      <c r="G26" s="31"/>
    </row>
    <row r="27" spans="1:7" x14ac:dyDescent="0.2">
      <c r="A27" s="374" t="s">
        <v>117</v>
      </c>
      <c r="B27" s="32">
        <f>(B$5/B8)</f>
        <v>16.666666666666668</v>
      </c>
      <c r="C27" s="394">
        <f>(C$5/C8)</f>
        <v>43.478260869565219</v>
      </c>
      <c r="G27" s="31"/>
    </row>
    <row r="28" spans="1:7" x14ac:dyDescent="0.2">
      <c r="A28" s="374" t="s">
        <v>118</v>
      </c>
      <c r="B28" s="32">
        <f>((B27*B9))</f>
        <v>3.3333333333333339</v>
      </c>
      <c r="C28" s="394">
        <f>((C27*C9))</f>
        <v>14.478260869565219</v>
      </c>
      <c r="G28" s="31"/>
    </row>
    <row r="29" spans="1:7" x14ac:dyDescent="0.2">
      <c r="A29" s="374" t="s">
        <v>119</v>
      </c>
      <c r="B29" s="32">
        <f>B27/B10</f>
        <v>0.83333333333333337</v>
      </c>
      <c r="C29" s="394">
        <f>C27/C10</f>
        <v>2.1739130434782608</v>
      </c>
      <c r="G29" s="31"/>
    </row>
    <row r="30" spans="1:7" x14ac:dyDescent="0.2">
      <c r="A30" s="374" t="s">
        <v>120</v>
      </c>
      <c r="B30" s="32">
        <f>(B$5/B11)</f>
        <v>1</v>
      </c>
      <c r="C30" s="394">
        <f>(C$5/C11)</f>
        <v>2.5</v>
      </c>
      <c r="G30" s="31"/>
    </row>
    <row r="31" spans="1:7" x14ac:dyDescent="0.2">
      <c r="A31" s="374" t="s">
        <v>134</v>
      </c>
      <c r="B31" s="32">
        <f>IF(SUM(B$5/B12)&gt;1,1,(B$5/B12))</f>
        <v>1</v>
      </c>
      <c r="C31" s="394">
        <f>IF(SUM(C$5/C12)&gt;1,1,(C$5/C12))</f>
        <v>1</v>
      </c>
      <c r="G31" s="31"/>
    </row>
    <row r="32" spans="1:7" x14ac:dyDescent="0.2">
      <c r="A32" s="374" t="s">
        <v>122</v>
      </c>
      <c r="B32" s="32">
        <f>(B$5/B13)</f>
        <v>0.8571428571428571</v>
      </c>
      <c r="C32" s="394">
        <f>(C$5/C13)</f>
        <v>2.8571428571428572</v>
      </c>
      <c r="G32" s="31"/>
    </row>
    <row r="33" spans="1:7" x14ac:dyDescent="0.2">
      <c r="A33" s="374" t="s">
        <v>123</v>
      </c>
      <c r="B33" s="32">
        <f>(B$5/B14)</f>
        <v>1.5</v>
      </c>
      <c r="C33" s="394">
        <f>(C$5/C14)</f>
        <v>5</v>
      </c>
      <c r="G33" s="31"/>
    </row>
    <row r="34" spans="1:7" x14ac:dyDescent="0.2">
      <c r="A34" s="374" t="s">
        <v>135</v>
      </c>
      <c r="B34" s="32">
        <f>IF(SUM(B$5/B15)&gt;1,1,(B$5/B15))</f>
        <v>0.4</v>
      </c>
      <c r="C34" s="394">
        <f>IF(SUM(C$5/C15)&gt;1,1,(C$5/C15))</f>
        <v>1</v>
      </c>
      <c r="G34" s="31"/>
    </row>
    <row r="35" spans="1:7" x14ac:dyDescent="0.2">
      <c r="A35" s="374" t="s">
        <v>136</v>
      </c>
      <c r="B35" s="32">
        <f t="shared" ref="B35:C37" si="0">B16</f>
        <v>1</v>
      </c>
      <c r="C35" s="394">
        <f t="shared" si="0"/>
        <v>1</v>
      </c>
      <c r="G35" s="31"/>
    </row>
    <row r="36" spans="1:7" x14ac:dyDescent="0.2">
      <c r="A36" s="372" t="s">
        <v>137</v>
      </c>
      <c r="B36" s="32">
        <f t="shared" si="0"/>
        <v>0</v>
      </c>
      <c r="C36" s="394">
        <f t="shared" si="0"/>
        <v>2</v>
      </c>
      <c r="G36" s="31"/>
    </row>
    <row r="37" spans="1:7" x14ac:dyDescent="0.2">
      <c r="A37" s="372" t="s">
        <v>138</v>
      </c>
      <c r="B37" s="32">
        <f t="shared" si="0"/>
        <v>1</v>
      </c>
      <c r="C37" s="394">
        <f t="shared" si="0"/>
        <v>1</v>
      </c>
      <c r="G37" s="31"/>
    </row>
    <row r="38" spans="1:7" x14ac:dyDescent="0.2">
      <c r="A38" s="372" t="s">
        <v>128</v>
      </c>
      <c r="B38" s="32">
        <f>B5/B19</f>
        <v>1.5</v>
      </c>
      <c r="C38" s="394">
        <f>C5/C19</f>
        <v>5</v>
      </c>
      <c r="G38" s="31"/>
    </row>
    <row r="39" spans="1:7" ht="13.5" thickBot="1" x14ac:dyDescent="0.25">
      <c r="A39" s="377" t="s">
        <v>129</v>
      </c>
      <c r="B39" s="395">
        <f>(B$5/B20)</f>
        <v>1.2</v>
      </c>
      <c r="C39" s="396">
        <f>(C$5/C20)</f>
        <v>4</v>
      </c>
      <c r="G39" s="31"/>
    </row>
    <row r="40" spans="1:7" ht="13.5" thickBot="1" x14ac:dyDescent="0.25"/>
    <row r="41" spans="1:7" x14ac:dyDescent="0.2">
      <c r="A41" s="453" t="s">
        <v>139</v>
      </c>
      <c r="B41" s="454"/>
      <c r="C41" s="455"/>
    </row>
    <row r="42" spans="1:7" x14ac:dyDescent="0.2">
      <c r="A42" s="397"/>
      <c r="B42" s="53" t="s">
        <v>113</v>
      </c>
      <c r="C42" s="380" t="s">
        <v>114</v>
      </c>
    </row>
    <row r="43" spans="1:7" ht="15.75" customHeight="1" x14ac:dyDescent="0.2">
      <c r="A43" s="393" t="s">
        <v>133</v>
      </c>
      <c r="B43" s="17"/>
      <c r="C43" s="382"/>
    </row>
    <row r="44" spans="1:7" x14ac:dyDescent="0.2">
      <c r="A44" s="374" t="s">
        <v>117</v>
      </c>
      <c r="B44" s="33">
        <f t="shared" ref="B44:C56" si="1">IF(B27="","",((B27*$C103)))</f>
        <v>1100435.7000000002</v>
      </c>
      <c r="C44" s="376">
        <f t="shared" si="1"/>
        <v>2870701.826086957</v>
      </c>
    </row>
    <row r="45" spans="1:7" x14ac:dyDescent="0.2">
      <c r="A45" s="374" t="s">
        <v>118</v>
      </c>
      <c r="B45" s="33">
        <f t="shared" si="1"/>
        <v>220087.14000000007</v>
      </c>
      <c r="C45" s="376">
        <f t="shared" si="1"/>
        <v>955943.70808695676</v>
      </c>
    </row>
    <row r="46" spans="1:7" x14ac:dyDescent="0.2">
      <c r="A46" s="374" t="s">
        <v>119</v>
      </c>
      <c r="B46" s="33">
        <f t="shared" si="1"/>
        <v>55021.785000000011</v>
      </c>
      <c r="C46" s="376">
        <f t="shared" si="1"/>
        <v>143535.09130434782</v>
      </c>
    </row>
    <row r="47" spans="1:7" x14ac:dyDescent="0.2">
      <c r="A47" s="374" t="s">
        <v>120</v>
      </c>
      <c r="B47" s="33">
        <f t="shared" si="1"/>
        <v>66026.142000000007</v>
      </c>
      <c r="C47" s="376">
        <f t="shared" si="1"/>
        <v>165065.35500000001</v>
      </c>
    </row>
    <row r="48" spans="1:7" x14ac:dyDescent="0.2">
      <c r="A48" s="374" t="s">
        <v>134</v>
      </c>
      <c r="B48" s="33">
        <f t="shared" si="1"/>
        <v>52679.621292905591</v>
      </c>
      <c r="C48" s="376">
        <f t="shared" si="1"/>
        <v>52679.621292905591</v>
      </c>
    </row>
    <row r="49" spans="1:7" x14ac:dyDescent="0.2">
      <c r="A49" s="374" t="s">
        <v>122</v>
      </c>
      <c r="B49" s="33">
        <f t="shared" si="1"/>
        <v>19146.761839827719</v>
      </c>
      <c r="C49" s="376">
        <f t="shared" si="1"/>
        <v>63822.539466092399</v>
      </c>
    </row>
    <row r="50" spans="1:7" x14ac:dyDescent="0.2">
      <c r="A50" s="374" t="s">
        <v>123</v>
      </c>
      <c r="B50" s="33">
        <f t="shared" si="1"/>
        <v>91954.863000000012</v>
      </c>
      <c r="C50" s="376">
        <f t="shared" si="1"/>
        <v>306516.21000000002</v>
      </c>
    </row>
    <row r="51" spans="1:7" x14ac:dyDescent="0.2">
      <c r="A51" s="374" t="s">
        <v>135</v>
      </c>
      <c r="B51" s="33">
        <f t="shared" si="1"/>
        <v>24521.296800000004</v>
      </c>
      <c r="C51" s="376">
        <f t="shared" si="1"/>
        <v>61303.242000000006</v>
      </c>
    </row>
    <row r="52" spans="1:7" x14ac:dyDescent="0.2">
      <c r="A52" s="374" t="s">
        <v>136</v>
      </c>
      <c r="B52" s="33">
        <f t="shared" si="1"/>
        <v>100600.71484107818</v>
      </c>
      <c r="C52" s="376">
        <f t="shared" si="1"/>
        <v>100600.71484107818</v>
      </c>
    </row>
    <row r="53" spans="1:7" x14ac:dyDescent="0.2">
      <c r="A53" s="372" t="s">
        <v>137</v>
      </c>
      <c r="B53" s="33">
        <f t="shared" si="1"/>
        <v>0</v>
      </c>
      <c r="C53" s="376">
        <f t="shared" si="1"/>
        <v>168818.96858957049</v>
      </c>
    </row>
    <row r="54" spans="1:7" x14ac:dyDescent="0.2">
      <c r="A54" s="372" t="s">
        <v>140</v>
      </c>
      <c r="B54" s="33">
        <f t="shared" si="1"/>
        <v>39248.51</v>
      </c>
      <c r="C54" s="376">
        <f t="shared" si="1"/>
        <v>39248.51</v>
      </c>
    </row>
    <row r="55" spans="1:7" x14ac:dyDescent="0.2">
      <c r="A55" s="372" t="s">
        <v>141</v>
      </c>
      <c r="B55" s="33">
        <f t="shared" si="1"/>
        <v>45286.228756946148</v>
      </c>
      <c r="C55" s="376">
        <f t="shared" si="1"/>
        <v>150954.09585648714</v>
      </c>
    </row>
    <row r="56" spans="1:7" ht="13.5" thickBot="1" x14ac:dyDescent="0.25">
      <c r="A56" s="377" t="s">
        <v>129</v>
      </c>
      <c r="B56" s="398">
        <f t="shared" si="1"/>
        <v>63215.545551486706</v>
      </c>
      <c r="C56" s="399">
        <f t="shared" si="1"/>
        <v>210718.48517162236</v>
      </c>
    </row>
    <row r="57" spans="1:7" ht="13.5" thickBot="1" x14ac:dyDescent="0.25">
      <c r="A57" s="27"/>
      <c r="B57" s="34"/>
      <c r="C57" s="34"/>
      <c r="D57" s="34"/>
      <c r="E57" s="34"/>
      <c r="F57" s="34"/>
      <c r="G57" s="35"/>
    </row>
    <row r="58" spans="1:7" x14ac:dyDescent="0.2">
      <c r="A58" s="400" t="s">
        <v>142</v>
      </c>
      <c r="B58" s="401" t="s">
        <v>143</v>
      </c>
      <c r="D58" s="36"/>
    </row>
    <row r="59" spans="1:7" ht="15" customHeight="1" x14ac:dyDescent="0.2">
      <c r="A59" s="402" t="s">
        <v>144</v>
      </c>
      <c r="B59" s="403">
        <v>500</v>
      </c>
      <c r="D59" s="36"/>
    </row>
    <row r="60" spans="1:7" x14ac:dyDescent="0.2">
      <c r="A60" s="402" t="s">
        <v>145</v>
      </c>
      <c r="B60" s="403">
        <v>1000</v>
      </c>
      <c r="D60" s="36"/>
    </row>
    <row r="61" spans="1:7" x14ac:dyDescent="0.2">
      <c r="A61" s="402" t="s">
        <v>146</v>
      </c>
      <c r="B61" s="403">
        <v>3500</v>
      </c>
      <c r="D61" s="36"/>
    </row>
    <row r="62" spans="1:7" x14ac:dyDescent="0.2">
      <c r="A62" s="404" t="s">
        <v>147</v>
      </c>
      <c r="B62" s="405">
        <v>3</v>
      </c>
      <c r="D62" s="36"/>
    </row>
    <row r="63" spans="1:7" x14ac:dyDescent="0.2">
      <c r="A63" s="404" t="s">
        <v>148</v>
      </c>
      <c r="B63" s="405">
        <v>4</v>
      </c>
      <c r="D63" s="36"/>
    </row>
    <row r="64" spans="1:7" x14ac:dyDescent="0.2">
      <c r="A64" s="404" t="s">
        <v>149</v>
      </c>
      <c r="B64" s="405">
        <v>8</v>
      </c>
      <c r="D64" s="36"/>
    </row>
    <row r="65" spans="1:9" x14ac:dyDescent="0.2">
      <c r="A65" s="406" t="s">
        <v>150</v>
      </c>
      <c r="B65" s="405">
        <v>3</v>
      </c>
      <c r="D65" s="36"/>
    </row>
    <row r="66" spans="1:9" x14ac:dyDescent="0.2">
      <c r="A66" s="406" t="s">
        <v>151</v>
      </c>
      <c r="B66" s="405">
        <v>4</v>
      </c>
      <c r="D66" s="36"/>
    </row>
    <row r="67" spans="1:9" ht="13.5" thickBot="1" x14ac:dyDescent="0.25">
      <c r="A67" s="407" t="s">
        <v>152</v>
      </c>
      <c r="B67" s="408">
        <v>10</v>
      </c>
      <c r="D67" s="36"/>
    </row>
    <row r="68" spans="1:9" ht="13.5" thickBot="1" x14ac:dyDescent="0.25">
      <c r="A68" s="27"/>
      <c r="B68" s="37"/>
      <c r="C68" s="37"/>
      <c r="D68" s="37"/>
      <c r="E68" s="28"/>
      <c r="F68" s="37"/>
      <c r="G68" s="37"/>
      <c r="H68" s="37"/>
      <c r="I68" s="28"/>
    </row>
    <row r="69" spans="1:9" ht="15.75" customHeight="1" x14ac:dyDescent="0.2">
      <c r="A69" s="453" t="s">
        <v>153</v>
      </c>
      <c r="B69" s="455"/>
    </row>
    <row r="70" spans="1:9" ht="13.5" customHeight="1" x14ac:dyDescent="0.2">
      <c r="A70" s="461" t="s">
        <v>154</v>
      </c>
      <c r="B70" s="462"/>
    </row>
    <row r="71" spans="1:9" ht="25.5" x14ac:dyDescent="0.2">
      <c r="A71" s="372" t="s">
        <v>155</v>
      </c>
      <c r="B71" s="373">
        <f>190*($E$183*$E$184*$E$185*$E$186*$E$187)</f>
        <v>190</v>
      </c>
    </row>
    <row r="72" spans="1:9" ht="12.75" customHeight="1" x14ac:dyDescent="0.2">
      <c r="A72" s="374" t="s">
        <v>156</v>
      </c>
      <c r="B72" s="375">
        <v>25</v>
      </c>
      <c r="C72" s="457"/>
    </row>
    <row r="73" spans="1:9" x14ac:dyDescent="0.2">
      <c r="A73" s="374" t="s">
        <v>157</v>
      </c>
      <c r="B73" s="375">
        <v>250</v>
      </c>
      <c r="C73" s="457"/>
    </row>
    <row r="74" spans="1:9" ht="13.5" customHeight="1" x14ac:dyDescent="0.2">
      <c r="A74" s="374" t="s">
        <v>158</v>
      </c>
      <c r="B74" s="376">
        <f>125*($E$183*$E$184*$E$185*$E$186*$E$187)</f>
        <v>125</v>
      </c>
      <c r="C74" s="457"/>
    </row>
    <row r="75" spans="1:9" s="40" customFormat="1" x14ac:dyDescent="0.2">
      <c r="A75" s="458" t="s">
        <v>159</v>
      </c>
      <c r="B75" s="459"/>
      <c r="C75" s="39"/>
    </row>
    <row r="76" spans="1:9" s="40" customFormat="1" x14ac:dyDescent="0.2">
      <c r="A76" s="374" t="s">
        <v>160</v>
      </c>
      <c r="B76" s="373">
        <f>23.79*($E$183*$E$184*$E$185*$E$186*$E$187)</f>
        <v>23.79</v>
      </c>
      <c r="C76" s="39"/>
    </row>
    <row r="77" spans="1:9" s="40" customFormat="1" ht="21" customHeight="1" x14ac:dyDescent="0.2">
      <c r="A77" s="374" t="s">
        <v>161</v>
      </c>
      <c r="B77" s="460" t="s">
        <v>162</v>
      </c>
      <c r="C77" s="39"/>
    </row>
    <row r="78" spans="1:9" s="40" customFormat="1" ht="18" customHeight="1" x14ac:dyDescent="0.2">
      <c r="A78" s="374" t="s">
        <v>163</v>
      </c>
      <c r="B78" s="460"/>
      <c r="C78" s="39"/>
    </row>
    <row r="79" spans="1:9" x14ac:dyDescent="0.2">
      <c r="A79" s="461" t="s">
        <v>164</v>
      </c>
      <c r="B79" s="462"/>
      <c r="D79" t="s">
        <v>165</v>
      </c>
    </row>
    <row r="80" spans="1:9" ht="13.5" thickBot="1" x14ac:dyDescent="0.25">
      <c r="A80" s="377" t="s">
        <v>166</v>
      </c>
      <c r="B80" s="378">
        <f>365.86*($E$183*$E$184*$E$185*$E$186*$E$187)</f>
        <v>365.86</v>
      </c>
      <c r="C80" s="41"/>
      <c r="D80" s="40"/>
    </row>
    <row r="81" spans="1:9" ht="13.5" thickBot="1" x14ac:dyDescent="0.25">
      <c r="A81" s="27"/>
      <c r="B81" s="37"/>
      <c r="C81" s="37"/>
      <c r="D81" s="37"/>
      <c r="E81" s="28"/>
      <c r="F81" s="37"/>
      <c r="G81" s="37"/>
      <c r="H81" s="37"/>
      <c r="I81" s="28"/>
    </row>
    <row r="82" spans="1:9" x14ac:dyDescent="0.2">
      <c r="A82" s="453" t="s">
        <v>167</v>
      </c>
      <c r="B82" s="454"/>
      <c r="C82" s="455"/>
      <c r="D82" s="37"/>
      <c r="E82" s="28"/>
    </row>
    <row r="83" spans="1:9" x14ac:dyDescent="0.2">
      <c r="A83" s="397"/>
      <c r="B83" s="53" t="s">
        <v>113</v>
      </c>
      <c r="C83" s="380" t="s">
        <v>114</v>
      </c>
    </row>
    <row r="84" spans="1:9" x14ac:dyDescent="0.2">
      <c r="A84" s="372" t="s">
        <v>116</v>
      </c>
      <c r="B84" s="6"/>
      <c r="C84" s="384"/>
    </row>
    <row r="85" spans="1:9" x14ac:dyDescent="0.2">
      <c r="A85" s="409" t="s">
        <v>168</v>
      </c>
      <c r="B85" s="42">
        <f>(SUM(B44:B56)/B5)+$B$22</f>
        <v>6367.5876969408164</v>
      </c>
      <c r="C85" s="410">
        <f>(SUM(C44:C56)/C5)+$C$22</f>
        <v>5382.7894894351475</v>
      </c>
    </row>
    <row r="86" spans="1:9" x14ac:dyDescent="0.2">
      <c r="A86" s="411" t="s">
        <v>169</v>
      </c>
      <c r="B86" s="43">
        <f>(SUM(B$27:B$39)*$A$134)/B5</f>
        <v>1692.6247417460315</v>
      </c>
      <c r="C86" s="410">
        <f>(SUM(C$27:C$39)*$A$134)/C5</f>
        <v>1433.1077674223602</v>
      </c>
    </row>
    <row r="87" spans="1:9" ht="13.5" thickBot="1" x14ac:dyDescent="0.25">
      <c r="A87" s="412" t="s">
        <v>170</v>
      </c>
      <c r="B87" s="413">
        <f>SUM(B85:B86)</f>
        <v>8060.2124386868481</v>
      </c>
      <c r="C87" s="414">
        <f t="shared" ref="C87" si="2">SUM(C85:C86)</f>
        <v>6815.8972568575082</v>
      </c>
    </row>
    <row r="88" spans="1:9" ht="13.5" thickBot="1" x14ac:dyDescent="0.25">
      <c r="B88" s="7"/>
      <c r="C88" s="7"/>
    </row>
    <row r="89" spans="1:9" x14ac:dyDescent="0.2">
      <c r="A89" s="453" t="s">
        <v>171</v>
      </c>
      <c r="B89" s="455"/>
    </row>
    <row r="90" spans="1:9" x14ac:dyDescent="0.2">
      <c r="A90" s="372" t="s">
        <v>172</v>
      </c>
      <c r="B90" s="415">
        <v>0.3</v>
      </c>
    </row>
    <row r="91" spans="1:9" ht="13.5" thickBot="1" x14ac:dyDescent="0.25">
      <c r="A91" s="377" t="s">
        <v>173</v>
      </c>
      <c r="B91" s="416">
        <v>0.3</v>
      </c>
      <c r="F91" s="36"/>
      <c r="G91" s="36"/>
    </row>
    <row r="92" spans="1:9" ht="13.5" thickBot="1" x14ac:dyDescent="0.25">
      <c r="A92" s="27"/>
      <c r="B92" s="37"/>
      <c r="C92" s="28"/>
      <c r="G92" s="7"/>
      <c r="H92" t="s">
        <v>174</v>
      </c>
    </row>
    <row r="93" spans="1:9" x14ac:dyDescent="0.2">
      <c r="A93" s="453" t="s">
        <v>175</v>
      </c>
      <c r="B93" s="455"/>
      <c r="C93" s="28"/>
      <c r="G93" s="7"/>
    </row>
    <row r="94" spans="1:9" ht="25.5" x14ac:dyDescent="0.2">
      <c r="A94" s="374" t="s">
        <v>176</v>
      </c>
      <c r="B94" s="375">
        <f>C103/400</f>
        <v>165.06535500000001</v>
      </c>
      <c r="C94" s="463"/>
      <c r="D94" s="36"/>
      <c r="G94" s="7"/>
    </row>
    <row r="95" spans="1:9" ht="25.5" x14ac:dyDescent="0.2">
      <c r="A95" s="374" t="s">
        <v>177</v>
      </c>
      <c r="B95" s="375">
        <f>A134/400</f>
        <v>41.909824999999998</v>
      </c>
      <c r="C95" s="463"/>
      <c r="D95" s="36"/>
      <c r="G95" s="7"/>
    </row>
    <row r="96" spans="1:9" x14ac:dyDescent="0.2">
      <c r="A96" s="372" t="s">
        <v>178</v>
      </c>
      <c r="B96" s="376">
        <f>100*($E$183*$E$184*$E$185*$E$186*$E$187)</f>
        <v>100</v>
      </c>
      <c r="C96" s="35"/>
      <c r="F96" s="45"/>
      <c r="G96" s="7"/>
    </row>
    <row r="97" spans="1:7" ht="13.5" thickBot="1" x14ac:dyDescent="0.25">
      <c r="A97" s="377" t="s">
        <v>179</v>
      </c>
      <c r="B97" s="399">
        <f>25*($E$183*$E$184*$E$185*$E$186*$E$187)</f>
        <v>25</v>
      </c>
      <c r="C97" s="35"/>
      <c r="G97" s="7"/>
    </row>
    <row r="98" spans="1:7" ht="13.5" thickBot="1" x14ac:dyDescent="0.25">
      <c r="A98" s="27"/>
      <c r="B98" s="37"/>
      <c r="C98" s="28"/>
      <c r="G98" s="7"/>
    </row>
    <row r="99" spans="1:7" x14ac:dyDescent="0.2">
      <c r="A99" s="453" t="s">
        <v>180</v>
      </c>
      <c r="B99" s="455"/>
      <c r="C99" s="28"/>
      <c r="G99" s="7"/>
    </row>
    <row r="100" spans="1:7" ht="13.5" thickBot="1" x14ac:dyDescent="0.25">
      <c r="A100" s="377" t="s">
        <v>181</v>
      </c>
      <c r="B100" s="399">
        <f>40*($E$183*$E$184*$E$185*$E$186*$E$187)</f>
        <v>40</v>
      </c>
      <c r="C100" s="28"/>
      <c r="G100" s="7"/>
    </row>
    <row r="101" spans="1:7" ht="13.5" thickBot="1" x14ac:dyDescent="0.25">
      <c r="A101" s="27"/>
      <c r="B101" s="37"/>
      <c r="C101" s="28"/>
    </row>
    <row r="102" spans="1:7" x14ac:dyDescent="0.2">
      <c r="A102" s="417" t="s">
        <v>182</v>
      </c>
      <c r="B102" s="418" t="s">
        <v>183</v>
      </c>
      <c r="C102" s="419" t="s">
        <v>184</v>
      </c>
      <c r="D102" s="47"/>
    </row>
    <row r="103" spans="1:7" ht="12.75" customHeight="1" x14ac:dyDescent="0.2">
      <c r="A103" s="374" t="s">
        <v>117</v>
      </c>
      <c r="B103" s="48">
        <f>(50622+3900)*($B$183*$B$184*$B$185*$B$186*$B$187)</f>
        <v>54522</v>
      </c>
      <c r="C103" s="376">
        <f t="shared" ref="C103:C122" si="3">$B103*(1+SUM($B$126:$B$131))</f>
        <v>66026.142000000007</v>
      </c>
      <c r="D103" s="49"/>
    </row>
    <row r="104" spans="1:7" ht="12.75" customHeight="1" x14ac:dyDescent="0.2">
      <c r="A104" s="374" t="s">
        <v>118</v>
      </c>
      <c r="B104" s="48">
        <f t="shared" ref="B104:B106" si="4">(50622+3900)*($B$183*$B$184*$B$185*$B$186*$B$187)</f>
        <v>54522</v>
      </c>
      <c r="C104" s="376">
        <f t="shared" si="3"/>
        <v>66026.142000000007</v>
      </c>
      <c r="D104" s="49"/>
    </row>
    <row r="105" spans="1:7" x14ac:dyDescent="0.2">
      <c r="A105" s="374" t="s">
        <v>119</v>
      </c>
      <c r="B105" s="48">
        <f t="shared" si="4"/>
        <v>54522</v>
      </c>
      <c r="C105" s="376">
        <f t="shared" si="3"/>
        <v>66026.142000000007</v>
      </c>
      <c r="D105" s="49"/>
    </row>
    <row r="106" spans="1:7" x14ac:dyDescent="0.2">
      <c r="A106" s="374" t="s">
        <v>120</v>
      </c>
      <c r="B106" s="48">
        <f t="shared" si="4"/>
        <v>54522</v>
      </c>
      <c r="C106" s="376">
        <f t="shared" si="3"/>
        <v>66026.142000000007</v>
      </c>
      <c r="D106" s="49"/>
    </row>
    <row r="107" spans="1:7" x14ac:dyDescent="0.2">
      <c r="A107" s="374" t="s">
        <v>134</v>
      </c>
      <c r="B107" s="50">
        <f>43500.925923126*($B$183*$B$184*$B$185*$B$186*$B$187)</f>
        <v>43500.925923126</v>
      </c>
      <c r="C107" s="376">
        <f t="shared" si="3"/>
        <v>52679.621292905591</v>
      </c>
      <c r="D107" s="49"/>
    </row>
    <row r="108" spans="1:7" x14ac:dyDescent="0.2">
      <c r="A108" s="374" t="s">
        <v>122</v>
      </c>
      <c r="B108" s="50">
        <f>18445.82065494*($B$183*$B$184*$B$185*$B$186*$B$187)</f>
        <v>18445.820654939998</v>
      </c>
      <c r="C108" s="376">
        <f t="shared" si="3"/>
        <v>22337.88881313234</v>
      </c>
      <c r="D108" s="49"/>
    </row>
    <row r="109" spans="1:7" x14ac:dyDescent="0.2">
      <c r="A109" s="374" t="s">
        <v>123</v>
      </c>
      <c r="B109" s="48">
        <f>50622*($B$183*$B$184*$B$185*$B$186*$B$187)</f>
        <v>50622</v>
      </c>
      <c r="C109" s="376">
        <f t="shared" si="3"/>
        <v>61303.242000000006</v>
      </c>
      <c r="D109" s="49"/>
    </row>
    <row r="110" spans="1:7" x14ac:dyDescent="0.2">
      <c r="A110" s="374" t="s">
        <v>135</v>
      </c>
      <c r="B110" s="48">
        <f>50622*($B$183*$B$184*$B$185*$B$186*$B$187)</f>
        <v>50622</v>
      </c>
      <c r="C110" s="376">
        <f t="shared" si="3"/>
        <v>61303.242000000006</v>
      </c>
      <c r="D110" s="49"/>
    </row>
    <row r="111" spans="1:7" x14ac:dyDescent="0.2">
      <c r="A111" s="374" t="s">
        <v>136</v>
      </c>
      <c r="B111" s="50">
        <f>83072.431743252*($B$183*$B$184*$B$185*$B$186*$B$187)</f>
        <v>83072.431743252004</v>
      </c>
      <c r="C111" s="376">
        <f t="shared" si="3"/>
        <v>100600.71484107818</v>
      </c>
      <c r="D111" s="49"/>
    </row>
    <row r="112" spans="1:7" x14ac:dyDescent="0.2">
      <c r="A112" s="374" t="s">
        <v>137</v>
      </c>
      <c r="B112" s="50">
        <f>69702.29916993*($B$183*$B$184*$B$185*$B$186*$B$187)</f>
        <v>69702.299169930004</v>
      </c>
      <c r="C112" s="376">
        <f t="shared" si="3"/>
        <v>84409.484294785245</v>
      </c>
      <c r="D112" s="49"/>
    </row>
    <row r="113" spans="1:9" x14ac:dyDescent="0.2">
      <c r="A113" s="374" t="s">
        <v>140</v>
      </c>
      <c r="B113" s="50">
        <f>32410*($C$183*$C$184*$C$185*$C$186*$C$187)</f>
        <v>32410</v>
      </c>
      <c r="C113" s="376">
        <f t="shared" si="3"/>
        <v>39248.51</v>
      </c>
      <c r="D113" s="49"/>
      <c r="I113" s="51"/>
    </row>
    <row r="114" spans="1:9" x14ac:dyDescent="0.2">
      <c r="A114" s="374" t="s">
        <v>141</v>
      </c>
      <c r="B114" s="50">
        <f>24930.486516348*($C$183*$C$184*$C$185*$C$186*$C$187)</f>
        <v>24930.486516347999</v>
      </c>
      <c r="C114" s="376">
        <f t="shared" si="3"/>
        <v>30190.819171297429</v>
      </c>
      <c r="D114" s="49"/>
      <c r="I114" s="51"/>
    </row>
    <row r="115" spans="1:9" x14ac:dyDescent="0.2">
      <c r="A115" s="372" t="s">
        <v>129</v>
      </c>
      <c r="B115" s="50">
        <f>43500.925923126*($B$183*$B$184*$B$185*$B$186*$B$187)</f>
        <v>43500.925923126</v>
      </c>
      <c r="C115" s="376">
        <f t="shared" si="3"/>
        <v>52679.621292905591</v>
      </c>
      <c r="D115" s="49"/>
      <c r="I115" s="51"/>
    </row>
    <row r="116" spans="1:9" x14ac:dyDescent="0.2">
      <c r="A116" s="372" t="s">
        <v>185</v>
      </c>
      <c r="B116" s="33">
        <f>106892.576407638*($B$183*$B$184*$B$185*$B$186*$B$187)</f>
        <v>106892.576407638</v>
      </c>
      <c r="C116" s="376">
        <f t="shared" si="3"/>
        <v>129446.91002964963</v>
      </c>
      <c r="D116" s="49"/>
      <c r="E116" s="7"/>
      <c r="F116" s="7"/>
      <c r="G116" s="7"/>
      <c r="I116" s="51"/>
    </row>
    <row r="117" spans="1:9" x14ac:dyDescent="0.2">
      <c r="A117" s="372" t="s">
        <v>186</v>
      </c>
      <c r="B117" s="33">
        <f>85514.0611261104*($B$183*$B$184*$B$185*$B$186*$B$187)</f>
        <v>85514.061126110406</v>
      </c>
      <c r="C117" s="376">
        <f t="shared" si="3"/>
        <v>103557.52802371971</v>
      </c>
      <c r="D117" s="49"/>
      <c r="I117" s="51"/>
    </row>
    <row r="118" spans="1:9" x14ac:dyDescent="0.2">
      <c r="A118" s="372" t="s">
        <v>187</v>
      </c>
      <c r="B118" s="33">
        <f>72079.036986516*($B$183*$B$184*$B$185*$B$186*$B$187)</f>
        <v>72079.036986516003</v>
      </c>
      <c r="C118" s="376">
        <f t="shared" si="3"/>
        <v>87287.713790670881</v>
      </c>
      <c r="D118" s="49"/>
      <c r="I118" s="51"/>
    </row>
    <row r="119" spans="1:9" x14ac:dyDescent="0.2">
      <c r="A119" s="372" t="s">
        <v>188</v>
      </c>
      <c r="B119" s="52">
        <f>(B117*(2/3))+(B118*(1/3))*($B$183*$B$184*$B$185*$B$186*$B$187)</f>
        <v>81035.719746245595</v>
      </c>
      <c r="C119" s="376">
        <f t="shared" si="3"/>
        <v>98134.256612703422</v>
      </c>
      <c r="D119" s="49"/>
      <c r="I119" s="51"/>
    </row>
    <row r="120" spans="1:9" x14ac:dyDescent="0.2">
      <c r="A120" s="372" t="s">
        <v>189</v>
      </c>
      <c r="B120" s="50">
        <f>34885.391674434*($C$183*$C$184*$C$185*$C$186*$C$187)</f>
        <v>34885.391674434002</v>
      </c>
      <c r="C120" s="376">
        <f t="shared" si="3"/>
        <v>42246.20931773958</v>
      </c>
      <c r="D120" s="49"/>
      <c r="I120" s="51"/>
    </row>
    <row r="121" spans="1:9" x14ac:dyDescent="0.2">
      <c r="A121" s="374" t="s">
        <v>190</v>
      </c>
      <c r="B121" s="50">
        <f>35775.686000628*($C$183*$C$184*$C$185*$C$186*$C$187)</f>
        <v>35775.686000627997</v>
      </c>
      <c r="C121" s="376">
        <f t="shared" si="3"/>
        <v>43324.355746760506</v>
      </c>
      <c r="D121" s="49"/>
      <c r="I121" s="51"/>
    </row>
    <row r="122" spans="1:9" ht="13.5" thickBot="1" x14ac:dyDescent="0.25">
      <c r="A122" s="377" t="s">
        <v>191</v>
      </c>
      <c r="B122" s="420">
        <f>29843.384336556*($C$183*$C$184*$C$185*$C$186*$C$187)</f>
        <v>29843.384336555999</v>
      </c>
      <c r="C122" s="399">
        <f t="shared" si="3"/>
        <v>36140.338431569318</v>
      </c>
      <c r="D122" s="49"/>
      <c r="I122" s="51"/>
    </row>
    <row r="123" spans="1:9" ht="13.5" thickBot="1" x14ac:dyDescent="0.25"/>
    <row r="124" spans="1:9" x14ac:dyDescent="0.2">
      <c r="A124" s="464" t="s">
        <v>192</v>
      </c>
      <c r="B124" s="465"/>
    </row>
    <row r="125" spans="1:9" x14ac:dyDescent="0.2">
      <c r="A125" s="421" t="s">
        <v>193</v>
      </c>
      <c r="B125" s="422" t="s">
        <v>194</v>
      </c>
    </row>
    <row r="126" spans="1:9" x14ac:dyDescent="0.2">
      <c r="A126" s="404" t="s">
        <v>195</v>
      </c>
      <c r="B126" s="423">
        <v>6.2E-2</v>
      </c>
    </row>
    <row r="127" spans="1:9" x14ac:dyDescent="0.2">
      <c r="A127" s="404" t="s">
        <v>196</v>
      </c>
      <c r="B127" s="423">
        <v>1.4500000000000001E-2</v>
      </c>
    </row>
    <row r="128" spans="1:9" x14ac:dyDescent="0.2">
      <c r="A128" s="404" t="s">
        <v>197</v>
      </c>
      <c r="B128" s="423">
        <v>7.0000000000000001E-3</v>
      </c>
    </row>
    <row r="129" spans="1:16" x14ac:dyDescent="0.2">
      <c r="A129" s="404" t="s">
        <v>198</v>
      </c>
      <c r="B129" s="423">
        <v>5.9999999999999995E-4</v>
      </c>
    </row>
    <row r="130" spans="1:16" x14ac:dyDescent="0.2">
      <c r="A130" s="404" t="s">
        <v>199</v>
      </c>
      <c r="B130" s="423">
        <v>5.57E-2</v>
      </c>
    </row>
    <row r="131" spans="1:16" ht="13.5" thickBot="1" x14ac:dyDescent="0.25">
      <c r="A131" s="424" t="s">
        <v>200</v>
      </c>
      <c r="B131" s="425">
        <v>7.1199999999999999E-2</v>
      </c>
      <c r="O131" s="56"/>
      <c r="P131" s="56"/>
    </row>
    <row r="132" spans="1:16" ht="13.5" thickBot="1" x14ac:dyDescent="0.25"/>
    <row r="133" spans="1:16" x14ac:dyDescent="0.2">
      <c r="A133" s="426" t="s">
        <v>201</v>
      </c>
      <c r="O133" s="56"/>
    </row>
    <row r="134" spans="1:16" ht="13.5" thickBot="1" x14ac:dyDescent="0.25">
      <c r="A134" s="427">
        <f>'Health Insurance Composite'!X8</f>
        <v>16763.93</v>
      </c>
      <c r="O134" s="56"/>
    </row>
    <row r="135" spans="1:16" ht="13.5" thickBot="1" x14ac:dyDescent="0.25"/>
    <row r="136" spans="1:16" x14ac:dyDescent="0.2">
      <c r="A136" s="464" t="s">
        <v>202</v>
      </c>
      <c r="B136" s="465"/>
    </row>
    <row r="137" spans="1:16" x14ac:dyDescent="0.2">
      <c r="A137" s="421" t="s">
        <v>193</v>
      </c>
      <c r="B137" s="422" t="s">
        <v>143</v>
      </c>
    </row>
    <row r="138" spans="1:16" x14ac:dyDescent="0.2">
      <c r="A138" s="428" t="s">
        <v>203</v>
      </c>
      <c r="B138" s="385"/>
    </row>
    <row r="139" spans="1:16" x14ac:dyDescent="0.2">
      <c r="A139" s="429" t="s">
        <v>204</v>
      </c>
      <c r="B139" s="415">
        <v>49</v>
      </c>
    </row>
    <row r="140" spans="1:16" x14ac:dyDescent="0.2">
      <c r="A140" s="429" t="s">
        <v>205</v>
      </c>
      <c r="B140" s="415">
        <v>13</v>
      </c>
    </row>
    <row r="141" spans="1:16" x14ac:dyDescent="0.2">
      <c r="A141" s="429" t="s">
        <v>206</v>
      </c>
      <c r="B141" s="430">
        <v>325</v>
      </c>
    </row>
    <row r="142" spans="1:16" x14ac:dyDescent="0.2">
      <c r="A142" s="429" t="s">
        <v>207</v>
      </c>
      <c r="B142" s="415">
        <v>13</v>
      </c>
    </row>
    <row r="143" spans="1:16" x14ac:dyDescent="0.2">
      <c r="A143" s="429" t="s">
        <v>208</v>
      </c>
      <c r="B143" s="382">
        <v>18000</v>
      </c>
    </row>
    <row r="144" spans="1:16" x14ac:dyDescent="0.2">
      <c r="A144" s="429" t="s">
        <v>209</v>
      </c>
      <c r="B144" s="431">
        <v>0.5</v>
      </c>
    </row>
    <row r="145" spans="1:2" x14ac:dyDescent="0.2">
      <c r="A145" s="429" t="s">
        <v>210</v>
      </c>
      <c r="B145" s="423">
        <v>0.1</v>
      </c>
    </row>
    <row r="146" spans="1:2" x14ac:dyDescent="0.2">
      <c r="A146" s="428" t="s">
        <v>211</v>
      </c>
      <c r="B146" s="432"/>
    </row>
    <row r="147" spans="1:2" x14ac:dyDescent="0.2">
      <c r="A147" s="429" t="s">
        <v>212</v>
      </c>
      <c r="B147" s="431">
        <v>1.1000000000000001</v>
      </c>
    </row>
    <row r="148" spans="1:2" x14ac:dyDescent="0.2">
      <c r="A148" s="429" t="s">
        <v>213</v>
      </c>
      <c r="B148" s="382">
        <v>60000</v>
      </c>
    </row>
    <row r="149" spans="1:2" x14ac:dyDescent="0.2">
      <c r="A149" s="429" t="s">
        <v>214</v>
      </c>
      <c r="B149" s="431">
        <v>1.2</v>
      </c>
    </row>
    <row r="150" spans="1:2" x14ac:dyDescent="0.2">
      <c r="A150" s="429" t="s">
        <v>215</v>
      </c>
      <c r="B150" s="430">
        <v>1000</v>
      </c>
    </row>
    <row r="151" spans="1:2" x14ac:dyDescent="0.2">
      <c r="A151" s="429" t="s">
        <v>216</v>
      </c>
      <c r="B151" s="431">
        <v>1.3</v>
      </c>
    </row>
    <row r="152" spans="1:2" x14ac:dyDescent="0.2">
      <c r="A152" s="429" t="s">
        <v>217</v>
      </c>
      <c r="B152" s="376">
        <v>5000000</v>
      </c>
    </row>
    <row r="153" spans="1:2" x14ac:dyDescent="0.2">
      <c r="A153" s="429" t="s">
        <v>218</v>
      </c>
      <c r="B153" s="431">
        <v>1.2</v>
      </c>
    </row>
    <row r="154" spans="1:2" x14ac:dyDescent="0.2">
      <c r="A154" s="429" t="s">
        <v>219</v>
      </c>
      <c r="B154" s="431">
        <v>0.8</v>
      </c>
    </row>
    <row r="155" spans="1:2" x14ac:dyDescent="0.2">
      <c r="A155" s="429" t="s">
        <v>220</v>
      </c>
      <c r="B155" s="431">
        <v>1</v>
      </c>
    </row>
    <row r="156" spans="1:2" x14ac:dyDescent="0.2">
      <c r="A156" s="429" t="s">
        <v>221</v>
      </c>
      <c r="B156" s="433">
        <v>2</v>
      </c>
    </row>
    <row r="157" spans="1:2" x14ac:dyDescent="0.2">
      <c r="A157" s="429" t="s">
        <v>222</v>
      </c>
      <c r="B157" s="388">
        <v>2017</v>
      </c>
    </row>
    <row r="158" spans="1:2" x14ac:dyDescent="0.2">
      <c r="A158" s="434" t="s">
        <v>223</v>
      </c>
      <c r="B158" s="431">
        <v>10</v>
      </c>
    </row>
    <row r="159" spans="1:2" x14ac:dyDescent="0.2">
      <c r="A159" s="434" t="s">
        <v>224</v>
      </c>
      <c r="B159" s="431">
        <v>0.95</v>
      </c>
    </row>
    <row r="160" spans="1:2" x14ac:dyDescent="0.2">
      <c r="A160" s="434" t="s">
        <v>225</v>
      </c>
      <c r="B160" s="431">
        <v>30</v>
      </c>
    </row>
    <row r="161" spans="1:2" x14ac:dyDescent="0.2">
      <c r="A161" s="434" t="s">
        <v>226</v>
      </c>
      <c r="B161" s="431">
        <v>1.1000000000000001</v>
      </c>
    </row>
    <row r="162" spans="1:2" x14ac:dyDescent="0.2">
      <c r="A162" s="429" t="s">
        <v>227</v>
      </c>
      <c r="B162" s="430">
        <v>1000</v>
      </c>
    </row>
    <row r="163" spans="1:2" x14ac:dyDescent="0.2">
      <c r="A163" s="435" t="s">
        <v>228</v>
      </c>
      <c r="B163" s="433">
        <v>1.1000000000000001</v>
      </c>
    </row>
    <row r="164" spans="1:2" x14ac:dyDescent="0.2">
      <c r="A164" s="406" t="s">
        <v>229</v>
      </c>
      <c r="B164" s="388">
        <v>2002</v>
      </c>
    </row>
    <row r="165" spans="1:2" x14ac:dyDescent="0.2">
      <c r="A165" s="404" t="s">
        <v>230</v>
      </c>
      <c r="B165" s="385">
        <v>1.1499999999999999</v>
      </c>
    </row>
    <row r="166" spans="1:2" x14ac:dyDescent="0.2">
      <c r="A166" s="406" t="s">
        <v>231</v>
      </c>
      <c r="B166" s="436">
        <f>0.67*($E$183*$E$184*$E$185*$E$186*$E$187)</f>
        <v>0.67</v>
      </c>
    </row>
    <row r="167" spans="1:2" x14ac:dyDescent="0.2">
      <c r="A167" s="428" t="s">
        <v>232</v>
      </c>
      <c r="B167" s="384"/>
    </row>
    <row r="168" spans="1:2" x14ac:dyDescent="0.2">
      <c r="A168" s="404" t="s">
        <v>233</v>
      </c>
      <c r="B168" s="415">
        <v>93</v>
      </c>
    </row>
    <row r="169" spans="1:2" x14ac:dyDescent="0.2">
      <c r="A169" s="404" t="s">
        <v>234</v>
      </c>
      <c r="B169" s="415">
        <v>2008</v>
      </c>
    </row>
    <row r="170" spans="1:2" x14ac:dyDescent="0.2">
      <c r="A170" s="404" t="s">
        <v>235</v>
      </c>
      <c r="B170" s="415">
        <v>1</v>
      </c>
    </row>
    <row r="171" spans="1:2" x14ac:dyDescent="0.2">
      <c r="A171" s="404" t="s">
        <v>236</v>
      </c>
      <c r="B171" s="415">
        <v>1</v>
      </c>
    </row>
    <row r="172" spans="1:2" x14ac:dyDescent="0.2">
      <c r="A172" s="404" t="s">
        <v>237</v>
      </c>
      <c r="B172" s="415">
        <v>1.5</v>
      </c>
    </row>
    <row r="173" spans="1:2" x14ac:dyDescent="0.2">
      <c r="A173" s="404" t="s">
        <v>238</v>
      </c>
      <c r="B173" s="415">
        <v>2.5</v>
      </c>
    </row>
    <row r="174" spans="1:2" x14ac:dyDescent="0.2">
      <c r="A174" s="428" t="s">
        <v>239</v>
      </c>
      <c r="B174" s="384"/>
    </row>
    <row r="175" spans="1:2" x14ac:dyDescent="0.2">
      <c r="A175" s="404" t="s">
        <v>240</v>
      </c>
      <c r="B175" s="437">
        <v>35612</v>
      </c>
    </row>
    <row r="176" spans="1:2" x14ac:dyDescent="0.2">
      <c r="A176" s="404" t="s">
        <v>241</v>
      </c>
      <c r="B176" s="431">
        <v>4</v>
      </c>
    </row>
    <row r="177" spans="1:5" x14ac:dyDescent="0.2">
      <c r="A177" s="404" t="s">
        <v>242</v>
      </c>
      <c r="B177" s="431">
        <v>10</v>
      </c>
    </row>
    <row r="178" spans="1:5" x14ac:dyDescent="0.2">
      <c r="A178" s="404" t="s">
        <v>243</v>
      </c>
      <c r="B178" s="431">
        <v>20</v>
      </c>
    </row>
    <row r="179" spans="1:5" ht="13.5" thickBot="1" x14ac:dyDescent="0.25">
      <c r="A179" s="424" t="s">
        <v>244</v>
      </c>
      <c r="B179" s="438">
        <v>100</v>
      </c>
    </row>
    <row r="180" spans="1:5" ht="13.5" thickBot="1" x14ac:dyDescent="0.25"/>
    <row r="181" spans="1:5" x14ac:dyDescent="0.2">
      <c r="A181" s="450" t="s">
        <v>245</v>
      </c>
      <c r="B181" s="451"/>
      <c r="C181" s="451"/>
      <c r="D181" s="451"/>
      <c r="E181" s="452"/>
    </row>
    <row r="182" spans="1:5" ht="25.5" x14ac:dyDescent="0.2">
      <c r="A182" s="439" t="s">
        <v>246</v>
      </c>
      <c r="B182" s="59" t="s">
        <v>247</v>
      </c>
      <c r="C182" s="59" t="s">
        <v>248</v>
      </c>
      <c r="D182" s="58" t="s">
        <v>249</v>
      </c>
      <c r="E182" s="440" t="s">
        <v>250</v>
      </c>
    </row>
    <row r="183" spans="1:5" x14ac:dyDescent="0.2">
      <c r="A183" s="441" t="s">
        <v>251</v>
      </c>
      <c r="B183" s="60">
        <v>1</v>
      </c>
      <c r="C183" s="60">
        <v>1</v>
      </c>
      <c r="D183" s="60">
        <v>1</v>
      </c>
      <c r="E183" s="442">
        <v>1</v>
      </c>
    </row>
    <row r="184" spans="1:5" x14ac:dyDescent="0.2">
      <c r="A184" s="441" t="s">
        <v>252</v>
      </c>
      <c r="B184" s="60">
        <v>1</v>
      </c>
      <c r="C184" s="60">
        <v>1</v>
      </c>
      <c r="D184" s="60">
        <v>1</v>
      </c>
      <c r="E184" s="442">
        <v>1</v>
      </c>
    </row>
    <row r="185" spans="1:5" x14ac:dyDescent="0.2">
      <c r="A185" s="441" t="s">
        <v>253</v>
      </c>
      <c r="B185" s="60">
        <v>1</v>
      </c>
      <c r="C185" s="60">
        <v>1</v>
      </c>
      <c r="D185" s="60">
        <v>1</v>
      </c>
      <c r="E185" s="442">
        <v>1</v>
      </c>
    </row>
    <row r="186" spans="1:5" x14ac:dyDescent="0.2">
      <c r="A186" s="441" t="s">
        <v>254</v>
      </c>
      <c r="B186" s="60">
        <v>1</v>
      </c>
      <c r="C186" s="60">
        <v>1</v>
      </c>
      <c r="D186" s="60">
        <v>1</v>
      </c>
      <c r="E186" s="442">
        <v>1</v>
      </c>
    </row>
    <row r="187" spans="1:5" ht="13.5" thickBot="1" x14ac:dyDescent="0.25">
      <c r="A187" s="443" t="s">
        <v>255</v>
      </c>
      <c r="B187" s="444">
        <v>1</v>
      </c>
      <c r="C187" s="444">
        <v>1</v>
      </c>
      <c r="D187" s="444">
        <v>1</v>
      </c>
      <c r="E187" s="445">
        <v>1</v>
      </c>
    </row>
  </sheetData>
  <sheetProtection algorithmName="SHA-512" hashValue="a1u0uUOXEUCHLqxGFVoWriJ0MrNvTz5CzyqVWdbWV32Mc6oIQ7pLYsIIXu4nwn3/spOFMMIfSsqRYdl9Dpiv5g==" saltValue="DejL5seoUH6/L2rKeny+Yg==" spinCount="100000" sheet="1" objects="1" scenarios="1"/>
  <mergeCells count="19">
    <mergeCell ref="H2:I2"/>
    <mergeCell ref="A181:E181"/>
    <mergeCell ref="C72:C74"/>
    <mergeCell ref="A75:B75"/>
    <mergeCell ref="B77:B78"/>
    <mergeCell ref="A79:B79"/>
    <mergeCell ref="A82:C82"/>
    <mergeCell ref="A89:B89"/>
    <mergeCell ref="A93:B93"/>
    <mergeCell ref="C94:C95"/>
    <mergeCell ref="A99:B99"/>
    <mergeCell ref="A124:B124"/>
    <mergeCell ref="A136:B136"/>
    <mergeCell ref="A70:B70"/>
    <mergeCell ref="A1:E1"/>
    <mergeCell ref="A3:C3"/>
    <mergeCell ref="A24:C24"/>
    <mergeCell ref="A41:C41"/>
    <mergeCell ref="A69:B69"/>
  </mergeCells>
  <printOptions headings="1"/>
  <pageMargins left="0.5" right="0.5" top="0.5" bottom="0.5" header="0.25" footer="0.25"/>
  <pageSetup scale="49" fitToHeight="2" orientation="portrait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7"/>
  <sheetViews>
    <sheetView showGridLines="0" workbookViewId="0"/>
  </sheetViews>
  <sheetFormatPr defaultColWidth="8.85546875" defaultRowHeight="12.75" x14ac:dyDescent="0.2"/>
  <cols>
    <col min="1" max="21" width="15.7109375" customWidth="1"/>
    <col min="22" max="23" width="16.42578125" customWidth="1"/>
    <col min="24" max="24" width="12.42578125" customWidth="1"/>
  </cols>
  <sheetData>
    <row r="1" spans="1:24" ht="15.75" x14ac:dyDescent="0.25">
      <c r="A1" s="104" t="s">
        <v>2406</v>
      </c>
      <c r="B1" s="104"/>
      <c r="C1" s="104"/>
      <c r="D1" s="104"/>
      <c r="E1" s="104"/>
      <c r="F1" s="104"/>
      <c r="G1" s="104"/>
      <c r="H1" s="104"/>
      <c r="I1" s="104"/>
      <c r="J1" s="104"/>
    </row>
    <row r="3" spans="1:24" x14ac:dyDescent="0.2">
      <c r="X3" s="365"/>
    </row>
    <row r="4" spans="1:24" ht="77.25" thickBot="1" x14ac:dyDescent="0.25">
      <c r="A4" s="1" t="s">
        <v>1</v>
      </c>
      <c r="B4" s="1" t="s">
        <v>2</v>
      </c>
      <c r="C4" s="1" t="s">
        <v>2407</v>
      </c>
      <c r="D4" s="1" t="s">
        <v>2408</v>
      </c>
      <c r="E4" s="1" t="s">
        <v>2409</v>
      </c>
      <c r="F4" s="1" t="s">
        <v>2410</v>
      </c>
      <c r="G4" s="1" t="s">
        <v>2411</v>
      </c>
      <c r="H4" s="1" t="s">
        <v>2412</v>
      </c>
      <c r="I4" s="1" t="s">
        <v>2413</v>
      </c>
      <c r="J4" s="1" t="s">
        <v>2414</v>
      </c>
      <c r="K4" s="1" t="s">
        <v>2415</v>
      </c>
      <c r="L4" s="1" t="s">
        <v>2416</v>
      </c>
      <c r="M4" s="1" t="s">
        <v>2417</v>
      </c>
      <c r="N4" s="1" t="s">
        <v>2418</v>
      </c>
      <c r="O4" s="1" t="s">
        <v>2419</v>
      </c>
      <c r="P4" s="1" t="s">
        <v>2420</v>
      </c>
      <c r="Q4" s="1" t="s">
        <v>2421</v>
      </c>
      <c r="R4" s="1" t="s">
        <v>2422</v>
      </c>
      <c r="S4" s="1" t="s">
        <v>2423</v>
      </c>
      <c r="T4" s="1" t="s">
        <v>2424</v>
      </c>
      <c r="U4" s="1" t="s">
        <v>2425</v>
      </c>
      <c r="V4" s="1" t="s">
        <v>2426</v>
      </c>
      <c r="W4" s="1" t="s">
        <v>2427</v>
      </c>
      <c r="X4" s="366" t="s">
        <v>2428</v>
      </c>
    </row>
    <row r="5" spans="1:24" x14ac:dyDescent="0.2">
      <c r="A5" s="2" t="s">
        <v>14</v>
      </c>
      <c r="B5" s="2" t="s">
        <v>15</v>
      </c>
      <c r="C5" s="367">
        <v>0</v>
      </c>
      <c r="D5" s="367">
        <v>0</v>
      </c>
      <c r="E5" s="367">
        <v>0</v>
      </c>
      <c r="F5" s="367">
        <v>0</v>
      </c>
      <c r="G5" s="367">
        <v>0</v>
      </c>
      <c r="H5" s="4">
        <f>SUM(C5:G5)</f>
        <v>0</v>
      </c>
      <c r="I5" s="4">
        <f>H5*20%</f>
        <v>0</v>
      </c>
      <c r="J5" s="4">
        <v>538574.57999999996</v>
      </c>
      <c r="K5" s="4">
        <f>SUM(I5:J5)</f>
        <v>538574.57999999996</v>
      </c>
      <c r="L5" s="4">
        <v>26769.7</v>
      </c>
      <c r="M5" s="4">
        <v>0</v>
      </c>
      <c r="N5" s="4">
        <f>SUM(L5:M5)</f>
        <v>26769.7</v>
      </c>
      <c r="O5" s="4">
        <v>11081792.960000001</v>
      </c>
      <c r="P5" s="4">
        <v>0</v>
      </c>
      <c r="Q5" s="4">
        <v>0</v>
      </c>
      <c r="R5" s="4">
        <v>0</v>
      </c>
      <c r="S5" s="4">
        <f>SUM(P5:R5)</f>
        <v>0</v>
      </c>
      <c r="T5" s="4">
        <v>0</v>
      </c>
      <c r="U5" s="4">
        <f t="shared" ref="U5:U52" si="0">SUM(T5:T5)</f>
        <v>0</v>
      </c>
      <c r="V5" s="4">
        <f t="shared" ref="V5:V52" si="1">SUM(K5,N5,O5,S5,U5)</f>
        <v>11647137.24</v>
      </c>
      <c r="W5" s="4">
        <v>3088473.8466666671</v>
      </c>
      <c r="X5" s="123">
        <f t="shared" ref="X5:X52" si="2">W5+(V5*1.04)</f>
        <v>15201496.576266669</v>
      </c>
    </row>
    <row r="6" spans="1:24" x14ac:dyDescent="0.2">
      <c r="A6" s="6" t="s">
        <v>16</v>
      </c>
      <c r="B6" s="6" t="s">
        <v>17</v>
      </c>
      <c r="C6" s="368">
        <v>0</v>
      </c>
      <c r="D6" s="368">
        <v>0</v>
      </c>
      <c r="E6" s="368">
        <v>0</v>
      </c>
      <c r="F6" s="368">
        <v>0</v>
      </c>
      <c r="G6" s="368">
        <v>0</v>
      </c>
      <c r="H6" s="4">
        <f t="shared" ref="H6:H52" si="3">SUM(C6:G6)</f>
        <v>0</v>
      </c>
      <c r="I6" s="4">
        <f t="shared" ref="I6:I52" si="4">H6*20%</f>
        <v>0</v>
      </c>
      <c r="J6" s="4">
        <v>229915.96</v>
      </c>
      <c r="K6" s="4">
        <f t="shared" ref="K6:K52" si="5">SUM(I6:J6)</f>
        <v>229915.96</v>
      </c>
      <c r="L6" s="4">
        <v>0</v>
      </c>
      <c r="M6" s="4">
        <v>0</v>
      </c>
      <c r="N6" s="4">
        <f t="shared" ref="N6:N52" si="6">SUM(L6:M6)</f>
        <v>0</v>
      </c>
      <c r="O6" s="33">
        <v>2520494.64</v>
      </c>
      <c r="P6" s="33">
        <v>0</v>
      </c>
      <c r="Q6" s="33">
        <v>0</v>
      </c>
      <c r="R6" s="33">
        <v>0</v>
      </c>
      <c r="S6" s="4">
        <f t="shared" ref="S6:S52" si="7">SUM(P6:R6)</f>
        <v>0</v>
      </c>
      <c r="T6" s="33">
        <v>0</v>
      </c>
      <c r="U6" s="4">
        <f t="shared" si="0"/>
        <v>0</v>
      </c>
      <c r="V6" s="4">
        <f t="shared" si="1"/>
        <v>2750410.6</v>
      </c>
      <c r="W6" s="4">
        <v>840962.73999999987</v>
      </c>
      <c r="X6" s="123">
        <f t="shared" si="2"/>
        <v>3701389.764</v>
      </c>
    </row>
    <row r="7" spans="1:24" x14ac:dyDescent="0.2">
      <c r="A7" s="6" t="s">
        <v>18</v>
      </c>
      <c r="B7" s="6" t="s">
        <v>19</v>
      </c>
      <c r="C7" s="368">
        <v>0</v>
      </c>
      <c r="D7" s="368">
        <v>0</v>
      </c>
      <c r="E7" s="368">
        <v>0</v>
      </c>
      <c r="F7" s="368">
        <v>0</v>
      </c>
      <c r="G7" s="368">
        <v>0</v>
      </c>
      <c r="H7" s="4">
        <f t="shared" si="3"/>
        <v>0</v>
      </c>
      <c r="I7" s="4">
        <f t="shared" si="4"/>
        <v>0</v>
      </c>
      <c r="J7" s="4">
        <v>122236.72</v>
      </c>
      <c r="K7" s="4">
        <f t="shared" si="5"/>
        <v>122236.72</v>
      </c>
      <c r="L7" s="4">
        <v>0</v>
      </c>
      <c r="M7" s="4">
        <v>0</v>
      </c>
      <c r="N7" s="4">
        <f t="shared" si="6"/>
        <v>0</v>
      </c>
      <c r="O7" s="33">
        <v>1794847.77</v>
      </c>
      <c r="P7" s="33">
        <v>0</v>
      </c>
      <c r="Q7" s="33">
        <v>0</v>
      </c>
      <c r="R7" s="33">
        <v>0</v>
      </c>
      <c r="S7" s="4">
        <f t="shared" si="7"/>
        <v>0</v>
      </c>
      <c r="T7" s="33">
        <v>0</v>
      </c>
      <c r="U7" s="4">
        <f t="shared" si="0"/>
        <v>0</v>
      </c>
      <c r="V7" s="4">
        <f t="shared" si="1"/>
        <v>1917084.49</v>
      </c>
      <c r="W7" s="4">
        <v>400752.13000000006</v>
      </c>
      <c r="X7" s="123">
        <f t="shared" si="2"/>
        <v>2394519.9996000002</v>
      </c>
    </row>
    <row r="8" spans="1:24" x14ac:dyDescent="0.2">
      <c r="A8" s="6" t="s">
        <v>20</v>
      </c>
      <c r="B8" s="6" t="s">
        <v>21</v>
      </c>
      <c r="C8" s="368">
        <v>134750</v>
      </c>
      <c r="D8" s="368">
        <v>256904.5</v>
      </c>
      <c r="E8" s="368">
        <v>157059</v>
      </c>
      <c r="F8" s="368">
        <v>234615</v>
      </c>
      <c r="G8" s="368">
        <v>0</v>
      </c>
      <c r="H8" s="4">
        <f t="shared" si="3"/>
        <v>783328.5</v>
      </c>
      <c r="I8" s="4">
        <f t="shared" si="4"/>
        <v>156665.70000000001</v>
      </c>
      <c r="J8" s="4">
        <v>0</v>
      </c>
      <c r="K8" s="4">
        <f t="shared" si="5"/>
        <v>156665.70000000001</v>
      </c>
      <c r="L8" s="4">
        <v>164.16</v>
      </c>
      <c r="M8" s="4">
        <v>0</v>
      </c>
      <c r="N8" s="4">
        <f t="shared" si="6"/>
        <v>164.16</v>
      </c>
      <c r="O8" s="33">
        <v>1913346.61</v>
      </c>
      <c r="P8" s="33">
        <v>0</v>
      </c>
      <c r="Q8" s="33">
        <v>0</v>
      </c>
      <c r="R8" s="33">
        <v>0</v>
      </c>
      <c r="S8" s="4">
        <f t="shared" si="7"/>
        <v>0</v>
      </c>
      <c r="T8" s="33">
        <v>0</v>
      </c>
      <c r="U8" s="4">
        <f t="shared" si="0"/>
        <v>0</v>
      </c>
      <c r="V8" s="4">
        <f t="shared" si="1"/>
        <v>2070176.4700000002</v>
      </c>
      <c r="W8" s="4">
        <v>556115.95333333337</v>
      </c>
      <c r="X8" s="123">
        <f t="shared" si="2"/>
        <v>2709099.4821333336</v>
      </c>
    </row>
    <row r="9" spans="1:24" x14ac:dyDescent="0.2">
      <c r="A9" s="6" t="s">
        <v>22</v>
      </c>
      <c r="B9" s="6" t="s">
        <v>23</v>
      </c>
      <c r="C9" s="368">
        <v>0</v>
      </c>
      <c r="D9" s="368">
        <v>0</v>
      </c>
      <c r="E9" s="368">
        <v>0</v>
      </c>
      <c r="F9" s="368">
        <v>0</v>
      </c>
      <c r="G9" s="368">
        <v>0</v>
      </c>
      <c r="H9" s="4">
        <f t="shared" si="3"/>
        <v>0</v>
      </c>
      <c r="I9" s="4">
        <f t="shared" si="4"/>
        <v>0</v>
      </c>
      <c r="J9" s="4">
        <v>76037.009999999995</v>
      </c>
      <c r="K9" s="4">
        <f t="shared" si="5"/>
        <v>76037.009999999995</v>
      </c>
      <c r="L9" s="4">
        <v>1932.6</v>
      </c>
      <c r="M9" s="4">
        <v>0</v>
      </c>
      <c r="N9" s="4">
        <f t="shared" si="6"/>
        <v>1932.6</v>
      </c>
      <c r="O9" s="33">
        <v>1428783.9</v>
      </c>
      <c r="P9" s="33">
        <v>0</v>
      </c>
      <c r="Q9" s="33">
        <v>0</v>
      </c>
      <c r="R9" s="33">
        <v>0</v>
      </c>
      <c r="S9" s="4">
        <f t="shared" si="7"/>
        <v>0</v>
      </c>
      <c r="T9" s="33">
        <v>0</v>
      </c>
      <c r="U9" s="4">
        <f t="shared" si="0"/>
        <v>0</v>
      </c>
      <c r="V9" s="4">
        <f t="shared" si="1"/>
        <v>1506753.51</v>
      </c>
      <c r="W9" s="4">
        <v>446595.06000000006</v>
      </c>
      <c r="X9" s="123">
        <f t="shared" si="2"/>
        <v>2013618.7104000002</v>
      </c>
    </row>
    <row r="10" spans="1:24" x14ac:dyDescent="0.2">
      <c r="A10" s="6" t="s">
        <v>24</v>
      </c>
      <c r="B10" s="6" t="s">
        <v>25</v>
      </c>
      <c r="C10" s="368">
        <v>0</v>
      </c>
      <c r="D10" s="368">
        <v>0</v>
      </c>
      <c r="E10" s="368">
        <v>0</v>
      </c>
      <c r="F10" s="368">
        <v>0</v>
      </c>
      <c r="G10" s="368">
        <v>0</v>
      </c>
      <c r="H10" s="4">
        <f t="shared" si="3"/>
        <v>0</v>
      </c>
      <c r="I10" s="4">
        <f t="shared" si="4"/>
        <v>0</v>
      </c>
      <c r="J10" s="4">
        <v>2924393.72</v>
      </c>
      <c r="K10" s="4">
        <f t="shared" si="5"/>
        <v>2924393.72</v>
      </c>
      <c r="L10" s="4">
        <v>44119.99</v>
      </c>
      <c r="M10" s="4">
        <v>0</v>
      </c>
      <c r="N10" s="4">
        <f t="shared" si="6"/>
        <v>44119.99</v>
      </c>
      <c r="O10" s="33">
        <v>21516999.239999998</v>
      </c>
      <c r="P10" s="33">
        <v>30894.83</v>
      </c>
      <c r="Q10" s="33">
        <v>6681.35</v>
      </c>
      <c r="R10" s="33">
        <v>0</v>
      </c>
      <c r="S10" s="4">
        <f t="shared" si="7"/>
        <v>37576.18</v>
      </c>
      <c r="T10" s="33">
        <v>0</v>
      </c>
      <c r="U10" s="4">
        <f t="shared" si="0"/>
        <v>0</v>
      </c>
      <c r="V10" s="4">
        <f t="shared" si="1"/>
        <v>24523089.129999999</v>
      </c>
      <c r="W10" s="4">
        <v>9041114.1466666684</v>
      </c>
      <c r="X10" s="123">
        <f t="shared" si="2"/>
        <v>34545126.841866672</v>
      </c>
    </row>
    <row r="11" spans="1:24" x14ac:dyDescent="0.2">
      <c r="A11" s="6" t="s">
        <v>26</v>
      </c>
      <c r="B11" s="6" t="s">
        <v>27</v>
      </c>
      <c r="C11" s="368">
        <v>0</v>
      </c>
      <c r="D11" s="368">
        <v>0</v>
      </c>
      <c r="E11" s="368">
        <v>0</v>
      </c>
      <c r="F11" s="368">
        <v>0</v>
      </c>
      <c r="G11" s="368">
        <v>0</v>
      </c>
      <c r="H11" s="4">
        <f t="shared" si="3"/>
        <v>0</v>
      </c>
      <c r="I11" s="4">
        <f t="shared" si="4"/>
        <v>0</v>
      </c>
      <c r="J11" s="4">
        <v>258247.26</v>
      </c>
      <c r="K11" s="4">
        <f t="shared" si="5"/>
        <v>258247.26</v>
      </c>
      <c r="L11" s="4">
        <v>24549.759999999998</v>
      </c>
      <c r="M11" s="4">
        <v>0</v>
      </c>
      <c r="N11" s="4">
        <f t="shared" si="6"/>
        <v>24549.759999999998</v>
      </c>
      <c r="O11" s="33">
        <v>4128763.4</v>
      </c>
      <c r="P11" s="33">
        <v>0</v>
      </c>
      <c r="Q11" s="33">
        <v>0</v>
      </c>
      <c r="R11" s="33">
        <v>0</v>
      </c>
      <c r="S11" s="4">
        <f t="shared" si="7"/>
        <v>0</v>
      </c>
      <c r="T11" s="33">
        <v>0</v>
      </c>
      <c r="U11" s="4">
        <f t="shared" si="0"/>
        <v>0</v>
      </c>
      <c r="V11" s="4">
        <f t="shared" si="1"/>
        <v>4411560.42</v>
      </c>
      <c r="W11" s="4">
        <v>1432544.33</v>
      </c>
      <c r="X11" s="123">
        <f t="shared" si="2"/>
        <v>6020567.1667999998</v>
      </c>
    </row>
    <row r="12" spans="1:24" x14ac:dyDescent="0.2">
      <c r="A12" s="6" t="s">
        <v>28</v>
      </c>
      <c r="B12" s="6" t="s">
        <v>29</v>
      </c>
      <c r="C12" s="368">
        <v>0</v>
      </c>
      <c r="D12" s="368">
        <v>0</v>
      </c>
      <c r="E12" s="368">
        <v>0</v>
      </c>
      <c r="F12" s="368">
        <v>0</v>
      </c>
      <c r="G12" s="368">
        <v>0</v>
      </c>
      <c r="H12" s="4">
        <f t="shared" si="3"/>
        <v>0</v>
      </c>
      <c r="I12" s="4">
        <f t="shared" si="4"/>
        <v>0</v>
      </c>
      <c r="J12" s="4">
        <v>292868.75</v>
      </c>
      <c r="K12" s="4">
        <f t="shared" si="5"/>
        <v>292868.75</v>
      </c>
      <c r="L12" s="4">
        <v>5668.18</v>
      </c>
      <c r="M12" s="4">
        <v>0</v>
      </c>
      <c r="N12" s="4">
        <f t="shared" si="6"/>
        <v>5668.18</v>
      </c>
      <c r="O12" s="33">
        <v>2113339.06</v>
      </c>
      <c r="P12" s="33">
        <v>0</v>
      </c>
      <c r="Q12" s="33">
        <v>0</v>
      </c>
      <c r="R12" s="33">
        <v>0</v>
      </c>
      <c r="S12" s="4">
        <f t="shared" si="7"/>
        <v>0</v>
      </c>
      <c r="T12" s="33">
        <v>0</v>
      </c>
      <c r="U12" s="4">
        <f t="shared" si="0"/>
        <v>0</v>
      </c>
      <c r="V12" s="4">
        <f t="shared" si="1"/>
        <v>2411875.9900000002</v>
      </c>
      <c r="W12" s="4">
        <v>994016.20000000007</v>
      </c>
      <c r="X12" s="123">
        <f t="shared" si="2"/>
        <v>3502367.2296000007</v>
      </c>
    </row>
    <row r="13" spans="1:24" x14ac:dyDescent="0.2">
      <c r="A13" s="6" t="s">
        <v>30</v>
      </c>
      <c r="B13" s="6" t="s">
        <v>31</v>
      </c>
      <c r="C13" s="368">
        <v>0</v>
      </c>
      <c r="D13" s="368">
        <v>0</v>
      </c>
      <c r="E13" s="368">
        <v>0</v>
      </c>
      <c r="F13" s="368">
        <v>0</v>
      </c>
      <c r="G13" s="368">
        <v>0</v>
      </c>
      <c r="H13" s="4">
        <f t="shared" si="3"/>
        <v>0</v>
      </c>
      <c r="I13" s="4">
        <f t="shared" si="4"/>
        <v>0</v>
      </c>
      <c r="J13" s="4">
        <v>249142.22</v>
      </c>
      <c r="K13" s="4">
        <f t="shared" si="5"/>
        <v>249142.22</v>
      </c>
      <c r="L13" s="4">
        <v>31216.75</v>
      </c>
      <c r="M13" s="4">
        <v>17550</v>
      </c>
      <c r="N13" s="4">
        <f t="shared" si="6"/>
        <v>48766.75</v>
      </c>
      <c r="O13" s="33">
        <v>8051794.6900000004</v>
      </c>
      <c r="P13" s="33">
        <v>9000</v>
      </c>
      <c r="Q13" s="33">
        <v>0</v>
      </c>
      <c r="R13" s="33">
        <v>0</v>
      </c>
      <c r="S13" s="4">
        <f t="shared" si="7"/>
        <v>9000</v>
      </c>
      <c r="T13" s="33">
        <v>0</v>
      </c>
      <c r="U13" s="4">
        <f t="shared" si="0"/>
        <v>0</v>
      </c>
      <c r="V13" s="4">
        <f t="shared" si="1"/>
        <v>8358703.6600000001</v>
      </c>
      <c r="W13" s="4">
        <v>1165505.03</v>
      </c>
      <c r="X13" s="123">
        <f t="shared" si="2"/>
        <v>9858556.8364000004</v>
      </c>
    </row>
    <row r="14" spans="1:24" x14ac:dyDescent="0.2">
      <c r="A14" s="6" t="s">
        <v>32</v>
      </c>
      <c r="B14" s="6" t="s">
        <v>33</v>
      </c>
      <c r="C14" s="368">
        <v>0</v>
      </c>
      <c r="D14" s="368">
        <v>0</v>
      </c>
      <c r="E14" s="368">
        <v>0</v>
      </c>
      <c r="F14" s="368">
        <v>0</v>
      </c>
      <c r="G14" s="368">
        <v>0</v>
      </c>
      <c r="H14" s="4">
        <f t="shared" si="3"/>
        <v>0</v>
      </c>
      <c r="I14" s="4">
        <f t="shared" si="4"/>
        <v>0</v>
      </c>
      <c r="J14" s="4">
        <v>102856.73</v>
      </c>
      <c r="K14" s="4">
        <f t="shared" si="5"/>
        <v>102856.73</v>
      </c>
      <c r="L14" s="4">
        <v>11251.7</v>
      </c>
      <c r="M14" s="4">
        <v>0</v>
      </c>
      <c r="N14" s="4">
        <f t="shared" si="6"/>
        <v>11251.7</v>
      </c>
      <c r="O14" s="33">
        <v>1567509.87</v>
      </c>
      <c r="P14" s="33">
        <v>4000</v>
      </c>
      <c r="Q14" s="33">
        <v>813.6</v>
      </c>
      <c r="R14" s="33">
        <v>0</v>
      </c>
      <c r="S14" s="4">
        <f t="shared" si="7"/>
        <v>4813.6000000000004</v>
      </c>
      <c r="T14" s="33">
        <v>0</v>
      </c>
      <c r="U14" s="4">
        <f t="shared" si="0"/>
        <v>0</v>
      </c>
      <c r="V14" s="4">
        <f t="shared" si="1"/>
        <v>1686431.9000000001</v>
      </c>
      <c r="W14" s="4">
        <v>464268.26333333337</v>
      </c>
      <c r="X14" s="123">
        <f t="shared" si="2"/>
        <v>2218157.4393333336</v>
      </c>
    </row>
    <row r="15" spans="1:24" x14ac:dyDescent="0.2">
      <c r="A15" s="6" t="s">
        <v>34</v>
      </c>
      <c r="B15" s="6" t="s">
        <v>35</v>
      </c>
      <c r="C15" s="368">
        <v>0</v>
      </c>
      <c r="D15" s="368">
        <v>0</v>
      </c>
      <c r="E15" s="368">
        <v>0</v>
      </c>
      <c r="F15" s="368">
        <v>0</v>
      </c>
      <c r="G15" s="368">
        <v>0</v>
      </c>
      <c r="H15" s="4">
        <f t="shared" si="3"/>
        <v>0</v>
      </c>
      <c r="I15" s="4">
        <f t="shared" si="4"/>
        <v>0</v>
      </c>
      <c r="J15" s="4">
        <v>557276.5</v>
      </c>
      <c r="K15" s="4">
        <f t="shared" si="5"/>
        <v>557276.5</v>
      </c>
      <c r="L15" s="4">
        <v>94559.42</v>
      </c>
      <c r="M15" s="4">
        <v>3510</v>
      </c>
      <c r="N15" s="4">
        <f t="shared" si="6"/>
        <v>98069.42</v>
      </c>
      <c r="O15" s="33">
        <v>2858310</v>
      </c>
      <c r="P15" s="33">
        <v>0</v>
      </c>
      <c r="Q15" s="33">
        <v>0</v>
      </c>
      <c r="R15" s="33">
        <v>0</v>
      </c>
      <c r="S15" s="4">
        <f t="shared" si="7"/>
        <v>0</v>
      </c>
      <c r="T15" s="33">
        <v>0</v>
      </c>
      <c r="U15" s="4">
        <f t="shared" si="0"/>
        <v>0</v>
      </c>
      <c r="V15" s="4">
        <f t="shared" si="1"/>
        <v>3513655.92</v>
      </c>
      <c r="W15" s="4">
        <v>1300700.8933333333</v>
      </c>
      <c r="X15" s="123">
        <f t="shared" si="2"/>
        <v>4954903.0501333335</v>
      </c>
    </row>
    <row r="16" spans="1:24" x14ac:dyDescent="0.2">
      <c r="A16" s="6" t="s">
        <v>36</v>
      </c>
      <c r="B16" s="6" t="s">
        <v>37</v>
      </c>
      <c r="C16" s="368">
        <v>0</v>
      </c>
      <c r="D16" s="368">
        <v>0</v>
      </c>
      <c r="E16" s="368">
        <v>33808</v>
      </c>
      <c r="F16" s="368">
        <v>0</v>
      </c>
      <c r="G16" s="368">
        <v>317598.25</v>
      </c>
      <c r="H16" s="4">
        <f t="shared" si="3"/>
        <v>351406.25</v>
      </c>
      <c r="I16" s="4">
        <f t="shared" si="4"/>
        <v>70281.25</v>
      </c>
      <c r="J16" s="4">
        <v>258527.33</v>
      </c>
      <c r="K16" s="4">
        <f t="shared" si="5"/>
        <v>328808.57999999996</v>
      </c>
      <c r="L16" s="4">
        <v>0</v>
      </c>
      <c r="M16" s="4">
        <v>0</v>
      </c>
      <c r="N16" s="4">
        <f t="shared" si="6"/>
        <v>0</v>
      </c>
      <c r="O16" s="33">
        <v>5450409.4400000004</v>
      </c>
      <c r="P16" s="33">
        <v>3000</v>
      </c>
      <c r="Q16" s="33">
        <v>633</v>
      </c>
      <c r="R16" s="33">
        <v>0</v>
      </c>
      <c r="S16" s="4">
        <f t="shared" si="7"/>
        <v>3633</v>
      </c>
      <c r="T16" s="33">
        <v>0</v>
      </c>
      <c r="U16" s="4">
        <f t="shared" si="0"/>
        <v>0</v>
      </c>
      <c r="V16" s="4">
        <f t="shared" si="1"/>
        <v>5782851.0200000005</v>
      </c>
      <c r="W16" s="4">
        <v>1406821.5533333335</v>
      </c>
      <c r="X16" s="123">
        <f t="shared" si="2"/>
        <v>7420986.6141333347</v>
      </c>
    </row>
    <row r="17" spans="1:24" x14ac:dyDescent="0.2">
      <c r="A17" s="6" t="s">
        <v>38</v>
      </c>
      <c r="B17" s="6" t="s">
        <v>39</v>
      </c>
      <c r="C17" s="368">
        <v>0</v>
      </c>
      <c r="D17" s="368">
        <v>0</v>
      </c>
      <c r="E17" s="368">
        <v>0</v>
      </c>
      <c r="F17" s="368">
        <v>0</v>
      </c>
      <c r="G17" s="368">
        <v>178605</v>
      </c>
      <c r="H17" s="4">
        <f t="shared" si="3"/>
        <v>178605</v>
      </c>
      <c r="I17" s="4">
        <f t="shared" si="4"/>
        <v>35721</v>
      </c>
      <c r="J17" s="4">
        <v>56446.01</v>
      </c>
      <c r="K17" s="4">
        <f t="shared" si="5"/>
        <v>92167.010000000009</v>
      </c>
      <c r="L17" s="4">
        <v>6385.86</v>
      </c>
      <c r="M17" s="4">
        <v>0</v>
      </c>
      <c r="N17" s="4">
        <f t="shared" si="6"/>
        <v>6385.86</v>
      </c>
      <c r="O17" s="33">
        <v>392953.72</v>
      </c>
      <c r="P17" s="33">
        <v>0</v>
      </c>
      <c r="Q17" s="33">
        <v>0</v>
      </c>
      <c r="R17" s="33">
        <v>0</v>
      </c>
      <c r="S17" s="4">
        <f t="shared" si="7"/>
        <v>0</v>
      </c>
      <c r="T17" s="33">
        <v>0</v>
      </c>
      <c r="U17" s="4">
        <f t="shared" si="0"/>
        <v>0</v>
      </c>
      <c r="V17" s="4">
        <f t="shared" si="1"/>
        <v>491506.58999999997</v>
      </c>
      <c r="W17" s="4">
        <v>243534.72999999998</v>
      </c>
      <c r="X17" s="123">
        <f t="shared" si="2"/>
        <v>754701.58360000001</v>
      </c>
    </row>
    <row r="18" spans="1:24" x14ac:dyDescent="0.2">
      <c r="A18" s="6" t="s">
        <v>40</v>
      </c>
      <c r="B18" s="6" t="s">
        <v>41</v>
      </c>
      <c r="C18" s="368">
        <v>0</v>
      </c>
      <c r="D18" s="368">
        <v>27544.3</v>
      </c>
      <c r="E18" s="368">
        <v>0</v>
      </c>
      <c r="F18" s="368">
        <v>0</v>
      </c>
      <c r="G18" s="368">
        <v>-4177.67</v>
      </c>
      <c r="H18" s="4">
        <f t="shared" si="3"/>
        <v>23366.629999999997</v>
      </c>
      <c r="I18" s="4">
        <f t="shared" si="4"/>
        <v>4673.326</v>
      </c>
      <c r="J18" s="4">
        <v>245073.07</v>
      </c>
      <c r="K18" s="4">
        <f t="shared" si="5"/>
        <v>249746.39600000001</v>
      </c>
      <c r="L18" s="4">
        <v>13581.14</v>
      </c>
      <c r="M18" s="4">
        <v>0</v>
      </c>
      <c r="N18" s="4">
        <f t="shared" si="6"/>
        <v>13581.14</v>
      </c>
      <c r="O18" s="33">
        <v>1197717.23</v>
      </c>
      <c r="P18" s="33">
        <v>3600</v>
      </c>
      <c r="Q18" s="33">
        <v>770.4</v>
      </c>
      <c r="R18" s="33">
        <v>0</v>
      </c>
      <c r="S18" s="4">
        <f t="shared" si="7"/>
        <v>4370.3999999999996</v>
      </c>
      <c r="T18" s="33">
        <v>0</v>
      </c>
      <c r="U18" s="4">
        <f t="shared" si="0"/>
        <v>0</v>
      </c>
      <c r="V18" s="4">
        <f t="shared" si="1"/>
        <v>1465415.166</v>
      </c>
      <c r="W18" s="4">
        <v>606601.52999999991</v>
      </c>
      <c r="X18" s="123">
        <f t="shared" si="2"/>
        <v>2130633.3026399999</v>
      </c>
    </row>
    <row r="19" spans="1:24" x14ac:dyDescent="0.2">
      <c r="A19" s="6" t="s">
        <v>42</v>
      </c>
      <c r="B19" s="6" t="s">
        <v>43</v>
      </c>
      <c r="C19" s="368">
        <v>0</v>
      </c>
      <c r="D19" s="368">
        <v>0</v>
      </c>
      <c r="E19" s="368">
        <v>0</v>
      </c>
      <c r="F19" s="368">
        <v>254140</v>
      </c>
      <c r="G19" s="368">
        <v>0</v>
      </c>
      <c r="H19" s="4">
        <f t="shared" si="3"/>
        <v>254140</v>
      </c>
      <c r="I19" s="4">
        <f t="shared" si="4"/>
        <v>50828</v>
      </c>
      <c r="J19" s="4">
        <v>0</v>
      </c>
      <c r="K19" s="4">
        <f t="shared" si="5"/>
        <v>50828</v>
      </c>
      <c r="L19" s="4">
        <v>0</v>
      </c>
      <c r="M19" s="4">
        <v>0</v>
      </c>
      <c r="N19" s="4">
        <f t="shared" si="6"/>
        <v>0</v>
      </c>
      <c r="O19" s="33">
        <v>2562668.9500000002</v>
      </c>
      <c r="P19" s="33">
        <v>0</v>
      </c>
      <c r="Q19" s="33">
        <v>0</v>
      </c>
      <c r="R19" s="33">
        <v>0</v>
      </c>
      <c r="S19" s="4">
        <f t="shared" si="7"/>
        <v>0</v>
      </c>
      <c r="T19" s="33">
        <v>0</v>
      </c>
      <c r="U19" s="4">
        <f t="shared" si="0"/>
        <v>0</v>
      </c>
      <c r="V19" s="4">
        <f t="shared" si="1"/>
        <v>2613496.9500000002</v>
      </c>
      <c r="W19" s="4">
        <v>703640.22000000009</v>
      </c>
      <c r="X19" s="123">
        <f t="shared" si="2"/>
        <v>3421677.0480000004</v>
      </c>
    </row>
    <row r="20" spans="1:24" x14ac:dyDescent="0.2">
      <c r="A20" s="6" t="s">
        <v>44</v>
      </c>
      <c r="B20" s="6" t="s">
        <v>45</v>
      </c>
      <c r="C20" s="368">
        <v>32268.25</v>
      </c>
      <c r="D20" s="368">
        <v>207610</v>
      </c>
      <c r="E20" s="368">
        <v>34216.5</v>
      </c>
      <c r="F20" s="368">
        <v>0</v>
      </c>
      <c r="G20" s="368">
        <v>0</v>
      </c>
      <c r="H20" s="4">
        <f t="shared" si="3"/>
        <v>274094.75</v>
      </c>
      <c r="I20" s="4">
        <f t="shared" si="4"/>
        <v>54818.950000000004</v>
      </c>
      <c r="J20" s="4">
        <v>0</v>
      </c>
      <c r="K20" s="4">
        <f t="shared" si="5"/>
        <v>54818.950000000004</v>
      </c>
      <c r="L20" s="4">
        <v>0</v>
      </c>
      <c r="M20" s="4">
        <v>0</v>
      </c>
      <c r="N20" s="4">
        <f t="shared" si="6"/>
        <v>0</v>
      </c>
      <c r="O20" s="33">
        <v>1923197.31</v>
      </c>
      <c r="P20" s="33">
        <v>0</v>
      </c>
      <c r="Q20" s="33">
        <v>0</v>
      </c>
      <c r="R20" s="33">
        <v>0</v>
      </c>
      <c r="S20" s="4">
        <f t="shared" si="7"/>
        <v>0</v>
      </c>
      <c r="T20" s="33">
        <v>0</v>
      </c>
      <c r="U20" s="4">
        <f t="shared" si="0"/>
        <v>0</v>
      </c>
      <c r="V20" s="4">
        <f t="shared" si="1"/>
        <v>1978016.26</v>
      </c>
      <c r="W20" s="4">
        <v>461424.58333333331</v>
      </c>
      <c r="X20" s="123">
        <f t="shared" si="2"/>
        <v>2518561.4937333334</v>
      </c>
    </row>
    <row r="21" spans="1:24" x14ac:dyDescent="0.2">
      <c r="A21" s="6" t="s">
        <v>46</v>
      </c>
      <c r="B21" s="6" t="s">
        <v>47</v>
      </c>
      <c r="C21" s="368">
        <v>0</v>
      </c>
      <c r="D21" s="368">
        <v>0</v>
      </c>
      <c r="E21" s="368">
        <v>0</v>
      </c>
      <c r="F21" s="368">
        <v>0</v>
      </c>
      <c r="G21" s="368">
        <v>0</v>
      </c>
      <c r="H21" s="4">
        <f t="shared" si="3"/>
        <v>0</v>
      </c>
      <c r="I21" s="4">
        <f t="shared" si="4"/>
        <v>0</v>
      </c>
      <c r="J21" s="4">
        <v>138712.23000000001</v>
      </c>
      <c r="K21" s="4">
        <f t="shared" si="5"/>
        <v>138712.23000000001</v>
      </c>
      <c r="L21" s="4">
        <v>2720.53</v>
      </c>
      <c r="M21" s="4">
        <v>0</v>
      </c>
      <c r="N21" s="4">
        <f t="shared" si="6"/>
        <v>2720.53</v>
      </c>
      <c r="O21" s="33">
        <v>1353575.26</v>
      </c>
      <c r="P21" s="33">
        <v>0</v>
      </c>
      <c r="Q21" s="33">
        <v>0</v>
      </c>
      <c r="R21" s="33">
        <v>0</v>
      </c>
      <c r="S21" s="4">
        <f t="shared" si="7"/>
        <v>0</v>
      </c>
      <c r="T21" s="33">
        <v>0</v>
      </c>
      <c r="U21" s="4">
        <f t="shared" si="0"/>
        <v>0</v>
      </c>
      <c r="V21" s="4">
        <f t="shared" si="1"/>
        <v>1495008.02</v>
      </c>
      <c r="W21" s="4">
        <v>567376.64666666661</v>
      </c>
      <c r="X21" s="123">
        <f t="shared" si="2"/>
        <v>2122184.9874666668</v>
      </c>
    </row>
    <row r="22" spans="1:24" x14ac:dyDescent="0.2">
      <c r="A22" s="6" t="s">
        <v>48</v>
      </c>
      <c r="B22" s="6" t="s">
        <v>49</v>
      </c>
      <c r="C22" s="368">
        <v>0</v>
      </c>
      <c r="D22" s="368">
        <v>0</v>
      </c>
      <c r="E22" s="368">
        <v>0</v>
      </c>
      <c r="F22" s="368">
        <v>223280.6</v>
      </c>
      <c r="G22" s="368">
        <v>118620</v>
      </c>
      <c r="H22" s="4">
        <f t="shared" si="3"/>
        <v>341900.6</v>
      </c>
      <c r="I22" s="4">
        <f t="shared" si="4"/>
        <v>68380.12</v>
      </c>
      <c r="J22" s="4">
        <v>5995.77</v>
      </c>
      <c r="K22" s="4">
        <f t="shared" si="5"/>
        <v>74375.89</v>
      </c>
      <c r="L22" s="4">
        <v>0</v>
      </c>
      <c r="M22" s="4">
        <v>0</v>
      </c>
      <c r="N22" s="4">
        <f t="shared" si="6"/>
        <v>0</v>
      </c>
      <c r="O22" s="33">
        <v>8642060.8699999992</v>
      </c>
      <c r="P22" s="33">
        <v>0</v>
      </c>
      <c r="Q22" s="33">
        <v>0</v>
      </c>
      <c r="R22" s="33">
        <v>0</v>
      </c>
      <c r="S22" s="4">
        <f t="shared" si="7"/>
        <v>0</v>
      </c>
      <c r="T22" s="33">
        <v>0</v>
      </c>
      <c r="U22" s="4">
        <f t="shared" si="0"/>
        <v>0</v>
      </c>
      <c r="V22" s="4">
        <f t="shared" si="1"/>
        <v>8716436.7599999998</v>
      </c>
      <c r="W22" s="4">
        <v>1278542.6866666668</v>
      </c>
      <c r="X22" s="123">
        <f t="shared" si="2"/>
        <v>10343636.917066667</v>
      </c>
    </row>
    <row r="23" spans="1:24" x14ac:dyDescent="0.2">
      <c r="A23" s="6" t="s">
        <v>50</v>
      </c>
      <c r="B23" s="6" t="s">
        <v>51</v>
      </c>
      <c r="C23" s="368">
        <v>0</v>
      </c>
      <c r="D23" s="368">
        <v>230690</v>
      </c>
      <c r="E23" s="368">
        <v>22560.9</v>
      </c>
      <c r="F23" s="368">
        <v>0</v>
      </c>
      <c r="G23" s="368">
        <v>0</v>
      </c>
      <c r="H23" s="4">
        <f t="shared" si="3"/>
        <v>253250.9</v>
      </c>
      <c r="I23" s="4">
        <f t="shared" si="4"/>
        <v>50650.18</v>
      </c>
      <c r="J23" s="4">
        <v>178059.88</v>
      </c>
      <c r="K23" s="4">
        <f t="shared" si="5"/>
        <v>228710.06</v>
      </c>
      <c r="L23" s="4">
        <v>0</v>
      </c>
      <c r="M23" s="4">
        <v>0</v>
      </c>
      <c r="N23" s="4">
        <f t="shared" si="6"/>
        <v>0</v>
      </c>
      <c r="O23" s="33">
        <v>2002202.05</v>
      </c>
      <c r="P23" s="33">
        <v>0</v>
      </c>
      <c r="Q23" s="33">
        <v>0</v>
      </c>
      <c r="R23" s="33">
        <v>0</v>
      </c>
      <c r="S23" s="4">
        <f t="shared" si="7"/>
        <v>0</v>
      </c>
      <c r="T23" s="33">
        <v>600505.71</v>
      </c>
      <c r="U23" s="4">
        <f t="shared" si="0"/>
        <v>600505.71</v>
      </c>
      <c r="V23" s="4">
        <f t="shared" si="1"/>
        <v>2831417.82</v>
      </c>
      <c r="W23" s="4">
        <v>832872.6166666667</v>
      </c>
      <c r="X23" s="123">
        <f t="shared" si="2"/>
        <v>3777547.1494666664</v>
      </c>
    </row>
    <row r="24" spans="1:24" x14ac:dyDescent="0.2">
      <c r="A24" s="6" t="s">
        <v>52</v>
      </c>
      <c r="B24" s="6" t="s">
        <v>53</v>
      </c>
      <c r="C24" s="368">
        <v>0</v>
      </c>
      <c r="D24" s="368">
        <v>383812</v>
      </c>
      <c r="E24" s="368">
        <v>0</v>
      </c>
      <c r="F24" s="368">
        <v>0</v>
      </c>
      <c r="G24" s="368">
        <v>0</v>
      </c>
      <c r="H24" s="4">
        <f t="shared" si="3"/>
        <v>383812</v>
      </c>
      <c r="I24" s="4">
        <f t="shared" si="4"/>
        <v>76762.400000000009</v>
      </c>
      <c r="J24" s="4">
        <v>331872.38</v>
      </c>
      <c r="K24" s="4">
        <f t="shared" si="5"/>
        <v>408634.78</v>
      </c>
      <c r="L24" s="4">
        <v>0</v>
      </c>
      <c r="M24" s="4">
        <v>0</v>
      </c>
      <c r="N24" s="4">
        <f t="shared" si="6"/>
        <v>0</v>
      </c>
      <c r="O24" s="33">
        <v>5152745.1500000004</v>
      </c>
      <c r="P24" s="33">
        <v>0</v>
      </c>
      <c r="Q24" s="33">
        <v>0</v>
      </c>
      <c r="R24" s="33">
        <v>0</v>
      </c>
      <c r="S24" s="4">
        <f t="shared" si="7"/>
        <v>0</v>
      </c>
      <c r="T24" s="33">
        <v>0</v>
      </c>
      <c r="U24" s="4">
        <f t="shared" si="0"/>
        <v>0</v>
      </c>
      <c r="V24" s="4">
        <f t="shared" si="1"/>
        <v>5561379.9300000006</v>
      </c>
      <c r="W24" s="4">
        <v>1717104.5966666667</v>
      </c>
      <c r="X24" s="123">
        <f t="shared" si="2"/>
        <v>7500939.7238666676</v>
      </c>
    </row>
    <row r="25" spans="1:24" x14ac:dyDescent="0.2">
      <c r="A25" s="6" t="s">
        <v>54</v>
      </c>
      <c r="B25" s="6" t="s">
        <v>55</v>
      </c>
      <c r="C25" s="368">
        <v>0</v>
      </c>
      <c r="D25" s="368">
        <v>0</v>
      </c>
      <c r="E25" s="368">
        <v>0</v>
      </c>
      <c r="F25" s="368">
        <v>0</v>
      </c>
      <c r="G25" s="368">
        <v>0</v>
      </c>
      <c r="H25" s="4">
        <f t="shared" si="3"/>
        <v>0</v>
      </c>
      <c r="I25" s="4">
        <f t="shared" si="4"/>
        <v>0</v>
      </c>
      <c r="J25" s="4">
        <v>123782.17</v>
      </c>
      <c r="K25" s="4">
        <f t="shared" si="5"/>
        <v>123782.17</v>
      </c>
      <c r="L25" s="4">
        <v>5074.1400000000003</v>
      </c>
      <c r="M25" s="4">
        <v>0</v>
      </c>
      <c r="N25" s="4">
        <f t="shared" si="6"/>
        <v>5074.1400000000003</v>
      </c>
      <c r="O25" s="33">
        <v>2166722.5499999998</v>
      </c>
      <c r="P25" s="33">
        <v>0</v>
      </c>
      <c r="Q25" s="33">
        <v>0</v>
      </c>
      <c r="R25" s="33">
        <v>0</v>
      </c>
      <c r="S25" s="4">
        <f t="shared" si="7"/>
        <v>0</v>
      </c>
      <c r="T25" s="33">
        <v>0</v>
      </c>
      <c r="U25" s="4">
        <f t="shared" si="0"/>
        <v>0</v>
      </c>
      <c r="V25" s="4">
        <f t="shared" si="1"/>
        <v>2295578.86</v>
      </c>
      <c r="W25" s="4">
        <v>834229.32333333325</v>
      </c>
      <c r="X25" s="123">
        <f t="shared" si="2"/>
        <v>3221631.337733333</v>
      </c>
    </row>
    <row r="26" spans="1:24" x14ac:dyDescent="0.2">
      <c r="A26" s="6" t="s">
        <v>56</v>
      </c>
      <c r="B26" s="6" t="s">
        <v>57</v>
      </c>
      <c r="C26" s="368">
        <v>0</v>
      </c>
      <c r="D26" s="368">
        <v>0</v>
      </c>
      <c r="E26" s="368">
        <v>0</v>
      </c>
      <c r="F26" s="368">
        <v>0</v>
      </c>
      <c r="G26" s="368">
        <v>0</v>
      </c>
      <c r="H26" s="4">
        <f t="shared" si="3"/>
        <v>0</v>
      </c>
      <c r="I26" s="4">
        <f t="shared" si="4"/>
        <v>0</v>
      </c>
      <c r="J26" s="4">
        <v>169964.52</v>
      </c>
      <c r="K26" s="4">
        <f t="shared" si="5"/>
        <v>169964.52</v>
      </c>
      <c r="L26" s="4">
        <v>13180.98</v>
      </c>
      <c r="M26" s="4">
        <v>0</v>
      </c>
      <c r="N26" s="4">
        <f t="shared" si="6"/>
        <v>13180.98</v>
      </c>
      <c r="O26" s="33">
        <v>2648847.09</v>
      </c>
      <c r="P26" s="33">
        <v>22000</v>
      </c>
      <c r="Q26" s="33">
        <v>1683</v>
      </c>
      <c r="R26" s="33">
        <v>0</v>
      </c>
      <c r="S26" s="4">
        <f t="shared" si="7"/>
        <v>23683</v>
      </c>
      <c r="T26" s="33">
        <v>0</v>
      </c>
      <c r="U26" s="4">
        <f t="shared" si="0"/>
        <v>0</v>
      </c>
      <c r="V26" s="4">
        <f t="shared" si="1"/>
        <v>2855675.59</v>
      </c>
      <c r="W26" s="4">
        <v>1132521.3166666667</v>
      </c>
      <c r="X26" s="123">
        <f t="shared" si="2"/>
        <v>4102423.9302666662</v>
      </c>
    </row>
    <row r="27" spans="1:24" x14ac:dyDescent="0.2">
      <c r="A27" s="6" t="s">
        <v>58</v>
      </c>
      <c r="B27" s="6" t="s">
        <v>59</v>
      </c>
      <c r="C27" s="368">
        <v>1973128</v>
      </c>
      <c r="D27" s="368">
        <v>1686944.3</v>
      </c>
      <c r="E27" s="368">
        <v>786678</v>
      </c>
      <c r="F27" s="368">
        <v>280321</v>
      </c>
      <c r="G27" s="368">
        <v>2117037</v>
      </c>
      <c r="H27" s="4">
        <f t="shared" si="3"/>
        <v>6844108.2999999998</v>
      </c>
      <c r="I27" s="4">
        <f t="shared" si="4"/>
        <v>1368821.6600000001</v>
      </c>
      <c r="J27" s="4">
        <v>21492.58</v>
      </c>
      <c r="K27" s="4">
        <f t="shared" si="5"/>
        <v>1390314.2400000002</v>
      </c>
      <c r="L27" s="4">
        <v>0</v>
      </c>
      <c r="M27" s="4">
        <v>0</v>
      </c>
      <c r="N27" s="4">
        <f t="shared" si="6"/>
        <v>0</v>
      </c>
      <c r="O27" s="33">
        <v>30497166.859999999</v>
      </c>
      <c r="P27" s="33">
        <v>50870.61</v>
      </c>
      <c r="Q27" s="33">
        <v>10347.1</v>
      </c>
      <c r="R27" s="33">
        <v>0</v>
      </c>
      <c r="S27" s="4">
        <f t="shared" si="7"/>
        <v>61217.71</v>
      </c>
      <c r="T27" s="33">
        <v>0</v>
      </c>
      <c r="U27" s="4">
        <f t="shared" si="0"/>
        <v>0</v>
      </c>
      <c r="V27" s="4">
        <f t="shared" si="1"/>
        <v>31948698.810000002</v>
      </c>
      <c r="W27" s="4">
        <v>8688795.4399999995</v>
      </c>
      <c r="X27" s="123">
        <f t="shared" si="2"/>
        <v>41915442.202400006</v>
      </c>
    </row>
    <row r="28" spans="1:24" x14ac:dyDescent="0.2">
      <c r="A28" s="6" t="s">
        <v>60</v>
      </c>
      <c r="B28" s="6" t="s">
        <v>61</v>
      </c>
      <c r="C28" s="368">
        <v>0</v>
      </c>
      <c r="D28" s="368">
        <v>0</v>
      </c>
      <c r="E28" s="368">
        <v>0</v>
      </c>
      <c r="F28" s="368">
        <v>0</v>
      </c>
      <c r="G28" s="368">
        <v>158966</v>
      </c>
      <c r="H28" s="4">
        <f t="shared" si="3"/>
        <v>158966</v>
      </c>
      <c r="I28" s="4">
        <f t="shared" si="4"/>
        <v>31793.200000000001</v>
      </c>
      <c r="J28" s="4">
        <v>359546.07</v>
      </c>
      <c r="K28" s="4">
        <f t="shared" si="5"/>
        <v>391339.27</v>
      </c>
      <c r="L28" s="4">
        <v>0</v>
      </c>
      <c r="M28" s="4">
        <v>0</v>
      </c>
      <c r="N28" s="4">
        <f t="shared" si="6"/>
        <v>0</v>
      </c>
      <c r="O28" s="33">
        <v>2758752</v>
      </c>
      <c r="P28" s="33">
        <v>0</v>
      </c>
      <c r="Q28" s="33">
        <v>0</v>
      </c>
      <c r="R28" s="33">
        <v>0</v>
      </c>
      <c r="S28" s="4">
        <f t="shared" si="7"/>
        <v>0</v>
      </c>
      <c r="T28" s="33">
        <v>0</v>
      </c>
      <c r="U28" s="4">
        <f t="shared" si="0"/>
        <v>0</v>
      </c>
      <c r="V28" s="4">
        <f t="shared" si="1"/>
        <v>3150091.27</v>
      </c>
      <c r="W28" s="4">
        <v>1726499.5733333332</v>
      </c>
      <c r="X28" s="123">
        <f t="shared" si="2"/>
        <v>5002594.4941333327</v>
      </c>
    </row>
    <row r="29" spans="1:24" x14ac:dyDescent="0.2">
      <c r="A29" s="6" t="s">
        <v>62</v>
      </c>
      <c r="B29" s="6" t="s">
        <v>63</v>
      </c>
      <c r="C29" s="368">
        <v>0</v>
      </c>
      <c r="D29" s="368">
        <v>0</v>
      </c>
      <c r="E29" s="368">
        <v>0</v>
      </c>
      <c r="F29" s="368">
        <v>0</v>
      </c>
      <c r="G29" s="368">
        <v>0</v>
      </c>
      <c r="H29" s="4">
        <f t="shared" si="3"/>
        <v>0</v>
      </c>
      <c r="I29" s="4">
        <f t="shared" si="4"/>
        <v>0</v>
      </c>
      <c r="J29" s="4">
        <v>99654.74</v>
      </c>
      <c r="K29" s="4">
        <f t="shared" si="5"/>
        <v>99654.74</v>
      </c>
      <c r="L29" s="4">
        <v>5392.29</v>
      </c>
      <c r="M29" s="4">
        <v>0</v>
      </c>
      <c r="N29" s="4">
        <f t="shared" si="6"/>
        <v>5392.29</v>
      </c>
      <c r="O29" s="33">
        <v>1830632.74</v>
      </c>
      <c r="P29" s="33">
        <v>0</v>
      </c>
      <c r="Q29" s="33">
        <v>0</v>
      </c>
      <c r="R29" s="33">
        <v>0</v>
      </c>
      <c r="S29" s="4">
        <f t="shared" si="7"/>
        <v>0</v>
      </c>
      <c r="T29" s="33">
        <v>0</v>
      </c>
      <c r="U29" s="4">
        <f t="shared" si="0"/>
        <v>0</v>
      </c>
      <c r="V29" s="4">
        <f t="shared" si="1"/>
        <v>1935679.77</v>
      </c>
      <c r="W29" s="4">
        <v>516697.6333333333</v>
      </c>
      <c r="X29" s="123">
        <f t="shared" si="2"/>
        <v>2529804.5941333333</v>
      </c>
    </row>
    <row r="30" spans="1:24" x14ac:dyDescent="0.2">
      <c r="A30" s="6" t="s">
        <v>64</v>
      </c>
      <c r="B30" s="6" t="s">
        <v>65</v>
      </c>
      <c r="C30" s="368">
        <v>491095</v>
      </c>
      <c r="D30" s="368">
        <v>410935</v>
      </c>
      <c r="E30" s="368">
        <v>480250</v>
      </c>
      <c r="F30" s="368">
        <v>390254.53</v>
      </c>
      <c r="G30" s="368">
        <v>616489</v>
      </c>
      <c r="H30" s="4">
        <f t="shared" si="3"/>
        <v>2389023.5300000003</v>
      </c>
      <c r="I30" s="4">
        <f t="shared" si="4"/>
        <v>477804.70600000006</v>
      </c>
      <c r="J30" s="4">
        <v>0</v>
      </c>
      <c r="K30" s="4">
        <f t="shared" si="5"/>
        <v>477804.70600000006</v>
      </c>
      <c r="L30" s="4">
        <v>0</v>
      </c>
      <c r="M30" s="4">
        <v>0</v>
      </c>
      <c r="N30" s="4">
        <f t="shared" si="6"/>
        <v>0</v>
      </c>
      <c r="O30" s="33">
        <v>7159383.5199999996</v>
      </c>
      <c r="P30" s="33">
        <v>0</v>
      </c>
      <c r="Q30" s="33">
        <v>0</v>
      </c>
      <c r="R30" s="33">
        <v>0</v>
      </c>
      <c r="S30" s="4">
        <f t="shared" si="7"/>
        <v>0</v>
      </c>
      <c r="T30" s="33">
        <v>0</v>
      </c>
      <c r="U30" s="4">
        <f t="shared" si="0"/>
        <v>0</v>
      </c>
      <c r="V30" s="4">
        <f t="shared" si="1"/>
        <v>7637188.2259999998</v>
      </c>
      <c r="W30" s="4">
        <v>3248180.81</v>
      </c>
      <c r="X30" s="123">
        <f t="shared" si="2"/>
        <v>11190856.56504</v>
      </c>
    </row>
    <row r="31" spans="1:24" x14ac:dyDescent="0.2">
      <c r="A31" s="6" t="s">
        <v>66</v>
      </c>
      <c r="B31" s="6" t="s">
        <v>67</v>
      </c>
      <c r="C31" s="368">
        <v>846450</v>
      </c>
      <c r="D31" s="368">
        <v>310970</v>
      </c>
      <c r="E31" s="368">
        <v>0</v>
      </c>
      <c r="F31" s="368">
        <v>0</v>
      </c>
      <c r="G31" s="368">
        <v>0</v>
      </c>
      <c r="H31" s="4">
        <f t="shared" si="3"/>
        <v>1157420</v>
      </c>
      <c r="I31" s="4">
        <f t="shared" si="4"/>
        <v>231484</v>
      </c>
      <c r="J31" s="4">
        <v>966343.47</v>
      </c>
      <c r="K31" s="4">
        <f t="shared" si="5"/>
        <v>1197827.47</v>
      </c>
      <c r="L31" s="4">
        <v>59636.92</v>
      </c>
      <c r="M31" s="4">
        <v>0</v>
      </c>
      <c r="N31" s="4">
        <f t="shared" si="6"/>
        <v>59636.92</v>
      </c>
      <c r="O31" s="33">
        <v>30978457.050000001</v>
      </c>
      <c r="P31" s="33">
        <v>33387.64</v>
      </c>
      <c r="Q31" s="33">
        <v>7821.05</v>
      </c>
      <c r="R31" s="33">
        <v>0</v>
      </c>
      <c r="S31" s="4">
        <f t="shared" si="7"/>
        <v>41208.69</v>
      </c>
      <c r="T31" s="33">
        <v>0</v>
      </c>
      <c r="U31" s="4">
        <f t="shared" si="0"/>
        <v>0</v>
      </c>
      <c r="V31" s="4">
        <f t="shared" si="1"/>
        <v>32277130.130000003</v>
      </c>
      <c r="W31" s="4">
        <v>9311467.3533333335</v>
      </c>
      <c r="X31" s="123">
        <f t="shared" si="2"/>
        <v>42879682.688533336</v>
      </c>
    </row>
    <row r="32" spans="1:24" x14ac:dyDescent="0.2">
      <c r="A32" s="6" t="s">
        <v>68</v>
      </c>
      <c r="B32" s="6" t="s">
        <v>69</v>
      </c>
      <c r="C32" s="368">
        <v>142020</v>
      </c>
      <c r="D32" s="368">
        <v>0</v>
      </c>
      <c r="E32" s="368">
        <v>157520</v>
      </c>
      <c r="F32" s="368">
        <v>152965</v>
      </c>
      <c r="G32" s="368">
        <v>0</v>
      </c>
      <c r="H32" s="4">
        <f t="shared" si="3"/>
        <v>452505</v>
      </c>
      <c r="I32" s="4">
        <f t="shared" si="4"/>
        <v>90501</v>
      </c>
      <c r="J32" s="4">
        <v>0</v>
      </c>
      <c r="K32" s="4">
        <f t="shared" si="5"/>
        <v>90501</v>
      </c>
      <c r="L32" s="4">
        <v>19456.63</v>
      </c>
      <c r="M32" s="4">
        <v>10995.75</v>
      </c>
      <c r="N32" s="4">
        <f t="shared" si="6"/>
        <v>30452.38</v>
      </c>
      <c r="O32" s="33">
        <v>1860653.8</v>
      </c>
      <c r="P32" s="33">
        <v>0</v>
      </c>
      <c r="Q32" s="33">
        <v>0</v>
      </c>
      <c r="R32" s="33">
        <v>0</v>
      </c>
      <c r="S32" s="4">
        <f t="shared" si="7"/>
        <v>0</v>
      </c>
      <c r="T32" s="33">
        <v>0</v>
      </c>
      <c r="U32" s="4">
        <f t="shared" si="0"/>
        <v>0</v>
      </c>
      <c r="V32" s="4">
        <f t="shared" si="1"/>
        <v>1981607.1800000002</v>
      </c>
      <c r="W32" s="4">
        <v>467327.6766666667</v>
      </c>
      <c r="X32" s="123">
        <f t="shared" si="2"/>
        <v>2528199.1438666671</v>
      </c>
    </row>
    <row r="33" spans="1:24" x14ac:dyDescent="0.2">
      <c r="A33" s="6" t="s">
        <v>70</v>
      </c>
      <c r="B33" s="6" t="s">
        <v>71</v>
      </c>
      <c r="C33" s="368">
        <v>0</v>
      </c>
      <c r="D33" s="368">
        <v>0</v>
      </c>
      <c r="E33" s="368">
        <v>0</v>
      </c>
      <c r="F33" s="368">
        <v>0</v>
      </c>
      <c r="G33" s="368">
        <v>0</v>
      </c>
      <c r="H33" s="4">
        <f t="shared" si="3"/>
        <v>0</v>
      </c>
      <c r="I33" s="4">
        <f t="shared" si="4"/>
        <v>0</v>
      </c>
      <c r="J33" s="4">
        <v>303481.51</v>
      </c>
      <c r="K33" s="4">
        <f t="shared" si="5"/>
        <v>303481.51</v>
      </c>
      <c r="L33" s="4">
        <v>10321.620000000001</v>
      </c>
      <c r="M33" s="4">
        <v>0</v>
      </c>
      <c r="N33" s="4">
        <f t="shared" si="6"/>
        <v>10321.620000000001</v>
      </c>
      <c r="O33" s="33">
        <v>4106239.95</v>
      </c>
      <c r="P33" s="33">
        <v>0</v>
      </c>
      <c r="Q33" s="33">
        <v>0</v>
      </c>
      <c r="R33" s="33">
        <v>0</v>
      </c>
      <c r="S33" s="4">
        <f t="shared" si="7"/>
        <v>0</v>
      </c>
      <c r="T33" s="33">
        <v>0</v>
      </c>
      <c r="U33" s="4">
        <f t="shared" si="0"/>
        <v>0</v>
      </c>
      <c r="V33" s="4">
        <f t="shared" si="1"/>
        <v>4420043.08</v>
      </c>
      <c r="W33" s="4">
        <v>1039573.85</v>
      </c>
      <c r="X33" s="123">
        <f t="shared" si="2"/>
        <v>5636418.6531999996</v>
      </c>
    </row>
    <row r="34" spans="1:24" x14ac:dyDescent="0.2">
      <c r="A34" s="6" t="s">
        <v>72</v>
      </c>
      <c r="B34" s="6" t="s">
        <v>73</v>
      </c>
      <c r="C34" s="368">
        <v>0</v>
      </c>
      <c r="D34" s="368">
        <v>0</v>
      </c>
      <c r="E34" s="368">
        <v>0</v>
      </c>
      <c r="F34" s="368">
        <v>0</v>
      </c>
      <c r="G34" s="368">
        <v>0</v>
      </c>
      <c r="H34" s="4">
        <f t="shared" si="3"/>
        <v>0</v>
      </c>
      <c r="I34" s="4">
        <f t="shared" si="4"/>
        <v>0</v>
      </c>
      <c r="J34" s="4">
        <v>355834.58</v>
      </c>
      <c r="K34" s="4">
        <f t="shared" si="5"/>
        <v>355834.58</v>
      </c>
      <c r="L34" s="4">
        <v>11563.81</v>
      </c>
      <c r="M34" s="4">
        <v>0</v>
      </c>
      <c r="N34" s="4">
        <f t="shared" si="6"/>
        <v>11563.81</v>
      </c>
      <c r="O34" s="33">
        <v>5710706.5800000001</v>
      </c>
      <c r="P34" s="33">
        <v>5028.13</v>
      </c>
      <c r="Q34" s="33">
        <v>1022.72</v>
      </c>
      <c r="R34" s="33">
        <v>0</v>
      </c>
      <c r="S34" s="4">
        <f t="shared" si="7"/>
        <v>6050.85</v>
      </c>
      <c r="T34" s="33">
        <v>0</v>
      </c>
      <c r="U34" s="4">
        <f t="shared" si="0"/>
        <v>0</v>
      </c>
      <c r="V34" s="4">
        <f t="shared" si="1"/>
        <v>6084155.8199999994</v>
      </c>
      <c r="W34" s="4">
        <v>1358229.5</v>
      </c>
      <c r="X34" s="123">
        <f t="shared" si="2"/>
        <v>7685751.5527999997</v>
      </c>
    </row>
    <row r="35" spans="1:24" x14ac:dyDescent="0.2">
      <c r="A35" s="6" t="s">
        <v>74</v>
      </c>
      <c r="B35" s="6" t="s">
        <v>75</v>
      </c>
      <c r="C35" s="368">
        <v>0</v>
      </c>
      <c r="D35" s="368">
        <v>0</v>
      </c>
      <c r="E35" s="368">
        <v>0</v>
      </c>
      <c r="F35" s="368">
        <v>0</v>
      </c>
      <c r="G35" s="368">
        <v>0</v>
      </c>
      <c r="H35" s="4">
        <f t="shared" si="3"/>
        <v>0</v>
      </c>
      <c r="I35" s="4">
        <f t="shared" si="4"/>
        <v>0</v>
      </c>
      <c r="J35" s="4">
        <v>108209.58</v>
      </c>
      <c r="K35" s="4">
        <f t="shared" si="5"/>
        <v>108209.58</v>
      </c>
      <c r="L35" s="4">
        <v>0</v>
      </c>
      <c r="M35" s="4">
        <v>0</v>
      </c>
      <c r="N35" s="4">
        <f t="shared" si="6"/>
        <v>0</v>
      </c>
      <c r="O35" s="33">
        <v>316858.71000000002</v>
      </c>
      <c r="P35" s="33">
        <v>0</v>
      </c>
      <c r="Q35" s="33">
        <v>0</v>
      </c>
      <c r="R35" s="33">
        <v>0</v>
      </c>
      <c r="S35" s="4">
        <f t="shared" si="7"/>
        <v>0</v>
      </c>
      <c r="T35" s="33">
        <v>0</v>
      </c>
      <c r="U35" s="4">
        <f t="shared" si="0"/>
        <v>0</v>
      </c>
      <c r="V35" s="4">
        <f t="shared" si="1"/>
        <v>425068.29000000004</v>
      </c>
      <c r="W35" s="4">
        <v>196626.54</v>
      </c>
      <c r="X35" s="123">
        <f t="shared" si="2"/>
        <v>638697.56160000002</v>
      </c>
    </row>
    <row r="36" spans="1:24" x14ac:dyDescent="0.2">
      <c r="A36" s="6" t="s">
        <v>76</v>
      </c>
      <c r="B36" s="6" t="s">
        <v>77</v>
      </c>
      <c r="C36" s="368">
        <v>0</v>
      </c>
      <c r="D36" s="368">
        <v>0</v>
      </c>
      <c r="E36" s="368">
        <v>0</v>
      </c>
      <c r="F36" s="368">
        <v>0</v>
      </c>
      <c r="G36" s="368">
        <v>0</v>
      </c>
      <c r="H36" s="4">
        <f t="shared" si="3"/>
        <v>0</v>
      </c>
      <c r="I36" s="4">
        <f t="shared" si="4"/>
        <v>0</v>
      </c>
      <c r="J36" s="4">
        <v>191583.85</v>
      </c>
      <c r="K36" s="4">
        <f t="shared" si="5"/>
        <v>191583.85</v>
      </c>
      <c r="L36" s="4">
        <v>9687.7900000000009</v>
      </c>
      <c r="M36" s="4">
        <v>0</v>
      </c>
      <c r="N36" s="4">
        <f t="shared" si="6"/>
        <v>9687.7900000000009</v>
      </c>
      <c r="O36" s="33">
        <v>3347114.82</v>
      </c>
      <c r="P36" s="33">
        <v>0</v>
      </c>
      <c r="Q36" s="33">
        <v>0</v>
      </c>
      <c r="R36" s="33">
        <v>0</v>
      </c>
      <c r="S36" s="4">
        <f t="shared" si="7"/>
        <v>0</v>
      </c>
      <c r="T36" s="33">
        <v>0</v>
      </c>
      <c r="U36" s="4">
        <f t="shared" si="0"/>
        <v>0</v>
      </c>
      <c r="V36" s="4">
        <f t="shared" si="1"/>
        <v>3548386.46</v>
      </c>
      <c r="W36" s="4">
        <v>1059803.83</v>
      </c>
      <c r="X36" s="123">
        <f t="shared" si="2"/>
        <v>4750125.7484000009</v>
      </c>
    </row>
    <row r="37" spans="1:24" x14ac:dyDescent="0.2">
      <c r="A37" s="6" t="s">
        <v>78</v>
      </c>
      <c r="B37" s="6" t="s">
        <v>79</v>
      </c>
      <c r="C37" s="368">
        <v>0</v>
      </c>
      <c r="D37" s="368">
        <v>0</v>
      </c>
      <c r="E37" s="368">
        <v>0</v>
      </c>
      <c r="F37" s="368">
        <v>0</v>
      </c>
      <c r="G37" s="368">
        <v>0</v>
      </c>
      <c r="H37" s="4">
        <f t="shared" si="3"/>
        <v>0</v>
      </c>
      <c r="I37" s="4">
        <f t="shared" si="4"/>
        <v>0</v>
      </c>
      <c r="J37" s="4">
        <v>47127.51</v>
      </c>
      <c r="K37" s="4">
        <f t="shared" si="5"/>
        <v>47127.51</v>
      </c>
      <c r="L37" s="4">
        <v>0</v>
      </c>
      <c r="M37" s="4">
        <v>0</v>
      </c>
      <c r="N37" s="4">
        <f t="shared" si="6"/>
        <v>0</v>
      </c>
      <c r="O37" s="33">
        <v>675427.01</v>
      </c>
      <c r="P37" s="33">
        <v>0</v>
      </c>
      <c r="Q37" s="33">
        <v>0</v>
      </c>
      <c r="R37" s="33">
        <v>0</v>
      </c>
      <c r="S37" s="4">
        <f t="shared" si="7"/>
        <v>0</v>
      </c>
      <c r="T37" s="33">
        <v>0</v>
      </c>
      <c r="U37" s="4">
        <f t="shared" si="0"/>
        <v>0</v>
      </c>
      <c r="V37" s="4">
        <f t="shared" si="1"/>
        <v>722554.52</v>
      </c>
      <c r="W37" s="4">
        <v>144328.39333333334</v>
      </c>
      <c r="X37" s="123">
        <f t="shared" si="2"/>
        <v>895785.0941333333</v>
      </c>
    </row>
    <row r="38" spans="1:24" x14ac:dyDescent="0.2">
      <c r="A38" s="6" t="s">
        <v>80</v>
      </c>
      <c r="B38" s="6" t="s">
        <v>81</v>
      </c>
      <c r="C38" s="368">
        <v>0</v>
      </c>
      <c r="D38" s="368">
        <v>0</v>
      </c>
      <c r="E38" s="368">
        <v>0</v>
      </c>
      <c r="F38" s="368">
        <v>0</v>
      </c>
      <c r="G38" s="368">
        <v>78800</v>
      </c>
      <c r="H38" s="4">
        <f t="shared" si="3"/>
        <v>78800</v>
      </c>
      <c r="I38" s="4">
        <f t="shared" si="4"/>
        <v>15760</v>
      </c>
      <c r="J38" s="4">
        <v>109678.16</v>
      </c>
      <c r="K38" s="4">
        <f t="shared" si="5"/>
        <v>125438.16</v>
      </c>
      <c r="L38" s="4">
        <v>7962.93</v>
      </c>
      <c r="M38" s="4">
        <v>0</v>
      </c>
      <c r="N38" s="4">
        <f t="shared" si="6"/>
        <v>7962.93</v>
      </c>
      <c r="O38" s="33">
        <v>1274396.92</v>
      </c>
      <c r="P38" s="33">
        <v>2500</v>
      </c>
      <c r="Q38" s="33">
        <v>606.75</v>
      </c>
      <c r="R38" s="33">
        <v>0</v>
      </c>
      <c r="S38" s="4">
        <f t="shared" si="7"/>
        <v>3106.75</v>
      </c>
      <c r="T38" s="33">
        <v>0</v>
      </c>
      <c r="U38" s="4">
        <f t="shared" si="0"/>
        <v>0</v>
      </c>
      <c r="V38" s="4">
        <f t="shared" si="1"/>
        <v>1410904.76</v>
      </c>
      <c r="W38" s="4">
        <v>695629.84</v>
      </c>
      <c r="X38" s="123">
        <f t="shared" si="2"/>
        <v>2162970.7903999998</v>
      </c>
    </row>
    <row r="39" spans="1:24" x14ac:dyDescent="0.2">
      <c r="A39" s="6" t="s">
        <v>82</v>
      </c>
      <c r="B39" s="6" t="s">
        <v>83</v>
      </c>
      <c r="C39" s="368">
        <v>342459.26</v>
      </c>
      <c r="D39" s="368">
        <v>431275</v>
      </c>
      <c r="E39" s="368">
        <v>409985</v>
      </c>
      <c r="F39" s="368">
        <v>334365</v>
      </c>
      <c r="G39" s="368">
        <v>0</v>
      </c>
      <c r="H39" s="4">
        <f t="shared" si="3"/>
        <v>1518084.26</v>
      </c>
      <c r="I39" s="4">
        <f t="shared" si="4"/>
        <v>303616.85200000001</v>
      </c>
      <c r="J39" s="4">
        <v>93454</v>
      </c>
      <c r="K39" s="4">
        <f t="shared" si="5"/>
        <v>397070.85200000001</v>
      </c>
      <c r="L39" s="4">
        <v>5679.26</v>
      </c>
      <c r="M39" s="4">
        <v>0</v>
      </c>
      <c r="N39" s="4">
        <f t="shared" si="6"/>
        <v>5679.26</v>
      </c>
      <c r="O39" s="33">
        <v>6585805.96</v>
      </c>
      <c r="P39" s="33">
        <v>0</v>
      </c>
      <c r="Q39" s="33">
        <v>0</v>
      </c>
      <c r="R39" s="33">
        <v>0</v>
      </c>
      <c r="S39" s="4">
        <f t="shared" si="7"/>
        <v>0</v>
      </c>
      <c r="T39" s="33">
        <v>0</v>
      </c>
      <c r="U39" s="4">
        <f t="shared" si="0"/>
        <v>0</v>
      </c>
      <c r="V39" s="4">
        <f t="shared" si="1"/>
        <v>6988556.0719999997</v>
      </c>
      <c r="W39" s="4">
        <v>1668634.2533333332</v>
      </c>
      <c r="X39" s="123">
        <f t="shared" si="2"/>
        <v>8936732.5682133324</v>
      </c>
    </row>
    <row r="40" spans="1:24" x14ac:dyDescent="0.2">
      <c r="A40" s="6" t="s">
        <v>84</v>
      </c>
      <c r="B40" s="6" t="s">
        <v>85</v>
      </c>
      <c r="C40" s="368">
        <v>0</v>
      </c>
      <c r="D40" s="368">
        <v>0</v>
      </c>
      <c r="E40" s="368">
        <v>0</v>
      </c>
      <c r="F40" s="368">
        <v>0</v>
      </c>
      <c r="G40" s="368">
        <v>0</v>
      </c>
      <c r="H40" s="4">
        <f t="shared" si="3"/>
        <v>0</v>
      </c>
      <c r="I40" s="4">
        <f t="shared" si="4"/>
        <v>0</v>
      </c>
      <c r="J40" s="4">
        <v>86376.9</v>
      </c>
      <c r="K40" s="4">
        <f t="shared" si="5"/>
        <v>86376.9</v>
      </c>
      <c r="L40" s="4">
        <v>0</v>
      </c>
      <c r="M40" s="4">
        <v>0</v>
      </c>
      <c r="N40" s="4">
        <f t="shared" si="6"/>
        <v>0</v>
      </c>
      <c r="O40" s="33">
        <v>179913.83</v>
      </c>
      <c r="P40" s="33">
        <v>0</v>
      </c>
      <c r="Q40" s="33">
        <v>0</v>
      </c>
      <c r="R40" s="33">
        <v>0</v>
      </c>
      <c r="S40" s="4">
        <f t="shared" si="7"/>
        <v>0</v>
      </c>
      <c r="T40" s="33">
        <v>0</v>
      </c>
      <c r="U40" s="4">
        <f t="shared" si="0"/>
        <v>0</v>
      </c>
      <c r="V40" s="4">
        <f t="shared" si="1"/>
        <v>266290.73</v>
      </c>
      <c r="W40" s="4">
        <v>279500.38999999996</v>
      </c>
      <c r="X40" s="123">
        <f t="shared" si="2"/>
        <v>556442.74919999996</v>
      </c>
    </row>
    <row r="41" spans="1:24" x14ac:dyDescent="0.2">
      <c r="A41" s="6" t="s">
        <v>86</v>
      </c>
      <c r="B41" s="6" t="s">
        <v>87</v>
      </c>
      <c r="C41" s="368">
        <v>315540</v>
      </c>
      <c r="D41" s="368">
        <v>357253</v>
      </c>
      <c r="E41" s="368">
        <v>416065</v>
      </c>
      <c r="F41" s="368">
        <v>157755</v>
      </c>
      <c r="G41" s="368">
        <v>137445</v>
      </c>
      <c r="H41" s="4">
        <f t="shared" si="3"/>
        <v>1384058</v>
      </c>
      <c r="I41" s="4">
        <f t="shared" si="4"/>
        <v>276811.60000000003</v>
      </c>
      <c r="J41" s="4">
        <v>0</v>
      </c>
      <c r="K41" s="4">
        <f t="shared" si="5"/>
        <v>276811.60000000003</v>
      </c>
      <c r="L41" s="4">
        <v>27651.8</v>
      </c>
      <c r="M41" s="4">
        <v>0</v>
      </c>
      <c r="N41" s="4">
        <f t="shared" si="6"/>
        <v>27651.8</v>
      </c>
      <c r="O41" s="33">
        <v>2666340.9700000002</v>
      </c>
      <c r="P41" s="33">
        <v>0</v>
      </c>
      <c r="Q41" s="33">
        <v>0</v>
      </c>
      <c r="R41" s="33">
        <v>0</v>
      </c>
      <c r="S41" s="4">
        <f t="shared" si="7"/>
        <v>0</v>
      </c>
      <c r="T41" s="33">
        <v>0</v>
      </c>
      <c r="U41" s="4">
        <f t="shared" si="0"/>
        <v>0</v>
      </c>
      <c r="V41" s="4">
        <f t="shared" si="1"/>
        <v>2970804.37</v>
      </c>
      <c r="W41" s="4">
        <v>1037243.11</v>
      </c>
      <c r="X41" s="123">
        <f t="shared" si="2"/>
        <v>4126879.6548000001</v>
      </c>
    </row>
    <row r="42" spans="1:24" x14ac:dyDescent="0.2">
      <c r="A42" s="6" t="s">
        <v>88</v>
      </c>
      <c r="B42" s="6" t="s">
        <v>89</v>
      </c>
      <c r="C42" s="368">
        <v>0</v>
      </c>
      <c r="D42" s="368">
        <v>0</v>
      </c>
      <c r="E42" s="368">
        <v>0</v>
      </c>
      <c r="F42" s="368">
        <v>232674</v>
      </c>
      <c r="G42" s="368">
        <v>0</v>
      </c>
      <c r="H42" s="4">
        <f t="shared" si="3"/>
        <v>232674</v>
      </c>
      <c r="I42" s="4">
        <f t="shared" si="4"/>
        <v>46534.8</v>
      </c>
      <c r="J42" s="4">
        <v>0</v>
      </c>
      <c r="K42" s="4">
        <f t="shared" si="5"/>
        <v>46534.8</v>
      </c>
      <c r="L42" s="4">
        <v>3821.58</v>
      </c>
      <c r="M42" s="4">
        <v>0</v>
      </c>
      <c r="N42" s="4">
        <f t="shared" si="6"/>
        <v>3821.58</v>
      </c>
      <c r="O42" s="33">
        <v>1478025.94</v>
      </c>
      <c r="P42" s="33">
        <v>1260</v>
      </c>
      <c r="Q42" s="33">
        <v>96.4</v>
      </c>
      <c r="R42" s="33">
        <v>0</v>
      </c>
      <c r="S42" s="4">
        <f t="shared" si="7"/>
        <v>1356.4</v>
      </c>
      <c r="T42" s="33">
        <v>0</v>
      </c>
      <c r="U42" s="4">
        <f t="shared" si="0"/>
        <v>0</v>
      </c>
      <c r="V42" s="4">
        <f t="shared" si="1"/>
        <v>1529738.7199999997</v>
      </c>
      <c r="W42" s="4">
        <v>577044.82333333336</v>
      </c>
      <c r="X42" s="123">
        <f t="shared" si="2"/>
        <v>2167973.092133333</v>
      </c>
    </row>
    <row r="43" spans="1:24" x14ac:dyDescent="0.2">
      <c r="A43" s="6" t="s">
        <v>90</v>
      </c>
      <c r="B43" s="6" t="s">
        <v>91</v>
      </c>
      <c r="C43" s="368">
        <v>0</v>
      </c>
      <c r="D43" s="368">
        <v>0</v>
      </c>
      <c r="E43" s="368">
        <v>0</v>
      </c>
      <c r="F43" s="368">
        <v>0</v>
      </c>
      <c r="G43" s="368">
        <v>0</v>
      </c>
      <c r="H43" s="4">
        <f t="shared" si="3"/>
        <v>0</v>
      </c>
      <c r="I43" s="4">
        <f t="shared" si="4"/>
        <v>0</v>
      </c>
      <c r="J43" s="4">
        <v>703340.94</v>
      </c>
      <c r="K43" s="4">
        <f t="shared" si="5"/>
        <v>703340.94</v>
      </c>
      <c r="L43" s="4">
        <v>4935.5600000000004</v>
      </c>
      <c r="M43" s="4">
        <v>0</v>
      </c>
      <c r="N43" s="4">
        <f t="shared" si="6"/>
        <v>4935.5600000000004</v>
      </c>
      <c r="O43" s="33">
        <v>13968477.720000001</v>
      </c>
      <c r="P43" s="33">
        <v>0</v>
      </c>
      <c r="Q43" s="33">
        <v>0</v>
      </c>
      <c r="R43" s="33">
        <v>0</v>
      </c>
      <c r="S43" s="4">
        <f t="shared" si="7"/>
        <v>0</v>
      </c>
      <c r="T43" s="33">
        <v>0</v>
      </c>
      <c r="U43" s="4">
        <f t="shared" si="0"/>
        <v>0</v>
      </c>
      <c r="V43" s="4">
        <f t="shared" si="1"/>
        <v>14676754.220000001</v>
      </c>
      <c r="W43" s="4">
        <v>4183416.0666666664</v>
      </c>
      <c r="X43" s="123">
        <f t="shared" si="2"/>
        <v>19447240.455466665</v>
      </c>
    </row>
    <row r="44" spans="1:24" x14ac:dyDescent="0.2">
      <c r="A44" s="6" t="s">
        <v>92</v>
      </c>
      <c r="B44" s="6" t="s">
        <v>93</v>
      </c>
      <c r="C44" s="368">
        <v>0</v>
      </c>
      <c r="D44" s="368">
        <v>0</v>
      </c>
      <c r="E44" s="368">
        <v>0</v>
      </c>
      <c r="F44" s="368">
        <v>0</v>
      </c>
      <c r="G44" s="368">
        <v>687371</v>
      </c>
      <c r="H44" s="4">
        <f t="shared" si="3"/>
        <v>687371</v>
      </c>
      <c r="I44" s="4">
        <f t="shared" si="4"/>
        <v>137474.20000000001</v>
      </c>
      <c r="J44" s="4">
        <v>1137768.96</v>
      </c>
      <c r="K44" s="4">
        <f t="shared" si="5"/>
        <v>1275243.1599999999</v>
      </c>
      <c r="L44" s="4">
        <v>0</v>
      </c>
      <c r="M44" s="4">
        <v>0</v>
      </c>
      <c r="N44" s="4">
        <f t="shared" si="6"/>
        <v>0</v>
      </c>
      <c r="O44" s="33">
        <v>6489666.0300000003</v>
      </c>
      <c r="P44" s="33">
        <v>0</v>
      </c>
      <c r="Q44" s="33">
        <v>0</v>
      </c>
      <c r="R44" s="33">
        <v>0</v>
      </c>
      <c r="S44" s="4">
        <f t="shared" si="7"/>
        <v>0</v>
      </c>
      <c r="T44" s="33">
        <v>0</v>
      </c>
      <c r="U44" s="4">
        <v>0</v>
      </c>
      <c r="V44" s="4">
        <f t="shared" si="1"/>
        <v>7764909.1900000004</v>
      </c>
      <c r="W44" s="4">
        <v>1876506.2866666669</v>
      </c>
      <c r="X44" s="123">
        <f t="shared" si="2"/>
        <v>9952011.844266668</v>
      </c>
    </row>
    <row r="45" spans="1:24" x14ac:dyDescent="0.2">
      <c r="A45" s="6" t="s">
        <v>94</v>
      </c>
      <c r="B45" s="6" t="s">
        <v>95</v>
      </c>
      <c r="C45" s="368">
        <v>0</v>
      </c>
      <c r="D45" s="368">
        <v>0</v>
      </c>
      <c r="E45" s="368">
        <v>0</v>
      </c>
      <c r="F45" s="368">
        <v>0</v>
      </c>
      <c r="G45" s="368">
        <v>227950</v>
      </c>
      <c r="H45" s="4">
        <f t="shared" si="3"/>
        <v>227950</v>
      </c>
      <c r="I45" s="4">
        <f t="shared" si="4"/>
        <v>45590</v>
      </c>
      <c r="J45" s="4">
        <v>318710.3</v>
      </c>
      <c r="K45" s="4">
        <f t="shared" si="5"/>
        <v>364300.3</v>
      </c>
      <c r="L45" s="4">
        <v>29224.04</v>
      </c>
      <c r="M45" s="4">
        <v>0</v>
      </c>
      <c r="N45" s="4">
        <f t="shared" si="6"/>
        <v>29224.04</v>
      </c>
      <c r="O45" s="33">
        <v>6432915.8499999996</v>
      </c>
      <c r="P45" s="33">
        <v>0</v>
      </c>
      <c r="Q45" s="33">
        <v>0</v>
      </c>
      <c r="R45" s="33">
        <v>0</v>
      </c>
      <c r="S45" s="4">
        <f t="shared" si="7"/>
        <v>0</v>
      </c>
      <c r="T45" s="33">
        <v>0</v>
      </c>
      <c r="U45" s="4">
        <f t="shared" si="0"/>
        <v>0</v>
      </c>
      <c r="V45" s="4">
        <f t="shared" si="1"/>
        <v>6826440.1899999995</v>
      </c>
      <c r="W45" s="4">
        <v>2859091.6233333335</v>
      </c>
      <c r="X45" s="123">
        <f t="shared" si="2"/>
        <v>9958589.4209333342</v>
      </c>
    </row>
    <row r="46" spans="1:24" x14ac:dyDescent="0.2">
      <c r="A46" s="6" t="s">
        <v>96</v>
      </c>
      <c r="B46" s="6" t="s">
        <v>97</v>
      </c>
      <c r="C46" s="368">
        <v>0</v>
      </c>
      <c r="D46" s="368">
        <v>0</v>
      </c>
      <c r="E46" s="368">
        <v>0</v>
      </c>
      <c r="F46" s="368">
        <v>0</v>
      </c>
      <c r="G46" s="368">
        <v>0</v>
      </c>
      <c r="H46" s="4">
        <f t="shared" si="3"/>
        <v>0</v>
      </c>
      <c r="I46" s="4">
        <f t="shared" si="4"/>
        <v>0</v>
      </c>
      <c r="J46" s="4">
        <v>299445.65000000002</v>
      </c>
      <c r="K46" s="4">
        <f t="shared" si="5"/>
        <v>299445.65000000002</v>
      </c>
      <c r="L46" s="4">
        <v>5581.18</v>
      </c>
      <c r="M46" s="4">
        <v>0</v>
      </c>
      <c r="N46" s="4">
        <f t="shared" si="6"/>
        <v>5581.18</v>
      </c>
      <c r="O46" s="33">
        <v>5917285.1799999997</v>
      </c>
      <c r="P46" s="33">
        <v>0</v>
      </c>
      <c r="Q46" s="33">
        <v>0</v>
      </c>
      <c r="R46" s="33">
        <v>0</v>
      </c>
      <c r="S46" s="4">
        <f t="shared" si="7"/>
        <v>0</v>
      </c>
      <c r="T46" s="33">
        <v>0</v>
      </c>
      <c r="U46" s="4">
        <f t="shared" si="0"/>
        <v>0</v>
      </c>
      <c r="V46" s="4">
        <f t="shared" si="1"/>
        <v>6222312.0099999998</v>
      </c>
      <c r="W46" s="4">
        <v>1832448.5933333335</v>
      </c>
      <c r="X46" s="123">
        <f t="shared" si="2"/>
        <v>8303653.0837333333</v>
      </c>
    </row>
    <row r="47" spans="1:24" x14ac:dyDescent="0.2">
      <c r="A47" s="6" t="s">
        <v>98</v>
      </c>
      <c r="B47" s="6" t="s">
        <v>99</v>
      </c>
      <c r="C47" s="368">
        <v>0</v>
      </c>
      <c r="D47" s="368">
        <v>166130</v>
      </c>
      <c r="E47" s="368">
        <v>134760</v>
      </c>
      <c r="F47" s="368">
        <v>250635</v>
      </c>
      <c r="G47" s="368">
        <v>175609</v>
      </c>
      <c r="H47" s="4">
        <f t="shared" si="3"/>
        <v>727134</v>
      </c>
      <c r="I47" s="4">
        <f t="shared" si="4"/>
        <v>145426.80000000002</v>
      </c>
      <c r="J47" s="4">
        <v>0</v>
      </c>
      <c r="K47" s="4">
        <f t="shared" si="5"/>
        <v>145426.80000000002</v>
      </c>
      <c r="L47" s="4">
        <v>5590.07</v>
      </c>
      <c r="M47" s="4">
        <v>0</v>
      </c>
      <c r="N47" s="4">
        <f t="shared" si="6"/>
        <v>5590.07</v>
      </c>
      <c r="O47" s="33">
        <v>2087061.81</v>
      </c>
      <c r="P47" s="33">
        <v>0</v>
      </c>
      <c r="Q47" s="33">
        <v>0</v>
      </c>
      <c r="R47" s="33">
        <v>0</v>
      </c>
      <c r="S47" s="4">
        <f t="shared" si="7"/>
        <v>0</v>
      </c>
      <c r="T47" s="33">
        <v>0</v>
      </c>
      <c r="U47" s="4">
        <f t="shared" si="0"/>
        <v>0</v>
      </c>
      <c r="V47" s="4">
        <f t="shared" si="1"/>
        <v>2238078.6800000002</v>
      </c>
      <c r="W47" s="4">
        <v>571512.46333333326</v>
      </c>
      <c r="X47" s="123">
        <f t="shared" si="2"/>
        <v>2899114.2905333336</v>
      </c>
    </row>
    <row r="48" spans="1:24" x14ac:dyDescent="0.2">
      <c r="A48" s="6" t="s">
        <v>100</v>
      </c>
      <c r="B48" s="6" t="s">
        <v>101</v>
      </c>
      <c r="C48" s="368">
        <v>0</v>
      </c>
      <c r="D48" s="368">
        <v>0</v>
      </c>
      <c r="E48" s="368">
        <v>0</v>
      </c>
      <c r="F48" s="368">
        <v>0</v>
      </c>
      <c r="G48" s="368">
        <v>0</v>
      </c>
      <c r="H48" s="4">
        <f t="shared" si="3"/>
        <v>0</v>
      </c>
      <c r="I48" s="4">
        <f t="shared" si="4"/>
        <v>0</v>
      </c>
      <c r="J48" s="4">
        <v>90406.94</v>
      </c>
      <c r="K48" s="4">
        <f t="shared" si="5"/>
        <v>90406.94</v>
      </c>
      <c r="L48" s="4">
        <v>0</v>
      </c>
      <c r="M48" s="4">
        <v>0</v>
      </c>
      <c r="N48" s="4">
        <f t="shared" si="6"/>
        <v>0</v>
      </c>
      <c r="O48" s="33">
        <v>1911799.61</v>
      </c>
      <c r="P48" s="33">
        <v>0</v>
      </c>
      <c r="Q48" s="33">
        <v>0</v>
      </c>
      <c r="R48" s="33">
        <v>0</v>
      </c>
      <c r="S48" s="4">
        <f t="shared" si="7"/>
        <v>0</v>
      </c>
      <c r="T48" s="33">
        <v>0</v>
      </c>
      <c r="U48" s="4">
        <f t="shared" si="0"/>
        <v>0</v>
      </c>
      <c r="V48" s="4">
        <f t="shared" si="1"/>
        <v>2002206.55</v>
      </c>
      <c r="W48" s="4">
        <v>609536.32333333336</v>
      </c>
      <c r="X48" s="123">
        <f t="shared" si="2"/>
        <v>2691831.1353333336</v>
      </c>
    </row>
    <row r="49" spans="1:24" x14ac:dyDescent="0.2">
      <c r="A49" s="6" t="s">
        <v>102</v>
      </c>
      <c r="B49" s="6" t="s">
        <v>103</v>
      </c>
      <c r="C49" s="368">
        <v>0</v>
      </c>
      <c r="D49" s="368">
        <v>193450</v>
      </c>
      <c r="E49" s="368">
        <v>320530</v>
      </c>
      <c r="F49" s="368">
        <v>0</v>
      </c>
      <c r="G49" s="368">
        <v>393765</v>
      </c>
      <c r="H49" s="4">
        <f t="shared" si="3"/>
        <v>907745</v>
      </c>
      <c r="I49" s="4">
        <f t="shared" si="4"/>
        <v>181549</v>
      </c>
      <c r="J49" s="4">
        <v>0</v>
      </c>
      <c r="K49" s="4">
        <f t="shared" si="5"/>
        <v>181549</v>
      </c>
      <c r="L49" s="4">
        <v>0</v>
      </c>
      <c r="M49" s="4">
        <v>0</v>
      </c>
      <c r="N49" s="4">
        <f t="shared" si="6"/>
        <v>0</v>
      </c>
      <c r="O49" s="33">
        <v>4653614.99</v>
      </c>
      <c r="P49" s="33">
        <v>0</v>
      </c>
      <c r="Q49" s="33">
        <v>0</v>
      </c>
      <c r="R49" s="33">
        <v>0</v>
      </c>
      <c r="S49" s="4">
        <f t="shared" si="7"/>
        <v>0</v>
      </c>
      <c r="T49" s="33">
        <v>0</v>
      </c>
      <c r="U49" s="4">
        <f t="shared" si="0"/>
        <v>0</v>
      </c>
      <c r="V49" s="4">
        <f t="shared" si="1"/>
        <v>4835163.99</v>
      </c>
      <c r="W49" s="4">
        <v>604947.19999999984</v>
      </c>
      <c r="X49" s="123">
        <f t="shared" si="2"/>
        <v>5633517.7496000007</v>
      </c>
    </row>
    <row r="50" spans="1:24" x14ac:dyDescent="0.2">
      <c r="A50" s="6" t="s">
        <v>104</v>
      </c>
      <c r="B50" s="6" t="s">
        <v>105</v>
      </c>
      <c r="C50" s="368">
        <v>0</v>
      </c>
      <c r="D50" s="368">
        <v>0</v>
      </c>
      <c r="E50" s="368">
        <v>0</v>
      </c>
      <c r="F50" s="368">
        <v>0</v>
      </c>
      <c r="G50" s="368">
        <v>0</v>
      </c>
      <c r="H50" s="4">
        <f t="shared" si="3"/>
        <v>0</v>
      </c>
      <c r="I50" s="4">
        <f t="shared" si="4"/>
        <v>0</v>
      </c>
      <c r="J50" s="4">
        <v>42679.65</v>
      </c>
      <c r="K50" s="4">
        <f t="shared" si="5"/>
        <v>42679.65</v>
      </c>
      <c r="L50" s="4">
        <v>6645.14</v>
      </c>
      <c r="M50" s="4">
        <v>0</v>
      </c>
      <c r="N50" s="4">
        <f t="shared" si="6"/>
        <v>6645.14</v>
      </c>
      <c r="O50" s="33">
        <v>194238.46</v>
      </c>
      <c r="P50" s="33">
        <v>0</v>
      </c>
      <c r="Q50" s="33">
        <v>0</v>
      </c>
      <c r="R50" s="33">
        <v>0</v>
      </c>
      <c r="S50" s="4">
        <f t="shared" si="7"/>
        <v>0</v>
      </c>
      <c r="T50" s="33">
        <v>0</v>
      </c>
      <c r="U50" s="4">
        <f t="shared" si="0"/>
        <v>0</v>
      </c>
      <c r="V50" s="4">
        <f t="shared" si="1"/>
        <v>243563.25</v>
      </c>
      <c r="W50" s="4">
        <v>143680.37</v>
      </c>
      <c r="X50" s="123">
        <f t="shared" si="2"/>
        <v>396986.15</v>
      </c>
    </row>
    <row r="51" spans="1:24" x14ac:dyDescent="0.2">
      <c r="A51" s="6" t="s">
        <v>106</v>
      </c>
      <c r="B51" s="6" t="s">
        <v>107</v>
      </c>
      <c r="C51" s="368">
        <v>0</v>
      </c>
      <c r="D51" s="368">
        <v>0</v>
      </c>
      <c r="E51" s="368">
        <v>0</v>
      </c>
      <c r="F51" s="368">
        <v>0</v>
      </c>
      <c r="G51" s="368">
        <v>0</v>
      </c>
      <c r="H51" s="4">
        <f t="shared" si="3"/>
        <v>0</v>
      </c>
      <c r="I51" s="4">
        <f t="shared" si="4"/>
        <v>0</v>
      </c>
      <c r="J51" s="4">
        <v>71992.31</v>
      </c>
      <c r="K51" s="4">
        <f t="shared" si="5"/>
        <v>71992.31</v>
      </c>
      <c r="L51" s="4">
        <v>5629.5</v>
      </c>
      <c r="M51" s="4">
        <v>0</v>
      </c>
      <c r="N51" s="4">
        <f t="shared" si="6"/>
        <v>5629.5</v>
      </c>
      <c r="O51" s="33">
        <v>2182214.4</v>
      </c>
      <c r="P51" s="33">
        <v>0</v>
      </c>
      <c r="Q51" s="33">
        <v>0</v>
      </c>
      <c r="R51" s="33">
        <v>0</v>
      </c>
      <c r="S51" s="4">
        <f t="shared" si="7"/>
        <v>0</v>
      </c>
      <c r="T51" s="33">
        <v>0</v>
      </c>
      <c r="U51" s="4">
        <f t="shared" si="0"/>
        <v>0</v>
      </c>
      <c r="V51" s="4">
        <f t="shared" si="1"/>
        <v>2259836.21</v>
      </c>
      <c r="W51" s="4">
        <v>705710.95333333325</v>
      </c>
      <c r="X51" s="123">
        <f t="shared" si="2"/>
        <v>3055940.6117333332</v>
      </c>
    </row>
    <row r="52" spans="1:24" x14ac:dyDescent="0.2">
      <c r="A52" s="6" t="s">
        <v>108</v>
      </c>
      <c r="B52" s="6" t="s">
        <v>109</v>
      </c>
      <c r="C52" s="368">
        <v>0</v>
      </c>
      <c r="D52" s="368">
        <v>0</v>
      </c>
      <c r="E52" s="368">
        <v>0</v>
      </c>
      <c r="F52" s="368">
        <v>0</v>
      </c>
      <c r="G52" s="368">
        <v>0</v>
      </c>
      <c r="H52" s="4">
        <f t="shared" si="3"/>
        <v>0</v>
      </c>
      <c r="I52" s="4">
        <f t="shared" si="4"/>
        <v>0</v>
      </c>
      <c r="J52" s="4">
        <v>81185.58</v>
      </c>
      <c r="K52" s="4">
        <f t="shared" si="5"/>
        <v>81185.58</v>
      </c>
      <c r="L52" s="4">
        <v>0</v>
      </c>
      <c r="M52" s="4">
        <v>0</v>
      </c>
      <c r="N52" s="4">
        <f t="shared" si="6"/>
        <v>0</v>
      </c>
      <c r="O52" s="33">
        <v>908209.34</v>
      </c>
      <c r="P52" s="33">
        <v>0</v>
      </c>
      <c r="Q52" s="33">
        <v>0</v>
      </c>
      <c r="R52" s="33">
        <v>0</v>
      </c>
      <c r="S52" s="4">
        <f t="shared" si="7"/>
        <v>0</v>
      </c>
      <c r="T52" s="33">
        <v>0</v>
      </c>
      <c r="U52" s="4">
        <f t="shared" si="0"/>
        <v>0</v>
      </c>
      <c r="V52" s="4">
        <f t="shared" si="1"/>
        <v>989394.91999999993</v>
      </c>
      <c r="W52" s="4">
        <v>242147.70333333334</v>
      </c>
      <c r="X52" s="123">
        <f t="shared" si="2"/>
        <v>1271118.4201333332</v>
      </c>
    </row>
    <row r="53" spans="1:24" x14ac:dyDescent="0.2">
      <c r="X53" s="10"/>
    </row>
    <row r="54" spans="1:24" ht="13.5" thickBot="1" x14ac:dyDescent="0.25">
      <c r="C54" s="9">
        <f t="shared" ref="C54:U54" si="8">SUM(C5:C52)</f>
        <v>4277710.51</v>
      </c>
      <c r="D54" s="9">
        <f t="shared" si="8"/>
        <v>4663518.0999999996</v>
      </c>
      <c r="E54" s="9">
        <f t="shared" si="8"/>
        <v>2953432.4</v>
      </c>
      <c r="F54" s="9">
        <f t="shared" si="8"/>
        <v>2511005.13</v>
      </c>
      <c r="G54" s="9">
        <f t="shared" si="8"/>
        <v>5204077.58</v>
      </c>
      <c r="H54" s="9">
        <f t="shared" si="8"/>
        <v>19609743.719999999</v>
      </c>
      <c r="I54" s="9">
        <f t="shared" si="8"/>
        <v>3921948.7439999999</v>
      </c>
      <c r="J54" s="9">
        <f t="shared" si="8"/>
        <v>12348296.090000002</v>
      </c>
      <c r="K54" s="9">
        <f t="shared" si="8"/>
        <v>16270244.834000003</v>
      </c>
      <c r="L54" s="9">
        <f t="shared" si="8"/>
        <v>499955.02999999997</v>
      </c>
      <c r="M54" s="9">
        <f t="shared" si="8"/>
        <v>32055.75</v>
      </c>
      <c r="N54" s="9">
        <f t="shared" si="8"/>
        <v>532010.77999999991</v>
      </c>
      <c r="O54" s="9">
        <f t="shared" si="8"/>
        <v>238640441.81000006</v>
      </c>
      <c r="P54" s="9">
        <f t="shared" si="8"/>
        <v>165541.21000000002</v>
      </c>
      <c r="Q54" s="9">
        <f t="shared" si="8"/>
        <v>30475.370000000003</v>
      </c>
      <c r="R54" s="9">
        <f t="shared" si="8"/>
        <v>0</v>
      </c>
      <c r="S54" s="9">
        <f t="shared" si="8"/>
        <v>196016.58</v>
      </c>
      <c r="T54" s="9">
        <f t="shared" si="8"/>
        <v>600505.71</v>
      </c>
      <c r="U54" s="9">
        <f t="shared" si="8"/>
        <v>600505.71</v>
      </c>
      <c r="V54" s="9">
        <f>SUM(V5:V52)</f>
        <v>256239219.71400005</v>
      </c>
      <c r="W54" s="9">
        <f t="shared" ref="W54:X54" si="9">SUM(W5:W52)</f>
        <v>75160298.996666685</v>
      </c>
      <c r="X54" s="149">
        <f t="shared" si="9"/>
        <v>341649087.49922657</v>
      </c>
    </row>
    <row r="55" spans="1:24" ht="13.5" thickTop="1" x14ac:dyDescent="0.2">
      <c r="O55" s="36">
        <f>O54*1.04</f>
        <v>248186059.48240006</v>
      </c>
    </row>
    <row r="57" spans="1:24" x14ac:dyDescent="0.2">
      <c r="O57" s="10"/>
    </row>
  </sheetData>
  <sheetProtection algorithmName="SHA-512" hashValue="rIciBKO9XCPd/8zdRT0zsTW8lT3dNDYIXyKqeXQuYWaPp/x4x5uZ77rKeVJGNnAdzqlFsWS2y/vAp9U58/bTnA==" saltValue="OhBl5O6lPOwpGu9eyCz38g==" spinCount="100000" sheet="1" objects="1" scenarios="1"/>
  <pageMargins left="0.5" right="0.5" top="0.5" bottom="0.5" header="0.25" footer="0.25"/>
  <pageSetup scale="74" orientation="landscape" r:id="rId1"/>
  <headerFooter>
    <oddHeader>&amp;L&amp;"Calibri,Bold"&amp;12Wyoming School District Allowable Reimbursable Expenditures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"/>
  <sheetViews>
    <sheetView showGridLines="0" zoomScale="85" zoomScaleNormal="85" zoomScalePageLayoutView="85" workbookViewId="0">
      <pane xSplit="2" ySplit="4" topLeftCell="C5" activePane="bottomRight" state="frozen"/>
      <selection sqref="A1:M1"/>
      <selection pane="topRight" sqref="A1:M1"/>
      <selection pane="bottomLeft" sqref="A1:M1"/>
      <selection pane="bottomRight" sqref="A1:H1"/>
    </sheetView>
  </sheetViews>
  <sheetFormatPr defaultColWidth="8.85546875" defaultRowHeight="12.75" x14ac:dyDescent="0.2"/>
  <cols>
    <col min="1" max="8" width="15.7109375" customWidth="1"/>
  </cols>
  <sheetData>
    <row r="1" spans="1:8" ht="15.75" x14ac:dyDescent="0.25">
      <c r="A1" s="448" t="s">
        <v>11</v>
      </c>
      <c r="B1" s="448"/>
      <c r="C1" s="448"/>
      <c r="D1" s="448"/>
      <c r="E1" s="448"/>
      <c r="F1" s="448"/>
      <c r="G1" s="448"/>
      <c r="H1" s="448"/>
    </row>
    <row r="4" spans="1:8" ht="64.5" thickBot="1" x14ac:dyDescent="0.25">
      <c r="A4" s="1" t="s">
        <v>1</v>
      </c>
      <c r="B4" s="1" t="s">
        <v>2</v>
      </c>
      <c r="C4" s="1" t="s">
        <v>9</v>
      </c>
      <c r="D4" s="1" t="s">
        <v>2429</v>
      </c>
      <c r="E4" s="1" t="s">
        <v>2430</v>
      </c>
      <c r="F4" s="1" t="s">
        <v>2431</v>
      </c>
      <c r="G4" s="1" t="s">
        <v>2432</v>
      </c>
      <c r="H4" s="1" t="s">
        <v>11</v>
      </c>
    </row>
    <row r="5" spans="1:8" x14ac:dyDescent="0.2">
      <c r="A5" s="2" t="s">
        <v>14</v>
      </c>
      <c r="B5" s="2" t="s">
        <v>15</v>
      </c>
      <c r="C5" s="4">
        <f>'Foundation Program Calculations'!I5</f>
        <v>11659.456425631073</v>
      </c>
      <c r="D5" s="369"/>
      <c r="E5" s="370"/>
      <c r="F5" s="370"/>
      <c r="G5" s="370">
        <f>E5-F5</f>
        <v>0</v>
      </c>
      <c r="H5" s="4">
        <f>IF(D5="No",((G5*C5)*2)+(F5*C5),IF(D5="Yes",G5*C5,0))</f>
        <v>0</v>
      </c>
    </row>
    <row r="6" spans="1:8" x14ac:dyDescent="0.2">
      <c r="A6" s="6" t="s">
        <v>16</v>
      </c>
      <c r="B6" s="6" t="s">
        <v>17</v>
      </c>
      <c r="C6" s="4">
        <f>'Foundation Program Calculations'!I6</f>
        <v>14187.940488317094</v>
      </c>
      <c r="D6" s="371"/>
      <c r="E6" s="370"/>
      <c r="F6" s="370"/>
      <c r="G6" s="370">
        <f t="shared" ref="G6:G52" si="0">E6-F6</f>
        <v>0</v>
      </c>
      <c r="H6" s="4">
        <f t="shared" ref="H6:H52" si="1">IF(D6="No",((G6*C6)*2)+(F6*C6),IF(D6="Yes",G6*C6,0))</f>
        <v>0</v>
      </c>
    </row>
    <row r="7" spans="1:8" x14ac:dyDescent="0.2">
      <c r="A7" s="6" t="s">
        <v>18</v>
      </c>
      <c r="B7" s="6" t="s">
        <v>19</v>
      </c>
      <c r="C7" s="4">
        <f>'Foundation Program Calculations'!I7</f>
        <v>13753.713781601167</v>
      </c>
      <c r="D7" s="371"/>
      <c r="E7" s="370"/>
      <c r="F7" s="370"/>
      <c r="G7" s="370">
        <f t="shared" si="0"/>
        <v>0</v>
      </c>
      <c r="H7" s="4">
        <f t="shared" si="1"/>
        <v>0</v>
      </c>
    </row>
    <row r="8" spans="1:8" x14ac:dyDescent="0.2">
      <c r="A8" s="6" t="s">
        <v>20</v>
      </c>
      <c r="B8" s="6" t="s">
        <v>21</v>
      </c>
      <c r="C8" s="4">
        <f>'Foundation Program Calculations'!I8</f>
        <v>15643.371881958423</v>
      </c>
      <c r="D8" s="371" t="s">
        <v>2433</v>
      </c>
      <c r="E8" s="370"/>
      <c r="F8" s="370"/>
      <c r="G8" s="370">
        <f t="shared" si="0"/>
        <v>0</v>
      </c>
      <c r="H8" s="4">
        <f t="shared" si="1"/>
        <v>0</v>
      </c>
    </row>
    <row r="9" spans="1:8" x14ac:dyDescent="0.2">
      <c r="A9" s="6" t="s">
        <v>22</v>
      </c>
      <c r="B9" s="6" t="s">
        <v>23</v>
      </c>
      <c r="C9" s="4">
        <f>'Foundation Program Calculations'!I9</f>
        <v>17491.683596167884</v>
      </c>
      <c r="D9" s="371"/>
      <c r="E9" s="370"/>
      <c r="F9" s="370"/>
      <c r="G9" s="370">
        <f t="shared" si="0"/>
        <v>0</v>
      </c>
      <c r="H9" s="4">
        <f t="shared" si="1"/>
        <v>0</v>
      </c>
    </row>
    <row r="10" spans="1:8" x14ac:dyDescent="0.2">
      <c r="A10" s="6" t="s">
        <v>24</v>
      </c>
      <c r="B10" s="6" t="s">
        <v>25</v>
      </c>
      <c r="C10" s="4">
        <f>'Foundation Program Calculations'!I10</f>
        <v>13275.726988240587</v>
      </c>
      <c r="D10" s="371"/>
      <c r="E10" s="370"/>
      <c r="F10" s="370"/>
      <c r="G10" s="370">
        <f t="shared" si="0"/>
        <v>0</v>
      </c>
      <c r="H10" s="4">
        <f t="shared" si="1"/>
        <v>0</v>
      </c>
    </row>
    <row r="11" spans="1:8" x14ac:dyDescent="0.2">
      <c r="A11" s="6" t="s">
        <v>26</v>
      </c>
      <c r="B11" s="6" t="s">
        <v>27</v>
      </c>
      <c r="C11" s="4">
        <f>'Foundation Program Calculations'!I11</f>
        <v>13590.701791375484</v>
      </c>
      <c r="D11" s="371"/>
      <c r="E11" s="370"/>
      <c r="F11" s="370"/>
      <c r="G11" s="370">
        <f t="shared" si="0"/>
        <v>0</v>
      </c>
      <c r="H11" s="4">
        <f t="shared" si="1"/>
        <v>0</v>
      </c>
    </row>
    <row r="12" spans="1:8" x14ac:dyDescent="0.2">
      <c r="A12" s="6" t="s">
        <v>28</v>
      </c>
      <c r="B12" s="6" t="s">
        <v>29</v>
      </c>
      <c r="C12" s="4">
        <f>'Foundation Program Calculations'!I12</f>
        <v>21026.609612786986</v>
      </c>
      <c r="D12" s="371"/>
      <c r="E12" s="370"/>
      <c r="F12" s="370"/>
      <c r="G12" s="370">
        <f t="shared" si="0"/>
        <v>0</v>
      </c>
      <c r="H12" s="4">
        <f t="shared" si="1"/>
        <v>0</v>
      </c>
    </row>
    <row r="13" spans="1:8" x14ac:dyDescent="0.2">
      <c r="A13" s="6" t="s">
        <v>30</v>
      </c>
      <c r="B13" s="6" t="s">
        <v>31</v>
      </c>
      <c r="C13" s="4">
        <f>'Foundation Program Calculations'!I13</f>
        <v>14397.527961970449</v>
      </c>
      <c r="D13" s="371"/>
      <c r="E13" s="370"/>
      <c r="F13" s="370"/>
      <c r="G13" s="370">
        <f t="shared" si="0"/>
        <v>0</v>
      </c>
      <c r="H13" s="4">
        <f t="shared" si="1"/>
        <v>0</v>
      </c>
    </row>
    <row r="14" spans="1:8" x14ac:dyDescent="0.2">
      <c r="A14" s="6" t="s">
        <v>32</v>
      </c>
      <c r="B14" s="6" t="s">
        <v>33</v>
      </c>
      <c r="C14" s="4">
        <f>'Foundation Program Calculations'!I14</f>
        <v>17388.249214733976</v>
      </c>
      <c r="D14" s="371"/>
      <c r="E14" s="370"/>
      <c r="F14" s="370"/>
      <c r="G14" s="370">
        <f t="shared" si="0"/>
        <v>0</v>
      </c>
      <c r="H14" s="4">
        <f t="shared" si="1"/>
        <v>0</v>
      </c>
    </row>
    <row r="15" spans="1:8" x14ac:dyDescent="0.2">
      <c r="A15" s="6" t="s">
        <v>34</v>
      </c>
      <c r="B15" s="6" t="s">
        <v>35</v>
      </c>
      <c r="C15" s="4">
        <f>'Foundation Program Calculations'!I15</f>
        <v>14968.252644041464</v>
      </c>
      <c r="D15" s="371"/>
      <c r="E15" s="370"/>
      <c r="F15" s="370"/>
      <c r="G15" s="370">
        <f t="shared" si="0"/>
        <v>0</v>
      </c>
      <c r="H15" s="4">
        <f t="shared" si="1"/>
        <v>0</v>
      </c>
    </row>
    <row r="16" spans="1:8" x14ac:dyDescent="0.2">
      <c r="A16" s="6" t="s">
        <v>36</v>
      </c>
      <c r="B16" s="6" t="s">
        <v>37</v>
      </c>
      <c r="C16" s="4">
        <f>'Foundation Program Calculations'!I16</f>
        <v>12360.15354453671</v>
      </c>
      <c r="D16" s="371"/>
      <c r="E16" s="370"/>
      <c r="F16" s="370"/>
      <c r="G16" s="370">
        <f t="shared" si="0"/>
        <v>0</v>
      </c>
      <c r="H16" s="4">
        <f t="shared" si="1"/>
        <v>0</v>
      </c>
    </row>
    <row r="17" spans="1:8" x14ac:dyDescent="0.2">
      <c r="A17" s="6" t="s">
        <v>38</v>
      </c>
      <c r="B17" s="6" t="s">
        <v>39</v>
      </c>
      <c r="C17" s="4">
        <f>'Foundation Program Calculations'!I17</f>
        <v>26227.242287232806</v>
      </c>
      <c r="D17" s="371"/>
      <c r="E17" s="370"/>
      <c r="F17" s="370"/>
      <c r="G17" s="370">
        <f t="shared" si="0"/>
        <v>0</v>
      </c>
      <c r="H17" s="4">
        <f t="shared" si="1"/>
        <v>0</v>
      </c>
    </row>
    <row r="18" spans="1:8" x14ac:dyDescent="0.2">
      <c r="A18" s="6" t="s">
        <v>40</v>
      </c>
      <c r="B18" s="6" t="s">
        <v>41</v>
      </c>
      <c r="C18" s="4">
        <f>'Foundation Program Calculations'!I18</f>
        <v>18397.193900374408</v>
      </c>
      <c r="D18" s="371"/>
      <c r="E18" s="370"/>
      <c r="F18" s="370"/>
      <c r="G18" s="370">
        <f t="shared" si="0"/>
        <v>0</v>
      </c>
      <c r="H18" s="4">
        <f t="shared" si="1"/>
        <v>0</v>
      </c>
    </row>
    <row r="19" spans="1:8" x14ac:dyDescent="0.2">
      <c r="A19" s="6" t="s">
        <v>42</v>
      </c>
      <c r="B19" s="6" t="s">
        <v>43</v>
      </c>
      <c r="C19" s="4">
        <f>'Foundation Program Calculations'!I19</f>
        <v>15933.466869481979</v>
      </c>
      <c r="D19" s="371"/>
      <c r="E19" s="370"/>
      <c r="F19" s="370"/>
      <c r="G19" s="370">
        <f t="shared" si="0"/>
        <v>0</v>
      </c>
      <c r="H19" s="4">
        <f t="shared" si="1"/>
        <v>0</v>
      </c>
    </row>
    <row r="20" spans="1:8" x14ac:dyDescent="0.2">
      <c r="A20" s="6" t="s">
        <v>44</v>
      </c>
      <c r="B20" s="6" t="s">
        <v>45</v>
      </c>
      <c r="C20" s="4">
        <f>'Foundation Program Calculations'!I20</f>
        <v>16206.320077847731</v>
      </c>
      <c r="D20" s="371"/>
      <c r="E20" s="370"/>
      <c r="F20" s="370"/>
      <c r="G20" s="370">
        <f t="shared" si="0"/>
        <v>0</v>
      </c>
      <c r="H20" s="4">
        <f t="shared" si="1"/>
        <v>0</v>
      </c>
    </row>
    <row r="21" spans="1:8" x14ac:dyDescent="0.2">
      <c r="A21" s="6" t="s">
        <v>46</v>
      </c>
      <c r="B21" s="6" t="s">
        <v>47</v>
      </c>
      <c r="C21" s="4">
        <f>'Foundation Program Calculations'!I21</f>
        <v>16585.361264261512</v>
      </c>
      <c r="D21" s="371"/>
      <c r="E21" s="370"/>
      <c r="F21" s="370"/>
      <c r="G21" s="370">
        <f t="shared" si="0"/>
        <v>0</v>
      </c>
      <c r="H21" s="4">
        <f t="shared" si="1"/>
        <v>0</v>
      </c>
    </row>
    <row r="22" spans="1:8" x14ac:dyDescent="0.2">
      <c r="A22" s="6" t="s">
        <v>48</v>
      </c>
      <c r="B22" s="6" t="s">
        <v>49</v>
      </c>
      <c r="C22" s="4">
        <f>'Foundation Program Calculations'!I22</f>
        <v>12235.583283851487</v>
      </c>
      <c r="D22" s="371"/>
      <c r="E22" s="370"/>
      <c r="F22" s="370"/>
      <c r="G22" s="370">
        <f t="shared" si="0"/>
        <v>0</v>
      </c>
      <c r="H22" s="4">
        <f t="shared" si="1"/>
        <v>0</v>
      </c>
    </row>
    <row r="23" spans="1:8" x14ac:dyDescent="0.2">
      <c r="A23" s="6" t="s">
        <v>50</v>
      </c>
      <c r="B23" s="6" t="s">
        <v>51</v>
      </c>
      <c r="C23" s="4">
        <f>'Foundation Program Calculations'!I23</f>
        <v>15490.860039029429</v>
      </c>
      <c r="D23" s="371"/>
      <c r="E23" s="370"/>
      <c r="F23" s="370"/>
      <c r="G23" s="370">
        <f t="shared" si="0"/>
        <v>0</v>
      </c>
      <c r="H23" s="4">
        <f t="shared" si="1"/>
        <v>0</v>
      </c>
    </row>
    <row r="24" spans="1:8" x14ac:dyDescent="0.2">
      <c r="A24" s="6" t="s">
        <v>52</v>
      </c>
      <c r="B24" s="6" t="s">
        <v>53</v>
      </c>
      <c r="C24" s="4">
        <f>'Foundation Program Calculations'!I24</f>
        <v>14245.303287789469</v>
      </c>
      <c r="D24" s="371"/>
      <c r="E24" s="370"/>
      <c r="F24" s="370"/>
      <c r="G24" s="370">
        <f t="shared" si="0"/>
        <v>0</v>
      </c>
      <c r="H24" s="4">
        <f t="shared" si="1"/>
        <v>0</v>
      </c>
    </row>
    <row r="25" spans="1:8" x14ac:dyDescent="0.2">
      <c r="A25" s="6" t="s">
        <v>54</v>
      </c>
      <c r="B25" s="6" t="s">
        <v>55</v>
      </c>
      <c r="C25" s="4">
        <f>'Foundation Program Calculations'!I25</f>
        <v>14865.295747247317</v>
      </c>
      <c r="D25" s="371"/>
      <c r="E25" s="370"/>
      <c r="F25" s="370"/>
      <c r="G25" s="370">
        <f t="shared" si="0"/>
        <v>0</v>
      </c>
      <c r="H25" s="4">
        <f t="shared" si="1"/>
        <v>0</v>
      </c>
    </row>
    <row r="26" spans="1:8" x14ac:dyDescent="0.2">
      <c r="A26" s="6" t="s">
        <v>56</v>
      </c>
      <c r="B26" s="6" t="s">
        <v>57</v>
      </c>
      <c r="C26" s="4">
        <f>'Foundation Program Calculations'!I26</f>
        <v>14505.658590665864</v>
      </c>
      <c r="D26" s="371"/>
      <c r="E26" s="370"/>
      <c r="F26" s="370"/>
      <c r="G26" s="370">
        <f t="shared" si="0"/>
        <v>0</v>
      </c>
      <c r="H26" s="4">
        <f t="shared" si="1"/>
        <v>0</v>
      </c>
    </row>
    <row r="27" spans="1:8" x14ac:dyDescent="0.2">
      <c r="A27" s="6" t="s">
        <v>58</v>
      </c>
      <c r="B27" s="6" t="s">
        <v>59</v>
      </c>
      <c r="C27" s="4">
        <f>'Foundation Program Calculations'!I27</f>
        <v>11818.39153326323</v>
      </c>
      <c r="D27" s="371" t="s">
        <v>2433</v>
      </c>
      <c r="E27" s="370">
        <v>0</v>
      </c>
      <c r="F27" s="370">
        <v>0</v>
      </c>
      <c r="G27" s="370">
        <f>E27-F27</f>
        <v>0</v>
      </c>
      <c r="H27" s="4">
        <f>IF(D27="No",((G27*C27)*2)+(F27*C27),IF(D27="Yes",G27*C27,0))</f>
        <v>0</v>
      </c>
    </row>
    <row r="28" spans="1:8" x14ac:dyDescent="0.2">
      <c r="A28" s="6" t="s">
        <v>60</v>
      </c>
      <c r="B28" s="6" t="s">
        <v>61</v>
      </c>
      <c r="C28" s="4">
        <f>'Foundation Program Calculations'!I28</f>
        <v>15103.974730427079</v>
      </c>
      <c r="D28" s="371"/>
      <c r="E28" s="370"/>
      <c r="F28" s="370"/>
      <c r="G28" s="370">
        <f t="shared" si="0"/>
        <v>0</v>
      </c>
      <c r="H28" s="4">
        <f t="shared" si="1"/>
        <v>0</v>
      </c>
    </row>
    <row r="29" spans="1:8" x14ac:dyDescent="0.2">
      <c r="A29" s="6" t="s">
        <v>62</v>
      </c>
      <c r="B29" s="6" t="s">
        <v>63</v>
      </c>
      <c r="C29" s="4">
        <f>'Foundation Program Calculations'!I29</f>
        <v>15964.651853610143</v>
      </c>
      <c r="D29" s="371"/>
      <c r="E29" s="370"/>
      <c r="F29" s="370"/>
      <c r="G29" s="370">
        <f t="shared" si="0"/>
        <v>0</v>
      </c>
      <c r="H29" s="4">
        <f t="shared" si="1"/>
        <v>0</v>
      </c>
    </row>
    <row r="30" spans="1:8" x14ac:dyDescent="0.2">
      <c r="A30" s="6" t="s">
        <v>64</v>
      </c>
      <c r="B30" s="6" t="s">
        <v>65</v>
      </c>
      <c r="C30" s="4">
        <f>'Foundation Program Calculations'!I30</f>
        <v>12378.619145268742</v>
      </c>
      <c r="D30" s="371"/>
      <c r="E30" s="370"/>
      <c r="F30" s="370"/>
      <c r="G30" s="370">
        <f t="shared" si="0"/>
        <v>0</v>
      </c>
      <c r="H30" s="4">
        <f t="shared" si="1"/>
        <v>0</v>
      </c>
    </row>
    <row r="31" spans="1:8" x14ac:dyDescent="0.2">
      <c r="A31" s="6" t="s">
        <v>66</v>
      </c>
      <c r="B31" s="6" t="s">
        <v>67</v>
      </c>
      <c r="C31" s="4">
        <f>'Foundation Program Calculations'!I31</f>
        <v>11959.569347755685</v>
      </c>
      <c r="D31" s="371"/>
      <c r="E31" s="370"/>
      <c r="F31" s="370"/>
      <c r="G31" s="370">
        <f t="shared" si="0"/>
        <v>0</v>
      </c>
      <c r="H31" s="4">
        <f t="shared" si="1"/>
        <v>0</v>
      </c>
    </row>
    <row r="32" spans="1:8" x14ac:dyDescent="0.2">
      <c r="A32" s="6" t="s">
        <v>68</v>
      </c>
      <c r="B32" s="6" t="s">
        <v>69</v>
      </c>
      <c r="C32" s="4">
        <f>'Foundation Program Calculations'!I32</f>
        <v>12118.120117304317</v>
      </c>
      <c r="D32" s="371"/>
      <c r="E32" s="370"/>
      <c r="F32" s="370"/>
      <c r="G32" s="370">
        <f t="shared" si="0"/>
        <v>0</v>
      </c>
      <c r="H32" s="4">
        <f t="shared" si="1"/>
        <v>0</v>
      </c>
    </row>
    <row r="33" spans="1:8" x14ac:dyDescent="0.2">
      <c r="A33" s="6" t="s">
        <v>70</v>
      </c>
      <c r="B33" s="6" t="s">
        <v>71</v>
      </c>
      <c r="C33" s="4">
        <f>'Foundation Program Calculations'!I33</f>
        <v>12381.254712977072</v>
      </c>
      <c r="D33" s="371"/>
      <c r="E33" s="370"/>
      <c r="F33" s="370"/>
      <c r="G33" s="370">
        <f>E33-F33</f>
        <v>0</v>
      </c>
      <c r="H33" s="4">
        <f t="shared" si="1"/>
        <v>0</v>
      </c>
    </row>
    <row r="34" spans="1:8" x14ac:dyDescent="0.2">
      <c r="A34" s="6" t="s">
        <v>72</v>
      </c>
      <c r="B34" s="6" t="s">
        <v>73</v>
      </c>
      <c r="C34" s="4">
        <f>'Foundation Program Calculations'!I34</f>
        <v>11693.217464312484</v>
      </c>
      <c r="D34" s="371"/>
      <c r="E34" s="370"/>
      <c r="F34" s="370"/>
      <c r="G34" s="370">
        <f t="shared" si="0"/>
        <v>0</v>
      </c>
      <c r="H34" s="4">
        <f t="shared" si="1"/>
        <v>0</v>
      </c>
    </row>
    <row r="35" spans="1:8" x14ac:dyDescent="0.2">
      <c r="A35" s="6" t="s">
        <v>74</v>
      </c>
      <c r="B35" s="6" t="s">
        <v>75</v>
      </c>
      <c r="C35" s="4">
        <f>'Foundation Program Calculations'!I35</f>
        <v>28947.185904949147</v>
      </c>
      <c r="D35" s="371"/>
      <c r="E35" s="370"/>
      <c r="F35" s="370"/>
      <c r="G35" s="370">
        <f t="shared" si="0"/>
        <v>0</v>
      </c>
      <c r="H35" s="4">
        <f t="shared" si="1"/>
        <v>0</v>
      </c>
    </row>
    <row r="36" spans="1:8" x14ac:dyDescent="0.2">
      <c r="A36" s="6" t="s">
        <v>76</v>
      </c>
      <c r="B36" s="6" t="s">
        <v>77</v>
      </c>
      <c r="C36" s="4">
        <f>'Foundation Program Calculations'!I36</f>
        <v>16512.915505834197</v>
      </c>
      <c r="D36" s="371"/>
      <c r="E36" s="370"/>
      <c r="F36" s="370"/>
      <c r="G36" s="370">
        <f t="shared" si="0"/>
        <v>0</v>
      </c>
      <c r="H36" s="4">
        <f t="shared" si="1"/>
        <v>0</v>
      </c>
    </row>
    <row r="37" spans="1:8" x14ac:dyDescent="0.2">
      <c r="A37" s="6" t="s">
        <v>78</v>
      </c>
      <c r="B37" s="6" t="s">
        <v>79</v>
      </c>
      <c r="C37" s="4">
        <f>'Foundation Program Calculations'!I37</f>
        <v>21083.227705451773</v>
      </c>
      <c r="D37" s="371"/>
      <c r="E37" s="370"/>
      <c r="F37" s="370"/>
      <c r="G37" s="370">
        <f t="shared" si="0"/>
        <v>0</v>
      </c>
      <c r="H37" s="4">
        <f t="shared" si="1"/>
        <v>0</v>
      </c>
    </row>
    <row r="38" spans="1:8" x14ac:dyDescent="0.2">
      <c r="A38" s="6" t="s">
        <v>80</v>
      </c>
      <c r="B38" s="6" t="s">
        <v>81</v>
      </c>
      <c r="C38" s="4">
        <f>'Foundation Program Calculations'!I38</f>
        <v>15881.593971495393</v>
      </c>
      <c r="D38" s="371"/>
      <c r="E38" s="370"/>
      <c r="F38" s="370"/>
      <c r="G38" s="370">
        <f t="shared" si="0"/>
        <v>0</v>
      </c>
      <c r="H38" s="4">
        <f t="shared" si="1"/>
        <v>0</v>
      </c>
    </row>
    <row r="39" spans="1:8" x14ac:dyDescent="0.2">
      <c r="A39" s="6" t="s">
        <v>82</v>
      </c>
      <c r="B39" s="6" t="s">
        <v>83</v>
      </c>
      <c r="C39" s="4">
        <f>'Foundation Program Calculations'!I39</f>
        <v>11351.497362097325</v>
      </c>
      <c r="D39" s="371"/>
      <c r="E39" s="370"/>
      <c r="F39" s="370"/>
      <c r="G39" s="370">
        <f t="shared" si="0"/>
        <v>0</v>
      </c>
      <c r="H39" s="4">
        <f t="shared" si="1"/>
        <v>0</v>
      </c>
    </row>
    <row r="40" spans="1:8" x14ac:dyDescent="0.2">
      <c r="A40" s="6" t="s">
        <v>84</v>
      </c>
      <c r="B40" s="6" t="s">
        <v>85</v>
      </c>
      <c r="C40" s="4">
        <f>'Foundation Program Calculations'!I40</f>
        <v>33650.265514094892</v>
      </c>
      <c r="D40" s="371"/>
      <c r="E40" s="370"/>
      <c r="F40" s="370"/>
      <c r="G40" s="370">
        <f t="shared" si="0"/>
        <v>0</v>
      </c>
      <c r="H40" s="4">
        <f t="shared" si="1"/>
        <v>0</v>
      </c>
    </row>
    <row r="41" spans="1:8" x14ac:dyDescent="0.2">
      <c r="A41" s="6" t="s">
        <v>86</v>
      </c>
      <c r="B41" s="6" t="s">
        <v>87</v>
      </c>
      <c r="C41" s="4">
        <f>'Foundation Program Calculations'!I41</f>
        <v>15322.301599902927</v>
      </c>
      <c r="D41" s="371"/>
      <c r="E41" s="370"/>
      <c r="F41" s="370"/>
      <c r="G41" s="370">
        <f t="shared" si="0"/>
        <v>0</v>
      </c>
      <c r="H41" s="4">
        <f t="shared" si="1"/>
        <v>0</v>
      </c>
    </row>
    <row r="42" spans="1:8" x14ac:dyDescent="0.2">
      <c r="A42" s="6" t="s">
        <v>88</v>
      </c>
      <c r="B42" s="6" t="s">
        <v>89</v>
      </c>
      <c r="C42" s="4">
        <f>'Foundation Program Calculations'!I42</f>
        <v>19418.709317882964</v>
      </c>
      <c r="D42" s="371"/>
      <c r="E42" s="370"/>
      <c r="F42" s="370"/>
      <c r="G42" s="370">
        <f t="shared" si="0"/>
        <v>0</v>
      </c>
      <c r="H42" s="4">
        <f t="shared" si="1"/>
        <v>0</v>
      </c>
    </row>
    <row r="43" spans="1:8" x14ac:dyDescent="0.2">
      <c r="A43" s="6" t="s">
        <v>90</v>
      </c>
      <c r="B43" s="6" t="s">
        <v>91</v>
      </c>
      <c r="C43" s="4">
        <f>'Foundation Program Calculations'!I43</f>
        <v>13482.735072659452</v>
      </c>
      <c r="D43" s="371"/>
      <c r="E43" s="370"/>
      <c r="F43" s="370"/>
      <c r="G43" s="370">
        <f t="shared" si="0"/>
        <v>0</v>
      </c>
      <c r="H43" s="4">
        <f t="shared" si="1"/>
        <v>0</v>
      </c>
    </row>
    <row r="44" spans="1:8" x14ac:dyDescent="0.2">
      <c r="A44" s="6" t="s">
        <v>92</v>
      </c>
      <c r="B44" s="6" t="s">
        <v>93</v>
      </c>
      <c r="C44" s="4">
        <f>'Foundation Program Calculations'!I44</f>
        <v>13911.985857147874</v>
      </c>
      <c r="D44" s="371"/>
      <c r="E44" s="370"/>
      <c r="F44" s="370"/>
      <c r="G44" s="370">
        <f t="shared" si="0"/>
        <v>0</v>
      </c>
      <c r="H44" s="4">
        <f t="shared" si="1"/>
        <v>0</v>
      </c>
    </row>
    <row r="45" spans="1:8" x14ac:dyDescent="0.2">
      <c r="A45" s="6" t="s">
        <v>94</v>
      </c>
      <c r="B45" s="6" t="s">
        <v>95</v>
      </c>
      <c r="C45" s="4">
        <f>'Foundation Program Calculations'!I45</f>
        <v>13185.441791900152</v>
      </c>
      <c r="D45" s="371"/>
      <c r="E45" s="370"/>
      <c r="F45" s="370"/>
      <c r="G45" s="370">
        <f t="shared" si="0"/>
        <v>0</v>
      </c>
      <c r="H45" s="4">
        <f t="shared" si="1"/>
        <v>0</v>
      </c>
    </row>
    <row r="46" spans="1:8" x14ac:dyDescent="0.2">
      <c r="A46" s="6" t="s">
        <v>96</v>
      </c>
      <c r="B46" s="6" t="s">
        <v>97</v>
      </c>
      <c r="C46" s="4">
        <f>'Foundation Program Calculations'!I46</f>
        <v>12420.76830031837</v>
      </c>
      <c r="D46" s="371"/>
      <c r="E46" s="370"/>
      <c r="F46" s="370"/>
      <c r="G46" s="370">
        <f t="shared" si="0"/>
        <v>0</v>
      </c>
      <c r="H46" s="4">
        <f t="shared" si="1"/>
        <v>0</v>
      </c>
    </row>
    <row r="47" spans="1:8" x14ac:dyDescent="0.2">
      <c r="A47" s="6" t="s">
        <v>98</v>
      </c>
      <c r="B47" s="6" t="s">
        <v>99</v>
      </c>
      <c r="C47" s="4">
        <f>'Foundation Program Calculations'!I47</f>
        <v>12643.947003931524</v>
      </c>
      <c r="D47" s="371"/>
      <c r="E47" s="370"/>
      <c r="F47" s="370"/>
      <c r="G47" s="370">
        <f t="shared" si="0"/>
        <v>0</v>
      </c>
      <c r="H47" s="4">
        <f t="shared" si="1"/>
        <v>0</v>
      </c>
    </row>
    <row r="48" spans="1:8" x14ac:dyDescent="0.2">
      <c r="A48" s="6" t="s">
        <v>100</v>
      </c>
      <c r="B48" s="6" t="s">
        <v>101</v>
      </c>
      <c r="C48" s="4">
        <f>'Foundation Program Calculations'!I48</f>
        <v>14225.099249969751</v>
      </c>
      <c r="D48" s="371"/>
      <c r="E48" s="370"/>
      <c r="F48" s="370"/>
      <c r="G48" s="370">
        <f t="shared" si="0"/>
        <v>0</v>
      </c>
      <c r="H48" s="4">
        <f t="shared" si="1"/>
        <v>0</v>
      </c>
    </row>
    <row r="49" spans="1:8" x14ac:dyDescent="0.2">
      <c r="A49" s="6" t="s">
        <v>102</v>
      </c>
      <c r="B49" s="6" t="s">
        <v>103</v>
      </c>
      <c r="C49" s="4">
        <f>'Foundation Program Calculations'!I49</f>
        <v>13105.899789569496</v>
      </c>
      <c r="D49" s="371"/>
      <c r="E49" s="370"/>
      <c r="F49" s="370"/>
      <c r="G49" s="370">
        <f t="shared" si="0"/>
        <v>0</v>
      </c>
      <c r="H49" s="4">
        <f t="shared" si="1"/>
        <v>0</v>
      </c>
    </row>
    <row r="50" spans="1:8" x14ac:dyDescent="0.2">
      <c r="A50" s="6" t="s">
        <v>104</v>
      </c>
      <c r="B50" s="6" t="s">
        <v>105</v>
      </c>
      <c r="C50" s="4">
        <f>'Foundation Program Calculations'!I50</f>
        <v>29122.735533396095</v>
      </c>
      <c r="D50" s="371"/>
      <c r="E50" s="370"/>
      <c r="F50" s="370"/>
      <c r="G50" s="370">
        <f t="shared" si="0"/>
        <v>0</v>
      </c>
      <c r="H50" s="4">
        <f t="shared" si="1"/>
        <v>0</v>
      </c>
    </row>
    <row r="51" spans="1:8" x14ac:dyDescent="0.2">
      <c r="A51" s="6" t="s">
        <v>106</v>
      </c>
      <c r="B51" s="6" t="s">
        <v>107</v>
      </c>
      <c r="C51" s="4">
        <f>'Foundation Program Calculations'!I51</f>
        <v>14209.565310340517</v>
      </c>
      <c r="D51" s="371"/>
      <c r="E51" s="370"/>
      <c r="F51" s="370"/>
      <c r="G51" s="370">
        <f t="shared" si="0"/>
        <v>0</v>
      </c>
      <c r="H51" s="4">
        <f t="shared" si="1"/>
        <v>0</v>
      </c>
    </row>
    <row r="52" spans="1:8" x14ac:dyDescent="0.2">
      <c r="A52" s="6" t="s">
        <v>108</v>
      </c>
      <c r="B52" s="6" t="s">
        <v>109</v>
      </c>
      <c r="C52" s="4">
        <f>'Foundation Program Calculations'!I52</f>
        <v>20120.534098306682</v>
      </c>
      <c r="D52" s="371"/>
      <c r="E52" s="370"/>
      <c r="F52" s="370"/>
      <c r="G52" s="370">
        <f t="shared" si="0"/>
        <v>0</v>
      </c>
      <c r="H52" s="4">
        <f t="shared" si="1"/>
        <v>0</v>
      </c>
    </row>
    <row r="53" spans="1:8" x14ac:dyDescent="0.2">
      <c r="D53" s="7"/>
      <c r="E53" s="7"/>
      <c r="F53" s="7"/>
      <c r="G53" s="7"/>
      <c r="H53" s="7"/>
    </row>
    <row r="54" spans="1:8" ht="13.5" thickBot="1" x14ac:dyDescent="0.25">
      <c r="C54" s="9">
        <f>'Foundation Program Calculations'!I54</f>
        <v>13179.860688845572</v>
      </c>
      <c r="D54" s="9">
        <f>SUM(D5:D52)</f>
        <v>0</v>
      </c>
      <c r="E54" s="302">
        <f t="shared" ref="E54:H54" si="2">SUM(E5:E52)</f>
        <v>0</v>
      </c>
      <c r="F54" s="302">
        <f t="shared" si="2"/>
        <v>0</v>
      </c>
      <c r="G54" s="302">
        <f t="shared" si="2"/>
        <v>0</v>
      </c>
      <c r="H54" s="9">
        <f t="shared" si="2"/>
        <v>0</v>
      </c>
    </row>
    <row r="55" spans="1:8" ht="13.5" thickTop="1" x14ac:dyDescent="0.2"/>
    <row r="58" spans="1:8" x14ac:dyDescent="0.2">
      <c r="C58" s="304"/>
    </row>
  </sheetData>
  <sheetProtection algorithmName="SHA-512" hashValue="USzwOxxuMzwkRADSBJe5B1dgfpSlYz/dM1fV/Tbbp9ajDCgbznwl8gNG7qiOLyglnCc3CtDTqGD7yLq533GP8A==" saltValue="Vr2/O8zuQ7C0QJgKJUt3Lw==" spinCount="100000" sheet="1" objects="1" scenarios="1"/>
  <mergeCells count="1">
    <mergeCell ref="A1:H1"/>
  </mergeCells>
  <pageMargins left="0.5" right="0.5" top="0.5" bottom="0.5" header="0.25" footer="0.25"/>
  <pageSetup scale="75" fitToWidth="2" orientation="landscape" r:id="rId1"/>
  <headerFooter>
    <oddHeader>&amp;L&amp;"Calibri,Bold"&amp;12Wyoming School Foundation Program Guarantee, Entitlement and Recapture Calculations with Categorical Grant Program Estimates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L102"/>
  <sheetViews>
    <sheetView showGridLines="0" workbookViewId="0">
      <pane ySplit="2" topLeftCell="A66" activePane="bottomLeft" state="frozen"/>
      <selection sqref="A1:M1"/>
      <selection pane="bottomLeft" activeCell="K90" sqref="K90"/>
    </sheetView>
  </sheetViews>
  <sheetFormatPr defaultColWidth="8.85546875" defaultRowHeight="12.75" x14ac:dyDescent="0.2"/>
  <cols>
    <col min="1" max="1" width="49.7109375" customWidth="1"/>
    <col min="2" max="2" width="18.140625" customWidth="1"/>
    <col min="3" max="3" width="16.7109375" customWidth="1"/>
    <col min="4" max="4" width="15.28515625" customWidth="1"/>
    <col min="5" max="5" width="16.28515625" customWidth="1"/>
    <col min="6" max="9" width="14.7109375" customWidth="1"/>
    <col min="10" max="17" width="14.85546875" customWidth="1"/>
    <col min="19" max="19" width="0" hidden="1" customWidth="1"/>
  </cols>
  <sheetData>
    <row r="1" spans="1:11" ht="15.75" x14ac:dyDescent="0.25">
      <c r="A1" s="448" t="s">
        <v>256</v>
      </c>
      <c r="B1" s="448"/>
      <c r="C1" s="448"/>
      <c r="D1" s="448"/>
      <c r="E1" s="448"/>
      <c r="H1" s="61"/>
      <c r="I1" s="62"/>
    </row>
    <row r="3" spans="1:11" ht="15" x14ac:dyDescent="0.25">
      <c r="A3" s="63" t="s">
        <v>257</v>
      </c>
      <c r="B3" s="64"/>
      <c r="C3" s="64"/>
      <c r="D3" s="64"/>
      <c r="E3" s="64"/>
      <c r="F3" s="65"/>
      <c r="G3" s="65"/>
      <c r="H3" s="66"/>
    </row>
    <row r="4" spans="1:11" x14ac:dyDescent="0.2">
      <c r="A4" s="67" t="s">
        <v>115</v>
      </c>
      <c r="B4" s="68">
        <v>2</v>
      </c>
      <c r="C4" s="68">
        <v>8</v>
      </c>
      <c r="D4" s="68">
        <v>48</v>
      </c>
      <c r="E4" s="68">
        <v>150</v>
      </c>
      <c r="F4" s="69">
        <v>210</v>
      </c>
      <c r="G4" s="70">
        <v>300</v>
      </c>
      <c r="H4" s="69">
        <v>600</v>
      </c>
    </row>
    <row r="5" spans="1:11" x14ac:dyDescent="0.2">
      <c r="A5" s="18" t="s">
        <v>116</v>
      </c>
      <c r="B5" s="6"/>
      <c r="C5" s="6"/>
      <c r="D5" s="6"/>
      <c r="E5" s="6"/>
      <c r="F5" s="6"/>
      <c r="G5" s="71"/>
      <c r="H5" s="6"/>
    </row>
    <row r="6" spans="1:11" x14ac:dyDescent="0.2">
      <c r="A6" s="26" t="s">
        <v>117</v>
      </c>
      <c r="B6" s="6">
        <v>2</v>
      </c>
      <c r="C6" s="6">
        <v>4</v>
      </c>
      <c r="D6" s="6">
        <v>8</v>
      </c>
      <c r="E6" s="6">
        <v>17</v>
      </c>
      <c r="F6" s="6">
        <v>18</v>
      </c>
      <c r="G6" s="71">
        <f>'Model Data Inputs'!B8</f>
        <v>18</v>
      </c>
      <c r="H6" s="6">
        <v>18</v>
      </c>
      <c r="I6" s="72"/>
      <c r="J6" s="28"/>
      <c r="K6" s="73"/>
    </row>
    <row r="7" spans="1:11" x14ac:dyDescent="0.2">
      <c r="A7" s="26" t="s">
        <v>118</v>
      </c>
      <c r="B7" s="21"/>
      <c r="C7" s="21"/>
      <c r="D7" s="74">
        <v>0.25</v>
      </c>
      <c r="E7" s="21">
        <v>0.2</v>
      </c>
      <c r="F7" s="21">
        <v>0.2</v>
      </c>
      <c r="G7" s="75">
        <f>'Model Data Inputs'!B9</f>
        <v>0.2</v>
      </c>
      <c r="H7" s="21">
        <v>0.2</v>
      </c>
    </row>
    <row r="8" spans="1:11" x14ac:dyDescent="0.2">
      <c r="A8" s="19" t="s">
        <v>258</v>
      </c>
      <c r="B8" s="23"/>
      <c r="C8" s="23"/>
      <c r="D8" s="23">
        <v>20</v>
      </c>
      <c r="E8" s="23">
        <v>20</v>
      </c>
      <c r="F8" s="23">
        <v>20</v>
      </c>
      <c r="G8" s="76">
        <f>'Model Data Inputs'!B10</f>
        <v>20</v>
      </c>
      <c r="H8" s="23">
        <v>20</v>
      </c>
    </row>
    <row r="9" spans="1:11" x14ac:dyDescent="0.2">
      <c r="A9" s="26" t="s">
        <v>120</v>
      </c>
      <c r="B9" s="6"/>
      <c r="C9" s="6"/>
      <c r="D9" s="6"/>
      <c r="E9" s="6">
        <v>300</v>
      </c>
      <c r="F9" s="6">
        <v>300</v>
      </c>
      <c r="G9" s="71">
        <f>'Model Data Inputs'!B11</f>
        <v>300</v>
      </c>
      <c r="H9" s="6">
        <v>300</v>
      </c>
    </row>
    <row r="10" spans="1:11" x14ac:dyDescent="0.2">
      <c r="A10" s="26" t="s">
        <v>121</v>
      </c>
      <c r="B10" s="24"/>
      <c r="C10" s="24"/>
      <c r="D10" s="24">
        <v>300</v>
      </c>
      <c r="E10" s="24">
        <v>300</v>
      </c>
      <c r="F10" s="24">
        <v>300</v>
      </c>
      <c r="G10" s="77">
        <f>'Model Data Inputs'!B12</f>
        <v>300</v>
      </c>
      <c r="H10" s="24">
        <v>300</v>
      </c>
    </row>
    <row r="11" spans="1:11" x14ac:dyDescent="0.2">
      <c r="A11" s="26" t="s">
        <v>122</v>
      </c>
      <c r="B11" s="6"/>
      <c r="C11" s="6"/>
      <c r="D11" s="6">
        <v>350</v>
      </c>
      <c r="E11" s="6">
        <v>350</v>
      </c>
      <c r="F11" s="6">
        <v>350</v>
      </c>
      <c r="G11" s="71">
        <f>'Model Data Inputs'!B13</f>
        <v>350</v>
      </c>
      <c r="H11" s="6">
        <v>350</v>
      </c>
    </row>
    <row r="12" spans="1:11" x14ac:dyDescent="0.2">
      <c r="A12" s="26" t="s">
        <v>123</v>
      </c>
      <c r="B12" s="6"/>
      <c r="C12" s="6"/>
      <c r="D12" s="6"/>
      <c r="E12" s="6">
        <v>200</v>
      </c>
      <c r="F12" s="6">
        <v>200</v>
      </c>
      <c r="G12" s="71">
        <f>'Model Data Inputs'!B14</f>
        <v>200</v>
      </c>
      <c r="H12" s="6">
        <v>200</v>
      </c>
    </row>
    <row r="13" spans="1:11" x14ac:dyDescent="0.2">
      <c r="A13" s="26" t="s">
        <v>124</v>
      </c>
      <c r="B13" s="6"/>
      <c r="C13" s="6"/>
      <c r="D13" s="6">
        <v>750</v>
      </c>
      <c r="E13" s="6">
        <v>750</v>
      </c>
      <c r="F13" s="6">
        <v>750</v>
      </c>
      <c r="G13" s="71">
        <f>'Model Data Inputs'!B15</f>
        <v>750</v>
      </c>
      <c r="H13" s="6">
        <v>750</v>
      </c>
    </row>
    <row r="14" spans="1:11" x14ac:dyDescent="0.2">
      <c r="A14" s="26" t="s">
        <v>125</v>
      </c>
      <c r="B14" s="25">
        <v>0.1</v>
      </c>
      <c r="C14" s="25">
        <v>0.1</v>
      </c>
      <c r="D14" s="25">
        <v>0.5</v>
      </c>
      <c r="E14" s="25">
        <v>1</v>
      </c>
      <c r="F14" s="25">
        <v>1</v>
      </c>
      <c r="G14" s="78">
        <f>'Model Data Inputs'!B16</f>
        <v>1</v>
      </c>
      <c r="H14" s="25">
        <v>1</v>
      </c>
    </row>
    <row r="15" spans="1:11" x14ac:dyDescent="0.2">
      <c r="A15" s="26" t="s">
        <v>126</v>
      </c>
      <c r="B15" s="6"/>
      <c r="C15" s="6"/>
      <c r="D15" s="6"/>
      <c r="E15" s="6"/>
      <c r="F15" s="6"/>
      <c r="G15" s="71"/>
      <c r="H15" s="25">
        <v>1</v>
      </c>
    </row>
    <row r="16" spans="1:11" x14ac:dyDescent="0.2">
      <c r="A16" s="26" t="s">
        <v>127</v>
      </c>
      <c r="B16" s="25"/>
      <c r="C16" s="25"/>
      <c r="D16" s="25"/>
      <c r="E16" s="25">
        <v>1</v>
      </c>
      <c r="F16" s="25">
        <v>1</v>
      </c>
      <c r="G16" s="78">
        <f>'Model Data Inputs'!B18</f>
        <v>1</v>
      </c>
      <c r="H16" s="25">
        <v>1</v>
      </c>
    </row>
    <row r="17" spans="1:8" x14ac:dyDescent="0.2">
      <c r="A17" s="26" t="s">
        <v>128</v>
      </c>
      <c r="B17" s="6">
        <v>2</v>
      </c>
      <c r="C17" s="6">
        <v>8</v>
      </c>
      <c r="D17" s="6">
        <v>48</v>
      </c>
      <c r="E17" s="6">
        <v>200</v>
      </c>
      <c r="F17" s="6">
        <v>200</v>
      </c>
      <c r="G17" s="71">
        <f>'Model Data Inputs'!B19</f>
        <v>200</v>
      </c>
      <c r="H17" s="6">
        <v>200</v>
      </c>
    </row>
    <row r="18" spans="1:8" x14ac:dyDescent="0.2">
      <c r="A18" s="26" t="s">
        <v>129</v>
      </c>
      <c r="B18" s="6"/>
      <c r="C18" s="6"/>
      <c r="D18" s="6"/>
      <c r="E18" s="6">
        <v>250</v>
      </c>
      <c r="F18" s="6">
        <v>250</v>
      </c>
      <c r="G18" s="71">
        <f>'Model Data Inputs'!B20</f>
        <v>250</v>
      </c>
      <c r="H18" s="6">
        <v>250</v>
      </c>
    </row>
    <row r="19" spans="1:8" x14ac:dyDescent="0.2">
      <c r="A19" s="18" t="s">
        <v>130</v>
      </c>
      <c r="B19" s="6"/>
      <c r="C19" s="6"/>
      <c r="D19" s="6"/>
      <c r="E19" s="6"/>
      <c r="F19" s="6"/>
      <c r="G19" s="71"/>
      <c r="H19" s="6"/>
    </row>
    <row r="20" spans="1:8" x14ac:dyDescent="0.2">
      <c r="A20" s="26" t="s">
        <v>131</v>
      </c>
      <c r="B20" s="33">
        <f>(15*(106.84*'Model Data Inputs'!$B$183*'Model Data Inputs'!$B$184*'Model Data Inputs'!$B$185*'Model Data Inputs'!$B$186*'Model Data Inputs'!$B$187)*SUM(B26:B27))/B4</f>
        <v>801.30000000000007</v>
      </c>
      <c r="C20" s="33">
        <f>(15*(106.84*'Model Data Inputs'!$B$183*'Model Data Inputs'!$B$184*'Model Data Inputs'!$B$185*'Model Data Inputs'!$B$186*'Model Data Inputs'!$B$187)*SUM(C26:C27))/C4</f>
        <v>400.65000000000003</v>
      </c>
      <c r="D20" s="33">
        <f>(15*(106.84*'Model Data Inputs'!$B$183*'Model Data Inputs'!$B$184*'Model Data Inputs'!$B$185*'Model Data Inputs'!$B$186*'Model Data Inputs'!$B$187)*SUM(D26:D27))/D4</f>
        <v>250.40625000000003</v>
      </c>
      <c r="E20" s="33">
        <f>(15*(106.84*'Model Data Inputs'!$B$183*'Model Data Inputs'!$B$184*'Model Data Inputs'!$B$185*'Model Data Inputs'!$B$186*'Model Data Inputs'!$B$187)*SUM(E26:E27))/E4</f>
        <v>113.12470588235296</v>
      </c>
      <c r="F20" s="33">
        <f>(15*(106.84*'Model Data Inputs'!$B$183*'Model Data Inputs'!$B$184*'Model Data Inputs'!$B$185*'Model Data Inputs'!$B$186*'Model Data Inputs'!$B$187)*SUM(F26:F27))/F4</f>
        <v>106.84</v>
      </c>
      <c r="G20" s="79">
        <f>(15*(106.84*'Model Data Inputs'!$B$183*'Model Data Inputs'!$B$184*'Model Data Inputs'!$B$185*'Model Data Inputs'!$B$186*'Model Data Inputs'!$B$187)*SUM(G26:G27))/G4</f>
        <v>106.84000000000002</v>
      </c>
      <c r="H20" s="33">
        <f>(15*(106.84*'Model Data Inputs'!$B$183*'Model Data Inputs'!$B$184*'Model Data Inputs'!$B$185*'Model Data Inputs'!$B$186*'Model Data Inputs'!$B$187)*SUM(H26:H27))/H4</f>
        <v>106.84000000000002</v>
      </c>
    </row>
    <row r="21" spans="1:8" x14ac:dyDescent="0.2">
      <c r="A21" s="27"/>
      <c r="B21" s="28"/>
      <c r="C21" s="28"/>
    </row>
    <row r="22" spans="1:8" ht="15" x14ac:dyDescent="0.25">
      <c r="A22" s="80" t="s">
        <v>259</v>
      </c>
      <c r="B22" s="81"/>
      <c r="C22" s="81"/>
      <c r="D22" s="81"/>
      <c r="E22" s="81"/>
      <c r="F22" s="81"/>
      <c r="G22" s="81"/>
      <c r="H22" s="82"/>
    </row>
    <row r="23" spans="1:8" x14ac:dyDescent="0.2">
      <c r="A23" s="83" t="s">
        <v>260</v>
      </c>
      <c r="B23" s="84">
        <v>2</v>
      </c>
      <c r="C23" s="85">
        <v>8</v>
      </c>
      <c r="D23" s="85">
        <v>48</v>
      </c>
      <c r="E23" s="85">
        <v>150</v>
      </c>
      <c r="F23" s="86">
        <v>210</v>
      </c>
      <c r="G23" s="87">
        <v>300</v>
      </c>
      <c r="H23" s="86">
        <v>600</v>
      </c>
    </row>
    <row r="24" spans="1:8" x14ac:dyDescent="0.2">
      <c r="A24" s="83"/>
      <c r="B24" s="84"/>
      <c r="C24" s="6"/>
      <c r="D24" s="6"/>
      <c r="E24" s="6"/>
      <c r="F24" s="6"/>
      <c r="G24" s="71"/>
      <c r="H24" s="6"/>
    </row>
    <row r="25" spans="1:8" x14ac:dyDescent="0.2">
      <c r="A25" s="30" t="s">
        <v>133</v>
      </c>
      <c r="B25" s="17"/>
      <c r="C25" s="6"/>
      <c r="D25" s="6"/>
      <c r="E25" s="6"/>
      <c r="F25" s="6"/>
      <c r="G25" s="71"/>
      <c r="H25" s="6"/>
    </row>
    <row r="26" spans="1:8" x14ac:dyDescent="0.2">
      <c r="A26" s="26" t="s">
        <v>117</v>
      </c>
      <c r="B26" s="88">
        <f t="shared" ref="B26:H26" si="0">IFERROR((B$4/B6),"")</f>
        <v>1</v>
      </c>
      <c r="C26" s="88">
        <f t="shared" si="0"/>
        <v>2</v>
      </c>
      <c r="D26" s="88">
        <f t="shared" si="0"/>
        <v>6</v>
      </c>
      <c r="E26" s="88">
        <f t="shared" si="0"/>
        <v>8.8235294117647065</v>
      </c>
      <c r="F26" s="88">
        <f t="shared" si="0"/>
        <v>11.666666666666666</v>
      </c>
      <c r="G26" s="89">
        <f t="shared" si="0"/>
        <v>16.666666666666668</v>
      </c>
      <c r="H26" s="88">
        <f t="shared" si="0"/>
        <v>33.333333333333336</v>
      </c>
    </row>
    <row r="27" spans="1:8" x14ac:dyDescent="0.2">
      <c r="A27" s="26" t="s">
        <v>118</v>
      </c>
      <c r="B27" s="88">
        <f t="shared" ref="B27:H27" si="1">B26*B7</f>
        <v>0</v>
      </c>
      <c r="C27" s="88">
        <f t="shared" si="1"/>
        <v>0</v>
      </c>
      <c r="D27" s="88">
        <f t="shared" si="1"/>
        <v>1.5</v>
      </c>
      <c r="E27" s="88">
        <f t="shared" si="1"/>
        <v>1.7647058823529413</v>
      </c>
      <c r="F27" s="88">
        <f t="shared" si="1"/>
        <v>2.3333333333333335</v>
      </c>
      <c r="G27" s="89">
        <f t="shared" si="1"/>
        <v>3.3333333333333339</v>
      </c>
      <c r="H27" s="88">
        <f t="shared" si="1"/>
        <v>6.6666666666666679</v>
      </c>
    </row>
    <row r="28" spans="1:8" x14ac:dyDescent="0.2">
      <c r="A28" s="19" t="s">
        <v>258</v>
      </c>
      <c r="B28" s="32" t="str">
        <f>IFERROR(B26/B8,"")</f>
        <v/>
      </c>
      <c r="C28" s="32" t="str">
        <f t="shared" ref="C28:H28" si="2">IFERROR(C26/C8,"")</f>
        <v/>
      </c>
      <c r="D28" s="32">
        <f t="shared" si="2"/>
        <v>0.3</v>
      </c>
      <c r="E28" s="32">
        <f t="shared" si="2"/>
        <v>0.44117647058823534</v>
      </c>
      <c r="F28" s="32">
        <f t="shared" si="2"/>
        <v>0.58333333333333326</v>
      </c>
      <c r="G28" s="89">
        <f t="shared" si="2"/>
        <v>0.83333333333333337</v>
      </c>
      <c r="H28" s="32">
        <f t="shared" si="2"/>
        <v>1.6666666666666667</v>
      </c>
    </row>
    <row r="29" spans="1:8" x14ac:dyDescent="0.2">
      <c r="A29" s="26" t="s">
        <v>120</v>
      </c>
      <c r="B29" s="88" t="str">
        <f t="shared" ref="B29:H29" si="3">IFERROR((B$4/B9),"")</f>
        <v/>
      </c>
      <c r="C29" s="88" t="str">
        <f t="shared" si="3"/>
        <v/>
      </c>
      <c r="D29" s="88" t="str">
        <f t="shared" si="3"/>
        <v/>
      </c>
      <c r="E29" s="88">
        <f t="shared" si="3"/>
        <v>0.5</v>
      </c>
      <c r="F29" s="88">
        <f t="shared" si="3"/>
        <v>0.7</v>
      </c>
      <c r="G29" s="89">
        <f t="shared" si="3"/>
        <v>1</v>
      </c>
      <c r="H29" s="88">
        <f t="shared" si="3"/>
        <v>2</v>
      </c>
    </row>
    <row r="30" spans="1:8" x14ac:dyDescent="0.2">
      <c r="A30" s="26" t="s">
        <v>134</v>
      </c>
      <c r="B30" s="88" t="str">
        <f t="shared" ref="B30:H33" si="4">IFERROR(SUM(B$4/B10),"")</f>
        <v/>
      </c>
      <c r="C30" s="88" t="str">
        <f t="shared" si="4"/>
        <v/>
      </c>
      <c r="D30" s="88">
        <f t="shared" si="4"/>
        <v>0.16</v>
      </c>
      <c r="E30" s="88">
        <f t="shared" si="4"/>
        <v>0.5</v>
      </c>
      <c r="F30" s="88">
        <f t="shared" si="4"/>
        <v>0.7</v>
      </c>
      <c r="G30" s="89">
        <f t="shared" si="4"/>
        <v>1</v>
      </c>
      <c r="H30" s="88">
        <f>IFERROR(IF(SUM(H$4/H10)&gt;1,1,(H$4/H10)),"")</f>
        <v>1</v>
      </c>
    </row>
    <row r="31" spans="1:8" x14ac:dyDescent="0.2">
      <c r="A31" s="26" t="s">
        <v>122</v>
      </c>
      <c r="B31" s="88" t="str">
        <f t="shared" si="4"/>
        <v/>
      </c>
      <c r="C31" s="88" t="str">
        <f t="shared" si="4"/>
        <v/>
      </c>
      <c r="D31" s="88">
        <f t="shared" si="4"/>
        <v>0.13714285714285715</v>
      </c>
      <c r="E31" s="88">
        <f t="shared" si="4"/>
        <v>0.42857142857142855</v>
      </c>
      <c r="F31" s="88">
        <f t="shared" si="4"/>
        <v>0.6</v>
      </c>
      <c r="G31" s="89">
        <f t="shared" si="4"/>
        <v>0.8571428571428571</v>
      </c>
      <c r="H31" s="88">
        <f t="shared" si="4"/>
        <v>1.7142857142857142</v>
      </c>
    </row>
    <row r="32" spans="1:8" x14ac:dyDescent="0.2">
      <c r="A32" s="26" t="s">
        <v>123</v>
      </c>
      <c r="B32" s="88" t="str">
        <f t="shared" si="4"/>
        <v/>
      </c>
      <c r="C32" s="88" t="str">
        <f t="shared" si="4"/>
        <v/>
      </c>
      <c r="D32" s="88" t="str">
        <f t="shared" si="4"/>
        <v/>
      </c>
      <c r="E32" s="88">
        <f t="shared" si="4"/>
        <v>0.75</v>
      </c>
      <c r="F32" s="88">
        <f t="shared" si="4"/>
        <v>1.05</v>
      </c>
      <c r="G32" s="89">
        <f t="shared" si="4"/>
        <v>1.5</v>
      </c>
      <c r="H32" s="88">
        <f t="shared" si="4"/>
        <v>3</v>
      </c>
    </row>
    <row r="33" spans="1:8" x14ac:dyDescent="0.2">
      <c r="A33" s="26" t="s">
        <v>135</v>
      </c>
      <c r="B33" s="88" t="str">
        <f t="shared" si="4"/>
        <v/>
      </c>
      <c r="C33" s="88" t="str">
        <f t="shared" si="4"/>
        <v/>
      </c>
      <c r="D33" s="88">
        <f t="shared" si="4"/>
        <v>6.4000000000000001E-2</v>
      </c>
      <c r="E33" s="88">
        <f t="shared" si="4"/>
        <v>0.2</v>
      </c>
      <c r="F33" s="88">
        <f t="shared" si="4"/>
        <v>0.28000000000000003</v>
      </c>
      <c r="G33" s="89">
        <f t="shared" si="4"/>
        <v>0.4</v>
      </c>
      <c r="H33" s="88">
        <f t="shared" si="4"/>
        <v>0.8</v>
      </c>
    </row>
    <row r="34" spans="1:8" x14ac:dyDescent="0.2">
      <c r="A34" s="26" t="s">
        <v>136</v>
      </c>
      <c r="B34" s="88">
        <f t="shared" ref="B34:H36" si="5">IF(B14="","",B14)</f>
        <v>0.1</v>
      </c>
      <c r="C34" s="88">
        <f t="shared" si="5"/>
        <v>0.1</v>
      </c>
      <c r="D34" s="88">
        <f t="shared" si="5"/>
        <v>0.5</v>
      </c>
      <c r="E34" s="88">
        <f t="shared" si="5"/>
        <v>1</v>
      </c>
      <c r="F34" s="88">
        <f t="shared" si="5"/>
        <v>1</v>
      </c>
      <c r="G34" s="89">
        <f t="shared" si="5"/>
        <v>1</v>
      </c>
      <c r="H34" s="88">
        <f t="shared" si="5"/>
        <v>1</v>
      </c>
    </row>
    <row r="35" spans="1:8" x14ac:dyDescent="0.2">
      <c r="A35" s="26" t="s">
        <v>261</v>
      </c>
      <c r="B35" s="88" t="str">
        <f t="shared" si="5"/>
        <v/>
      </c>
      <c r="C35" s="88" t="str">
        <f t="shared" si="5"/>
        <v/>
      </c>
      <c r="D35" s="88" t="str">
        <f t="shared" si="5"/>
        <v/>
      </c>
      <c r="E35" s="88" t="str">
        <f t="shared" si="5"/>
        <v/>
      </c>
      <c r="F35" s="88" t="str">
        <f t="shared" si="5"/>
        <v/>
      </c>
      <c r="G35" s="89" t="str">
        <f t="shared" si="5"/>
        <v/>
      </c>
      <c r="H35" s="88">
        <f t="shared" si="5"/>
        <v>1</v>
      </c>
    </row>
    <row r="36" spans="1:8" x14ac:dyDescent="0.2">
      <c r="A36" s="26" t="s">
        <v>138</v>
      </c>
      <c r="B36" s="88" t="str">
        <f t="shared" si="5"/>
        <v/>
      </c>
      <c r="C36" s="88" t="str">
        <f t="shared" si="5"/>
        <v/>
      </c>
      <c r="D36" s="88" t="str">
        <f t="shared" si="5"/>
        <v/>
      </c>
      <c r="E36" s="88">
        <f t="shared" si="5"/>
        <v>1</v>
      </c>
      <c r="F36" s="88">
        <f t="shared" si="5"/>
        <v>1</v>
      </c>
      <c r="G36" s="89">
        <f t="shared" si="5"/>
        <v>1</v>
      </c>
      <c r="H36" s="88">
        <f t="shared" si="5"/>
        <v>1</v>
      </c>
    </row>
    <row r="37" spans="1:8" x14ac:dyDescent="0.2">
      <c r="A37" s="26" t="s">
        <v>128</v>
      </c>
      <c r="B37" s="88">
        <f t="shared" ref="B37:H38" si="6">IFERROR(SUM(B$4/B17),"")</f>
        <v>1</v>
      </c>
      <c r="C37" s="88">
        <f t="shared" si="6"/>
        <v>1</v>
      </c>
      <c r="D37" s="88">
        <f t="shared" si="6"/>
        <v>1</v>
      </c>
      <c r="E37" s="88">
        <f t="shared" si="6"/>
        <v>0.75</v>
      </c>
      <c r="F37" s="88">
        <f t="shared" si="6"/>
        <v>1.05</v>
      </c>
      <c r="G37" s="89">
        <f t="shared" si="6"/>
        <v>1.5</v>
      </c>
      <c r="H37" s="88">
        <f t="shared" si="6"/>
        <v>3</v>
      </c>
    </row>
    <row r="38" spans="1:8" x14ac:dyDescent="0.2">
      <c r="A38" s="26" t="s">
        <v>129</v>
      </c>
      <c r="B38" s="88" t="str">
        <f t="shared" si="6"/>
        <v/>
      </c>
      <c r="C38" s="88" t="str">
        <f t="shared" si="6"/>
        <v/>
      </c>
      <c r="D38" s="88" t="str">
        <f t="shared" si="6"/>
        <v/>
      </c>
      <c r="E38" s="88">
        <f t="shared" si="6"/>
        <v>0.6</v>
      </c>
      <c r="F38" s="88">
        <f t="shared" si="6"/>
        <v>0.84</v>
      </c>
      <c r="G38" s="89">
        <f t="shared" si="6"/>
        <v>1.2</v>
      </c>
      <c r="H38" s="88">
        <f t="shared" si="6"/>
        <v>2.4</v>
      </c>
    </row>
    <row r="40" spans="1:8" ht="12.75" customHeight="1" x14ac:dyDescent="0.2">
      <c r="A40" s="29" t="s">
        <v>262</v>
      </c>
      <c r="B40" s="466" t="s">
        <v>263</v>
      </c>
      <c r="C40" s="467"/>
      <c r="D40" s="467"/>
      <c r="E40" s="467"/>
      <c r="F40" s="467"/>
      <c r="G40" s="467"/>
      <c r="H40" s="468"/>
    </row>
    <row r="41" spans="1:8" x14ac:dyDescent="0.2">
      <c r="A41" s="83" t="s">
        <v>260</v>
      </c>
      <c r="B41" s="84">
        <v>2</v>
      </c>
      <c r="C41" s="85">
        <v>8</v>
      </c>
      <c r="D41" s="85">
        <v>48</v>
      </c>
      <c r="E41" s="85">
        <v>150</v>
      </c>
      <c r="F41" s="86">
        <v>210</v>
      </c>
      <c r="G41" s="87">
        <v>300</v>
      </c>
      <c r="H41" s="86">
        <v>600</v>
      </c>
    </row>
    <row r="42" spans="1:8" x14ac:dyDescent="0.2">
      <c r="A42" s="90" t="s">
        <v>133</v>
      </c>
      <c r="B42" s="17"/>
      <c r="C42" s="17"/>
      <c r="D42" s="17"/>
      <c r="E42" s="17"/>
      <c r="F42" s="6"/>
      <c r="G42" s="71"/>
      <c r="H42" s="6"/>
    </row>
    <row r="43" spans="1:8" x14ac:dyDescent="0.2">
      <c r="A43" s="91" t="s">
        <v>117</v>
      </c>
      <c r="B43" s="33">
        <f t="shared" ref="B43:H55" si="7">IF(B26="","",((B26*$C69)+(B26*$A$93)))</f>
        <v>82790.072000000015</v>
      </c>
      <c r="C43" s="33">
        <f t="shared" si="7"/>
        <v>165580.14400000003</v>
      </c>
      <c r="D43" s="33">
        <f t="shared" si="7"/>
        <v>496740.43200000009</v>
      </c>
      <c r="E43" s="33">
        <f t="shared" si="7"/>
        <v>730500.63529411773</v>
      </c>
      <c r="F43" s="33">
        <f t="shared" si="7"/>
        <v>965884.17333333334</v>
      </c>
      <c r="G43" s="79">
        <f t="shared" si="7"/>
        <v>1379834.5333333337</v>
      </c>
      <c r="H43" s="33">
        <f t="shared" si="7"/>
        <v>2759669.0666666673</v>
      </c>
    </row>
    <row r="44" spans="1:8" x14ac:dyDescent="0.2">
      <c r="A44" s="26" t="s">
        <v>118</v>
      </c>
      <c r="B44" s="33">
        <f t="shared" si="7"/>
        <v>0</v>
      </c>
      <c r="C44" s="33">
        <f t="shared" si="7"/>
        <v>0</v>
      </c>
      <c r="D44" s="33">
        <f t="shared" si="7"/>
        <v>124185.10800000002</v>
      </c>
      <c r="E44" s="33">
        <f t="shared" si="7"/>
        <v>146100.12705882356</v>
      </c>
      <c r="F44" s="33">
        <f t="shared" si="7"/>
        <v>193176.83466666669</v>
      </c>
      <c r="G44" s="79">
        <f t="shared" si="7"/>
        <v>275966.90666666673</v>
      </c>
      <c r="H44" s="33">
        <f t="shared" si="7"/>
        <v>551933.81333333347</v>
      </c>
    </row>
    <row r="45" spans="1:8" x14ac:dyDescent="0.2">
      <c r="A45" s="26" t="s">
        <v>119</v>
      </c>
      <c r="B45" s="33" t="str">
        <f t="shared" si="7"/>
        <v/>
      </c>
      <c r="C45" s="33" t="str">
        <f t="shared" si="7"/>
        <v/>
      </c>
      <c r="D45" s="33">
        <f t="shared" si="7"/>
        <v>24837.0216</v>
      </c>
      <c r="E45" s="33">
        <f t="shared" si="7"/>
        <v>36525.031764705891</v>
      </c>
      <c r="F45" s="33">
        <f t="shared" si="7"/>
        <v>48294.208666666666</v>
      </c>
      <c r="G45" s="79">
        <f t="shared" si="7"/>
        <v>68991.726666666684</v>
      </c>
      <c r="H45" s="33">
        <f t="shared" si="7"/>
        <v>137983.45333333337</v>
      </c>
    </row>
    <row r="46" spans="1:8" x14ac:dyDescent="0.2">
      <c r="A46" s="26" t="s">
        <v>120</v>
      </c>
      <c r="B46" s="33" t="str">
        <f t="shared" si="7"/>
        <v/>
      </c>
      <c r="C46" s="33" t="str">
        <f t="shared" si="7"/>
        <v/>
      </c>
      <c r="D46" s="33" t="str">
        <f t="shared" si="7"/>
        <v/>
      </c>
      <c r="E46" s="33">
        <f t="shared" si="7"/>
        <v>41395.036000000007</v>
      </c>
      <c r="F46" s="33">
        <f t="shared" si="7"/>
        <v>57953.050400000007</v>
      </c>
      <c r="G46" s="79">
        <f t="shared" si="7"/>
        <v>82790.072000000015</v>
      </c>
      <c r="H46" s="33">
        <f t="shared" si="7"/>
        <v>165580.14400000003</v>
      </c>
    </row>
    <row r="47" spans="1:8" x14ac:dyDescent="0.2">
      <c r="A47" s="26" t="s">
        <v>134</v>
      </c>
      <c r="B47" s="33" t="str">
        <f t="shared" si="7"/>
        <v/>
      </c>
      <c r="C47" s="33" t="str">
        <f t="shared" si="7"/>
        <v/>
      </c>
      <c r="D47" s="33">
        <f t="shared" si="7"/>
        <v>11110.968206864896</v>
      </c>
      <c r="E47" s="33">
        <f t="shared" si="7"/>
        <v>34721.775646452792</v>
      </c>
      <c r="F47" s="33">
        <f t="shared" si="7"/>
        <v>48610.485905033915</v>
      </c>
      <c r="G47" s="79">
        <f t="shared" si="7"/>
        <v>69443.551292905584</v>
      </c>
      <c r="H47" s="33">
        <f t="shared" si="7"/>
        <v>69443.551292905584</v>
      </c>
    </row>
    <row r="48" spans="1:8" ht="12.75" customHeight="1" x14ac:dyDescent="0.2">
      <c r="A48" s="26" t="s">
        <v>122</v>
      </c>
      <c r="B48" s="33" t="str">
        <f t="shared" si="7"/>
        <v/>
      </c>
      <c r="C48" s="33" t="str">
        <f t="shared" si="7"/>
        <v/>
      </c>
      <c r="D48" s="33">
        <f t="shared" si="7"/>
        <v>5362.5351515152925</v>
      </c>
      <c r="E48" s="33">
        <f t="shared" si="7"/>
        <v>16757.922348485288</v>
      </c>
      <c r="F48" s="33">
        <f t="shared" si="7"/>
        <v>23461.091287879404</v>
      </c>
      <c r="G48" s="79">
        <f t="shared" si="7"/>
        <v>33515.844696970576</v>
      </c>
      <c r="H48" s="33">
        <f t="shared" si="7"/>
        <v>67031.689393941153</v>
      </c>
    </row>
    <row r="49" spans="1:12" x14ac:dyDescent="0.2">
      <c r="A49" s="26" t="s">
        <v>123</v>
      </c>
      <c r="B49" s="33" t="str">
        <f t="shared" si="7"/>
        <v/>
      </c>
      <c r="C49" s="33" t="str">
        <f t="shared" si="7"/>
        <v/>
      </c>
      <c r="D49" s="33" t="str">
        <f t="shared" si="7"/>
        <v/>
      </c>
      <c r="E49" s="33">
        <f t="shared" si="7"/>
        <v>58550.379000000008</v>
      </c>
      <c r="F49" s="33">
        <f t="shared" si="7"/>
        <v>81970.530600000013</v>
      </c>
      <c r="G49" s="79">
        <f t="shared" si="7"/>
        <v>117100.75800000002</v>
      </c>
      <c r="H49" s="33">
        <f t="shared" si="7"/>
        <v>234201.51600000003</v>
      </c>
    </row>
    <row r="50" spans="1:12" ht="15.75" customHeight="1" x14ac:dyDescent="0.2">
      <c r="A50" s="26" t="s">
        <v>135</v>
      </c>
      <c r="B50" s="33" t="str">
        <f t="shared" si="7"/>
        <v/>
      </c>
      <c r="C50" s="33" t="str">
        <f t="shared" si="7"/>
        <v/>
      </c>
      <c r="D50" s="33">
        <f t="shared" si="7"/>
        <v>4996.299008</v>
      </c>
      <c r="E50" s="33">
        <f t="shared" si="7"/>
        <v>15613.434400000002</v>
      </c>
      <c r="F50" s="33">
        <f t="shared" si="7"/>
        <v>21858.80816</v>
      </c>
      <c r="G50" s="79">
        <f t="shared" si="7"/>
        <v>31226.868800000004</v>
      </c>
      <c r="H50" s="33">
        <f t="shared" si="7"/>
        <v>62453.737600000008</v>
      </c>
    </row>
    <row r="51" spans="1:12" x14ac:dyDescent="0.2">
      <c r="A51" s="26" t="s">
        <v>136</v>
      </c>
      <c r="B51" s="33">
        <f t="shared" si="7"/>
        <v>11736.464484107819</v>
      </c>
      <c r="C51" s="33">
        <f t="shared" si="7"/>
        <v>11736.464484107819</v>
      </c>
      <c r="D51" s="33">
        <f t="shared" si="7"/>
        <v>58682.322420539087</v>
      </c>
      <c r="E51" s="33">
        <f t="shared" si="7"/>
        <v>117364.64484107817</v>
      </c>
      <c r="F51" s="33">
        <f t="shared" si="7"/>
        <v>117364.64484107817</v>
      </c>
      <c r="G51" s="79">
        <f t="shared" si="7"/>
        <v>117364.64484107817</v>
      </c>
      <c r="H51" s="33">
        <f t="shared" si="7"/>
        <v>117364.64484107817</v>
      </c>
    </row>
    <row r="52" spans="1:12" x14ac:dyDescent="0.2">
      <c r="A52" s="26" t="s">
        <v>137</v>
      </c>
      <c r="B52" s="33" t="str">
        <f t="shared" si="7"/>
        <v/>
      </c>
      <c r="C52" s="33" t="str">
        <f t="shared" si="7"/>
        <v/>
      </c>
      <c r="D52" s="33" t="str">
        <f t="shared" si="7"/>
        <v/>
      </c>
      <c r="E52" s="33" t="str">
        <f t="shared" si="7"/>
        <v/>
      </c>
      <c r="F52" s="33" t="str">
        <f t="shared" si="7"/>
        <v/>
      </c>
      <c r="G52" s="79" t="str">
        <f t="shared" si="7"/>
        <v/>
      </c>
      <c r="H52" s="33">
        <f t="shared" si="7"/>
        <v>101173.41429478524</v>
      </c>
    </row>
    <row r="53" spans="1:12" x14ac:dyDescent="0.2">
      <c r="A53" s="26" t="s">
        <v>138</v>
      </c>
      <c r="B53" s="33" t="str">
        <f t="shared" si="7"/>
        <v/>
      </c>
      <c r="C53" s="33" t="str">
        <f t="shared" si="7"/>
        <v/>
      </c>
      <c r="D53" s="33" t="str">
        <f t="shared" si="7"/>
        <v/>
      </c>
      <c r="E53" s="33">
        <f t="shared" si="7"/>
        <v>56012.44</v>
      </c>
      <c r="F53" s="33">
        <f t="shared" si="7"/>
        <v>56012.44</v>
      </c>
      <c r="G53" s="79">
        <f t="shared" si="7"/>
        <v>56012.44</v>
      </c>
      <c r="H53" s="33">
        <f t="shared" si="7"/>
        <v>56012.44</v>
      </c>
    </row>
    <row r="54" spans="1:12" x14ac:dyDescent="0.2">
      <c r="A54" s="26" t="s">
        <v>128</v>
      </c>
      <c r="B54" s="33">
        <f t="shared" si="7"/>
        <v>46954.74917129743</v>
      </c>
      <c r="C54" s="33">
        <f t="shared" si="7"/>
        <v>46954.74917129743</v>
      </c>
      <c r="D54" s="33">
        <f t="shared" si="7"/>
        <v>46954.74917129743</v>
      </c>
      <c r="E54" s="33">
        <f t="shared" si="7"/>
        <v>35216.061878473076</v>
      </c>
      <c r="F54" s="33">
        <f t="shared" si="7"/>
        <v>49302.486629862309</v>
      </c>
      <c r="G54" s="79">
        <f t="shared" si="7"/>
        <v>70432.123756946152</v>
      </c>
      <c r="H54" s="33">
        <f t="shared" si="7"/>
        <v>140864.2475138923</v>
      </c>
    </row>
    <row r="55" spans="1:12" x14ac:dyDescent="0.2">
      <c r="A55" s="26" t="s">
        <v>129</v>
      </c>
      <c r="B55" s="33" t="str">
        <f t="shared" si="7"/>
        <v/>
      </c>
      <c r="C55" s="33" t="str">
        <f t="shared" si="7"/>
        <v/>
      </c>
      <c r="D55" s="33" t="str">
        <f t="shared" si="7"/>
        <v/>
      </c>
      <c r="E55" s="33">
        <f t="shared" si="7"/>
        <v>41666.130775743353</v>
      </c>
      <c r="F55" s="33">
        <f t="shared" si="7"/>
        <v>58332.5830860407</v>
      </c>
      <c r="G55" s="79">
        <f t="shared" si="7"/>
        <v>83332.261551486707</v>
      </c>
      <c r="H55" s="33">
        <f t="shared" si="7"/>
        <v>166664.52310297341</v>
      </c>
    </row>
    <row r="56" spans="1:12" x14ac:dyDescent="0.2">
      <c r="A56" s="27"/>
      <c r="B56" s="37"/>
      <c r="C56" s="37"/>
      <c r="D56" s="28"/>
      <c r="E56" s="37"/>
      <c r="F56" s="37"/>
      <c r="G56" s="37"/>
      <c r="H56" s="28"/>
    </row>
    <row r="57" spans="1:12" ht="12.75" customHeight="1" x14ac:dyDescent="0.2">
      <c r="A57" s="29" t="s">
        <v>264</v>
      </c>
      <c r="B57" s="466" t="s">
        <v>263</v>
      </c>
      <c r="C57" s="467"/>
      <c r="D57" s="467"/>
      <c r="E57" s="467"/>
      <c r="F57" s="467"/>
      <c r="G57" s="467"/>
      <c r="H57" s="468"/>
    </row>
    <row r="58" spans="1:12" ht="12.75" customHeight="1" x14ac:dyDescent="0.2">
      <c r="A58" s="83" t="s">
        <v>260</v>
      </c>
      <c r="B58" s="84">
        <v>2</v>
      </c>
      <c r="C58" s="85">
        <v>8</v>
      </c>
      <c r="D58" s="85">
        <v>48</v>
      </c>
      <c r="E58" s="85">
        <v>150</v>
      </c>
      <c r="F58" s="86">
        <v>210</v>
      </c>
      <c r="G58" s="87">
        <v>300</v>
      </c>
      <c r="H58" s="86">
        <v>600</v>
      </c>
    </row>
    <row r="59" spans="1:12" x14ac:dyDescent="0.2">
      <c r="A59" s="91" t="s">
        <v>265</v>
      </c>
      <c r="B59" s="92">
        <f t="shared" ref="B59:F59" si="8">(SUM(B43:B55)/B58)+B$20</f>
        <v>71541.942827702631</v>
      </c>
      <c r="C59" s="92">
        <f t="shared" si="8"/>
        <v>28434.569706925664</v>
      </c>
      <c r="D59" s="92">
        <f t="shared" si="8"/>
        <v>16351.852824129515</v>
      </c>
      <c r="E59" s="92">
        <f t="shared" si="8"/>
        <v>8982.6154992682186</v>
      </c>
      <c r="F59" s="92">
        <f t="shared" si="8"/>
        <v>8307.8939884598167</v>
      </c>
      <c r="G59" s="93">
        <f>(SUM(G43:G55)/G58)+G$20</f>
        <v>8060.2124386868472</v>
      </c>
      <c r="H59" s="92">
        <f t="shared" ref="H59" si="9">(SUM(H43:H55)/H58)+H$20</f>
        <v>7824.1337356215172</v>
      </c>
    </row>
    <row r="60" spans="1:12" x14ac:dyDescent="0.2">
      <c r="A60" s="19" t="s">
        <v>266</v>
      </c>
      <c r="B60" s="33">
        <f>B58*B59</f>
        <v>143083.88565540526</v>
      </c>
      <c r="C60" s="33">
        <f t="shared" ref="C60:H60" si="10">C58*C59</f>
        <v>227476.55765540531</v>
      </c>
      <c r="D60" s="33">
        <f t="shared" si="10"/>
        <v>784888.93555821676</v>
      </c>
      <c r="E60" s="33">
        <f t="shared" si="10"/>
        <v>1347392.3248902329</v>
      </c>
      <c r="F60" s="33">
        <f t="shared" si="10"/>
        <v>1744657.7375765615</v>
      </c>
      <c r="G60" s="79">
        <f t="shared" si="10"/>
        <v>2418063.7316060541</v>
      </c>
      <c r="H60" s="33">
        <f t="shared" si="10"/>
        <v>4694480.2413729103</v>
      </c>
    </row>
    <row r="61" spans="1:12" x14ac:dyDescent="0.2">
      <c r="B61" s="7"/>
      <c r="C61" s="36"/>
      <c r="D61" s="36"/>
      <c r="E61" s="36"/>
      <c r="F61" s="36"/>
      <c r="G61" s="36"/>
      <c r="H61" s="94">
        <f>H59/G59</f>
        <v>0.97071061031441108</v>
      </c>
      <c r="I61" s="94"/>
      <c r="J61" s="95"/>
      <c r="K61" s="95"/>
      <c r="L61" s="95"/>
    </row>
    <row r="62" spans="1:12" ht="12.75" customHeight="1" x14ac:dyDescent="0.2">
      <c r="A62" s="29" t="s">
        <v>167</v>
      </c>
      <c r="B62" s="96"/>
      <c r="C62" s="7"/>
      <c r="D62" s="7"/>
    </row>
    <row r="63" spans="1:12" x14ac:dyDescent="0.2">
      <c r="A63" s="6" t="s">
        <v>113</v>
      </c>
      <c r="B63" s="93">
        <f>'Model Data Inputs'!B87</f>
        <v>8060.2124386868481</v>
      </c>
      <c r="C63" s="7"/>
      <c r="D63" s="7"/>
      <c r="G63" s="469" t="s">
        <v>267</v>
      </c>
      <c r="H63" s="469"/>
      <c r="I63" s="469"/>
      <c r="J63" s="469"/>
    </row>
    <row r="64" spans="1:12" x14ac:dyDescent="0.2">
      <c r="A64" s="28"/>
      <c r="B64" s="97"/>
      <c r="C64" s="7"/>
      <c r="D64" s="7"/>
      <c r="G64" s="469"/>
      <c r="H64" s="469"/>
      <c r="I64" s="469"/>
      <c r="J64" s="469"/>
    </row>
    <row r="65" spans="1:10" x14ac:dyDescent="0.2">
      <c r="A65" s="15" t="s">
        <v>268</v>
      </c>
      <c r="B65" s="98"/>
      <c r="C65" s="7"/>
      <c r="D65" s="7"/>
      <c r="G65" s="469"/>
      <c r="H65" s="469"/>
      <c r="I65" s="469"/>
      <c r="J65" s="469"/>
    </row>
    <row r="66" spans="1:10" x14ac:dyDescent="0.2">
      <c r="A66" s="20" t="s">
        <v>269</v>
      </c>
      <c r="B66" s="92">
        <f>B60</f>
        <v>143083.88565540526</v>
      </c>
      <c r="C66" s="7"/>
      <c r="D66" s="7"/>
      <c r="H66" s="7"/>
    </row>
    <row r="67" spans="1:10" x14ac:dyDescent="0.2">
      <c r="B67" s="7"/>
      <c r="C67" s="7"/>
      <c r="D67" s="7"/>
      <c r="H67" s="7"/>
    </row>
    <row r="68" spans="1:10" ht="25.5" x14ac:dyDescent="0.2">
      <c r="A68" s="29" t="s">
        <v>182</v>
      </c>
      <c r="B68" s="15" t="s">
        <v>183</v>
      </c>
      <c r="C68" s="29" t="s">
        <v>270</v>
      </c>
      <c r="D68" s="99"/>
      <c r="H68" s="7"/>
    </row>
    <row r="69" spans="1:10" x14ac:dyDescent="0.2">
      <c r="A69" s="26" t="str">
        <f>'Model Data Inputs'!A103</f>
        <v>Core Teachers</v>
      </c>
      <c r="B69" s="100">
        <f>'Model Data Inputs'!B103</f>
        <v>54522</v>
      </c>
      <c r="C69" s="100">
        <f>'Model Data Inputs'!C103</f>
        <v>66026.142000000007</v>
      </c>
      <c r="D69" s="101"/>
      <c r="H69" s="7"/>
    </row>
    <row r="70" spans="1:10" x14ac:dyDescent="0.2">
      <c r="A70" s="26" t="str">
        <f>'Model Data Inputs'!A104</f>
        <v>Elective Teachers</v>
      </c>
      <c r="B70" s="100">
        <f>'Model Data Inputs'!B104</f>
        <v>54522</v>
      </c>
      <c r="C70" s="100">
        <f>'Model Data Inputs'!C104</f>
        <v>66026.142000000007</v>
      </c>
      <c r="D70" s="101"/>
      <c r="H70" s="7"/>
    </row>
    <row r="71" spans="1:10" x14ac:dyDescent="0.2">
      <c r="A71" s="26" t="str">
        <f>'Model Data Inputs'!A105</f>
        <v>Instructional Facilitators</v>
      </c>
      <c r="B71" s="100">
        <f>'Model Data Inputs'!B105</f>
        <v>54522</v>
      </c>
      <c r="C71" s="100">
        <f>'Model Data Inputs'!C105</f>
        <v>66026.142000000007</v>
      </c>
      <c r="D71" s="101"/>
      <c r="H71" s="7"/>
    </row>
    <row r="72" spans="1:10" x14ac:dyDescent="0.2">
      <c r="A72" s="26" t="str">
        <f>'Model Data Inputs'!A106</f>
        <v>Tutors/Interventionists</v>
      </c>
      <c r="B72" s="100">
        <f>'Model Data Inputs'!B106</f>
        <v>54522</v>
      </c>
      <c r="C72" s="100">
        <f>'Model Data Inputs'!C106</f>
        <v>66026.142000000007</v>
      </c>
      <c r="D72" s="101"/>
      <c r="H72" s="7"/>
    </row>
    <row r="73" spans="1:10" x14ac:dyDescent="0.2">
      <c r="A73" s="26" t="str">
        <f>'Model Data Inputs'!A107</f>
        <v>Librarian/ Media Specialists</v>
      </c>
      <c r="B73" s="100">
        <f>'Model Data Inputs'!B107</f>
        <v>43500.925923126</v>
      </c>
      <c r="C73" s="100">
        <f>'Model Data Inputs'!C107</f>
        <v>52679.621292905591</v>
      </c>
      <c r="D73" s="101"/>
      <c r="H73" s="7"/>
    </row>
    <row r="74" spans="1:10" x14ac:dyDescent="0.2">
      <c r="A74" s="26" t="str">
        <f>'Model Data Inputs'!A108</f>
        <v>Instructional Aides</v>
      </c>
      <c r="B74" s="100">
        <f>'Model Data Inputs'!B108</f>
        <v>18445.820654939998</v>
      </c>
      <c r="C74" s="100">
        <f>'Model Data Inputs'!C108</f>
        <v>22337.88881313234</v>
      </c>
      <c r="D74" s="101"/>
    </row>
    <row r="75" spans="1:10" x14ac:dyDescent="0.2">
      <c r="A75" s="26" t="str">
        <f>'Model Data Inputs'!A109</f>
        <v>Certified Student Support Staff</v>
      </c>
      <c r="B75" s="100">
        <f>'Model Data Inputs'!B109</f>
        <v>50622</v>
      </c>
      <c r="C75" s="100">
        <f>'Model Data Inputs'!C109</f>
        <v>61303.242000000006</v>
      </c>
      <c r="D75" s="101"/>
    </row>
    <row r="76" spans="1:10" x14ac:dyDescent="0.2">
      <c r="A76" s="26" t="str">
        <f>'Model Data Inputs'!A110</f>
        <v>Nurses</v>
      </c>
      <c r="B76" s="100">
        <f>'Model Data Inputs'!B110</f>
        <v>50622</v>
      </c>
      <c r="C76" s="100">
        <f>'Model Data Inputs'!C110</f>
        <v>61303.242000000006</v>
      </c>
      <c r="D76" s="101"/>
    </row>
    <row r="77" spans="1:10" x14ac:dyDescent="0.2">
      <c r="A77" s="26" t="str">
        <f>'Model Data Inputs'!A111</f>
        <v>Principals</v>
      </c>
      <c r="B77" s="100">
        <f>'Model Data Inputs'!B111</f>
        <v>83072.431743252004</v>
      </c>
      <c r="C77" s="100">
        <f>'Model Data Inputs'!C111</f>
        <v>100600.71484107818</v>
      </c>
      <c r="D77" s="101"/>
    </row>
    <row r="78" spans="1:10" x14ac:dyDescent="0.2">
      <c r="A78" s="26" t="str">
        <f>'Model Data Inputs'!A112</f>
        <v>Assistant Principals</v>
      </c>
      <c r="B78" s="100">
        <f>'Model Data Inputs'!B112</f>
        <v>69702.299169930004</v>
      </c>
      <c r="C78" s="100">
        <f>'Model Data Inputs'!C112</f>
        <v>84409.484294785245</v>
      </c>
      <c r="D78" s="101"/>
    </row>
    <row r="79" spans="1:10" x14ac:dyDescent="0.2">
      <c r="A79" s="26" t="str">
        <f>'Model Data Inputs'!A113</f>
        <v>Secretarial</v>
      </c>
      <c r="B79" s="100">
        <f>'Model Data Inputs'!B113</f>
        <v>32410</v>
      </c>
      <c r="C79" s="100">
        <f>'Model Data Inputs'!C113</f>
        <v>39248.51</v>
      </c>
      <c r="D79" s="101"/>
      <c r="I79" s="51"/>
    </row>
    <row r="80" spans="1:10" x14ac:dyDescent="0.2">
      <c r="A80" s="26" t="str">
        <f>'Model Data Inputs'!A114</f>
        <v>Clerical</v>
      </c>
      <c r="B80" s="100">
        <f>'Model Data Inputs'!B114</f>
        <v>24930.486516347999</v>
      </c>
      <c r="C80" s="100">
        <f>'Model Data Inputs'!C114</f>
        <v>30190.819171297429</v>
      </c>
      <c r="D80" s="101"/>
      <c r="I80" s="51"/>
    </row>
    <row r="81" spans="1:9" x14ac:dyDescent="0.2">
      <c r="A81" s="26" t="str">
        <f>'Model Data Inputs'!A115</f>
        <v>IT Technicians</v>
      </c>
      <c r="B81" s="100">
        <f>'Model Data Inputs'!B115</f>
        <v>43500.925923126</v>
      </c>
      <c r="C81" s="100">
        <f>'Model Data Inputs'!C115</f>
        <v>52679.621292905591</v>
      </c>
      <c r="D81" s="101"/>
      <c r="I81" s="51"/>
    </row>
    <row r="82" spans="1:9" x14ac:dyDescent="0.2">
      <c r="D82" s="101"/>
      <c r="E82" s="7"/>
      <c r="F82" s="7"/>
      <c r="G82" s="7"/>
      <c r="I82" s="51"/>
    </row>
    <row r="83" spans="1:9" ht="15" x14ac:dyDescent="0.25">
      <c r="A83" s="470" t="s">
        <v>192</v>
      </c>
      <c r="B83" s="470"/>
      <c r="D83" s="101"/>
      <c r="I83" s="51"/>
    </row>
    <row r="84" spans="1:9" x14ac:dyDescent="0.2">
      <c r="A84" s="54" t="s">
        <v>193</v>
      </c>
      <c r="B84" s="54" t="s">
        <v>194</v>
      </c>
      <c r="D84" s="101"/>
      <c r="I84" s="51"/>
    </row>
    <row r="85" spans="1:9" x14ac:dyDescent="0.2">
      <c r="A85" s="6" t="s">
        <v>195</v>
      </c>
      <c r="B85" s="55">
        <v>6.2E-2</v>
      </c>
      <c r="D85" s="101"/>
      <c r="I85" s="51"/>
    </row>
    <row r="86" spans="1:9" x14ac:dyDescent="0.2">
      <c r="A86" s="6" t="s">
        <v>196</v>
      </c>
      <c r="B86" s="55">
        <v>1.4500000000000001E-2</v>
      </c>
      <c r="D86" s="101"/>
      <c r="I86" s="51"/>
    </row>
    <row r="87" spans="1:9" x14ac:dyDescent="0.2">
      <c r="A87" s="6" t="s">
        <v>197</v>
      </c>
      <c r="B87" s="55">
        <v>7.0000000000000001E-3</v>
      </c>
      <c r="D87" s="101"/>
      <c r="I87" s="51"/>
    </row>
    <row r="88" spans="1:9" x14ac:dyDescent="0.2">
      <c r="A88" s="6" t="s">
        <v>198</v>
      </c>
      <c r="B88" s="55">
        <v>5.9999999999999995E-4</v>
      </c>
      <c r="D88" s="101"/>
      <c r="I88" s="51"/>
    </row>
    <row r="89" spans="1:9" ht="25.5" x14ac:dyDescent="0.2">
      <c r="A89" s="6" t="s">
        <v>199</v>
      </c>
      <c r="B89" s="55">
        <v>5.57E-2</v>
      </c>
      <c r="F89" s="46" t="s">
        <v>260</v>
      </c>
      <c r="G89" s="46" t="s">
        <v>271</v>
      </c>
      <c r="H89" s="46" t="s">
        <v>272</v>
      </c>
      <c r="I89" s="46" t="s">
        <v>170</v>
      </c>
    </row>
    <row r="90" spans="1:9" x14ac:dyDescent="0.2">
      <c r="A90" s="6" t="s">
        <v>200</v>
      </c>
      <c r="B90" s="55">
        <v>7.1199999999999999E-2</v>
      </c>
      <c r="F90" s="20">
        <v>2</v>
      </c>
      <c r="G90" s="102">
        <f>IF(SUM(77441*(F90^-0.398))/$B$63&lt;0.97,0.97,(77441*(F90^-0.398))/$B$63)</f>
        <v>7.2914604710290565</v>
      </c>
      <c r="H90" s="92">
        <f>G90*$B$63</f>
        <v>58770.720384781867</v>
      </c>
      <c r="I90" s="92">
        <f>IF(SUM(F90*H90)&lt;$B$66,$B$66,(F90*H90))</f>
        <v>143083.88565540526</v>
      </c>
    </row>
    <row r="91" spans="1:9" x14ac:dyDescent="0.2">
      <c r="F91" s="20">
        <v>5</v>
      </c>
      <c r="G91" s="102">
        <f t="shared" ref="G91:G100" si="11">IF(SUM(77441*(F91^-0.398))/$B$63&lt;0.97,0.97,(77441*(F91^-0.398))/$B$63)</f>
        <v>5.0633086531441345</v>
      </c>
      <c r="H91" s="92">
        <f t="shared" ref="H91:H96" si="12">G91*$B$63</f>
        <v>40811.343386983106</v>
      </c>
      <c r="I91" s="92">
        <f t="shared" ref="I91:I96" si="13">IF(SUM(F91*H91)&lt;$B$66,$B$66,(F91*H91))</f>
        <v>204056.71693491552</v>
      </c>
    </row>
    <row r="92" spans="1:9" ht="15" x14ac:dyDescent="0.25">
      <c r="A92" s="103" t="s">
        <v>273</v>
      </c>
      <c r="F92" s="20">
        <v>10</v>
      </c>
      <c r="G92" s="102">
        <f t="shared" si="11"/>
        <v>3.8425936787461463</v>
      </c>
      <c r="H92" s="92">
        <f t="shared" si="12"/>
        <v>30972.121366249143</v>
      </c>
      <c r="I92" s="92">
        <f t="shared" si="13"/>
        <v>309721.21366249141</v>
      </c>
    </row>
    <row r="93" spans="1:9" x14ac:dyDescent="0.2">
      <c r="A93" s="57">
        <f>'Health Insurance Composite'!$X$8</f>
        <v>16763.93</v>
      </c>
      <c r="F93" s="20">
        <v>25</v>
      </c>
      <c r="G93" s="102">
        <f t="shared" si="11"/>
        <v>2.668359501010424</v>
      </c>
      <c r="H93" s="92">
        <f t="shared" si="12"/>
        <v>21507.544440932452</v>
      </c>
      <c r="I93" s="92">
        <f t="shared" si="13"/>
        <v>537688.61102331127</v>
      </c>
    </row>
    <row r="94" spans="1:9" x14ac:dyDescent="0.2">
      <c r="F94" s="20">
        <v>50</v>
      </c>
      <c r="G94" s="102">
        <f t="shared" si="11"/>
        <v>2.0250437122449303</v>
      </c>
      <c r="H94" s="92">
        <f t="shared" si="12"/>
        <v>16322.282518321177</v>
      </c>
      <c r="I94" s="92">
        <f t="shared" si="13"/>
        <v>816114.1259160589</v>
      </c>
    </row>
    <row r="95" spans="1:9" x14ac:dyDescent="0.2">
      <c r="F95" s="20">
        <v>100</v>
      </c>
      <c r="G95" s="102">
        <f t="shared" si="11"/>
        <v>1.5368251672797026</v>
      </c>
      <c r="H95" s="92">
        <f t="shared" si="12"/>
        <v>12387.137329394855</v>
      </c>
      <c r="I95" s="92">
        <f t="shared" si="13"/>
        <v>1238713.7329394855</v>
      </c>
    </row>
    <row r="96" spans="1:9" x14ac:dyDescent="0.2">
      <c r="F96" s="20">
        <v>200</v>
      </c>
      <c r="G96" s="102">
        <f t="shared" si="11"/>
        <v>1.1663114136761019</v>
      </c>
      <c r="H96" s="92">
        <f t="shared" si="12"/>
        <v>9400.7177638945595</v>
      </c>
      <c r="I96" s="92">
        <f t="shared" si="13"/>
        <v>1880143.552778912</v>
      </c>
    </row>
    <row r="97" spans="6:9" x14ac:dyDescent="0.2">
      <c r="F97" s="20">
        <v>300</v>
      </c>
      <c r="G97" s="102">
        <f t="shared" si="11"/>
        <v>0.99249928965543921</v>
      </c>
      <c r="H97" s="92">
        <f>G97*$B$63</f>
        <v>7999.7551198686324</v>
      </c>
      <c r="I97" s="38">
        <f>IF(SUM(F97*H97)&lt;$B$66,$B$66,(F97*H97))</f>
        <v>2399926.5359605895</v>
      </c>
    </row>
    <row r="98" spans="6:9" x14ac:dyDescent="0.2">
      <c r="F98" s="20">
        <v>400</v>
      </c>
      <c r="G98" s="102">
        <f t="shared" si="11"/>
        <v>0.97</v>
      </c>
      <c r="H98" s="92">
        <f>G98*$B$63</f>
        <v>7818.4060655262429</v>
      </c>
      <c r="I98" s="92">
        <f>IF(SUM(F98*H98)&lt;$B$66,$B$66,(F98*H98))</f>
        <v>3127362.426210497</v>
      </c>
    </row>
    <row r="99" spans="6:9" x14ac:dyDescent="0.2">
      <c r="F99" s="20">
        <v>500</v>
      </c>
      <c r="G99" s="102">
        <f t="shared" si="11"/>
        <v>0.97</v>
      </c>
      <c r="H99" s="92">
        <f>G99*$B$63</f>
        <v>7818.4060655262429</v>
      </c>
      <c r="I99" s="92">
        <f>IF(SUM(F99*H99)&lt;$B$66,$B$66,(F99*H99))</f>
        <v>3909203.0327631216</v>
      </c>
    </row>
    <row r="100" spans="6:9" x14ac:dyDescent="0.2">
      <c r="F100" s="20">
        <v>600</v>
      </c>
      <c r="G100" s="102">
        <f t="shared" si="11"/>
        <v>0.97</v>
      </c>
      <c r="H100" s="92">
        <f>G100*$B$63</f>
        <v>7818.4060655262429</v>
      </c>
      <c r="I100" s="92">
        <f>IF(SUM(F100*H100)&lt;$B$66,$B$66,(F100*H100))</f>
        <v>4691043.6393157458</v>
      </c>
    </row>
    <row r="102" spans="6:9" x14ac:dyDescent="0.2">
      <c r="F102" t="s">
        <v>274</v>
      </c>
    </row>
  </sheetData>
  <sheetProtection algorithmName="SHA-512" hashValue="v1I2/bzJC003Oxmnd3aJQ1X0HuLrI0PAxHgOh1ZlrarJKPalSzr8y5G1BubK9WIi6Rji39XZDFlaxPEiNQOZ5Q==" saltValue="0zTcY9TdnEnpHwhBq36cIQ==" spinCount="100000" sheet="1" objects="1" scenarios="1"/>
  <mergeCells count="5">
    <mergeCell ref="A1:E1"/>
    <mergeCell ref="B40:H40"/>
    <mergeCell ref="B57:H57"/>
    <mergeCell ref="G63:J65"/>
    <mergeCell ref="A83:B83"/>
  </mergeCells>
  <printOptions headings="1"/>
  <pageMargins left="0.5" right="0.5" top="0.5" bottom="0.5" header="0.25" footer="0.25"/>
  <pageSetup scale="45" fitToHeight="2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W107"/>
  <sheetViews>
    <sheetView showGridLines="0" workbookViewId="0">
      <pane ySplit="2" topLeftCell="A36" activePane="bottomLeft" state="frozen"/>
      <selection sqref="A1:M1"/>
      <selection pane="bottomLeft" activeCell="L59" sqref="L59"/>
    </sheetView>
  </sheetViews>
  <sheetFormatPr defaultColWidth="8.85546875" defaultRowHeight="12.75" x14ac:dyDescent="0.2"/>
  <cols>
    <col min="1" max="1" width="49.7109375" customWidth="1"/>
    <col min="2" max="2" width="18.140625" customWidth="1"/>
    <col min="3" max="4" width="16.7109375" customWidth="1"/>
    <col min="5" max="6" width="15.28515625" customWidth="1"/>
    <col min="7" max="8" width="16.28515625" customWidth="1"/>
    <col min="9" max="13" width="14.7109375" customWidth="1"/>
    <col min="14" max="21" width="14.85546875" customWidth="1"/>
    <col min="22" max="22" width="13.140625" customWidth="1"/>
    <col min="23" max="23" width="14.42578125" customWidth="1"/>
  </cols>
  <sheetData>
    <row r="1" spans="1:14" ht="15.75" x14ac:dyDescent="0.25">
      <c r="A1" s="448" t="s">
        <v>275</v>
      </c>
      <c r="B1" s="448"/>
      <c r="C1" s="448"/>
      <c r="D1" s="448"/>
      <c r="E1" s="448"/>
      <c r="F1" s="448"/>
      <c r="G1" s="448"/>
      <c r="H1" s="104"/>
      <c r="L1" s="61"/>
      <c r="M1" s="62"/>
    </row>
    <row r="3" spans="1:14" ht="15" x14ac:dyDescent="0.25">
      <c r="A3" s="63" t="s">
        <v>276</v>
      </c>
      <c r="B3" s="64"/>
      <c r="C3" s="64"/>
      <c r="D3" s="64"/>
      <c r="E3" s="64"/>
      <c r="F3" s="64"/>
      <c r="G3" s="64"/>
      <c r="H3" s="64"/>
      <c r="I3" s="65"/>
      <c r="J3" s="65"/>
      <c r="K3" s="65"/>
      <c r="L3" s="66"/>
    </row>
    <row r="4" spans="1:14" x14ac:dyDescent="0.2">
      <c r="A4" s="67" t="s">
        <v>115</v>
      </c>
      <c r="B4" s="68">
        <v>2</v>
      </c>
      <c r="C4" s="68">
        <v>8</v>
      </c>
      <c r="D4" s="68">
        <v>24</v>
      </c>
      <c r="E4" s="68">
        <v>32</v>
      </c>
      <c r="F4" s="68">
        <v>150</v>
      </c>
      <c r="G4" s="68">
        <v>200</v>
      </c>
      <c r="H4" s="105">
        <v>300</v>
      </c>
      <c r="I4" s="69">
        <v>400</v>
      </c>
      <c r="J4" s="69">
        <v>525</v>
      </c>
      <c r="K4" s="70">
        <v>1000</v>
      </c>
      <c r="L4" s="69">
        <v>1800</v>
      </c>
    </row>
    <row r="5" spans="1:14" x14ac:dyDescent="0.2">
      <c r="A5" s="18" t="s">
        <v>116</v>
      </c>
      <c r="B5" s="6"/>
      <c r="C5" s="6"/>
      <c r="D5" s="6"/>
      <c r="E5" s="6"/>
      <c r="F5" s="6"/>
      <c r="G5" s="6"/>
      <c r="H5" s="6"/>
      <c r="I5" s="6"/>
      <c r="J5" s="6"/>
      <c r="K5" s="106"/>
      <c r="L5" s="6"/>
    </row>
    <row r="6" spans="1:14" x14ac:dyDescent="0.2">
      <c r="A6" s="26" t="s">
        <v>117</v>
      </c>
      <c r="B6" s="6">
        <v>2</v>
      </c>
      <c r="C6" s="6">
        <v>4</v>
      </c>
      <c r="D6" s="6">
        <v>8</v>
      </c>
      <c r="E6" s="6">
        <v>8</v>
      </c>
      <c r="F6" s="6">
        <v>21</v>
      </c>
      <c r="G6" s="6">
        <v>22</v>
      </c>
      <c r="H6" s="6">
        <v>23</v>
      </c>
      <c r="I6" s="6">
        <v>23</v>
      </c>
      <c r="J6" s="6">
        <v>23</v>
      </c>
      <c r="K6" s="107">
        <v>23</v>
      </c>
      <c r="L6" s="6">
        <v>23</v>
      </c>
      <c r="M6" s="72"/>
      <c r="N6" s="28"/>
    </row>
    <row r="7" spans="1:14" x14ac:dyDescent="0.2">
      <c r="A7" s="26" t="s">
        <v>118</v>
      </c>
      <c r="B7" s="21"/>
      <c r="C7" s="21"/>
      <c r="D7" s="74">
        <v>0.4</v>
      </c>
      <c r="E7" s="74">
        <v>0.4</v>
      </c>
      <c r="F7" s="21">
        <v>0.33300000000000002</v>
      </c>
      <c r="G7" s="21">
        <v>0.33300000000000002</v>
      </c>
      <c r="H7" s="21">
        <v>0.33300000000000002</v>
      </c>
      <c r="I7" s="21">
        <v>0.33300000000000002</v>
      </c>
      <c r="J7" s="21">
        <v>0.33300000000000002</v>
      </c>
      <c r="K7" s="108">
        <v>0.33300000000000002</v>
      </c>
      <c r="L7" s="21">
        <v>0.33300000000000002</v>
      </c>
    </row>
    <row r="8" spans="1:14" x14ac:dyDescent="0.2">
      <c r="A8" s="19" t="s">
        <v>258</v>
      </c>
      <c r="B8" s="22"/>
      <c r="C8" s="22"/>
      <c r="D8" s="22"/>
      <c r="E8" s="22"/>
      <c r="F8" s="22">
        <v>20</v>
      </c>
      <c r="G8" s="22">
        <v>20</v>
      </c>
      <c r="H8" s="22">
        <v>20</v>
      </c>
      <c r="I8" s="22">
        <v>20</v>
      </c>
      <c r="J8" s="22">
        <v>20</v>
      </c>
      <c r="K8" s="71">
        <v>20</v>
      </c>
      <c r="L8" s="22">
        <v>20</v>
      </c>
    </row>
    <row r="9" spans="1:14" x14ac:dyDescent="0.2">
      <c r="A9" s="26" t="s">
        <v>120</v>
      </c>
      <c r="B9" s="6"/>
      <c r="C9" s="6"/>
      <c r="D9" s="6"/>
      <c r="E9" s="6"/>
      <c r="F9" s="6">
        <v>400</v>
      </c>
      <c r="G9" s="6">
        <v>400</v>
      </c>
      <c r="H9" s="6">
        <v>400</v>
      </c>
      <c r="I9" s="6">
        <v>400</v>
      </c>
      <c r="J9" s="6">
        <v>400</v>
      </c>
      <c r="K9" s="71">
        <v>400</v>
      </c>
      <c r="L9" s="6">
        <v>400</v>
      </c>
    </row>
    <row r="10" spans="1:14" x14ac:dyDescent="0.2">
      <c r="A10" s="26" t="s">
        <v>121</v>
      </c>
      <c r="B10" s="24"/>
      <c r="C10" s="24"/>
      <c r="D10" s="24"/>
      <c r="E10" s="24"/>
      <c r="F10" s="24">
        <v>300</v>
      </c>
      <c r="G10" s="24">
        <v>300</v>
      </c>
      <c r="H10" s="24">
        <v>300</v>
      </c>
      <c r="I10" s="24">
        <v>300</v>
      </c>
      <c r="J10" s="24">
        <v>300</v>
      </c>
      <c r="K10" s="77">
        <v>300</v>
      </c>
      <c r="L10" s="24">
        <v>300</v>
      </c>
    </row>
    <row r="11" spans="1:14" x14ac:dyDescent="0.2">
      <c r="A11" s="26" t="s">
        <v>122</v>
      </c>
      <c r="B11" s="6"/>
      <c r="C11" s="6"/>
      <c r="D11" s="6"/>
      <c r="E11" s="6">
        <v>350</v>
      </c>
      <c r="F11" s="6">
        <v>350</v>
      </c>
      <c r="G11" s="6">
        <v>350</v>
      </c>
      <c r="H11" s="6">
        <v>350</v>
      </c>
      <c r="I11" s="6">
        <v>350</v>
      </c>
      <c r="J11" s="6">
        <v>350</v>
      </c>
      <c r="K11" s="71">
        <v>350</v>
      </c>
      <c r="L11" s="6">
        <v>350</v>
      </c>
    </row>
    <row r="12" spans="1:14" x14ac:dyDescent="0.2">
      <c r="A12" s="26" t="s">
        <v>123</v>
      </c>
      <c r="B12" s="6">
        <v>200</v>
      </c>
      <c r="C12" s="6">
        <v>200</v>
      </c>
      <c r="D12" s="6">
        <v>200</v>
      </c>
      <c r="E12" s="6">
        <v>200</v>
      </c>
      <c r="F12" s="6">
        <v>200</v>
      </c>
      <c r="G12" s="6">
        <v>200</v>
      </c>
      <c r="H12" s="6">
        <v>200</v>
      </c>
      <c r="I12" s="6">
        <v>200</v>
      </c>
      <c r="J12" s="6">
        <v>200</v>
      </c>
      <c r="K12" s="71">
        <v>200</v>
      </c>
      <c r="L12" s="6">
        <v>200</v>
      </c>
    </row>
    <row r="13" spans="1:14" x14ac:dyDescent="0.2">
      <c r="A13" s="26" t="s">
        <v>124</v>
      </c>
      <c r="B13" s="6"/>
      <c r="C13" s="6"/>
      <c r="D13" s="6">
        <v>750</v>
      </c>
      <c r="E13" s="6">
        <v>750</v>
      </c>
      <c r="F13" s="6">
        <v>750</v>
      </c>
      <c r="G13" s="6">
        <v>750</v>
      </c>
      <c r="H13" s="6">
        <v>750</v>
      </c>
      <c r="I13" s="6">
        <v>750</v>
      </c>
      <c r="J13" s="6">
        <v>750</v>
      </c>
      <c r="K13" s="71">
        <v>750</v>
      </c>
      <c r="L13" s="6">
        <v>750</v>
      </c>
    </row>
    <row r="14" spans="1:14" x14ac:dyDescent="0.2">
      <c r="A14" s="26" t="s">
        <v>125</v>
      </c>
      <c r="B14" s="25">
        <v>0.1</v>
      </c>
      <c r="C14" s="25">
        <v>0.1</v>
      </c>
      <c r="D14" s="25">
        <v>0.2</v>
      </c>
      <c r="E14" s="25">
        <v>0.3</v>
      </c>
      <c r="F14" s="25">
        <v>1</v>
      </c>
      <c r="G14" s="25">
        <v>1</v>
      </c>
      <c r="H14" s="25">
        <v>1</v>
      </c>
      <c r="I14" s="25">
        <v>1</v>
      </c>
      <c r="J14" s="25">
        <v>1</v>
      </c>
      <c r="K14" s="78">
        <v>1</v>
      </c>
      <c r="L14" s="25">
        <v>1</v>
      </c>
    </row>
    <row r="15" spans="1:14" x14ac:dyDescent="0.2">
      <c r="A15" s="26" t="s">
        <v>126</v>
      </c>
      <c r="B15" s="6"/>
      <c r="C15" s="6"/>
      <c r="D15" s="6"/>
      <c r="E15" s="6"/>
      <c r="F15" s="6"/>
      <c r="G15" s="6"/>
      <c r="H15" s="6"/>
      <c r="I15" s="6"/>
      <c r="J15" s="25">
        <v>1</v>
      </c>
      <c r="K15" s="78">
        <v>2</v>
      </c>
      <c r="L15" s="25">
        <v>3</v>
      </c>
    </row>
    <row r="16" spans="1:14" x14ac:dyDescent="0.2">
      <c r="A16" s="26" t="s">
        <v>127</v>
      </c>
      <c r="B16" s="25"/>
      <c r="C16" s="25"/>
      <c r="D16" s="25"/>
      <c r="E16" s="25"/>
      <c r="F16" s="25">
        <v>1</v>
      </c>
      <c r="G16" s="25">
        <v>1</v>
      </c>
      <c r="H16" s="25">
        <v>1</v>
      </c>
      <c r="I16" s="25">
        <v>1</v>
      </c>
      <c r="J16" s="25">
        <v>1</v>
      </c>
      <c r="K16" s="78">
        <v>1</v>
      </c>
      <c r="L16" s="25">
        <v>1</v>
      </c>
    </row>
    <row r="17" spans="1:12" x14ac:dyDescent="0.2">
      <c r="A17" s="26" t="s">
        <v>128</v>
      </c>
      <c r="B17" s="6">
        <v>2</v>
      </c>
      <c r="C17" s="6">
        <v>8</v>
      </c>
      <c r="D17" s="6">
        <f>24/0.5</f>
        <v>48</v>
      </c>
      <c r="E17" s="6">
        <v>64</v>
      </c>
      <c r="F17" s="6">
        <v>200</v>
      </c>
      <c r="G17" s="6">
        <v>200</v>
      </c>
      <c r="H17" s="6">
        <v>200</v>
      </c>
      <c r="I17" s="6">
        <v>200</v>
      </c>
      <c r="J17" s="6">
        <v>200</v>
      </c>
      <c r="K17" s="71">
        <v>200</v>
      </c>
      <c r="L17" s="6">
        <v>200</v>
      </c>
    </row>
    <row r="18" spans="1:12" x14ac:dyDescent="0.2">
      <c r="A18" s="26" t="s">
        <v>129</v>
      </c>
      <c r="B18" s="6"/>
      <c r="C18" s="6"/>
      <c r="D18" s="6"/>
      <c r="E18" s="6"/>
      <c r="F18" s="6">
        <v>250</v>
      </c>
      <c r="G18" s="6">
        <v>250</v>
      </c>
      <c r="H18" s="6">
        <v>250</v>
      </c>
      <c r="I18" s="6">
        <v>250</v>
      </c>
      <c r="J18" s="6">
        <v>250</v>
      </c>
      <c r="K18" s="71">
        <v>250</v>
      </c>
      <c r="L18" s="6">
        <v>250</v>
      </c>
    </row>
    <row r="19" spans="1:12" x14ac:dyDescent="0.2">
      <c r="A19" s="18" t="s">
        <v>130</v>
      </c>
      <c r="B19" s="6"/>
      <c r="C19" s="6"/>
      <c r="D19" s="6"/>
      <c r="E19" s="6"/>
      <c r="F19" s="6"/>
      <c r="G19" s="6"/>
      <c r="H19" s="6"/>
      <c r="I19" s="6"/>
      <c r="J19" s="6"/>
      <c r="K19" s="71"/>
      <c r="L19" s="6"/>
    </row>
    <row r="20" spans="1:12" x14ac:dyDescent="0.2">
      <c r="A20" s="26" t="s">
        <v>131</v>
      </c>
      <c r="B20" s="33">
        <f>(15*(106.84*'Model Data Inputs'!$B$183*'Model Data Inputs'!$B$184*'Model Data Inputs'!$B$185*'Model Data Inputs'!$B$186*'Model Data Inputs'!$B$187)*SUM(B26:B27))/B4</f>
        <v>801.30000000000007</v>
      </c>
      <c r="C20" s="33">
        <f>(15*(106.84*'Model Data Inputs'!$B$183*'Model Data Inputs'!$B$184*'Model Data Inputs'!$B$185*'Model Data Inputs'!$B$186*'Model Data Inputs'!$B$187)*SUM(C26:C27))/C4</f>
        <v>400.65000000000003</v>
      </c>
      <c r="D20" s="33">
        <f>(15*(106.84*'Model Data Inputs'!$B$183*'Model Data Inputs'!$B$184*'Model Data Inputs'!$B$185*'Model Data Inputs'!$B$186*'Model Data Inputs'!$B$187)*SUM(D26:D27))/D4</f>
        <v>280.45500000000004</v>
      </c>
      <c r="E20" s="33">
        <f>(15*(106.84*'Model Data Inputs'!$B$183*'Model Data Inputs'!$B$184*'Model Data Inputs'!$B$185*'Model Data Inputs'!$B$186*'Model Data Inputs'!$B$187)*SUM(E26:E27))/E4</f>
        <v>280.45499999999998</v>
      </c>
      <c r="F20" s="33">
        <f>(15*(106.84*'Model Data Inputs'!$B$183*'Model Data Inputs'!$B$184*'Model Data Inputs'!$B$185*'Model Data Inputs'!$B$186*'Model Data Inputs'!$B$187)*SUM(F26:F27))/F4</f>
        <v>101.72694285714287</v>
      </c>
      <c r="G20" s="33">
        <f>(15*(106.84*'Model Data Inputs'!$B$183*'Model Data Inputs'!$B$184*'Model Data Inputs'!$B$185*'Model Data Inputs'!$B$186*'Model Data Inputs'!$B$187)*SUM(G26:G27))/G4</f>
        <v>97.102990909090934</v>
      </c>
      <c r="H20" s="33">
        <f>(15*(106.84*'Model Data Inputs'!$B$183*'Model Data Inputs'!$B$184*'Model Data Inputs'!$B$185*'Model Data Inputs'!$B$186*'Model Data Inputs'!$B$187)*SUM(H26:H27))/H4</f>
        <v>92.88112173913045</v>
      </c>
      <c r="I20" s="33">
        <f>(15*(106.84*'Model Data Inputs'!$B$183*'Model Data Inputs'!$B$184*'Model Data Inputs'!$B$185*'Model Data Inputs'!$B$186*'Model Data Inputs'!$B$187)*SUM(I26:I27))/I4</f>
        <v>92.88112173913045</v>
      </c>
      <c r="J20" s="33">
        <f>(15*(106.84*'Model Data Inputs'!$B$183*'Model Data Inputs'!$B$184*'Model Data Inputs'!$B$185*'Model Data Inputs'!$B$186*'Model Data Inputs'!$B$187)*SUM(J26:J27))/J4</f>
        <v>92.881121739130435</v>
      </c>
      <c r="K20" s="79">
        <f>(15*(106.84*'Model Data Inputs'!$B$183*'Model Data Inputs'!$B$184*'Model Data Inputs'!$B$185*'Model Data Inputs'!$B$186*'Model Data Inputs'!$B$187)*SUM(K26:K27))/K4</f>
        <v>92.88112173913045</v>
      </c>
      <c r="L20" s="33">
        <f>(15*(106.84*'Model Data Inputs'!$B$183*'Model Data Inputs'!$B$184*'Model Data Inputs'!$B$185*'Model Data Inputs'!$B$186*'Model Data Inputs'!$B$187)*SUM(L26:L27))/L4</f>
        <v>92.881121739130435</v>
      </c>
    </row>
    <row r="21" spans="1:12" x14ac:dyDescent="0.2">
      <c r="A21" s="27"/>
      <c r="B21" s="28"/>
      <c r="C21" s="28"/>
      <c r="D21" s="28"/>
    </row>
    <row r="22" spans="1:12" ht="15" x14ac:dyDescent="0.25">
      <c r="A22" s="80" t="s">
        <v>277</v>
      </c>
      <c r="B22" s="81"/>
      <c r="C22" s="81"/>
      <c r="D22" s="81"/>
      <c r="E22" s="81"/>
      <c r="F22" s="81"/>
      <c r="G22" s="81"/>
      <c r="H22" s="81"/>
      <c r="I22" s="81"/>
      <c r="J22" s="81"/>
      <c r="K22" s="81"/>
      <c r="L22" s="82"/>
    </row>
    <row r="23" spans="1:12" x14ac:dyDescent="0.2">
      <c r="A23" s="83" t="s">
        <v>260</v>
      </c>
      <c r="B23" s="68">
        <v>2</v>
      </c>
      <c r="C23" s="68">
        <v>8</v>
      </c>
      <c r="D23" s="68">
        <v>24</v>
      </c>
      <c r="E23" s="68">
        <v>32</v>
      </c>
      <c r="F23" s="68">
        <v>150</v>
      </c>
      <c r="G23" s="68">
        <v>200</v>
      </c>
      <c r="H23" s="105">
        <v>300</v>
      </c>
      <c r="I23" s="69">
        <v>400</v>
      </c>
      <c r="J23" s="69">
        <v>525</v>
      </c>
      <c r="K23" s="70">
        <v>1000</v>
      </c>
      <c r="L23" s="69">
        <v>1800</v>
      </c>
    </row>
    <row r="24" spans="1:12" x14ac:dyDescent="0.2">
      <c r="A24" s="83"/>
      <c r="B24" s="84"/>
      <c r="C24" s="6"/>
      <c r="D24" s="6"/>
      <c r="E24" s="6"/>
      <c r="F24" s="6"/>
      <c r="G24" s="6"/>
      <c r="H24" s="6"/>
      <c r="I24" s="6"/>
      <c r="J24" s="6"/>
      <c r="K24" s="71"/>
      <c r="L24" s="6"/>
    </row>
    <row r="25" spans="1:12" x14ac:dyDescent="0.2">
      <c r="A25" s="30" t="s">
        <v>133</v>
      </c>
      <c r="B25" s="17"/>
      <c r="C25" s="6"/>
      <c r="D25" s="6"/>
      <c r="E25" s="6"/>
      <c r="F25" s="6"/>
      <c r="G25" s="6"/>
      <c r="H25" s="6"/>
      <c r="I25" s="6"/>
      <c r="J25" s="6"/>
      <c r="K25" s="71"/>
      <c r="L25" s="6"/>
    </row>
    <row r="26" spans="1:12" x14ac:dyDescent="0.2">
      <c r="A26" s="26" t="s">
        <v>117</v>
      </c>
      <c r="B26" s="88">
        <f t="shared" ref="B26:L26" si="0">IFERROR((B$4/B6),"")</f>
        <v>1</v>
      </c>
      <c r="C26" s="88">
        <f t="shared" si="0"/>
        <v>2</v>
      </c>
      <c r="D26" s="88">
        <f t="shared" si="0"/>
        <v>3</v>
      </c>
      <c r="E26" s="88">
        <f t="shared" si="0"/>
        <v>4</v>
      </c>
      <c r="F26" s="88">
        <f t="shared" si="0"/>
        <v>7.1428571428571432</v>
      </c>
      <c r="G26" s="88">
        <f t="shared" si="0"/>
        <v>9.0909090909090917</v>
      </c>
      <c r="H26" s="88">
        <f t="shared" si="0"/>
        <v>13.043478260869565</v>
      </c>
      <c r="I26" s="88">
        <f t="shared" si="0"/>
        <v>17.391304347826086</v>
      </c>
      <c r="J26" s="88">
        <f t="shared" si="0"/>
        <v>22.826086956521738</v>
      </c>
      <c r="K26" s="89">
        <f t="shared" si="0"/>
        <v>43.478260869565219</v>
      </c>
      <c r="L26" s="88">
        <f t="shared" si="0"/>
        <v>78.260869565217391</v>
      </c>
    </row>
    <row r="27" spans="1:12" x14ac:dyDescent="0.2">
      <c r="A27" s="26" t="s">
        <v>118</v>
      </c>
      <c r="B27" s="88">
        <f t="shared" ref="B27:L27" si="1">B26*B7</f>
        <v>0</v>
      </c>
      <c r="C27" s="88">
        <f t="shared" si="1"/>
        <v>0</v>
      </c>
      <c r="D27" s="88">
        <f t="shared" si="1"/>
        <v>1.2000000000000002</v>
      </c>
      <c r="E27" s="88">
        <f t="shared" si="1"/>
        <v>1.6</v>
      </c>
      <c r="F27" s="88">
        <f t="shared" si="1"/>
        <v>2.378571428571429</v>
      </c>
      <c r="G27" s="88">
        <f t="shared" si="1"/>
        <v>3.0272727272727278</v>
      </c>
      <c r="H27" s="88">
        <f t="shared" si="1"/>
        <v>4.3434782608695652</v>
      </c>
      <c r="I27" s="88">
        <f t="shared" si="1"/>
        <v>5.7913043478260873</v>
      </c>
      <c r="J27" s="88">
        <f t="shared" si="1"/>
        <v>7.6010869565217396</v>
      </c>
      <c r="K27" s="89">
        <f t="shared" si="1"/>
        <v>14.478260869565219</v>
      </c>
      <c r="L27" s="88">
        <f t="shared" si="1"/>
        <v>26.060869565217391</v>
      </c>
    </row>
    <row r="28" spans="1:12" s="40" customFormat="1" x14ac:dyDescent="0.2">
      <c r="A28" s="19" t="s">
        <v>258</v>
      </c>
      <c r="B28" s="32" t="str">
        <f>IFERROR(B26/B8,"")</f>
        <v/>
      </c>
      <c r="C28" s="32" t="str">
        <f t="shared" ref="C28:E28" si="2">IFERROR(SUM(C26:C27)/C8,"")</f>
        <v/>
      </c>
      <c r="D28" s="32" t="str">
        <f t="shared" si="2"/>
        <v/>
      </c>
      <c r="E28" s="32" t="str">
        <f t="shared" si="2"/>
        <v/>
      </c>
      <c r="F28" s="32">
        <f>IFERROR(F26/F8,"")</f>
        <v>0.35714285714285715</v>
      </c>
      <c r="G28" s="32">
        <f t="shared" ref="G28:L28" si="3">IFERROR(G26/G8,"")</f>
        <v>0.45454545454545459</v>
      </c>
      <c r="H28" s="32">
        <f t="shared" si="3"/>
        <v>0.65217391304347827</v>
      </c>
      <c r="I28" s="32">
        <f t="shared" si="3"/>
        <v>0.86956521739130432</v>
      </c>
      <c r="J28" s="32">
        <f t="shared" si="3"/>
        <v>1.1413043478260869</v>
      </c>
      <c r="K28" s="89">
        <f t="shared" si="3"/>
        <v>2.1739130434782608</v>
      </c>
      <c r="L28" s="32">
        <f t="shared" si="3"/>
        <v>3.9130434782608696</v>
      </c>
    </row>
    <row r="29" spans="1:12" x14ac:dyDescent="0.2">
      <c r="A29" s="26" t="s">
        <v>120</v>
      </c>
      <c r="B29" s="88" t="str">
        <f t="shared" ref="B29:L29" si="4">IFERROR((B$4/B9),"")</f>
        <v/>
      </c>
      <c r="C29" s="88" t="str">
        <f t="shared" si="4"/>
        <v/>
      </c>
      <c r="D29" s="88" t="str">
        <f t="shared" si="4"/>
        <v/>
      </c>
      <c r="E29" s="88" t="str">
        <f t="shared" si="4"/>
        <v/>
      </c>
      <c r="F29" s="88">
        <f t="shared" si="4"/>
        <v>0.375</v>
      </c>
      <c r="G29" s="88">
        <f t="shared" si="4"/>
        <v>0.5</v>
      </c>
      <c r="H29" s="88">
        <f t="shared" si="4"/>
        <v>0.75</v>
      </c>
      <c r="I29" s="88">
        <f t="shared" si="4"/>
        <v>1</v>
      </c>
      <c r="J29" s="88">
        <f t="shared" si="4"/>
        <v>1.3125</v>
      </c>
      <c r="K29" s="89">
        <f t="shared" si="4"/>
        <v>2.5</v>
      </c>
      <c r="L29" s="88">
        <f t="shared" si="4"/>
        <v>4.5</v>
      </c>
    </row>
    <row r="30" spans="1:12" x14ac:dyDescent="0.2">
      <c r="A30" s="26" t="s">
        <v>134</v>
      </c>
      <c r="B30" s="88" t="str">
        <f>IFERROR(IF(SUM(B$4/B10)&gt;1,1,(B$4/B10)),"")</f>
        <v/>
      </c>
      <c r="C30" s="88" t="str">
        <f t="shared" ref="C30:L30" si="5">IFERROR(IF(SUM(C$4/C10)&gt;1,1,(C$4/C10)),"")</f>
        <v/>
      </c>
      <c r="D30" s="88" t="str">
        <f t="shared" si="5"/>
        <v/>
      </c>
      <c r="E30" s="88" t="str">
        <f t="shared" si="5"/>
        <v/>
      </c>
      <c r="F30" s="88">
        <f t="shared" si="5"/>
        <v>0.5</v>
      </c>
      <c r="G30" s="88">
        <f t="shared" si="5"/>
        <v>0.66666666666666663</v>
      </c>
      <c r="H30" s="88">
        <f t="shared" si="5"/>
        <v>1</v>
      </c>
      <c r="I30" s="88">
        <f t="shared" si="5"/>
        <v>1</v>
      </c>
      <c r="J30" s="88">
        <f t="shared" si="5"/>
        <v>1</v>
      </c>
      <c r="K30" s="89">
        <f t="shared" si="5"/>
        <v>1</v>
      </c>
      <c r="L30" s="88">
        <f t="shared" si="5"/>
        <v>1</v>
      </c>
    </row>
    <row r="31" spans="1:12" x14ac:dyDescent="0.2">
      <c r="A31" s="26" t="s">
        <v>122</v>
      </c>
      <c r="B31" s="88" t="str">
        <f t="shared" ref="B31:K32" si="6">IFERROR(SUM(B$4/B11),"")</f>
        <v/>
      </c>
      <c r="C31" s="88" t="str">
        <f t="shared" si="6"/>
        <v/>
      </c>
      <c r="D31" s="88" t="str">
        <f t="shared" si="6"/>
        <v/>
      </c>
      <c r="E31" s="88">
        <f t="shared" si="6"/>
        <v>9.1428571428571428E-2</v>
      </c>
      <c r="F31" s="88">
        <f t="shared" si="6"/>
        <v>0.42857142857142855</v>
      </c>
      <c r="G31" s="88">
        <f t="shared" si="6"/>
        <v>0.5714285714285714</v>
      </c>
      <c r="H31" s="88">
        <f t="shared" si="6"/>
        <v>0.8571428571428571</v>
      </c>
      <c r="I31" s="88">
        <f t="shared" si="6"/>
        <v>1.1428571428571428</v>
      </c>
      <c r="J31" s="88">
        <f t="shared" si="6"/>
        <v>1.5</v>
      </c>
      <c r="K31" s="89">
        <f t="shared" si="6"/>
        <v>2.8571428571428572</v>
      </c>
      <c r="L31" s="88">
        <f t="shared" ref="L31:L32" si="7">IFERROR(SUM(L$4/L11),"")</f>
        <v>5.1428571428571432</v>
      </c>
    </row>
    <row r="32" spans="1:12" x14ac:dyDescent="0.2">
      <c r="A32" s="26" t="s">
        <v>123</v>
      </c>
      <c r="B32" s="44">
        <f t="shared" si="6"/>
        <v>0.01</v>
      </c>
      <c r="C32" s="44">
        <f t="shared" si="6"/>
        <v>0.04</v>
      </c>
      <c r="D32" s="88">
        <f t="shared" si="6"/>
        <v>0.12</v>
      </c>
      <c r="E32" s="88">
        <f t="shared" si="6"/>
        <v>0.16</v>
      </c>
      <c r="F32" s="88">
        <f t="shared" si="6"/>
        <v>0.75</v>
      </c>
      <c r="G32" s="88">
        <f>IFERROR(SUM(G$4/G12),"")</f>
        <v>1</v>
      </c>
      <c r="H32" s="88">
        <f t="shared" si="6"/>
        <v>1.5</v>
      </c>
      <c r="I32" s="88">
        <f t="shared" si="6"/>
        <v>2</v>
      </c>
      <c r="J32" s="88">
        <f t="shared" si="6"/>
        <v>2.625</v>
      </c>
      <c r="K32" s="89">
        <f t="shared" si="6"/>
        <v>5</v>
      </c>
      <c r="L32" s="88">
        <f t="shared" si="7"/>
        <v>9</v>
      </c>
    </row>
    <row r="33" spans="1:23" x14ac:dyDescent="0.2">
      <c r="A33" s="26" t="s">
        <v>135</v>
      </c>
      <c r="B33" s="88" t="str">
        <f>IFERROR(IF(SUM(B$4/B13)&gt;1,1,(B$4/B13)),"")</f>
        <v/>
      </c>
      <c r="C33" s="88" t="str">
        <f t="shared" ref="C33:L33" si="8">IFERROR(IF(SUM(C$4/C13)&gt;1,1,(C$4/C13)),"")</f>
        <v/>
      </c>
      <c r="D33" s="88">
        <f t="shared" si="8"/>
        <v>3.2000000000000001E-2</v>
      </c>
      <c r="E33" s="88">
        <f t="shared" si="8"/>
        <v>4.2666666666666665E-2</v>
      </c>
      <c r="F33" s="88">
        <f t="shared" si="8"/>
        <v>0.2</v>
      </c>
      <c r="G33" s="88">
        <f>IFERROR(IF(SUM(G$4/G13)&gt;1,1,(G$4/G13)),"")</f>
        <v>0.26666666666666666</v>
      </c>
      <c r="H33" s="88">
        <f t="shared" si="8"/>
        <v>0.4</v>
      </c>
      <c r="I33" s="88">
        <f t="shared" si="8"/>
        <v>0.53333333333333333</v>
      </c>
      <c r="J33" s="88">
        <f t="shared" si="8"/>
        <v>0.7</v>
      </c>
      <c r="K33" s="89">
        <f t="shared" si="8"/>
        <v>1</v>
      </c>
      <c r="L33" s="88">
        <f t="shared" si="8"/>
        <v>1</v>
      </c>
    </row>
    <row r="34" spans="1:23" x14ac:dyDescent="0.2">
      <c r="A34" s="26" t="s">
        <v>136</v>
      </c>
      <c r="B34" s="88">
        <f t="shared" ref="B34:L36" si="9">IF(B14="","",B14)</f>
        <v>0.1</v>
      </c>
      <c r="C34" s="88">
        <f t="shared" si="9"/>
        <v>0.1</v>
      </c>
      <c r="D34" s="88">
        <f t="shared" si="9"/>
        <v>0.2</v>
      </c>
      <c r="E34" s="88">
        <f t="shared" si="9"/>
        <v>0.3</v>
      </c>
      <c r="F34" s="88">
        <f t="shared" si="9"/>
        <v>1</v>
      </c>
      <c r="G34" s="88">
        <f t="shared" si="9"/>
        <v>1</v>
      </c>
      <c r="H34" s="88">
        <f>IF(H14="","",H14)</f>
        <v>1</v>
      </c>
      <c r="I34" s="88">
        <f t="shared" si="9"/>
        <v>1</v>
      </c>
      <c r="J34" s="88">
        <f t="shared" si="9"/>
        <v>1</v>
      </c>
      <c r="K34" s="89">
        <f t="shared" si="9"/>
        <v>1</v>
      </c>
      <c r="L34" s="88">
        <f t="shared" si="9"/>
        <v>1</v>
      </c>
    </row>
    <row r="35" spans="1:23" x14ac:dyDescent="0.2">
      <c r="A35" s="26" t="s">
        <v>137</v>
      </c>
      <c r="B35" s="88" t="str">
        <f t="shared" si="9"/>
        <v/>
      </c>
      <c r="C35" s="88" t="str">
        <f t="shared" si="9"/>
        <v/>
      </c>
      <c r="D35" s="88" t="str">
        <f t="shared" si="9"/>
        <v/>
      </c>
      <c r="E35" s="88" t="str">
        <f t="shared" si="9"/>
        <v/>
      </c>
      <c r="F35" s="88" t="str">
        <f t="shared" si="9"/>
        <v/>
      </c>
      <c r="G35" s="88" t="str">
        <f t="shared" si="9"/>
        <v/>
      </c>
      <c r="H35" s="88" t="str">
        <f>IF(H15="","",H15)</f>
        <v/>
      </c>
      <c r="I35" s="88" t="str">
        <f t="shared" si="9"/>
        <v/>
      </c>
      <c r="J35" s="88">
        <f t="shared" si="9"/>
        <v>1</v>
      </c>
      <c r="K35" s="89">
        <f t="shared" si="9"/>
        <v>2</v>
      </c>
      <c r="L35" s="88">
        <f t="shared" si="9"/>
        <v>3</v>
      </c>
    </row>
    <row r="36" spans="1:23" x14ac:dyDescent="0.2">
      <c r="A36" s="26" t="s">
        <v>138</v>
      </c>
      <c r="B36" s="88" t="str">
        <f t="shared" si="9"/>
        <v/>
      </c>
      <c r="C36" s="88" t="str">
        <f t="shared" si="9"/>
        <v/>
      </c>
      <c r="D36" s="88" t="str">
        <f t="shared" si="9"/>
        <v/>
      </c>
      <c r="E36" s="88" t="str">
        <f t="shared" si="9"/>
        <v/>
      </c>
      <c r="F36" s="88">
        <f t="shared" si="9"/>
        <v>1</v>
      </c>
      <c r="G36" s="88">
        <f t="shared" si="9"/>
        <v>1</v>
      </c>
      <c r="H36" s="88">
        <f t="shared" si="9"/>
        <v>1</v>
      </c>
      <c r="I36" s="88">
        <f t="shared" si="9"/>
        <v>1</v>
      </c>
      <c r="J36" s="88">
        <f t="shared" si="9"/>
        <v>1</v>
      </c>
      <c r="K36" s="89">
        <f t="shared" si="9"/>
        <v>1</v>
      </c>
      <c r="L36" s="88">
        <f t="shared" si="9"/>
        <v>1</v>
      </c>
    </row>
    <row r="37" spans="1:23" x14ac:dyDescent="0.2">
      <c r="A37" s="26" t="s">
        <v>128</v>
      </c>
      <c r="B37" s="88">
        <f t="shared" ref="B37:K38" si="10">IFERROR(SUM(B$4/B17),"")</f>
        <v>1</v>
      </c>
      <c r="C37" s="88">
        <f t="shared" si="10"/>
        <v>1</v>
      </c>
      <c r="D37" s="88">
        <f t="shared" si="10"/>
        <v>0.5</v>
      </c>
      <c r="E37" s="88">
        <f t="shared" si="10"/>
        <v>0.5</v>
      </c>
      <c r="F37" s="88">
        <f t="shared" si="10"/>
        <v>0.75</v>
      </c>
      <c r="G37" s="88">
        <f t="shared" si="10"/>
        <v>1</v>
      </c>
      <c r="H37" s="88">
        <f t="shared" si="10"/>
        <v>1.5</v>
      </c>
      <c r="I37" s="88">
        <f t="shared" si="10"/>
        <v>2</v>
      </c>
      <c r="J37" s="88">
        <f t="shared" si="10"/>
        <v>2.625</v>
      </c>
      <c r="K37" s="89">
        <f t="shared" si="10"/>
        <v>5</v>
      </c>
      <c r="L37" s="88">
        <f t="shared" ref="L37:L38" si="11">IFERROR((L$4/L17),"")</f>
        <v>9</v>
      </c>
    </row>
    <row r="38" spans="1:23" x14ac:dyDescent="0.2">
      <c r="A38" s="26" t="s">
        <v>129</v>
      </c>
      <c r="B38" s="88" t="str">
        <f t="shared" si="10"/>
        <v/>
      </c>
      <c r="C38" s="88" t="str">
        <f t="shared" si="10"/>
        <v/>
      </c>
      <c r="D38" s="88" t="str">
        <f t="shared" si="10"/>
        <v/>
      </c>
      <c r="E38" s="88" t="str">
        <f t="shared" si="10"/>
        <v/>
      </c>
      <c r="F38" s="88">
        <f t="shared" si="10"/>
        <v>0.6</v>
      </c>
      <c r="G38" s="88">
        <f t="shared" si="10"/>
        <v>0.8</v>
      </c>
      <c r="H38" s="88">
        <f t="shared" si="10"/>
        <v>1.2</v>
      </c>
      <c r="I38" s="88">
        <f t="shared" si="10"/>
        <v>1.6</v>
      </c>
      <c r="J38" s="88">
        <f t="shared" si="10"/>
        <v>2.1</v>
      </c>
      <c r="K38" s="89">
        <f t="shared" si="10"/>
        <v>4</v>
      </c>
      <c r="L38" s="88">
        <f t="shared" si="11"/>
        <v>7.2</v>
      </c>
    </row>
    <row r="40" spans="1:23" ht="12.75" customHeight="1" x14ac:dyDescent="0.2">
      <c r="A40" s="29" t="s">
        <v>262</v>
      </c>
      <c r="B40" s="471" t="s">
        <v>263</v>
      </c>
      <c r="C40" s="471"/>
      <c r="D40" s="471"/>
      <c r="E40" s="471"/>
      <c r="F40" s="471"/>
      <c r="G40" s="471"/>
      <c r="H40" s="471"/>
      <c r="I40" s="471"/>
      <c r="J40" s="471"/>
      <c r="K40" s="471"/>
      <c r="L40" s="471"/>
      <c r="M40" s="472"/>
      <c r="N40" s="472"/>
      <c r="O40" s="472"/>
      <c r="P40" s="472"/>
      <c r="Q40" s="472"/>
      <c r="R40" s="472"/>
      <c r="S40" s="472"/>
      <c r="T40" s="472"/>
      <c r="U40" s="472"/>
      <c r="V40" s="472"/>
      <c r="W40" s="472"/>
    </row>
    <row r="41" spans="1:23" x14ac:dyDescent="0.2">
      <c r="A41" s="83" t="s">
        <v>260</v>
      </c>
      <c r="B41" s="68">
        <v>2</v>
      </c>
      <c r="C41" s="68">
        <v>8</v>
      </c>
      <c r="D41" s="68">
        <v>24</v>
      </c>
      <c r="E41" s="68">
        <v>32</v>
      </c>
      <c r="F41" s="68">
        <v>150</v>
      </c>
      <c r="G41" s="68">
        <v>200</v>
      </c>
      <c r="H41" s="105">
        <v>300</v>
      </c>
      <c r="I41" s="69">
        <v>400</v>
      </c>
      <c r="J41" s="69">
        <v>525</v>
      </c>
      <c r="K41" s="70">
        <v>1000</v>
      </c>
      <c r="L41" s="69">
        <v>1800</v>
      </c>
      <c r="M41" s="109"/>
      <c r="N41" s="110"/>
      <c r="O41" s="110"/>
      <c r="P41" s="110"/>
      <c r="Q41" s="110"/>
      <c r="R41" s="110"/>
      <c r="S41" s="110"/>
      <c r="T41" s="110"/>
      <c r="U41" s="110"/>
      <c r="V41" s="110"/>
      <c r="W41" s="110"/>
    </row>
    <row r="42" spans="1:23" x14ac:dyDescent="0.2">
      <c r="A42" s="30" t="s">
        <v>133</v>
      </c>
      <c r="B42" s="17"/>
      <c r="C42" s="17"/>
      <c r="D42" s="17"/>
      <c r="E42" s="17"/>
      <c r="F42" s="17"/>
      <c r="G42" s="17"/>
      <c r="H42" s="17"/>
      <c r="I42" s="6"/>
      <c r="J42" s="6"/>
      <c r="K42" s="71"/>
      <c r="L42" s="6"/>
      <c r="M42" s="110"/>
      <c r="N42" s="110"/>
      <c r="O42" s="110"/>
      <c r="P42" s="110"/>
      <c r="Q42" s="73"/>
      <c r="R42" s="73"/>
      <c r="S42" s="73"/>
      <c r="T42" s="73"/>
      <c r="U42" s="73"/>
      <c r="V42" s="73"/>
      <c r="W42" s="73"/>
    </row>
    <row r="43" spans="1:23" x14ac:dyDescent="0.2">
      <c r="A43" s="26" t="s">
        <v>117</v>
      </c>
      <c r="B43" s="33">
        <f t="shared" ref="B43:L55" si="12">IF(B26="","",((B26*$C69)+(B26*$A$93)))</f>
        <v>82790.072000000015</v>
      </c>
      <c r="C43" s="33">
        <f t="shared" si="12"/>
        <v>165580.14400000003</v>
      </c>
      <c r="D43" s="33">
        <f t="shared" si="12"/>
        <v>248370.21600000004</v>
      </c>
      <c r="E43" s="33">
        <f t="shared" si="12"/>
        <v>331160.28800000006</v>
      </c>
      <c r="F43" s="33">
        <f t="shared" si="12"/>
        <v>591357.65714285721</v>
      </c>
      <c r="G43" s="33">
        <f t="shared" si="12"/>
        <v>752637.0181818183</v>
      </c>
      <c r="H43" s="33">
        <f t="shared" si="12"/>
        <v>1079870.5043478261</v>
      </c>
      <c r="I43" s="33">
        <f t="shared" si="12"/>
        <v>1439827.3391304347</v>
      </c>
      <c r="J43" s="33">
        <f t="shared" si="12"/>
        <v>1889773.3826086957</v>
      </c>
      <c r="K43" s="79">
        <f t="shared" si="12"/>
        <v>3599568.3478260874</v>
      </c>
      <c r="L43" s="33">
        <f t="shared" si="12"/>
        <v>6479223.0260869572</v>
      </c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</row>
    <row r="44" spans="1:23" x14ac:dyDescent="0.2">
      <c r="A44" s="26" t="s">
        <v>118</v>
      </c>
      <c r="B44" s="33">
        <f t="shared" si="12"/>
        <v>0</v>
      </c>
      <c r="C44" s="33">
        <f t="shared" si="12"/>
        <v>0</v>
      </c>
      <c r="D44" s="33">
        <f t="shared" si="12"/>
        <v>99348.086400000015</v>
      </c>
      <c r="E44" s="33">
        <f t="shared" si="12"/>
        <v>132464.1152</v>
      </c>
      <c r="F44" s="33">
        <f t="shared" si="12"/>
        <v>196922.09982857149</v>
      </c>
      <c r="G44" s="33">
        <f t="shared" si="12"/>
        <v>250628.1270545455</v>
      </c>
      <c r="H44" s="33">
        <f t="shared" si="12"/>
        <v>359596.87794782611</v>
      </c>
      <c r="I44" s="33">
        <f t="shared" si="12"/>
        <v>479462.50393043482</v>
      </c>
      <c r="J44" s="33">
        <f t="shared" si="12"/>
        <v>629294.53640869574</v>
      </c>
      <c r="K44" s="79">
        <f t="shared" si="12"/>
        <v>1198656.2598260872</v>
      </c>
      <c r="L44" s="33">
        <f t="shared" si="12"/>
        <v>2157581.2676869566</v>
      </c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</row>
    <row r="45" spans="1:23" x14ac:dyDescent="0.2">
      <c r="A45" s="26" t="s">
        <v>119</v>
      </c>
      <c r="B45" s="33" t="str">
        <f t="shared" si="12"/>
        <v/>
      </c>
      <c r="C45" s="33" t="str">
        <f t="shared" si="12"/>
        <v/>
      </c>
      <c r="D45" s="33" t="str">
        <f t="shared" si="12"/>
        <v/>
      </c>
      <c r="E45" s="33" t="str">
        <f t="shared" si="12"/>
        <v/>
      </c>
      <c r="F45" s="33">
        <f t="shared" si="12"/>
        <v>29567.88285714286</v>
      </c>
      <c r="G45" s="33">
        <f t="shared" si="12"/>
        <v>37631.850909090914</v>
      </c>
      <c r="H45" s="33">
        <f t="shared" si="12"/>
        <v>53993.525217391318</v>
      </c>
      <c r="I45" s="33">
        <f t="shared" si="12"/>
        <v>71991.366956521742</v>
      </c>
      <c r="J45" s="33">
        <f t="shared" si="12"/>
        <v>94488.669130434791</v>
      </c>
      <c r="K45" s="79">
        <f t="shared" si="12"/>
        <v>179978.41739130433</v>
      </c>
      <c r="L45" s="33">
        <f t="shared" si="12"/>
        <v>323961.15130434785</v>
      </c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</row>
    <row r="46" spans="1:23" x14ac:dyDescent="0.2">
      <c r="A46" s="26" t="s">
        <v>120</v>
      </c>
      <c r="B46" s="33" t="str">
        <f t="shared" si="12"/>
        <v/>
      </c>
      <c r="C46" s="33" t="str">
        <f t="shared" si="12"/>
        <v/>
      </c>
      <c r="D46" s="33" t="str">
        <f t="shared" si="12"/>
        <v/>
      </c>
      <c r="E46" s="33" t="str">
        <f t="shared" si="12"/>
        <v/>
      </c>
      <c r="F46" s="33">
        <f t="shared" si="12"/>
        <v>31046.277000000006</v>
      </c>
      <c r="G46" s="33">
        <f t="shared" si="12"/>
        <v>41395.036000000007</v>
      </c>
      <c r="H46" s="33">
        <f t="shared" si="12"/>
        <v>62092.554000000011</v>
      </c>
      <c r="I46" s="33">
        <f t="shared" si="12"/>
        <v>82790.072000000015</v>
      </c>
      <c r="J46" s="33">
        <f t="shared" si="12"/>
        <v>108661.96950000001</v>
      </c>
      <c r="K46" s="79">
        <f t="shared" si="12"/>
        <v>206975.18</v>
      </c>
      <c r="L46" s="33">
        <f t="shared" si="12"/>
        <v>372555.32400000002</v>
      </c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</row>
    <row r="47" spans="1:23" x14ac:dyDescent="0.2">
      <c r="A47" s="26" t="s">
        <v>134</v>
      </c>
      <c r="B47" s="33" t="str">
        <f t="shared" si="12"/>
        <v/>
      </c>
      <c r="C47" s="33" t="str">
        <f t="shared" si="12"/>
        <v/>
      </c>
      <c r="D47" s="33" t="str">
        <f t="shared" si="12"/>
        <v/>
      </c>
      <c r="E47" s="33" t="str">
        <f t="shared" si="12"/>
        <v/>
      </c>
      <c r="F47" s="33">
        <f t="shared" si="12"/>
        <v>34721.775646452792</v>
      </c>
      <c r="G47" s="33">
        <f t="shared" si="12"/>
        <v>46295.700861937054</v>
      </c>
      <c r="H47" s="33">
        <f t="shared" si="12"/>
        <v>69443.551292905584</v>
      </c>
      <c r="I47" s="33">
        <f t="shared" si="12"/>
        <v>69443.551292905584</v>
      </c>
      <c r="J47" s="33">
        <f t="shared" si="12"/>
        <v>69443.551292905584</v>
      </c>
      <c r="K47" s="79">
        <f t="shared" si="12"/>
        <v>69443.551292905584</v>
      </c>
      <c r="L47" s="33">
        <f t="shared" si="12"/>
        <v>69443.551292905584</v>
      </c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</row>
    <row r="48" spans="1:23" ht="12.75" customHeight="1" x14ac:dyDescent="0.2">
      <c r="A48" s="26" t="s">
        <v>122</v>
      </c>
      <c r="B48" s="33" t="str">
        <f t="shared" si="12"/>
        <v/>
      </c>
      <c r="C48" s="33" t="str">
        <f t="shared" si="12"/>
        <v/>
      </c>
      <c r="D48" s="33" t="str">
        <f t="shared" si="12"/>
        <v/>
      </c>
      <c r="E48" s="33">
        <f t="shared" si="12"/>
        <v>3575.0234343435286</v>
      </c>
      <c r="F48" s="33">
        <f t="shared" si="12"/>
        <v>16757.922348485288</v>
      </c>
      <c r="G48" s="33">
        <f t="shared" si="12"/>
        <v>22343.896464647049</v>
      </c>
      <c r="H48" s="33">
        <f t="shared" si="12"/>
        <v>33515.844696970576</v>
      </c>
      <c r="I48" s="33">
        <f t="shared" si="12"/>
        <v>44687.792929294097</v>
      </c>
      <c r="J48" s="33">
        <f t="shared" si="12"/>
        <v>58652.728219698518</v>
      </c>
      <c r="K48" s="79">
        <f t="shared" si="12"/>
        <v>111719.48232323525</v>
      </c>
      <c r="L48" s="33">
        <f t="shared" si="12"/>
        <v>201095.06818182347</v>
      </c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</row>
    <row r="49" spans="1:23" x14ac:dyDescent="0.2">
      <c r="A49" s="26" t="s">
        <v>123</v>
      </c>
      <c r="B49" s="33">
        <f t="shared" si="12"/>
        <v>780.67172000000016</v>
      </c>
      <c r="C49" s="33">
        <f t="shared" si="12"/>
        <v>3122.6868800000007</v>
      </c>
      <c r="D49" s="33">
        <f t="shared" si="12"/>
        <v>9368.0606399999997</v>
      </c>
      <c r="E49" s="33">
        <f t="shared" si="12"/>
        <v>12490.747520000003</v>
      </c>
      <c r="F49" s="33">
        <f t="shared" si="12"/>
        <v>58550.379000000008</v>
      </c>
      <c r="G49" s="33">
        <f t="shared" si="12"/>
        <v>78067.172000000006</v>
      </c>
      <c r="H49" s="33">
        <f t="shared" si="12"/>
        <v>117100.75800000002</v>
      </c>
      <c r="I49" s="33">
        <f t="shared" si="12"/>
        <v>156134.34400000001</v>
      </c>
      <c r="J49" s="33">
        <f t="shared" si="12"/>
        <v>204926.32650000002</v>
      </c>
      <c r="K49" s="79">
        <f t="shared" si="12"/>
        <v>390335.86</v>
      </c>
      <c r="L49" s="33">
        <f t="shared" si="12"/>
        <v>702604.54800000007</v>
      </c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</row>
    <row r="50" spans="1:23" ht="13.5" customHeight="1" x14ac:dyDescent="0.2">
      <c r="A50" s="26" t="s">
        <v>135</v>
      </c>
      <c r="B50" s="33" t="str">
        <f t="shared" si="12"/>
        <v/>
      </c>
      <c r="C50" s="33" t="str">
        <f t="shared" si="12"/>
        <v/>
      </c>
      <c r="D50" s="33">
        <f t="shared" si="12"/>
        <v>2498.149504</v>
      </c>
      <c r="E50" s="33">
        <f t="shared" si="12"/>
        <v>3330.8660053333333</v>
      </c>
      <c r="F50" s="33">
        <f t="shared" si="12"/>
        <v>15613.434400000002</v>
      </c>
      <c r="G50" s="33">
        <f t="shared" si="12"/>
        <v>20817.912533333336</v>
      </c>
      <c r="H50" s="33">
        <f t="shared" si="12"/>
        <v>31226.868800000004</v>
      </c>
      <c r="I50" s="33">
        <f t="shared" si="12"/>
        <v>41635.825066666672</v>
      </c>
      <c r="J50" s="33">
        <f t="shared" si="12"/>
        <v>54647.020400000009</v>
      </c>
      <c r="K50" s="79">
        <f t="shared" si="12"/>
        <v>78067.172000000006</v>
      </c>
      <c r="L50" s="33">
        <f t="shared" si="12"/>
        <v>78067.172000000006</v>
      </c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</row>
    <row r="51" spans="1:23" x14ac:dyDescent="0.2">
      <c r="A51" s="26" t="s">
        <v>136</v>
      </c>
      <c r="B51" s="33">
        <f t="shared" si="12"/>
        <v>11736.464484107819</v>
      </c>
      <c r="C51" s="33">
        <f t="shared" si="12"/>
        <v>11736.464484107819</v>
      </c>
      <c r="D51" s="33">
        <f t="shared" si="12"/>
        <v>23472.928968215638</v>
      </c>
      <c r="E51" s="33">
        <f t="shared" si="12"/>
        <v>35209.393452323449</v>
      </c>
      <c r="F51" s="33">
        <f t="shared" si="12"/>
        <v>117364.64484107817</v>
      </c>
      <c r="G51" s="33">
        <f t="shared" si="12"/>
        <v>117364.64484107817</v>
      </c>
      <c r="H51" s="33">
        <f t="shared" si="12"/>
        <v>117364.64484107817</v>
      </c>
      <c r="I51" s="33">
        <f t="shared" si="12"/>
        <v>117364.64484107817</v>
      </c>
      <c r="J51" s="33">
        <f t="shared" si="12"/>
        <v>117364.64484107817</v>
      </c>
      <c r="K51" s="79">
        <f t="shared" si="12"/>
        <v>117364.64484107817</v>
      </c>
      <c r="L51" s="33">
        <f t="shared" si="12"/>
        <v>117364.64484107817</v>
      </c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</row>
    <row r="52" spans="1:23" x14ac:dyDescent="0.2">
      <c r="A52" s="26" t="s">
        <v>137</v>
      </c>
      <c r="B52" s="33" t="str">
        <f t="shared" si="12"/>
        <v/>
      </c>
      <c r="C52" s="33" t="str">
        <f t="shared" si="12"/>
        <v/>
      </c>
      <c r="D52" s="33" t="str">
        <f t="shared" si="12"/>
        <v/>
      </c>
      <c r="E52" s="33" t="str">
        <f t="shared" si="12"/>
        <v/>
      </c>
      <c r="F52" s="33" t="str">
        <f t="shared" si="12"/>
        <v/>
      </c>
      <c r="G52" s="33" t="str">
        <f t="shared" si="12"/>
        <v/>
      </c>
      <c r="H52" s="33" t="str">
        <f t="shared" si="12"/>
        <v/>
      </c>
      <c r="I52" s="33" t="str">
        <f t="shared" si="12"/>
        <v/>
      </c>
      <c r="J52" s="33">
        <f t="shared" si="12"/>
        <v>101173.41429478524</v>
      </c>
      <c r="K52" s="79">
        <f t="shared" si="12"/>
        <v>202346.82858957048</v>
      </c>
      <c r="L52" s="33">
        <f t="shared" si="12"/>
        <v>303520.24288435571</v>
      </c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</row>
    <row r="53" spans="1:23" x14ac:dyDescent="0.2">
      <c r="A53" s="26" t="s">
        <v>138</v>
      </c>
      <c r="B53" s="33" t="str">
        <f t="shared" si="12"/>
        <v/>
      </c>
      <c r="C53" s="33" t="str">
        <f t="shared" si="12"/>
        <v/>
      </c>
      <c r="D53" s="33" t="str">
        <f t="shared" si="12"/>
        <v/>
      </c>
      <c r="E53" s="33" t="str">
        <f t="shared" si="12"/>
        <v/>
      </c>
      <c r="F53" s="33">
        <f t="shared" si="12"/>
        <v>56012.44</v>
      </c>
      <c r="G53" s="33">
        <f t="shared" si="12"/>
        <v>56012.44</v>
      </c>
      <c r="H53" s="33">
        <f t="shared" si="12"/>
        <v>56012.44</v>
      </c>
      <c r="I53" s="33">
        <f t="shared" si="12"/>
        <v>56012.44</v>
      </c>
      <c r="J53" s="33">
        <f t="shared" si="12"/>
        <v>56012.44</v>
      </c>
      <c r="K53" s="79">
        <f t="shared" si="12"/>
        <v>56012.44</v>
      </c>
      <c r="L53" s="33">
        <f t="shared" si="12"/>
        <v>56012.44</v>
      </c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</row>
    <row r="54" spans="1:23" x14ac:dyDescent="0.2">
      <c r="A54" s="26" t="s">
        <v>128</v>
      </c>
      <c r="B54" s="33">
        <f t="shared" si="12"/>
        <v>46954.74917129743</v>
      </c>
      <c r="C54" s="33">
        <f t="shared" si="12"/>
        <v>46954.74917129743</v>
      </c>
      <c r="D54" s="33">
        <f t="shared" si="12"/>
        <v>23477.374585648715</v>
      </c>
      <c r="E54" s="33">
        <f t="shared" si="12"/>
        <v>23477.374585648715</v>
      </c>
      <c r="F54" s="33">
        <f t="shared" si="12"/>
        <v>35216.061878473076</v>
      </c>
      <c r="G54" s="33">
        <f t="shared" si="12"/>
        <v>46954.74917129743</v>
      </c>
      <c r="H54" s="33">
        <f t="shared" si="12"/>
        <v>70432.123756946152</v>
      </c>
      <c r="I54" s="33">
        <f t="shared" si="12"/>
        <v>93909.498342594859</v>
      </c>
      <c r="J54" s="33">
        <f t="shared" si="12"/>
        <v>123256.21657465576</v>
      </c>
      <c r="K54" s="79">
        <f t="shared" si="12"/>
        <v>234773.74585648713</v>
      </c>
      <c r="L54" s="33">
        <f t="shared" si="12"/>
        <v>422592.74254167685</v>
      </c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</row>
    <row r="55" spans="1:23" x14ac:dyDescent="0.2">
      <c r="A55" s="26" t="s">
        <v>129</v>
      </c>
      <c r="B55" s="33" t="str">
        <f t="shared" si="12"/>
        <v/>
      </c>
      <c r="C55" s="33" t="str">
        <f t="shared" si="12"/>
        <v/>
      </c>
      <c r="D55" s="33" t="str">
        <f t="shared" si="12"/>
        <v/>
      </c>
      <c r="E55" s="33" t="str">
        <f t="shared" si="12"/>
        <v/>
      </c>
      <c r="F55" s="33">
        <f t="shared" si="12"/>
        <v>41666.130775743353</v>
      </c>
      <c r="G55" s="33">
        <f t="shared" si="12"/>
        <v>55554.841034324476</v>
      </c>
      <c r="H55" s="33">
        <f t="shared" si="12"/>
        <v>83332.261551486707</v>
      </c>
      <c r="I55" s="33">
        <f t="shared" si="12"/>
        <v>111109.68206864895</v>
      </c>
      <c r="J55" s="33">
        <f t="shared" si="12"/>
        <v>145831.45771510174</v>
      </c>
      <c r="K55" s="79">
        <f t="shared" si="12"/>
        <v>277774.20517162234</v>
      </c>
      <c r="L55" s="33">
        <f t="shared" si="12"/>
        <v>499993.5693089203</v>
      </c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</row>
    <row r="56" spans="1:23" x14ac:dyDescent="0.2">
      <c r="A56" s="27"/>
      <c r="B56" s="37"/>
      <c r="C56" s="37"/>
      <c r="D56" s="37"/>
      <c r="E56" s="28"/>
      <c r="F56" s="28"/>
      <c r="G56" s="37"/>
      <c r="H56" s="37"/>
      <c r="I56" s="37"/>
      <c r="J56" s="37"/>
      <c r="K56" s="37"/>
      <c r="L56" s="28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</row>
    <row r="57" spans="1:23" ht="12.75" customHeight="1" x14ac:dyDescent="0.2">
      <c r="A57" s="29" t="s">
        <v>264</v>
      </c>
      <c r="B57" s="466" t="s">
        <v>263</v>
      </c>
      <c r="C57" s="467"/>
      <c r="D57" s="467"/>
      <c r="E57" s="467"/>
      <c r="F57" s="467"/>
      <c r="G57" s="467"/>
      <c r="H57" s="467"/>
      <c r="I57" s="467"/>
      <c r="J57" s="467"/>
      <c r="K57" s="467"/>
      <c r="L57" s="468"/>
    </row>
    <row r="58" spans="1:23" ht="12.75" customHeight="1" x14ac:dyDescent="0.2">
      <c r="A58" s="83" t="s">
        <v>260</v>
      </c>
      <c r="B58" s="68">
        <v>2</v>
      </c>
      <c r="C58" s="68">
        <v>8</v>
      </c>
      <c r="D58" s="68">
        <v>24</v>
      </c>
      <c r="E58" s="68">
        <v>32</v>
      </c>
      <c r="F58" s="68">
        <v>150</v>
      </c>
      <c r="G58" s="68">
        <v>200</v>
      </c>
      <c r="H58" s="105">
        <v>300</v>
      </c>
      <c r="I58" s="69">
        <v>400</v>
      </c>
      <c r="J58" s="69">
        <v>525</v>
      </c>
      <c r="K58" s="70">
        <v>1000</v>
      </c>
      <c r="L58" s="69">
        <v>1800</v>
      </c>
    </row>
    <row r="59" spans="1:23" x14ac:dyDescent="0.2">
      <c r="A59" s="91" t="s">
        <v>265</v>
      </c>
      <c r="B59" s="92">
        <f>(SUM(B42:B55)/B58)+B$20</f>
        <v>71932.278687702623</v>
      </c>
      <c r="C59" s="92">
        <f t="shared" ref="C59:L59" si="13">(SUM(C42:C55)/C58)+C$20</f>
        <v>28824.905566925663</v>
      </c>
      <c r="D59" s="92">
        <f t="shared" si="13"/>
        <v>17219.405670744349</v>
      </c>
      <c r="E59" s="92">
        <f t="shared" si="13"/>
        <v>17208.824006176535</v>
      </c>
      <c r="F59" s="92">
        <f t="shared" si="13"/>
        <v>8267.0383143158379</v>
      </c>
      <c r="G59" s="92">
        <f t="shared" si="13"/>
        <v>7725.6199361694526</v>
      </c>
      <c r="H59" s="92">
        <f t="shared" si="13"/>
        <v>7206.1543032472327</v>
      </c>
      <c r="I59" s="92">
        <f t="shared" si="13"/>
        <v>7003.8037731355789</v>
      </c>
      <c r="J59" s="92">
        <f t="shared" si="13"/>
        <v>7051.9789455220844</v>
      </c>
      <c r="K59" s="93">
        <f>(SUM(K43:K55)/K58)+K$20</f>
        <v>6815.8972568575073</v>
      </c>
      <c r="L59" s="92">
        <f t="shared" si="13"/>
        <v>6639.5559818108095</v>
      </c>
    </row>
    <row r="60" spans="1:23" x14ac:dyDescent="0.2">
      <c r="A60" s="19" t="s">
        <v>266</v>
      </c>
      <c r="B60" s="33">
        <f>B58*B59</f>
        <v>143864.55737540525</v>
      </c>
      <c r="C60" s="33">
        <f t="shared" ref="C60:L60" si="14">C58*C59</f>
        <v>230599.24453540531</v>
      </c>
      <c r="D60" s="33">
        <f t="shared" si="14"/>
        <v>413265.73609786434</v>
      </c>
      <c r="E60" s="33">
        <f t="shared" si="14"/>
        <v>550682.36819764914</v>
      </c>
      <c r="F60" s="33">
        <f t="shared" si="14"/>
        <v>1240055.7471473757</v>
      </c>
      <c r="G60" s="33">
        <f t="shared" si="14"/>
        <v>1545123.9872338905</v>
      </c>
      <c r="H60" s="33">
        <f t="shared" si="14"/>
        <v>2161846.29097417</v>
      </c>
      <c r="I60" s="33">
        <f t="shared" si="14"/>
        <v>2801521.5092542316</v>
      </c>
      <c r="J60" s="33">
        <f t="shared" si="14"/>
        <v>3702288.9463990941</v>
      </c>
      <c r="K60" s="79">
        <f t="shared" si="14"/>
        <v>6815897.2568575069</v>
      </c>
      <c r="L60" s="33">
        <f t="shared" si="14"/>
        <v>11951200.767259456</v>
      </c>
    </row>
    <row r="61" spans="1:23" x14ac:dyDescent="0.2">
      <c r="B61" s="7"/>
      <c r="C61" s="36"/>
      <c r="D61" s="36"/>
      <c r="E61" s="34"/>
      <c r="F61" s="34"/>
      <c r="G61" s="34"/>
      <c r="H61" s="34"/>
      <c r="I61" s="34"/>
      <c r="J61" s="34"/>
      <c r="K61" s="101"/>
      <c r="L61" s="94">
        <f>L59/K59</f>
        <v>0.97412794406939163</v>
      </c>
      <c r="M61" s="94"/>
      <c r="N61" s="95"/>
      <c r="O61" s="95"/>
      <c r="P61" s="95"/>
    </row>
    <row r="62" spans="1:23" ht="12.75" customHeight="1" x14ac:dyDescent="0.2">
      <c r="A62" s="29" t="s">
        <v>167</v>
      </c>
      <c r="B62" s="96"/>
      <c r="C62" s="7"/>
      <c r="D62" s="111"/>
      <c r="E62" s="36"/>
      <c r="F62" s="36"/>
      <c r="G62" s="36"/>
      <c r="H62" s="36"/>
      <c r="I62" s="36"/>
      <c r="J62" s="36"/>
      <c r="K62" s="36"/>
      <c r="M62" s="7"/>
      <c r="N62" s="7"/>
    </row>
    <row r="63" spans="1:23" x14ac:dyDescent="0.2">
      <c r="A63" s="6" t="s">
        <v>114</v>
      </c>
      <c r="B63" s="93">
        <f>'Model Data Inputs'!C87</f>
        <v>6815.8972568575082</v>
      </c>
      <c r="C63" s="7"/>
      <c r="E63" s="111"/>
      <c r="F63" s="469" t="s">
        <v>278</v>
      </c>
      <c r="G63" s="469"/>
      <c r="H63" s="469"/>
      <c r="I63" s="469"/>
      <c r="M63" s="7"/>
      <c r="N63" s="7"/>
    </row>
    <row r="64" spans="1:23" x14ac:dyDescent="0.2">
      <c r="A64" s="28"/>
      <c r="B64" s="97"/>
      <c r="C64" s="7"/>
      <c r="D64" s="7"/>
      <c r="F64" s="469"/>
      <c r="G64" s="469"/>
      <c r="H64" s="469"/>
      <c r="I64" s="469"/>
      <c r="J64" s="7"/>
      <c r="K64" s="7"/>
      <c r="L64" s="111"/>
      <c r="M64" s="7"/>
      <c r="N64" s="7"/>
    </row>
    <row r="65" spans="1:14" x14ac:dyDescent="0.2">
      <c r="A65" s="15" t="s">
        <v>268</v>
      </c>
      <c r="B65" s="98"/>
      <c r="C65" s="7"/>
      <c r="D65" s="7"/>
      <c r="E65" s="7"/>
      <c r="F65" s="469"/>
      <c r="G65" s="469"/>
      <c r="H65" s="469"/>
      <c r="I65" s="469"/>
      <c r="L65" s="7"/>
      <c r="M65" s="7"/>
      <c r="N65" s="7"/>
    </row>
    <row r="66" spans="1:14" x14ac:dyDescent="0.2">
      <c r="A66" s="20" t="s">
        <v>269</v>
      </c>
      <c r="B66" s="92">
        <f>B60</f>
        <v>143864.55737540525</v>
      </c>
      <c r="C66" s="7"/>
      <c r="D66" s="7"/>
      <c r="E66" s="7"/>
      <c r="F66" s="111"/>
      <c r="G66" s="111"/>
      <c r="H66" s="111"/>
      <c r="L66" s="7"/>
      <c r="M66" s="7"/>
      <c r="N66" s="7"/>
    </row>
    <row r="67" spans="1:14" x14ac:dyDescent="0.2">
      <c r="B67" s="7"/>
      <c r="C67" s="7"/>
      <c r="D67" s="7"/>
      <c r="E67" s="7"/>
      <c r="F67" s="7"/>
      <c r="G67" s="7"/>
      <c r="H67" s="7"/>
      <c r="I67" s="7"/>
      <c r="L67" s="7"/>
      <c r="M67" s="7"/>
      <c r="N67" s="7"/>
    </row>
    <row r="68" spans="1:14" x14ac:dyDescent="0.2">
      <c r="A68" s="29" t="str">
        <f>'Model Data Inputs'!A102</f>
        <v xml:space="preserve">Salaries </v>
      </c>
      <c r="B68" s="29" t="str">
        <f>'Model Data Inputs'!B102</f>
        <v>Average</v>
      </c>
      <c r="C68" s="29" t="str">
        <f>'Model Data Inputs'!C102</f>
        <v>Incl. fringe benefits</v>
      </c>
      <c r="D68" s="99"/>
      <c r="E68" s="7"/>
      <c r="L68" s="7"/>
      <c r="M68" s="7"/>
      <c r="N68" s="7"/>
    </row>
    <row r="69" spans="1:14" x14ac:dyDescent="0.2">
      <c r="A69" s="26" t="str">
        <f>'Model Data Inputs'!A103</f>
        <v>Core Teachers</v>
      </c>
      <c r="B69" s="48">
        <f>'Model Data Inputs'!B103</f>
        <v>54522</v>
      </c>
      <c r="C69" s="33">
        <f>'Model Data Inputs'!C103</f>
        <v>66026.142000000007</v>
      </c>
      <c r="D69" s="101"/>
      <c r="E69" s="99"/>
      <c r="F69" s="7"/>
      <c r="L69" s="7"/>
      <c r="M69" s="7"/>
      <c r="N69" s="7"/>
    </row>
    <row r="70" spans="1:14" x14ac:dyDescent="0.2">
      <c r="A70" s="26" t="str">
        <f>'Model Data Inputs'!A104</f>
        <v>Elective Teachers</v>
      </c>
      <c r="B70" s="48">
        <f>'Model Data Inputs'!B104</f>
        <v>54522</v>
      </c>
      <c r="C70" s="33">
        <f>'Model Data Inputs'!C104</f>
        <v>66026.142000000007</v>
      </c>
      <c r="D70" s="101"/>
      <c r="E70" s="34"/>
      <c r="F70" s="7"/>
      <c r="K70" s="7"/>
      <c r="M70" s="7"/>
      <c r="N70" s="7"/>
    </row>
    <row r="71" spans="1:14" x14ac:dyDescent="0.2">
      <c r="A71" s="26" t="str">
        <f>'Model Data Inputs'!A105</f>
        <v>Instructional Facilitators</v>
      </c>
      <c r="B71" s="48">
        <f>'Model Data Inputs'!B105</f>
        <v>54522</v>
      </c>
      <c r="C71" s="33">
        <f>'Model Data Inputs'!C105</f>
        <v>66026.142000000007</v>
      </c>
      <c r="D71" s="101"/>
      <c r="E71" s="34"/>
      <c r="F71" s="7"/>
      <c r="K71" s="7"/>
      <c r="M71" s="7"/>
      <c r="N71" s="7"/>
    </row>
    <row r="72" spans="1:14" x14ac:dyDescent="0.2">
      <c r="A72" s="26" t="str">
        <f>'Model Data Inputs'!A106</f>
        <v>Tutors/Interventionists</v>
      </c>
      <c r="B72" s="48">
        <f>'Model Data Inputs'!B106</f>
        <v>54522</v>
      </c>
      <c r="C72" s="33">
        <f>'Model Data Inputs'!C106</f>
        <v>66026.142000000007</v>
      </c>
      <c r="D72" s="101"/>
      <c r="E72" s="34"/>
      <c r="F72" s="7"/>
      <c r="K72" s="7"/>
      <c r="M72" s="7"/>
      <c r="N72" s="7"/>
    </row>
    <row r="73" spans="1:14" x14ac:dyDescent="0.2">
      <c r="A73" s="26" t="str">
        <f>'Model Data Inputs'!A107</f>
        <v>Librarian/ Media Specialists</v>
      </c>
      <c r="B73" s="50">
        <f>'Model Data Inputs'!B107</f>
        <v>43500.925923126</v>
      </c>
      <c r="C73" s="33">
        <f>'Model Data Inputs'!C107</f>
        <v>52679.621292905591</v>
      </c>
      <c r="D73" s="101"/>
      <c r="E73" s="34"/>
      <c r="K73" s="7"/>
      <c r="M73" s="7"/>
      <c r="N73" s="7"/>
    </row>
    <row r="74" spans="1:14" x14ac:dyDescent="0.2">
      <c r="A74" s="26" t="str">
        <f>'Model Data Inputs'!A108</f>
        <v>Instructional Aides</v>
      </c>
      <c r="B74" s="50">
        <f>'Model Data Inputs'!B108</f>
        <v>18445.820654939998</v>
      </c>
      <c r="C74" s="33">
        <f>'Model Data Inputs'!C108</f>
        <v>22337.88881313234</v>
      </c>
      <c r="D74" s="101"/>
      <c r="E74" s="34"/>
      <c r="K74" s="7"/>
      <c r="M74" s="7"/>
      <c r="N74" s="7"/>
    </row>
    <row r="75" spans="1:14" x14ac:dyDescent="0.2">
      <c r="A75" s="26" t="str">
        <f>'Model Data Inputs'!A109</f>
        <v>Certified Student Support Staff</v>
      </c>
      <c r="B75" s="48">
        <f>'Model Data Inputs'!B109</f>
        <v>50622</v>
      </c>
      <c r="C75" s="33">
        <f>'Model Data Inputs'!C109</f>
        <v>61303.242000000006</v>
      </c>
      <c r="D75" s="101"/>
      <c r="E75" s="34"/>
      <c r="K75" s="7"/>
      <c r="M75" s="7"/>
      <c r="N75" s="7"/>
    </row>
    <row r="76" spans="1:14" x14ac:dyDescent="0.2">
      <c r="A76" s="26" t="str">
        <f>'Model Data Inputs'!A110</f>
        <v>Nurses</v>
      </c>
      <c r="B76" s="48">
        <f>'Model Data Inputs'!B110</f>
        <v>50622</v>
      </c>
      <c r="C76" s="33">
        <f>'Model Data Inputs'!C110</f>
        <v>61303.242000000006</v>
      </c>
      <c r="D76" s="101"/>
      <c r="E76" s="34"/>
      <c r="M76" s="7"/>
      <c r="N76" s="7"/>
    </row>
    <row r="77" spans="1:14" x14ac:dyDescent="0.2">
      <c r="A77" s="26" t="str">
        <f>'Model Data Inputs'!A111</f>
        <v>Principals</v>
      </c>
      <c r="B77" s="50">
        <f>'Model Data Inputs'!B111</f>
        <v>83072.431743252004</v>
      </c>
      <c r="C77" s="33">
        <f>'Model Data Inputs'!C111</f>
        <v>100600.71484107818</v>
      </c>
      <c r="D77" s="101"/>
      <c r="E77" s="34"/>
      <c r="M77" s="7"/>
      <c r="N77" s="7"/>
    </row>
    <row r="78" spans="1:14" x14ac:dyDescent="0.2">
      <c r="A78" s="26" t="str">
        <f>'Model Data Inputs'!A112</f>
        <v>Assistant Principals</v>
      </c>
      <c r="B78" s="50">
        <f>'Model Data Inputs'!B112</f>
        <v>69702.299169930004</v>
      </c>
      <c r="C78" s="33">
        <f>'Model Data Inputs'!C112</f>
        <v>84409.484294785245</v>
      </c>
      <c r="D78" s="101"/>
      <c r="E78" s="34"/>
      <c r="M78" s="7"/>
      <c r="N78" s="7"/>
    </row>
    <row r="79" spans="1:14" x14ac:dyDescent="0.2">
      <c r="A79" s="26" t="str">
        <f>'Model Data Inputs'!A113</f>
        <v>Secretarial</v>
      </c>
      <c r="B79" s="50">
        <f>'Model Data Inputs'!B113</f>
        <v>32410</v>
      </c>
      <c r="C79" s="33">
        <f>'Model Data Inputs'!C113</f>
        <v>39248.51</v>
      </c>
      <c r="D79" s="101"/>
      <c r="E79" s="34"/>
      <c r="L79" s="51"/>
      <c r="M79" s="7"/>
      <c r="N79" s="7"/>
    </row>
    <row r="80" spans="1:14" x14ac:dyDescent="0.2">
      <c r="A80" s="26" t="str">
        <f>'Model Data Inputs'!A114</f>
        <v>Clerical</v>
      </c>
      <c r="B80" s="50">
        <f>'Model Data Inputs'!B114</f>
        <v>24930.486516347999</v>
      </c>
      <c r="C80" s="33">
        <f>'Model Data Inputs'!C114</f>
        <v>30190.819171297429</v>
      </c>
      <c r="D80" s="101"/>
      <c r="E80" s="34"/>
      <c r="L80" s="51"/>
      <c r="M80" s="7"/>
      <c r="N80" s="7"/>
    </row>
    <row r="81" spans="1:14" x14ac:dyDescent="0.2">
      <c r="A81" s="26" t="str">
        <f>'Model Data Inputs'!A115</f>
        <v>IT Technicians</v>
      </c>
      <c r="B81" s="50">
        <f>'Model Data Inputs'!B115</f>
        <v>43500.925923126</v>
      </c>
      <c r="C81" s="33">
        <f>'Model Data Inputs'!C115</f>
        <v>52679.621292905591</v>
      </c>
      <c r="D81" s="101"/>
      <c r="E81" s="34"/>
      <c r="L81" s="51"/>
      <c r="M81" s="7"/>
      <c r="N81" s="7"/>
    </row>
    <row r="82" spans="1:14" x14ac:dyDescent="0.2">
      <c r="D82" s="101"/>
      <c r="E82" s="34"/>
      <c r="J82" s="7"/>
      <c r="L82" s="51"/>
      <c r="M82" s="7"/>
      <c r="N82" s="7"/>
    </row>
    <row r="83" spans="1:14" ht="15" x14ac:dyDescent="0.25">
      <c r="A83" s="470" t="s">
        <v>192</v>
      </c>
      <c r="B83" s="470"/>
      <c r="D83" s="101"/>
      <c r="E83" s="34"/>
      <c r="L83" s="51"/>
    </row>
    <row r="84" spans="1:14" x14ac:dyDescent="0.2">
      <c r="A84" s="54" t="s">
        <v>193</v>
      </c>
      <c r="B84" s="54" t="s">
        <v>194</v>
      </c>
      <c r="D84" s="101"/>
      <c r="E84" s="34"/>
      <c r="L84" s="51"/>
    </row>
    <row r="85" spans="1:14" x14ac:dyDescent="0.2">
      <c r="A85" s="6" t="s">
        <v>195</v>
      </c>
      <c r="B85" s="55">
        <v>6.2E-2</v>
      </c>
      <c r="D85" s="101"/>
      <c r="E85" s="34"/>
      <c r="F85" s="7"/>
      <c r="G85" s="7"/>
      <c r="H85" s="7"/>
      <c r="I85" s="7"/>
      <c r="L85" s="51"/>
    </row>
    <row r="86" spans="1:14" x14ac:dyDescent="0.2">
      <c r="A86" s="6" t="s">
        <v>196</v>
      </c>
      <c r="B86" s="55">
        <v>1.4500000000000001E-2</v>
      </c>
      <c r="D86" s="101"/>
      <c r="E86" s="34"/>
      <c r="K86" s="51"/>
    </row>
    <row r="87" spans="1:14" x14ac:dyDescent="0.2">
      <c r="A87" s="6" t="s">
        <v>197</v>
      </c>
      <c r="B87" s="55">
        <v>7.0000000000000001E-3</v>
      </c>
      <c r="D87" s="101"/>
      <c r="E87" s="34"/>
      <c r="K87" s="51"/>
    </row>
    <row r="88" spans="1:14" x14ac:dyDescent="0.2">
      <c r="A88" s="6" t="s">
        <v>198</v>
      </c>
      <c r="B88" s="55">
        <v>5.9999999999999995E-4</v>
      </c>
      <c r="D88" s="101"/>
      <c r="K88" s="51"/>
    </row>
    <row r="89" spans="1:14" ht="25.5" x14ac:dyDescent="0.2">
      <c r="A89" s="6" t="s">
        <v>199</v>
      </c>
      <c r="B89" s="55">
        <v>5.57E-2</v>
      </c>
      <c r="F89" s="46" t="s">
        <v>260</v>
      </c>
      <c r="G89" s="46" t="s">
        <v>271</v>
      </c>
      <c r="H89" s="46" t="s">
        <v>272</v>
      </c>
      <c r="I89" s="46" t="s">
        <v>170</v>
      </c>
    </row>
    <row r="90" spans="1:14" x14ac:dyDescent="0.2">
      <c r="A90" s="6" t="s">
        <v>200</v>
      </c>
      <c r="B90" s="55">
        <v>7.1199999999999999E-2</v>
      </c>
      <c r="F90" s="6">
        <v>2</v>
      </c>
      <c r="G90" s="102">
        <f>IF(SUM(62206*(F90^-0.351))/$B$63&lt;0.97,0.97,(62206*(F90^-0.351))/$B$63)</f>
        <v>7.1556273001570876</v>
      </c>
      <c r="H90" s="92">
        <f>G90*$B$63</f>
        <v>48772.020486235393</v>
      </c>
      <c r="I90" s="92">
        <f t="shared" ref="I90:I105" si="15">IF(SUM(F90*H90)&lt;$B$66,$B$66,(F90*H90))</f>
        <v>143864.55737540525</v>
      </c>
    </row>
    <row r="91" spans="1:14" ht="14.25" customHeight="1" x14ac:dyDescent="0.2">
      <c r="F91" s="6">
        <v>5</v>
      </c>
      <c r="G91" s="102">
        <f t="shared" ref="G91:G105" si="16">IF(SUM(62206*(F91^-0.351))/$B$63&lt;0.97,0.97,(62206*(F91^-0.351))/$B$63)</f>
        <v>5.1876512162656807</v>
      </c>
      <c r="H91" s="92">
        <f t="shared" ref="H91:H105" si="17">G91*$B$63</f>
        <v>35358.49769447877</v>
      </c>
      <c r="I91" s="92">
        <f t="shared" si="15"/>
        <v>176792.48847239386</v>
      </c>
    </row>
    <row r="92" spans="1:14" ht="15" x14ac:dyDescent="0.25">
      <c r="A92" s="103" t="s">
        <v>273</v>
      </c>
      <c r="F92" s="6">
        <v>10</v>
      </c>
      <c r="G92" s="102">
        <f t="shared" si="16"/>
        <v>4.067328415187502</v>
      </c>
      <c r="H92" s="92">
        <f t="shared" si="17"/>
        <v>27722.49258781509</v>
      </c>
      <c r="I92" s="92">
        <f t="shared" si="15"/>
        <v>277224.92587815091</v>
      </c>
    </row>
    <row r="93" spans="1:14" x14ac:dyDescent="0.2">
      <c r="A93" s="57">
        <f>'Health Insurance Composite'!$X$8</f>
        <v>16763.93</v>
      </c>
      <c r="F93" s="6">
        <v>25</v>
      </c>
      <c r="G93" s="102">
        <f t="shared" si="16"/>
        <v>2.9487115964712416</v>
      </c>
      <c r="H93" s="92">
        <f t="shared" si="17"/>
        <v>20098.115281652259</v>
      </c>
      <c r="I93" s="92">
        <f t="shared" si="15"/>
        <v>502452.88204130647</v>
      </c>
    </row>
    <row r="94" spans="1:14" x14ac:dyDescent="0.2">
      <c r="F94" s="6">
        <v>50</v>
      </c>
      <c r="G94" s="102">
        <f t="shared" si="16"/>
        <v>2.3119091790357085</v>
      </c>
      <c r="H94" s="92">
        <f t="shared" si="17"/>
        <v>15757.73543149318</v>
      </c>
      <c r="I94" s="92">
        <f t="shared" si="15"/>
        <v>787886.77157465904</v>
      </c>
    </row>
    <row r="95" spans="1:14" x14ac:dyDescent="0.2">
      <c r="F95" s="6">
        <v>100</v>
      </c>
      <c r="G95" s="102">
        <f t="shared" si="16"/>
        <v>1.8126303225130245</v>
      </c>
      <c r="H95" s="92">
        <f t="shared" si="17"/>
        <v>12354.702042913264</v>
      </c>
      <c r="I95" s="92">
        <f t="shared" si="15"/>
        <v>1235470.2042913265</v>
      </c>
    </row>
    <row r="96" spans="1:14" x14ac:dyDescent="0.2">
      <c r="F96" s="6">
        <v>200</v>
      </c>
      <c r="G96" s="102">
        <f t="shared" si="16"/>
        <v>1.4211755011345646</v>
      </c>
      <c r="H96" s="92">
        <f t="shared" si="17"/>
        <v>9686.5861996961739</v>
      </c>
      <c r="I96" s="92">
        <f t="shared" si="15"/>
        <v>1937317.2399392347</v>
      </c>
    </row>
    <row r="97" spans="6:9" x14ac:dyDescent="0.2">
      <c r="F97" s="6">
        <v>300</v>
      </c>
      <c r="G97" s="102">
        <f t="shared" si="16"/>
        <v>1.2326497171464963</v>
      </c>
      <c r="H97" s="92">
        <f t="shared" si="17"/>
        <v>8401.6138257649873</v>
      </c>
      <c r="I97" s="92">
        <f t="shared" si="15"/>
        <v>2520484.147729496</v>
      </c>
    </row>
    <row r="98" spans="6:9" x14ac:dyDescent="0.2">
      <c r="F98" s="6">
        <v>400</v>
      </c>
      <c r="G98" s="102">
        <f t="shared" si="16"/>
        <v>1.1142590852308594</v>
      </c>
      <c r="H98" s="92">
        <f t="shared" si="17"/>
        <v>7594.6754424535711</v>
      </c>
      <c r="I98" s="92">
        <f t="shared" si="15"/>
        <v>3037870.1769814286</v>
      </c>
    </row>
    <row r="99" spans="6:9" x14ac:dyDescent="0.2">
      <c r="F99" s="6">
        <v>500</v>
      </c>
      <c r="G99" s="102">
        <f t="shared" si="16"/>
        <v>1.0303167713648056</v>
      </c>
      <c r="H99" s="92">
        <f t="shared" si="17"/>
        <v>7022.5332556396625</v>
      </c>
      <c r="I99" s="92">
        <f t="shared" si="15"/>
        <v>3511266.627819831</v>
      </c>
    </row>
    <row r="100" spans="6:9" x14ac:dyDescent="0.2">
      <c r="F100" s="6">
        <v>600</v>
      </c>
      <c r="G100" s="102">
        <f t="shared" si="16"/>
        <v>0.97</v>
      </c>
      <c r="H100" s="92">
        <f t="shared" si="17"/>
        <v>6611.4203391517831</v>
      </c>
      <c r="I100" s="92">
        <f t="shared" si="15"/>
        <v>3966852.2034910698</v>
      </c>
    </row>
    <row r="101" spans="6:9" x14ac:dyDescent="0.2">
      <c r="F101" s="20">
        <v>800</v>
      </c>
      <c r="G101" s="102">
        <f t="shared" si="16"/>
        <v>0.97</v>
      </c>
      <c r="H101" s="92">
        <f t="shared" si="17"/>
        <v>6611.4203391517831</v>
      </c>
      <c r="I101" s="38">
        <f t="shared" si="15"/>
        <v>5289136.2713214261</v>
      </c>
    </row>
    <row r="102" spans="6:9" x14ac:dyDescent="0.2">
      <c r="F102" s="20">
        <v>1000</v>
      </c>
      <c r="G102" s="102">
        <f t="shared" si="16"/>
        <v>0.97</v>
      </c>
      <c r="H102" s="92">
        <f t="shared" si="17"/>
        <v>6611.4203391517831</v>
      </c>
      <c r="I102" s="38">
        <f t="shared" si="15"/>
        <v>6611420.3391517829</v>
      </c>
    </row>
    <row r="103" spans="6:9" x14ac:dyDescent="0.2">
      <c r="F103" s="20">
        <v>1200</v>
      </c>
      <c r="G103" s="102">
        <f t="shared" si="16"/>
        <v>0.97</v>
      </c>
      <c r="H103" s="92">
        <f t="shared" si="17"/>
        <v>6611.4203391517831</v>
      </c>
      <c r="I103" s="38">
        <f t="shared" si="15"/>
        <v>7933704.4069821397</v>
      </c>
    </row>
    <row r="104" spans="6:9" x14ac:dyDescent="0.2">
      <c r="F104" s="20">
        <v>1500</v>
      </c>
      <c r="G104" s="102">
        <f t="shared" si="16"/>
        <v>0.97</v>
      </c>
      <c r="H104" s="92">
        <f t="shared" si="17"/>
        <v>6611.4203391517831</v>
      </c>
      <c r="I104" s="38">
        <f t="shared" si="15"/>
        <v>9917130.5087276753</v>
      </c>
    </row>
    <row r="105" spans="6:9" x14ac:dyDescent="0.2">
      <c r="F105" s="20">
        <v>1800</v>
      </c>
      <c r="G105" s="102">
        <f t="shared" si="16"/>
        <v>0.97</v>
      </c>
      <c r="H105" s="92">
        <f t="shared" si="17"/>
        <v>6611.4203391517831</v>
      </c>
      <c r="I105" s="38">
        <f t="shared" si="15"/>
        <v>11900556.61047321</v>
      </c>
    </row>
    <row r="107" spans="6:9" x14ac:dyDescent="0.2">
      <c r="F107" t="s">
        <v>274</v>
      </c>
    </row>
  </sheetData>
  <sheetProtection algorithmName="SHA-512" hashValue="MuPS0kpL/Y9ovZZWgkhvZlFG4C64RghwfHx8OFkWmmtLgStjKjWXlaGs+QELSHsQqdpD9S6wnQnKw58eGqObuA==" saltValue="w7KKxNmGdwIwY+0etHfDww==" spinCount="100000" sheet="1" objects="1" scenarios="1"/>
  <mergeCells count="6">
    <mergeCell ref="A83:B83"/>
    <mergeCell ref="A1:G1"/>
    <mergeCell ref="B40:L40"/>
    <mergeCell ref="M40:W40"/>
    <mergeCell ref="B57:L57"/>
    <mergeCell ref="F63:I65"/>
  </mergeCells>
  <printOptions headings="1"/>
  <pageMargins left="0.5" right="0.5" top="0.5" bottom="0.5" header="0.25" footer="0.25"/>
  <pageSetup scale="45" fitToHeight="2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0"/>
  <sheetViews>
    <sheetView showGridLines="0" workbookViewId="0">
      <selection sqref="A1:M1"/>
    </sheetView>
  </sheetViews>
  <sheetFormatPr defaultColWidth="8.85546875" defaultRowHeight="12.75" x14ac:dyDescent="0.2"/>
  <cols>
    <col min="1" max="1" width="49.7109375" customWidth="1"/>
    <col min="2" max="16" width="14.140625" customWidth="1"/>
  </cols>
  <sheetData>
    <row r="1" spans="1:9" ht="15.75" x14ac:dyDescent="0.25">
      <c r="A1" s="448" t="s">
        <v>154</v>
      </c>
      <c r="B1" s="448"/>
      <c r="C1" s="448"/>
      <c r="D1" s="448"/>
      <c r="E1" s="448"/>
      <c r="F1" s="448"/>
      <c r="G1" s="448"/>
      <c r="H1" s="448"/>
      <c r="I1" s="448"/>
    </row>
    <row r="2" spans="1:9" ht="15" x14ac:dyDescent="0.25">
      <c r="A2" s="112" t="s">
        <v>279</v>
      </c>
      <c r="B2" s="112"/>
      <c r="C2" s="112"/>
      <c r="D2" s="112"/>
      <c r="E2" s="112"/>
      <c r="F2" s="112"/>
    </row>
    <row r="3" spans="1:9" s="40" customFormat="1" ht="15" x14ac:dyDescent="0.25">
      <c r="A3" s="113" t="s">
        <v>280</v>
      </c>
      <c r="B3" s="114">
        <v>100</v>
      </c>
      <c r="C3" s="114">
        <v>500</v>
      </c>
      <c r="D3" s="114">
        <v>1000</v>
      </c>
      <c r="E3" s="114">
        <v>3500</v>
      </c>
      <c r="F3" s="114">
        <v>10000</v>
      </c>
    </row>
    <row r="4" spans="1:9" ht="15" x14ac:dyDescent="0.25">
      <c r="A4" s="115" t="s">
        <v>281</v>
      </c>
      <c r="B4" s="116">
        <v>819</v>
      </c>
      <c r="C4" s="116">
        <v>453</v>
      </c>
      <c r="D4" s="116">
        <v>351</v>
      </c>
      <c r="E4" s="116">
        <v>221</v>
      </c>
      <c r="F4" s="116">
        <v>190</v>
      </c>
    </row>
    <row r="5" spans="1:9" x14ac:dyDescent="0.2">
      <c r="A5" t="s">
        <v>282</v>
      </c>
      <c r="E5" s="40"/>
      <c r="F5" s="117"/>
      <c r="G5" s="40"/>
      <c r="H5" s="40"/>
    </row>
    <row r="6" spans="1:9" x14ac:dyDescent="0.2">
      <c r="E6" s="40"/>
      <c r="F6" s="117"/>
      <c r="G6" s="40"/>
      <c r="H6" s="40"/>
    </row>
    <row r="7" spans="1:9" x14ac:dyDescent="0.2">
      <c r="E7" s="40"/>
      <c r="F7" s="117"/>
      <c r="G7" s="40"/>
      <c r="H7" s="40"/>
    </row>
    <row r="8" spans="1:9" ht="45" x14ac:dyDescent="0.25">
      <c r="E8" s="118" t="s">
        <v>280</v>
      </c>
      <c r="F8" s="118" t="s">
        <v>271</v>
      </c>
      <c r="G8" s="118" t="s">
        <v>272</v>
      </c>
      <c r="H8" s="118" t="s">
        <v>170</v>
      </c>
    </row>
    <row r="9" spans="1:9" ht="12.75" customHeight="1" x14ac:dyDescent="0.25">
      <c r="E9" s="119">
        <v>100</v>
      </c>
      <c r="F9" s="120">
        <f>IF(SUM(3515.4*(E9^-0.327))/$E$4&lt;1,1,(3515.4*(E9^-0.327))/$E$4)</f>
        <v>3.5284378706632071</v>
      </c>
      <c r="G9" s="121">
        <f>F9*$F$4</f>
        <v>670.40319542600935</v>
      </c>
      <c r="H9" s="121">
        <f>E9*G9</f>
        <v>67040.319542600933</v>
      </c>
    </row>
    <row r="10" spans="1:9" ht="15" x14ac:dyDescent="0.25">
      <c r="E10" s="119">
        <v>500</v>
      </c>
      <c r="F10" s="120">
        <f t="shared" ref="F10:F15" si="0">IF(SUM(3515.4*(E10^-0.327))/$E$4&lt;1,1,(3515.4*(E10^-0.327))/$E$4)</f>
        <v>2.0845834394903684</v>
      </c>
      <c r="G10" s="121">
        <f t="shared" ref="G10:G15" si="1">F10*$F$4</f>
        <v>396.07085350316999</v>
      </c>
      <c r="H10" s="121">
        <f t="shared" ref="H10:H15" si="2">E10*G10</f>
        <v>198035.42675158498</v>
      </c>
    </row>
    <row r="11" spans="1:9" ht="15" x14ac:dyDescent="0.25">
      <c r="E11" s="119">
        <v>1000</v>
      </c>
      <c r="F11" s="120">
        <f t="shared" si="0"/>
        <v>1.6618142346827147</v>
      </c>
      <c r="G11" s="121">
        <f t="shared" si="1"/>
        <v>315.74470458971581</v>
      </c>
      <c r="H11" s="121">
        <f t="shared" si="2"/>
        <v>315744.70458971581</v>
      </c>
    </row>
    <row r="12" spans="1:9" ht="15" x14ac:dyDescent="0.25">
      <c r="E12" s="119">
        <v>3000</v>
      </c>
      <c r="F12" s="120">
        <f t="shared" si="0"/>
        <v>1.1602827200917933</v>
      </c>
      <c r="G12" s="121">
        <f t="shared" si="1"/>
        <v>220.45371681744072</v>
      </c>
      <c r="H12" s="121">
        <f t="shared" si="2"/>
        <v>661361.15045232221</v>
      </c>
    </row>
    <row r="13" spans="1:9" ht="15" x14ac:dyDescent="0.25">
      <c r="E13" s="119">
        <v>5000</v>
      </c>
      <c r="F13" s="120">
        <f t="shared" si="0"/>
        <v>1</v>
      </c>
      <c r="G13" s="121">
        <f t="shared" si="1"/>
        <v>190</v>
      </c>
      <c r="H13" s="121">
        <f t="shared" si="2"/>
        <v>950000</v>
      </c>
    </row>
    <row r="14" spans="1:9" ht="15" x14ac:dyDescent="0.25">
      <c r="E14" s="119">
        <v>10000</v>
      </c>
      <c r="F14" s="120">
        <f t="shared" si="0"/>
        <v>1</v>
      </c>
      <c r="G14" s="121">
        <f t="shared" si="1"/>
        <v>190</v>
      </c>
      <c r="H14" s="121">
        <f t="shared" si="2"/>
        <v>1900000</v>
      </c>
    </row>
    <row r="15" spans="1:9" ht="15" x14ac:dyDescent="0.25">
      <c r="E15" s="119">
        <v>15000</v>
      </c>
      <c r="F15" s="120">
        <f t="shared" si="0"/>
        <v>1</v>
      </c>
      <c r="G15" s="121">
        <f t="shared" si="1"/>
        <v>190</v>
      </c>
      <c r="H15" s="121">
        <f t="shared" si="2"/>
        <v>2850000</v>
      </c>
    </row>
    <row r="16" spans="1:9" x14ac:dyDescent="0.2">
      <c r="E16" t="s">
        <v>283</v>
      </c>
    </row>
    <row r="19" spans="1:8" x14ac:dyDescent="0.2">
      <c r="E19" s="469" t="s">
        <v>284</v>
      </c>
      <c r="F19" s="469"/>
      <c r="G19" s="469"/>
      <c r="H19" s="469"/>
    </row>
    <row r="20" spans="1:8" x14ac:dyDescent="0.2">
      <c r="E20" s="469"/>
      <c r="F20" s="469"/>
      <c r="G20" s="469"/>
      <c r="H20" s="469"/>
    </row>
    <row r="21" spans="1:8" x14ac:dyDescent="0.2">
      <c r="E21" s="469"/>
      <c r="F21" s="469"/>
      <c r="G21" s="469"/>
      <c r="H21" s="469"/>
    </row>
    <row r="30" spans="1:8" x14ac:dyDescent="0.2">
      <c r="A30" t="s">
        <v>285</v>
      </c>
    </row>
  </sheetData>
  <sheetProtection algorithmName="SHA-512" hashValue="zpi607FLycwyfbsoRr/ihwLrGTMMw3SjUuH1MnufBD3ImtiFCpksrosdu4nekqs7PQ4p343e8Kqw1t8ZBzwlPw==" saltValue="5aenEkh0AUConhdq7JXf/Q==" spinCount="100000" sheet="1" objects="1" scenarios="1"/>
  <mergeCells count="2">
    <mergeCell ref="A1:I1"/>
    <mergeCell ref="E19:H21"/>
  </mergeCells>
  <printOptions headings="1"/>
  <pageMargins left="0.5" right="0.5" top="0.5" bottom="0.5" header="0.25" footer="0.25"/>
  <pageSetup scale="45" fitToHeight="2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52"/>
  <sheetViews>
    <sheetView showGridLines="0" zoomScale="85" zoomScaleNormal="85" workbookViewId="0">
      <pane xSplit="3" ySplit="4" topLeftCell="D5" activePane="bottomRight" state="frozen"/>
      <selection sqref="A1:M1"/>
      <selection pane="topRight" sqref="A1:M1"/>
      <selection pane="bottomLeft" sqref="A1:M1"/>
      <selection pane="bottomRight" sqref="A1:I1"/>
    </sheetView>
  </sheetViews>
  <sheetFormatPr defaultRowHeight="12.75" x14ac:dyDescent="0.2"/>
  <cols>
    <col min="1" max="1" width="8.5703125" customWidth="1"/>
    <col min="2" max="2" width="12.28515625" customWidth="1"/>
    <col min="3" max="39" width="12.7109375" customWidth="1"/>
  </cols>
  <sheetData>
    <row r="1" spans="1:39" ht="15.75" x14ac:dyDescent="0.25">
      <c r="A1" s="448" t="s">
        <v>286</v>
      </c>
      <c r="B1" s="448"/>
      <c r="C1" s="448"/>
      <c r="D1" s="448"/>
      <c r="E1" s="448"/>
      <c r="F1" s="448"/>
      <c r="G1" s="448"/>
      <c r="H1" s="448"/>
      <c r="I1" s="448"/>
    </row>
    <row r="3" spans="1:39" x14ac:dyDescent="0.2">
      <c r="D3" s="473" t="s">
        <v>185</v>
      </c>
      <c r="E3" s="474"/>
      <c r="F3" s="474"/>
      <c r="G3" s="474"/>
      <c r="H3" s="474"/>
      <c r="I3" s="475"/>
      <c r="J3" s="473" t="s">
        <v>186</v>
      </c>
      <c r="K3" s="474"/>
      <c r="L3" s="474"/>
      <c r="M3" s="474"/>
      <c r="N3" s="474"/>
      <c r="O3" s="475"/>
      <c r="P3" s="473" t="s">
        <v>187</v>
      </c>
      <c r="Q3" s="474"/>
      <c r="R3" s="474"/>
      <c r="S3" s="474"/>
      <c r="T3" s="474"/>
      <c r="U3" s="475"/>
      <c r="V3" s="473" t="s">
        <v>287</v>
      </c>
      <c r="W3" s="474"/>
      <c r="X3" s="474"/>
      <c r="Y3" s="474"/>
      <c r="Z3" s="474"/>
      <c r="AA3" s="475"/>
      <c r="AB3" s="473" t="s">
        <v>288</v>
      </c>
      <c r="AC3" s="474"/>
      <c r="AD3" s="474"/>
      <c r="AE3" s="474"/>
      <c r="AF3" s="474"/>
      <c r="AG3" s="475"/>
      <c r="AH3" s="473" t="s">
        <v>191</v>
      </c>
      <c r="AI3" s="474"/>
      <c r="AJ3" s="474"/>
      <c r="AK3" s="474"/>
      <c r="AL3" s="474"/>
      <c r="AM3" s="475"/>
    </row>
    <row r="4" spans="1:39" ht="26.25" thickBot="1" x14ac:dyDescent="0.25">
      <c r="A4" s="1" t="s">
        <v>1</v>
      </c>
      <c r="B4" s="1" t="s">
        <v>2</v>
      </c>
      <c r="C4" s="1" t="s">
        <v>289</v>
      </c>
      <c r="D4" s="1" t="s">
        <v>290</v>
      </c>
      <c r="E4" s="1" t="s">
        <v>291</v>
      </c>
      <c r="F4" s="1" t="s">
        <v>292</v>
      </c>
      <c r="G4" s="1" t="s">
        <v>293</v>
      </c>
      <c r="H4" s="1" t="s">
        <v>294</v>
      </c>
      <c r="I4" s="1" t="s">
        <v>295</v>
      </c>
      <c r="J4" s="1" t="s">
        <v>290</v>
      </c>
      <c r="K4" s="1" t="s">
        <v>291</v>
      </c>
      <c r="L4" s="1" t="s">
        <v>292</v>
      </c>
      <c r="M4" s="1" t="s">
        <v>293</v>
      </c>
      <c r="N4" s="1" t="s">
        <v>294</v>
      </c>
      <c r="O4" s="1" t="s">
        <v>295</v>
      </c>
      <c r="P4" s="1" t="s">
        <v>290</v>
      </c>
      <c r="Q4" s="1" t="s">
        <v>291</v>
      </c>
      <c r="R4" s="1" t="s">
        <v>292</v>
      </c>
      <c r="S4" s="1" t="s">
        <v>293</v>
      </c>
      <c r="T4" s="1" t="s">
        <v>294</v>
      </c>
      <c r="U4" s="1" t="s">
        <v>295</v>
      </c>
      <c r="V4" s="1" t="s">
        <v>290</v>
      </c>
      <c r="W4" s="1" t="s">
        <v>291</v>
      </c>
      <c r="X4" s="1" t="s">
        <v>292</v>
      </c>
      <c r="Y4" s="1" t="s">
        <v>293</v>
      </c>
      <c r="Z4" s="1" t="s">
        <v>294</v>
      </c>
      <c r="AA4" s="1" t="s">
        <v>295</v>
      </c>
      <c r="AB4" s="1" t="s">
        <v>290</v>
      </c>
      <c r="AC4" s="1" t="s">
        <v>291</v>
      </c>
      <c r="AD4" s="1" t="s">
        <v>292</v>
      </c>
      <c r="AE4" s="1" t="s">
        <v>293</v>
      </c>
      <c r="AF4" s="1" t="s">
        <v>294</v>
      </c>
      <c r="AG4" s="1" t="s">
        <v>295</v>
      </c>
      <c r="AH4" s="1" t="s">
        <v>290</v>
      </c>
      <c r="AI4" s="1" t="s">
        <v>291</v>
      </c>
      <c r="AJ4" s="1" t="s">
        <v>292</v>
      </c>
      <c r="AK4" s="1" t="s">
        <v>293</v>
      </c>
      <c r="AL4" s="1" t="s">
        <v>294</v>
      </c>
      <c r="AM4" s="1" t="s">
        <v>295</v>
      </c>
    </row>
    <row r="5" spans="1:39" x14ac:dyDescent="0.2">
      <c r="A5" s="2" t="s">
        <v>14</v>
      </c>
      <c r="B5" s="2" t="s">
        <v>15</v>
      </c>
      <c r="C5" s="122">
        <f>VLOOKUP(A5,'Regional Cost Adjustment'!$A$4:$C$52,3,FALSE)</f>
        <v>0.94</v>
      </c>
      <c r="D5" s="123">
        <f>'Model Data Inputs'!$B$116</f>
        <v>106892.576407638</v>
      </c>
      <c r="E5" s="123">
        <f>(D5*$C5)-D5</f>
        <v>-6413.5545844582812</v>
      </c>
      <c r="F5" s="123">
        <f>SUM(D5:E5)</f>
        <v>100479.02182317972</v>
      </c>
      <c r="G5" s="123">
        <f>$F5*SUM('Model Data Inputs'!$B$126:$B$131)</f>
        <v>21201.073604690922</v>
      </c>
      <c r="H5" s="123">
        <f>'Model Data Inputs'!$A$134</f>
        <v>16763.93</v>
      </c>
      <c r="I5" s="123">
        <f>SUM(F5:H5)</f>
        <v>138444.02542787063</v>
      </c>
      <c r="J5" s="123">
        <f>'Model Data Inputs'!$B$117</f>
        <v>85514.061126110406</v>
      </c>
      <c r="K5" s="123">
        <f>(J5*$C5)-J5</f>
        <v>-5130.8436675666308</v>
      </c>
      <c r="L5" s="123">
        <f>SUM(J5:K5)</f>
        <v>80383.217458543775</v>
      </c>
      <c r="M5" s="123">
        <f>L5*SUM('Model Data Inputs'!$B$126:$B$131)</f>
        <v>16960.858883752739</v>
      </c>
      <c r="N5" s="123">
        <f>'Model Data Inputs'!$A$134</f>
        <v>16763.93</v>
      </c>
      <c r="O5" s="123">
        <f>SUM(L5:N5)</f>
        <v>114108.00634229652</v>
      </c>
      <c r="P5" s="123">
        <f>'Model Data Inputs'!$B$118</f>
        <v>72079.036986516003</v>
      </c>
      <c r="Q5" s="123">
        <f>(P5*$C5)-P5</f>
        <v>-4324.7422191909573</v>
      </c>
      <c r="R5" s="123">
        <f>SUM(P5:Q5)</f>
        <v>67754.294767325046</v>
      </c>
      <c r="S5" s="123">
        <f>R5*SUM('Model Data Inputs'!$B$126:$B$131)</f>
        <v>14296.156195905585</v>
      </c>
      <c r="T5" s="123">
        <f>'Model Data Inputs'!$A$134</f>
        <v>16763.93</v>
      </c>
      <c r="U5" s="123">
        <f>SUM(R5:T5)</f>
        <v>98814.380963230622</v>
      </c>
      <c r="V5" s="123">
        <f>'Model Data Inputs'!$B$120</f>
        <v>34885.391674434002</v>
      </c>
      <c r="W5" s="123">
        <f>(V5*$C5)-V5</f>
        <v>-2093.1235004660412</v>
      </c>
      <c r="X5" s="123">
        <f>SUM(V5:W5)</f>
        <v>32792.268173967961</v>
      </c>
      <c r="Y5" s="123">
        <f>X5*SUM('Model Data Inputs'!$B$126:$B$131)</f>
        <v>6919.1685847072404</v>
      </c>
      <c r="Z5" s="123">
        <f>'Model Data Inputs'!$A$134</f>
        <v>16763.93</v>
      </c>
      <c r="AA5" s="123">
        <f>SUM(X5:Z5)</f>
        <v>56475.366758675205</v>
      </c>
      <c r="AB5" s="123">
        <f>'Model Data Inputs'!$B$121</f>
        <v>35775.686000627997</v>
      </c>
      <c r="AC5" s="123">
        <f>(AB5*$C5)-AB5</f>
        <v>-2146.5411600376829</v>
      </c>
      <c r="AD5" s="123">
        <f>SUM(AB5:AC5)</f>
        <v>33629.144840590314</v>
      </c>
      <c r="AE5" s="123">
        <f>AD5*SUM('Model Data Inputs'!$B$126:$B$131)</f>
        <v>7095.7495613645569</v>
      </c>
      <c r="AF5" s="123">
        <f>'Model Data Inputs'!$A$134</f>
        <v>16763.93</v>
      </c>
      <c r="AG5" s="123">
        <f>SUM(AD5:AF5)</f>
        <v>57488.824401954873</v>
      </c>
      <c r="AH5" s="123">
        <f>'Model Data Inputs'!$B$121</f>
        <v>35775.686000627997</v>
      </c>
      <c r="AI5" s="123">
        <f>(AH5*$C5)-AH5</f>
        <v>-2146.5411600376829</v>
      </c>
      <c r="AJ5" s="123">
        <f>SUM(AH5:AI5)</f>
        <v>33629.144840590314</v>
      </c>
      <c r="AK5" s="123">
        <f>AJ5*SUM('Model Data Inputs'!$B$126:$B$131)</f>
        <v>7095.7495613645569</v>
      </c>
      <c r="AL5" s="123">
        <f>'Model Data Inputs'!$A$134</f>
        <v>16763.93</v>
      </c>
      <c r="AM5" s="123">
        <f>SUM(AJ5:AL5)</f>
        <v>57488.824401954873</v>
      </c>
    </row>
    <row r="6" spans="1:39" x14ac:dyDescent="0.2">
      <c r="A6" s="6" t="s">
        <v>16</v>
      </c>
      <c r="B6" s="6" t="s">
        <v>17</v>
      </c>
      <c r="C6" s="122">
        <f>VLOOKUP(A6,'Regional Cost Adjustment'!$A$4:$C$52,3,FALSE)</f>
        <v>0.92</v>
      </c>
      <c r="D6" s="123">
        <f>'Model Data Inputs'!$B$116</f>
        <v>106892.576407638</v>
      </c>
      <c r="E6" s="123">
        <f t="shared" ref="E6:E52" si="0">(D6*$C6)-D6</f>
        <v>-8551.4061126110319</v>
      </c>
      <c r="F6" s="123">
        <f t="shared" ref="F6:F52" si="1">SUM(D6:E6)</f>
        <v>98341.170295026968</v>
      </c>
      <c r="G6" s="123">
        <f>$F6*SUM('Model Data Inputs'!$B$126:$B$131)</f>
        <v>20749.986932250693</v>
      </c>
      <c r="H6" s="123">
        <f>'Model Data Inputs'!$A$134</f>
        <v>16763.93</v>
      </c>
      <c r="I6" s="123">
        <f t="shared" ref="I6:I52" si="2">SUM(F6:H6)</f>
        <v>135855.08722727766</v>
      </c>
      <c r="J6" s="123">
        <f>'Model Data Inputs'!$B$117</f>
        <v>85514.061126110406</v>
      </c>
      <c r="K6" s="123">
        <f t="shared" ref="K6:K52" si="3">(J6*$C6)-J6</f>
        <v>-6841.1248900888313</v>
      </c>
      <c r="L6" s="123">
        <f t="shared" ref="L6:L52" si="4">SUM(J6:K6)</f>
        <v>78672.936236021575</v>
      </c>
      <c r="M6" s="123">
        <f>L6*SUM('Model Data Inputs'!$B$126:$B$131)</f>
        <v>16599.989545800552</v>
      </c>
      <c r="N6" s="123">
        <f>'Model Data Inputs'!$A$134</f>
        <v>16763.93</v>
      </c>
      <c r="O6" s="123">
        <f t="shared" ref="O6:O52" si="5">SUM(L6:N6)</f>
        <v>112036.85578182212</v>
      </c>
      <c r="P6" s="123">
        <f>'Model Data Inputs'!$B$118</f>
        <v>72079.036986516003</v>
      </c>
      <c r="Q6" s="123">
        <f t="shared" ref="Q6:Q52" si="6">(P6*$C6)-P6</f>
        <v>-5766.3229589212715</v>
      </c>
      <c r="R6" s="123">
        <f t="shared" ref="R6:R52" si="7">SUM(P6:Q6)</f>
        <v>66312.714027594731</v>
      </c>
      <c r="S6" s="123">
        <f>R6*SUM('Model Data Inputs'!$B$126:$B$131)</f>
        <v>13991.98265982249</v>
      </c>
      <c r="T6" s="123">
        <f>'Model Data Inputs'!$A$134</f>
        <v>16763.93</v>
      </c>
      <c r="U6" s="123">
        <f t="shared" ref="U6:U52" si="8">SUM(R6:T6)</f>
        <v>97068.626687417214</v>
      </c>
      <c r="V6" s="123">
        <f>'Model Data Inputs'!$B$120</f>
        <v>34885.391674434002</v>
      </c>
      <c r="W6" s="123">
        <f t="shared" ref="W6:W52" si="9">(V6*$C6)-V6</f>
        <v>-2790.8313339547203</v>
      </c>
      <c r="X6" s="123">
        <f t="shared" ref="X6:X52" si="10">SUM(V6:W6)</f>
        <v>32094.560340479282</v>
      </c>
      <c r="Y6" s="123">
        <f>X6*SUM('Model Data Inputs'!$B$126:$B$131)</f>
        <v>6771.9522318411291</v>
      </c>
      <c r="Z6" s="123">
        <f>'Model Data Inputs'!$A$134</f>
        <v>16763.93</v>
      </c>
      <c r="AA6" s="123">
        <f t="shared" ref="AA6:AA52" si="11">SUM(X6:Z6)</f>
        <v>55630.442572320411</v>
      </c>
      <c r="AB6" s="123">
        <f>'Model Data Inputs'!$B$121</f>
        <v>35775.686000627997</v>
      </c>
      <c r="AC6" s="123">
        <f t="shared" ref="AC6:AC52" si="12">(AB6*$C6)-AB6</f>
        <v>-2862.0548800502365</v>
      </c>
      <c r="AD6" s="123">
        <f t="shared" ref="AD6:AD52" si="13">SUM(AB6:AC6)</f>
        <v>32913.63112057776</v>
      </c>
      <c r="AE6" s="123">
        <f>AD6*SUM('Model Data Inputs'!$B$126:$B$131)</f>
        <v>6944.7761664419077</v>
      </c>
      <c r="AF6" s="123">
        <f>'Model Data Inputs'!$A$134</f>
        <v>16763.93</v>
      </c>
      <c r="AG6" s="123">
        <f t="shared" ref="AG6:AG52" si="14">SUM(AD6:AF6)</f>
        <v>56622.337287019669</v>
      </c>
      <c r="AH6" s="123">
        <f>'Model Data Inputs'!$B$121</f>
        <v>35775.686000627997</v>
      </c>
      <c r="AI6" s="123">
        <f t="shared" ref="AI6:AI52" si="15">(AH6*$C6)-AH6</f>
        <v>-2862.0548800502365</v>
      </c>
      <c r="AJ6" s="123">
        <f t="shared" ref="AJ6:AJ52" si="16">SUM(AH6:AI6)</f>
        <v>32913.63112057776</v>
      </c>
      <c r="AK6" s="123">
        <f>AJ6*SUM('Model Data Inputs'!$B$126:$B$131)</f>
        <v>6944.7761664419077</v>
      </c>
      <c r="AL6" s="123">
        <f>'Model Data Inputs'!$A$134</f>
        <v>16763.93</v>
      </c>
      <c r="AM6" s="123">
        <f t="shared" ref="AM6:AM52" si="17">SUM(AJ6:AL6)</f>
        <v>56622.337287019669</v>
      </c>
    </row>
    <row r="7" spans="1:39" x14ac:dyDescent="0.2">
      <c r="A7" s="6" t="s">
        <v>18</v>
      </c>
      <c r="B7" s="6" t="s">
        <v>19</v>
      </c>
      <c r="C7" s="122">
        <f>VLOOKUP(A7,'Regional Cost Adjustment'!$A$4:$C$52,3,FALSE)</f>
        <v>0.92</v>
      </c>
      <c r="D7" s="123">
        <f>'Model Data Inputs'!$B$116</f>
        <v>106892.576407638</v>
      </c>
      <c r="E7" s="123">
        <f t="shared" si="0"/>
        <v>-8551.4061126110319</v>
      </c>
      <c r="F7" s="123">
        <f t="shared" si="1"/>
        <v>98341.170295026968</v>
      </c>
      <c r="G7" s="123">
        <f>$F7*SUM('Model Data Inputs'!$B$126:$B$131)</f>
        <v>20749.986932250693</v>
      </c>
      <c r="H7" s="123">
        <f>'Model Data Inputs'!$A$134</f>
        <v>16763.93</v>
      </c>
      <c r="I7" s="123">
        <f t="shared" si="2"/>
        <v>135855.08722727766</v>
      </c>
      <c r="J7" s="123">
        <f>'Model Data Inputs'!$B$117</f>
        <v>85514.061126110406</v>
      </c>
      <c r="K7" s="123">
        <f t="shared" si="3"/>
        <v>-6841.1248900888313</v>
      </c>
      <c r="L7" s="123">
        <f t="shared" si="4"/>
        <v>78672.936236021575</v>
      </c>
      <c r="M7" s="123">
        <f>L7*SUM('Model Data Inputs'!$B$126:$B$131)</f>
        <v>16599.989545800552</v>
      </c>
      <c r="N7" s="123">
        <f>'Model Data Inputs'!$A$134</f>
        <v>16763.93</v>
      </c>
      <c r="O7" s="123">
        <f t="shared" si="5"/>
        <v>112036.85578182212</v>
      </c>
      <c r="P7" s="123">
        <f>'Model Data Inputs'!$B$118</f>
        <v>72079.036986516003</v>
      </c>
      <c r="Q7" s="123">
        <f t="shared" si="6"/>
        <v>-5766.3229589212715</v>
      </c>
      <c r="R7" s="123">
        <f t="shared" si="7"/>
        <v>66312.714027594731</v>
      </c>
      <c r="S7" s="123">
        <f>R7*SUM('Model Data Inputs'!$B$126:$B$131)</f>
        <v>13991.98265982249</v>
      </c>
      <c r="T7" s="123">
        <f>'Model Data Inputs'!$A$134</f>
        <v>16763.93</v>
      </c>
      <c r="U7" s="123">
        <f t="shared" si="8"/>
        <v>97068.626687417214</v>
      </c>
      <c r="V7" s="123">
        <f>'Model Data Inputs'!$B$120</f>
        <v>34885.391674434002</v>
      </c>
      <c r="W7" s="123">
        <f t="shared" si="9"/>
        <v>-2790.8313339547203</v>
      </c>
      <c r="X7" s="123">
        <f t="shared" si="10"/>
        <v>32094.560340479282</v>
      </c>
      <c r="Y7" s="123">
        <f>X7*SUM('Model Data Inputs'!$B$126:$B$131)</f>
        <v>6771.9522318411291</v>
      </c>
      <c r="Z7" s="123">
        <f>'Model Data Inputs'!$A$134</f>
        <v>16763.93</v>
      </c>
      <c r="AA7" s="123">
        <f t="shared" si="11"/>
        <v>55630.442572320411</v>
      </c>
      <c r="AB7" s="123">
        <f>'Model Data Inputs'!$B$121</f>
        <v>35775.686000627997</v>
      </c>
      <c r="AC7" s="123">
        <f t="shared" si="12"/>
        <v>-2862.0548800502365</v>
      </c>
      <c r="AD7" s="123">
        <f t="shared" si="13"/>
        <v>32913.63112057776</v>
      </c>
      <c r="AE7" s="123">
        <f>AD7*SUM('Model Data Inputs'!$B$126:$B$131)</f>
        <v>6944.7761664419077</v>
      </c>
      <c r="AF7" s="123">
        <f>'Model Data Inputs'!$A$134</f>
        <v>16763.93</v>
      </c>
      <c r="AG7" s="123">
        <f t="shared" si="14"/>
        <v>56622.337287019669</v>
      </c>
      <c r="AH7" s="123">
        <f>'Model Data Inputs'!$B$121</f>
        <v>35775.686000627997</v>
      </c>
      <c r="AI7" s="123">
        <f t="shared" si="15"/>
        <v>-2862.0548800502365</v>
      </c>
      <c r="AJ7" s="123">
        <f t="shared" si="16"/>
        <v>32913.63112057776</v>
      </c>
      <c r="AK7" s="123">
        <f>AJ7*SUM('Model Data Inputs'!$B$126:$B$131)</f>
        <v>6944.7761664419077</v>
      </c>
      <c r="AL7" s="123">
        <f>'Model Data Inputs'!$A$134</f>
        <v>16763.93</v>
      </c>
      <c r="AM7" s="123">
        <f t="shared" si="17"/>
        <v>56622.337287019669</v>
      </c>
    </row>
    <row r="8" spans="1:39" x14ac:dyDescent="0.2">
      <c r="A8" s="6" t="s">
        <v>20</v>
      </c>
      <c r="B8" s="6" t="s">
        <v>21</v>
      </c>
      <c r="C8" s="122">
        <f>VLOOKUP(A8,'Regional Cost Adjustment'!$A$4:$C$52,3,FALSE)</f>
        <v>0.92</v>
      </c>
      <c r="D8" s="123">
        <f>'Model Data Inputs'!$B$116</f>
        <v>106892.576407638</v>
      </c>
      <c r="E8" s="123">
        <f t="shared" si="0"/>
        <v>-8551.4061126110319</v>
      </c>
      <c r="F8" s="123">
        <f t="shared" si="1"/>
        <v>98341.170295026968</v>
      </c>
      <c r="G8" s="123">
        <f>$F8*SUM('Model Data Inputs'!$B$126:$B$131)</f>
        <v>20749.986932250693</v>
      </c>
      <c r="H8" s="123">
        <f>'Model Data Inputs'!$A$134</f>
        <v>16763.93</v>
      </c>
      <c r="I8" s="123">
        <f t="shared" si="2"/>
        <v>135855.08722727766</v>
      </c>
      <c r="J8" s="123">
        <f>'Model Data Inputs'!$B$117</f>
        <v>85514.061126110406</v>
      </c>
      <c r="K8" s="123">
        <f t="shared" si="3"/>
        <v>-6841.1248900888313</v>
      </c>
      <c r="L8" s="123">
        <f t="shared" si="4"/>
        <v>78672.936236021575</v>
      </c>
      <c r="M8" s="123">
        <f>L8*SUM('Model Data Inputs'!$B$126:$B$131)</f>
        <v>16599.989545800552</v>
      </c>
      <c r="N8" s="123">
        <f>'Model Data Inputs'!$A$134</f>
        <v>16763.93</v>
      </c>
      <c r="O8" s="123">
        <f t="shared" si="5"/>
        <v>112036.85578182212</v>
      </c>
      <c r="P8" s="123">
        <f>'Model Data Inputs'!$B$118</f>
        <v>72079.036986516003</v>
      </c>
      <c r="Q8" s="123">
        <f t="shared" si="6"/>
        <v>-5766.3229589212715</v>
      </c>
      <c r="R8" s="123">
        <f t="shared" si="7"/>
        <v>66312.714027594731</v>
      </c>
      <c r="S8" s="123">
        <f>R8*SUM('Model Data Inputs'!$B$126:$B$131)</f>
        <v>13991.98265982249</v>
      </c>
      <c r="T8" s="123">
        <f>'Model Data Inputs'!$A$134</f>
        <v>16763.93</v>
      </c>
      <c r="U8" s="123">
        <f t="shared" si="8"/>
        <v>97068.626687417214</v>
      </c>
      <c r="V8" s="123">
        <f>'Model Data Inputs'!$B$120</f>
        <v>34885.391674434002</v>
      </c>
      <c r="W8" s="123">
        <f t="shared" si="9"/>
        <v>-2790.8313339547203</v>
      </c>
      <c r="X8" s="123">
        <f t="shared" si="10"/>
        <v>32094.560340479282</v>
      </c>
      <c r="Y8" s="123">
        <f>X8*SUM('Model Data Inputs'!$B$126:$B$131)</f>
        <v>6771.9522318411291</v>
      </c>
      <c r="Z8" s="123">
        <f>'Model Data Inputs'!$A$134</f>
        <v>16763.93</v>
      </c>
      <c r="AA8" s="123">
        <f t="shared" si="11"/>
        <v>55630.442572320411</v>
      </c>
      <c r="AB8" s="123">
        <f>'Model Data Inputs'!$B$121</f>
        <v>35775.686000627997</v>
      </c>
      <c r="AC8" s="123">
        <f t="shared" si="12"/>
        <v>-2862.0548800502365</v>
      </c>
      <c r="AD8" s="123">
        <f t="shared" si="13"/>
        <v>32913.63112057776</v>
      </c>
      <c r="AE8" s="123">
        <f>AD8*SUM('Model Data Inputs'!$B$126:$B$131)</f>
        <v>6944.7761664419077</v>
      </c>
      <c r="AF8" s="123">
        <f>'Model Data Inputs'!$A$134</f>
        <v>16763.93</v>
      </c>
      <c r="AG8" s="123">
        <f t="shared" si="14"/>
        <v>56622.337287019669</v>
      </c>
      <c r="AH8" s="123">
        <f>'Model Data Inputs'!$B$121</f>
        <v>35775.686000627997</v>
      </c>
      <c r="AI8" s="123">
        <f t="shared" si="15"/>
        <v>-2862.0548800502365</v>
      </c>
      <c r="AJ8" s="123">
        <f t="shared" si="16"/>
        <v>32913.63112057776</v>
      </c>
      <c r="AK8" s="123">
        <f>AJ8*SUM('Model Data Inputs'!$B$126:$B$131)</f>
        <v>6944.7761664419077</v>
      </c>
      <c r="AL8" s="123">
        <f>'Model Data Inputs'!$A$134</f>
        <v>16763.93</v>
      </c>
      <c r="AM8" s="123">
        <f t="shared" si="17"/>
        <v>56622.337287019669</v>
      </c>
    </row>
    <row r="9" spans="1:39" x14ac:dyDescent="0.2">
      <c r="A9" s="6" t="s">
        <v>22</v>
      </c>
      <c r="B9" s="6" t="s">
        <v>23</v>
      </c>
      <c r="C9" s="122">
        <f>VLOOKUP(A9,'Regional Cost Adjustment'!$A$4:$C$52,3,FALSE)</f>
        <v>0.92</v>
      </c>
      <c r="D9" s="123">
        <f>'Model Data Inputs'!$B$116</f>
        <v>106892.576407638</v>
      </c>
      <c r="E9" s="123">
        <f t="shared" si="0"/>
        <v>-8551.4061126110319</v>
      </c>
      <c r="F9" s="123">
        <f t="shared" si="1"/>
        <v>98341.170295026968</v>
      </c>
      <c r="G9" s="123">
        <f>$F9*SUM('Model Data Inputs'!$B$126:$B$131)</f>
        <v>20749.986932250693</v>
      </c>
      <c r="H9" s="123">
        <f>'Model Data Inputs'!$A$134</f>
        <v>16763.93</v>
      </c>
      <c r="I9" s="123">
        <f t="shared" si="2"/>
        <v>135855.08722727766</v>
      </c>
      <c r="J9" s="123">
        <f>'Model Data Inputs'!$B$117</f>
        <v>85514.061126110406</v>
      </c>
      <c r="K9" s="123">
        <f t="shared" si="3"/>
        <v>-6841.1248900888313</v>
      </c>
      <c r="L9" s="123">
        <f t="shared" si="4"/>
        <v>78672.936236021575</v>
      </c>
      <c r="M9" s="123">
        <f>L9*SUM('Model Data Inputs'!$B$126:$B$131)</f>
        <v>16599.989545800552</v>
      </c>
      <c r="N9" s="123">
        <f>'Model Data Inputs'!$A$134</f>
        <v>16763.93</v>
      </c>
      <c r="O9" s="123">
        <f t="shared" si="5"/>
        <v>112036.85578182212</v>
      </c>
      <c r="P9" s="123">
        <f>'Model Data Inputs'!$B$118</f>
        <v>72079.036986516003</v>
      </c>
      <c r="Q9" s="123">
        <f t="shared" si="6"/>
        <v>-5766.3229589212715</v>
      </c>
      <c r="R9" s="123">
        <f t="shared" si="7"/>
        <v>66312.714027594731</v>
      </c>
      <c r="S9" s="123">
        <f>R9*SUM('Model Data Inputs'!$B$126:$B$131)</f>
        <v>13991.98265982249</v>
      </c>
      <c r="T9" s="123">
        <f>'Model Data Inputs'!$A$134</f>
        <v>16763.93</v>
      </c>
      <c r="U9" s="123">
        <f t="shared" si="8"/>
        <v>97068.626687417214</v>
      </c>
      <c r="V9" s="123">
        <f>'Model Data Inputs'!$B$120</f>
        <v>34885.391674434002</v>
      </c>
      <c r="W9" s="123">
        <f t="shared" si="9"/>
        <v>-2790.8313339547203</v>
      </c>
      <c r="X9" s="123">
        <f t="shared" si="10"/>
        <v>32094.560340479282</v>
      </c>
      <c r="Y9" s="123">
        <f>X9*SUM('Model Data Inputs'!$B$126:$B$131)</f>
        <v>6771.9522318411291</v>
      </c>
      <c r="Z9" s="123">
        <f>'Model Data Inputs'!$A$134</f>
        <v>16763.93</v>
      </c>
      <c r="AA9" s="123">
        <f t="shared" si="11"/>
        <v>55630.442572320411</v>
      </c>
      <c r="AB9" s="123">
        <f>'Model Data Inputs'!$B$121</f>
        <v>35775.686000627997</v>
      </c>
      <c r="AC9" s="123">
        <f t="shared" si="12"/>
        <v>-2862.0548800502365</v>
      </c>
      <c r="AD9" s="123">
        <f t="shared" si="13"/>
        <v>32913.63112057776</v>
      </c>
      <c r="AE9" s="123">
        <f>AD9*SUM('Model Data Inputs'!$B$126:$B$131)</f>
        <v>6944.7761664419077</v>
      </c>
      <c r="AF9" s="123">
        <f>'Model Data Inputs'!$A$134</f>
        <v>16763.93</v>
      </c>
      <c r="AG9" s="123">
        <f t="shared" si="14"/>
        <v>56622.337287019669</v>
      </c>
      <c r="AH9" s="123">
        <f>'Model Data Inputs'!$B$121</f>
        <v>35775.686000627997</v>
      </c>
      <c r="AI9" s="123">
        <f t="shared" si="15"/>
        <v>-2862.0548800502365</v>
      </c>
      <c r="AJ9" s="123">
        <f t="shared" si="16"/>
        <v>32913.63112057776</v>
      </c>
      <c r="AK9" s="123">
        <f>AJ9*SUM('Model Data Inputs'!$B$126:$B$131)</f>
        <v>6944.7761664419077</v>
      </c>
      <c r="AL9" s="123">
        <f>'Model Data Inputs'!$A$134</f>
        <v>16763.93</v>
      </c>
      <c r="AM9" s="123">
        <f t="shared" si="17"/>
        <v>56622.337287019669</v>
      </c>
    </row>
    <row r="10" spans="1:39" x14ac:dyDescent="0.2">
      <c r="A10" s="6" t="s">
        <v>24</v>
      </c>
      <c r="B10" s="6" t="s">
        <v>25</v>
      </c>
      <c r="C10" s="122">
        <f>VLOOKUP(A10,'Regional Cost Adjustment'!$A$4:$C$52,3,FALSE)</f>
        <v>1.17</v>
      </c>
      <c r="D10" s="123">
        <f>'Model Data Inputs'!$B$116</f>
        <v>106892.576407638</v>
      </c>
      <c r="E10" s="123">
        <f t="shared" si="0"/>
        <v>18171.737989298446</v>
      </c>
      <c r="F10" s="123">
        <f t="shared" si="1"/>
        <v>125064.31439693645</v>
      </c>
      <c r="G10" s="123">
        <f>$F10*SUM('Model Data Inputs'!$B$126:$B$131)</f>
        <v>26388.570337753594</v>
      </c>
      <c r="H10" s="123">
        <f>'Model Data Inputs'!$A$134</f>
        <v>16763.93</v>
      </c>
      <c r="I10" s="123">
        <f t="shared" si="2"/>
        <v>168216.81473469004</v>
      </c>
      <c r="J10" s="123">
        <f>'Model Data Inputs'!$B$117</f>
        <v>85514.061126110406</v>
      </c>
      <c r="K10" s="123">
        <f t="shared" si="3"/>
        <v>14537.390391438763</v>
      </c>
      <c r="L10" s="123">
        <f t="shared" si="4"/>
        <v>100051.45151754917</v>
      </c>
      <c r="M10" s="123">
        <f>L10*SUM('Model Data Inputs'!$B$126:$B$131)</f>
        <v>21110.856270202876</v>
      </c>
      <c r="N10" s="123">
        <f>'Model Data Inputs'!$A$134</f>
        <v>16763.93</v>
      </c>
      <c r="O10" s="123">
        <f t="shared" si="5"/>
        <v>137926.23778775203</v>
      </c>
      <c r="P10" s="123">
        <f>'Model Data Inputs'!$B$118</f>
        <v>72079.036986516003</v>
      </c>
      <c r="Q10" s="123">
        <f t="shared" si="6"/>
        <v>12253.436287707722</v>
      </c>
      <c r="R10" s="123">
        <f t="shared" si="7"/>
        <v>84332.473274223725</v>
      </c>
      <c r="S10" s="123">
        <f>R10*SUM('Model Data Inputs'!$B$126:$B$131)</f>
        <v>17794.151860861206</v>
      </c>
      <c r="T10" s="123">
        <f>'Model Data Inputs'!$A$134</f>
        <v>16763.93</v>
      </c>
      <c r="U10" s="123">
        <f t="shared" si="8"/>
        <v>118890.55513508493</v>
      </c>
      <c r="V10" s="123">
        <f>'Model Data Inputs'!$B$120</f>
        <v>34885.391674434002</v>
      </c>
      <c r="W10" s="123">
        <f t="shared" si="9"/>
        <v>5930.5165846537784</v>
      </c>
      <c r="X10" s="123">
        <f t="shared" si="10"/>
        <v>40815.908259087781</v>
      </c>
      <c r="Y10" s="123">
        <f>X10*SUM('Model Data Inputs'!$B$126:$B$131)</f>
        <v>8612.1566426675217</v>
      </c>
      <c r="Z10" s="123">
        <f>'Model Data Inputs'!$A$134</f>
        <v>16763.93</v>
      </c>
      <c r="AA10" s="123">
        <f t="shared" si="11"/>
        <v>66191.994901755301</v>
      </c>
      <c r="AB10" s="123">
        <f>'Model Data Inputs'!$B$121</f>
        <v>35775.686000627997</v>
      </c>
      <c r="AC10" s="123">
        <f t="shared" si="12"/>
        <v>6081.8666201067535</v>
      </c>
      <c r="AD10" s="123">
        <f t="shared" si="13"/>
        <v>41857.55262073475</v>
      </c>
      <c r="AE10" s="123">
        <f>AD10*SUM('Model Data Inputs'!$B$126:$B$131)</f>
        <v>8831.9436029750341</v>
      </c>
      <c r="AF10" s="123">
        <f>'Model Data Inputs'!$A$134</f>
        <v>16763.93</v>
      </c>
      <c r="AG10" s="123">
        <f t="shared" si="14"/>
        <v>67453.426223709786</v>
      </c>
      <c r="AH10" s="123">
        <f>'Model Data Inputs'!$B$121</f>
        <v>35775.686000627997</v>
      </c>
      <c r="AI10" s="123">
        <f t="shared" si="15"/>
        <v>6081.8666201067535</v>
      </c>
      <c r="AJ10" s="123">
        <f t="shared" si="16"/>
        <v>41857.55262073475</v>
      </c>
      <c r="AK10" s="123">
        <f>AJ10*SUM('Model Data Inputs'!$B$126:$B$131)</f>
        <v>8831.9436029750341</v>
      </c>
      <c r="AL10" s="123">
        <f>'Model Data Inputs'!$A$134</f>
        <v>16763.93</v>
      </c>
      <c r="AM10" s="123">
        <f t="shared" si="17"/>
        <v>67453.426223709786</v>
      </c>
    </row>
    <row r="11" spans="1:39" x14ac:dyDescent="0.2">
      <c r="A11" s="6" t="s">
        <v>26</v>
      </c>
      <c r="B11" s="6" t="s">
        <v>27</v>
      </c>
      <c r="C11" s="122">
        <f>VLOOKUP(A11,'Regional Cost Adjustment'!$A$4:$C$52,3,FALSE)</f>
        <v>0.99</v>
      </c>
      <c r="D11" s="123">
        <f>'Model Data Inputs'!$B$116</f>
        <v>106892.576407638</v>
      </c>
      <c r="E11" s="123">
        <f t="shared" si="0"/>
        <v>-1068.9257640763826</v>
      </c>
      <c r="F11" s="123">
        <f t="shared" si="1"/>
        <v>105823.65064356162</v>
      </c>
      <c r="G11" s="123">
        <f>$F11*SUM('Model Data Inputs'!$B$126:$B$131)</f>
        <v>22328.790285791503</v>
      </c>
      <c r="H11" s="123">
        <f>'Model Data Inputs'!$A$134</f>
        <v>16763.93</v>
      </c>
      <c r="I11" s="123">
        <f t="shared" si="2"/>
        <v>144916.37092935311</v>
      </c>
      <c r="J11" s="123">
        <f>'Model Data Inputs'!$B$117</f>
        <v>85514.061126110406</v>
      </c>
      <c r="K11" s="123">
        <f t="shared" si="3"/>
        <v>-855.14061126110028</v>
      </c>
      <c r="L11" s="123">
        <f t="shared" si="4"/>
        <v>84658.920514849306</v>
      </c>
      <c r="M11" s="123">
        <f>L11*SUM('Model Data Inputs'!$B$126:$B$131)</f>
        <v>17863.032228633205</v>
      </c>
      <c r="N11" s="123">
        <f>'Model Data Inputs'!$A$134</f>
        <v>16763.93</v>
      </c>
      <c r="O11" s="123">
        <f t="shared" si="5"/>
        <v>119285.88274348251</v>
      </c>
      <c r="P11" s="123">
        <f>'Model Data Inputs'!$B$118</f>
        <v>72079.036986516003</v>
      </c>
      <c r="Q11" s="123">
        <f t="shared" si="6"/>
        <v>-720.79036986516439</v>
      </c>
      <c r="R11" s="123">
        <f t="shared" si="7"/>
        <v>71358.246616650838</v>
      </c>
      <c r="S11" s="123">
        <f>R11*SUM('Model Data Inputs'!$B$126:$B$131)</f>
        <v>15056.590036113328</v>
      </c>
      <c r="T11" s="123">
        <f>'Model Data Inputs'!$A$134</f>
        <v>16763.93</v>
      </c>
      <c r="U11" s="123">
        <f t="shared" si="8"/>
        <v>103178.76665276417</v>
      </c>
      <c r="V11" s="123">
        <f>'Model Data Inputs'!$B$120</f>
        <v>34885.391674434002</v>
      </c>
      <c r="W11" s="123">
        <f t="shared" si="9"/>
        <v>-348.85391674433777</v>
      </c>
      <c r="X11" s="123">
        <f t="shared" si="10"/>
        <v>34536.537757689664</v>
      </c>
      <c r="Y11" s="123">
        <f>X11*SUM('Model Data Inputs'!$B$126:$B$131)</f>
        <v>7287.2094668725204</v>
      </c>
      <c r="Z11" s="123">
        <f>'Model Data Inputs'!$A$134</f>
        <v>16763.93</v>
      </c>
      <c r="AA11" s="123">
        <f t="shared" si="11"/>
        <v>58587.677224562183</v>
      </c>
      <c r="AB11" s="123">
        <f>'Model Data Inputs'!$B$121</f>
        <v>35775.686000627997</v>
      </c>
      <c r="AC11" s="123">
        <f t="shared" si="12"/>
        <v>-357.75686000628048</v>
      </c>
      <c r="AD11" s="123">
        <f t="shared" si="13"/>
        <v>35417.929140621716</v>
      </c>
      <c r="AE11" s="123">
        <f>AD11*SUM('Model Data Inputs'!$B$126:$B$131)</f>
        <v>7473.1830486711833</v>
      </c>
      <c r="AF11" s="123">
        <f>'Model Data Inputs'!$A$134</f>
        <v>16763.93</v>
      </c>
      <c r="AG11" s="123">
        <f t="shared" si="14"/>
        <v>59655.042189292901</v>
      </c>
      <c r="AH11" s="123">
        <f>'Model Data Inputs'!$B$121</f>
        <v>35775.686000627997</v>
      </c>
      <c r="AI11" s="123">
        <f t="shared" si="15"/>
        <v>-357.75686000628048</v>
      </c>
      <c r="AJ11" s="123">
        <f t="shared" si="16"/>
        <v>35417.929140621716</v>
      </c>
      <c r="AK11" s="123">
        <f>AJ11*SUM('Model Data Inputs'!$B$126:$B$131)</f>
        <v>7473.1830486711833</v>
      </c>
      <c r="AL11" s="123">
        <f>'Model Data Inputs'!$A$134</f>
        <v>16763.93</v>
      </c>
      <c r="AM11" s="123">
        <f t="shared" si="17"/>
        <v>59655.042189292901</v>
      </c>
    </row>
    <row r="12" spans="1:39" x14ac:dyDescent="0.2">
      <c r="A12" s="6" t="s">
        <v>28</v>
      </c>
      <c r="B12" s="6" t="s">
        <v>29</v>
      </c>
      <c r="C12" s="122">
        <f>VLOOKUP(A12,'Regional Cost Adjustment'!$A$4:$C$52,3,FALSE)</f>
        <v>0.99</v>
      </c>
      <c r="D12" s="123">
        <f>'Model Data Inputs'!$B$116</f>
        <v>106892.576407638</v>
      </c>
      <c r="E12" s="123">
        <f t="shared" si="0"/>
        <v>-1068.9257640763826</v>
      </c>
      <c r="F12" s="123">
        <f t="shared" si="1"/>
        <v>105823.65064356162</v>
      </c>
      <c r="G12" s="123">
        <f>$F12*SUM('Model Data Inputs'!$B$126:$B$131)</f>
        <v>22328.790285791503</v>
      </c>
      <c r="H12" s="123">
        <f>'Model Data Inputs'!$A$134</f>
        <v>16763.93</v>
      </c>
      <c r="I12" s="123">
        <f t="shared" si="2"/>
        <v>144916.37092935311</v>
      </c>
      <c r="J12" s="123">
        <f>'Model Data Inputs'!$B$117</f>
        <v>85514.061126110406</v>
      </c>
      <c r="K12" s="123">
        <f t="shared" si="3"/>
        <v>-855.14061126110028</v>
      </c>
      <c r="L12" s="123">
        <f t="shared" si="4"/>
        <v>84658.920514849306</v>
      </c>
      <c r="M12" s="123">
        <f>L12*SUM('Model Data Inputs'!$B$126:$B$131)</f>
        <v>17863.032228633205</v>
      </c>
      <c r="N12" s="123">
        <f>'Model Data Inputs'!$A$134</f>
        <v>16763.93</v>
      </c>
      <c r="O12" s="123">
        <f t="shared" si="5"/>
        <v>119285.88274348251</v>
      </c>
      <c r="P12" s="123">
        <f>'Model Data Inputs'!$B$118</f>
        <v>72079.036986516003</v>
      </c>
      <c r="Q12" s="123">
        <f t="shared" si="6"/>
        <v>-720.79036986516439</v>
      </c>
      <c r="R12" s="123">
        <f t="shared" si="7"/>
        <v>71358.246616650838</v>
      </c>
      <c r="S12" s="123">
        <f>R12*SUM('Model Data Inputs'!$B$126:$B$131)</f>
        <v>15056.590036113328</v>
      </c>
      <c r="T12" s="123">
        <f>'Model Data Inputs'!$A$134</f>
        <v>16763.93</v>
      </c>
      <c r="U12" s="123">
        <f t="shared" si="8"/>
        <v>103178.76665276417</v>
      </c>
      <c r="V12" s="123">
        <f>'Model Data Inputs'!$B$120</f>
        <v>34885.391674434002</v>
      </c>
      <c r="W12" s="123">
        <f t="shared" si="9"/>
        <v>-348.85391674433777</v>
      </c>
      <c r="X12" s="123">
        <f t="shared" si="10"/>
        <v>34536.537757689664</v>
      </c>
      <c r="Y12" s="123">
        <f>X12*SUM('Model Data Inputs'!$B$126:$B$131)</f>
        <v>7287.2094668725204</v>
      </c>
      <c r="Z12" s="123">
        <f>'Model Data Inputs'!$A$134</f>
        <v>16763.93</v>
      </c>
      <c r="AA12" s="123">
        <f t="shared" si="11"/>
        <v>58587.677224562183</v>
      </c>
      <c r="AB12" s="123">
        <f>'Model Data Inputs'!$B$121</f>
        <v>35775.686000627997</v>
      </c>
      <c r="AC12" s="123">
        <f t="shared" si="12"/>
        <v>-357.75686000628048</v>
      </c>
      <c r="AD12" s="123">
        <f t="shared" si="13"/>
        <v>35417.929140621716</v>
      </c>
      <c r="AE12" s="123">
        <f>AD12*SUM('Model Data Inputs'!$B$126:$B$131)</f>
        <v>7473.1830486711833</v>
      </c>
      <c r="AF12" s="123">
        <f>'Model Data Inputs'!$A$134</f>
        <v>16763.93</v>
      </c>
      <c r="AG12" s="123">
        <f t="shared" si="14"/>
        <v>59655.042189292901</v>
      </c>
      <c r="AH12" s="123">
        <f>'Model Data Inputs'!$B$121</f>
        <v>35775.686000627997</v>
      </c>
      <c r="AI12" s="123">
        <f t="shared" si="15"/>
        <v>-357.75686000628048</v>
      </c>
      <c r="AJ12" s="123">
        <f t="shared" si="16"/>
        <v>35417.929140621716</v>
      </c>
      <c r="AK12" s="123">
        <f>AJ12*SUM('Model Data Inputs'!$B$126:$B$131)</f>
        <v>7473.1830486711833</v>
      </c>
      <c r="AL12" s="123">
        <f>'Model Data Inputs'!$A$134</f>
        <v>16763.93</v>
      </c>
      <c r="AM12" s="123">
        <f t="shared" si="17"/>
        <v>59655.042189292901</v>
      </c>
    </row>
    <row r="13" spans="1:39" x14ac:dyDescent="0.2">
      <c r="A13" s="6" t="s">
        <v>30</v>
      </c>
      <c r="B13" s="6" t="s">
        <v>31</v>
      </c>
      <c r="C13" s="122">
        <f>VLOOKUP(A13,'Regional Cost Adjustment'!$A$4:$C$52,3,FALSE)</f>
        <v>1.0900000000000001</v>
      </c>
      <c r="D13" s="123">
        <f>'Model Data Inputs'!$B$116</f>
        <v>106892.576407638</v>
      </c>
      <c r="E13" s="123">
        <f t="shared" si="0"/>
        <v>9620.331876687429</v>
      </c>
      <c r="F13" s="123">
        <f t="shared" si="1"/>
        <v>116512.90828432543</v>
      </c>
      <c r="G13" s="123">
        <f>$F13*SUM('Model Data Inputs'!$B$126:$B$131)</f>
        <v>24584.223647992669</v>
      </c>
      <c r="H13" s="123">
        <f>'Model Data Inputs'!$A$134</f>
        <v>16763.93</v>
      </c>
      <c r="I13" s="123">
        <f t="shared" si="2"/>
        <v>157861.06193231809</v>
      </c>
      <c r="J13" s="123">
        <f>'Model Data Inputs'!$B$117</f>
        <v>85514.061126110406</v>
      </c>
      <c r="K13" s="123">
        <f t="shared" si="3"/>
        <v>7696.2655013499461</v>
      </c>
      <c r="L13" s="123">
        <f t="shared" si="4"/>
        <v>93210.326627460352</v>
      </c>
      <c r="M13" s="123">
        <f>L13*SUM('Model Data Inputs'!$B$126:$B$131)</f>
        <v>19667.378918394137</v>
      </c>
      <c r="N13" s="123">
        <f>'Model Data Inputs'!$A$134</f>
        <v>16763.93</v>
      </c>
      <c r="O13" s="123">
        <f t="shared" si="5"/>
        <v>129641.63554585449</v>
      </c>
      <c r="P13" s="123">
        <f>'Model Data Inputs'!$B$118</f>
        <v>72079.036986516003</v>
      </c>
      <c r="Q13" s="123">
        <f t="shared" si="6"/>
        <v>6487.1133287864504</v>
      </c>
      <c r="R13" s="123">
        <f t="shared" si="7"/>
        <v>78566.150315302453</v>
      </c>
      <c r="S13" s="123">
        <f>R13*SUM('Model Data Inputs'!$B$126:$B$131)</f>
        <v>16577.457716528821</v>
      </c>
      <c r="T13" s="123">
        <f>'Model Data Inputs'!$A$134</f>
        <v>16763.93</v>
      </c>
      <c r="U13" s="123">
        <f t="shared" si="8"/>
        <v>111907.53803183127</v>
      </c>
      <c r="V13" s="123">
        <f>'Model Data Inputs'!$B$120</f>
        <v>34885.391674434002</v>
      </c>
      <c r="W13" s="123">
        <f t="shared" si="9"/>
        <v>3139.6852506990617</v>
      </c>
      <c r="X13" s="123">
        <f t="shared" si="10"/>
        <v>38025.076925133064</v>
      </c>
      <c r="Y13" s="123">
        <f>X13*SUM('Model Data Inputs'!$B$126:$B$131)</f>
        <v>8023.2912312030776</v>
      </c>
      <c r="Z13" s="123">
        <f>'Model Data Inputs'!$A$134</f>
        <v>16763.93</v>
      </c>
      <c r="AA13" s="123">
        <f t="shared" si="11"/>
        <v>62812.298156336139</v>
      </c>
      <c r="AB13" s="123">
        <f>'Model Data Inputs'!$B$121</f>
        <v>35775.686000627997</v>
      </c>
      <c r="AC13" s="123">
        <f t="shared" si="12"/>
        <v>3219.8117400565243</v>
      </c>
      <c r="AD13" s="123">
        <f t="shared" si="13"/>
        <v>38995.497740684521</v>
      </c>
      <c r="AE13" s="123">
        <f>AD13*SUM('Model Data Inputs'!$B$126:$B$131)</f>
        <v>8228.0500232844352</v>
      </c>
      <c r="AF13" s="123">
        <f>'Model Data Inputs'!$A$134</f>
        <v>16763.93</v>
      </c>
      <c r="AG13" s="123">
        <f t="shared" si="14"/>
        <v>63987.477763968956</v>
      </c>
      <c r="AH13" s="123">
        <f>'Model Data Inputs'!$B$121</f>
        <v>35775.686000627997</v>
      </c>
      <c r="AI13" s="123">
        <f t="shared" si="15"/>
        <v>3219.8117400565243</v>
      </c>
      <c r="AJ13" s="123">
        <f t="shared" si="16"/>
        <v>38995.497740684521</v>
      </c>
      <c r="AK13" s="123">
        <f>AJ13*SUM('Model Data Inputs'!$B$126:$B$131)</f>
        <v>8228.0500232844352</v>
      </c>
      <c r="AL13" s="123">
        <f>'Model Data Inputs'!$A$134</f>
        <v>16763.93</v>
      </c>
      <c r="AM13" s="123">
        <f t="shared" si="17"/>
        <v>63987.477763968956</v>
      </c>
    </row>
    <row r="14" spans="1:39" x14ac:dyDescent="0.2">
      <c r="A14" s="6" t="s">
        <v>32</v>
      </c>
      <c r="B14" s="6" t="s">
        <v>33</v>
      </c>
      <c r="C14" s="122">
        <f>VLOOKUP(A14,'Regional Cost Adjustment'!$A$4:$C$52,3,FALSE)</f>
        <v>1.0900000000000001</v>
      </c>
      <c r="D14" s="123">
        <f>'Model Data Inputs'!$B$116</f>
        <v>106892.576407638</v>
      </c>
      <c r="E14" s="123">
        <f t="shared" si="0"/>
        <v>9620.331876687429</v>
      </c>
      <c r="F14" s="123">
        <f t="shared" si="1"/>
        <v>116512.90828432543</v>
      </c>
      <c r="G14" s="123">
        <f>$F14*SUM('Model Data Inputs'!$B$126:$B$131)</f>
        <v>24584.223647992669</v>
      </c>
      <c r="H14" s="123">
        <f>'Model Data Inputs'!$A$134</f>
        <v>16763.93</v>
      </c>
      <c r="I14" s="123">
        <f t="shared" si="2"/>
        <v>157861.06193231809</v>
      </c>
      <c r="J14" s="123">
        <f>'Model Data Inputs'!$B$117</f>
        <v>85514.061126110406</v>
      </c>
      <c r="K14" s="123">
        <f t="shared" si="3"/>
        <v>7696.2655013499461</v>
      </c>
      <c r="L14" s="123">
        <f t="shared" si="4"/>
        <v>93210.326627460352</v>
      </c>
      <c r="M14" s="123">
        <f>L14*SUM('Model Data Inputs'!$B$126:$B$131)</f>
        <v>19667.378918394137</v>
      </c>
      <c r="N14" s="123">
        <f>'Model Data Inputs'!$A$134</f>
        <v>16763.93</v>
      </c>
      <c r="O14" s="123">
        <f t="shared" si="5"/>
        <v>129641.63554585449</v>
      </c>
      <c r="P14" s="123">
        <f>'Model Data Inputs'!$B$118</f>
        <v>72079.036986516003</v>
      </c>
      <c r="Q14" s="123">
        <f t="shared" si="6"/>
        <v>6487.1133287864504</v>
      </c>
      <c r="R14" s="123">
        <f t="shared" si="7"/>
        <v>78566.150315302453</v>
      </c>
      <c r="S14" s="123">
        <f>R14*SUM('Model Data Inputs'!$B$126:$B$131)</f>
        <v>16577.457716528821</v>
      </c>
      <c r="T14" s="123">
        <f>'Model Data Inputs'!$A$134</f>
        <v>16763.93</v>
      </c>
      <c r="U14" s="123">
        <f t="shared" si="8"/>
        <v>111907.53803183127</v>
      </c>
      <c r="V14" s="123">
        <f>'Model Data Inputs'!$B$120</f>
        <v>34885.391674434002</v>
      </c>
      <c r="W14" s="123">
        <f t="shared" si="9"/>
        <v>3139.6852506990617</v>
      </c>
      <c r="X14" s="123">
        <f t="shared" si="10"/>
        <v>38025.076925133064</v>
      </c>
      <c r="Y14" s="123">
        <f>X14*SUM('Model Data Inputs'!$B$126:$B$131)</f>
        <v>8023.2912312030776</v>
      </c>
      <c r="Z14" s="123">
        <f>'Model Data Inputs'!$A$134</f>
        <v>16763.93</v>
      </c>
      <c r="AA14" s="123">
        <f t="shared" si="11"/>
        <v>62812.298156336139</v>
      </c>
      <c r="AB14" s="123">
        <f>'Model Data Inputs'!$B$121</f>
        <v>35775.686000627997</v>
      </c>
      <c r="AC14" s="123">
        <f t="shared" si="12"/>
        <v>3219.8117400565243</v>
      </c>
      <c r="AD14" s="123">
        <f t="shared" si="13"/>
        <v>38995.497740684521</v>
      </c>
      <c r="AE14" s="123">
        <f>AD14*SUM('Model Data Inputs'!$B$126:$B$131)</f>
        <v>8228.0500232844352</v>
      </c>
      <c r="AF14" s="123">
        <f>'Model Data Inputs'!$A$134</f>
        <v>16763.93</v>
      </c>
      <c r="AG14" s="123">
        <f t="shared" si="14"/>
        <v>63987.477763968956</v>
      </c>
      <c r="AH14" s="123">
        <f>'Model Data Inputs'!$B$121</f>
        <v>35775.686000627997</v>
      </c>
      <c r="AI14" s="123">
        <f t="shared" si="15"/>
        <v>3219.8117400565243</v>
      </c>
      <c r="AJ14" s="123">
        <f t="shared" si="16"/>
        <v>38995.497740684521</v>
      </c>
      <c r="AK14" s="123">
        <f>AJ14*SUM('Model Data Inputs'!$B$126:$B$131)</f>
        <v>8228.0500232844352</v>
      </c>
      <c r="AL14" s="123">
        <f>'Model Data Inputs'!$A$134</f>
        <v>16763.93</v>
      </c>
      <c r="AM14" s="123">
        <f t="shared" si="17"/>
        <v>63987.477763968956</v>
      </c>
    </row>
    <row r="15" spans="1:39" x14ac:dyDescent="0.2">
      <c r="A15" s="6" t="s">
        <v>34</v>
      </c>
      <c r="B15" s="6" t="s">
        <v>35</v>
      </c>
      <c r="C15" s="122">
        <f>VLOOKUP(A15,'Regional Cost Adjustment'!$A$4:$C$52,3,FALSE)</f>
        <v>0.96</v>
      </c>
      <c r="D15" s="123">
        <f>'Model Data Inputs'!$B$116</f>
        <v>106892.576407638</v>
      </c>
      <c r="E15" s="123">
        <f t="shared" si="0"/>
        <v>-4275.7030563055305</v>
      </c>
      <c r="F15" s="123">
        <f t="shared" si="1"/>
        <v>102616.87335133247</v>
      </c>
      <c r="G15" s="123">
        <f>$F15*SUM('Model Data Inputs'!$B$126:$B$131)</f>
        <v>21652.160277131152</v>
      </c>
      <c r="H15" s="123">
        <f>'Model Data Inputs'!$A$134</f>
        <v>16763.93</v>
      </c>
      <c r="I15" s="123">
        <f t="shared" si="2"/>
        <v>141032.96362846362</v>
      </c>
      <c r="J15" s="123">
        <f>'Model Data Inputs'!$B$117</f>
        <v>85514.061126110406</v>
      </c>
      <c r="K15" s="123">
        <f t="shared" si="3"/>
        <v>-3420.5624450444157</v>
      </c>
      <c r="L15" s="123">
        <f t="shared" si="4"/>
        <v>82093.49868106599</v>
      </c>
      <c r="M15" s="123">
        <f>L15*SUM('Model Data Inputs'!$B$126:$B$131)</f>
        <v>17321.728221704925</v>
      </c>
      <c r="N15" s="123">
        <f>'Model Data Inputs'!$A$134</f>
        <v>16763.93</v>
      </c>
      <c r="O15" s="123">
        <f t="shared" si="5"/>
        <v>116179.15690277092</v>
      </c>
      <c r="P15" s="123">
        <f>'Model Data Inputs'!$B$118</f>
        <v>72079.036986516003</v>
      </c>
      <c r="Q15" s="123">
        <f t="shared" si="6"/>
        <v>-2883.161479460643</v>
      </c>
      <c r="R15" s="123">
        <f t="shared" si="7"/>
        <v>69195.87550705536</v>
      </c>
      <c r="S15" s="123">
        <f>R15*SUM('Model Data Inputs'!$B$126:$B$131)</f>
        <v>14600.329731988682</v>
      </c>
      <c r="T15" s="123">
        <f>'Model Data Inputs'!$A$134</f>
        <v>16763.93</v>
      </c>
      <c r="U15" s="123">
        <f t="shared" si="8"/>
        <v>100560.13523904403</v>
      </c>
      <c r="V15" s="123">
        <f>'Model Data Inputs'!$B$120</f>
        <v>34885.391674434002</v>
      </c>
      <c r="W15" s="123">
        <f t="shared" si="9"/>
        <v>-1395.4156669773583</v>
      </c>
      <c r="X15" s="123">
        <f t="shared" si="10"/>
        <v>33489.976007456644</v>
      </c>
      <c r="Y15" s="123">
        <f>X15*SUM('Model Data Inputs'!$B$126:$B$131)</f>
        <v>7066.3849375733525</v>
      </c>
      <c r="Z15" s="123">
        <f>'Model Data Inputs'!$A$134</f>
        <v>16763.93</v>
      </c>
      <c r="AA15" s="123">
        <f t="shared" si="11"/>
        <v>57320.290945029999</v>
      </c>
      <c r="AB15" s="123">
        <f>'Model Data Inputs'!$B$121</f>
        <v>35775.686000627997</v>
      </c>
      <c r="AC15" s="123">
        <f t="shared" si="12"/>
        <v>-1431.0274400251219</v>
      </c>
      <c r="AD15" s="123">
        <f t="shared" si="13"/>
        <v>34344.658560602875</v>
      </c>
      <c r="AE15" s="123">
        <f>AD15*SUM('Model Data Inputs'!$B$126:$B$131)</f>
        <v>7246.7229562872071</v>
      </c>
      <c r="AF15" s="123">
        <f>'Model Data Inputs'!$A$134</f>
        <v>16763.93</v>
      </c>
      <c r="AG15" s="123">
        <f t="shared" si="14"/>
        <v>58355.311516890084</v>
      </c>
      <c r="AH15" s="123">
        <f>'Model Data Inputs'!$B$121</f>
        <v>35775.686000627997</v>
      </c>
      <c r="AI15" s="123">
        <f t="shared" si="15"/>
        <v>-1431.0274400251219</v>
      </c>
      <c r="AJ15" s="123">
        <f t="shared" si="16"/>
        <v>34344.658560602875</v>
      </c>
      <c r="AK15" s="123">
        <f>AJ15*SUM('Model Data Inputs'!$B$126:$B$131)</f>
        <v>7246.7229562872071</v>
      </c>
      <c r="AL15" s="123">
        <f>'Model Data Inputs'!$A$134</f>
        <v>16763.93</v>
      </c>
      <c r="AM15" s="123">
        <f t="shared" si="17"/>
        <v>58355.311516890084</v>
      </c>
    </row>
    <row r="16" spans="1:39" x14ac:dyDescent="0.2">
      <c r="A16" s="6" t="s">
        <v>36</v>
      </c>
      <c r="B16" s="6" t="s">
        <v>37</v>
      </c>
      <c r="C16" s="122">
        <f>VLOOKUP(A16,'Regional Cost Adjustment'!$A$4:$C$52,3,FALSE)</f>
        <v>0.94</v>
      </c>
      <c r="D16" s="123">
        <f>'Model Data Inputs'!$B$116</f>
        <v>106892.576407638</v>
      </c>
      <c r="E16" s="123">
        <f t="shared" si="0"/>
        <v>-6413.5545844582812</v>
      </c>
      <c r="F16" s="123">
        <f t="shared" si="1"/>
        <v>100479.02182317972</v>
      </c>
      <c r="G16" s="123">
        <f>$F16*SUM('Model Data Inputs'!$B$126:$B$131)</f>
        <v>21201.073604690922</v>
      </c>
      <c r="H16" s="123">
        <f>'Model Data Inputs'!$A$134</f>
        <v>16763.93</v>
      </c>
      <c r="I16" s="123">
        <f t="shared" si="2"/>
        <v>138444.02542787063</v>
      </c>
      <c r="J16" s="123">
        <f>'Model Data Inputs'!$B$117</f>
        <v>85514.061126110406</v>
      </c>
      <c r="K16" s="123">
        <f t="shared" si="3"/>
        <v>-5130.8436675666308</v>
      </c>
      <c r="L16" s="123">
        <f t="shared" si="4"/>
        <v>80383.217458543775</v>
      </c>
      <c r="M16" s="123">
        <f>L16*SUM('Model Data Inputs'!$B$126:$B$131)</f>
        <v>16960.858883752739</v>
      </c>
      <c r="N16" s="123">
        <f>'Model Data Inputs'!$A$134</f>
        <v>16763.93</v>
      </c>
      <c r="O16" s="123">
        <f t="shared" si="5"/>
        <v>114108.00634229652</v>
      </c>
      <c r="P16" s="123">
        <f>'Model Data Inputs'!$B$118</f>
        <v>72079.036986516003</v>
      </c>
      <c r="Q16" s="123">
        <f t="shared" si="6"/>
        <v>-4324.7422191909573</v>
      </c>
      <c r="R16" s="123">
        <f t="shared" si="7"/>
        <v>67754.294767325046</v>
      </c>
      <c r="S16" s="123">
        <f>R16*SUM('Model Data Inputs'!$B$126:$B$131)</f>
        <v>14296.156195905585</v>
      </c>
      <c r="T16" s="123">
        <f>'Model Data Inputs'!$A$134</f>
        <v>16763.93</v>
      </c>
      <c r="U16" s="123">
        <f t="shared" si="8"/>
        <v>98814.380963230622</v>
      </c>
      <c r="V16" s="123">
        <f>'Model Data Inputs'!$B$120</f>
        <v>34885.391674434002</v>
      </c>
      <c r="W16" s="123">
        <f t="shared" si="9"/>
        <v>-2093.1235004660412</v>
      </c>
      <c r="X16" s="123">
        <f t="shared" si="10"/>
        <v>32792.268173967961</v>
      </c>
      <c r="Y16" s="123">
        <f>X16*SUM('Model Data Inputs'!$B$126:$B$131)</f>
        <v>6919.1685847072404</v>
      </c>
      <c r="Z16" s="123">
        <f>'Model Data Inputs'!$A$134</f>
        <v>16763.93</v>
      </c>
      <c r="AA16" s="123">
        <f t="shared" si="11"/>
        <v>56475.366758675205</v>
      </c>
      <c r="AB16" s="123">
        <f>'Model Data Inputs'!$B$121</f>
        <v>35775.686000627997</v>
      </c>
      <c r="AC16" s="123">
        <f t="shared" si="12"/>
        <v>-2146.5411600376829</v>
      </c>
      <c r="AD16" s="123">
        <f t="shared" si="13"/>
        <v>33629.144840590314</v>
      </c>
      <c r="AE16" s="123">
        <f>AD16*SUM('Model Data Inputs'!$B$126:$B$131)</f>
        <v>7095.7495613645569</v>
      </c>
      <c r="AF16" s="123">
        <f>'Model Data Inputs'!$A$134</f>
        <v>16763.93</v>
      </c>
      <c r="AG16" s="123">
        <f t="shared" si="14"/>
        <v>57488.824401954873</v>
      </c>
      <c r="AH16" s="123">
        <f>'Model Data Inputs'!$B$121</f>
        <v>35775.686000627997</v>
      </c>
      <c r="AI16" s="123">
        <f t="shared" si="15"/>
        <v>-2146.5411600376829</v>
      </c>
      <c r="AJ16" s="123">
        <f t="shared" si="16"/>
        <v>33629.144840590314</v>
      </c>
      <c r="AK16" s="123">
        <f>AJ16*SUM('Model Data Inputs'!$B$126:$B$131)</f>
        <v>7095.7495613645569</v>
      </c>
      <c r="AL16" s="123">
        <f>'Model Data Inputs'!$A$134</f>
        <v>16763.93</v>
      </c>
      <c r="AM16" s="123">
        <f t="shared" si="17"/>
        <v>57488.824401954873</v>
      </c>
    </row>
    <row r="17" spans="1:39" x14ac:dyDescent="0.2">
      <c r="A17" s="6" t="s">
        <v>38</v>
      </c>
      <c r="B17" s="6" t="s">
        <v>39</v>
      </c>
      <c r="C17" s="122">
        <f>VLOOKUP(A17,'Regional Cost Adjustment'!$A$4:$C$52,3,FALSE)</f>
        <v>0.94</v>
      </c>
      <c r="D17" s="123">
        <f>'Model Data Inputs'!$B$116</f>
        <v>106892.576407638</v>
      </c>
      <c r="E17" s="123">
        <f t="shared" si="0"/>
        <v>-6413.5545844582812</v>
      </c>
      <c r="F17" s="123">
        <f t="shared" si="1"/>
        <v>100479.02182317972</v>
      </c>
      <c r="G17" s="123">
        <f>$F17*SUM('Model Data Inputs'!$B$126:$B$131)</f>
        <v>21201.073604690922</v>
      </c>
      <c r="H17" s="123">
        <f>'Model Data Inputs'!$A$134</f>
        <v>16763.93</v>
      </c>
      <c r="I17" s="123">
        <f t="shared" si="2"/>
        <v>138444.02542787063</v>
      </c>
      <c r="J17" s="123">
        <f>'Model Data Inputs'!$B$117</f>
        <v>85514.061126110406</v>
      </c>
      <c r="K17" s="123">
        <f t="shared" si="3"/>
        <v>-5130.8436675666308</v>
      </c>
      <c r="L17" s="123">
        <f t="shared" si="4"/>
        <v>80383.217458543775</v>
      </c>
      <c r="M17" s="123">
        <f>L17*SUM('Model Data Inputs'!$B$126:$B$131)</f>
        <v>16960.858883752739</v>
      </c>
      <c r="N17" s="123">
        <f>'Model Data Inputs'!$A$134</f>
        <v>16763.93</v>
      </c>
      <c r="O17" s="123">
        <f t="shared" si="5"/>
        <v>114108.00634229652</v>
      </c>
      <c r="P17" s="123">
        <f>'Model Data Inputs'!$B$118</f>
        <v>72079.036986516003</v>
      </c>
      <c r="Q17" s="123">
        <f t="shared" si="6"/>
        <v>-4324.7422191909573</v>
      </c>
      <c r="R17" s="123">
        <f t="shared" si="7"/>
        <v>67754.294767325046</v>
      </c>
      <c r="S17" s="123">
        <f>R17*SUM('Model Data Inputs'!$B$126:$B$131)</f>
        <v>14296.156195905585</v>
      </c>
      <c r="T17" s="123">
        <f>'Model Data Inputs'!$A$134</f>
        <v>16763.93</v>
      </c>
      <c r="U17" s="123">
        <f t="shared" si="8"/>
        <v>98814.380963230622</v>
      </c>
      <c r="V17" s="123">
        <f>'Model Data Inputs'!$B$120</f>
        <v>34885.391674434002</v>
      </c>
      <c r="W17" s="123">
        <f t="shared" si="9"/>
        <v>-2093.1235004660412</v>
      </c>
      <c r="X17" s="123">
        <f t="shared" si="10"/>
        <v>32792.268173967961</v>
      </c>
      <c r="Y17" s="123">
        <f>X17*SUM('Model Data Inputs'!$B$126:$B$131)</f>
        <v>6919.1685847072404</v>
      </c>
      <c r="Z17" s="123">
        <f>'Model Data Inputs'!$A$134</f>
        <v>16763.93</v>
      </c>
      <c r="AA17" s="123">
        <f t="shared" si="11"/>
        <v>56475.366758675205</v>
      </c>
      <c r="AB17" s="123">
        <f>'Model Data Inputs'!$B$121</f>
        <v>35775.686000627997</v>
      </c>
      <c r="AC17" s="123">
        <f t="shared" si="12"/>
        <v>-2146.5411600376829</v>
      </c>
      <c r="AD17" s="123">
        <f t="shared" si="13"/>
        <v>33629.144840590314</v>
      </c>
      <c r="AE17" s="123">
        <f>AD17*SUM('Model Data Inputs'!$B$126:$B$131)</f>
        <v>7095.7495613645569</v>
      </c>
      <c r="AF17" s="123">
        <f>'Model Data Inputs'!$A$134</f>
        <v>16763.93</v>
      </c>
      <c r="AG17" s="123">
        <f t="shared" si="14"/>
        <v>57488.824401954873</v>
      </c>
      <c r="AH17" s="123">
        <f>'Model Data Inputs'!$B$121</f>
        <v>35775.686000627997</v>
      </c>
      <c r="AI17" s="123">
        <f t="shared" si="15"/>
        <v>-2146.5411600376829</v>
      </c>
      <c r="AJ17" s="123">
        <f t="shared" si="16"/>
        <v>33629.144840590314</v>
      </c>
      <c r="AK17" s="123">
        <f>AJ17*SUM('Model Data Inputs'!$B$126:$B$131)</f>
        <v>7095.7495613645569</v>
      </c>
      <c r="AL17" s="123">
        <f>'Model Data Inputs'!$A$134</f>
        <v>16763.93</v>
      </c>
      <c r="AM17" s="123">
        <f t="shared" si="17"/>
        <v>57488.824401954873</v>
      </c>
    </row>
    <row r="18" spans="1:39" x14ac:dyDescent="0.2">
      <c r="A18" s="6" t="s">
        <v>40</v>
      </c>
      <c r="B18" s="6" t="s">
        <v>41</v>
      </c>
      <c r="C18" s="122">
        <f>VLOOKUP(A18,'Regional Cost Adjustment'!$A$4:$C$52,3,FALSE)</f>
        <v>0.94</v>
      </c>
      <c r="D18" s="123">
        <f>'Model Data Inputs'!$B$116</f>
        <v>106892.576407638</v>
      </c>
      <c r="E18" s="123">
        <f t="shared" si="0"/>
        <v>-6413.5545844582812</v>
      </c>
      <c r="F18" s="123">
        <f t="shared" si="1"/>
        <v>100479.02182317972</v>
      </c>
      <c r="G18" s="123">
        <f>$F18*SUM('Model Data Inputs'!$B$126:$B$131)</f>
        <v>21201.073604690922</v>
      </c>
      <c r="H18" s="123">
        <f>'Model Data Inputs'!$A$134</f>
        <v>16763.93</v>
      </c>
      <c r="I18" s="123">
        <f t="shared" si="2"/>
        <v>138444.02542787063</v>
      </c>
      <c r="J18" s="123">
        <f>'Model Data Inputs'!$B$117</f>
        <v>85514.061126110406</v>
      </c>
      <c r="K18" s="123">
        <f t="shared" si="3"/>
        <v>-5130.8436675666308</v>
      </c>
      <c r="L18" s="123">
        <f t="shared" si="4"/>
        <v>80383.217458543775</v>
      </c>
      <c r="M18" s="123">
        <f>L18*SUM('Model Data Inputs'!$B$126:$B$131)</f>
        <v>16960.858883752739</v>
      </c>
      <c r="N18" s="123">
        <f>'Model Data Inputs'!$A$134</f>
        <v>16763.93</v>
      </c>
      <c r="O18" s="123">
        <f t="shared" si="5"/>
        <v>114108.00634229652</v>
      </c>
      <c r="P18" s="123">
        <f>'Model Data Inputs'!$B$118</f>
        <v>72079.036986516003</v>
      </c>
      <c r="Q18" s="123">
        <f t="shared" si="6"/>
        <v>-4324.7422191909573</v>
      </c>
      <c r="R18" s="123">
        <f t="shared" si="7"/>
        <v>67754.294767325046</v>
      </c>
      <c r="S18" s="123">
        <f>R18*SUM('Model Data Inputs'!$B$126:$B$131)</f>
        <v>14296.156195905585</v>
      </c>
      <c r="T18" s="123">
        <f>'Model Data Inputs'!$A$134</f>
        <v>16763.93</v>
      </c>
      <c r="U18" s="123">
        <f t="shared" si="8"/>
        <v>98814.380963230622</v>
      </c>
      <c r="V18" s="123">
        <f>'Model Data Inputs'!$B$120</f>
        <v>34885.391674434002</v>
      </c>
      <c r="W18" s="123">
        <f t="shared" si="9"/>
        <v>-2093.1235004660412</v>
      </c>
      <c r="X18" s="123">
        <f t="shared" si="10"/>
        <v>32792.268173967961</v>
      </c>
      <c r="Y18" s="123">
        <f>X18*SUM('Model Data Inputs'!$B$126:$B$131)</f>
        <v>6919.1685847072404</v>
      </c>
      <c r="Z18" s="123">
        <f>'Model Data Inputs'!$A$134</f>
        <v>16763.93</v>
      </c>
      <c r="AA18" s="123">
        <f t="shared" si="11"/>
        <v>56475.366758675205</v>
      </c>
      <c r="AB18" s="123">
        <f>'Model Data Inputs'!$B$121</f>
        <v>35775.686000627997</v>
      </c>
      <c r="AC18" s="123">
        <f t="shared" si="12"/>
        <v>-2146.5411600376829</v>
      </c>
      <c r="AD18" s="123">
        <f t="shared" si="13"/>
        <v>33629.144840590314</v>
      </c>
      <c r="AE18" s="123">
        <f>AD18*SUM('Model Data Inputs'!$B$126:$B$131)</f>
        <v>7095.7495613645569</v>
      </c>
      <c r="AF18" s="123">
        <f>'Model Data Inputs'!$A$134</f>
        <v>16763.93</v>
      </c>
      <c r="AG18" s="123">
        <f t="shared" si="14"/>
        <v>57488.824401954873</v>
      </c>
      <c r="AH18" s="123">
        <f>'Model Data Inputs'!$B$121</f>
        <v>35775.686000627997</v>
      </c>
      <c r="AI18" s="123">
        <f t="shared" si="15"/>
        <v>-2146.5411600376829</v>
      </c>
      <c r="AJ18" s="123">
        <f t="shared" si="16"/>
        <v>33629.144840590314</v>
      </c>
      <c r="AK18" s="123">
        <f>AJ18*SUM('Model Data Inputs'!$B$126:$B$131)</f>
        <v>7095.7495613645569</v>
      </c>
      <c r="AL18" s="123">
        <f>'Model Data Inputs'!$A$134</f>
        <v>16763.93</v>
      </c>
      <c r="AM18" s="123">
        <f t="shared" si="17"/>
        <v>57488.824401954873</v>
      </c>
    </row>
    <row r="19" spans="1:39" x14ac:dyDescent="0.2">
      <c r="A19" s="6" t="s">
        <v>42</v>
      </c>
      <c r="B19" s="6" t="s">
        <v>43</v>
      </c>
      <c r="C19" s="122">
        <f>VLOOKUP(A19,'Regional Cost Adjustment'!$A$4:$C$52,3,FALSE)</f>
        <v>0.94</v>
      </c>
      <c r="D19" s="123">
        <f>'Model Data Inputs'!$B$116</f>
        <v>106892.576407638</v>
      </c>
      <c r="E19" s="123">
        <f t="shared" si="0"/>
        <v>-6413.5545844582812</v>
      </c>
      <c r="F19" s="123">
        <f t="shared" si="1"/>
        <v>100479.02182317972</v>
      </c>
      <c r="G19" s="123">
        <f>$F19*SUM('Model Data Inputs'!$B$126:$B$131)</f>
        <v>21201.073604690922</v>
      </c>
      <c r="H19" s="123">
        <f>'Model Data Inputs'!$A$134</f>
        <v>16763.93</v>
      </c>
      <c r="I19" s="123">
        <f t="shared" si="2"/>
        <v>138444.02542787063</v>
      </c>
      <c r="J19" s="123">
        <f>'Model Data Inputs'!$B$117</f>
        <v>85514.061126110406</v>
      </c>
      <c r="K19" s="123">
        <f t="shared" si="3"/>
        <v>-5130.8436675666308</v>
      </c>
      <c r="L19" s="123">
        <f t="shared" si="4"/>
        <v>80383.217458543775</v>
      </c>
      <c r="M19" s="123">
        <f>L19*SUM('Model Data Inputs'!$B$126:$B$131)</f>
        <v>16960.858883752739</v>
      </c>
      <c r="N19" s="123">
        <f>'Model Data Inputs'!$A$134</f>
        <v>16763.93</v>
      </c>
      <c r="O19" s="123">
        <f t="shared" si="5"/>
        <v>114108.00634229652</v>
      </c>
      <c r="P19" s="123">
        <f>'Model Data Inputs'!$B$118</f>
        <v>72079.036986516003</v>
      </c>
      <c r="Q19" s="123">
        <f t="shared" si="6"/>
        <v>-4324.7422191909573</v>
      </c>
      <c r="R19" s="123">
        <f t="shared" si="7"/>
        <v>67754.294767325046</v>
      </c>
      <c r="S19" s="123">
        <f>R19*SUM('Model Data Inputs'!$B$126:$B$131)</f>
        <v>14296.156195905585</v>
      </c>
      <c r="T19" s="123">
        <f>'Model Data Inputs'!$A$134</f>
        <v>16763.93</v>
      </c>
      <c r="U19" s="123">
        <f t="shared" si="8"/>
        <v>98814.380963230622</v>
      </c>
      <c r="V19" s="123">
        <f>'Model Data Inputs'!$B$120</f>
        <v>34885.391674434002</v>
      </c>
      <c r="W19" s="123">
        <f t="shared" si="9"/>
        <v>-2093.1235004660412</v>
      </c>
      <c r="X19" s="123">
        <f t="shared" si="10"/>
        <v>32792.268173967961</v>
      </c>
      <c r="Y19" s="123">
        <f>X19*SUM('Model Data Inputs'!$B$126:$B$131)</f>
        <v>6919.1685847072404</v>
      </c>
      <c r="Z19" s="123">
        <f>'Model Data Inputs'!$A$134</f>
        <v>16763.93</v>
      </c>
      <c r="AA19" s="123">
        <f t="shared" si="11"/>
        <v>56475.366758675205</v>
      </c>
      <c r="AB19" s="123">
        <f>'Model Data Inputs'!$B$121</f>
        <v>35775.686000627997</v>
      </c>
      <c r="AC19" s="123">
        <f t="shared" si="12"/>
        <v>-2146.5411600376829</v>
      </c>
      <c r="AD19" s="123">
        <f t="shared" si="13"/>
        <v>33629.144840590314</v>
      </c>
      <c r="AE19" s="123">
        <f>AD19*SUM('Model Data Inputs'!$B$126:$B$131)</f>
        <v>7095.7495613645569</v>
      </c>
      <c r="AF19" s="123">
        <f>'Model Data Inputs'!$A$134</f>
        <v>16763.93</v>
      </c>
      <c r="AG19" s="123">
        <f t="shared" si="14"/>
        <v>57488.824401954873</v>
      </c>
      <c r="AH19" s="123">
        <f>'Model Data Inputs'!$B$121</f>
        <v>35775.686000627997</v>
      </c>
      <c r="AI19" s="123">
        <f t="shared" si="15"/>
        <v>-2146.5411600376829</v>
      </c>
      <c r="AJ19" s="123">
        <f t="shared" si="16"/>
        <v>33629.144840590314</v>
      </c>
      <c r="AK19" s="123">
        <f>AJ19*SUM('Model Data Inputs'!$B$126:$B$131)</f>
        <v>7095.7495613645569</v>
      </c>
      <c r="AL19" s="123">
        <f>'Model Data Inputs'!$A$134</f>
        <v>16763.93</v>
      </c>
      <c r="AM19" s="123">
        <f t="shared" si="17"/>
        <v>57488.824401954873</v>
      </c>
    </row>
    <row r="20" spans="1:39" x14ac:dyDescent="0.2">
      <c r="A20" s="6" t="s">
        <v>44</v>
      </c>
      <c r="B20" s="6" t="s">
        <v>45</v>
      </c>
      <c r="C20" s="122">
        <f>VLOOKUP(A20,'Regional Cost Adjustment'!$A$4:$C$52,3,FALSE)</f>
        <v>0.94</v>
      </c>
      <c r="D20" s="123">
        <f>'Model Data Inputs'!$B$116</f>
        <v>106892.576407638</v>
      </c>
      <c r="E20" s="123">
        <f t="shared" si="0"/>
        <v>-6413.5545844582812</v>
      </c>
      <c r="F20" s="123">
        <f t="shared" si="1"/>
        <v>100479.02182317972</v>
      </c>
      <c r="G20" s="123">
        <f>$F20*SUM('Model Data Inputs'!$B$126:$B$131)</f>
        <v>21201.073604690922</v>
      </c>
      <c r="H20" s="123">
        <f>'Model Data Inputs'!$A$134</f>
        <v>16763.93</v>
      </c>
      <c r="I20" s="123">
        <f t="shared" si="2"/>
        <v>138444.02542787063</v>
      </c>
      <c r="J20" s="123">
        <f>'Model Data Inputs'!$B$117</f>
        <v>85514.061126110406</v>
      </c>
      <c r="K20" s="123">
        <f t="shared" si="3"/>
        <v>-5130.8436675666308</v>
      </c>
      <c r="L20" s="123">
        <f t="shared" si="4"/>
        <v>80383.217458543775</v>
      </c>
      <c r="M20" s="123">
        <f>L20*SUM('Model Data Inputs'!$B$126:$B$131)</f>
        <v>16960.858883752739</v>
      </c>
      <c r="N20" s="123">
        <f>'Model Data Inputs'!$A$134</f>
        <v>16763.93</v>
      </c>
      <c r="O20" s="123">
        <f t="shared" si="5"/>
        <v>114108.00634229652</v>
      </c>
      <c r="P20" s="123">
        <f>'Model Data Inputs'!$B$118</f>
        <v>72079.036986516003</v>
      </c>
      <c r="Q20" s="123">
        <f t="shared" si="6"/>
        <v>-4324.7422191909573</v>
      </c>
      <c r="R20" s="123">
        <f t="shared" si="7"/>
        <v>67754.294767325046</v>
      </c>
      <c r="S20" s="123">
        <f>R20*SUM('Model Data Inputs'!$B$126:$B$131)</f>
        <v>14296.156195905585</v>
      </c>
      <c r="T20" s="123">
        <f>'Model Data Inputs'!$A$134</f>
        <v>16763.93</v>
      </c>
      <c r="U20" s="123">
        <f t="shared" si="8"/>
        <v>98814.380963230622</v>
      </c>
      <c r="V20" s="123">
        <f>'Model Data Inputs'!$B$120</f>
        <v>34885.391674434002</v>
      </c>
      <c r="W20" s="123">
        <f t="shared" si="9"/>
        <v>-2093.1235004660412</v>
      </c>
      <c r="X20" s="123">
        <f t="shared" si="10"/>
        <v>32792.268173967961</v>
      </c>
      <c r="Y20" s="123">
        <f>X20*SUM('Model Data Inputs'!$B$126:$B$131)</f>
        <v>6919.1685847072404</v>
      </c>
      <c r="Z20" s="123">
        <f>'Model Data Inputs'!$A$134</f>
        <v>16763.93</v>
      </c>
      <c r="AA20" s="123">
        <f t="shared" si="11"/>
        <v>56475.366758675205</v>
      </c>
      <c r="AB20" s="123">
        <f>'Model Data Inputs'!$B$121</f>
        <v>35775.686000627997</v>
      </c>
      <c r="AC20" s="123">
        <f t="shared" si="12"/>
        <v>-2146.5411600376829</v>
      </c>
      <c r="AD20" s="123">
        <f t="shared" si="13"/>
        <v>33629.144840590314</v>
      </c>
      <c r="AE20" s="123">
        <f>AD20*SUM('Model Data Inputs'!$B$126:$B$131)</f>
        <v>7095.7495613645569</v>
      </c>
      <c r="AF20" s="123">
        <f>'Model Data Inputs'!$A$134</f>
        <v>16763.93</v>
      </c>
      <c r="AG20" s="123">
        <f t="shared" si="14"/>
        <v>57488.824401954873</v>
      </c>
      <c r="AH20" s="123">
        <f>'Model Data Inputs'!$B$121</f>
        <v>35775.686000627997</v>
      </c>
      <c r="AI20" s="123">
        <f t="shared" si="15"/>
        <v>-2146.5411600376829</v>
      </c>
      <c r="AJ20" s="123">
        <f t="shared" si="16"/>
        <v>33629.144840590314</v>
      </c>
      <c r="AK20" s="123">
        <f>AJ20*SUM('Model Data Inputs'!$B$126:$B$131)</f>
        <v>7095.7495613645569</v>
      </c>
      <c r="AL20" s="123">
        <f>'Model Data Inputs'!$A$134</f>
        <v>16763.93</v>
      </c>
      <c r="AM20" s="123">
        <f t="shared" si="17"/>
        <v>57488.824401954873</v>
      </c>
    </row>
    <row r="21" spans="1:39" x14ac:dyDescent="0.2">
      <c r="A21" s="6" t="s">
        <v>46</v>
      </c>
      <c r="B21" s="6" t="s">
        <v>47</v>
      </c>
      <c r="C21" s="122">
        <f>VLOOKUP(A21,'Regional Cost Adjustment'!$A$4:$C$52,3,FALSE)</f>
        <v>0.94</v>
      </c>
      <c r="D21" s="123">
        <f>'Model Data Inputs'!$B$116</f>
        <v>106892.576407638</v>
      </c>
      <c r="E21" s="123">
        <f t="shared" si="0"/>
        <v>-6413.5545844582812</v>
      </c>
      <c r="F21" s="123">
        <f t="shared" si="1"/>
        <v>100479.02182317972</v>
      </c>
      <c r="G21" s="123">
        <f>$F21*SUM('Model Data Inputs'!$B$126:$B$131)</f>
        <v>21201.073604690922</v>
      </c>
      <c r="H21" s="123">
        <f>'Model Data Inputs'!$A$134</f>
        <v>16763.93</v>
      </c>
      <c r="I21" s="123">
        <f t="shared" si="2"/>
        <v>138444.02542787063</v>
      </c>
      <c r="J21" s="123">
        <f>'Model Data Inputs'!$B$117</f>
        <v>85514.061126110406</v>
      </c>
      <c r="K21" s="123">
        <f t="shared" si="3"/>
        <v>-5130.8436675666308</v>
      </c>
      <c r="L21" s="123">
        <f t="shared" si="4"/>
        <v>80383.217458543775</v>
      </c>
      <c r="M21" s="123">
        <f>L21*SUM('Model Data Inputs'!$B$126:$B$131)</f>
        <v>16960.858883752739</v>
      </c>
      <c r="N21" s="123">
        <f>'Model Data Inputs'!$A$134</f>
        <v>16763.93</v>
      </c>
      <c r="O21" s="123">
        <f t="shared" si="5"/>
        <v>114108.00634229652</v>
      </c>
      <c r="P21" s="123">
        <f>'Model Data Inputs'!$B$118</f>
        <v>72079.036986516003</v>
      </c>
      <c r="Q21" s="123">
        <f t="shared" si="6"/>
        <v>-4324.7422191909573</v>
      </c>
      <c r="R21" s="123">
        <f t="shared" si="7"/>
        <v>67754.294767325046</v>
      </c>
      <c r="S21" s="123">
        <f>R21*SUM('Model Data Inputs'!$B$126:$B$131)</f>
        <v>14296.156195905585</v>
      </c>
      <c r="T21" s="123">
        <f>'Model Data Inputs'!$A$134</f>
        <v>16763.93</v>
      </c>
      <c r="U21" s="123">
        <f t="shared" si="8"/>
        <v>98814.380963230622</v>
      </c>
      <c r="V21" s="123">
        <f>'Model Data Inputs'!$B$120</f>
        <v>34885.391674434002</v>
      </c>
      <c r="W21" s="123">
        <f t="shared" si="9"/>
        <v>-2093.1235004660412</v>
      </c>
      <c r="X21" s="123">
        <f t="shared" si="10"/>
        <v>32792.268173967961</v>
      </c>
      <c r="Y21" s="123">
        <f>X21*SUM('Model Data Inputs'!$B$126:$B$131)</f>
        <v>6919.1685847072404</v>
      </c>
      <c r="Z21" s="123">
        <f>'Model Data Inputs'!$A$134</f>
        <v>16763.93</v>
      </c>
      <c r="AA21" s="123">
        <f t="shared" si="11"/>
        <v>56475.366758675205</v>
      </c>
      <c r="AB21" s="123">
        <f>'Model Data Inputs'!$B$121</f>
        <v>35775.686000627997</v>
      </c>
      <c r="AC21" s="123">
        <f t="shared" si="12"/>
        <v>-2146.5411600376829</v>
      </c>
      <c r="AD21" s="123">
        <f t="shared" si="13"/>
        <v>33629.144840590314</v>
      </c>
      <c r="AE21" s="123">
        <f>AD21*SUM('Model Data Inputs'!$B$126:$B$131)</f>
        <v>7095.7495613645569</v>
      </c>
      <c r="AF21" s="123">
        <f>'Model Data Inputs'!$A$134</f>
        <v>16763.93</v>
      </c>
      <c r="AG21" s="123">
        <f t="shared" si="14"/>
        <v>57488.824401954873</v>
      </c>
      <c r="AH21" s="123">
        <f>'Model Data Inputs'!$B$121</f>
        <v>35775.686000627997</v>
      </c>
      <c r="AI21" s="123">
        <f t="shared" si="15"/>
        <v>-2146.5411600376829</v>
      </c>
      <c r="AJ21" s="123">
        <f t="shared" si="16"/>
        <v>33629.144840590314</v>
      </c>
      <c r="AK21" s="123">
        <f>AJ21*SUM('Model Data Inputs'!$B$126:$B$131)</f>
        <v>7095.7495613645569</v>
      </c>
      <c r="AL21" s="123">
        <f>'Model Data Inputs'!$A$134</f>
        <v>16763.93</v>
      </c>
      <c r="AM21" s="123">
        <f t="shared" si="17"/>
        <v>57488.824401954873</v>
      </c>
    </row>
    <row r="22" spans="1:39" x14ac:dyDescent="0.2">
      <c r="A22" s="6" t="s">
        <v>48</v>
      </c>
      <c r="B22" s="6" t="s">
        <v>49</v>
      </c>
      <c r="C22" s="122">
        <f>VLOOKUP(A22,'Regional Cost Adjustment'!$A$4:$C$52,3,FALSE)</f>
        <v>0.94</v>
      </c>
      <c r="D22" s="123">
        <f>'Model Data Inputs'!$B$116</f>
        <v>106892.576407638</v>
      </c>
      <c r="E22" s="123">
        <f t="shared" si="0"/>
        <v>-6413.5545844582812</v>
      </c>
      <c r="F22" s="123">
        <f t="shared" si="1"/>
        <v>100479.02182317972</v>
      </c>
      <c r="G22" s="123">
        <f>$F22*SUM('Model Data Inputs'!$B$126:$B$131)</f>
        <v>21201.073604690922</v>
      </c>
      <c r="H22" s="123">
        <f>'Model Data Inputs'!$A$134</f>
        <v>16763.93</v>
      </c>
      <c r="I22" s="123">
        <f t="shared" si="2"/>
        <v>138444.02542787063</v>
      </c>
      <c r="J22" s="123">
        <f>'Model Data Inputs'!$B$117</f>
        <v>85514.061126110406</v>
      </c>
      <c r="K22" s="123">
        <f t="shared" si="3"/>
        <v>-5130.8436675666308</v>
      </c>
      <c r="L22" s="123">
        <f t="shared" si="4"/>
        <v>80383.217458543775</v>
      </c>
      <c r="M22" s="123">
        <f>L22*SUM('Model Data Inputs'!$B$126:$B$131)</f>
        <v>16960.858883752739</v>
      </c>
      <c r="N22" s="123">
        <f>'Model Data Inputs'!$A$134</f>
        <v>16763.93</v>
      </c>
      <c r="O22" s="123">
        <f t="shared" si="5"/>
        <v>114108.00634229652</v>
      </c>
      <c r="P22" s="123">
        <f>'Model Data Inputs'!$B$118</f>
        <v>72079.036986516003</v>
      </c>
      <c r="Q22" s="123">
        <f t="shared" si="6"/>
        <v>-4324.7422191909573</v>
      </c>
      <c r="R22" s="123">
        <f t="shared" si="7"/>
        <v>67754.294767325046</v>
      </c>
      <c r="S22" s="123">
        <f>R22*SUM('Model Data Inputs'!$B$126:$B$131)</f>
        <v>14296.156195905585</v>
      </c>
      <c r="T22" s="123">
        <f>'Model Data Inputs'!$A$134</f>
        <v>16763.93</v>
      </c>
      <c r="U22" s="123">
        <f t="shared" si="8"/>
        <v>98814.380963230622</v>
      </c>
      <c r="V22" s="123">
        <f>'Model Data Inputs'!$B$120</f>
        <v>34885.391674434002</v>
      </c>
      <c r="W22" s="123">
        <f t="shared" si="9"/>
        <v>-2093.1235004660412</v>
      </c>
      <c r="X22" s="123">
        <f t="shared" si="10"/>
        <v>32792.268173967961</v>
      </c>
      <c r="Y22" s="123">
        <f>X22*SUM('Model Data Inputs'!$B$126:$B$131)</f>
        <v>6919.1685847072404</v>
      </c>
      <c r="Z22" s="123">
        <f>'Model Data Inputs'!$A$134</f>
        <v>16763.93</v>
      </c>
      <c r="AA22" s="123">
        <f t="shared" si="11"/>
        <v>56475.366758675205</v>
      </c>
      <c r="AB22" s="123">
        <f>'Model Data Inputs'!$B$121</f>
        <v>35775.686000627997</v>
      </c>
      <c r="AC22" s="123">
        <f t="shared" si="12"/>
        <v>-2146.5411600376829</v>
      </c>
      <c r="AD22" s="123">
        <f t="shared" si="13"/>
        <v>33629.144840590314</v>
      </c>
      <c r="AE22" s="123">
        <f>AD22*SUM('Model Data Inputs'!$B$126:$B$131)</f>
        <v>7095.7495613645569</v>
      </c>
      <c r="AF22" s="123">
        <f>'Model Data Inputs'!$A$134</f>
        <v>16763.93</v>
      </c>
      <c r="AG22" s="123">
        <f t="shared" si="14"/>
        <v>57488.824401954873</v>
      </c>
      <c r="AH22" s="123">
        <f>'Model Data Inputs'!$B$121</f>
        <v>35775.686000627997</v>
      </c>
      <c r="AI22" s="123">
        <f t="shared" si="15"/>
        <v>-2146.5411600376829</v>
      </c>
      <c r="AJ22" s="123">
        <f t="shared" si="16"/>
        <v>33629.144840590314</v>
      </c>
      <c r="AK22" s="123">
        <f>AJ22*SUM('Model Data Inputs'!$B$126:$B$131)</f>
        <v>7095.7495613645569</v>
      </c>
      <c r="AL22" s="123">
        <f>'Model Data Inputs'!$A$134</f>
        <v>16763.93</v>
      </c>
      <c r="AM22" s="123">
        <f t="shared" si="17"/>
        <v>57488.824401954873</v>
      </c>
    </row>
    <row r="23" spans="1:39" x14ac:dyDescent="0.2">
      <c r="A23" s="6" t="s">
        <v>50</v>
      </c>
      <c r="B23" s="6" t="s">
        <v>51</v>
      </c>
      <c r="C23" s="122">
        <f>VLOOKUP(A23,'Regional Cost Adjustment'!$A$4:$C$52,3,FALSE)</f>
        <v>0.94</v>
      </c>
      <c r="D23" s="123">
        <f>'Model Data Inputs'!$B$116</f>
        <v>106892.576407638</v>
      </c>
      <c r="E23" s="123">
        <f t="shared" si="0"/>
        <v>-6413.5545844582812</v>
      </c>
      <c r="F23" s="123">
        <f t="shared" si="1"/>
        <v>100479.02182317972</v>
      </c>
      <c r="G23" s="123">
        <f>$F23*SUM('Model Data Inputs'!$B$126:$B$131)</f>
        <v>21201.073604690922</v>
      </c>
      <c r="H23" s="123">
        <f>'Model Data Inputs'!$A$134</f>
        <v>16763.93</v>
      </c>
      <c r="I23" s="123">
        <f t="shared" si="2"/>
        <v>138444.02542787063</v>
      </c>
      <c r="J23" s="123">
        <f>'Model Data Inputs'!$B$117</f>
        <v>85514.061126110406</v>
      </c>
      <c r="K23" s="123">
        <f t="shared" si="3"/>
        <v>-5130.8436675666308</v>
      </c>
      <c r="L23" s="123">
        <f t="shared" si="4"/>
        <v>80383.217458543775</v>
      </c>
      <c r="M23" s="123">
        <f>L23*SUM('Model Data Inputs'!$B$126:$B$131)</f>
        <v>16960.858883752739</v>
      </c>
      <c r="N23" s="123">
        <f>'Model Data Inputs'!$A$134</f>
        <v>16763.93</v>
      </c>
      <c r="O23" s="123">
        <f t="shared" si="5"/>
        <v>114108.00634229652</v>
      </c>
      <c r="P23" s="123">
        <f>'Model Data Inputs'!$B$118</f>
        <v>72079.036986516003</v>
      </c>
      <c r="Q23" s="123">
        <f t="shared" si="6"/>
        <v>-4324.7422191909573</v>
      </c>
      <c r="R23" s="123">
        <f t="shared" si="7"/>
        <v>67754.294767325046</v>
      </c>
      <c r="S23" s="123">
        <f>R23*SUM('Model Data Inputs'!$B$126:$B$131)</f>
        <v>14296.156195905585</v>
      </c>
      <c r="T23" s="123">
        <f>'Model Data Inputs'!$A$134</f>
        <v>16763.93</v>
      </c>
      <c r="U23" s="123">
        <f t="shared" si="8"/>
        <v>98814.380963230622</v>
      </c>
      <c r="V23" s="123">
        <f>'Model Data Inputs'!$B$120</f>
        <v>34885.391674434002</v>
      </c>
      <c r="W23" s="123">
        <f t="shared" si="9"/>
        <v>-2093.1235004660412</v>
      </c>
      <c r="X23" s="123">
        <f t="shared" si="10"/>
        <v>32792.268173967961</v>
      </c>
      <c r="Y23" s="123">
        <f>X23*SUM('Model Data Inputs'!$B$126:$B$131)</f>
        <v>6919.1685847072404</v>
      </c>
      <c r="Z23" s="123">
        <f>'Model Data Inputs'!$A$134</f>
        <v>16763.93</v>
      </c>
      <c r="AA23" s="123">
        <f t="shared" si="11"/>
        <v>56475.366758675205</v>
      </c>
      <c r="AB23" s="123">
        <f>'Model Data Inputs'!$B$121</f>
        <v>35775.686000627997</v>
      </c>
      <c r="AC23" s="123">
        <f t="shared" si="12"/>
        <v>-2146.5411600376829</v>
      </c>
      <c r="AD23" s="123">
        <f t="shared" si="13"/>
        <v>33629.144840590314</v>
      </c>
      <c r="AE23" s="123">
        <f>AD23*SUM('Model Data Inputs'!$B$126:$B$131)</f>
        <v>7095.7495613645569</v>
      </c>
      <c r="AF23" s="123">
        <f>'Model Data Inputs'!$A$134</f>
        <v>16763.93</v>
      </c>
      <c r="AG23" s="123">
        <f t="shared" si="14"/>
        <v>57488.824401954873</v>
      </c>
      <c r="AH23" s="123">
        <f>'Model Data Inputs'!$B$121</f>
        <v>35775.686000627997</v>
      </c>
      <c r="AI23" s="123">
        <f t="shared" si="15"/>
        <v>-2146.5411600376829</v>
      </c>
      <c r="AJ23" s="123">
        <f t="shared" si="16"/>
        <v>33629.144840590314</v>
      </c>
      <c r="AK23" s="123">
        <f>AJ23*SUM('Model Data Inputs'!$B$126:$B$131)</f>
        <v>7095.7495613645569</v>
      </c>
      <c r="AL23" s="123">
        <f>'Model Data Inputs'!$A$134</f>
        <v>16763.93</v>
      </c>
      <c r="AM23" s="123">
        <f t="shared" si="17"/>
        <v>57488.824401954873</v>
      </c>
    </row>
    <row r="24" spans="1:39" x14ac:dyDescent="0.2">
      <c r="A24" s="6" t="s">
        <v>52</v>
      </c>
      <c r="B24" s="6" t="s">
        <v>53</v>
      </c>
      <c r="C24" s="122">
        <f>VLOOKUP(A24,'Regional Cost Adjustment'!$A$4:$C$52,3,FALSE)</f>
        <v>0.91</v>
      </c>
      <c r="D24" s="123">
        <f>'Model Data Inputs'!$B$116</f>
        <v>106892.576407638</v>
      </c>
      <c r="E24" s="123">
        <f t="shared" si="0"/>
        <v>-9620.3318766874145</v>
      </c>
      <c r="F24" s="123">
        <f t="shared" si="1"/>
        <v>97272.244530950586</v>
      </c>
      <c r="G24" s="123">
        <f>$F24*SUM('Model Data Inputs'!$B$126:$B$131)</f>
        <v>20524.443596030575</v>
      </c>
      <c r="H24" s="123">
        <f>'Model Data Inputs'!$A$134</f>
        <v>16763.93</v>
      </c>
      <c r="I24" s="123">
        <f t="shared" si="2"/>
        <v>134560.61812698116</v>
      </c>
      <c r="J24" s="123">
        <f>'Model Data Inputs'!$B$117</f>
        <v>85514.061126110406</v>
      </c>
      <c r="K24" s="123">
        <f t="shared" si="3"/>
        <v>-7696.2655013499316</v>
      </c>
      <c r="L24" s="123">
        <f t="shared" si="4"/>
        <v>77817.795624760474</v>
      </c>
      <c r="M24" s="123">
        <f>L24*SUM('Model Data Inputs'!$B$126:$B$131)</f>
        <v>16419.554876824463</v>
      </c>
      <c r="N24" s="123">
        <f>'Model Data Inputs'!$A$134</f>
        <v>16763.93</v>
      </c>
      <c r="O24" s="123">
        <f t="shared" si="5"/>
        <v>111001.28050158493</v>
      </c>
      <c r="P24" s="123">
        <f>'Model Data Inputs'!$B$118</f>
        <v>72079.036986516003</v>
      </c>
      <c r="Q24" s="123">
        <f t="shared" si="6"/>
        <v>-6487.1133287864359</v>
      </c>
      <c r="R24" s="123">
        <f t="shared" si="7"/>
        <v>65591.923657729567</v>
      </c>
      <c r="S24" s="123">
        <f>R24*SUM('Model Data Inputs'!$B$126:$B$131)</f>
        <v>13839.89589178094</v>
      </c>
      <c r="T24" s="123">
        <f>'Model Data Inputs'!$A$134</f>
        <v>16763.93</v>
      </c>
      <c r="U24" s="123">
        <f t="shared" si="8"/>
        <v>96195.74954951051</v>
      </c>
      <c r="V24" s="123">
        <f>'Model Data Inputs'!$B$120</f>
        <v>34885.391674434002</v>
      </c>
      <c r="W24" s="123">
        <f t="shared" si="9"/>
        <v>-3139.6852506990581</v>
      </c>
      <c r="X24" s="123">
        <f t="shared" si="10"/>
        <v>31745.706423734944</v>
      </c>
      <c r="Y24" s="123">
        <f>X24*SUM('Model Data Inputs'!$B$126:$B$131)</f>
        <v>6698.3440554080735</v>
      </c>
      <c r="Z24" s="123">
        <f>'Model Data Inputs'!$A$134</f>
        <v>16763.93</v>
      </c>
      <c r="AA24" s="123">
        <f t="shared" si="11"/>
        <v>55207.980479143014</v>
      </c>
      <c r="AB24" s="123">
        <f>'Model Data Inputs'!$B$121</f>
        <v>35775.686000627997</v>
      </c>
      <c r="AC24" s="123">
        <f t="shared" si="12"/>
        <v>-3219.811740056517</v>
      </c>
      <c r="AD24" s="123">
        <f t="shared" si="13"/>
        <v>32555.87426057148</v>
      </c>
      <c r="AE24" s="123">
        <f>AD24*SUM('Model Data Inputs'!$B$126:$B$131)</f>
        <v>6869.2894689805826</v>
      </c>
      <c r="AF24" s="123">
        <f>'Model Data Inputs'!$A$134</f>
        <v>16763.93</v>
      </c>
      <c r="AG24" s="123">
        <f t="shared" si="14"/>
        <v>56189.093729552063</v>
      </c>
      <c r="AH24" s="123">
        <f>'Model Data Inputs'!$B$121</f>
        <v>35775.686000627997</v>
      </c>
      <c r="AI24" s="123">
        <f t="shared" si="15"/>
        <v>-3219.811740056517</v>
      </c>
      <c r="AJ24" s="123">
        <f t="shared" si="16"/>
        <v>32555.87426057148</v>
      </c>
      <c r="AK24" s="123">
        <f>AJ24*SUM('Model Data Inputs'!$B$126:$B$131)</f>
        <v>6869.2894689805826</v>
      </c>
      <c r="AL24" s="123">
        <f>'Model Data Inputs'!$A$134</f>
        <v>16763.93</v>
      </c>
      <c r="AM24" s="123">
        <f t="shared" si="17"/>
        <v>56189.093729552063</v>
      </c>
    </row>
    <row r="25" spans="1:39" x14ac:dyDescent="0.2">
      <c r="A25" s="6" t="s">
        <v>54</v>
      </c>
      <c r="B25" s="6" t="s">
        <v>55</v>
      </c>
      <c r="C25" s="122">
        <f>VLOOKUP(A25,'Regional Cost Adjustment'!$A$4:$C$52,3,FALSE)</f>
        <v>0.93</v>
      </c>
      <c r="D25" s="123">
        <f>'Model Data Inputs'!$B$116</f>
        <v>106892.576407638</v>
      </c>
      <c r="E25" s="123">
        <f t="shared" si="0"/>
        <v>-7482.4803485346492</v>
      </c>
      <c r="F25" s="123">
        <f t="shared" si="1"/>
        <v>99410.096059103351</v>
      </c>
      <c r="G25" s="123">
        <f>$F25*SUM('Model Data Inputs'!$B$126:$B$131)</f>
        <v>20975.530268470808</v>
      </c>
      <c r="H25" s="123">
        <f>'Model Data Inputs'!$A$134</f>
        <v>16763.93</v>
      </c>
      <c r="I25" s="123">
        <f t="shared" si="2"/>
        <v>137149.55632757416</v>
      </c>
      <c r="J25" s="123">
        <f>'Model Data Inputs'!$B$117</f>
        <v>85514.061126110406</v>
      </c>
      <c r="K25" s="123">
        <f t="shared" si="3"/>
        <v>-5985.984278827731</v>
      </c>
      <c r="L25" s="123">
        <f t="shared" si="4"/>
        <v>79528.076847282675</v>
      </c>
      <c r="M25" s="123">
        <f>L25*SUM('Model Data Inputs'!$B$126:$B$131)</f>
        <v>16780.424214776645</v>
      </c>
      <c r="N25" s="123">
        <f>'Model Data Inputs'!$A$134</f>
        <v>16763.93</v>
      </c>
      <c r="O25" s="123">
        <f t="shared" si="5"/>
        <v>113072.43106205933</v>
      </c>
      <c r="P25" s="123">
        <f>'Model Data Inputs'!$B$118</f>
        <v>72079.036986516003</v>
      </c>
      <c r="Q25" s="123">
        <f t="shared" si="6"/>
        <v>-5045.5325890561217</v>
      </c>
      <c r="R25" s="123">
        <f t="shared" si="7"/>
        <v>67033.504397459881</v>
      </c>
      <c r="S25" s="123">
        <f>R25*SUM('Model Data Inputs'!$B$126:$B$131)</f>
        <v>14144.069427864037</v>
      </c>
      <c r="T25" s="123">
        <f>'Model Data Inputs'!$A$134</f>
        <v>16763.93</v>
      </c>
      <c r="U25" s="123">
        <f t="shared" si="8"/>
        <v>97941.503825323918</v>
      </c>
      <c r="V25" s="123">
        <f>'Model Data Inputs'!$B$120</f>
        <v>34885.391674434002</v>
      </c>
      <c r="W25" s="123">
        <f t="shared" si="9"/>
        <v>-2441.9774172103789</v>
      </c>
      <c r="X25" s="123">
        <f t="shared" si="10"/>
        <v>32443.414257223623</v>
      </c>
      <c r="Y25" s="123">
        <f>X25*SUM('Model Data Inputs'!$B$126:$B$131)</f>
        <v>6845.5604082741847</v>
      </c>
      <c r="Z25" s="123">
        <f>'Model Data Inputs'!$A$134</f>
        <v>16763.93</v>
      </c>
      <c r="AA25" s="123">
        <f t="shared" si="11"/>
        <v>56052.904665497808</v>
      </c>
      <c r="AB25" s="123">
        <f>'Model Data Inputs'!$B$121</f>
        <v>35775.686000627997</v>
      </c>
      <c r="AC25" s="123">
        <f t="shared" si="12"/>
        <v>-2504.2980200439561</v>
      </c>
      <c r="AD25" s="123">
        <f t="shared" si="13"/>
        <v>33271.387980584041</v>
      </c>
      <c r="AE25" s="123">
        <f>AD25*SUM('Model Data Inputs'!$B$126:$B$131)</f>
        <v>7020.2628639032337</v>
      </c>
      <c r="AF25" s="123">
        <f>'Model Data Inputs'!$A$134</f>
        <v>16763.93</v>
      </c>
      <c r="AG25" s="123">
        <f t="shared" si="14"/>
        <v>57055.580844487275</v>
      </c>
      <c r="AH25" s="123">
        <f>'Model Data Inputs'!$B$121</f>
        <v>35775.686000627997</v>
      </c>
      <c r="AI25" s="123">
        <f t="shared" si="15"/>
        <v>-2504.2980200439561</v>
      </c>
      <c r="AJ25" s="123">
        <f t="shared" si="16"/>
        <v>33271.387980584041</v>
      </c>
      <c r="AK25" s="123">
        <f>AJ25*SUM('Model Data Inputs'!$B$126:$B$131)</f>
        <v>7020.2628639032337</v>
      </c>
      <c r="AL25" s="123">
        <f>'Model Data Inputs'!$A$134</f>
        <v>16763.93</v>
      </c>
      <c r="AM25" s="123">
        <f t="shared" si="17"/>
        <v>57055.580844487275</v>
      </c>
    </row>
    <row r="26" spans="1:39" x14ac:dyDescent="0.2">
      <c r="A26" s="6" t="s">
        <v>56</v>
      </c>
      <c r="B26" s="6" t="s">
        <v>57</v>
      </c>
      <c r="C26" s="122">
        <f>VLOOKUP(A26,'Regional Cost Adjustment'!$A$4:$C$52,3,FALSE)</f>
        <v>0.94</v>
      </c>
      <c r="D26" s="123">
        <f>'Model Data Inputs'!$B$116</f>
        <v>106892.576407638</v>
      </c>
      <c r="E26" s="123">
        <f t="shared" si="0"/>
        <v>-6413.5545844582812</v>
      </c>
      <c r="F26" s="123">
        <f t="shared" si="1"/>
        <v>100479.02182317972</v>
      </c>
      <c r="G26" s="123">
        <f>$F26*SUM('Model Data Inputs'!$B$126:$B$131)</f>
        <v>21201.073604690922</v>
      </c>
      <c r="H26" s="123">
        <f>'Model Data Inputs'!$A$134</f>
        <v>16763.93</v>
      </c>
      <c r="I26" s="123">
        <f t="shared" si="2"/>
        <v>138444.02542787063</v>
      </c>
      <c r="J26" s="123">
        <f>'Model Data Inputs'!$B$117</f>
        <v>85514.061126110406</v>
      </c>
      <c r="K26" s="123">
        <f t="shared" si="3"/>
        <v>-5130.8436675666308</v>
      </c>
      <c r="L26" s="123">
        <f t="shared" si="4"/>
        <v>80383.217458543775</v>
      </c>
      <c r="M26" s="123">
        <f>L26*SUM('Model Data Inputs'!$B$126:$B$131)</f>
        <v>16960.858883752739</v>
      </c>
      <c r="N26" s="123">
        <f>'Model Data Inputs'!$A$134</f>
        <v>16763.93</v>
      </c>
      <c r="O26" s="123">
        <f t="shared" si="5"/>
        <v>114108.00634229652</v>
      </c>
      <c r="P26" s="123">
        <f>'Model Data Inputs'!$B$118</f>
        <v>72079.036986516003</v>
      </c>
      <c r="Q26" s="123">
        <f t="shared" si="6"/>
        <v>-4324.7422191909573</v>
      </c>
      <c r="R26" s="123">
        <f t="shared" si="7"/>
        <v>67754.294767325046</v>
      </c>
      <c r="S26" s="123">
        <f>R26*SUM('Model Data Inputs'!$B$126:$B$131)</f>
        <v>14296.156195905585</v>
      </c>
      <c r="T26" s="123">
        <f>'Model Data Inputs'!$A$134</f>
        <v>16763.93</v>
      </c>
      <c r="U26" s="123">
        <f t="shared" si="8"/>
        <v>98814.380963230622</v>
      </c>
      <c r="V26" s="123">
        <f>'Model Data Inputs'!$B$120</f>
        <v>34885.391674434002</v>
      </c>
      <c r="W26" s="123">
        <f t="shared" si="9"/>
        <v>-2093.1235004660412</v>
      </c>
      <c r="X26" s="123">
        <f t="shared" si="10"/>
        <v>32792.268173967961</v>
      </c>
      <c r="Y26" s="123">
        <f>X26*SUM('Model Data Inputs'!$B$126:$B$131)</f>
        <v>6919.1685847072404</v>
      </c>
      <c r="Z26" s="123">
        <f>'Model Data Inputs'!$A$134</f>
        <v>16763.93</v>
      </c>
      <c r="AA26" s="123">
        <f t="shared" si="11"/>
        <v>56475.366758675205</v>
      </c>
      <c r="AB26" s="123">
        <f>'Model Data Inputs'!$B$121</f>
        <v>35775.686000627997</v>
      </c>
      <c r="AC26" s="123">
        <f t="shared" si="12"/>
        <v>-2146.5411600376829</v>
      </c>
      <c r="AD26" s="123">
        <f t="shared" si="13"/>
        <v>33629.144840590314</v>
      </c>
      <c r="AE26" s="123">
        <f>AD26*SUM('Model Data Inputs'!$B$126:$B$131)</f>
        <v>7095.7495613645569</v>
      </c>
      <c r="AF26" s="123">
        <f>'Model Data Inputs'!$A$134</f>
        <v>16763.93</v>
      </c>
      <c r="AG26" s="123">
        <f t="shared" si="14"/>
        <v>57488.824401954873</v>
      </c>
      <c r="AH26" s="123">
        <f>'Model Data Inputs'!$B$121</f>
        <v>35775.686000627997</v>
      </c>
      <c r="AI26" s="123">
        <f t="shared" si="15"/>
        <v>-2146.5411600376829</v>
      </c>
      <c r="AJ26" s="123">
        <f t="shared" si="16"/>
        <v>33629.144840590314</v>
      </c>
      <c r="AK26" s="123">
        <f>AJ26*SUM('Model Data Inputs'!$B$126:$B$131)</f>
        <v>7095.7495613645569</v>
      </c>
      <c r="AL26" s="123">
        <f>'Model Data Inputs'!$A$134</f>
        <v>16763.93</v>
      </c>
      <c r="AM26" s="123">
        <f t="shared" si="17"/>
        <v>57488.824401954873</v>
      </c>
    </row>
    <row r="27" spans="1:39" x14ac:dyDescent="0.2">
      <c r="A27" s="6" t="s">
        <v>58</v>
      </c>
      <c r="B27" s="6" t="s">
        <v>59</v>
      </c>
      <c r="C27" s="122">
        <f>VLOOKUP(A27,'Regional Cost Adjustment'!$A$4:$C$52,3,FALSE)</f>
        <v>1</v>
      </c>
      <c r="D27" s="123">
        <f>'Model Data Inputs'!$B$116</f>
        <v>106892.576407638</v>
      </c>
      <c r="E27" s="123">
        <f t="shared" si="0"/>
        <v>0</v>
      </c>
      <c r="F27" s="123">
        <f t="shared" si="1"/>
        <v>106892.576407638</v>
      </c>
      <c r="G27" s="123">
        <f>$F27*SUM('Model Data Inputs'!$B$126:$B$131)</f>
        <v>22554.333622011622</v>
      </c>
      <c r="H27" s="123">
        <f>'Model Data Inputs'!$A$134</f>
        <v>16763.93</v>
      </c>
      <c r="I27" s="123">
        <f t="shared" si="2"/>
        <v>146210.84002964961</v>
      </c>
      <c r="J27" s="123">
        <f>'Model Data Inputs'!$B$117</f>
        <v>85514.061126110406</v>
      </c>
      <c r="K27" s="123">
        <f t="shared" si="3"/>
        <v>0</v>
      </c>
      <c r="L27" s="123">
        <f t="shared" si="4"/>
        <v>85514.061126110406</v>
      </c>
      <c r="M27" s="123">
        <f>L27*SUM('Model Data Inputs'!$B$126:$B$131)</f>
        <v>18043.466897609298</v>
      </c>
      <c r="N27" s="123">
        <f>'Model Data Inputs'!$A$134</f>
        <v>16763.93</v>
      </c>
      <c r="O27" s="123">
        <f t="shared" si="5"/>
        <v>120321.45802371969</v>
      </c>
      <c r="P27" s="123">
        <f>'Model Data Inputs'!$B$118</f>
        <v>72079.036986516003</v>
      </c>
      <c r="Q27" s="123">
        <f t="shared" si="6"/>
        <v>0</v>
      </c>
      <c r="R27" s="123">
        <f t="shared" si="7"/>
        <v>72079.036986516003</v>
      </c>
      <c r="S27" s="123">
        <f>R27*SUM('Model Data Inputs'!$B$126:$B$131)</f>
        <v>15208.676804154878</v>
      </c>
      <c r="T27" s="123">
        <f>'Model Data Inputs'!$A$134</f>
        <v>16763.93</v>
      </c>
      <c r="U27" s="123">
        <f t="shared" si="8"/>
        <v>104051.64379067087</v>
      </c>
      <c r="V27" s="123">
        <f>'Model Data Inputs'!$B$120</f>
        <v>34885.391674434002</v>
      </c>
      <c r="W27" s="123">
        <f t="shared" si="9"/>
        <v>0</v>
      </c>
      <c r="X27" s="123">
        <f t="shared" si="10"/>
        <v>34885.391674434002</v>
      </c>
      <c r="Y27" s="123">
        <f>X27*SUM('Model Data Inputs'!$B$126:$B$131)</f>
        <v>7360.8176433055751</v>
      </c>
      <c r="Z27" s="123">
        <f>'Model Data Inputs'!$A$134</f>
        <v>16763.93</v>
      </c>
      <c r="AA27" s="123">
        <f t="shared" si="11"/>
        <v>59010.13931773958</v>
      </c>
      <c r="AB27" s="123">
        <f>'Model Data Inputs'!$B$121</f>
        <v>35775.686000627997</v>
      </c>
      <c r="AC27" s="123">
        <f t="shared" si="12"/>
        <v>0</v>
      </c>
      <c r="AD27" s="123">
        <f t="shared" si="13"/>
        <v>35775.686000627997</v>
      </c>
      <c r="AE27" s="123">
        <f>AD27*SUM('Model Data Inputs'!$B$126:$B$131)</f>
        <v>7548.6697461325084</v>
      </c>
      <c r="AF27" s="123">
        <f>'Model Data Inputs'!$A$134</f>
        <v>16763.93</v>
      </c>
      <c r="AG27" s="123">
        <f t="shared" si="14"/>
        <v>60088.285746760506</v>
      </c>
      <c r="AH27" s="123">
        <f>'Model Data Inputs'!$B$121</f>
        <v>35775.686000627997</v>
      </c>
      <c r="AI27" s="123">
        <f t="shared" si="15"/>
        <v>0</v>
      </c>
      <c r="AJ27" s="123">
        <f t="shared" si="16"/>
        <v>35775.686000627997</v>
      </c>
      <c r="AK27" s="123">
        <f>AJ27*SUM('Model Data Inputs'!$B$126:$B$131)</f>
        <v>7548.6697461325084</v>
      </c>
      <c r="AL27" s="123">
        <f>'Model Data Inputs'!$A$134</f>
        <v>16763.93</v>
      </c>
      <c r="AM27" s="123">
        <f t="shared" si="17"/>
        <v>60088.285746760506</v>
      </c>
    </row>
    <row r="28" spans="1:39" x14ac:dyDescent="0.2">
      <c r="A28" s="6" t="s">
        <v>60</v>
      </c>
      <c r="B28" s="6" t="s">
        <v>61</v>
      </c>
      <c r="C28" s="122">
        <f>VLOOKUP(A28,'Regional Cost Adjustment'!$A$4:$C$52,3,FALSE)</f>
        <v>1</v>
      </c>
      <c r="D28" s="123">
        <f>'Model Data Inputs'!$B$116</f>
        <v>106892.576407638</v>
      </c>
      <c r="E28" s="123">
        <f t="shared" si="0"/>
        <v>0</v>
      </c>
      <c r="F28" s="123">
        <f t="shared" si="1"/>
        <v>106892.576407638</v>
      </c>
      <c r="G28" s="123">
        <f>$F28*SUM('Model Data Inputs'!$B$126:$B$131)</f>
        <v>22554.333622011622</v>
      </c>
      <c r="H28" s="123">
        <f>'Model Data Inputs'!$A$134</f>
        <v>16763.93</v>
      </c>
      <c r="I28" s="123">
        <f t="shared" si="2"/>
        <v>146210.84002964961</v>
      </c>
      <c r="J28" s="123">
        <f>'Model Data Inputs'!$B$117</f>
        <v>85514.061126110406</v>
      </c>
      <c r="K28" s="123">
        <f t="shared" si="3"/>
        <v>0</v>
      </c>
      <c r="L28" s="123">
        <f t="shared" si="4"/>
        <v>85514.061126110406</v>
      </c>
      <c r="M28" s="123">
        <f>L28*SUM('Model Data Inputs'!$B$126:$B$131)</f>
        <v>18043.466897609298</v>
      </c>
      <c r="N28" s="123">
        <f>'Model Data Inputs'!$A$134</f>
        <v>16763.93</v>
      </c>
      <c r="O28" s="123">
        <f t="shared" si="5"/>
        <v>120321.45802371969</v>
      </c>
      <c r="P28" s="123">
        <f>'Model Data Inputs'!$B$118</f>
        <v>72079.036986516003</v>
      </c>
      <c r="Q28" s="123">
        <f t="shared" si="6"/>
        <v>0</v>
      </c>
      <c r="R28" s="123">
        <f t="shared" si="7"/>
        <v>72079.036986516003</v>
      </c>
      <c r="S28" s="123">
        <f>R28*SUM('Model Data Inputs'!$B$126:$B$131)</f>
        <v>15208.676804154878</v>
      </c>
      <c r="T28" s="123">
        <f>'Model Data Inputs'!$A$134</f>
        <v>16763.93</v>
      </c>
      <c r="U28" s="123">
        <f t="shared" si="8"/>
        <v>104051.64379067087</v>
      </c>
      <c r="V28" s="123">
        <f>'Model Data Inputs'!$B$120</f>
        <v>34885.391674434002</v>
      </c>
      <c r="W28" s="123">
        <f t="shared" si="9"/>
        <v>0</v>
      </c>
      <c r="X28" s="123">
        <f t="shared" si="10"/>
        <v>34885.391674434002</v>
      </c>
      <c r="Y28" s="123">
        <f>X28*SUM('Model Data Inputs'!$B$126:$B$131)</f>
        <v>7360.8176433055751</v>
      </c>
      <c r="Z28" s="123">
        <f>'Model Data Inputs'!$A$134</f>
        <v>16763.93</v>
      </c>
      <c r="AA28" s="123">
        <f t="shared" si="11"/>
        <v>59010.13931773958</v>
      </c>
      <c r="AB28" s="123">
        <f>'Model Data Inputs'!$B$121</f>
        <v>35775.686000627997</v>
      </c>
      <c r="AC28" s="123">
        <f t="shared" si="12"/>
        <v>0</v>
      </c>
      <c r="AD28" s="123">
        <f t="shared" si="13"/>
        <v>35775.686000627997</v>
      </c>
      <c r="AE28" s="123">
        <f>AD28*SUM('Model Data Inputs'!$B$126:$B$131)</f>
        <v>7548.6697461325084</v>
      </c>
      <c r="AF28" s="123">
        <f>'Model Data Inputs'!$A$134</f>
        <v>16763.93</v>
      </c>
      <c r="AG28" s="123">
        <f t="shared" si="14"/>
        <v>60088.285746760506</v>
      </c>
      <c r="AH28" s="123">
        <f>'Model Data Inputs'!$B$121</f>
        <v>35775.686000627997</v>
      </c>
      <c r="AI28" s="123">
        <f t="shared" si="15"/>
        <v>0</v>
      </c>
      <c r="AJ28" s="123">
        <f t="shared" si="16"/>
        <v>35775.686000627997</v>
      </c>
      <c r="AK28" s="123">
        <f>AJ28*SUM('Model Data Inputs'!$B$126:$B$131)</f>
        <v>7548.6697461325084</v>
      </c>
      <c r="AL28" s="123">
        <f>'Model Data Inputs'!$A$134</f>
        <v>16763.93</v>
      </c>
      <c r="AM28" s="123">
        <f t="shared" si="17"/>
        <v>60088.285746760506</v>
      </c>
    </row>
    <row r="29" spans="1:39" x14ac:dyDescent="0.2">
      <c r="A29" s="6" t="s">
        <v>62</v>
      </c>
      <c r="B29" s="6" t="s">
        <v>63</v>
      </c>
      <c r="C29" s="122">
        <f>VLOOKUP(A29,'Regional Cost Adjustment'!$A$4:$C$52,3,FALSE)</f>
        <v>1.01</v>
      </c>
      <c r="D29" s="123">
        <f>'Model Data Inputs'!$B$116</f>
        <v>106892.576407638</v>
      </c>
      <c r="E29" s="123">
        <f t="shared" si="0"/>
        <v>1068.9257640763826</v>
      </c>
      <c r="F29" s="123">
        <f t="shared" si="1"/>
        <v>107961.50217171438</v>
      </c>
      <c r="G29" s="123">
        <f>$F29*SUM('Model Data Inputs'!$B$126:$B$131)</f>
        <v>22779.876958231736</v>
      </c>
      <c r="H29" s="123">
        <f>'Model Data Inputs'!$A$134</f>
        <v>16763.93</v>
      </c>
      <c r="I29" s="123">
        <f t="shared" si="2"/>
        <v>147505.30912994611</v>
      </c>
      <c r="J29" s="123">
        <f>'Model Data Inputs'!$B$117</f>
        <v>85514.061126110406</v>
      </c>
      <c r="K29" s="123">
        <f t="shared" si="3"/>
        <v>855.14061126110028</v>
      </c>
      <c r="L29" s="123">
        <f t="shared" si="4"/>
        <v>86369.201737371506</v>
      </c>
      <c r="M29" s="123">
        <f>L29*SUM('Model Data Inputs'!$B$126:$B$131)</f>
        <v>18223.901566585391</v>
      </c>
      <c r="N29" s="123">
        <f>'Model Data Inputs'!$A$134</f>
        <v>16763.93</v>
      </c>
      <c r="O29" s="123">
        <f t="shared" si="5"/>
        <v>121357.03330395691</v>
      </c>
      <c r="P29" s="123">
        <f>'Model Data Inputs'!$B$118</f>
        <v>72079.036986516003</v>
      </c>
      <c r="Q29" s="123">
        <f t="shared" si="6"/>
        <v>720.79036986516439</v>
      </c>
      <c r="R29" s="123">
        <f t="shared" si="7"/>
        <v>72799.827356381167</v>
      </c>
      <c r="S29" s="123">
        <f>R29*SUM('Model Data Inputs'!$B$126:$B$131)</f>
        <v>15360.763572196427</v>
      </c>
      <c r="T29" s="123">
        <f>'Model Data Inputs'!$A$134</f>
        <v>16763.93</v>
      </c>
      <c r="U29" s="123">
        <f t="shared" si="8"/>
        <v>104924.52092857761</v>
      </c>
      <c r="V29" s="123">
        <f>'Model Data Inputs'!$B$120</f>
        <v>34885.391674434002</v>
      </c>
      <c r="W29" s="123">
        <f t="shared" si="9"/>
        <v>348.85391674433777</v>
      </c>
      <c r="X29" s="123">
        <f t="shared" si="10"/>
        <v>35234.24559117834</v>
      </c>
      <c r="Y29" s="123">
        <f>X29*SUM('Model Data Inputs'!$B$126:$B$131)</f>
        <v>7434.4258197386307</v>
      </c>
      <c r="Z29" s="123">
        <f>'Model Data Inputs'!$A$134</f>
        <v>16763.93</v>
      </c>
      <c r="AA29" s="123">
        <f t="shared" si="11"/>
        <v>59432.60141091697</v>
      </c>
      <c r="AB29" s="123">
        <f>'Model Data Inputs'!$B$121</f>
        <v>35775.686000627997</v>
      </c>
      <c r="AC29" s="123">
        <f t="shared" si="12"/>
        <v>357.75686000628048</v>
      </c>
      <c r="AD29" s="123">
        <f t="shared" si="13"/>
        <v>36133.442860634277</v>
      </c>
      <c r="AE29" s="123">
        <f>AD29*SUM('Model Data Inputs'!$B$126:$B$131)</f>
        <v>7624.1564435938335</v>
      </c>
      <c r="AF29" s="123">
        <f>'Model Data Inputs'!$A$134</f>
        <v>16763.93</v>
      </c>
      <c r="AG29" s="123">
        <f t="shared" si="14"/>
        <v>60521.529304228112</v>
      </c>
      <c r="AH29" s="123">
        <f>'Model Data Inputs'!$B$121</f>
        <v>35775.686000627997</v>
      </c>
      <c r="AI29" s="123">
        <f t="shared" si="15"/>
        <v>357.75686000628048</v>
      </c>
      <c r="AJ29" s="123">
        <f t="shared" si="16"/>
        <v>36133.442860634277</v>
      </c>
      <c r="AK29" s="123">
        <f>AJ29*SUM('Model Data Inputs'!$B$126:$B$131)</f>
        <v>7624.1564435938335</v>
      </c>
      <c r="AL29" s="123">
        <f>'Model Data Inputs'!$A$134</f>
        <v>16763.93</v>
      </c>
      <c r="AM29" s="123">
        <f t="shared" si="17"/>
        <v>60521.529304228112</v>
      </c>
    </row>
    <row r="30" spans="1:39" x14ac:dyDescent="0.2">
      <c r="A30" s="6" t="s">
        <v>64</v>
      </c>
      <c r="B30" s="6" t="s">
        <v>65</v>
      </c>
      <c r="C30" s="122">
        <f>VLOOKUP(A30,'Regional Cost Adjustment'!$A$4:$C$52,3,FALSE)</f>
        <v>1.01</v>
      </c>
      <c r="D30" s="123">
        <f>'Model Data Inputs'!$B$116</f>
        <v>106892.576407638</v>
      </c>
      <c r="E30" s="123">
        <f t="shared" si="0"/>
        <v>1068.9257640763826</v>
      </c>
      <c r="F30" s="123">
        <f t="shared" si="1"/>
        <v>107961.50217171438</v>
      </c>
      <c r="G30" s="123">
        <f>$F30*SUM('Model Data Inputs'!$B$126:$B$131)</f>
        <v>22779.876958231736</v>
      </c>
      <c r="H30" s="123">
        <f>'Model Data Inputs'!$A$134</f>
        <v>16763.93</v>
      </c>
      <c r="I30" s="123">
        <f t="shared" si="2"/>
        <v>147505.30912994611</v>
      </c>
      <c r="J30" s="123">
        <f>'Model Data Inputs'!$B$117</f>
        <v>85514.061126110406</v>
      </c>
      <c r="K30" s="123">
        <f t="shared" si="3"/>
        <v>855.14061126110028</v>
      </c>
      <c r="L30" s="123">
        <f t="shared" si="4"/>
        <v>86369.201737371506</v>
      </c>
      <c r="M30" s="123">
        <f>L30*SUM('Model Data Inputs'!$B$126:$B$131)</f>
        <v>18223.901566585391</v>
      </c>
      <c r="N30" s="123">
        <f>'Model Data Inputs'!$A$134</f>
        <v>16763.93</v>
      </c>
      <c r="O30" s="123">
        <f t="shared" si="5"/>
        <v>121357.03330395691</v>
      </c>
      <c r="P30" s="123">
        <f>'Model Data Inputs'!$B$118</f>
        <v>72079.036986516003</v>
      </c>
      <c r="Q30" s="123">
        <f t="shared" si="6"/>
        <v>720.79036986516439</v>
      </c>
      <c r="R30" s="123">
        <f t="shared" si="7"/>
        <v>72799.827356381167</v>
      </c>
      <c r="S30" s="123">
        <f>R30*SUM('Model Data Inputs'!$B$126:$B$131)</f>
        <v>15360.763572196427</v>
      </c>
      <c r="T30" s="123">
        <f>'Model Data Inputs'!$A$134</f>
        <v>16763.93</v>
      </c>
      <c r="U30" s="123">
        <f t="shared" si="8"/>
        <v>104924.52092857761</v>
      </c>
      <c r="V30" s="123">
        <f>'Model Data Inputs'!$B$120</f>
        <v>34885.391674434002</v>
      </c>
      <c r="W30" s="123">
        <f t="shared" si="9"/>
        <v>348.85391674433777</v>
      </c>
      <c r="X30" s="123">
        <f t="shared" si="10"/>
        <v>35234.24559117834</v>
      </c>
      <c r="Y30" s="123">
        <f>X30*SUM('Model Data Inputs'!$B$126:$B$131)</f>
        <v>7434.4258197386307</v>
      </c>
      <c r="Z30" s="123">
        <f>'Model Data Inputs'!$A$134</f>
        <v>16763.93</v>
      </c>
      <c r="AA30" s="123">
        <f t="shared" si="11"/>
        <v>59432.60141091697</v>
      </c>
      <c r="AB30" s="123">
        <f>'Model Data Inputs'!$B$121</f>
        <v>35775.686000627997</v>
      </c>
      <c r="AC30" s="123">
        <f t="shared" si="12"/>
        <v>357.75686000628048</v>
      </c>
      <c r="AD30" s="123">
        <f t="shared" si="13"/>
        <v>36133.442860634277</v>
      </c>
      <c r="AE30" s="123">
        <f>AD30*SUM('Model Data Inputs'!$B$126:$B$131)</f>
        <v>7624.1564435938335</v>
      </c>
      <c r="AF30" s="123">
        <f>'Model Data Inputs'!$A$134</f>
        <v>16763.93</v>
      </c>
      <c r="AG30" s="123">
        <f t="shared" si="14"/>
        <v>60521.529304228112</v>
      </c>
      <c r="AH30" s="123">
        <f>'Model Data Inputs'!$B$121</f>
        <v>35775.686000627997</v>
      </c>
      <c r="AI30" s="123">
        <f t="shared" si="15"/>
        <v>357.75686000628048</v>
      </c>
      <c r="AJ30" s="123">
        <f t="shared" si="16"/>
        <v>36133.442860634277</v>
      </c>
      <c r="AK30" s="123">
        <f>AJ30*SUM('Model Data Inputs'!$B$126:$B$131)</f>
        <v>7624.1564435938335</v>
      </c>
      <c r="AL30" s="123">
        <f>'Model Data Inputs'!$A$134</f>
        <v>16763.93</v>
      </c>
      <c r="AM30" s="123">
        <f t="shared" si="17"/>
        <v>60521.529304228112</v>
      </c>
    </row>
    <row r="31" spans="1:39" x14ac:dyDescent="0.2">
      <c r="A31" s="6" t="s">
        <v>66</v>
      </c>
      <c r="B31" s="6" t="s">
        <v>67</v>
      </c>
      <c r="C31" s="122">
        <f>VLOOKUP(A31,'Regional Cost Adjustment'!$A$4:$C$52,3,FALSE)</f>
        <v>1.03</v>
      </c>
      <c r="D31" s="123">
        <f>'Model Data Inputs'!$B$116</f>
        <v>106892.576407638</v>
      </c>
      <c r="E31" s="123">
        <f t="shared" si="0"/>
        <v>3206.7772922291479</v>
      </c>
      <c r="F31" s="123">
        <f t="shared" si="1"/>
        <v>110099.35369986715</v>
      </c>
      <c r="G31" s="123">
        <f>$F31*SUM('Model Data Inputs'!$B$126:$B$131)</f>
        <v>23230.963630671969</v>
      </c>
      <c r="H31" s="123">
        <f>'Model Data Inputs'!$A$134</f>
        <v>16763.93</v>
      </c>
      <c r="I31" s="123">
        <f t="shared" si="2"/>
        <v>150094.2473305391</v>
      </c>
      <c r="J31" s="123">
        <f>'Model Data Inputs'!$B$117</f>
        <v>85514.061126110406</v>
      </c>
      <c r="K31" s="123">
        <f t="shared" si="3"/>
        <v>2565.4218337833154</v>
      </c>
      <c r="L31" s="123">
        <f t="shared" si="4"/>
        <v>88079.482959893721</v>
      </c>
      <c r="M31" s="123">
        <f>L31*SUM('Model Data Inputs'!$B$126:$B$131)</f>
        <v>18584.770904537578</v>
      </c>
      <c r="N31" s="123">
        <f>'Model Data Inputs'!$A$134</f>
        <v>16763.93</v>
      </c>
      <c r="O31" s="123">
        <f t="shared" si="5"/>
        <v>123428.18386443131</v>
      </c>
      <c r="P31" s="123">
        <f>'Model Data Inputs'!$B$118</f>
        <v>72079.036986516003</v>
      </c>
      <c r="Q31" s="123">
        <f t="shared" si="6"/>
        <v>2162.3711095954786</v>
      </c>
      <c r="R31" s="123">
        <f t="shared" si="7"/>
        <v>74241.408096111481</v>
      </c>
      <c r="S31" s="123">
        <f>R31*SUM('Model Data Inputs'!$B$126:$B$131)</f>
        <v>15664.937108279524</v>
      </c>
      <c r="T31" s="123">
        <f>'Model Data Inputs'!$A$134</f>
        <v>16763.93</v>
      </c>
      <c r="U31" s="123">
        <f t="shared" si="8"/>
        <v>106670.27520439101</v>
      </c>
      <c r="V31" s="123">
        <f>'Model Data Inputs'!$B$120</f>
        <v>34885.391674434002</v>
      </c>
      <c r="W31" s="123">
        <f t="shared" si="9"/>
        <v>1046.5617502330206</v>
      </c>
      <c r="X31" s="123">
        <f t="shared" si="10"/>
        <v>35931.953424667023</v>
      </c>
      <c r="Y31" s="123">
        <f>X31*SUM('Model Data Inputs'!$B$126:$B$131)</f>
        <v>7581.6421726047429</v>
      </c>
      <c r="Z31" s="123">
        <f>'Model Data Inputs'!$A$134</f>
        <v>16763.93</v>
      </c>
      <c r="AA31" s="123">
        <f t="shared" si="11"/>
        <v>60277.525597271764</v>
      </c>
      <c r="AB31" s="123">
        <f>'Model Data Inputs'!$B$121</f>
        <v>35775.686000627997</v>
      </c>
      <c r="AC31" s="123">
        <f t="shared" si="12"/>
        <v>1073.2705800188414</v>
      </c>
      <c r="AD31" s="123">
        <f t="shared" si="13"/>
        <v>36848.956580646838</v>
      </c>
      <c r="AE31" s="123">
        <f>AD31*SUM('Model Data Inputs'!$B$126:$B$131)</f>
        <v>7775.1298385164837</v>
      </c>
      <c r="AF31" s="123">
        <f>'Model Data Inputs'!$A$134</f>
        <v>16763.93</v>
      </c>
      <c r="AG31" s="123">
        <f t="shared" si="14"/>
        <v>61388.016419163323</v>
      </c>
      <c r="AH31" s="123">
        <f>'Model Data Inputs'!$B$121</f>
        <v>35775.686000627997</v>
      </c>
      <c r="AI31" s="123">
        <f t="shared" si="15"/>
        <v>1073.2705800188414</v>
      </c>
      <c r="AJ31" s="123">
        <f t="shared" si="16"/>
        <v>36848.956580646838</v>
      </c>
      <c r="AK31" s="123">
        <f>AJ31*SUM('Model Data Inputs'!$B$126:$B$131)</f>
        <v>7775.1298385164837</v>
      </c>
      <c r="AL31" s="123">
        <f>'Model Data Inputs'!$A$134</f>
        <v>16763.93</v>
      </c>
      <c r="AM31" s="123">
        <f t="shared" si="17"/>
        <v>61388.016419163323</v>
      </c>
    </row>
    <row r="32" spans="1:39" x14ac:dyDescent="0.2">
      <c r="A32" s="6" t="s">
        <v>68</v>
      </c>
      <c r="B32" s="6" t="s">
        <v>69</v>
      </c>
      <c r="C32" s="122">
        <f>VLOOKUP(A32,'Regional Cost Adjustment'!$A$4:$C$52,3,FALSE)</f>
        <v>0.87</v>
      </c>
      <c r="D32" s="123">
        <f>'Model Data Inputs'!$B$116</f>
        <v>106892.576407638</v>
      </c>
      <c r="E32" s="123">
        <f t="shared" si="0"/>
        <v>-13896.034932992945</v>
      </c>
      <c r="F32" s="123">
        <f t="shared" si="1"/>
        <v>92996.541474645055</v>
      </c>
      <c r="G32" s="123">
        <f>$F32*SUM('Model Data Inputs'!$B$126:$B$131)</f>
        <v>19622.270251150108</v>
      </c>
      <c r="H32" s="123">
        <f>'Model Data Inputs'!$A$134</f>
        <v>16763.93</v>
      </c>
      <c r="I32" s="123">
        <f t="shared" si="2"/>
        <v>129382.74172579517</v>
      </c>
      <c r="J32" s="123">
        <f>'Model Data Inputs'!$B$117</f>
        <v>85514.061126110406</v>
      </c>
      <c r="K32" s="123">
        <f t="shared" si="3"/>
        <v>-11116.827946394347</v>
      </c>
      <c r="L32" s="123">
        <f t="shared" si="4"/>
        <v>74397.233179716059</v>
      </c>
      <c r="M32" s="123">
        <f>L32*SUM('Model Data Inputs'!$B$126:$B$131)</f>
        <v>15697.81620092009</v>
      </c>
      <c r="N32" s="123">
        <f>'Model Data Inputs'!$A$134</f>
        <v>16763.93</v>
      </c>
      <c r="O32" s="123">
        <f t="shared" si="5"/>
        <v>106858.97938063616</v>
      </c>
      <c r="P32" s="123">
        <f>'Model Data Inputs'!$B$118</f>
        <v>72079.036986516003</v>
      </c>
      <c r="Q32" s="123">
        <f t="shared" si="6"/>
        <v>-9370.2748082470789</v>
      </c>
      <c r="R32" s="123">
        <f t="shared" si="7"/>
        <v>62708.762178268924</v>
      </c>
      <c r="S32" s="123">
        <f>R32*SUM('Model Data Inputs'!$B$126:$B$131)</f>
        <v>13231.548819614743</v>
      </c>
      <c r="T32" s="123">
        <f>'Model Data Inputs'!$A$134</f>
        <v>16763.93</v>
      </c>
      <c r="U32" s="123">
        <f t="shared" si="8"/>
        <v>92704.240997883666</v>
      </c>
      <c r="V32" s="123">
        <f>'Model Data Inputs'!$B$120</f>
        <v>34885.391674434002</v>
      </c>
      <c r="W32" s="123">
        <f t="shared" si="9"/>
        <v>-4535.1009176764201</v>
      </c>
      <c r="X32" s="123">
        <f t="shared" si="10"/>
        <v>30350.290756757582</v>
      </c>
      <c r="Y32" s="123">
        <f>X32*SUM('Model Data Inputs'!$B$126:$B$131)</f>
        <v>6403.91134967585</v>
      </c>
      <c r="Z32" s="123">
        <f>'Model Data Inputs'!$A$134</f>
        <v>16763.93</v>
      </c>
      <c r="AA32" s="123">
        <f t="shared" si="11"/>
        <v>53518.132106433433</v>
      </c>
      <c r="AB32" s="123">
        <f>'Model Data Inputs'!$B$121</f>
        <v>35775.686000627997</v>
      </c>
      <c r="AC32" s="123">
        <f t="shared" si="12"/>
        <v>-4650.8391800816389</v>
      </c>
      <c r="AD32" s="123">
        <f t="shared" si="13"/>
        <v>31124.846820546358</v>
      </c>
      <c r="AE32" s="123">
        <f>AD32*SUM('Model Data Inputs'!$B$126:$B$131)</f>
        <v>6567.3426791352822</v>
      </c>
      <c r="AF32" s="123">
        <f>'Model Data Inputs'!$A$134</f>
        <v>16763.93</v>
      </c>
      <c r="AG32" s="123">
        <f t="shared" si="14"/>
        <v>54456.119499681641</v>
      </c>
      <c r="AH32" s="123">
        <f>'Model Data Inputs'!$B$121</f>
        <v>35775.686000627997</v>
      </c>
      <c r="AI32" s="123">
        <f t="shared" si="15"/>
        <v>-4650.8391800816389</v>
      </c>
      <c r="AJ32" s="123">
        <f t="shared" si="16"/>
        <v>31124.846820546358</v>
      </c>
      <c r="AK32" s="123">
        <f>AJ32*SUM('Model Data Inputs'!$B$126:$B$131)</f>
        <v>6567.3426791352822</v>
      </c>
      <c r="AL32" s="123">
        <f>'Model Data Inputs'!$A$134</f>
        <v>16763.93</v>
      </c>
      <c r="AM32" s="123">
        <f t="shared" si="17"/>
        <v>54456.119499681641</v>
      </c>
    </row>
    <row r="33" spans="1:39" x14ac:dyDescent="0.2">
      <c r="A33" s="6" t="s">
        <v>70</v>
      </c>
      <c r="B33" s="6" t="s">
        <v>71</v>
      </c>
      <c r="C33" s="122">
        <f>VLOOKUP(A33,'Regional Cost Adjustment'!$A$4:$C$52,3,FALSE)</f>
        <v>0.99</v>
      </c>
      <c r="D33" s="123">
        <f>'Model Data Inputs'!$B$116</f>
        <v>106892.576407638</v>
      </c>
      <c r="E33" s="123">
        <f t="shared" si="0"/>
        <v>-1068.9257640763826</v>
      </c>
      <c r="F33" s="123">
        <f t="shared" si="1"/>
        <v>105823.65064356162</v>
      </c>
      <c r="G33" s="123">
        <f>$F33*SUM('Model Data Inputs'!$B$126:$B$131)</f>
        <v>22328.790285791503</v>
      </c>
      <c r="H33" s="123">
        <f>'Model Data Inputs'!$A$134</f>
        <v>16763.93</v>
      </c>
      <c r="I33" s="123">
        <f t="shared" si="2"/>
        <v>144916.37092935311</v>
      </c>
      <c r="J33" s="123">
        <f>'Model Data Inputs'!$B$117</f>
        <v>85514.061126110406</v>
      </c>
      <c r="K33" s="123">
        <f t="shared" si="3"/>
        <v>-855.14061126110028</v>
      </c>
      <c r="L33" s="123">
        <f t="shared" si="4"/>
        <v>84658.920514849306</v>
      </c>
      <c r="M33" s="123">
        <f>L33*SUM('Model Data Inputs'!$B$126:$B$131)</f>
        <v>17863.032228633205</v>
      </c>
      <c r="N33" s="123">
        <f>'Model Data Inputs'!$A$134</f>
        <v>16763.93</v>
      </c>
      <c r="O33" s="123">
        <f t="shared" si="5"/>
        <v>119285.88274348251</v>
      </c>
      <c r="P33" s="123">
        <f>'Model Data Inputs'!$B$118</f>
        <v>72079.036986516003</v>
      </c>
      <c r="Q33" s="123">
        <f t="shared" si="6"/>
        <v>-720.79036986516439</v>
      </c>
      <c r="R33" s="123">
        <f t="shared" si="7"/>
        <v>71358.246616650838</v>
      </c>
      <c r="S33" s="123">
        <f>R33*SUM('Model Data Inputs'!$B$126:$B$131)</f>
        <v>15056.590036113328</v>
      </c>
      <c r="T33" s="123">
        <f>'Model Data Inputs'!$A$134</f>
        <v>16763.93</v>
      </c>
      <c r="U33" s="123">
        <f t="shared" si="8"/>
        <v>103178.76665276417</v>
      </c>
      <c r="V33" s="123">
        <f>'Model Data Inputs'!$B$120</f>
        <v>34885.391674434002</v>
      </c>
      <c r="W33" s="123">
        <f t="shared" si="9"/>
        <v>-348.85391674433777</v>
      </c>
      <c r="X33" s="123">
        <f t="shared" si="10"/>
        <v>34536.537757689664</v>
      </c>
      <c r="Y33" s="123">
        <f>X33*SUM('Model Data Inputs'!$B$126:$B$131)</f>
        <v>7287.2094668725204</v>
      </c>
      <c r="Z33" s="123">
        <f>'Model Data Inputs'!$A$134</f>
        <v>16763.93</v>
      </c>
      <c r="AA33" s="123">
        <f t="shared" si="11"/>
        <v>58587.677224562183</v>
      </c>
      <c r="AB33" s="123">
        <f>'Model Data Inputs'!$B$121</f>
        <v>35775.686000627997</v>
      </c>
      <c r="AC33" s="123">
        <f t="shared" si="12"/>
        <v>-357.75686000628048</v>
      </c>
      <c r="AD33" s="123">
        <f t="shared" si="13"/>
        <v>35417.929140621716</v>
      </c>
      <c r="AE33" s="123">
        <f>AD33*SUM('Model Data Inputs'!$B$126:$B$131)</f>
        <v>7473.1830486711833</v>
      </c>
      <c r="AF33" s="123">
        <f>'Model Data Inputs'!$A$134</f>
        <v>16763.93</v>
      </c>
      <c r="AG33" s="123">
        <f t="shared" si="14"/>
        <v>59655.042189292901</v>
      </c>
      <c r="AH33" s="123">
        <f>'Model Data Inputs'!$B$121</f>
        <v>35775.686000627997</v>
      </c>
      <c r="AI33" s="123">
        <f t="shared" si="15"/>
        <v>-357.75686000628048</v>
      </c>
      <c r="AJ33" s="123">
        <f t="shared" si="16"/>
        <v>35417.929140621716</v>
      </c>
      <c r="AK33" s="123">
        <f>AJ33*SUM('Model Data Inputs'!$B$126:$B$131)</f>
        <v>7473.1830486711833</v>
      </c>
      <c r="AL33" s="123">
        <f>'Model Data Inputs'!$A$134</f>
        <v>16763.93</v>
      </c>
      <c r="AM33" s="123">
        <f t="shared" si="17"/>
        <v>59655.042189292901</v>
      </c>
    </row>
    <row r="34" spans="1:39" x14ac:dyDescent="0.2">
      <c r="A34" s="6" t="s">
        <v>72</v>
      </c>
      <c r="B34" s="6" t="s">
        <v>73</v>
      </c>
      <c r="C34" s="122">
        <f>VLOOKUP(A34,'Regional Cost Adjustment'!$A$4:$C$52,3,FALSE)</f>
        <v>0.99</v>
      </c>
      <c r="D34" s="123">
        <f>'Model Data Inputs'!$B$116</f>
        <v>106892.576407638</v>
      </c>
      <c r="E34" s="123">
        <f t="shared" si="0"/>
        <v>-1068.9257640763826</v>
      </c>
      <c r="F34" s="123">
        <f t="shared" si="1"/>
        <v>105823.65064356162</v>
      </c>
      <c r="G34" s="123">
        <f>$F34*SUM('Model Data Inputs'!$B$126:$B$131)</f>
        <v>22328.790285791503</v>
      </c>
      <c r="H34" s="123">
        <f>'Model Data Inputs'!$A$134</f>
        <v>16763.93</v>
      </c>
      <c r="I34" s="123">
        <f t="shared" si="2"/>
        <v>144916.37092935311</v>
      </c>
      <c r="J34" s="123">
        <f>'Model Data Inputs'!$B$117</f>
        <v>85514.061126110406</v>
      </c>
      <c r="K34" s="123">
        <f t="shared" si="3"/>
        <v>-855.14061126110028</v>
      </c>
      <c r="L34" s="123">
        <f t="shared" si="4"/>
        <v>84658.920514849306</v>
      </c>
      <c r="M34" s="123">
        <f>L34*SUM('Model Data Inputs'!$B$126:$B$131)</f>
        <v>17863.032228633205</v>
      </c>
      <c r="N34" s="123">
        <f>'Model Data Inputs'!$A$134</f>
        <v>16763.93</v>
      </c>
      <c r="O34" s="123">
        <f t="shared" si="5"/>
        <v>119285.88274348251</v>
      </c>
      <c r="P34" s="123">
        <f>'Model Data Inputs'!$B$118</f>
        <v>72079.036986516003</v>
      </c>
      <c r="Q34" s="123">
        <f t="shared" si="6"/>
        <v>-720.79036986516439</v>
      </c>
      <c r="R34" s="123">
        <f t="shared" si="7"/>
        <v>71358.246616650838</v>
      </c>
      <c r="S34" s="123">
        <f>R34*SUM('Model Data Inputs'!$B$126:$B$131)</f>
        <v>15056.590036113328</v>
      </c>
      <c r="T34" s="123">
        <f>'Model Data Inputs'!$A$134</f>
        <v>16763.93</v>
      </c>
      <c r="U34" s="123">
        <f t="shared" si="8"/>
        <v>103178.76665276417</v>
      </c>
      <c r="V34" s="123">
        <f>'Model Data Inputs'!$B$120</f>
        <v>34885.391674434002</v>
      </c>
      <c r="W34" s="123">
        <f t="shared" si="9"/>
        <v>-348.85391674433777</v>
      </c>
      <c r="X34" s="123">
        <f t="shared" si="10"/>
        <v>34536.537757689664</v>
      </c>
      <c r="Y34" s="123">
        <f>X34*SUM('Model Data Inputs'!$B$126:$B$131)</f>
        <v>7287.2094668725204</v>
      </c>
      <c r="Z34" s="123">
        <f>'Model Data Inputs'!$A$134</f>
        <v>16763.93</v>
      </c>
      <c r="AA34" s="123">
        <f t="shared" si="11"/>
        <v>58587.677224562183</v>
      </c>
      <c r="AB34" s="123">
        <f>'Model Data Inputs'!$B$121</f>
        <v>35775.686000627997</v>
      </c>
      <c r="AC34" s="123">
        <f t="shared" si="12"/>
        <v>-357.75686000628048</v>
      </c>
      <c r="AD34" s="123">
        <f t="shared" si="13"/>
        <v>35417.929140621716</v>
      </c>
      <c r="AE34" s="123">
        <f>AD34*SUM('Model Data Inputs'!$B$126:$B$131)</f>
        <v>7473.1830486711833</v>
      </c>
      <c r="AF34" s="123">
        <f>'Model Data Inputs'!$A$134</f>
        <v>16763.93</v>
      </c>
      <c r="AG34" s="123">
        <f t="shared" si="14"/>
        <v>59655.042189292901</v>
      </c>
      <c r="AH34" s="123">
        <f>'Model Data Inputs'!$B$121</f>
        <v>35775.686000627997</v>
      </c>
      <c r="AI34" s="123">
        <f t="shared" si="15"/>
        <v>-357.75686000628048</v>
      </c>
      <c r="AJ34" s="123">
        <f t="shared" si="16"/>
        <v>35417.929140621716</v>
      </c>
      <c r="AK34" s="123">
        <f>AJ34*SUM('Model Data Inputs'!$B$126:$B$131)</f>
        <v>7473.1830486711833</v>
      </c>
      <c r="AL34" s="123">
        <f>'Model Data Inputs'!$A$134</f>
        <v>16763.93</v>
      </c>
      <c r="AM34" s="123">
        <f t="shared" si="17"/>
        <v>59655.042189292901</v>
      </c>
    </row>
    <row r="35" spans="1:39" x14ac:dyDescent="0.2">
      <c r="A35" s="6" t="s">
        <v>74</v>
      </c>
      <c r="B35" s="6" t="s">
        <v>75</v>
      </c>
      <c r="C35" s="122">
        <f>VLOOKUP(A35,'Regional Cost Adjustment'!$A$4:$C$52,3,FALSE)</f>
        <v>0.99</v>
      </c>
      <c r="D35" s="123">
        <f>'Model Data Inputs'!$B$116</f>
        <v>106892.576407638</v>
      </c>
      <c r="E35" s="123">
        <f t="shared" si="0"/>
        <v>-1068.9257640763826</v>
      </c>
      <c r="F35" s="123">
        <f t="shared" si="1"/>
        <v>105823.65064356162</v>
      </c>
      <c r="G35" s="123">
        <f>$F35*SUM('Model Data Inputs'!$B$126:$B$131)</f>
        <v>22328.790285791503</v>
      </c>
      <c r="H35" s="123">
        <f>'Model Data Inputs'!$A$134</f>
        <v>16763.93</v>
      </c>
      <c r="I35" s="123">
        <f t="shared" si="2"/>
        <v>144916.37092935311</v>
      </c>
      <c r="J35" s="123">
        <f>'Model Data Inputs'!$B$117</f>
        <v>85514.061126110406</v>
      </c>
      <c r="K35" s="123">
        <f t="shared" si="3"/>
        <v>-855.14061126110028</v>
      </c>
      <c r="L35" s="123">
        <f t="shared" si="4"/>
        <v>84658.920514849306</v>
      </c>
      <c r="M35" s="123">
        <f>L35*SUM('Model Data Inputs'!$B$126:$B$131)</f>
        <v>17863.032228633205</v>
      </c>
      <c r="N35" s="123">
        <f>'Model Data Inputs'!$A$134</f>
        <v>16763.93</v>
      </c>
      <c r="O35" s="123">
        <f t="shared" si="5"/>
        <v>119285.88274348251</v>
      </c>
      <c r="P35" s="123">
        <f>'Model Data Inputs'!$B$118</f>
        <v>72079.036986516003</v>
      </c>
      <c r="Q35" s="123">
        <f t="shared" si="6"/>
        <v>-720.79036986516439</v>
      </c>
      <c r="R35" s="123">
        <f t="shared" si="7"/>
        <v>71358.246616650838</v>
      </c>
      <c r="S35" s="123">
        <f>R35*SUM('Model Data Inputs'!$B$126:$B$131)</f>
        <v>15056.590036113328</v>
      </c>
      <c r="T35" s="123">
        <f>'Model Data Inputs'!$A$134</f>
        <v>16763.93</v>
      </c>
      <c r="U35" s="123">
        <f t="shared" si="8"/>
        <v>103178.76665276417</v>
      </c>
      <c r="V35" s="123">
        <f>'Model Data Inputs'!$B$120</f>
        <v>34885.391674434002</v>
      </c>
      <c r="W35" s="123">
        <f t="shared" si="9"/>
        <v>-348.85391674433777</v>
      </c>
      <c r="X35" s="123">
        <f t="shared" si="10"/>
        <v>34536.537757689664</v>
      </c>
      <c r="Y35" s="123">
        <f>X35*SUM('Model Data Inputs'!$B$126:$B$131)</f>
        <v>7287.2094668725204</v>
      </c>
      <c r="Z35" s="123">
        <f>'Model Data Inputs'!$A$134</f>
        <v>16763.93</v>
      </c>
      <c r="AA35" s="123">
        <f t="shared" si="11"/>
        <v>58587.677224562183</v>
      </c>
      <c r="AB35" s="123">
        <f>'Model Data Inputs'!$B$121</f>
        <v>35775.686000627997</v>
      </c>
      <c r="AC35" s="123">
        <f t="shared" si="12"/>
        <v>-357.75686000628048</v>
      </c>
      <c r="AD35" s="123">
        <f t="shared" si="13"/>
        <v>35417.929140621716</v>
      </c>
      <c r="AE35" s="123">
        <f>AD35*SUM('Model Data Inputs'!$B$126:$B$131)</f>
        <v>7473.1830486711833</v>
      </c>
      <c r="AF35" s="123">
        <f>'Model Data Inputs'!$A$134</f>
        <v>16763.93</v>
      </c>
      <c r="AG35" s="123">
        <f t="shared" si="14"/>
        <v>59655.042189292901</v>
      </c>
      <c r="AH35" s="123">
        <f>'Model Data Inputs'!$B$121</f>
        <v>35775.686000627997</v>
      </c>
      <c r="AI35" s="123">
        <f t="shared" si="15"/>
        <v>-357.75686000628048</v>
      </c>
      <c r="AJ35" s="123">
        <f t="shared" si="16"/>
        <v>35417.929140621716</v>
      </c>
      <c r="AK35" s="123">
        <f>AJ35*SUM('Model Data Inputs'!$B$126:$B$131)</f>
        <v>7473.1830486711833</v>
      </c>
      <c r="AL35" s="123">
        <f>'Model Data Inputs'!$A$134</f>
        <v>16763.93</v>
      </c>
      <c r="AM35" s="123">
        <f t="shared" si="17"/>
        <v>59655.042189292901</v>
      </c>
    </row>
    <row r="36" spans="1:39" x14ac:dyDescent="0.2">
      <c r="A36" s="6" t="s">
        <v>76</v>
      </c>
      <c r="B36" s="6" t="s">
        <v>77</v>
      </c>
      <c r="C36" s="122">
        <f>VLOOKUP(A36,'Regional Cost Adjustment'!$A$4:$C$52,3,FALSE)</f>
        <v>1.01</v>
      </c>
      <c r="D36" s="123">
        <f>'Model Data Inputs'!$B$116</f>
        <v>106892.576407638</v>
      </c>
      <c r="E36" s="123">
        <f t="shared" si="0"/>
        <v>1068.9257640763826</v>
      </c>
      <c r="F36" s="123">
        <f t="shared" si="1"/>
        <v>107961.50217171438</v>
      </c>
      <c r="G36" s="123">
        <f>$F36*SUM('Model Data Inputs'!$B$126:$B$131)</f>
        <v>22779.876958231736</v>
      </c>
      <c r="H36" s="123">
        <f>'Model Data Inputs'!$A$134</f>
        <v>16763.93</v>
      </c>
      <c r="I36" s="123">
        <f t="shared" si="2"/>
        <v>147505.30912994611</v>
      </c>
      <c r="J36" s="123">
        <f>'Model Data Inputs'!$B$117</f>
        <v>85514.061126110406</v>
      </c>
      <c r="K36" s="123">
        <f t="shared" si="3"/>
        <v>855.14061126110028</v>
      </c>
      <c r="L36" s="123">
        <f t="shared" si="4"/>
        <v>86369.201737371506</v>
      </c>
      <c r="M36" s="123">
        <f>L36*SUM('Model Data Inputs'!$B$126:$B$131)</f>
        <v>18223.901566585391</v>
      </c>
      <c r="N36" s="123">
        <f>'Model Data Inputs'!$A$134</f>
        <v>16763.93</v>
      </c>
      <c r="O36" s="123">
        <f t="shared" si="5"/>
        <v>121357.03330395691</v>
      </c>
      <c r="P36" s="123">
        <f>'Model Data Inputs'!$B$118</f>
        <v>72079.036986516003</v>
      </c>
      <c r="Q36" s="123">
        <f t="shared" si="6"/>
        <v>720.79036986516439</v>
      </c>
      <c r="R36" s="123">
        <f t="shared" si="7"/>
        <v>72799.827356381167</v>
      </c>
      <c r="S36" s="123">
        <f>R36*SUM('Model Data Inputs'!$B$126:$B$131)</f>
        <v>15360.763572196427</v>
      </c>
      <c r="T36" s="123">
        <f>'Model Data Inputs'!$A$134</f>
        <v>16763.93</v>
      </c>
      <c r="U36" s="123">
        <f t="shared" si="8"/>
        <v>104924.52092857761</v>
      </c>
      <c r="V36" s="123">
        <f>'Model Data Inputs'!$B$120</f>
        <v>34885.391674434002</v>
      </c>
      <c r="W36" s="123">
        <f t="shared" si="9"/>
        <v>348.85391674433777</v>
      </c>
      <c r="X36" s="123">
        <f t="shared" si="10"/>
        <v>35234.24559117834</v>
      </c>
      <c r="Y36" s="123">
        <f>X36*SUM('Model Data Inputs'!$B$126:$B$131)</f>
        <v>7434.4258197386307</v>
      </c>
      <c r="Z36" s="123">
        <f>'Model Data Inputs'!$A$134</f>
        <v>16763.93</v>
      </c>
      <c r="AA36" s="123">
        <f t="shared" si="11"/>
        <v>59432.60141091697</v>
      </c>
      <c r="AB36" s="123">
        <f>'Model Data Inputs'!$B$121</f>
        <v>35775.686000627997</v>
      </c>
      <c r="AC36" s="123">
        <f t="shared" si="12"/>
        <v>357.75686000628048</v>
      </c>
      <c r="AD36" s="123">
        <f t="shared" si="13"/>
        <v>36133.442860634277</v>
      </c>
      <c r="AE36" s="123">
        <f>AD36*SUM('Model Data Inputs'!$B$126:$B$131)</f>
        <v>7624.1564435938335</v>
      </c>
      <c r="AF36" s="123">
        <f>'Model Data Inputs'!$A$134</f>
        <v>16763.93</v>
      </c>
      <c r="AG36" s="123">
        <f t="shared" si="14"/>
        <v>60521.529304228112</v>
      </c>
      <c r="AH36" s="123">
        <f>'Model Data Inputs'!$B$121</f>
        <v>35775.686000627997</v>
      </c>
      <c r="AI36" s="123">
        <f t="shared" si="15"/>
        <v>357.75686000628048</v>
      </c>
      <c r="AJ36" s="123">
        <f t="shared" si="16"/>
        <v>36133.442860634277</v>
      </c>
      <c r="AK36" s="123">
        <f>AJ36*SUM('Model Data Inputs'!$B$126:$B$131)</f>
        <v>7624.1564435938335</v>
      </c>
      <c r="AL36" s="123">
        <f>'Model Data Inputs'!$A$134</f>
        <v>16763.93</v>
      </c>
      <c r="AM36" s="123">
        <f t="shared" si="17"/>
        <v>60521.529304228112</v>
      </c>
    </row>
    <row r="37" spans="1:39" x14ac:dyDescent="0.2">
      <c r="A37" s="6" t="s">
        <v>78</v>
      </c>
      <c r="B37" s="6" t="s">
        <v>79</v>
      </c>
      <c r="C37" s="122">
        <f>VLOOKUP(A37,'Regional Cost Adjustment'!$A$4:$C$52,3,FALSE)</f>
        <v>1.01</v>
      </c>
      <c r="D37" s="123">
        <f>'Model Data Inputs'!$B$116</f>
        <v>106892.576407638</v>
      </c>
      <c r="E37" s="123">
        <f t="shared" si="0"/>
        <v>1068.9257640763826</v>
      </c>
      <c r="F37" s="123">
        <f t="shared" si="1"/>
        <v>107961.50217171438</v>
      </c>
      <c r="G37" s="123">
        <f>$F37*SUM('Model Data Inputs'!$B$126:$B$131)</f>
        <v>22779.876958231736</v>
      </c>
      <c r="H37" s="123">
        <f>'Model Data Inputs'!$A$134</f>
        <v>16763.93</v>
      </c>
      <c r="I37" s="123">
        <f t="shared" si="2"/>
        <v>147505.30912994611</v>
      </c>
      <c r="J37" s="123">
        <f>'Model Data Inputs'!$B$117</f>
        <v>85514.061126110406</v>
      </c>
      <c r="K37" s="123">
        <f t="shared" si="3"/>
        <v>855.14061126110028</v>
      </c>
      <c r="L37" s="123">
        <f t="shared" si="4"/>
        <v>86369.201737371506</v>
      </c>
      <c r="M37" s="123">
        <f>L37*SUM('Model Data Inputs'!$B$126:$B$131)</f>
        <v>18223.901566585391</v>
      </c>
      <c r="N37" s="123">
        <f>'Model Data Inputs'!$A$134</f>
        <v>16763.93</v>
      </c>
      <c r="O37" s="123">
        <f t="shared" si="5"/>
        <v>121357.03330395691</v>
      </c>
      <c r="P37" s="123">
        <f>'Model Data Inputs'!$B$118</f>
        <v>72079.036986516003</v>
      </c>
      <c r="Q37" s="123">
        <f t="shared" si="6"/>
        <v>720.79036986516439</v>
      </c>
      <c r="R37" s="123">
        <f t="shared" si="7"/>
        <v>72799.827356381167</v>
      </c>
      <c r="S37" s="123">
        <f>R37*SUM('Model Data Inputs'!$B$126:$B$131)</f>
        <v>15360.763572196427</v>
      </c>
      <c r="T37" s="123">
        <f>'Model Data Inputs'!$A$134</f>
        <v>16763.93</v>
      </c>
      <c r="U37" s="123">
        <f t="shared" si="8"/>
        <v>104924.52092857761</v>
      </c>
      <c r="V37" s="123">
        <f>'Model Data Inputs'!$B$120</f>
        <v>34885.391674434002</v>
      </c>
      <c r="W37" s="123">
        <f t="shared" si="9"/>
        <v>348.85391674433777</v>
      </c>
      <c r="X37" s="123">
        <f t="shared" si="10"/>
        <v>35234.24559117834</v>
      </c>
      <c r="Y37" s="123">
        <f>X37*SUM('Model Data Inputs'!$B$126:$B$131)</f>
        <v>7434.4258197386307</v>
      </c>
      <c r="Z37" s="123">
        <f>'Model Data Inputs'!$A$134</f>
        <v>16763.93</v>
      </c>
      <c r="AA37" s="123">
        <f t="shared" si="11"/>
        <v>59432.60141091697</v>
      </c>
      <c r="AB37" s="123">
        <f>'Model Data Inputs'!$B$121</f>
        <v>35775.686000627997</v>
      </c>
      <c r="AC37" s="123">
        <f t="shared" si="12"/>
        <v>357.75686000628048</v>
      </c>
      <c r="AD37" s="123">
        <f t="shared" si="13"/>
        <v>36133.442860634277</v>
      </c>
      <c r="AE37" s="123">
        <f>AD37*SUM('Model Data Inputs'!$B$126:$B$131)</f>
        <v>7624.1564435938335</v>
      </c>
      <c r="AF37" s="123">
        <f>'Model Data Inputs'!$A$134</f>
        <v>16763.93</v>
      </c>
      <c r="AG37" s="123">
        <f t="shared" si="14"/>
        <v>60521.529304228112</v>
      </c>
      <c r="AH37" s="123">
        <f>'Model Data Inputs'!$B$121</f>
        <v>35775.686000627997</v>
      </c>
      <c r="AI37" s="123">
        <f t="shared" si="15"/>
        <v>357.75686000628048</v>
      </c>
      <c r="AJ37" s="123">
        <f t="shared" si="16"/>
        <v>36133.442860634277</v>
      </c>
      <c r="AK37" s="123">
        <f>AJ37*SUM('Model Data Inputs'!$B$126:$B$131)</f>
        <v>7624.1564435938335</v>
      </c>
      <c r="AL37" s="123">
        <f>'Model Data Inputs'!$A$134</f>
        <v>16763.93</v>
      </c>
      <c r="AM37" s="123">
        <f t="shared" si="17"/>
        <v>60521.529304228112</v>
      </c>
    </row>
    <row r="38" spans="1:39" x14ac:dyDescent="0.2">
      <c r="A38" s="6" t="s">
        <v>80</v>
      </c>
      <c r="B38" s="6" t="s">
        <v>81</v>
      </c>
      <c r="C38" s="122">
        <f>VLOOKUP(A38,'Regional Cost Adjustment'!$A$4:$C$52,3,FALSE)</f>
        <v>0.98</v>
      </c>
      <c r="D38" s="123">
        <f>'Model Data Inputs'!$B$116</f>
        <v>106892.576407638</v>
      </c>
      <c r="E38" s="123">
        <f t="shared" si="0"/>
        <v>-2137.8515281527652</v>
      </c>
      <c r="F38" s="123">
        <f t="shared" si="1"/>
        <v>104754.72487948523</v>
      </c>
      <c r="G38" s="123">
        <f>$F38*SUM('Model Data Inputs'!$B$126:$B$131)</f>
        <v>22103.246949571389</v>
      </c>
      <c r="H38" s="123">
        <f>'Model Data Inputs'!$A$134</f>
        <v>16763.93</v>
      </c>
      <c r="I38" s="123">
        <f t="shared" si="2"/>
        <v>143621.90182905662</v>
      </c>
      <c r="J38" s="123">
        <f>'Model Data Inputs'!$B$117</f>
        <v>85514.061126110406</v>
      </c>
      <c r="K38" s="123">
        <f t="shared" si="3"/>
        <v>-1710.2812225222151</v>
      </c>
      <c r="L38" s="123">
        <f t="shared" si="4"/>
        <v>83803.779903588191</v>
      </c>
      <c r="M38" s="123">
        <f>L38*SUM('Model Data Inputs'!$B$126:$B$131)</f>
        <v>17682.597559657112</v>
      </c>
      <c r="N38" s="123">
        <f>'Model Data Inputs'!$A$134</f>
        <v>16763.93</v>
      </c>
      <c r="O38" s="123">
        <f t="shared" si="5"/>
        <v>118250.30746324529</v>
      </c>
      <c r="P38" s="123">
        <f>'Model Data Inputs'!$B$118</f>
        <v>72079.036986516003</v>
      </c>
      <c r="Q38" s="123">
        <f t="shared" si="6"/>
        <v>-1441.5807397303142</v>
      </c>
      <c r="R38" s="123">
        <f t="shared" si="7"/>
        <v>70637.456246785689</v>
      </c>
      <c r="S38" s="123">
        <f>R38*SUM('Model Data Inputs'!$B$126:$B$131)</f>
        <v>14904.503268071781</v>
      </c>
      <c r="T38" s="123">
        <f>'Model Data Inputs'!$A$134</f>
        <v>16763.93</v>
      </c>
      <c r="U38" s="123">
        <f t="shared" si="8"/>
        <v>102305.88951485747</v>
      </c>
      <c r="V38" s="123">
        <f>'Model Data Inputs'!$B$120</f>
        <v>34885.391674434002</v>
      </c>
      <c r="W38" s="123">
        <f t="shared" si="9"/>
        <v>-697.70783348868281</v>
      </c>
      <c r="X38" s="123">
        <f t="shared" si="10"/>
        <v>34187.683840945319</v>
      </c>
      <c r="Y38" s="123">
        <f>X38*SUM('Model Data Inputs'!$B$126:$B$131)</f>
        <v>7213.6012904394629</v>
      </c>
      <c r="Z38" s="123">
        <f>'Model Data Inputs'!$A$134</f>
        <v>16763.93</v>
      </c>
      <c r="AA38" s="123">
        <f t="shared" si="11"/>
        <v>58165.215131384779</v>
      </c>
      <c r="AB38" s="123">
        <f>'Model Data Inputs'!$B$121</f>
        <v>35775.686000627997</v>
      </c>
      <c r="AC38" s="123">
        <f t="shared" si="12"/>
        <v>-715.51372001256095</v>
      </c>
      <c r="AD38" s="123">
        <f t="shared" si="13"/>
        <v>35060.172280615436</v>
      </c>
      <c r="AE38" s="123">
        <f>AD38*SUM('Model Data Inputs'!$B$126:$B$131)</f>
        <v>7397.6963512098573</v>
      </c>
      <c r="AF38" s="123">
        <f>'Model Data Inputs'!$A$134</f>
        <v>16763.93</v>
      </c>
      <c r="AG38" s="123">
        <f t="shared" si="14"/>
        <v>59221.798631825295</v>
      </c>
      <c r="AH38" s="123">
        <f>'Model Data Inputs'!$B$121</f>
        <v>35775.686000627997</v>
      </c>
      <c r="AI38" s="123">
        <f t="shared" si="15"/>
        <v>-715.51372001256095</v>
      </c>
      <c r="AJ38" s="123">
        <f t="shared" si="16"/>
        <v>35060.172280615436</v>
      </c>
      <c r="AK38" s="123">
        <f>AJ38*SUM('Model Data Inputs'!$B$126:$B$131)</f>
        <v>7397.6963512098573</v>
      </c>
      <c r="AL38" s="123">
        <f>'Model Data Inputs'!$A$134</f>
        <v>16763.93</v>
      </c>
      <c r="AM38" s="123">
        <f t="shared" si="17"/>
        <v>59221.798631825295</v>
      </c>
    </row>
    <row r="39" spans="1:39" x14ac:dyDescent="0.2">
      <c r="A39" s="6" t="s">
        <v>82</v>
      </c>
      <c r="B39" s="6" t="s">
        <v>83</v>
      </c>
      <c r="C39" s="122">
        <f>VLOOKUP(A39,'Regional Cost Adjustment'!$A$4:$C$52,3,FALSE)</f>
        <v>0.98</v>
      </c>
      <c r="D39" s="123">
        <f>'Model Data Inputs'!$B$116</f>
        <v>106892.576407638</v>
      </c>
      <c r="E39" s="123">
        <f t="shared" si="0"/>
        <v>-2137.8515281527652</v>
      </c>
      <c r="F39" s="123">
        <f t="shared" si="1"/>
        <v>104754.72487948523</v>
      </c>
      <c r="G39" s="123">
        <f>$F39*SUM('Model Data Inputs'!$B$126:$B$131)</f>
        <v>22103.246949571389</v>
      </c>
      <c r="H39" s="123">
        <f>'Model Data Inputs'!$A$134</f>
        <v>16763.93</v>
      </c>
      <c r="I39" s="123">
        <f t="shared" si="2"/>
        <v>143621.90182905662</v>
      </c>
      <c r="J39" s="123">
        <f>'Model Data Inputs'!$B$117</f>
        <v>85514.061126110406</v>
      </c>
      <c r="K39" s="123">
        <f t="shared" si="3"/>
        <v>-1710.2812225222151</v>
      </c>
      <c r="L39" s="123">
        <f t="shared" si="4"/>
        <v>83803.779903588191</v>
      </c>
      <c r="M39" s="123">
        <f>L39*SUM('Model Data Inputs'!$B$126:$B$131)</f>
        <v>17682.597559657112</v>
      </c>
      <c r="N39" s="123">
        <f>'Model Data Inputs'!$A$134</f>
        <v>16763.93</v>
      </c>
      <c r="O39" s="123">
        <f t="shared" si="5"/>
        <v>118250.30746324529</v>
      </c>
      <c r="P39" s="123">
        <f>'Model Data Inputs'!$B$118</f>
        <v>72079.036986516003</v>
      </c>
      <c r="Q39" s="123">
        <f t="shared" si="6"/>
        <v>-1441.5807397303142</v>
      </c>
      <c r="R39" s="123">
        <f t="shared" si="7"/>
        <v>70637.456246785689</v>
      </c>
      <c r="S39" s="123">
        <f>R39*SUM('Model Data Inputs'!$B$126:$B$131)</f>
        <v>14904.503268071781</v>
      </c>
      <c r="T39" s="123">
        <f>'Model Data Inputs'!$A$134</f>
        <v>16763.93</v>
      </c>
      <c r="U39" s="123">
        <f t="shared" si="8"/>
        <v>102305.88951485747</v>
      </c>
      <c r="V39" s="123">
        <f>'Model Data Inputs'!$B$120</f>
        <v>34885.391674434002</v>
      </c>
      <c r="W39" s="123">
        <f t="shared" si="9"/>
        <v>-697.70783348868281</v>
      </c>
      <c r="X39" s="123">
        <f t="shared" si="10"/>
        <v>34187.683840945319</v>
      </c>
      <c r="Y39" s="123">
        <f>X39*SUM('Model Data Inputs'!$B$126:$B$131)</f>
        <v>7213.6012904394629</v>
      </c>
      <c r="Z39" s="123">
        <f>'Model Data Inputs'!$A$134</f>
        <v>16763.93</v>
      </c>
      <c r="AA39" s="123">
        <f t="shared" si="11"/>
        <v>58165.215131384779</v>
      </c>
      <c r="AB39" s="123">
        <f>'Model Data Inputs'!$B$121</f>
        <v>35775.686000627997</v>
      </c>
      <c r="AC39" s="123">
        <f t="shared" si="12"/>
        <v>-715.51372001256095</v>
      </c>
      <c r="AD39" s="123">
        <f t="shared" si="13"/>
        <v>35060.172280615436</v>
      </c>
      <c r="AE39" s="123">
        <f>AD39*SUM('Model Data Inputs'!$B$126:$B$131)</f>
        <v>7397.6963512098573</v>
      </c>
      <c r="AF39" s="123">
        <f>'Model Data Inputs'!$A$134</f>
        <v>16763.93</v>
      </c>
      <c r="AG39" s="123">
        <f t="shared" si="14"/>
        <v>59221.798631825295</v>
      </c>
      <c r="AH39" s="123">
        <f>'Model Data Inputs'!$B$121</f>
        <v>35775.686000627997</v>
      </c>
      <c r="AI39" s="123">
        <f t="shared" si="15"/>
        <v>-715.51372001256095</v>
      </c>
      <c r="AJ39" s="123">
        <f t="shared" si="16"/>
        <v>35060.172280615436</v>
      </c>
      <c r="AK39" s="123">
        <f>AJ39*SUM('Model Data Inputs'!$B$126:$B$131)</f>
        <v>7397.6963512098573</v>
      </c>
      <c r="AL39" s="123">
        <f>'Model Data Inputs'!$A$134</f>
        <v>16763.93</v>
      </c>
      <c r="AM39" s="123">
        <f t="shared" si="17"/>
        <v>59221.798631825295</v>
      </c>
    </row>
    <row r="40" spans="1:39" x14ac:dyDescent="0.2">
      <c r="A40" s="6" t="s">
        <v>84</v>
      </c>
      <c r="B40" s="6" t="s">
        <v>85</v>
      </c>
      <c r="C40" s="122">
        <f>VLOOKUP(A40,'Regional Cost Adjustment'!$A$4:$C$52,3,FALSE)</f>
        <v>0.98</v>
      </c>
      <c r="D40" s="123">
        <f>'Model Data Inputs'!$B$116</f>
        <v>106892.576407638</v>
      </c>
      <c r="E40" s="123">
        <f t="shared" si="0"/>
        <v>-2137.8515281527652</v>
      </c>
      <c r="F40" s="123">
        <f t="shared" si="1"/>
        <v>104754.72487948523</v>
      </c>
      <c r="G40" s="123">
        <f>$F40*SUM('Model Data Inputs'!$B$126:$B$131)</f>
        <v>22103.246949571389</v>
      </c>
      <c r="H40" s="123">
        <f>'Model Data Inputs'!$A$134</f>
        <v>16763.93</v>
      </c>
      <c r="I40" s="123">
        <f t="shared" si="2"/>
        <v>143621.90182905662</v>
      </c>
      <c r="J40" s="123">
        <f>'Model Data Inputs'!$B$117</f>
        <v>85514.061126110406</v>
      </c>
      <c r="K40" s="123">
        <f t="shared" si="3"/>
        <v>-1710.2812225222151</v>
      </c>
      <c r="L40" s="123">
        <f t="shared" si="4"/>
        <v>83803.779903588191</v>
      </c>
      <c r="M40" s="123">
        <f>L40*SUM('Model Data Inputs'!$B$126:$B$131)</f>
        <v>17682.597559657112</v>
      </c>
      <c r="N40" s="123">
        <f>'Model Data Inputs'!$A$134</f>
        <v>16763.93</v>
      </c>
      <c r="O40" s="123">
        <f t="shared" si="5"/>
        <v>118250.30746324529</v>
      </c>
      <c r="P40" s="123">
        <f>'Model Data Inputs'!$B$118</f>
        <v>72079.036986516003</v>
      </c>
      <c r="Q40" s="123">
        <f t="shared" si="6"/>
        <v>-1441.5807397303142</v>
      </c>
      <c r="R40" s="123">
        <f t="shared" si="7"/>
        <v>70637.456246785689</v>
      </c>
      <c r="S40" s="123">
        <f>R40*SUM('Model Data Inputs'!$B$126:$B$131)</f>
        <v>14904.503268071781</v>
      </c>
      <c r="T40" s="123">
        <f>'Model Data Inputs'!$A$134</f>
        <v>16763.93</v>
      </c>
      <c r="U40" s="123">
        <f t="shared" si="8"/>
        <v>102305.88951485747</v>
      </c>
      <c r="V40" s="123">
        <f>'Model Data Inputs'!$B$120</f>
        <v>34885.391674434002</v>
      </c>
      <c r="W40" s="123">
        <f t="shared" si="9"/>
        <v>-697.70783348868281</v>
      </c>
      <c r="X40" s="123">
        <f t="shared" si="10"/>
        <v>34187.683840945319</v>
      </c>
      <c r="Y40" s="123">
        <f>X40*SUM('Model Data Inputs'!$B$126:$B$131)</f>
        <v>7213.6012904394629</v>
      </c>
      <c r="Z40" s="123">
        <f>'Model Data Inputs'!$A$134</f>
        <v>16763.93</v>
      </c>
      <c r="AA40" s="123">
        <f t="shared" si="11"/>
        <v>58165.215131384779</v>
      </c>
      <c r="AB40" s="123">
        <f>'Model Data Inputs'!$B$121</f>
        <v>35775.686000627997</v>
      </c>
      <c r="AC40" s="123">
        <f t="shared" si="12"/>
        <v>-715.51372001256095</v>
      </c>
      <c r="AD40" s="123">
        <f t="shared" si="13"/>
        <v>35060.172280615436</v>
      </c>
      <c r="AE40" s="123">
        <f>AD40*SUM('Model Data Inputs'!$B$126:$B$131)</f>
        <v>7397.6963512098573</v>
      </c>
      <c r="AF40" s="123">
        <f>'Model Data Inputs'!$A$134</f>
        <v>16763.93</v>
      </c>
      <c r="AG40" s="123">
        <f t="shared" si="14"/>
        <v>59221.798631825295</v>
      </c>
      <c r="AH40" s="123">
        <f>'Model Data Inputs'!$B$121</f>
        <v>35775.686000627997</v>
      </c>
      <c r="AI40" s="123">
        <f t="shared" si="15"/>
        <v>-715.51372001256095</v>
      </c>
      <c r="AJ40" s="123">
        <f t="shared" si="16"/>
        <v>35060.172280615436</v>
      </c>
      <c r="AK40" s="123">
        <f>AJ40*SUM('Model Data Inputs'!$B$126:$B$131)</f>
        <v>7397.6963512098573</v>
      </c>
      <c r="AL40" s="123">
        <f>'Model Data Inputs'!$A$134</f>
        <v>16763.93</v>
      </c>
      <c r="AM40" s="123">
        <f t="shared" si="17"/>
        <v>59221.798631825295</v>
      </c>
    </row>
    <row r="41" spans="1:39" x14ac:dyDescent="0.2">
      <c r="A41" s="6" t="s">
        <v>86</v>
      </c>
      <c r="B41" s="6" t="s">
        <v>87</v>
      </c>
      <c r="C41" s="122">
        <f>VLOOKUP(A41,'Regional Cost Adjustment'!$A$4:$C$52,3,FALSE)</f>
        <v>1.19</v>
      </c>
      <c r="D41" s="123">
        <f>'Model Data Inputs'!$B$116</f>
        <v>106892.576407638</v>
      </c>
      <c r="E41" s="123">
        <f t="shared" si="0"/>
        <v>20309.589517451212</v>
      </c>
      <c r="F41" s="123">
        <f t="shared" si="1"/>
        <v>127202.16592508921</v>
      </c>
      <c r="G41" s="123">
        <f>$F41*SUM('Model Data Inputs'!$B$126:$B$131)</f>
        <v>26839.657010193827</v>
      </c>
      <c r="H41" s="123">
        <f>'Model Data Inputs'!$A$134</f>
        <v>16763.93</v>
      </c>
      <c r="I41" s="123">
        <f t="shared" si="2"/>
        <v>170805.75293528303</v>
      </c>
      <c r="J41" s="123">
        <f>'Model Data Inputs'!$B$117</f>
        <v>85514.061126110406</v>
      </c>
      <c r="K41" s="123">
        <f t="shared" si="3"/>
        <v>16247.671613960978</v>
      </c>
      <c r="L41" s="123">
        <f t="shared" si="4"/>
        <v>101761.73274007138</v>
      </c>
      <c r="M41" s="123">
        <f>L41*SUM('Model Data Inputs'!$B$126:$B$131)</f>
        <v>21471.725608155066</v>
      </c>
      <c r="N41" s="123">
        <f>'Model Data Inputs'!$A$134</f>
        <v>16763.93</v>
      </c>
      <c r="O41" s="123">
        <f t="shared" si="5"/>
        <v>139997.38834822644</v>
      </c>
      <c r="P41" s="123">
        <f>'Model Data Inputs'!$B$118</f>
        <v>72079.036986516003</v>
      </c>
      <c r="Q41" s="123">
        <f t="shared" si="6"/>
        <v>13695.017027438036</v>
      </c>
      <c r="R41" s="123">
        <f t="shared" si="7"/>
        <v>85774.054013954039</v>
      </c>
      <c r="S41" s="123">
        <f>R41*SUM('Model Data Inputs'!$B$126:$B$131)</f>
        <v>18098.325396944303</v>
      </c>
      <c r="T41" s="123">
        <f>'Model Data Inputs'!$A$134</f>
        <v>16763.93</v>
      </c>
      <c r="U41" s="123">
        <f t="shared" si="8"/>
        <v>120636.30941089834</v>
      </c>
      <c r="V41" s="123">
        <f>'Model Data Inputs'!$B$120</f>
        <v>34885.391674434002</v>
      </c>
      <c r="W41" s="123">
        <f t="shared" si="9"/>
        <v>6628.2244181424612</v>
      </c>
      <c r="X41" s="123">
        <f t="shared" si="10"/>
        <v>41513.616092576463</v>
      </c>
      <c r="Y41" s="123">
        <f>X41*SUM('Model Data Inputs'!$B$126:$B$131)</f>
        <v>8759.3729955336348</v>
      </c>
      <c r="Z41" s="123">
        <f>'Model Data Inputs'!$A$134</f>
        <v>16763.93</v>
      </c>
      <c r="AA41" s="123">
        <f t="shared" si="11"/>
        <v>67036.919088110095</v>
      </c>
      <c r="AB41" s="123">
        <f>'Model Data Inputs'!$B$121</f>
        <v>35775.686000627997</v>
      </c>
      <c r="AC41" s="123">
        <f t="shared" si="12"/>
        <v>6797.3803401193145</v>
      </c>
      <c r="AD41" s="123">
        <f t="shared" si="13"/>
        <v>42573.066340747311</v>
      </c>
      <c r="AE41" s="123">
        <f>AD41*SUM('Model Data Inputs'!$B$126:$B$131)</f>
        <v>8982.9169978976843</v>
      </c>
      <c r="AF41" s="123">
        <f>'Model Data Inputs'!$A$134</f>
        <v>16763.93</v>
      </c>
      <c r="AG41" s="123">
        <f t="shared" si="14"/>
        <v>68319.913338644998</v>
      </c>
      <c r="AH41" s="123">
        <f>'Model Data Inputs'!$B$121</f>
        <v>35775.686000627997</v>
      </c>
      <c r="AI41" s="123">
        <f t="shared" si="15"/>
        <v>6797.3803401193145</v>
      </c>
      <c r="AJ41" s="123">
        <f t="shared" si="16"/>
        <v>42573.066340747311</v>
      </c>
      <c r="AK41" s="123">
        <f>AJ41*SUM('Model Data Inputs'!$B$126:$B$131)</f>
        <v>8982.9169978976843</v>
      </c>
      <c r="AL41" s="123">
        <f>'Model Data Inputs'!$A$134</f>
        <v>16763.93</v>
      </c>
      <c r="AM41" s="123">
        <f t="shared" si="17"/>
        <v>68319.913338644998</v>
      </c>
    </row>
    <row r="42" spans="1:39" x14ac:dyDescent="0.2">
      <c r="A42" s="6" t="s">
        <v>88</v>
      </c>
      <c r="B42" s="6" t="s">
        <v>89</v>
      </c>
      <c r="C42" s="122">
        <f>VLOOKUP(A42,'Regional Cost Adjustment'!$A$4:$C$52,3,FALSE)</f>
        <v>1.19</v>
      </c>
      <c r="D42" s="123">
        <f>'Model Data Inputs'!$B$116</f>
        <v>106892.576407638</v>
      </c>
      <c r="E42" s="123">
        <f t="shared" si="0"/>
        <v>20309.589517451212</v>
      </c>
      <c r="F42" s="123">
        <f t="shared" si="1"/>
        <v>127202.16592508921</v>
      </c>
      <c r="G42" s="123">
        <f>$F42*SUM('Model Data Inputs'!$B$126:$B$131)</f>
        <v>26839.657010193827</v>
      </c>
      <c r="H42" s="123">
        <f>'Model Data Inputs'!$A$134</f>
        <v>16763.93</v>
      </c>
      <c r="I42" s="123">
        <f t="shared" si="2"/>
        <v>170805.75293528303</v>
      </c>
      <c r="J42" s="123">
        <f>'Model Data Inputs'!$B$117</f>
        <v>85514.061126110406</v>
      </c>
      <c r="K42" s="123">
        <f t="shared" si="3"/>
        <v>16247.671613960978</v>
      </c>
      <c r="L42" s="123">
        <f t="shared" si="4"/>
        <v>101761.73274007138</v>
      </c>
      <c r="M42" s="123">
        <f>L42*SUM('Model Data Inputs'!$B$126:$B$131)</f>
        <v>21471.725608155066</v>
      </c>
      <c r="N42" s="123">
        <f>'Model Data Inputs'!$A$134</f>
        <v>16763.93</v>
      </c>
      <c r="O42" s="123">
        <f t="shared" si="5"/>
        <v>139997.38834822644</v>
      </c>
      <c r="P42" s="123">
        <f>'Model Data Inputs'!$B$118</f>
        <v>72079.036986516003</v>
      </c>
      <c r="Q42" s="123">
        <f t="shared" si="6"/>
        <v>13695.017027438036</v>
      </c>
      <c r="R42" s="123">
        <f t="shared" si="7"/>
        <v>85774.054013954039</v>
      </c>
      <c r="S42" s="123">
        <f>R42*SUM('Model Data Inputs'!$B$126:$B$131)</f>
        <v>18098.325396944303</v>
      </c>
      <c r="T42" s="123">
        <f>'Model Data Inputs'!$A$134</f>
        <v>16763.93</v>
      </c>
      <c r="U42" s="123">
        <f t="shared" si="8"/>
        <v>120636.30941089834</v>
      </c>
      <c r="V42" s="123">
        <f>'Model Data Inputs'!$B$120</f>
        <v>34885.391674434002</v>
      </c>
      <c r="W42" s="123">
        <f t="shared" si="9"/>
        <v>6628.2244181424612</v>
      </c>
      <c r="X42" s="123">
        <f t="shared" si="10"/>
        <v>41513.616092576463</v>
      </c>
      <c r="Y42" s="123">
        <f>X42*SUM('Model Data Inputs'!$B$126:$B$131)</f>
        <v>8759.3729955336348</v>
      </c>
      <c r="Z42" s="123">
        <f>'Model Data Inputs'!$A$134</f>
        <v>16763.93</v>
      </c>
      <c r="AA42" s="123">
        <f t="shared" si="11"/>
        <v>67036.919088110095</v>
      </c>
      <c r="AB42" s="123">
        <f>'Model Data Inputs'!$B$121</f>
        <v>35775.686000627997</v>
      </c>
      <c r="AC42" s="123">
        <f t="shared" si="12"/>
        <v>6797.3803401193145</v>
      </c>
      <c r="AD42" s="123">
        <f t="shared" si="13"/>
        <v>42573.066340747311</v>
      </c>
      <c r="AE42" s="123">
        <f>AD42*SUM('Model Data Inputs'!$B$126:$B$131)</f>
        <v>8982.9169978976843</v>
      </c>
      <c r="AF42" s="123">
        <f>'Model Data Inputs'!$A$134</f>
        <v>16763.93</v>
      </c>
      <c r="AG42" s="123">
        <f t="shared" si="14"/>
        <v>68319.913338644998</v>
      </c>
      <c r="AH42" s="123">
        <f>'Model Data Inputs'!$B$121</f>
        <v>35775.686000627997</v>
      </c>
      <c r="AI42" s="123">
        <f t="shared" si="15"/>
        <v>6797.3803401193145</v>
      </c>
      <c r="AJ42" s="123">
        <f t="shared" si="16"/>
        <v>42573.066340747311</v>
      </c>
      <c r="AK42" s="123">
        <f>AJ42*SUM('Model Data Inputs'!$B$126:$B$131)</f>
        <v>8982.9169978976843</v>
      </c>
      <c r="AL42" s="123">
        <f>'Model Data Inputs'!$A$134</f>
        <v>16763.93</v>
      </c>
      <c r="AM42" s="123">
        <f t="shared" si="17"/>
        <v>68319.913338644998</v>
      </c>
    </row>
    <row r="43" spans="1:39" x14ac:dyDescent="0.2">
      <c r="A43" s="6" t="s">
        <v>90</v>
      </c>
      <c r="B43" s="6" t="s">
        <v>91</v>
      </c>
      <c r="C43" s="122">
        <f>VLOOKUP(A43,'Regional Cost Adjustment'!$A$4:$C$52,3,FALSE)</f>
        <v>1.17</v>
      </c>
      <c r="D43" s="123">
        <f>'Model Data Inputs'!$B$116</f>
        <v>106892.576407638</v>
      </c>
      <c r="E43" s="123">
        <f t="shared" si="0"/>
        <v>18171.737989298446</v>
      </c>
      <c r="F43" s="123">
        <f t="shared" si="1"/>
        <v>125064.31439693645</v>
      </c>
      <c r="G43" s="123">
        <f>$F43*SUM('Model Data Inputs'!$B$126:$B$131)</f>
        <v>26388.570337753594</v>
      </c>
      <c r="H43" s="123">
        <f>'Model Data Inputs'!$A$134</f>
        <v>16763.93</v>
      </c>
      <c r="I43" s="123">
        <f t="shared" si="2"/>
        <v>168216.81473469004</v>
      </c>
      <c r="J43" s="123">
        <f>'Model Data Inputs'!$B$117</f>
        <v>85514.061126110406</v>
      </c>
      <c r="K43" s="123">
        <f t="shared" si="3"/>
        <v>14537.390391438763</v>
      </c>
      <c r="L43" s="123">
        <f t="shared" si="4"/>
        <v>100051.45151754917</v>
      </c>
      <c r="M43" s="123">
        <f>L43*SUM('Model Data Inputs'!$B$126:$B$131)</f>
        <v>21110.856270202876</v>
      </c>
      <c r="N43" s="123">
        <f>'Model Data Inputs'!$A$134</f>
        <v>16763.93</v>
      </c>
      <c r="O43" s="123">
        <f t="shared" si="5"/>
        <v>137926.23778775203</v>
      </c>
      <c r="P43" s="123">
        <f>'Model Data Inputs'!$B$118</f>
        <v>72079.036986516003</v>
      </c>
      <c r="Q43" s="123">
        <f t="shared" si="6"/>
        <v>12253.436287707722</v>
      </c>
      <c r="R43" s="123">
        <f t="shared" si="7"/>
        <v>84332.473274223725</v>
      </c>
      <c r="S43" s="123">
        <f>R43*SUM('Model Data Inputs'!$B$126:$B$131)</f>
        <v>17794.151860861206</v>
      </c>
      <c r="T43" s="123">
        <f>'Model Data Inputs'!$A$134</f>
        <v>16763.93</v>
      </c>
      <c r="U43" s="123">
        <f t="shared" si="8"/>
        <v>118890.55513508493</v>
      </c>
      <c r="V43" s="123">
        <f>'Model Data Inputs'!$B$120</f>
        <v>34885.391674434002</v>
      </c>
      <c r="W43" s="123">
        <f t="shared" si="9"/>
        <v>5930.5165846537784</v>
      </c>
      <c r="X43" s="123">
        <f t="shared" si="10"/>
        <v>40815.908259087781</v>
      </c>
      <c r="Y43" s="123">
        <f>X43*SUM('Model Data Inputs'!$B$126:$B$131)</f>
        <v>8612.1566426675217</v>
      </c>
      <c r="Z43" s="123">
        <f>'Model Data Inputs'!$A$134</f>
        <v>16763.93</v>
      </c>
      <c r="AA43" s="123">
        <f t="shared" si="11"/>
        <v>66191.994901755301</v>
      </c>
      <c r="AB43" s="123">
        <f>'Model Data Inputs'!$B$121</f>
        <v>35775.686000627997</v>
      </c>
      <c r="AC43" s="123">
        <f t="shared" si="12"/>
        <v>6081.8666201067535</v>
      </c>
      <c r="AD43" s="123">
        <f t="shared" si="13"/>
        <v>41857.55262073475</v>
      </c>
      <c r="AE43" s="123">
        <f>AD43*SUM('Model Data Inputs'!$B$126:$B$131)</f>
        <v>8831.9436029750341</v>
      </c>
      <c r="AF43" s="123">
        <f>'Model Data Inputs'!$A$134</f>
        <v>16763.93</v>
      </c>
      <c r="AG43" s="123">
        <f t="shared" si="14"/>
        <v>67453.426223709786</v>
      </c>
      <c r="AH43" s="123">
        <f>'Model Data Inputs'!$B$121</f>
        <v>35775.686000627997</v>
      </c>
      <c r="AI43" s="123">
        <f t="shared" si="15"/>
        <v>6081.8666201067535</v>
      </c>
      <c r="AJ43" s="123">
        <f t="shared" si="16"/>
        <v>41857.55262073475</v>
      </c>
      <c r="AK43" s="123">
        <f>AJ43*SUM('Model Data Inputs'!$B$126:$B$131)</f>
        <v>8831.9436029750341</v>
      </c>
      <c r="AL43" s="123">
        <f>'Model Data Inputs'!$A$134</f>
        <v>16763.93</v>
      </c>
      <c r="AM43" s="123">
        <f t="shared" si="17"/>
        <v>67453.426223709786</v>
      </c>
    </row>
    <row r="44" spans="1:39" x14ac:dyDescent="0.2">
      <c r="A44" s="6" t="s">
        <v>92</v>
      </c>
      <c r="B44" s="6" t="s">
        <v>93</v>
      </c>
      <c r="C44" s="122">
        <f>VLOOKUP(A44,'Regional Cost Adjustment'!$A$4:$C$52,3,FALSE)</f>
        <v>1.17</v>
      </c>
      <c r="D44" s="123">
        <f>'Model Data Inputs'!$B$116</f>
        <v>106892.576407638</v>
      </c>
      <c r="E44" s="123">
        <f t="shared" si="0"/>
        <v>18171.737989298446</v>
      </c>
      <c r="F44" s="123">
        <f t="shared" si="1"/>
        <v>125064.31439693645</v>
      </c>
      <c r="G44" s="123">
        <f>$F44*SUM('Model Data Inputs'!$B$126:$B$131)</f>
        <v>26388.570337753594</v>
      </c>
      <c r="H44" s="123">
        <f>'Model Data Inputs'!$A$134</f>
        <v>16763.93</v>
      </c>
      <c r="I44" s="123">
        <f t="shared" si="2"/>
        <v>168216.81473469004</v>
      </c>
      <c r="J44" s="123">
        <f>'Model Data Inputs'!$B$117</f>
        <v>85514.061126110406</v>
      </c>
      <c r="K44" s="123">
        <f t="shared" si="3"/>
        <v>14537.390391438763</v>
      </c>
      <c r="L44" s="123">
        <f t="shared" si="4"/>
        <v>100051.45151754917</v>
      </c>
      <c r="M44" s="123">
        <f>L44*SUM('Model Data Inputs'!$B$126:$B$131)</f>
        <v>21110.856270202876</v>
      </c>
      <c r="N44" s="123">
        <f>'Model Data Inputs'!$A$134</f>
        <v>16763.93</v>
      </c>
      <c r="O44" s="123">
        <f t="shared" si="5"/>
        <v>137926.23778775203</v>
      </c>
      <c r="P44" s="123">
        <f>'Model Data Inputs'!$B$118</f>
        <v>72079.036986516003</v>
      </c>
      <c r="Q44" s="123">
        <f t="shared" si="6"/>
        <v>12253.436287707722</v>
      </c>
      <c r="R44" s="123">
        <f t="shared" si="7"/>
        <v>84332.473274223725</v>
      </c>
      <c r="S44" s="123">
        <f>R44*SUM('Model Data Inputs'!$B$126:$B$131)</f>
        <v>17794.151860861206</v>
      </c>
      <c r="T44" s="123">
        <f>'Model Data Inputs'!$A$134</f>
        <v>16763.93</v>
      </c>
      <c r="U44" s="123">
        <f t="shared" si="8"/>
        <v>118890.55513508493</v>
      </c>
      <c r="V44" s="123">
        <f>'Model Data Inputs'!$B$120</f>
        <v>34885.391674434002</v>
      </c>
      <c r="W44" s="123">
        <f t="shared" si="9"/>
        <v>5930.5165846537784</v>
      </c>
      <c r="X44" s="123">
        <f t="shared" si="10"/>
        <v>40815.908259087781</v>
      </c>
      <c r="Y44" s="123">
        <f>X44*SUM('Model Data Inputs'!$B$126:$B$131)</f>
        <v>8612.1566426675217</v>
      </c>
      <c r="Z44" s="123">
        <f>'Model Data Inputs'!$A$134</f>
        <v>16763.93</v>
      </c>
      <c r="AA44" s="123">
        <f t="shared" si="11"/>
        <v>66191.994901755301</v>
      </c>
      <c r="AB44" s="123">
        <f>'Model Data Inputs'!$B$121</f>
        <v>35775.686000627997</v>
      </c>
      <c r="AC44" s="123">
        <f t="shared" si="12"/>
        <v>6081.8666201067535</v>
      </c>
      <c r="AD44" s="123">
        <f t="shared" si="13"/>
        <v>41857.55262073475</v>
      </c>
      <c r="AE44" s="123">
        <f>AD44*SUM('Model Data Inputs'!$B$126:$B$131)</f>
        <v>8831.9436029750341</v>
      </c>
      <c r="AF44" s="123">
        <f>'Model Data Inputs'!$A$134</f>
        <v>16763.93</v>
      </c>
      <c r="AG44" s="123">
        <f t="shared" si="14"/>
        <v>67453.426223709786</v>
      </c>
      <c r="AH44" s="123">
        <f>'Model Data Inputs'!$B$121</f>
        <v>35775.686000627997</v>
      </c>
      <c r="AI44" s="123">
        <f t="shared" si="15"/>
        <v>6081.8666201067535</v>
      </c>
      <c r="AJ44" s="123">
        <f t="shared" si="16"/>
        <v>41857.55262073475</v>
      </c>
      <c r="AK44" s="123">
        <f>AJ44*SUM('Model Data Inputs'!$B$126:$B$131)</f>
        <v>8831.9436029750341</v>
      </c>
      <c r="AL44" s="123">
        <f>'Model Data Inputs'!$A$134</f>
        <v>16763.93</v>
      </c>
      <c r="AM44" s="123">
        <f t="shared" si="17"/>
        <v>67453.426223709786</v>
      </c>
    </row>
    <row r="45" spans="1:39" x14ac:dyDescent="0.2">
      <c r="A45" s="6" t="s">
        <v>94</v>
      </c>
      <c r="B45" s="6" t="s">
        <v>95</v>
      </c>
      <c r="C45" s="122">
        <f>VLOOKUP(A45,'Regional Cost Adjustment'!$A$4:$C$52,3,FALSE)</f>
        <v>1.1200000000000001</v>
      </c>
      <c r="D45" s="123">
        <f>'Model Data Inputs'!$B$116</f>
        <v>106892.576407638</v>
      </c>
      <c r="E45" s="123">
        <f t="shared" si="0"/>
        <v>12827.109168916577</v>
      </c>
      <c r="F45" s="123">
        <f t="shared" si="1"/>
        <v>119719.68557655458</v>
      </c>
      <c r="G45" s="123">
        <f>$F45*SUM('Model Data Inputs'!$B$126:$B$131)</f>
        <v>25260.853656653017</v>
      </c>
      <c r="H45" s="123">
        <f>'Model Data Inputs'!$A$134</f>
        <v>16763.93</v>
      </c>
      <c r="I45" s="123">
        <f t="shared" si="2"/>
        <v>161744.46923320758</v>
      </c>
      <c r="J45" s="123">
        <f>'Model Data Inputs'!$B$117</f>
        <v>85514.061126110406</v>
      </c>
      <c r="K45" s="123">
        <f t="shared" si="3"/>
        <v>10261.687335133262</v>
      </c>
      <c r="L45" s="123">
        <f t="shared" si="4"/>
        <v>95775.748461243667</v>
      </c>
      <c r="M45" s="123">
        <f>L45*SUM('Model Data Inputs'!$B$126:$B$131)</f>
        <v>20208.682925322417</v>
      </c>
      <c r="N45" s="123">
        <f>'Model Data Inputs'!$A$134</f>
        <v>16763.93</v>
      </c>
      <c r="O45" s="123">
        <f t="shared" si="5"/>
        <v>132748.36138656607</v>
      </c>
      <c r="P45" s="123">
        <f>'Model Data Inputs'!$B$118</f>
        <v>72079.036986516003</v>
      </c>
      <c r="Q45" s="123">
        <f t="shared" si="6"/>
        <v>8649.4844383819291</v>
      </c>
      <c r="R45" s="123">
        <f t="shared" si="7"/>
        <v>80728.521424897932</v>
      </c>
      <c r="S45" s="123">
        <f>R45*SUM('Model Data Inputs'!$B$126:$B$131)</f>
        <v>17033.718020653465</v>
      </c>
      <c r="T45" s="123">
        <f>'Model Data Inputs'!$A$134</f>
        <v>16763.93</v>
      </c>
      <c r="U45" s="123">
        <f t="shared" si="8"/>
        <v>114526.16944555141</v>
      </c>
      <c r="V45" s="123">
        <f>'Model Data Inputs'!$B$120</f>
        <v>34885.391674434002</v>
      </c>
      <c r="W45" s="123">
        <f t="shared" si="9"/>
        <v>4186.2470009320823</v>
      </c>
      <c r="X45" s="123">
        <f t="shared" si="10"/>
        <v>39071.638675366084</v>
      </c>
      <c r="Y45" s="123">
        <f>X45*SUM('Model Data Inputs'!$B$126:$B$131)</f>
        <v>8244.1157605022454</v>
      </c>
      <c r="Z45" s="123">
        <f>'Model Data Inputs'!$A$134</f>
        <v>16763.93</v>
      </c>
      <c r="AA45" s="123">
        <f t="shared" si="11"/>
        <v>64079.68443586833</v>
      </c>
      <c r="AB45" s="123">
        <f>'Model Data Inputs'!$B$121</f>
        <v>35775.686000627997</v>
      </c>
      <c r="AC45" s="123">
        <f t="shared" si="12"/>
        <v>4293.0823200753657</v>
      </c>
      <c r="AD45" s="123">
        <f t="shared" si="13"/>
        <v>40068.768320703362</v>
      </c>
      <c r="AE45" s="123">
        <f>AD45*SUM('Model Data Inputs'!$B$126:$B$131)</f>
        <v>8454.5101156684104</v>
      </c>
      <c r="AF45" s="123">
        <f>'Model Data Inputs'!$A$134</f>
        <v>16763.93</v>
      </c>
      <c r="AG45" s="123">
        <f t="shared" si="14"/>
        <v>65287.208436371773</v>
      </c>
      <c r="AH45" s="123">
        <f>'Model Data Inputs'!$B$121</f>
        <v>35775.686000627997</v>
      </c>
      <c r="AI45" s="123">
        <f t="shared" si="15"/>
        <v>4293.0823200753657</v>
      </c>
      <c r="AJ45" s="123">
        <f t="shared" si="16"/>
        <v>40068.768320703362</v>
      </c>
      <c r="AK45" s="123">
        <f>AJ45*SUM('Model Data Inputs'!$B$126:$B$131)</f>
        <v>8454.5101156684104</v>
      </c>
      <c r="AL45" s="123">
        <f>'Model Data Inputs'!$A$134</f>
        <v>16763.93</v>
      </c>
      <c r="AM45" s="123">
        <f t="shared" si="17"/>
        <v>65287.208436371773</v>
      </c>
    </row>
    <row r="46" spans="1:39" x14ac:dyDescent="0.2">
      <c r="A46" s="6" t="s">
        <v>96</v>
      </c>
      <c r="B46" s="6" t="s">
        <v>97</v>
      </c>
      <c r="C46" s="122">
        <f>VLOOKUP(A46,'Regional Cost Adjustment'!$A$4:$C$52,3,FALSE)</f>
        <v>0.98</v>
      </c>
      <c r="D46" s="123">
        <f>'Model Data Inputs'!$B$116</f>
        <v>106892.576407638</v>
      </c>
      <c r="E46" s="123">
        <f t="shared" si="0"/>
        <v>-2137.8515281527652</v>
      </c>
      <c r="F46" s="123">
        <f t="shared" si="1"/>
        <v>104754.72487948523</v>
      </c>
      <c r="G46" s="123">
        <f>$F46*SUM('Model Data Inputs'!$B$126:$B$131)</f>
        <v>22103.246949571389</v>
      </c>
      <c r="H46" s="123">
        <f>'Model Data Inputs'!$A$134</f>
        <v>16763.93</v>
      </c>
      <c r="I46" s="123">
        <f t="shared" si="2"/>
        <v>143621.90182905662</v>
      </c>
      <c r="J46" s="123">
        <f>'Model Data Inputs'!$B$117</f>
        <v>85514.061126110406</v>
      </c>
      <c r="K46" s="123">
        <f t="shared" si="3"/>
        <v>-1710.2812225222151</v>
      </c>
      <c r="L46" s="123">
        <f t="shared" si="4"/>
        <v>83803.779903588191</v>
      </c>
      <c r="M46" s="123">
        <f>L46*SUM('Model Data Inputs'!$B$126:$B$131)</f>
        <v>17682.597559657112</v>
      </c>
      <c r="N46" s="123">
        <f>'Model Data Inputs'!$A$134</f>
        <v>16763.93</v>
      </c>
      <c r="O46" s="123">
        <f t="shared" si="5"/>
        <v>118250.30746324529</v>
      </c>
      <c r="P46" s="123">
        <f>'Model Data Inputs'!$B$118</f>
        <v>72079.036986516003</v>
      </c>
      <c r="Q46" s="123">
        <f t="shared" si="6"/>
        <v>-1441.5807397303142</v>
      </c>
      <c r="R46" s="123">
        <f t="shared" si="7"/>
        <v>70637.456246785689</v>
      </c>
      <c r="S46" s="123">
        <f>R46*SUM('Model Data Inputs'!$B$126:$B$131)</f>
        <v>14904.503268071781</v>
      </c>
      <c r="T46" s="123">
        <f>'Model Data Inputs'!$A$134</f>
        <v>16763.93</v>
      </c>
      <c r="U46" s="123">
        <f t="shared" si="8"/>
        <v>102305.88951485747</v>
      </c>
      <c r="V46" s="123">
        <f>'Model Data Inputs'!$B$120</f>
        <v>34885.391674434002</v>
      </c>
      <c r="W46" s="123">
        <f t="shared" si="9"/>
        <v>-697.70783348868281</v>
      </c>
      <c r="X46" s="123">
        <f t="shared" si="10"/>
        <v>34187.683840945319</v>
      </c>
      <c r="Y46" s="123">
        <f>X46*SUM('Model Data Inputs'!$B$126:$B$131)</f>
        <v>7213.6012904394629</v>
      </c>
      <c r="Z46" s="123">
        <f>'Model Data Inputs'!$A$134</f>
        <v>16763.93</v>
      </c>
      <c r="AA46" s="123">
        <f t="shared" si="11"/>
        <v>58165.215131384779</v>
      </c>
      <c r="AB46" s="123">
        <f>'Model Data Inputs'!$B$121</f>
        <v>35775.686000627997</v>
      </c>
      <c r="AC46" s="123">
        <f t="shared" si="12"/>
        <v>-715.51372001256095</v>
      </c>
      <c r="AD46" s="123">
        <f t="shared" si="13"/>
        <v>35060.172280615436</v>
      </c>
      <c r="AE46" s="123">
        <f>AD46*SUM('Model Data Inputs'!$B$126:$B$131)</f>
        <v>7397.6963512098573</v>
      </c>
      <c r="AF46" s="123">
        <f>'Model Data Inputs'!$A$134</f>
        <v>16763.93</v>
      </c>
      <c r="AG46" s="123">
        <f t="shared" si="14"/>
        <v>59221.798631825295</v>
      </c>
      <c r="AH46" s="123">
        <f>'Model Data Inputs'!$B$121</f>
        <v>35775.686000627997</v>
      </c>
      <c r="AI46" s="123">
        <f t="shared" si="15"/>
        <v>-715.51372001256095</v>
      </c>
      <c r="AJ46" s="123">
        <f t="shared" si="16"/>
        <v>35060.172280615436</v>
      </c>
      <c r="AK46" s="123">
        <f>AJ46*SUM('Model Data Inputs'!$B$126:$B$131)</f>
        <v>7397.6963512098573</v>
      </c>
      <c r="AL46" s="123">
        <f>'Model Data Inputs'!$A$134</f>
        <v>16763.93</v>
      </c>
      <c r="AM46" s="123">
        <f t="shared" si="17"/>
        <v>59221.798631825295</v>
      </c>
    </row>
    <row r="47" spans="1:39" x14ac:dyDescent="0.2">
      <c r="A47" s="6" t="s">
        <v>98</v>
      </c>
      <c r="B47" s="6" t="s">
        <v>99</v>
      </c>
      <c r="C47" s="122">
        <f>VLOOKUP(A47,'Regional Cost Adjustment'!$A$4:$C$52,3,FALSE)</f>
        <v>0.98</v>
      </c>
      <c r="D47" s="123">
        <f>'Model Data Inputs'!$B$116</f>
        <v>106892.576407638</v>
      </c>
      <c r="E47" s="123">
        <f t="shared" si="0"/>
        <v>-2137.8515281527652</v>
      </c>
      <c r="F47" s="123">
        <f t="shared" si="1"/>
        <v>104754.72487948523</v>
      </c>
      <c r="G47" s="123">
        <f>$F47*SUM('Model Data Inputs'!$B$126:$B$131)</f>
        <v>22103.246949571389</v>
      </c>
      <c r="H47" s="123">
        <f>'Model Data Inputs'!$A$134</f>
        <v>16763.93</v>
      </c>
      <c r="I47" s="123">
        <f t="shared" si="2"/>
        <v>143621.90182905662</v>
      </c>
      <c r="J47" s="123">
        <f>'Model Data Inputs'!$B$117</f>
        <v>85514.061126110406</v>
      </c>
      <c r="K47" s="123">
        <f t="shared" si="3"/>
        <v>-1710.2812225222151</v>
      </c>
      <c r="L47" s="123">
        <f t="shared" si="4"/>
        <v>83803.779903588191</v>
      </c>
      <c r="M47" s="123">
        <f>L47*SUM('Model Data Inputs'!$B$126:$B$131)</f>
        <v>17682.597559657112</v>
      </c>
      <c r="N47" s="123">
        <f>'Model Data Inputs'!$A$134</f>
        <v>16763.93</v>
      </c>
      <c r="O47" s="123">
        <f t="shared" si="5"/>
        <v>118250.30746324529</v>
      </c>
      <c r="P47" s="123">
        <f>'Model Data Inputs'!$B$118</f>
        <v>72079.036986516003</v>
      </c>
      <c r="Q47" s="123">
        <f t="shared" si="6"/>
        <v>-1441.5807397303142</v>
      </c>
      <c r="R47" s="123">
        <f t="shared" si="7"/>
        <v>70637.456246785689</v>
      </c>
      <c r="S47" s="123">
        <f>R47*SUM('Model Data Inputs'!$B$126:$B$131)</f>
        <v>14904.503268071781</v>
      </c>
      <c r="T47" s="123">
        <f>'Model Data Inputs'!$A$134</f>
        <v>16763.93</v>
      </c>
      <c r="U47" s="123">
        <f t="shared" si="8"/>
        <v>102305.88951485747</v>
      </c>
      <c r="V47" s="123">
        <f>'Model Data Inputs'!$B$120</f>
        <v>34885.391674434002</v>
      </c>
      <c r="W47" s="123">
        <f t="shared" si="9"/>
        <v>-697.70783348868281</v>
      </c>
      <c r="X47" s="123">
        <f t="shared" si="10"/>
        <v>34187.683840945319</v>
      </c>
      <c r="Y47" s="123">
        <f>X47*SUM('Model Data Inputs'!$B$126:$B$131)</f>
        <v>7213.6012904394629</v>
      </c>
      <c r="Z47" s="123">
        <f>'Model Data Inputs'!$A$134</f>
        <v>16763.93</v>
      </c>
      <c r="AA47" s="123">
        <f t="shared" si="11"/>
        <v>58165.215131384779</v>
      </c>
      <c r="AB47" s="123">
        <f>'Model Data Inputs'!$B$121</f>
        <v>35775.686000627997</v>
      </c>
      <c r="AC47" s="123">
        <f t="shared" si="12"/>
        <v>-715.51372001256095</v>
      </c>
      <c r="AD47" s="123">
        <f t="shared" si="13"/>
        <v>35060.172280615436</v>
      </c>
      <c r="AE47" s="123">
        <f>AD47*SUM('Model Data Inputs'!$B$126:$B$131)</f>
        <v>7397.6963512098573</v>
      </c>
      <c r="AF47" s="123">
        <f>'Model Data Inputs'!$A$134</f>
        <v>16763.93</v>
      </c>
      <c r="AG47" s="123">
        <f t="shared" si="14"/>
        <v>59221.798631825295</v>
      </c>
      <c r="AH47" s="123">
        <f>'Model Data Inputs'!$B$121</f>
        <v>35775.686000627997</v>
      </c>
      <c r="AI47" s="123">
        <f t="shared" si="15"/>
        <v>-715.51372001256095</v>
      </c>
      <c r="AJ47" s="123">
        <f t="shared" si="16"/>
        <v>35060.172280615436</v>
      </c>
      <c r="AK47" s="123">
        <f>AJ47*SUM('Model Data Inputs'!$B$126:$B$131)</f>
        <v>7397.6963512098573</v>
      </c>
      <c r="AL47" s="123">
        <f>'Model Data Inputs'!$A$134</f>
        <v>16763.93</v>
      </c>
      <c r="AM47" s="123">
        <f t="shared" si="17"/>
        <v>59221.798631825295</v>
      </c>
    </row>
    <row r="48" spans="1:39" x14ac:dyDescent="0.2">
      <c r="A48" s="6" t="s">
        <v>100</v>
      </c>
      <c r="B48" s="6" t="s">
        <v>101</v>
      </c>
      <c r="C48" s="122">
        <f>VLOOKUP(A48,'Regional Cost Adjustment'!$A$4:$C$52,3,FALSE)</f>
        <v>0.98</v>
      </c>
      <c r="D48" s="123">
        <f>'Model Data Inputs'!$B$116</f>
        <v>106892.576407638</v>
      </c>
      <c r="E48" s="123">
        <f t="shared" si="0"/>
        <v>-2137.8515281527652</v>
      </c>
      <c r="F48" s="123">
        <f t="shared" si="1"/>
        <v>104754.72487948523</v>
      </c>
      <c r="G48" s="123">
        <f>$F48*SUM('Model Data Inputs'!$B$126:$B$131)</f>
        <v>22103.246949571389</v>
      </c>
      <c r="H48" s="123">
        <f>'Model Data Inputs'!$A$134</f>
        <v>16763.93</v>
      </c>
      <c r="I48" s="123">
        <f t="shared" si="2"/>
        <v>143621.90182905662</v>
      </c>
      <c r="J48" s="123">
        <f>'Model Data Inputs'!$B$117</f>
        <v>85514.061126110406</v>
      </c>
      <c r="K48" s="123">
        <f t="shared" si="3"/>
        <v>-1710.2812225222151</v>
      </c>
      <c r="L48" s="123">
        <f t="shared" si="4"/>
        <v>83803.779903588191</v>
      </c>
      <c r="M48" s="123">
        <f>L48*SUM('Model Data Inputs'!$B$126:$B$131)</f>
        <v>17682.597559657112</v>
      </c>
      <c r="N48" s="123">
        <f>'Model Data Inputs'!$A$134</f>
        <v>16763.93</v>
      </c>
      <c r="O48" s="123">
        <f t="shared" si="5"/>
        <v>118250.30746324529</v>
      </c>
      <c r="P48" s="123">
        <f>'Model Data Inputs'!$B$118</f>
        <v>72079.036986516003</v>
      </c>
      <c r="Q48" s="123">
        <f t="shared" si="6"/>
        <v>-1441.5807397303142</v>
      </c>
      <c r="R48" s="123">
        <f t="shared" si="7"/>
        <v>70637.456246785689</v>
      </c>
      <c r="S48" s="123">
        <f>R48*SUM('Model Data Inputs'!$B$126:$B$131)</f>
        <v>14904.503268071781</v>
      </c>
      <c r="T48" s="123">
        <f>'Model Data Inputs'!$A$134</f>
        <v>16763.93</v>
      </c>
      <c r="U48" s="123">
        <f t="shared" si="8"/>
        <v>102305.88951485747</v>
      </c>
      <c r="V48" s="123">
        <f>'Model Data Inputs'!$B$120</f>
        <v>34885.391674434002</v>
      </c>
      <c r="W48" s="123">
        <f t="shared" si="9"/>
        <v>-697.70783348868281</v>
      </c>
      <c r="X48" s="123">
        <f t="shared" si="10"/>
        <v>34187.683840945319</v>
      </c>
      <c r="Y48" s="123">
        <f>X48*SUM('Model Data Inputs'!$B$126:$B$131)</f>
        <v>7213.6012904394629</v>
      </c>
      <c r="Z48" s="123">
        <f>'Model Data Inputs'!$A$134</f>
        <v>16763.93</v>
      </c>
      <c r="AA48" s="123">
        <f t="shared" si="11"/>
        <v>58165.215131384779</v>
      </c>
      <c r="AB48" s="123">
        <f>'Model Data Inputs'!$B$121</f>
        <v>35775.686000627997</v>
      </c>
      <c r="AC48" s="123">
        <f t="shared" si="12"/>
        <v>-715.51372001256095</v>
      </c>
      <c r="AD48" s="123">
        <f t="shared" si="13"/>
        <v>35060.172280615436</v>
      </c>
      <c r="AE48" s="123">
        <f>AD48*SUM('Model Data Inputs'!$B$126:$B$131)</f>
        <v>7397.6963512098573</v>
      </c>
      <c r="AF48" s="123">
        <f>'Model Data Inputs'!$A$134</f>
        <v>16763.93</v>
      </c>
      <c r="AG48" s="123">
        <f t="shared" si="14"/>
        <v>59221.798631825295</v>
      </c>
      <c r="AH48" s="123">
        <f>'Model Data Inputs'!$B$121</f>
        <v>35775.686000627997</v>
      </c>
      <c r="AI48" s="123">
        <f t="shared" si="15"/>
        <v>-715.51372001256095</v>
      </c>
      <c r="AJ48" s="123">
        <f t="shared" si="16"/>
        <v>35060.172280615436</v>
      </c>
      <c r="AK48" s="123">
        <f>AJ48*SUM('Model Data Inputs'!$B$126:$B$131)</f>
        <v>7397.6963512098573</v>
      </c>
      <c r="AL48" s="123">
        <f>'Model Data Inputs'!$A$134</f>
        <v>16763.93</v>
      </c>
      <c r="AM48" s="123">
        <f t="shared" si="17"/>
        <v>59221.798631825295</v>
      </c>
    </row>
    <row r="49" spans="1:39" x14ac:dyDescent="0.2">
      <c r="A49" s="6" t="s">
        <v>102</v>
      </c>
      <c r="B49" s="6" t="s">
        <v>103</v>
      </c>
      <c r="C49" s="122">
        <f>VLOOKUP(A49,'Regional Cost Adjustment'!$A$4:$C$52,3,FALSE)</f>
        <v>0.95</v>
      </c>
      <c r="D49" s="123">
        <f>'Model Data Inputs'!$B$116</f>
        <v>106892.576407638</v>
      </c>
      <c r="E49" s="123">
        <f t="shared" si="0"/>
        <v>-5344.6288203818985</v>
      </c>
      <c r="F49" s="123">
        <f t="shared" si="1"/>
        <v>101547.9475872561</v>
      </c>
      <c r="G49" s="123">
        <f>$F49*SUM('Model Data Inputs'!$B$126:$B$131)</f>
        <v>21426.616940911041</v>
      </c>
      <c r="H49" s="123">
        <f>'Model Data Inputs'!$A$134</f>
        <v>16763.93</v>
      </c>
      <c r="I49" s="123">
        <f t="shared" si="2"/>
        <v>139738.49452816715</v>
      </c>
      <c r="J49" s="123">
        <f>'Model Data Inputs'!$B$117</f>
        <v>85514.061126110406</v>
      </c>
      <c r="K49" s="123">
        <f t="shared" si="3"/>
        <v>-4275.7030563055305</v>
      </c>
      <c r="L49" s="123">
        <f t="shared" si="4"/>
        <v>81238.358069804875</v>
      </c>
      <c r="M49" s="123">
        <f>L49*SUM('Model Data Inputs'!$B$126:$B$131)</f>
        <v>17141.293552728832</v>
      </c>
      <c r="N49" s="123">
        <f>'Model Data Inputs'!$A$134</f>
        <v>16763.93</v>
      </c>
      <c r="O49" s="123">
        <f t="shared" si="5"/>
        <v>115143.5816225337</v>
      </c>
      <c r="P49" s="123">
        <f>'Model Data Inputs'!$B$118</f>
        <v>72079.036986516003</v>
      </c>
      <c r="Q49" s="123">
        <f t="shared" si="6"/>
        <v>-3603.9518493258074</v>
      </c>
      <c r="R49" s="123">
        <f t="shared" si="7"/>
        <v>68475.085137190195</v>
      </c>
      <c r="S49" s="123">
        <f>R49*SUM('Model Data Inputs'!$B$126:$B$131)</f>
        <v>14448.242963947132</v>
      </c>
      <c r="T49" s="123">
        <f>'Model Data Inputs'!$A$134</f>
        <v>16763.93</v>
      </c>
      <c r="U49" s="123">
        <f t="shared" si="8"/>
        <v>99687.258101137326</v>
      </c>
      <c r="V49" s="123">
        <f>'Model Data Inputs'!$B$120</f>
        <v>34885.391674434002</v>
      </c>
      <c r="W49" s="123">
        <f t="shared" si="9"/>
        <v>-1744.2695837217034</v>
      </c>
      <c r="X49" s="123">
        <f t="shared" si="10"/>
        <v>33141.122090712299</v>
      </c>
      <c r="Y49" s="123">
        <f>X49*SUM('Model Data Inputs'!$B$126:$B$131)</f>
        <v>6992.776761140296</v>
      </c>
      <c r="Z49" s="123">
        <f>'Model Data Inputs'!$A$134</f>
        <v>16763.93</v>
      </c>
      <c r="AA49" s="123">
        <f t="shared" si="11"/>
        <v>56897.828851852595</v>
      </c>
      <c r="AB49" s="123">
        <f>'Model Data Inputs'!$B$121</f>
        <v>35775.686000627997</v>
      </c>
      <c r="AC49" s="123">
        <f t="shared" si="12"/>
        <v>-1788.7843000314024</v>
      </c>
      <c r="AD49" s="123">
        <f t="shared" si="13"/>
        <v>33986.901700596594</v>
      </c>
      <c r="AE49" s="123">
        <f>AD49*SUM('Model Data Inputs'!$B$126:$B$131)</f>
        <v>7171.236258825882</v>
      </c>
      <c r="AF49" s="123">
        <f>'Model Data Inputs'!$A$134</f>
        <v>16763.93</v>
      </c>
      <c r="AG49" s="123">
        <f t="shared" si="14"/>
        <v>57922.067959422478</v>
      </c>
      <c r="AH49" s="123">
        <f>'Model Data Inputs'!$B$121</f>
        <v>35775.686000627997</v>
      </c>
      <c r="AI49" s="123">
        <f t="shared" si="15"/>
        <v>-1788.7843000314024</v>
      </c>
      <c r="AJ49" s="123">
        <f t="shared" si="16"/>
        <v>33986.901700596594</v>
      </c>
      <c r="AK49" s="123">
        <f>AJ49*SUM('Model Data Inputs'!$B$126:$B$131)</f>
        <v>7171.236258825882</v>
      </c>
      <c r="AL49" s="123">
        <f>'Model Data Inputs'!$A$134</f>
        <v>16763.93</v>
      </c>
      <c r="AM49" s="123">
        <f t="shared" si="17"/>
        <v>57922.067959422478</v>
      </c>
    </row>
    <row r="50" spans="1:39" x14ac:dyDescent="0.2">
      <c r="A50" s="6" t="s">
        <v>104</v>
      </c>
      <c r="B50" s="6" t="s">
        <v>105</v>
      </c>
      <c r="C50" s="122">
        <f>VLOOKUP(A50,'Regional Cost Adjustment'!$A$4:$C$52,3,FALSE)</f>
        <v>0.95</v>
      </c>
      <c r="D50" s="123">
        <f>'Model Data Inputs'!$B$116</f>
        <v>106892.576407638</v>
      </c>
      <c r="E50" s="123">
        <f t="shared" si="0"/>
        <v>-5344.6288203818985</v>
      </c>
      <c r="F50" s="123">
        <f t="shared" si="1"/>
        <v>101547.9475872561</v>
      </c>
      <c r="G50" s="123">
        <f>$F50*SUM('Model Data Inputs'!$B$126:$B$131)</f>
        <v>21426.616940911041</v>
      </c>
      <c r="H50" s="123">
        <f>'Model Data Inputs'!$A$134</f>
        <v>16763.93</v>
      </c>
      <c r="I50" s="123">
        <f t="shared" si="2"/>
        <v>139738.49452816715</v>
      </c>
      <c r="J50" s="123">
        <f>'Model Data Inputs'!$B$117</f>
        <v>85514.061126110406</v>
      </c>
      <c r="K50" s="123">
        <f t="shared" si="3"/>
        <v>-4275.7030563055305</v>
      </c>
      <c r="L50" s="123">
        <f t="shared" si="4"/>
        <v>81238.358069804875</v>
      </c>
      <c r="M50" s="123">
        <f>L50*SUM('Model Data Inputs'!$B$126:$B$131)</f>
        <v>17141.293552728832</v>
      </c>
      <c r="N50" s="123">
        <f>'Model Data Inputs'!$A$134</f>
        <v>16763.93</v>
      </c>
      <c r="O50" s="123">
        <f t="shared" si="5"/>
        <v>115143.5816225337</v>
      </c>
      <c r="P50" s="123">
        <f>'Model Data Inputs'!$B$118</f>
        <v>72079.036986516003</v>
      </c>
      <c r="Q50" s="123">
        <f t="shared" si="6"/>
        <v>-3603.9518493258074</v>
      </c>
      <c r="R50" s="123">
        <f t="shared" si="7"/>
        <v>68475.085137190195</v>
      </c>
      <c r="S50" s="123">
        <f>R50*SUM('Model Data Inputs'!$B$126:$B$131)</f>
        <v>14448.242963947132</v>
      </c>
      <c r="T50" s="123">
        <f>'Model Data Inputs'!$A$134</f>
        <v>16763.93</v>
      </c>
      <c r="U50" s="123">
        <f t="shared" si="8"/>
        <v>99687.258101137326</v>
      </c>
      <c r="V50" s="123">
        <f>'Model Data Inputs'!$B$120</f>
        <v>34885.391674434002</v>
      </c>
      <c r="W50" s="123">
        <f t="shared" si="9"/>
        <v>-1744.2695837217034</v>
      </c>
      <c r="X50" s="123">
        <f t="shared" si="10"/>
        <v>33141.122090712299</v>
      </c>
      <c r="Y50" s="123">
        <f>X50*SUM('Model Data Inputs'!$B$126:$B$131)</f>
        <v>6992.776761140296</v>
      </c>
      <c r="Z50" s="123">
        <f>'Model Data Inputs'!$A$134</f>
        <v>16763.93</v>
      </c>
      <c r="AA50" s="123">
        <f t="shared" si="11"/>
        <v>56897.828851852595</v>
      </c>
      <c r="AB50" s="123">
        <f>'Model Data Inputs'!$B$121</f>
        <v>35775.686000627997</v>
      </c>
      <c r="AC50" s="123">
        <f t="shared" si="12"/>
        <v>-1788.7843000314024</v>
      </c>
      <c r="AD50" s="123">
        <f t="shared" si="13"/>
        <v>33986.901700596594</v>
      </c>
      <c r="AE50" s="123">
        <f>AD50*SUM('Model Data Inputs'!$B$126:$B$131)</f>
        <v>7171.236258825882</v>
      </c>
      <c r="AF50" s="123">
        <f>'Model Data Inputs'!$A$134</f>
        <v>16763.93</v>
      </c>
      <c r="AG50" s="123">
        <f t="shared" si="14"/>
        <v>57922.067959422478</v>
      </c>
      <c r="AH50" s="123">
        <f>'Model Data Inputs'!$B$121</f>
        <v>35775.686000627997</v>
      </c>
      <c r="AI50" s="123">
        <f t="shared" si="15"/>
        <v>-1788.7843000314024</v>
      </c>
      <c r="AJ50" s="123">
        <f t="shared" si="16"/>
        <v>33986.901700596594</v>
      </c>
      <c r="AK50" s="123">
        <f>AJ50*SUM('Model Data Inputs'!$B$126:$B$131)</f>
        <v>7171.236258825882</v>
      </c>
      <c r="AL50" s="123">
        <f>'Model Data Inputs'!$A$134</f>
        <v>16763.93</v>
      </c>
      <c r="AM50" s="123">
        <f t="shared" si="17"/>
        <v>57922.067959422478</v>
      </c>
    </row>
    <row r="51" spans="1:39" x14ac:dyDescent="0.2">
      <c r="A51" s="6" t="s">
        <v>106</v>
      </c>
      <c r="B51" s="6" t="s">
        <v>107</v>
      </c>
      <c r="C51" s="122">
        <f>VLOOKUP(A51,'Regional Cost Adjustment'!$A$4:$C$52,3,FALSE)</f>
        <v>0.91</v>
      </c>
      <c r="D51" s="123">
        <f>'Model Data Inputs'!$B$116</f>
        <v>106892.576407638</v>
      </c>
      <c r="E51" s="123">
        <f t="shared" si="0"/>
        <v>-9620.3318766874145</v>
      </c>
      <c r="F51" s="123">
        <f t="shared" si="1"/>
        <v>97272.244530950586</v>
      </c>
      <c r="G51" s="123">
        <f>$F51*SUM('Model Data Inputs'!$B$126:$B$131)</f>
        <v>20524.443596030575</v>
      </c>
      <c r="H51" s="123">
        <f>'Model Data Inputs'!$A$134</f>
        <v>16763.93</v>
      </c>
      <c r="I51" s="123">
        <f t="shared" si="2"/>
        <v>134560.61812698116</v>
      </c>
      <c r="J51" s="123">
        <f>'Model Data Inputs'!$B$117</f>
        <v>85514.061126110406</v>
      </c>
      <c r="K51" s="123">
        <f t="shared" si="3"/>
        <v>-7696.2655013499316</v>
      </c>
      <c r="L51" s="123">
        <f t="shared" si="4"/>
        <v>77817.795624760474</v>
      </c>
      <c r="M51" s="123">
        <f>L51*SUM('Model Data Inputs'!$B$126:$B$131)</f>
        <v>16419.554876824463</v>
      </c>
      <c r="N51" s="123">
        <f>'Model Data Inputs'!$A$134</f>
        <v>16763.93</v>
      </c>
      <c r="O51" s="123">
        <f t="shared" si="5"/>
        <v>111001.28050158493</v>
      </c>
      <c r="P51" s="123">
        <f>'Model Data Inputs'!$B$118</f>
        <v>72079.036986516003</v>
      </c>
      <c r="Q51" s="123">
        <f t="shared" si="6"/>
        <v>-6487.1133287864359</v>
      </c>
      <c r="R51" s="123">
        <f t="shared" si="7"/>
        <v>65591.923657729567</v>
      </c>
      <c r="S51" s="123">
        <f>R51*SUM('Model Data Inputs'!$B$126:$B$131)</f>
        <v>13839.89589178094</v>
      </c>
      <c r="T51" s="123">
        <f>'Model Data Inputs'!$A$134</f>
        <v>16763.93</v>
      </c>
      <c r="U51" s="123">
        <f t="shared" si="8"/>
        <v>96195.74954951051</v>
      </c>
      <c r="V51" s="123">
        <f>'Model Data Inputs'!$B$120</f>
        <v>34885.391674434002</v>
      </c>
      <c r="W51" s="123">
        <f t="shared" si="9"/>
        <v>-3139.6852506990581</v>
      </c>
      <c r="X51" s="123">
        <f t="shared" si="10"/>
        <v>31745.706423734944</v>
      </c>
      <c r="Y51" s="123">
        <f>X51*SUM('Model Data Inputs'!$B$126:$B$131)</f>
        <v>6698.3440554080735</v>
      </c>
      <c r="Z51" s="123">
        <f>'Model Data Inputs'!$A$134</f>
        <v>16763.93</v>
      </c>
      <c r="AA51" s="123">
        <f t="shared" si="11"/>
        <v>55207.980479143014</v>
      </c>
      <c r="AB51" s="123">
        <f>'Model Data Inputs'!$B$121</f>
        <v>35775.686000627997</v>
      </c>
      <c r="AC51" s="123">
        <f t="shared" si="12"/>
        <v>-3219.811740056517</v>
      </c>
      <c r="AD51" s="123">
        <f t="shared" si="13"/>
        <v>32555.87426057148</v>
      </c>
      <c r="AE51" s="123">
        <f>AD51*SUM('Model Data Inputs'!$B$126:$B$131)</f>
        <v>6869.2894689805826</v>
      </c>
      <c r="AF51" s="123">
        <f>'Model Data Inputs'!$A$134</f>
        <v>16763.93</v>
      </c>
      <c r="AG51" s="123">
        <f t="shared" si="14"/>
        <v>56189.093729552063</v>
      </c>
      <c r="AH51" s="123">
        <f>'Model Data Inputs'!$B$121</f>
        <v>35775.686000627997</v>
      </c>
      <c r="AI51" s="123">
        <f t="shared" si="15"/>
        <v>-3219.811740056517</v>
      </c>
      <c r="AJ51" s="123">
        <f t="shared" si="16"/>
        <v>32555.87426057148</v>
      </c>
      <c r="AK51" s="123">
        <f>AJ51*SUM('Model Data Inputs'!$B$126:$B$131)</f>
        <v>6869.2894689805826</v>
      </c>
      <c r="AL51" s="123">
        <f>'Model Data Inputs'!$A$134</f>
        <v>16763.93</v>
      </c>
      <c r="AM51" s="123">
        <f t="shared" si="17"/>
        <v>56189.093729552063</v>
      </c>
    </row>
    <row r="52" spans="1:39" x14ac:dyDescent="0.2">
      <c r="A52" s="6" t="s">
        <v>108</v>
      </c>
      <c r="B52" s="6" t="s">
        <v>109</v>
      </c>
      <c r="C52" s="122">
        <f>VLOOKUP(A52,'Regional Cost Adjustment'!$A$4:$C$52,3,FALSE)</f>
        <v>0.91</v>
      </c>
      <c r="D52" s="123">
        <f>'Model Data Inputs'!$B$116</f>
        <v>106892.576407638</v>
      </c>
      <c r="E52" s="123">
        <f t="shared" si="0"/>
        <v>-9620.3318766874145</v>
      </c>
      <c r="F52" s="123">
        <f t="shared" si="1"/>
        <v>97272.244530950586</v>
      </c>
      <c r="G52" s="123">
        <f>$F52*SUM('Model Data Inputs'!$B$126:$B$131)</f>
        <v>20524.443596030575</v>
      </c>
      <c r="H52" s="123">
        <f>'Model Data Inputs'!$A$134</f>
        <v>16763.93</v>
      </c>
      <c r="I52" s="123">
        <f t="shared" si="2"/>
        <v>134560.61812698116</v>
      </c>
      <c r="J52" s="123">
        <f>'Model Data Inputs'!$B$117</f>
        <v>85514.061126110406</v>
      </c>
      <c r="K52" s="123">
        <f t="shared" si="3"/>
        <v>-7696.2655013499316</v>
      </c>
      <c r="L52" s="123">
        <f t="shared" si="4"/>
        <v>77817.795624760474</v>
      </c>
      <c r="M52" s="123">
        <f>L52*SUM('Model Data Inputs'!$B$126:$B$131)</f>
        <v>16419.554876824463</v>
      </c>
      <c r="N52" s="123">
        <f>'Model Data Inputs'!$A$134</f>
        <v>16763.93</v>
      </c>
      <c r="O52" s="123">
        <f t="shared" si="5"/>
        <v>111001.28050158493</v>
      </c>
      <c r="P52" s="123">
        <f>'Model Data Inputs'!$B$118</f>
        <v>72079.036986516003</v>
      </c>
      <c r="Q52" s="123">
        <f t="shared" si="6"/>
        <v>-6487.1133287864359</v>
      </c>
      <c r="R52" s="123">
        <f t="shared" si="7"/>
        <v>65591.923657729567</v>
      </c>
      <c r="S52" s="123">
        <f>R52*SUM('Model Data Inputs'!$B$126:$B$131)</f>
        <v>13839.89589178094</v>
      </c>
      <c r="T52" s="123">
        <f>'Model Data Inputs'!$A$134</f>
        <v>16763.93</v>
      </c>
      <c r="U52" s="123">
        <f t="shared" si="8"/>
        <v>96195.74954951051</v>
      </c>
      <c r="V52" s="123">
        <f>'Model Data Inputs'!$B$120</f>
        <v>34885.391674434002</v>
      </c>
      <c r="W52" s="123">
        <f t="shared" si="9"/>
        <v>-3139.6852506990581</v>
      </c>
      <c r="X52" s="123">
        <f t="shared" si="10"/>
        <v>31745.706423734944</v>
      </c>
      <c r="Y52" s="123">
        <f>X52*SUM('Model Data Inputs'!$B$126:$B$131)</f>
        <v>6698.3440554080735</v>
      </c>
      <c r="Z52" s="123">
        <f>'Model Data Inputs'!$A$134</f>
        <v>16763.93</v>
      </c>
      <c r="AA52" s="123">
        <f t="shared" si="11"/>
        <v>55207.980479143014</v>
      </c>
      <c r="AB52" s="123">
        <f>'Model Data Inputs'!$B$121</f>
        <v>35775.686000627997</v>
      </c>
      <c r="AC52" s="123">
        <f t="shared" si="12"/>
        <v>-3219.811740056517</v>
      </c>
      <c r="AD52" s="123">
        <f t="shared" si="13"/>
        <v>32555.87426057148</v>
      </c>
      <c r="AE52" s="123">
        <f>AD52*SUM('Model Data Inputs'!$B$126:$B$131)</f>
        <v>6869.2894689805826</v>
      </c>
      <c r="AF52" s="123">
        <f>'Model Data Inputs'!$A$134</f>
        <v>16763.93</v>
      </c>
      <c r="AG52" s="123">
        <f t="shared" si="14"/>
        <v>56189.093729552063</v>
      </c>
      <c r="AH52" s="123">
        <f>'Model Data Inputs'!$B$121</f>
        <v>35775.686000627997</v>
      </c>
      <c r="AI52" s="123">
        <f t="shared" si="15"/>
        <v>-3219.811740056517</v>
      </c>
      <c r="AJ52" s="123">
        <f t="shared" si="16"/>
        <v>32555.87426057148</v>
      </c>
      <c r="AK52" s="123">
        <f>AJ52*SUM('Model Data Inputs'!$B$126:$B$131)</f>
        <v>6869.2894689805826</v>
      </c>
      <c r="AL52" s="123">
        <f>'Model Data Inputs'!$A$134</f>
        <v>16763.93</v>
      </c>
      <c r="AM52" s="123">
        <f t="shared" si="17"/>
        <v>56189.093729552063</v>
      </c>
    </row>
  </sheetData>
  <sheetProtection algorithmName="SHA-512" hashValue="AOBKu5MAX4lXVgziOGwC73t1u1a3vrtgoK7NkP4mJvLUAkLc5uNrF8M3vOOi/LhhtTjL0Kc/ZM1HOv9g1RYsyA==" saltValue="Wk+jhqINdza96rqmtM2gnA==" spinCount="100000" sheet="1" objects="1" scenarios="1"/>
  <mergeCells count="7">
    <mergeCell ref="AH3:AM3"/>
    <mergeCell ref="A1:I1"/>
    <mergeCell ref="D3:I3"/>
    <mergeCell ref="J3:O3"/>
    <mergeCell ref="P3:U3"/>
    <mergeCell ref="V3:AA3"/>
    <mergeCell ref="AB3:AG3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55"/>
  <sheetViews>
    <sheetView showGridLines="0" zoomScale="85" zoomScaleNormal="85" zoomScalePageLayoutView="90" workbookViewId="0">
      <pane ySplit="4" topLeftCell="A5" activePane="bottomLeft" state="frozen"/>
      <selection sqref="A1:M1"/>
      <selection pane="bottomLeft" sqref="A1:J1"/>
    </sheetView>
  </sheetViews>
  <sheetFormatPr defaultColWidth="8.85546875" defaultRowHeight="12.75" x14ac:dyDescent="0.2"/>
  <cols>
    <col min="1" max="10" width="15.7109375" customWidth="1"/>
  </cols>
  <sheetData>
    <row r="1" spans="1:10" ht="15.75" x14ac:dyDescent="0.25">
      <c r="A1" s="448" t="s">
        <v>296</v>
      </c>
      <c r="B1" s="448"/>
      <c r="C1" s="448"/>
      <c r="D1" s="448"/>
      <c r="E1" s="448"/>
      <c r="F1" s="448"/>
      <c r="G1" s="448"/>
      <c r="H1" s="448"/>
      <c r="I1" s="448"/>
      <c r="J1" s="448"/>
    </row>
    <row r="3" spans="1:10" x14ac:dyDescent="0.2">
      <c r="D3" s="476"/>
      <c r="E3" s="477"/>
      <c r="F3" s="477"/>
      <c r="G3" s="477"/>
      <c r="H3" s="477"/>
    </row>
    <row r="4" spans="1:10" ht="39" thickBot="1" x14ac:dyDescent="0.25">
      <c r="A4" s="1" t="s">
        <v>1</v>
      </c>
      <c r="B4" s="1" t="s">
        <v>2</v>
      </c>
      <c r="C4" s="1" t="s">
        <v>3</v>
      </c>
      <c r="D4" s="1" t="s">
        <v>297</v>
      </c>
      <c r="E4" s="1" t="s">
        <v>298</v>
      </c>
      <c r="F4" s="1" t="s">
        <v>299</v>
      </c>
      <c r="G4" s="1" t="s">
        <v>300</v>
      </c>
      <c r="H4" s="1" t="s">
        <v>301</v>
      </c>
      <c r="I4" s="1" t="s">
        <v>302</v>
      </c>
      <c r="J4" s="1" t="s">
        <v>303</v>
      </c>
    </row>
    <row r="5" spans="1:10" x14ac:dyDescent="0.2">
      <c r="A5" s="2" t="s">
        <v>14</v>
      </c>
      <c r="B5" s="2" t="s">
        <v>15</v>
      </c>
      <c r="C5" s="3">
        <f>SUMIFS('School Level ADM'!$S$5:$S$359,'School Level ADM'!$A$5:$A$359,$A5)</f>
        <v>3965.61</v>
      </c>
      <c r="D5" s="122">
        <f>(IF($C5&lt;='Model Data Inputs'!$B$59,'Model Data Inputs'!$B$62,IF($C5&lt;='Model Data Inputs'!$B$60,2+$C5/'Model Data Inputs'!$B$59,IF($C5&lt;='Model Data Inputs'!$B$61,'Model Data Inputs'!$B$63+('Model Data Inputs'!$B$64-'Model Data Inputs'!$B$63)/('Model Data Inputs'!$B$61-'Model Data Inputs'!$B$60)*($C5-'Model Data Inputs'!$B$60),'Model Data Inputs'!$B$64/'Model Data Inputs'!$B$61*$C5))))</f>
        <v>9.0642514285714295</v>
      </c>
      <c r="E5" s="122">
        <f>IF($C5&lt;='Model Data Inputs'!$B$59,'Model Data Inputs'!$B$65,IF($C5&lt;='Model Data Inputs'!$B$60,2+$C5/'Model Data Inputs'!$B$59,IF($C5&lt;='Model Data Inputs'!$B$61,'Model Data Inputs'!$B$66+('Model Data Inputs'!$B$67-'Model Data Inputs'!$B$66)/('Model Data Inputs'!$B$61-'Model Data Inputs'!$B$60)*($C5-'Model Data Inputs'!$B$60),'Model Data Inputs'!$B$67/'Model Data Inputs'!$B$61*$C5)))</f>
        <v>11.330314285714286</v>
      </c>
      <c r="F5" s="122">
        <f t="shared" ref="F5:F52" si="0">SUM(D5:E5)</f>
        <v>20.394565714285715</v>
      </c>
      <c r="G5" s="33">
        <f>(IF($C5&lt;='Model Data Inputs'!$B$59,$D5*AVERAGE('Central Office and O&amp;M Comp.'!$I5,'Central Office and O&amp;M Comp.'!$O5,'Central Office and O&amp;M Comp.'!$U5),IF($C5&lt;='Model Data Inputs'!$B$60,$D5*((($D5-'Model Data Inputs'!$B$62)/'Model Data Inputs'!$B$63*'Central Office and O&amp;M Comp.'!$O5)+((1-($D5-'Model Data Inputs'!$B$62)/'Model Data Inputs'!$B$63)*AVERAGE('Central Office and O&amp;M Comp.'!$I5,'Central Office and O&amp;M Comp.'!$O5,'Central Office and O&amp;M Comp.'!$U5))),'Central Office and O&amp;M Comp.'!$I5+($D5-1)*AVERAGE('Central Office and O&amp;M Comp.'!$O5,'Central Office and O&amp;M Comp.'!$O5,'Central Office and O&amp;M Comp.'!$U5))))</f>
        <v>1017529.1318147837</v>
      </c>
      <c r="H5" s="4">
        <f>$E5*'Central Office and O&amp;M Comp.'!$AA5</f>
        <v>639883.65477677132</v>
      </c>
      <c r="I5" s="4">
        <f>C5*'Model Data Inputs'!$B$80</f>
        <v>1450858.0746000002</v>
      </c>
      <c r="J5" s="4">
        <f>SUM(G5:I5)</f>
        <v>3108270.8611915549</v>
      </c>
    </row>
    <row r="6" spans="1:10" x14ac:dyDescent="0.2">
      <c r="A6" s="6" t="s">
        <v>16</v>
      </c>
      <c r="B6" s="6" t="s">
        <v>17</v>
      </c>
      <c r="C6" s="3">
        <f>SUMIFS('School Level ADM'!$S$5:$S$359,'School Level ADM'!$A$5:$A$359,$A6)</f>
        <v>1028.3399999999999</v>
      </c>
      <c r="D6" s="122">
        <f>(IF($C6&lt;='Model Data Inputs'!$B$59,'Model Data Inputs'!$B$62,IF($C6&lt;='Model Data Inputs'!$B$60,2+$C6/'Model Data Inputs'!$B$59,IF($C6&lt;='Model Data Inputs'!$B$61,'Model Data Inputs'!$B$63+('Model Data Inputs'!$B$64-'Model Data Inputs'!$B$63)/('Model Data Inputs'!$B$61-'Model Data Inputs'!$B$60)*($C6-'Model Data Inputs'!$B$60),'Model Data Inputs'!$B$64/'Model Data Inputs'!$B$61*$C6))))</f>
        <v>4.0453440000000001</v>
      </c>
      <c r="E6" s="122">
        <f>IF($C6&lt;='Model Data Inputs'!$B$59,'Model Data Inputs'!$B$65,IF($C6&lt;='Model Data Inputs'!$B$60,2+$C6/'Model Data Inputs'!$B$59,IF($C6&lt;='Model Data Inputs'!$B$61,'Model Data Inputs'!$B$66+('Model Data Inputs'!$B$67-'Model Data Inputs'!$B$66)/('Model Data Inputs'!$B$61-'Model Data Inputs'!$B$60)*($C6-'Model Data Inputs'!$B$60),'Model Data Inputs'!$B$67/'Model Data Inputs'!$B$61*$C6)))</f>
        <v>4.0680160000000001</v>
      </c>
      <c r="F6" s="122">
        <f t="shared" si="0"/>
        <v>8.1133600000000001</v>
      </c>
      <c r="G6" s="33">
        <f>(IF($C6&lt;='Model Data Inputs'!$B$59,$D6*AVERAGE('Central Office and O&amp;M Comp.'!$I6,'Central Office and O&amp;M Comp.'!$O6,'Central Office and O&amp;M Comp.'!$U6),IF($C6&lt;='Model Data Inputs'!$B$60,$D6*((($D6-'Model Data Inputs'!$B$62)/'Model Data Inputs'!$B$63*'Central Office and O&amp;M Comp.'!$O6)+((1-($D6-'Model Data Inputs'!$B$62)/'Model Data Inputs'!$B$63)*AVERAGE('Central Office and O&amp;M Comp.'!$I6,'Central Office and O&amp;M Comp.'!$O6,'Central Office and O&amp;M Comp.'!$U6))),'Central Office and O&amp;M Comp.'!$I6+($D6-1)*AVERAGE('Central Office and O&amp;M Comp.'!$O6,'Central Office and O&amp;M Comp.'!$O6,'Central Office and O&amp;M Comp.'!$U6))))</f>
        <v>461851.38487355784</v>
      </c>
      <c r="H6" s="4">
        <f>$E6*'Central Office and O&amp;M Comp.'!$AA6</f>
        <v>226305.5304712806</v>
      </c>
      <c r="I6" s="4">
        <f>C6*'Model Data Inputs'!$B$80</f>
        <v>376228.47239999997</v>
      </c>
      <c r="J6" s="4">
        <f t="shared" ref="J6:J52" si="1">SUM(G6:I6)</f>
        <v>1064385.3877448384</v>
      </c>
    </row>
    <row r="7" spans="1:10" x14ac:dyDescent="0.2">
      <c r="A7" s="6" t="s">
        <v>18</v>
      </c>
      <c r="B7" s="6" t="s">
        <v>19</v>
      </c>
      <c r="C7" s="3">
        <f>SUMIFS('School Level ADM'!$S$5:$S$359,'School Level ADM'!$A$5:$A$359,$A7)</f>
        <v>707.23</v>
      </c>
      <c r="D7" s="122">
        <f>(IF($C7&lt;='Model Data Inputs'!$B$59,'Model Data Inputs'!$B$62,IF($C7&lt;='Model Data Inputs'!$B$60,2+$C7/'Model Data Inputs'!$B$59,IF($C7&lt;='Model Data Inputs'!$B$61,'Model Data Inputs'!$B$63+('Model Data Inputs'!$B$64-'Model Data Inputs'!$B$63)/('Model Data Inputs'!$B$61-'Model Data Inputs'!$B$60)*($C7-'Model Data Inputs'!$B$60),'Model Data Inputs'!$B$64/'Model Data Inputs'!$B$61*$C7))))</f>
        <v>3.4144600000000001</v>
      </c>
      <c r="E7" s="122">
        <f>IF($C7&lt;='Model Data Inputs'!$B$59,'Model Data Inputs'!$B$65,IF($C7&lt;='Model Data Inputs'!$B$60,2+$C7/'Model Data Inputs'!$B$59,IF($C7&lt;='Model Data Inputs'!$B$61,'Model Data Inputs'!$B$66+('Model Data Inputs'!$B$67-'Model Data Inputs'!$B$66)/('Model Data Inputs'!$B$61-'Model Data Inputs'!$B$60)*($C7-'Model Data Inputs'!$B$60),'Model Data Inputs'!$B$67/'Model Data Inputs'!$B$61*$C7)))</f>
        <v>3.4144600000000001</v>
      </c>
      <c r="F7" s="122">
        <f t="shared" si="0"/>
        <v>6.8289200000000001</v>
      </c>
      <c r="G7" s="33">
        <f>(IF($C7&lt;='Model Data Inputs'!$B$59,$D7*AVERAGE('Central Office and O&amp;M Comp.'!$I7,'Central Office and O&amp;M Comp.'!$O7,'Central Office and O&amp;M Comp.'!$U7),IF($C7&lt;='Model Data Inputs'!$B$60,$D7*((($D7-'Model Data Inputs'!$B$62)/'Model Data Inputs'!$B$63*'Central Office and O&amp;M Comp.'!$O7)+((1-($D7-'Model Data Inputs'!$B$62)/'Model Data Inputs'!$B$63)*AVERAGE('Central Office and O&amp;M Comp.'!$I7,'Central Office and O&amp;M Comp.'!$O7,'Central Office and O&amp;M Comp.'!$U7))),'Central Office and O&amp;M Comp.'!$I7+($D7-1)*AVERAGE('Central Office and O&amp;M Comp.'!$O7,'Central Office and O&amp;M Comp.'!$O7,'Central Office and O&amp;M Comp.'!$U7))))</f>
        <v>391574.34363634262</v>
      </c>
      <c r="H7" s="4">
        <f>$E7*'Central Office and O&amp;M Comp.'!$AA7</f>
        <v>189947.92094548515</v>
      </c>
      <c r="I7" s="4">
        <f>C7*'Model Data Inputs'!$B$80</f>
        <v>258747.16780000002</v>
      </c>
      <c r="J7" s="4">
        <f t="shared" si="1"/>
        <v>840269.43238182785</v>
      </c>
    </row>
    <row r="8" spans="1:10" x14ac:dyDescent="0.2">
      <c r="A8" s="6" t="s">
        <v>20</v>
      </c>
      <c r="B8" s="6" t="s">
        <v>21</v>
      </c>
      <c r="C8" s="3">
        <f>SUMIFS('School Level ADM'!$S$5:$S$359,'School Level ADM'!$A$5:$A$359,$A8)</f>
        <v>495.58300000000003</v>
      </c>
      <c r="D8" s="122">
        <f>(IF($C8&lt;='Model Data Inputs'!$B$59,'Model Data Inputs'!$B$62,IF($C8&lt;='Model Data Inputs'!$B$60,2+$C8/'Model Data Inputs'!$B$59,IF($C8&lt;='Model Data Inputs'!$B$61,'Model Data Inputs'!$B$63+('Model Data Inputs'!$B$64-'Model Data Inputs'!$B$63)/('Model Data Inputs'!$B$61-'Model Data Inputs'!$B$60)*($C8-'Model Data Inputs'!$B$60),'Model Data Inputs'!$B$64/'Model Data Inputs'!$B$61*$C8))))</f>
        <v>3</v>
      </c>
      <c r="E8" s="122">
        <f>IF($C8&lt;='Model Data Inputs'!$B$59,'Model Data Inputs'!$B$65,IF($C8&lt;='Model Data Inputs'!$B$60,2+$C8/'Model Data Inputs'!$B$59,IF($C8&lt;='Model Data Inputs'!$B$61,'Model Data Inputs'!$B$66+('Model Data Inputs'!$B$67-'Model Data Inputs'!$B$66)/('Model Data Inputs'!$B$61-'Model Data Inputs'!$B$60)*($C8-'Model Data Inputs'!$B$60),'Model Data Inputs'!$B$67/'Model Data Inputs'!$B$61*$C8)))</f>
        <v>3</v>
      </c>
      <c r="F8" s="122">
        <f t="shared" si="0"/>
        <v>6</v>
      </c>
      <c r="G8" s="33">
        <f>(IF($C8&lt;='Model Data Inputs'!$B$59,$D8*AVERAGE('Central Office and O&amp;M Comp.'!$I8,'Central Office and O&amp;M Comp.'!$O8,'Central Office and O&amp;M Comp.'!$U8),IF($C8&lt;='Model Data Inputs'!$B$60,$D8*((($D8-'Model Data Inputs'!$B$62)/'Model Data Inputs'!$B$63*'Central Office and O&amp;M Comp.'!$O8)+((1-($D8-'Model Data Inputs'!$B$62)/'Model Data Inputs'!$B$63)*AVERAGE('Central Office and O&amp;M Comp.'!$I8,'Central Office and O&amp;M Comp.'!$O8,'Central Office and O&amp;M Comp.'!$U8))),'Central Office and O&amp;M Comp.'!$I8+($D8-1)*AVERAGE('Central Office and O&amp;M Comp.'!$O8,'Central Office and O&amp;M Comp.'!$O8,'Central Office and O&amp;M Comp.'!$U8))))</f>
        <v>344960.56969651696</v>
      </c>
      <c r="H8" s="4">
        <f>$E8*'Central Office and O&amp;M Comp.'!$AA8</f>
        <v>166891.32771696124</v>
      </c>
      <c r="I8" s="4">
        <f>C8*'Model Data Inputs'!$B$80</f>
        <v>181313.99638000003</v>
      </c>
      <c r="J8" s="4">
        <f t="shared" si="1"/>
        <v>693165.89379347826</v>
      </c>
    </row>
    <row r="9" spans="1:10" x14ac:dyDescent="0.2">
      <c r="A9" s="6" t="s">
        <v>22</v>
      </c>
      <c r="B9" s="6" t="s">
        <v>23</v>
      </c>
      <c r="C9" s="3">
        <f>SUMIFS('School Level ADM'!$S$5:$S$359,'School Level ADM'!$A$5:$A$359,$A9)</f>
        <v>279.23933333333332</v>
      </c>
      <c r="D9" s="122">
        <f>(IF($C9&lt;='Model Data Inputs'!$B$59,'Model Data Inputs'!$B$62,IF($C9&lt;='Model Data Inputs'!$B$60,2+$C9/'Model Data Inputs'!$B$59,IF($C9&lt;='Model Data Inputs'!$B$61,'Model Data Inputs'!$B$63+('Model Data Inputs'!$B$64-'Model Data Inputs'!$B$63)/('Model Data Inputs'!$B$61-'Model Data Inputs'!$B$60)*($C9-'Model Data Inputs'!$B$60),'Model Data Inputs'!$B$64/'Model Data Inputs'!$B$61*$C9))))</f>
        <v>3</v>
      </c>
      <c r="E9" s="122">
        <f>IF($C9&lt;='Model Data Inputs'!$B$59,'Model Data Inputs'!$B$65,IF($C9&lt;='Model Data Inputs'!$B$60,2+$C9/'Model Data Inputs'!$B$59,IF($C9&lt;='Model Data Inputs'!$B$61,'Model Data Inputs'!$B$66+('Model Data Inputs'!$B$67-'Model Data Inputs'!$B$66)/('Model Data Inputs'!$B$61-'Model Data Inputs'!$B$60)*($C9-'Model Data Inputs'!$B$60),'Model Data Inputs'!$B$67/'Model Data Inputs'!$B$61*$C9)))</f>
        <v>3</v>
      </c>
      <c r="F9" s="122">
        <f t="shared" si="0"/>
        <v>6</v>
      </c>
      <c r="G9" s="33">
        <f>(IF($C9&lt;='Model Data Inputs'!$B$59,$D9*AVERAGE('Central Office and O&amp;M Comp.'!$I9,'Central Office and O&amp;M Comp.'!$O9,'Central Office and O&amp;M Comp.'!$U9),IF($C9&lt;='Model Data Inputs'!$B$60,$D9*((($D9-'Model Data Inputs'!$B$62)/'Model Data Inputs'!$B$63*'Central Office and O&amp;M Comp.'!$O9)+((1-($D9-'Model Data Inputs'!$B$62)/'Model Data Inputs'!$B$63)*AVERAGE('Central Office and O&amp;M Comp.'!$I9,'Central Office and O&amp;M Comp.'!$O9,'Central Office and O&amp;M Comp.'!$U9))),'Central Office and O&amp;M Comp.'!$I9+($D9-1)*AVERAGE('Central Office and O&amp;M Comp.'!$O9,'Central Office and O&amp;M Comp.'!$O9,'Central Office and O&amp;M Comp.'!$U9))))</f>
        <v>344960.56969651696</v>
      </c>
      <c r="H9" s="4">
        <f>$E9*'Central Office and O&amp;M Comp.'!$AA9</f>
        <v>166891.32771696124</v>
      </c>
      <c r="I9" s="4">
        <f>C9*'Model Data Inputs'!$B$80</f>
        <v>102162.50249333333</v>
      </c>
      <c r="J9" s="4">
        <f t="shared" si="1"/>
        <v>614014.39990681154</v>
      </c>
    </row>
    <row r="10" spans="1:10" x14ac:dyDescent="0.2">
      <c r="A10" s="6" t="s">
        <v>24</v>
      </c>
      <c r="B10" s="6" t="s">
        <v>25</v>
      </c>
      <c r="C10" s="3">
        <f>SUMIFS('School Level ADM'!$S$5:$S$359,'School Level ADM'!$A$5:$A$359,$A10)</f>
        <v>8676.6579999999994</v>
      </c>
      <c r="D10" s="122">
        <f>(IF($C10&lt;='Model Data Inputs'!$B$59,'Model Data Inputs'!$B$62,IF($C10&lt;='Model Data Inputs'!$B$60,2+$C10/'Model Data Inputs'!$B$59,IF($C10&lt;='Model Data Inputs'!$B$61,'Model Data Inputs'!$B$63+('Model Data Inputs'!$B$64-'Model Data Inputs'!$B$63)/('Model Data Inputs'!$B$61-'Model Data Inputs'!$B$60)*($C10-'Model Data Inputs'!$B$60),'Model Data Inputs'!$B$64/'Model Data Inputs'!$B$61*$C10))))</f>
        <v>19.832361142857142</v>
      </c>
      <c r="E10" s="122">
        <f>IF($C10&lt;='Model Data Inputs'!$B$59,'Model Data Inputs'!$B$65,IF($C10&lt;='Model Data Inputs'!$B$60,2+$C10/'Model Data Inputs'!$B$59,IF($C10&lt;='Model Data Inputs'!$B$61,'Model Data Inputs'!$B$66+('Model Data Inputs'!$B$67-'Model Data Inputs'!$B$66)/('Model Data Inputs'!$B$61-'Model Data Inputs'!$B$60)*($C10-'Model Data Inputs'!$B$60),'Model Data Inputs'!$B$67/'Model Data Inputs'!$B$61*$C10)))</f>
        <v>24.790451428571426</v>
      </c>
      <c r="F10" s="122">
        <f t="shared" si="0"/>
        <v>44.622812571428568</v>
      </c>
      <c r="G10" s="33">
        <f>(IF($C10&lt;='Model Data Inputs'!$B$59,$D10*AVERAGE('Central Office and O&amp;M Comp.'!$I10,'Central Office and O&amp;M Comp.'!$O10,'Central Office and O&amp;M Comp.'!$U10),IF($C10&lt;='Model Data Inputs'!$B$60,$D10*((($D10-'Model Data Inputs'!$B$62)/'Model Data Inputs'!$B$63*'Central Office and O&amp;M Comp.'!$O10)+((1-($D10-'Model Data Inputs'!$B$62)/'Model Data Inputs'!$B$63)*AVERAGE('Central Office and O&amp;M Comp.'!$I10,'Central Office and O&amp;M Comp.'!$O10,'Central Office and O&amp;M Comp.'!$U10))),'Central Office and O&amp;M Comp.'!$I10+($D10-1)*AVERAGE('Central Office and O&amp;M Comp.'!$O10,'Central Office and O&amp;M Comp.'!$O10,'Central Office and O&amp;M Comp.'!$U10))))</f>
        <v>2646197.9190572766</v>
      </c>
      <c r="H10" s="4">
        <f>$E10*'Central Office and O&amp;M Comp.'!$AA10</f>
        <v>1640929.4345722122</v>
      </c>
      <c r="I10" s="4">
        <f>C10*'Model Data Inputs'!$B$80</f>
        <v>3174442.0958799999</v>
      </c>
      <c r="J10" s="4">
        <f t="shared" si="1"/>
        <v>7461569.4495094884</v>
      </c>
    </row>
    <row r="11" spans="1:10" x14ac:dyDescent="0.2">
      <c r="A11" s="6" t="s">
        <v>26</v>
      </c>
      <c r="B11" s="6" t="s">
        <v>27</v>
      </c>
      <c r="C11" s="3">
        <f>SUMIFS('School Level ADM'!$S$5:$S$359,'School Level ADM'!$A$5:$A$359,$A11)</f>
        <v>1793.1540000000002</v>
      </c>
      <c r="D11" s="122">
        <f>(IF($C11&lt;='Model Data Inputs'!$B$59,'Model Data Inputs'!$B$62,IF($C11&lt;='Model Data Inputs'!$B$60,2+$C11/'Model Data Inputs'!$B$59,IF($C11&lt;='Model Data Inputs'!$B$61,'Model Data Inputs'!$B$63+('Model Data Inputs'!$B$64-'Model Data Inputs'!$B$63)/('Model Data Inputs'!$B$61-'Model Data Inputs'!$B$60)*($C11-'Model Data Inputs'!$B$60),'Model Data Inputs'!$B$64/'Model Data Inputs'!$B$61*$C11))))</f>
        <v>5.2690464000000006</v>
      </c>
      <c r="E11" s="122">
        <f>IF($C11&lt;='Model Data Inputs'!$B$59,'Model Data Inputs'!$B$65,IF($C11&lt;='Model Data Inputs'!$B$60,2+$C11/'Model Data Inputs'!$B$59,IF($C11&lt;='Model Data Inputs'!$B$61,'Model Data Inputs'!$B$66+('Model Data Inputs'!$B$67-'Model Data Inputs'!$B$66)/('Model Data Inputs'!$B$61-'Model Data Inputs'!$B$60)*($C11-'Model Data Inputs'!$B$60),'Model Data Inputs'!$B$67/'Model Data Inputs'!$B$61*$C11)))</f>
        <v>5.9035696000000009</v>
      </c>
      <c r="F11" s="122">
        <f t="shared" si="0"/>
        <v>11.172616000000001</v>
      </c>
      <c r="G11" s="33">
        <f>(IF($C11&lt;='Model Data Inputs'!$B$59,$D11*AVERAGE('Central Office and O&amp;M Comp.'!$I11,'Central Office and O&amp;M Comp.'!$O11,'Central Office and O&amp;M Comp.'!$U11),IF($C11&lt;='Model Data Inputs'!$B$60,$D11*((($D11-'Model Data Inputs'!$B$62)/'Model Data Inputs'!$B$63*'Central Office and O&amp;M Comp.'!$O11)+((1-($D11-'Model Data Inputs'!$B$62)/'Model Data Inputs'!$B$63)*AVERAGE('Central Office and O&amp;M Comp.'!$I11,'Central Office and O&amp;M Comp.'!$O11,'Central Office and O&amp;M Comp.'!$U11))),'Central Office and O&amp;M Comp.'!$I11+($D11-1)*AVERAGE('Central Office and O&amp;M Comp.'!$O11,'Central Office and O&amp;M Comp.'!$O11,'Central Office and O&amp;M Comp.'!$U11))))</f>
        <v>631232.66390575166</v>
      </c>
      <c r="H11" s="4">
        <f>$E11*'Central Office and O&amp;M Comp.'!$AA11</f>
        <v>345876.4301975377</v>
      </c>
      <c r="I11" s="4">
        <f>C11*'Model Data Inputs'!$B$80</f>
        <v>656043.32244000013</v>
      </c>
      <c r="J11" s="4">
        <f t="shared" si="1"/>
        <v>1633152.4165432896</v>
      </c>
    </row>
    <row r="12" spans="1:10" x14ac:dyDescent="0.2">
      <c r="A12" s="6" t="s">
        <v>28</v>
      </c>
      <c r="B12" s="6" t="s">
        <v>29</v>
      </c>
      <c r="C12" s="3">
        <f>SUMIFS('School Level ADM'!$S$5:$S$359,'School Level ADM'!$A$5:$A$359,$A12)</f>
        <v>619.12233333333336</v>
      </c>
      <c r="D12" s="122">
        <f>(IF($C12&lt;='Model Data Inputs'!$B$59,'Model Data Inputs'!$B$62,IF($C12&lt;='Model Data Inputs'!$B$60,2+$C12/'Model Data Inputs'!$B$59,IF($C12&lt;='Model Data Inputs'!$B$61,'Model Data Inputs'!$B$63+('Model Data Inputs'!$B$64-'Model Data Inputs'!$B$63)/('Model Data Inputs'!$B$61-'Model Data Inputs'!$B$60)*($C12-'Model Data Inputs'!$B$60),'Model Data Inputs'!$B$64/'Model Data Inputs'!$B$61*$C12))))</f>
        <v>3.2382446666666667</v>
      </c>
      <c r="E12" s="122">
        <f>IF($C12&lt;='Model Data Inputs'!$B$59,'Model Data Inputs'!$B$65,IF($C12&lt;='Model Data Inputs'!$B$60,2+$C12/'Model Data Inputs'!$B$59,IF($C12&lt;='Model Data Inputs'!$B$61,'Model Data Inputs'!$B$66+('Model Data Inputs'!$B$67-'Model Data Inputs'!$B$66)/('Model Data Inputs'!$B$61-'Model Data Inputs'!$B$60)*($C12-'Model Data Inputs'!$B$60),'Model Data Inputs'!$B$67/'Model Data Inputs'!$B$61*$C12)))</f>
        <v>3.2382446666666667</v>
      </c>
      <c r="F12" s="122">
        <f t="shared" si="0"/>
        <v>6.4764893333333333</v>
      </c>
      <c r="G12" s="33">
        <f>(IF($C12&lt;='Model Data Inputs'!$B$59,$D12*AVERAGE('Central Office and O&amp;M Comp.'!$I12,'Central Office and O&amp;M Comp.'!$O12,'Central Office and O&amp;M Comp.'!$U12),IF($C12&lt;='Model Data Inputs'!$B$60,$D12*((($D12-'Model Data Inputs'!$B$62)/'Model Data Inputs'!$B$63*'Central Office and O&amp;M Comp.'!$O12)+((1-($D12-'Model Data Inputs'!$B$62)/'Model Data Inputs'!$B$63)*AVERAGE('Central Office and O&amp;M Comp.'!$I12,'Central Office and O&amp;M Comp.'!$O12,'Central Office and O&amp;M Comp.'!$U12))),'Central Office and O&amp;M Comp.'!$I12+($D12-1)*AVERAGE('Central Office and O&amp;M Comp.'!$O12,'Central Office and O&amp;M Comp.'!$O12,'Central Office and O&amp;M Comp.'!$U12))))</f>
        <v>395944.27411841793</v>
      </c>
      <c r="H12" s="4">
        <f>$E12*'Central Office and O&amp;M Comp.'!$AA12</f>
        <v>189721.23330482663</v>
      </c>
      <c r="I12" s="4">
        <f>C12*'Model Data Inputs'!$B$80</f>
        <v>226512.09687333336</v>
      </c>
      <c r="J12" s="4">
        <f t="shared" si="1"/>
        <v>812177.60429657786</v>
      </c>
    </row>
    <row r="13" spans="1:10" x14ac:dyDescent="0.2">
      <c r="A13" s="6" t="s">
        <v>30</v>
      </c>
      <c r="B13" s="6" t="s">
        <v>31</v>
      </c>
      <c r="C13" s="3">
        <f>SUMIFS('School Level ADM'!$S$5:$S$359,'School Level ADM'!$A$5:$A$359,$A13)</f>
        <v>1689.6276666666668</v>
      </c>
      <c r="D13" s="122">
        <f>(IF($C13&lt;='Model Data Inputs'!$B$59,'Model Data Inputs'!$B$62,IF($C13&lt;='Model Data Inputs'!$B$60,2+$C13/'Model Data Inputs'!$B$59,IF($C13&lt;='Model Data Inputs'!$B$61,'Model Data Inputs'!$B$63+('Model Data Inputs'!$B$64-'Model Data Inputs'!$B$63)/('Model Data Inputs'!$B$61-'Model Data Inputs'!$B$60)*($C13-'Model Data Inputs'!$B$60),'Model Data Inputs'!$B$64/'Model Data Inputs'!$B$61*$C13))))</f>
        <v>5.1034042666666668</v>
      </c>
      <c r="E13" s="122">
        <f>IF($C13&lt;='Model Data Inputs'!$B$59,'Model Data Inputs'!$B$65,IF($C13&lt;='Model Data Inputs'!$B$60,2+$C13/'Model Data Inputs'!$B$59,IF($C13&lt;='Model Data Inputs'!$B$61,'Model Data Inputs'!$B$66+('Model Data Inputs'!$B$67-'Model Data Inputs'!$B$66)/('Model Data Inputs'!$B$61-'Model Data Inputs'!$B$60)*($C13-'Model Data Inputs'!$B$60),'Model Data Inputs'!$B$67/'Model Data Inputs'!$B$61*$C13)))</f>
        <v>5.6551064000000002</v>
      </c>
      <c r="F13" s="122">
        <f t="shared" si="0"/>
        <v>10.758510666666666</v>
      </c>
      <c r="G13" s="33">
        <f>(IF($C13&lt;='Model Data Inputs'!$B$59,$D13*AVERAGE('Central Office and O&amp;M Comp.'!$I13,'Central Office and O&amp;M Comp.'!$O13,'Central Office and O&amp;M Comp.'!$U13),IF($C13&lt;='Model Data Inputs'!$B$60,$D13*((($D13-'Model Data Inputs'!$B$62)/'Model Data Inputs'!$B$63*'Central Office and O&amp;M Comp.'!$O13)+((1-($D13-'Model Data Inputs'!$B$62)/'Model Data Inputs'!$B$63)*AVERAGE('Central Office and O&amp;M Comp.'!$I13,'Central Office and O&amp;M Comp.'!$O13,'Central Office and O&amp;M Comp.'!$U13))),'Central Office and O&amp;M Comp.'!$I13+($D13-1)*AVERAGE('Central Office and O&amp;M Comp.'!$O13,'Central Office and O&amp;M Comp.'!$O13,'Central Office and O&amp;M Comp.'!$U13))))</f>
        <v>665576.37856731378</v>
      </c>
      <c r="H13" s="4">
        <f>$E13*'Central Office and O&amp;M Comp.'!$AA13</f>
        <v>355210.22930260474</v>
      </c>
      <c r="I13" s="4">
        <f>C13*'Model Data Inputs'!$B$80</f>
        <v>618167.17812666669</v>
      </c>
      <c r="J13" s="4">
        <f t="shared" si="1"/>
        <v>1638953.7859965852</v>
      </c>
    </row>
    <row r="14" spans="1:10" x14ac:dyDescent="0.2">
      <c r="A14" s="6" t="s">
        <v>32</v>
      </c>
      <c r="B14" s="6" t="s">
        <v>33</v>
      </c>
      <c r="C14" s="3">
        <f>SUMIFS('School Level ADM'!$S$5:$S$359,'School Level ADM'!$A$5:$A$359,$A14)</f>
        <v>607.05766666666671</v>
      </c>
      <c r="D14" s="122">
        <f>(IF($C14&lt;='Model Data Inputs'!$B$59,'Model Data Inputs'!$B$62,IF($C14&lt;='Model Data Inputs'!$B$60,2+$C14/'Model Data Inputs'!$B$59,IF($C14&lt;='Model Data Inputs'!$B$61,'Model Data Inputs'!$B$63+('Model Data Inputs'!$B$64-'Model Data Inputs'!$B$63)/('Model Data Inputs'!$B$61-'Model Data Inputs'!$B$60)*($C14-'Model Data Inputs'!$B$60),'Model Data Inputs'!$B$64/'Model Data Inputs'!$B$61*$C14))))</f>
        <v>3.2141153333333334</v>
      </c>
      <c r="E14" s="122">
        <f>IF($C14&lt;='Model Data Inputs'!$B$59,'Model Data Inputs'!$B$65,IF($C14&lt;='Model Data Inputs'!$B$60,2+$C14/'Model Data Inputs'!$B$59,IF($C14&lt;='Model Data Inputs'!$B$61,'Model Data Inputs'!$B$66+('Model Data Inputs'!$B$67-'Model Data Inputs'!$B$66)/('Model Data Inputs'!$B$61-'Model Data Inputs'!$B$60)*($C14-'Model Data Inputs'!$B$60),'Model Data Inputs'!$B$67/'Model Data Inputs'!$B$61*$C14)))</f>
        <v>3.2141153333333334</v>
      </c>
      <c r="F14" s="122">
        <f t="shared" si="0"/>
        <v>6.4282306666666669</v>
      </c>
      <c r="G14" s="33">
        <f>(IF($C14&lt;='Model Data Inputs'!$B$59,$D14*AVERAGE('Central Office and O&amp;M Comp.'!$I14,'Central Office and O&amp;M Comp.'!$O14,'Central Office and O&amp;M Comp.'!$U14),IF($C14&lt;='Model Data Inputs'!$B$60,$D14*((($D14-'Model Data Inputs'!$B$62)/'Model Data Inputs'!$B$63*'Central Office and O&amp;M Comp.'!$O14)+((1-($D14-'Model Data Inputs'!$B$62)/'Model Data Inputs'!$B$63)*AVERAGE('Central Office and O&amp;M Comp.'!$I14,'Central Office and O&amp;M Comp.'!$O14,'Central Office and O&amp;M Comp.'!$U14))),'Central Office and O&amp;M Comp.'!$I14+($D14-1)*AVERAGE('Central Office and O&amp;M Comp.'!$O14,'Central Office and O&amp;M Comp.'!$O14,'Central Office and O&amp;M Comp.'!$U14))))</f>
        <v>427315.52800564322</v>
      </c>
      <c r="H14" s="4">
        <f>$E14*'Central Office and O&amp;M Comp.'!$AA14</f>
        <v>201885.97062618507</v>
      </c>
      <c r="I14" s="4">
        <f>C14*'Model Data Inputs'!$B$80</f>
        <v>222098.11792666669</v>
      </c>
      <c r="J14" s="4">
        <f t="shared" si="1"/>
        <v>851299.61655849498</v>
      </c>
    </row>
    <row r="15" spans="1:10" x14ac:dyDescent="0.2">
      <c r="A15" s="6" t="s">
        <v>34</v>
      </c>
      <c r="B15" s="6" t="s">
        <v>35</v>
      </c>
      <c r="C15" s="3">
        <f>SUMIFS('School Level ADM'!$S$5:$S$359,'School Level ADM'!$A$5:$A$359,$A15)</f>
        <v>1134.6060000000002</v>
      </c>
      <c r="D15" s="122">
        <f>(IF($C15&lt;='Model Data Inputs'!$B$59,'Model Data Inputs'!$B$62,IF($C15&lt;='Model Data Inputs'!$B$60,2+$C15/'Model Data Inputs'!$B$59,IF($C15&lt;='Model Data Inputs'!$B$61,'Model Data Inputs'!$B$63+('Model Data Inputs'!$B$64-'Model Data Inputs'!$B$63)/('Model Data Inputs'!$B$61-'Model Data Inputs'!$B$60)*($C15-'Model Data Inputs'!$B$60),'Model Data Inputs'!$B$64/'Model Data Inputs'!$B$61*$C15))))</f>
        <v>4.2153696000000007</v>
      </c>
      <c r="E15" s="122">
        <f>IF($C15&lt;='Model Data Inputs'!$B$59,'Model Data Inputs'!$B$65,IF($C15&lt;='Model Data Inputs'!$B$60,2+$C15/'Model Data Inputs'!$B$59,IF($C15&lt;='Model Data Inputs'!$B$61,'Model Data Inputs'!$B$66+('Model Data Inputs'!$B$67-'Model Data Inputs'!$B$66)/('Model Data Inputs'!$B$61-'Model Data Inputs'!$B$60)*($C15-'Model Data Inputs'!$B$60),'Model Data Inputs'!$B$67/'Model Data Inputs'!$B$61*$C15)))</f>
        <v>4.3230544000000002</v>
      </c>
      <c r="F15" s="122">
        <f t="shared" si="0"/>
        <v>8.5384240000000009</v>
      </c>
      <c r="G15" s="33">
        <f>(IF($C15&lt;='Model Data Inputs'!$B$59,$D15*AVERAGE('Central Office and O&amp;M Comp.'!$I15,'Central Office and O&amp;M Comp.'!$O15,'Central Office and O&amp;M Comp.'!$U15),IF($C15&lt;='Model Data Inputs'!$B$60,$D15*((($D15-'Model Data Inputs'!$B$62)/'Model Data Inputs'!$B$63*'Central Office and O&amp;M Comp.'!$O15)+((1-($D15-'Model Data Inputs'!$B$62)/'Model Data Inputs'!$B$63)*AVERAGE('Central Office and O&amp;M Comp.'!$I15,'Central Office and O&amp;M Comp.'!$O15,'Central Office and O&amp;M Comp.'!$U15))),'Central Office and O&amp;M Comp.'!$I15+($D15-1)*AVERAGE('Central Office and O&amp;M Comp.'!$O15,'Central Office and O&amp;M Comp.'!$O15,'Central Office and O&amp;M Comp.'!$U15))))</f>
        <v>497851.58374083386</v>
      </c>
      <c r="H15" s="4">
        <f>$E15*'Central Office and O&amp;M Comp.'!$AA15</f>
        <v>247798.7359791921</v>
      </c>
      <c r="I15" s="4">
        <f>C15*'Model Data Inputs'!$B$80</f>
        <v>415106.95116000011</v>
      </c>
      <c r="J15" s="4">
        <f t="shared" si="1"/>
        <v>1160757.270880026</v>
      </c>
    </row>
    <row r="16" spans="1:10" x14ac:dyDescent="0.2">
      <c r="A16" s="6" t="s">
        <v>36</v>
      </c>
      <c r="B16" s="6" t="s">
        <v>37</v>
      </c>
      <c r="C16" s="3">
        <f>SUMIFS('School Level ADM'!$S$5:$S$359,'School Level ADM'!$A$5:$A$359,$A16)</f>
        <v>1760.1949999999997</v>
      </c>
      <c r="D16" s="122">
        <f>(IF($C16&lt;='Model Data Inputs'!$B$59,'Model Data Inputs'!$B$62,IF($C16&lt;='Model Data Inputs'!$B$60,2+$C16/'Model Data Inputs'!$B$59,IF($C16&lt;='Model Data Inputs'!$B$61,'Model Data Inputs'!$B$63+('Model Data Inputs'!$B$64-'Model Data Inputs'!$B$63)/('Model Data Inputs'!$B$61-'Model Data Inputs'!$B$60)*($C16-'Model Data Inputs'!$B$60),'Model Data Inputs'!$B$64/'Model Data Inputs'!$B$61*$C16))))</f>
        <v>5.2163119999999994</v>
      </c>
      <c r="E16" s="122">
        <f>IF($C16&lt;='Model Data Inputs'!$B$59,'Model Data Inputs'!$B$65,IF($C16&lt;='Model Data Inputs'!$B$60,2+$C16/'Model Data Inputs'!$B$59,IF($C16&lt;='Model Data Inputs'!$B$61,'Model Data Inputs'!$B$66+('Model Data Inputs'!$B$67-'Model Data Inputs'!$B$66)/('Model Data Inputs'!$B$61-'Model Data Inputs'!$B$60)*($C16-'Model Data Inputs'!$B$60),'Model Data Inputs'!$B$67/'Model Data Inputs'!$B$61*$C16)))</f>
        <v>5.8244679999999995</v>
      </c>
      <c r="F16" s="122">
        <f t="shared" si="0"/>
        <v>11.040779999999998</v>
      </c>
      <c r="G16" s="33">
        <f>(IF($C16&lt;='Model Data Inputs'!$B$59,$D16*AVERAGE('Central Office and O&amp;M Comp.'!$I16,'Central Office and O&amp;M Comp.'!$O16,'Central Office and O&amp;M Comp.'!$U16),IF($C16&lt;='Model Data Inputs'!$B$60,$D16*((($D16-'Model Data Inputs'!$B$62)/'Model Data Inputs'!$B$63*'Central Office and O&amp;M Comp.'!$O16)+((1-($D16-'Model Data Inputs'!$B$62)/'Model Data Inputs'!$B$63)*AVERAGE('Central Office and O&amp;M Comp.'!$I16,'Central Office and O&amp;M Comp.'!$O16,'Central Office and O&amp;M Comp.'!$U16))),'Central Office and O&amp;M Comp.'!$I16+($D16-1)*AVERAGE('Central Office and O&amp;M Comp.'!$O16,'Central Office and O&amp;M Comp.'!$O16,'Central Office and O&amp;M Comp.'!$U16))))</f>
        <v>598064.74979521811</v>
      </c>
      <c r="H16" s="4">
        <f>$E16*'Central Office and O&amp;M Comp.'!$AA16</f>
        <v>328938.96647416742</v>
      </c>
      <c r="I16" s="4">
        <f>C16*'Model Data Inputs'!$B$80</f>
        <v>643984.9426999999</v>
      </c>
      <c r="J16" s="4">
        <f t="shared" si="1"/>
        <v>1570988.6589693855</v>
      </c>
    </row>
    <row r="17" spans="1:10" x14ac:dyDescent="0.2">
      <c r="A17" s="6" t="s">
        <v>38</v>
      </c>
      <c r="B17" s="6" t="s">
        <v>39</v>
      </c>
      <c r="C17" s="3">
        <f>SUMIFS('School Level ADM'!$S$5:$S$359,'School Level ADM'!$A$5:$A$359,$A17)</f>
        <v>148.73500000000001</v>
      </c>
      <c r="D17" s="122">
        <f>(IF($C17&lt;='Model Data Inputs'!$B$59,'Model Data Inputs'!$B$62,IF($C17&lt;='Model Data Inputs'!$B$60,2+$C17/'Model Data Inputs'!$B$59,IF($C17&lt;='Model Data Inputs'!$B$61,'Model Data Inputs'!$B$63+('Model Data Inputs'!$B$64-'Model Data Inputs'!$B$63)/('Model Data Inputs'!$B$61-'Model Data Inputs'!$B$60)*($C17-'Model Data Inputs'!$B$60),'Model Data Inputs'!$B$64/'Model Data Inputs'!$B$61*$C17))))</f>
        <v>3</v>
      </c>
      <c r="E17" s="122">
        <f>IF($C17&lt;='Model Data Inputs'!$B$59,'Model Data Inputs'!$B$65,IF($C17&lt;='Model Data Inputs'!$B$60,2+$C17/'Model Data Inputs'!$B$59,IF($C17&lt;='Model Data Inputs'!$B$61,'Model Data Inputs'!$B$66+('Model Data Inputs'!$B$67-'Model Data Inputs'!$B$66)/('Model Data Inputs'!$B$61-'Model Data Inputs'!$B$60)*($C17-'Model Data Inputs'!$B$60),'Model Data Inputs'!$B$67/'Model Data Inputs'!$B$61*$C17)))</f>
        <v>3</v>
      </c>
      <c r="F17" s="122">
        <f t="shared" si="0"/>
        <v>6</v>
      </c>
      <c r="G17" s="33">
        <f>(IF($C17&lt;='Model Data Inputs'!$B$59,$D17*AVERAGE('Central Office and O&amp;M Comp.'!$I17,'Central Office and O&amp;M Comp.'!$O17,'Central Office and O&amp;M Comp.'!$U17),IF($C17&lt;='Model Data Inputs'!$B$60,$D17*((($D17-'Model Data Inputs'!$B$62)/'Model Data Inputs'!$B$63*'Central Office and O&amp;M Comp.'!$O17)+((1-($D17-'Model Data Inputs'!$B$62)/'Model Data Inputs'!$B$63)*AVERAGE('Central Office and O&amp;M Comp.'!$I17,'Central Office and O&amp;M Comp.'!$O17,'Central Office and O&amp;M Comp.'!$U17))),'Central Office and O&amp;M Comp.'!$I17+($D17-1)*AVERAGE('Central Office and O&amp;M Comp.'!$O17,'Central Office and O&amp;M Comp.'!$O17,'Central Office and O&amp;M Comp.'!$U17))))</f>
        <v>351366.4127333978</v>
      </c>
      <c r="H17" s="4">
        <f>$E17*'Central Office and O&amp;M Comp.'!$AA17</f>
        <v>169426.10027602562</v>
      </c>
      <c r="I17" s="4">
        <f>C17*'Model Data Inputs'!$B$80</f>
        <v>54416.18710000001</v>
      </c>
      <c r="J17" s="4">
        <f t="shared" si="1"/>
        <v>575208.70010942337</v>
      </c>
    </row>
    <row r="18" spans="1:10" x14ac:dyDescent="0.2">
      <c r="A18" s="6" t="s">
        <v>40</v>
      </c>
      <c r="B18" s="6" t="s">
        <v>41</v>
      </c>
      <c r="C18" s="3">
        <f>SUMIFS('School Level ADM'!$S$5:$S$359,'School Level ADM'!$A$5:$A$359,$A18)</f>
        <v>406.80500000000001</v>
      </c>
      <c r="D18" s="122">
        <f>(IF($C18&lt;='Model Data Inputs'!$B$59,'Model Data Inputs'!$B$62,IF($C18&lt;='Model Data Inputs'!$B$60,2+$C18/'Model Data Inputs'!$B$59,IF($C18&lt;='Model Data Inputs'!$B$61,'Model Data Inputs'!$B$63+('Model Data Inputs'!$B$64-'Model Data Inputs'!$B$63)/('Model Data Inputs'!$B$61-'Model Data Inputs'!$B$60)*($C18-'Model Data Inputs'!$B$60),'Model Data Inputs'!$B$64/'Model Data Inputs'!$B$61*$C18))))</f>
        <v>3</v>
      </c>
      <c r="E18" s="122">
        <f>IF($C18&lt;='Model Data Inputs'!$B$59,'Model Data Inputs'!$B$65,IF($C18&lt;='Model Data Inputs'!$B$60,2+$C18/'Model Data Inputs'!$B$59,IF($C18&lt;='Model Data Inputs'!$B$61,'Model Data Inputs'!$B$66+('Model Data Inputs'!$B$67-'Model Data Inputs'!$B$66)/('Model Data Inputs'!$B$61-'Model Data Inputs'!$B$60)*($C18-'Model Data Inputs'!$B$60),'Model Data Inputs'!$B$67/'Model Data Inputs'!$B$61*$C18)))</f>
        <v>3</v>
      </c>
      <c r="F18" s="122">
        <f t="shared" si="0"/>
        <v>6</v>
      </c>
      <c r="G18" s="33">
        <f>(IF($C18&lt;='Model Data Inputs'!$B$59,$D18*AVERAGE('Central Office and O&amp;M Comp.'!$I18,'Central Office and O&amp;M Comp.'!$O18,'Central Office and O&amp;M Comp.'!$U18),IF($C18&lt;='Model Data Inputs'!$B$60,$D18*((($D18-'Model Data Inputs'!$B$62)/'Model Data Inputs'!$B$63*'Central Office and O&amp;M Comp.'!$O18)+((1-($D18-'Model Data Inputs'!$B$62)/'Model Data Inputs'!$B$63)*AVERAGE('Central Office and O&amp;M Comp.'!$I18,'Central Office and O&amp;M Comp.'!$O18,'Central Office and O&amp;M Comp.'!$U18))),'Central Office and O&amp;M Comp.'!$I18+($D18-1)*AVERAGE('Central Office and O&amp;M Comp.'!$O18,'Central Office and O&amp;M Comp.'!$O18,'Central Office and O&amp;M Comp.'!$U18))))</f>
        <v>351366.4127333978</v>
      </c>
      <c r="H18" s="4">
        <f>$E18*'Central Office and O&amp;M Comp.'!$AA18</f>
        <v>169426.10027602562</v>
      </c>
      <c r="I18" s="4">
        <f>C18*'Model Data Inputs'!$B$80</f>
        <v>148833.67730000001</v>
      </c>
      <c r="J18" s="4">
        <f t="shared" si="1"/>
        <v>669626.19030942337</v>
      </c>
    </row>
    <row r="19" spans="1:10" x14ac:dyDescent="0.2">
      <c r="A19" s="6" t="s">
        <v>42</v>
      </c>
      <c r="B19" s="6" t="s">
        <v>43</v>
      </c>
      <c r="C19" s="3">
        <f>SUMIFS('School Level ADM'!$S$5:$S$359,'School Level ADM'!$A$5:$A$359,$A19)</f>
        <v>617.3413333333333</v>
      </c>
      <c r="D19" s="122">
        <f>(IF($C19&lt;='Model Data Inputs'!$B$59,'Model Data Inputs'!$B$62,IF($C19&lt;='Model Data Inputs'!$B$60,2+$C19/'Model Data Inputs'!$B$59,IF($C19&lt;='Model Data Inputs'!$B$61,'Model Data Inputs'!$B$63+('Model Data Inputs'!$B$64-'Model Data Inputs'!$B$63)/('Model Data Inputs'!$B$61-'Model Data Inputs'!$B$60)*($C19-'Model Data Inputs'!$B$60),'Model Data Inputs'!$B$64/'Model Data Inputs'!$B$61*$C19))))</f>
        <v>3.2346826666666666</v>
      </c>
      <c r="E19" s="122">
        <f>IF($C19&lt;='Model Data Inputs'!$B$59,'Model Data Inputs'!$B$65,IF($C19&lt;='Model Data Inputs'!$B$60,2+$C19/'Model Data Inputs'!$B$59,IF($C19&lt;='Model Data Inputs'!$B$61,'Model Data Inputs'!$B$66+('Model Data Inputs'!$B$67-'Model Data Inputs'!$B$66)/('Model Data Inputs'!$B$61-'Model Data Inputs'!$B$60)*($C19-'Model Data Inputs'!$B$60),'Model Data Inputs'!$B$67/'Model Data Inputs'!$B$61*$C19)))</f>
        <v>3.2346826666666666</v>
      </c>
      <c r="F19" s="122">
        <f t="shared" si="0"/>
        <v>6.4693653333333332</v>
      </c>
      <c r="G19" s="33">
        <f>(IF($C19&lt;='Model Data Inputs'!$B$59,$D19*AVERAGE('Central Office and O&amp;M Comp.'!$I19,'Central Office and O&amp;M Comp.'!$O19,'Central Office and O&amp;M Comp.'!$U19),IF($C19&lt;='Model Data Inputs'!$B$60,$D19*((($D19-'Model Data Inputs'!$B$62)/'Model Data Inputs'!$B$63*'Central Office and O&amp;M Comp.'!$O19)+((1-($D19-'Model Data Inputs'!$B$62)/'Model Data Inputs'!$B$63)*AVERAGE('Central Office and O&amp;M Comp.'!$I19,'Central Office and O&amp;M Comp.'!$O19,'Central Office and O&amp;M Comp.'!$U19))),'Central Office and O&amp;M Comp.'!$I19+($D19-1)*AVERAGE('Central Office and O&amp;M Comp.'!$O19,'Central Office and O&amp;M Comp.'!$O19,'Central Office and O&amp;M Comp.'!$U19))))</f>
        <v>378280.92350048805</v>
      </c>
      <c r="H19" s="4">
        <f>$E19*'Central Office and O&amp;M Comp.'!$AA19</f>
        <v>182679.88994792954</v>
      </c>
      <c r="I19" s="4">
        <f>C19*'Model Data Inputs'!$B$80</f>
        <v>225860.50021333332</v>
      </c>
      <c r="J19" s="4">
        <f t="shared" si="1"/>
        <v>786821.31366175087</v>
      </c>
    </row>
    <row r="20" spans="1:10" x14ac:dyDescent="0.2">
      <c r="A20" s="6" t="s">
        <v>44</v>
      </c>
      <c r="B20" s="6" t="s">
        <v>45</v>
      </c>
      <c r="C20" s="3">
        <f>SUMIFS('School Level ADM'!$S$5:$S$359,'School Level ADM'!$A$5:$A$359,$A20)</f>
        <v>497.42500000000001</v>
      </c>
      <c r="D20" s="122">
        <f>(IF($C20&lt;='Model Data Inputs'!$B$59,'Model Data Inputs'!$B$62,IF($C20&lt;='Model Data Inputs'!$B$60,2+$C20/'Model Data Inputs'!$B$59,IF($C20&lt;='Model Data Inputs'!$B$61,'Model Data Inputs'!$B$63+('Model Data Inputs'!$B$64-'Model Data Inputs'!$B$63)/('Model Data Inputs'!$B$61-'Model Data Inputs'!$B$60)*($C20-'Model Data Inputs'!$B$60),'Model Data Inputs'!$B$64/'Model Data Inputs'!$B$61*$C20))))</f>
        <v>3</v>
      </c>
      <c r="E20" s="122">
        <f>IF($C20&lt;='Model Data Inputs'!$B$59,'Model Data Inputs'!$B$65,IF($C20&lt;='Model Data Inputs'!$B$60,2+$C20/'Model Data Inputs'!$B$59,IF($C20&lt;='Model Data Inputs'!$B$61,'Model Data Inputs'!$B$66+('Model Data Inputs'!$B$67-'Model Data Inputs'!$B$66)/('Model Data Inputs'!$B$61-'Model Data Inputs'!$B$60)*($C20-'Model Data Inputs'!$B$60),'Model Data Inputs'!$B$67/'Model Data Inputs'!$B$61*$C20)))</f>
        <v>3</v>
      </c>
      <c r="F20" s="122">
        <f t="shared" si="0"/>
        <v>6</v>
      </c>
      <c r="G20" s="33">
        <f>(IF($C20&lt;='Model Data Inputs'!$B$59,$D20*AVERAGE('Central Office and O&amp;M Comp.'!$I20,'Central Office and O&amp;M Comp.'!$O20,'Central Office and O&amp;M Comp.'!$U20),IF($C20&lt;='Model Data Inputs'!$B$60,$D20*((($D20-'Model Data Inputs'!$B$62)/'Model Data Inputs'!$B$63*'Central Office and O&amp;M Comp.'!$O20)+((1-($D20-'Model Data Inputs'!$B$62)/'Model Data Inputs'!$B$63)*AVERAGE('Central Office and O&amp;M Comp.'!$I20,'Central Office and O&amp;M Comp.'!$O20,'Central Office and O&amp;M Comp.'!$U20))),'Central Office and O&amp;M Comp.'!$I20+($D20-1)*AVERAGE('Central Office and O&amp;M Comp.'!$O20,'Central Office and O&amp;M Comp.'!$O20,'Central Office and O&amp;M Comp.'!$U20))))</f>
        <v>351366.4127333978</v>
      </c>
      <c r="H20" s="4">
        <f>$E20*'Central Office and O&amp;M Comp.'!$AA20</f>
        <v>169426.10027602562</v>
      </c>
      <c r="I20" s="4">
        <f>C20*'Model Data Inputs'!$B$80</f>
        <v>181987.9105</v>
      </c>
      <c r="J20" s="4">
        <f t="shared" si="1"/>
        <v>702780.42350942339</v>
      </c>
    </row>
    <row r="21" spans="1:10" x14ac:dyDescent="0.2">
      <c r="A21" s="6" t="s">
        <v>46</v>
      </c>
      <c r="B21" s="6" t="s">
        <v>47</v>
      </c>
      <c r="C21" s="3">
        <f>SUMIFS('School Level ADM'!$S$5:$S$359,'School Level ADM'!$A$5:$A$359,$A21)</f>
        <v>388.52100000000002</v>
      </c>
      <c r="D21" s="122">
        <f>(IF($C21&lt;='Model Data Inputs'!$B$59,'Model Data Inputs'!$B$62,IF($C21&lt;='Model Data Inputs'!$B$60,2+$C21/'Model Data Inputs'!$B$59,IF($C21&lt;='Model Data Inputs'!$B$61,'Model Data Inputs'!$B$63+('Model Data Inputs'!$B$64-'Model Data Inputs'!$B$63)/('Model Data Inputs'!$B$61-'Model Data Inputs'!$B$60)*($C21-'Model Data Inputs'!$B$60),'Model Data Inputs'!$B$64/'Model Data Inputs'!$B$61*$C21))))</f>
        <v>3</v>
      </c>
      <c r="E21" s="122">
        <f>IF($C21&lt;='Model Data Inputs'!$B$59,'Model Data Inputs'!$B$65,IF($C21&lt;='Model Data Inputs'!$B$60,2+$C21/'Model Data Inputs'!$B$59,IF($C21&lt;='Model Data Inputs'!$B$61,'Model Data Inputs'!$B$66+('Model Data Inputs'!$B$67-'Model Data Inputs'!$B$66)/('Model Data Inputs'!$B$61-'Model Data Inputs'!$B$60)*($C21-'Model Data Inputs'!$B$60),'Model Data Inputs'!$B$67/'Model Data Inputs'!$B$61*$C21)))</f>
        <v>3</v>
      </c>
      <c r="F21" s="122">
        <f t="shared" si="0"/>
        <v>6</v>
      </c>
      <c r="G21" s="33">
        <f>(IF($C21&lt;='Model Data Inputs'!$B$59,$D21*AVERAGE('Central Office and O&amp;M Comp.'!$I21,'Central Office and O&amp;M Comp.'!$O21,'Central Office and O&amp;M Comp.'!$U21),IF($C21&lt;='Model Data Inputs'!$B$60,$D21*((($D21-'Model Data Inputs'!$B$62)/'Model Data Inputs'!$B$63*'Central Office and O&amp;M Comp.'!$O21)+((1-($D21-'Model Data Inputs'!$B$62)/'Model Data Inputs'!$B$63)*AVERAGE('Central Office and O&amp;M Comp.'!$I21,'Central Office and O&amp;M Comp.'!$O21,'Central Office and O&amp;M Comp.'!$U21))),'Central Office and O&amp;M Comp.'!$I21+($D21-1)*AVERAGE('Central Office and O&amp;M Comp.'!$O21,'Central Office and O&amp;M Comp.'!$O21,'Central Office and O&amp;M Comp.'!$U21))))</f>
        <v>351366.4127333978</v>
      </c>
      <c r="H21" s="4">
        <f>$E21*'Central Office and O&amp;M Comp.'!$AA21</f>
        <v>169426.10027602562</v>
      </c>
      <c r="I21" s="4">
        <f>C21*'Model Data Inputs'!$B$80</f>
        <v>142144.29306</v>
      </c>
      <c r="J21" s="4">
        <f t="shared" si="1"/>
        <v>662936.80606942344</v>
      </c>
    </row>
    <row r="22" spans="1:10" x14ac:dyDescent="0.2">
      <c r="A22" s="6" t="s">
        <v>48</v>
      </c>
      <c r="B22" s="6" t="s">
        <v>49</v>
      </c>
      <c r="C22" s="3">
        <f>SUMIFS('School Level ADM'!$S$5:$S$359,'School Level ADM'!$A$5:$A$359,$A22)</f>
        <v>2449.0836666666669</v>
      </c>
      <c r="D22" s="122">
        <f>(IF($C22&lt;='Model Data Inputs'!$B$59,'Model Data Inputs'!$B$62,IF($C22&lt;='Model Data Inputs'!$B$60,2+$C22/'Model Data Inputs'!$B$59,IF($C22&lt;='Model Data Inputs'!$B$61,'Model Data Inputs'!$B$63+('Model Data Inputs'!$B$64-'Model Data Inputs'!$B$63)/('Model Data Inputs'!$B$61-'Model Data Inputs'!$B$60)*($C22-'Model Data Inputs'!$B$60),'Model Data Inputs'!$B$64/'Model Data Inputs'!$B$61*$C22))))</f>
        <v>6.3185338666666677</v>
      </c>
      <c r="E22" s="122">
        <f>IF($C22&lt;='Model Data Inputs'!$B$59,'Model Data Inputs'!$B$65,IF($C22&lt;='Model Data Inputs'!$B$60,2+$C22/'Model Data Inputs'!$B$59,IF($C22&lt;='Model Data Inputs'!$B$61,'Model Data Inputs'!$B$66+('Model Data Inputs'!$B$67-'Model Data Inputs'!$B$66)/('Model Data Inputs'!$B$61-'Model Data Inputs'!$B$60)*($C22-'Model Data Inputs'!$B$60),'Model Data Inputs'!$B$67/'Model Data Inputs'!$B$61*$C22)))</f>
        <v>7.4778008000000007</v>
      </c>
      <c r="F22" s="122">
        <f t="shared" si="0"/>
        <v>13.796334666666668</v>
      </c>
      <c r="G22" s="33">
        <f>(IF($C22&lt;='Model Data Inputs'!$B$59,$D22*AVERAGE('Central Office and O&amp;M Comp.'!$I22,'Central Office and O&amp;M Comp.'!$O22,'Central Office and O&amp;M Comp.'!$U22),IF($C22&lt;='Model Data Inputs'!$B$60,$D22*((($D22-'Model Data Inputs'!$B$62)/'Model Data Inputs'!$B$63*'Central Office and O&amp;M Comp.'!$O22)+((1-($D22-'Model Data Inputs'!$B$62)/'Model Data Inputs'!$B$63)*AVERAGE('Central Office and O&amp;M Comp.'!$I22,'Central Office and O&amp;M Comp.'!$O22,'Central Office and O&amp;M Comp.'!$U22))),'Central Office and O&amp;M Comp.'!$I22+($D22-1)*AVERAGE('Central Office and O&amp;M Comp.'!$O22,'Central Office and O&amp;M Comp.'!$O22,'Central Office and O&amp;M Comp.'!$U22))))</f>
        <v>718218.1001096312</v>
      </c>
      <c r="H22" s="4">
        <f>$E22*'Central Office and O&amp;M Comp.'!$AA22</f>
        <v>422311.54272831487</v>
      </c>
      <c r="I22" s="4">
        <f>C22*'Model Data Inputs'!$B$80</f>
        <v>896021.75028666679</v>
      </c>
      <c r="J22" s="4">
        <f t="shared" si="1"/>
        <v>2036551.393124613</v>
      </c>
    </row>
    <row r="23" spans="1:10" x14ac:dyDescent="0.2">
      <c r="A23" s="6" t="s">
        <v>50</v>
      </c>
      <c r="B23" s="6" t="s">
        <v>51</v>
      </c>
      <c r="C23" s="3">
        <f>SUMIFS('School Level ADM'!$S$5:$S$359,'School Level ADM'!$A$5:$A$359,$A23)</f>
        <v>437.34</v>
      </c>
      <c r="D23" s="122">
        <f>(IF($C23&lt;='Model Data Inputs'!$B$59,'Model Data Inputs'!$B$62,IF($C23&lt;='Model Data Inputs'!$B$60,2+$C23/'Model Data Inputs'!$B$59,IF($C23&lt;='Model Data Inputs'!$B$61,'Model Data Inputs'!$B$63+('Model Data Inputs'!$B$64-'Model Data Inputs'!$B$63)/('Model Data Inputs'!$B$61-'Model Data Inputs'!$B$60)*($C23-'Model Data Inputs'!$B$60),'Model Data Inputs'!$B$64/'Model Data Inputs'!$B$61*$C23))))</f>
        <v>3</v>
      </c>
      <c r="E23" s="122">
        <f>IF($C23&lt;='Model Data Inputs'!$B$59,'Model Data Inputs'!$B$65,IF($C23&lt;='Model Data Inputs'!$B$60,2+$C23/'Model Data Inputs'!$B$59,IF($C23&lt;='Model Data Inputs'!$B$61,'Model Data Inputs'!$B$66+('Model Data Inputs'!$B$67-'Model Data Inputs'!$B$66)/('Model Data Inputs'!$B$61-'Model Data Inputs'!$B$60)*($C23-'Model Data Inputs'!$B$60),'Model Data Inputs'!$B$67/'Model Data Inputs'!$B$61*$C23)))</f>
        <v>3</v>
      </c>
      <c r="F23" s="122">
        <f t="shared" si="0"/>
        <v>6</v>
      </c>
      <c r="G23" s="33">
        <f>(IF($C23&lt;='Model Data Inputs'!$B$59,$D23*AVERAGE('Central Office and O&amp;M Comp.'!$I23,'Central Office and O&amp;M Comp.'!$O23,'Central Office and O&amp;M Comp.'!$U23),IF($C23&lt;='Model Data Inputs'!$B$60,$D23*((($D23-'Model Data Inputs'!$B$62)/'Model Data Inputs'!$B$63*'Central Office and O&amp;M Comp.'!$O23)+((1-($D23-'Model Data Inputs'!$B$62)/'Model Data Inputs'!$B$63)*AVERAGE('Central Office and O&amp;M Comp.'!$I23,'Central Office and O&amp;M Comp.'!$O23,'Central Office and O&amp;M Comp.'!$U23))),'Central Office and O&amp;M Comp.'!$I23+($D23-1)*AVERAGE('Central Office and O&amp;M Comp.'!$O23,'Central Office and O&amp;M Comp.'!$O23,'Central Office and O&amp;M Comp.'!$U23))))</f>
        <v>351366.4127333978</v>
      </c>
      <c r="H23" s="4">
        <f>$E23*'Central Office and O&amp;M Comp.'!$AA23</f>
        <v>169426.10027602562</v>
      </c>
      <c r="I23" s="4">
        <f>C23*'Model Data Inputs'!$B$80</f>
        <v>160005.21239999999</v>
      </c>
      <c r="J23" s="4">
        <f t="shared" si="1"/>
        <v>680797.72540942335</v>
      </c>
    </row>
    <row r="24" spans="1:10" x14ac:dyDescent="0.2">
      <c r="A24" s="6" t="s">
        <v>52</v>
      </c>
      <c r="B24" s="6" t="s">
        <v>53</v>
      </c>
      <c r="C24" s="3">
        <f>SUMIFS('School Level ADM'!$S$5:$S$359,'School Level ADM'!$A$5:$A$359,$A24)</f>
        <v>1703.5450000000001</v>
      </c>
      <c r="D24" s="122">
        <f>(IF($C24&lt;='Model Data Inputs'!$B$59,'Model Data Inputs'!$B$62,IF($C24&lt;='Model Data Inputs'!$B$60,2+$C24/'Model Data Inputs'!$B$59,IF($C24&lt;='Model Data Inputs'!$B$61,'Model Data Inputs'!$B$63+('Model Data Inputs'!$B$64-'Model Data Inputs'!$B$63)/('Model Data Inputs'!$B$61-'Model Data Inputs'!$B$60)*($C24-'Model Data Inputs'!$B$60),'Model Data Inputs'!$B$64/'Model Data Inputs'!$B$61*$C24))))</f>
        <v>5.1256719999999998</v>
      </c>
      <c r="E24" s="122">
        <f>IF($C24&lt;='Model Data Inputs'!$B$59,'Model Data Inputs'!$B$65,IF($C24&lt;='Model Data Inputs'!$B$60,2+$C24/'Model Data Inputs'!$B$59,IF($C24&lt;='Model Data Inputs'!$B$61,'Model Data Inputs'!$B$66+('Model Data Inputs'!$B$67-'Model Data Inputs'!$B$66)/('Model Data Inputs'!$B$61-'Model Data Inputs'!$B$60)*($C24-'Model Data Inputs'!$B$60),'Model Data Inputs'!$B$67/'Model Data Inputs'!$B$61*$C24)))</f>
        <v>5.6885080000000006</v>
      </c>
      <c r="F24" s="122">
        <f t="shared" si="0"/>
        <v>10.81418</v>
      </c>
      <c r="G24" s="33">
        <f>(IF($C24&lt;='Model Data Inputs'!$B$59,$D24*AVERAGE('Central Office and O&amp;M Comp.'!$I24,'Central Office and O&amp;M Comp.'!$O24,'Central Office and O&amp;M Comp.'!$U24),IF($C24&lt;='Model Data Inputs'!$B$60,$D24*((($D24-'Model Data Inputs'!$B$62)/'Model Data Inputs'!$B$63*'Central Office and O&amp;M Comp.'!$O24)+((1-($D24-'Model Data Inputs'!$B$62)/'Model Data Inputs'!$B$63)*AVERAGE('Central Office and O&amp;M Comp.'!$I24,'Central Office and O&amp;M Comp.'!$O24,'Central Office and O&amp;M Comp.'!$U24))),'Central Office and O&amp;M Comp.'!$I24+($D24-1)*AVERAGE('Central Office and O&amp;M Comp.'!$O24,'Central Office and O&amp;M Comp.'!$O24,'Central Office and O&amp;M Comp.'!$U24))))</f>
        <v>572154.5715584805</v>
      </c>
      <c r="H24" s="4">
        <f>$E24*'Central Office and O&amp;M Comp.'!$AA24</f>
        <v>314051.0386194489</v>
      </c>
      <c r="I24" s="4">
        <f>C24*'Model Data Inputs'!$B$80</f>
        <v>623258.97370000009</v>
      </c>
      <c r="J24" s="4">
        <f t="shared" si="1"/>
        <v>1509464.5838779295</v>
      </c>
    </row>
    <row r="25" spans="1:10" x14ac:dyDescent="0.2">
      <c r="A25" s="6" t="s">
        <v>54</v>
      </c>
      <c r="B25" s="6" t="s">
        <v>55</v>
      </c>
      <c r="C25" s="3">
        <f>SUMIFS('School Level ADM'!$S$5:$S$359,'School Level ADM'!$A$5:$A$359,$A25)</f>
        <v>662.90499999999997</v>
      </c>
      <c r="D25" s="122">
        <f>(IF($C25&lt;='Model Data Inputs'!$B$59,'Model Data Inputs'!$B$62,IF($C25&lt;='Model Data Inputs'!$B$60,2+$C25/'Model Data Inputs'!$B$59,IF($C25&lt;='Model Data Inputs'!$B$61,'Model Data Inputs'!$B$63+('Model Data Inputs'!$B$64-'Model Data Inputs'!$B$63)/('Model Data Inputs'!$B$61-'Model Data Inputs'!$B$60)*($C25-'Model Data Inputs'!$B$60),'Model Data Inputs'!$B$64/'Model Data Inputs'!$B$61*$C25))))</f>
        <v>3.3258099999999997</v>
      </c>
      <c r="E25" s="122">
        <f>IF($C25&lt;='Model Data Inputs'!$B$59,'Model Data Inputs'!$B$65,IF($C25&lt;='Model Data Inputs'!$B$60,2+$C25/'Model Data Inputs'!$B$59,IF($C25&lt;='Model Data Inputs'!$B$61,'Model Data Inputs'!$B$66+('Model Data Inputs'!$B$67-'Model Data Inputs'!$B$66)/('Model Data Inputs'!$B$61-'Model Data Inputs'!$B$60)*($C25-'Model Data Inputs'!$B$60),'Model Data Inputs'!$B$67/'Model Data Inputs'!$B$61*$C25)))</f>
        <v>3.3258099999999997</v>
      </c>
      <c r="F25" s="122">
        <f t="shared" si="0"/>
        <v>6.6516199999999994</v>
      </c>
      <c r="G25" s="33">
        <f>(IF($C25&lt;='Model Data Inputs'!$B$59,$D25*AVERAGE('Central Office and O&amp;M Comp.'!$I25,'Central Office and O&amp;M Comp.'!$O25,'Central Office and O&amp;M Comp.'!$U25),IF($C25&lt;='Model Data Inputs'!$B$60,$D25*((($D25-'Model Data Inputs'!$B$62)/'Model Data Inputs'!$B$63*'Central Office and O&amp;M Comp.'!$O25)+((1-($D25-'Model Data Inputs'!$B$62)/'Model Data Inputs'!$B$63)*AVERAGE('Central Office and O&amp;M Comp.'!$I25,'Central Office and O&amp;M Comp.'!$O25,'Central Office and O&amp;M Comp.'!$U25))),'Central Office and O&amp;M Comp.'!$I25+($D25-1)*AVERAGE('Central Office and O&amp;M Comp.'!$O25,'Central Office and O&amp;M Comp.'!$O25,'Central Office and O&amp;M Comp.'!$U25))))</f>
        <v>385167.37852679566</v>
      </c>
      <c r="H25" s="4">
        <f>$E25*'Central Office and O&amp;M Comp.'!$AA25</f>
        <v>186421.31086555924</v>
      </c>
      <c r="I25" s="4">
        <f>C25*'Model Data Inputs'!$B$80</f>
        <v>242530.42329999999</v>
      </c>
      <c r="J25" s="4">
        <f t="shared" si="1"/>
        <v>814119.11269235495</v>
      </c>
    </row>
    <row r="26" spans="1:10" x14ac:dyDescent="0.2">
      <c r="A26" s="6" t="s">
        <v>56</v>
      </c>
      <c r="B26" s="6" t="s">
        <v>57</v>
      </c>
      <c r="C26" s="3">
        <f>SUMIFS('School Level ADM'!$S$5:$S$359,'School Level ADM'!$A$5:$A$359,$A26)</f>
        <v>1269.665</v>
      </c>
      <c r="D26" s="122">
        <f>(IF($C26&lt;='Model Data Inputs'!$B$59,'Model Data Inputs'!$B$62,IF($C26&lt;='Model Data Inputs'!$B$60,2+$C26/'Model Data Inputs'!$B$59,IF($C26&lt;='Model Data Inputs'!$B$61,'Model Data Inputs'!$B$63+('Model Data Inputs'!$B$64-'Model Data Inputs'!$B$63)/('Model Data Inputs'!$B$61-'Model Data Inputs'!$B$60)*($C26-'Model Data Inputs'!$B$60),'Model Data Inputs'!$B$64/'Model Data Inputs'!$B$61*$C26))))</f>
        <v>4.4314640000000001</v>
      </c>
      <c r="E26" s="122">
        <f>IF($C26&lt;='Model Data Inputs'!$B$59,'Model Data Inputs'!$B$65,IF($C26&lt;='Model Data Inputs'!$B$60,2+$C26/'Model Data Inputs'!$B$59,IF($C26&lt;='Model Data Inputs'!$B$61,'Model Data Inputs'!$B$66+('Model Data Inputs'!$B$67-'Model Data Inputs'!$B$66)/('Model Data Inputs'!$B$61-'Model Data Inputs'!$B$60)*($C26-'Model Data Inputs'!$B$60),'Model Data Inputs'!$B$67/'Model Data Inputs'!$B$61*$C26)))</f>
        <v>4.6471960000000001</v>
      </c>
      <c r="F26" s="122">
        <f t="shared" si="0"/>
        <v>9.0786599999999993</v>
      </c>
      <c r="G26" s="33">
        <f>(IF($C26&lt;='Model Data Inputs'!$B$59,$D26*AVERAGE('Central Office and O&amp;M Comp.'!$I26,'Central Office and O&amp;M Comp.'!$O26,'Central Office and O&amp;M Comp.'!$U26),IF($C26&lt;='Model Data Inputs'!$B$60,$D26*((($D26-'Model Data Inputs'!$B$62)/'Model Data Inputs'!$B$63*'Central Office and O&amp;M Comp.'!$O26)+((1-($D26-'Model Data Inputs'!$B$62)/'Model Data Inputs'!$B$63)*AVERAGE('Central Office and O&amp;M Comp.'!$I26,'Central Office and O&amp;M Comp.'!$O26,'Central Office and O&amp;M Comp.'!$U26))),'Central Office and O&amp;M Comp.'!$I26+($D26-1)*AVERAGE('Central Office and O&amp;M Comp.'!$O26,'Central Office and O&amp;M Comp.'!$O26,'Central Office and O&amp;M Comp.'!$U26))))</f>
        <v>512508.36633064918</v>
      </c>
      <c r="H26" s="4">
        <f>$E26*'Central Office and O&amp;M Comp.'!$AA26</f>
        <v>262452.09849944839</v>
      </c>
      <c r="I26" s="4">
        <f>C26*'Model Data Inputs'!$B$80</f>
        <v>464519.63689999998</v>
      </c>
      <c r="J26" s="4">
        <f t="shared" si="1"/>
        <v>1239480.1017300976</v>
      </c>
    </row>
    <row r="27" spans="1:10" x14ac:dyDescent="0.2">
      <c r="A27" s="6" t="s">
        <v>58</v>
      </c>
      <c r="B27" s="6" t="s">
        <v>59</v>
      </c>
      <c r="C27" s="3">
        <f>SUMIFS('School Level ADM'!$S$5:$S$359,'School Level ADM'!$A$5:$A$359,$A27)</f>
        <v>13859.934999999998</v>
      </c>
      <c r="D27" s="122">
        <f>(IF($C27&lt;='Model Data Inputs'!$B$59,'Model Data Inputs'!$B$62,IF($C27&lt;='Model Data Inputs'!$B$60,2+$C27/'Model Data Inputs'!$B$59,IF($C27&lt;='Model Data Inputs'!$B$61,'Model Data Inputs'!$B$63+('Model Data Inputs'!$B$64-'Model Data Inputs'!$B$63)/('Model Data Inputs'!$B$61-'Model Data Inputs'!$B$60)*($C27-'Model Data Inputs'!$B$60),'Model Data Inputs'!$B$64/'Model Data Inputs'!$B$61*$C27))))</f>
        <v>31.679851428571425</v>
      </c>
      <c r="E27" s="122">
        <f>IF($C27&lt;='Model Data Inputs'!$B$59,'Model Data Inputs'!$B$65,IF($C27&lt;='Model Data Inputs'!$B$60,2+$C27/'Model Data Inputs'!$B$59,IF($C27&lt;='Model Data Inputs'!$B$61,'Model Data Inputs'!$B$66+('Model Data Inputs'!$B$67-'Model Data Inputs'!$B$66)/('Model Data Inputs'!$B$61-'Model Data Inputs'!$B$60)*($C27-'Model Data Inputs'!$B$60),'Model Data Inputs'!$B$67/'Model Data Inputs'!$B$61*$C27)))</f>
        <v>39.599814285714281</v>
      </c>
      <c r="F27" s="122">
        <f t="shared" si="0"/>
        <v>71.279665714285699</v>
      </c>
      <c r="G27" s="33">
        <f>(IF($C27&lt;='Model Data Inputs'!$B$59,$D27*AVERAGE('Central Office and O&amp;M Comp.'!$I27,'Central Office and O&amp;M Comp.'!$O27,'Central Office and O&amp;M Comp.'!$U27),IF($C27&lt;='Model Data Inputs'!$B$60,$D27*((($D27-'Model Data Inputs'!$B$62)/'Model Data Inputs'!$B$63*'Central Office and O&amp;M Comp.'!$O27)+((1-($D27-'Model Data Inputs'!$B$62)/'Model Data Inputs'!$B$63)*AVERAGE('Central Office and O&amp;M Comp.'!$I27,'Central Office and O&amp;M Comp.'!$O27,'Central Office and O&amp;M Comp.'!$U27))),'Central Office and O&amp;M Comp.'!$I27+($D27-1)*AVERAGE('Central Office and O&amp;M Comp.'!$O27,'Central Office and O&amp;M Comp.'!$O27,'Central Office and O&amp;M Comp.'!$U27))))</f>
        <v>3671270.1347196647</v>
      </c>
      <c r="H27" s="4">
        <f>$E27*'Central Office and O&amp;M Comp.'!$AA27</f>
        <v>2336790.5579566136</v>
      </c>
      <c r="I27" s="4">
        <f>C27*'Model Data Inputs'!$B$80</f>
        <v>5070795.819099999</v>
      </c>
      <c r="J27" s="4">
        <f t="shared" si="1"/>
        <v>11078856.511776276</v>
      </c>
    </row>
    <row r="28" spans="1:10" x14ac:dyDescent="0.2">
      <c r="A28" s="6" t="s">
        <v>60</v>
      </c>
      <c r="B28" s="6" t="s">
        <v>61</v>
      </c>
      <c r="C28" s="3">
        <f>SUMIFS('School Level ADM'!$S$5:$S$359,'School Level ADM'!$A$5:$A$359,$A28)</f>
        <v>1035.2350000000001</v>
      </c>
      <c r="D28" s="122">
        <f>(IF($C28&lt;='Model Data Inputs'!$B$59,'Model Data Inputs'!$B$62,IF($C28&lt;='Model Data Inputs'!$B$60,2+$C28/'Model Data Inputs'!$B$59,IF($C28&lt;='Model Data Inputs'!$B$61,'Model Data Inputs'!$B$63+('Model Data Inputs'!$B$64-'Model Data Inputs'!$B$63)/('Model Data Inputs'!$B$61-'Model Data Inputs'!$B$60)*($C28-'Model Data Inputs'!$B$60),'Model Data Inputs'!$B$64/'Model Data Inputs'!$B$61*$C28))))</f>
        <v>4.0563760000000002</v>
      </c>
      <c r="E28" s="122">
        <f>IF($C28&lt;='Model Data Inputs'!$B$59,'Model Data Inputs'!$B$65,IF($C28&lt;='Model Data Inputs'!$B$60,2+$C28/'Model Data Inputs'!$B$59,IF($C28&lt;='Model Data Inputs'!$B$61,'Model Data Inputs'!$B$66+('Model Data Inputs'!$B$67-'Model Data Inputs'!$B$66)/('Model Data Inputs'!$B$61-'Model Data Inputs'!$B$60)*($C28-'Model Data Inputs'!$B$60),'Model Data Inputs'!$B$67/'Model Data Inputs'!$B$61*$C28)))</f>
        <v>4.0845640000000003</v>
      </c>
      <c r="F28" s="122">
        <f t="shared" si="0"/>
        <v>8.1409400000000005</v>
      </c>
      <c r="G28" s="33">
        <f>(IF($C28&lt;='Model Data Inputs'!$B$59,$D28*AVERAGE('Central Office and O&amp;M Comp.'!$I28,'Central Office and O&amp;M Comp.'!$O28,'Central Office and O&amp;M Comp.'!$U28),IF($C28&lt;='Model Data Inputs'!$B$60,$D28*((($D28-'Model Data Inputs'!$B$62)/'Model Data Inputs'!$B$63*'Central Office and O&amp;M Comp.'!$O28)+((1-($D28-'Model Data Inputs'!$B$62)/'Model Data Inputs'!$B$63)*AVERAGE('Central Office and O&amp;M Comp.'!$I28,'Central Office and O&amp;M Comp.'!$O28,'Central Office and O&amp;M Comp.'!$U28))),'Central Office and O&amp;M Comp.'!$I28+($D28-1)*AVERAGE('Central Office and O&amp;M Comp.'!$O28,'Central Office and O&amp;M Comp.'!$O28,'Central Office and O&amp;M Comp.'!$U28))))</f>
        <v>497382.90003623767</v>
      </c>
      <c r="H28" s="4">
        <f>$E28*'Central Office and O&amp;M Comp.'!$AA28</f>
        <v>241030.69069222367</v>
      </c>
      <c r="I28" s="4">
        <f>C28*'Model Data Inputs'!$B$80</f>
        <v>378751.07710000005</v>
      </c>
      <c r="J28" s="4">
        <f t="shared" si="1"/>
        <v>1117164.6678284614</v>
      </c>
    </row>
    <row r="29" spans="1:10" x14ac:dyDescent="0.2">
      <c r="A29" s="6" t="s">
        <v>62</v>
      </c>
      <c r="B29" s="6" t="s">
        <v>63</v>
      </c>
      <c r="C29" s="3">
        <f>SUMIFS('School Level ADM'!$S$5:$S$359,'School Level ADM'!$A$5:$A$359,$A29)</f>
        <v>603.80499999999995</v>
      </c>
      <c r="D29" s="122">
        <f>(IF($C29&lt;='Model Data Inputs'!$B$59,'Model Data Inputs'!$B$62,IF($C29&lt;='Model Data Inputs'!$B$60,2+$C29/'Model Data Inputs'!$B$59,IF($C29&lt;='Model Data Inputs'!$B$61,'Model Data Inputs'!$B$63+('Model Data Inputs'!$B$64-'Model Data Inputs'!$B$63)/('Model Data Inputs'!$B$61-'Model Data Inputs'!$B$60)*($C29-'Model Data Inputs'!$B$60),'Model Data Inputs'!$B$64/'Model Data Inputs'!$B$61*$C29))))</f>
        <v>3.2076099999999999</v>
      </c>
      <c r="E29" s="122">
        <f>IF($C29&lt;='Model Data Inputs'!$B$59,'Model Data Inputs'!$B$65,IF($C29&lt;='Model Data Inputs'!$B$60,2+$C29/'Model Data Inputs'!$B$59,IF($C29&lt;='Model Data Inputs'!$B$61,'Model Data Inputs'!$B$66+('Model Data Inputs'!$B$67-'Model Data Inputs'!$B$66)/('Model Data Inputs'!$B$61-'Model Data Inputs'!$B$60)*($C29-'Model Data Inputs'!$B$60),'Model Data Inputs'!$B$67/'Model Data Inputs'!$B$61*$C29)))</f>
        <v>3.2076099999999999</v>
      </c>
      <c r="F29" s="122">
        <f t="shared" si="0"/>
        <v>6.4152199999999997</v>
      </c>
      <c r="G29" s="33">
        <f>(IF($C29&lt;='Model Data Inputs'!$B$59,$D29*AVERAGE('Central Office and O&amp;M Comp.'!$I29,'Central Office and O&amp;M Comp.'!$O29,'Central Office and O&amp;M Comp.'!$U29),IF($C29&lt;='Model Data Inputs'!$B$60,$D29*((($D29-'Model Data Inputs'!$B$62)/'Model Data Inputs'!$B$63*'Central Office and O&amp;M Comp.'!$O29)+((1-($D29-'Model Data Inputs'!$B$62)/'Model Data Inputs'!$B$63)*AVERAGE('Central Office and O&amp;M Comp.'!$I29,'Central Office and O&amp;M Comp.'!$O29,'Central Office and O&amp;M Comp.'!$U29))),'Central Office and O&amp;M Comp.'!$I29+($D29-1)*AVERAGE('Central Office and O&amp;M Comp.'!$O29,'Central Office and O&amp;M Comp.'!$O29,'Central Office and O&amp;M Comp.'!$U29))))</f>
        <v>399114.99051902746</v>
      </c>
      <c r="H29" s="4">
        <f>$E29*'Central Office and O&amp;M Comp.'!$AA29</f>
        <v>190636.60661167136</v>
      </c>
      <c r="I29" s="4">
        <f>C29*'Model Data Inputs'!$B$80</f>
        <v>220908.09729999999</v>
      </c>
      <c r="J29" s="4">
        <f t="shared" si="1"/>
        <v>810659.69443069887</v>
      </c>
    </row>
    <row r="30" spans="1:10" x14ac:dyDescent="0.2">
      <c r="A30" s="6" t="s">
        <v>64</v>
      </c>
      <c r="B30" s="6" t="s">
        <v>65</v>
      </c>
      <c r="C30" s="3">
        <f>SUMIFS('School Level ADM'!$S$5:$S$359,'School Level ADM'!$A$5:$A$359,$A30)</f>
        <v>2839.7550000000006</v>
      </c>
      <c r="D30" s="122">
        <f>(IF($C30&lt;='Model Data Inputs'!$B$59,'Model Data Inputs'!$B$62,IF($C30&lt;='Model Data Inputs'!$B$60,2+$C30/'Model Data Inputs'!$B$59,IF($C30&lt;='Model Data Inputs'!$B$61,'Model Data Inputs'!$B$63+('Model Data Inputs'!$B$64-'Model Data Inputs'!$B$63)/('Model Data Inputs'!$B$61-'Model Data Inputs'!$B$60)*($C30-'Model Data Inputs'!$B$60),'Model Data Inputs'!$B$64/'Model Data Inputs'!$B$61*$C30))))</f>
        <v>6.9436080000000011</v>
      </c>
      <c r="E30" s="122">
        <f>IF($C30&lt;='Model Data Inputs'!$B$59,'Model Data Inputs'!$B$65,IF($C30&lt;='Model Data Inputs'!$B$60,2+$C30/'Model Data Inputs'!$B$59,IF($C30&lt;='Model Data Inputs'!$B$61,'Model Data Inputs'!$B$66+('Model Data Inputs'!$B$67-'Model Data Inputs'!$B$66)/('Model Data Inputs'!$B$61-'Model Data Inputs'!$B$60)*($C30-'Model Data Inputs'!$B$60),'Model Data Inputs'!$B$67/'Model Data Inputs'!$B$61*$C30)))</f>
        <v>8.4154119999999999</v>
      </c>
      <c r="F30" s="122">
        <f t="shared" si="0"/>
        <v>15.359020000000001</v>
      </c>
      <c r="G30" s="33">
        <f>(IF($C30&lt;='Model Data Inputs'!$B$59,$D30*AVERAGE('Central Office and O&amp;M Comp.'!$I30,'Central Office and O&amp;M Comp.'!$O30,'Central Office and O&amp;M Comp.'!$U30),IF($C30&lt;='Model Data Inputs'!$B$60,$D30*((($D30-'Model Data Inputs'!$B$62)/'Model Data Inputs'!$B$63*'Central Office and O&amp;M Comp.'!$O30)+((1-($D30-'Model Data Inputs'!$B$62)/'Model Data Inputs'!$B$63)*AVERAGE('Central Office and O&amp;M Comp.'!$I30,'Central Office and O&amp;M Comp.'!$O30,'Central Office and O&amp;M Comp.'!$U30))),'Central Office and O&amp;M Comp.'!$I30+($D30-1)*AVERAGE('Central Office and O&amp;M Comp.'!$O30,'Central Office and O&amp;M Comp.'!$O30,'Central Office and O&amp;M Comp.'!$U30))))</f>
        <v>836247.80579347652</v>
      </c>
      <c r="H30" s="4">
        <f>$E30*'Central Office and O&amp;M Comp.'!$AA30</f>
        <v>500149.82710464759</v>
      </c>
      <c r="I30" s="4">
        <f>C30*'Model Data Inputs'!$B$80</f>
        <v>1038952.7643000003</v>
      </c>
      <c r="J30" s="4">
        <f t="shared" si="1"/>
        <v>2375350.3971981243</v>
      </c>
    </row>
    <row r="31" spans="1:10" x14ac:dyDescent="0.2">
      <c r="A31" s="6" t="s">
        <v>66</v>
      </c>
      <c r="B31" s="6" t="s">
        <v>67</v>
      </c>
      <c r="C31" s="3">
        <f>SUMIFS('School Level ADM'!$S$5:$S$359,'School Level ADM'!$A$5:$A$359,$A31)</f>
        <v>12798.258666666667</v>
      </c>
      <c r="D31" s="122">
        <f>(IF($C31&lt;='Model Data Inputs'!$B$59,'Model Data Inputs'!$B$62,IF($C31&lt;='Model Data Inputs'!$B$60,2+$C31/'Model Data Inputs'!$B$59,IF($C31&lt;='Model Data Inputs'!$B$61,'Model Data Inputs'!$B$63+('Model Data Inputs'!$B$64-'Model Data Inputs'!$B$63)/('Model Data Inputs'!$B$61-'Model Data Inputs'!$B$60)*($C31-'Model Data Inputs'!$B$60),'Model Data Inputs'!$B$64/'Model Data Inputs'!$B$61*$C31))))</f>
        <v>29.253162666666668</v>
      </c>
      <c r="E31" s="122">
        <f>IF($C31&lt;='Model Data Inputs'!$B$59,'Model Data Inputs'!$B$65,IF($C31&lt;='Model Data Inputs'!$B$60,2+$C31/'Model Data Inputs'!$B$59,IF($C31&lt;='Model Data Inputs'!$B$61,'Model Data Inputs'!$B$66+('Model Data Inputs'!$B$67-'Model Data Inputs'!$B$66)/('Model Data Inputs'!$B$61-'Model Data Inputs'!$B$60)*($C31-'Model Data Inputs'!$B$60),'Model Data Inputs'!$B$67/'Model Data Inputs'!$B$61*$C31)))</f>
        <v>36.566453333333335</v>
      </c>
      <c r="F31" s="122">
        <f t="shared" si="0"/>
        <v>65.819615999999996</v>
      </c>
      <c r="G31" s="33">
        <f>(IF($C31&lt;='Model Data Inputs'!$B$59,$D31*AVERAGE('Central Office and O&amp;M Comp.'!$I31,'Central Office and O&amp;M Comp.'!$O31,'Central Office and O&amp;M Comp.'!$U31),IF($C31&lt;='Model Data Inputs'!$B$60,$D31*((($D31-'Model Data Inputs'!$B$62)/'Model Data Inputs'!$B$63*'Central Office and O&amp;M Comp.'!$O31)+((1-($D31-'Model Data Inputs'!$B$62)/'Model Data Inputs'!$B$63)*AVERAGE('Central Office and O&amp;M Comp.'!$I31,'Central Office and O&amp;M Comp.'!$O31,'Central Office and O&amp;M Comp.'!$U31))),'Central Office and O&amp;M Comp.'!$I31+($D31-1)*AVERAGE('Central Office and O&amp;M Comp.'!$O31,'Central Office and O&amp;M Comp.'!$O31,'Central Office and O&amp;M Comp.'!$U31))))</f>
        <v>3479509.4972618055</v>
      </c>
      <c r="H31" s="4">
        <f>$E31*'Central Office and O&amp;M Comp.'!$AA31</f>
        <v>2204135.3268014435</v>
      </c>
      <c r="I31" s="4">
        <f>C31*'Model Data Inputs'!$B$80</f>
        <v>4682370.9157866668</v>
      </c>
      <c r="J31" s="4">
        <f t="shared" si="1"/>
        <v>10366015.739849916</v>
      </c>
    </row>
    <row r="32" spans="1:10" x14ac:dyDescent="0.2">
      <c r="A32" s="6" t="s">
        <v>68</v>
      </c>
      <c r="B32" s="6" t="s">
        <v>69</v>
      </c>
      <c r="C32" s="3">
        <f>SUMIFS('School Level ADM'!$S$5:$S$359,'School Level ADM'!$A$5:$A$359,$A32)</f>
        <v>818.34400000000005</v>
      </c>
      <c r="D32" s="122">
        <f>(IF($C32&lt;='Model Data Inputs'!$B$59,'Model Data Inputs'!$B$62,IF($C32&lt;='Model Data Inputs'!$B$60,2+$C32/'Model Data Inputs'!$B$59,IF($C32&lt;='Model Data Inputs'!$B$61,'Model Data Inputs'!$B$63+('Model Data Inputs'!$B$64-'Model Data Inputs'!$B$63)/('Model Data Inputs'!$B$61-'Model Data Inputs'!$B$60)*($C32-'Model Data Inputs'!$B$60),'Model Data Inputs'!$B$64/'Model Data Inputs'!$B$61*$C32))))</f>
        <v>3.6366880000000004</v>
      </c>
      <c r="E32" s="122">
        <f>IF($C32&lt;='Model Data Inputs'!$B$59,'Model Data Inputs'!$B$65,IF($C32&lt;='Model Data Inputs'!$B$60,2+$C32/'Model Data Inputs'!$B$59,IF($C32&lt;='Model Data Inputs'!$B$61,'Model Data Inputs'!$B$66+('Model Data Inputs'!$B$67-'Model Data Inputs'!$B$66)/('Model Data Inputs'!$B$61-'Model Data Inputs'!$B$60)*($C32-'Model Data Inputs'!$B$60),'Model Data Inputs'!$B$67/'Model Data Inputs'!$B$61*$C32)))</f>
        <v>3.6366880000000004</v>
      </c>
      <c r="F32" s="122">
        <f t="shared" si="0"/>
        <v>7.2733760000000007</v>
      </c>
      <c r="G32" s="33">
        <f>(IF($C32&lt;='Model Data Inputs'!$B$59,$D32*AVERAGE('Central Office and O&amp;M Comp.'!$I32,'Central Office and O&amp;M Comp.'!$O32,'Central Office and O&amp;M Comp.'!$U32),IF($C32&lt;='Model Data Inputs'!$B$60,$D32*((($D32-'Model Data Inputs'!$B$62)/'Model Data Inputs'!$B$63*'Central Office and O&amp;M Comp.'!$O32)+((1-($D32-'Model Data Inputs'!$B$62)/'Model Data Inputs'!$B$63)*AVERAGE('Central Office and O&amp;M Comp.'!$I32,'Central Office and O&amp;M Comp.'!$O32,'Central Office and O&amp;M Comp.'!$U32))),'Central Office and O&amp;M Comp.'!$I32+($D32-1)*AVERAGE('Central Office and O&amp;M Comp.'!$O32,'Central Office and O&amp;M Comp.'!$O32,'Central Office and O&amp;M Comp.'!$U32))))</f>
        <v>397143.11633623834</v>
      </c>
      <c r="H32" s="4">
        <f>$E32*'Central Office and O&amp;M Comp.'!$AA32</f>
        <v>194628.74881388122</v>
      </c>
      <c r="I32" s="4">
        <f>C32*'Model Data Inputs'!$B$80</f>
        <v>299399.33584000001</v>
      </c>
      <c r="J32" s="4">
        <f t="shared" si="1"/>
        <v>891171.20099011948</v>
      </c>
    </row>
    <row r="33" spans="1:10" x14ac:dyDescent="0.2">
      <c r="A33" s="6" t="s">
        <v>70</v>
      </c>
      <c r="B33" s="6" t="s">
        <v>71</v>
      </c>
      <c r="C33" s="3">
        <f>SUMIFS('School Level ADM'!$S$5:$S$359,'School Level ADM'!$A$5:$A$359,$A33)</f>
        <v>1809.4450000000002</v>
      </c>
      <c r="D33" s="122">
        <f>(IF($C33&lt;='Model Data Inputs'!$B$59,'Model Data Inputs'!$B$62,IF($C33&lt;='Model Data Inputs'!$B$60,2+$C33/'Model Data Inputs'!$B$59,IF($C33&lt;='Model Data Inputs'!$B$61,'Model Data Inputs'!$B$63+('Model Data Inputs'!$B$64-'Model Data Inputs'!$B$63)/('Model Data Inputs'!$B$61-'Model Data Inputs'!$B$60)*($C33-'Model Data Inputs'!$B$60),'Model Data Inputs'!$B$64/'Model Data Inputs'!$B$61*$C33))))</f>
        <v>5.2951120000000005</v>
      </c>
      <c r="E33" s="122">
        <f>IF($C33&lt;='Model Data Inputs'!$B$59,'Model Data Inputs'!$B$65,IF($C33&lt;='Model Data Inputs'!$B$60,2+$C33/'Model Data Inputs'!$B$59,IF($C33&lt;='Model Data Inputs'!$B$61,'Model Data Inputs'!$B$66+('Model Data Inputs'!$B$67-'Model Data Inputs'!$B$66)/('Model Data Inputs'!$B$61-'Model Data Inputs'!$B$60)*($C33-'Model Data Inputs'!$B$60),'Model Data Inputs'!$B$67/'Model Data Inputs'!$B$61*$C33)))</f>
        <v>5.9426680000000003</v>
      </c>
      <c r="F33" s="122">
        <f t="shared" si="0"/>
        <v>11.237780000000001</v>
      </c>
      <c r="G33" s="33">
        <f>(IF($C33&lt;='Model Data Inputs'!$B$59,$D33*AVERAGE('Central Office and O&amp;M Comp.'!$I33,'Central Office and O&amp;M Comp.'!$O33,'Central Office and O&amp;M Comp.'!$U33),IF($C33&lt;='Model Data Inputs'!$B$60,$D33*((($D33-'Model Data Inputs'!$B$62)/'Model Data Inputs'!$B$63*'Central Office and O&amp;M Comp.'!$O33)+((1-($D33-'Model Data Inputs'!$B$62)/'Model Data Inputs'!$B$63)*AVERAGE('Central Office and O&amp;M Comp.'!$I33,'Central Office and O&amp;M Comp.'!$O33,'Central Office and O&amp;M Comp.'!$U33))),'Central Office and O&amp;M Comp.'!$I33+($D33-1)*AVERAGE('Central Office and O&amp;M Comp.'!$O33,'Central Office and O&amp;M Comp.'!$O33,'Central Office and O&amp;M Comp.'!$U33))))</f>
        <v>634201.97479593195</v>
      </c>
      <c r="H33" s="4">
        <f>$E33*'Central Office and O&amp;M Comp.'!$AA33</f>
        <v>348167.11463673454</v>
      </c>
      <c r="I33" s="4">
        <f>C33*'Model Data Inputs'!$B$80</f>
        <v>662003.54770000011</v>
      </c>
      <c r="J33" s="4">
        <f t="shared" si="1"/>
        <v>1644372.6371326665</v>
      </c>
    </row>
    <row r="34" spans="1:10" x14ac:dyDescent="0.2">
      <c r="A34" s="6" t="s">
        <v>72</v>
      </c>
      <c r="B34" s="6" t="s">
        <v>73</v>
      </c>
      <c r="C34" s="3">
        <f>SUMIFS('School Level ADM'!$S$5:$S$359,'School Level ADM'!$A$5:$A$359,$A34)</f>
        <v>2038.2146666666667</v>
      </c>
      <c r="D34" s="122">
        <f>(IF($C34&lt;='Model Data Inputs'!$B$59,'Model Data Inputs'!$B$62,IF($C34&lt;='Model Data Inputs'!$B$60,2+$C34/'Model Data Inputs'!$B$59,IF($C34&lt;='Model Data Inputs'!$B$61,'Model Data Inputs'!$B$63+('Model Data Inputs'!$B$64-'Model Data Inputs'!$B$63)/('Model Data Inputs'!$B$61-'Model Data Inputs'!$B$60)*($C34-'Model Data Inputs'!$B$60),'Model Data Inputs'!$B$64/'Model Data Inputs'!$B$61*$C34))))</f>
        <v>5.6611434666666671</v>
      </c>
      <c r="E34" s="122">
        <f>IF($C34&lt;='Model Data Inputs'!$B$59,'Model Data Inputs'!$B$65,IF($C34&lt;='Model Data Inputs'!$B$60,2+$C34/'Model Data Inputs'!$B$59,IF($C34&lt;='Model Data Inputs'!$B$61,'Model Data Inputs'!$B$66+('Model Data Inputs'!$B$67-'Model Data Inputs'!$B$66)/('Model Data Inputs'!$B$61-'Model Data Inputs'!$B$60)*($C34-'Model Data Inputs'!$B$60),'Model Data Inputs'!$B$67/'Model Data Inputs'!$B$61*$C34)))</f>
        <v>6.4917151999999998</v>
      </c>
      <c r="F34" s="122">
        <f t="shared" si="0"/>
        <v>12.152858666666667</v>
      </c>
      <c r="G34" s="33">
        <f>(IF($C34&lt;='Model Data Inputs'!$B$59,$D34*AVERAGE('Central Office and O&amp;M Comp.'!$I34,'Central Office and O&amp;M Comp.'!$O34,'Central Office and O&amp;M Comp.'!$U34),IF($C34&lt;='Model Data Inputs'!$B$60,$D34*((($D34-'Model Data Inputs'!$B$62)/'Model Data Inputs'!$B$63*'Central Office and O&amp;M Comp.'!$O34)+((1-($D34-'Model Data Inputs'!$B$62)/'Model Data Inputs'!$B$63)*AVERAGE('Central Office and O&amp;M Comp.'!$I34,'Central Office and O&amp;M Comp.'!$O34,'Central Office and O&amp;M Comp.'!$U34))),'Central Office and O&amp;M Comp.'!$I34+($D34-1)*AVERAGE('Central Office and O&amp;M Comp.'!$O34,'Central Office and O&amp;M Comp.'!$O34,'Central Office and O&amp;M Comp.'!$U34))))</f>
        <v>675899.12430033833</v>
      </c>
      <c r="H34" s="4">
        <f>$E34*'Central Office and O&amp;M Comp.'!$AA34</f>
        <v>380334.51477138413</v>
      </c>
      <c r="I34" s="4">
        <f>C34*'Model Data Inputs'!$B$80</f>
        <v>745701.21794666676</v>
      </c>
      <c r="J34" s="4">
        <f t="shared" si="1"/>
        <v>1801934.8570183893</v>
      </c>
    </row>
    <row r="35" spans="1:10" x14ac:dyDescent="0.2">
      <c r="A35" s="6" t="s">
        <v>74</v>
      </c>
      <c r="B35" s="6" t="s">
        <v>75</v>
      </c>
      <c r="C35" s="3">
        <f>SUMIFS('School Level ADM'!$S$5:$S$359,'School Level ADM'!$A$5:$A$359,$A35)</f>
        <v>119.18499999999999</v>
      </c>
      <c r="D35" s="122">
        <f>(IF($C35&lt;='Model Data Inputs'!$B$59,'Model Data Inputs'!$B$62,IF($C35&lt;='Model Data Inputs'!$B$60,2+$C35/'Model Data Inputs'!$B$59,IF($C35&lt;='Model Data Inputs'!$B$61,'Model Data Inputs'!$B$63+('Model Data Inputs'!$B$64-'Model Data Inputs'!$B$63)/('Model Data Inputs'!$B$61-'Model Data Inputs'!$B$60)*($C35-'Model Data Inputs'!$B$60),'Model Data Inputs'!$B$64/'Model Data Inputs'!$B$61*$C35))))</f>
        <v>3</v>
      </c>
      <c r="E35" s="122">
        <f>IF($C35&lt;='Model Data Inputs'!$B$59,'Model Data Inputs'!$B$65,IF($C35&lt;='Model Data Inputs'!$B$60,2+$C35/'Model Data Inputs'!$B$59,IF($C35&lt;='Model Data Inputs'!$B$61,'Model Data Inputs'!$B$66+('Model Data Inputs'!$B$67-'Model Data Inputs'!$B$66)/('Model Data Inputs'!$B$61-'Model Data Inputs'!$B$60)*($C35-'Model Data Inputs'!$B$60),'Model Data Inputs'!$B$67/'Model Data Inputs'!$B$61*$C35)))</f>
        <v>3</v>
      </c>
      <c r="F35" s="122">
        <f t="shared" si="0"/>
        <v>6</v>
      </c>
      <c r="G35" s="33">
        <f>(IF($C35&lt;='Model Data Inputs'!$B$59,$D35*AVERAGE('Central Office and O&amp;M Comp.'!$I35,'Central Office and O&amp;M Comp.'!$O35,'Central Office and O&amp;M Comp.'!$U35),IF($C35&lt;='Model Data Inputs'!$B$60,$D35*((($D35-'Model Data Inputs'!$B$62)/'Model Data Inputs'!$B$63*'Central Office and O&amp;M Comp.'!$O35)+((1-($D35-'Model Data Inputs'!$B$62)/'Model Data Inputs'!$B$63)*AVERAGE('Central Office and O&amp;M Comp.'!$I35,'Central Office and O&amp;M Comp.'!$O35,'Central Office and O&amp;M Comp.'!$U35))),'Central Office and O&amp;M Comp.'!$I35+($D35-1)*AVERAGE('Central Office and O&amp;M Comp.'!$O35,'Central Office and O&amp;M Comp.'!$O35,'Central Office and O&amp;M Comp.'!$U35))))</f>
        <v>367381.02032559982</v>
      </c>
      <c r="H35" s="4">
        <f>$E35*'Central Office and O&amp;M Comp.'!$AA35</f>
        <v>175763.03167368655</v>
      </c>
      <c r="I35" s="4">
        <f>C35*'Model Data Inputs'!$B$80</f>
        <v>43605.024099999995</v>
      </c>
      <c r="J35" s="4">
        <f t="shared" si="1"/>
        <v>586749.07609928644</v>
      </c>
    </row>
    <row r="36" spans="1:10" x14ac:dyDescent="0.2">
      <c r="A36" s="6" t="s">
        <v>76</v>
      </c>
      <c r="B36" s="6" t="s">
        <v>77</v>
      </c>
      <c r="C36" s="3">
        <f>SUMIFS('School Level ADM'!$S$5:$S$359,'School Level ADM'!$A$5:$A$359,$A36)</f>
        <v>1007.6549999999999</v>
      </c>
      <c r="D36" s="122">
        <f>(IF($C36&lt;='Model Data Inputs'!$B$59,'Model Data Inputs'!$B$62,IF($C36&lt;='Model Data Inputs'!$B$60,2+$C36/'Model Data Inputs'!$B$59,IF($C36&lt;='Model Data Inputs'!$B$61,'Model Data Inputs'!$B$63+('Model Data Inputs'!$B$64-'Model Data Inputs'!$B$63)/('Model Data Inputs'!$B$61-'Model Data Inputs'!$B$60)*($C36-'Model Data Inputs'!$B$60),'Model Data Inputs'!$B$64/'Model Data Inputs'!$B$61*$C36))))</f>
        <v>4.0122479999999996</v>
      </c>
      <c r="E36" s="122">
        <f>IF($C36&lt;='Model Data Inputs'!$B$59,'Model Data Inputs'!$B$65,IF($C36&lt;='Model Data Inputs'!$B$60,2+$C36/'Model Data Inputs'!$B$59,IF($C36&lt;='Model Data Inputs'!$B$61,'Model Data Inputs'!$B$66+('Model Data Inputs'!$B$67-'Model Data Inputs'!$B$66)/('Model Data Inputs'!$B$61-'Model Data Inputs'!$B$60)*($C36-'Model Data Inputs'!$B$60),'Model Data Inputs'!$B$67/'Model Data Inputs'!$B$61*$C36)))</f>
        <v>4.0183719999999994</v>
      </c>
      <c r="F36" s="122">
        <f t="shared" si="0"/>
        <v>8.030619999999999</v>
      </c>
      <c r="G36" s="33">
        <f>(IF($C36&lt;='Model Data Inputs'!$B$59,$D36*AVERAGE('Central Office and O&amp;M Comp.'!$I36,'Central Office and O&amp;M Comp.'!$O36,'Central Office and O&amp;M Comp.'!$U36),IF($C36&lt;='Model Data Inputs'!$B$60,$D36*((($D36-'Model Data Inputs'!$B$62)/'Model Data Inputs'!$B$63*'Central Office and O&amp;M Comp.'!$O36)+((1-($D36-'Model Data Inputs'!$B$62)/'Model Data Inputs'!$B$63)*AVERAGE('Central Office and O&amp;M Comp.'!$I36,'Central Office and O&amp;M Comp.'!$O36,'Central Office and O&amp;M Comp.'!$U36))),'Central Office and O&amp;M Comp.'!$I36+($D36-1)*AVERAGE('Central Office and O&amp;M Comp.'!$O36,'Central Office and O&amp;M Comp.'!$O36,'Central Office and O&amp;M Comp.'!$U36))))</f>
        <v>496563.18913981982</v>
      </c>
      <c r="H36" s="4">
        <f>$E36*'Central Office and O&amp;M Comp.'!$AA36</f>
        <v>238822.3013967892</v>
      </c>
      <c r="I36" s="4">
        <f>C36*'Model Data Inputs'!$B$80</f>
        <v>368660.65829999995</v>
      </c>
      <c r="J36" s="4">
        <f t="shared" si="1"/>
        <v>1104046.148836609</v>
      </c>
    </row>
    <row r="37" spans="1:10" x14ac:dyDescent="0.2">
      <c r="A37" s="6" t="s">
        <v>78</v>
      </c>
      <c r="B37" s="6" t="s">
        <v>79</v>
      </c>
      <c r="C37" s="3">
        <f>SUMIFS('School Level ADM'!$S$5:$S$359,'School Level ADM'!$A$5:$A$359,$A37)</f>
        <v>240.86133333333333</v>
      </c>
      <c r="D37" s="122">
        <f>(IF($C37&lt;='Model Data Inputs'!$B$59,'Model Data Inputs'!$B$62,IF($C37&lt;='Model Data Inputs'!$B$60,2+$C37/'Model Data Inputs'!$B$59,IF($C37&lt;='Model Data Inputs'!$B$61,'Model Data Inputs'!$B$63+('Model Data Inputs'!$B$64-'Model Data Inputs'!$B$63)/('Model Data Inputs'!$B$61-'Model Data Inputs'!$B$60)*($C37-'Model Data Inputs'!$B$60),'Model Data Inputs'!$B$64/'Model Data Inputs'!$B$61*$C37))))</f>
        <v>3</v>
      </c>
      <c r="E37" s="122">
        <f>IF($C37&lt;='Model Data Inputs'!$B$59,'Model Data Inputs'!$B$65,IF($C37&lt;='Model Data Inputs'!$B$60,2+$C37/'Model Data Inputs'!$B$59,IF($C37&lt;='Model Data Inputs'!$B$61,'Model Data Inputs'!$B$66+('Model Data Inputs'!$B$67-'Model Data Inputs'!$B$66)/('Model Data Inputs'!$B$61-'Model Data Inputs'!$B$60)*($C37-'Model Data Inputs'!$B$60),'Model Data Inputs'!$B$67/'Model Data Inputs'!$B$61*$C37)))</f>
        <v>3</v>
      </c>
      <c r="F37" s="122">
        <f t="shared" si="0"/>
        <v>6</v>
      </c>
      <c r="G37" s="33">
        <f>(IF($C37&lt;='Model Data Inputs'!$B$59,$D37*AVERAGE('Central Office and O&amp;M Comp.'!$I37,'Central Office and O&amp;M Comp.'!$O37,'Central Office and O&amp;M Comp.'!$U37),IF($C37&lt;='Model Data Inputs'!$B$60,$D37*((($D37-'Model Data Inputs'!$B$62)/'Model Data Inputs'!$B$63*'Central Office and O&amp;M Comp.'!$O37)+((1-($D37-'Model Data Inputs'!$B$62)/'Model Data Inputs'!$B$63)*AVERAGE('Central Office and O&amp;M Comp.'!$I37,'Central Office and O&amp;M Comp.'!$O37,'Central Office and O&amp;M Comp.'!$U37))),'Central Office and O&amp;M Comp.'!$I37+($D37-1)*AVERAGE('Central Office and O&amp;M Comp.'!$O37,'Central Office and O&amp;M Comp.'!$O37,'Central Office and O&amp;M Comp.'!$U37))))</f>
        <v>373786.86336248065</v>
      </c>
      <c r="H37" s="4">
        <f>$E37*'Central Office and O&amp;M Comp.'!$AA37</f>
        <v>178297.8042327509</v>
      </c>
      <c r="I37" s="4">
        <f>C37*'Model Data Inputs'!$B$80</f>
        <v>88121.527413333344</v>
      </c>
      <c r="J37" s="4">
        <f t="shared" si="1"/>
        <v>640206.19500856486</v>
      </c>
    </row>
    <row r="38" spans="1:10" x14ac:dyDescent="0.2">
      <c r="A38" s="6" t="s">
        <v>80</v>
      </c>
      <c r="B38" s="6" t="s">
        <v>81</v>
      </c>
      <c r="C38" s="3">
        <f>SUMIFS('School Level ADM'!$S$5:$S$359,'School Level ADM'!$A$5:$A$359,$A38)</f>
        <v>936.21333333333337</v>
      </c>
      <c r="D38" s="122">
        <f>(IF($C38&lt;='Model Data Inputs'!$B$59,'Model Data Inputs'!$B$62,IF($C38&lt;='Model Data Inputs'!$B$60,2+$C38/'Model Data Inputs'!$B$59,IF($C38&lt;='Model Data Inputs'!$B$61,'Model Data Inputs'!$B$63+('Model Data Inputs'!$B$64-'Model Data Inputs'!$B$63)/('Model Data Inputs'!$B$61-'Model Data Inputs'!$B$60)*($C38-'Model Data Inputs'!$B$60),'Model Data Inputs'!$B$64/'Model Data Inputs'!$B$61*$C38))))</f>
        <v>3.8724266666666667</v>
      </c>
      <c r="E38" s="122">
        <f>IF($C38&lt;='Model Data Inputs'!$B$59,'Model Data Inputs'!$B$65,IF($C38&lt;='Model Data Inputs'!$B$60,2+$C38/'Model Data Inputs'!$B$59,IF($C38&lt;='Model Data Inputs'!$B$61,'Model Data Inputs'!$B$66+('Model Data Inputs'!$B$67-'Model Data Inputs'!$B$66)/('Model Data Inputs'!$B$61-'Model Data Inputs'!$B$60)*($C38-'Model Data Inputs'!$B$60),'Model Data Inputs'!$B$67/'Model Data Inputs'!$B$61*$C38)))</f>
        <v>3.8724266666666667</v>
      </c>
      <c r="F38" s="122">
        <f t="shared" si="0"/>
        <v>7.7448533333333334</v>
      </c>
      <c r="G38" s="33">
        <f>(IF($C38&lt;='Model Data Inputs'!$B$59,$D38*AVERAGE('Central Office and O&amp;M Comp.'!$I38,'Central Office and O&amp;M Comp.'!$O38,'Central Office and O&amp;M Comp.'!$U38),IF($C38&lt;='Model Data Inputs'!$B$60,$D38*((($D38-'Model Data Inputs'!$B$62)/'Model Data Inputs'!$B$63*'Central Office and O&amp;M Comp.'!$O38)+((1-($D38-'Model Data Inputs'!$B$62)/'Model Data Inputs'!$B$63)*AVERAGE('Central Office and O&amp;M Comp.'!$I38,'Central Office and O&amp;M Comp.'!$O38,'Central Office and O&amp;M Comp.'!$U38))),'Central Office and O&amp;M Comp.'!$I38+($D38-1)*AVERAGE('Central Office and O&amp;M Comp.'!$O38,'Central Office and O&amp;M Comp.'!$O38,'Central Office and O&amp;M Comp.'!$U38))))</f>
        <v>467430.25616662356</v>
      </c>
      <c r="H38" s="4">
        <f>$E38*'Central Office and O&amp;M Comp.'!$AA38</f>
        <v>225240.53014717792</v>
      </c>
      <c r="I38" s="4">
        <f>C38*'Model Data Inputs'!$B$80</f>
        <v>342523.01013333333</v>
      </c>
      <c r="J38" s="4">
        <f t="shared" si="1"/>
        <v>1035193.7964471348</v>
      </c>
    </row>
    <row r="39" spans="1:10" x14ac:dyDescent="0.2">
      <c r="A39" s="6" t="s">
        <v>82</v>
      </c>
      <c r="B39" s="6" t="s">
        <v>83</v>
      </c>
      <c r="C39" s="3">
        <f>SUMIFS('School Level ADM'!$S$5:$S$359,'School Level ADM'!$A$5:$A$359,$A39)</f>
        <v>3495.7650000000003</v>
      </c>
      <c r="D39" s="122">
        <f>(IF($C39&lt;='Model Data Inputs'!$B$59,'Model Data Inputs'!$B$62,IF($C39&lt;='Model Data Inputs'!$B$60,2+$C39/'Model Data Inputs'!$B$59,IF($C39&lt;='Model Data Inputs'!$B$61,'Model Data Inputs'!$B$63+('Model Data Inputs'!$B$64-'Model Data Inputs'!$B$63)/('Model Data Inputs'!$B$61-'Model Data Inputs'!$B$60)*($C39-'Model Data Inputs'!$B$60),'Model Data Inputs'!$B$64/'Model Data Inputs'!$B$61*$C39))))</f>
        <v>7.9932240000000006</v>
      </c>
      <c r="E39" s="122">
        <f>IF($C39&lt;='Model Data Inputs'!$B$59,'Model Data Inputs'!$B$65,IF($C39&lt;='Model Data Inputs'!$B$60,2+$C39/'Model Data Inputs'!$B$59,IF($C39&lt;='Model Data Inputs'!$B$61,'Model Data Inputs'!$B$66+('Model Data Inputs'!$B$67-'Model Data Inputs'!$B$66)/('Model Data Inputs'!$B$61-'Model Data Inputs'!$B$60)*($C39-'Model Data Inputs'!$B$60),'Model Data Inputs'!$B$67/'Model Data Inputs'!$B$61*$C39)))</f>
        <v>9.9898360000000004</v>
      </c>
      <c r="F39" s="122">
        <f t="shared" si="0"/>
        <v>17.983060000000002</v>
      </c>
      <c r="G39" s="33">
        <f>(IF($C39&lt;='Model Data Inputs'!$B$59,$D39*AVERAGE('Central Office and O&amp;M Comp.'!$I39,'Central Office and O&amp;M Comp.'!$O39,'Central Office and O&amp;M Comp.'!$U39),IF($C39&lt;='Model Data Inputs'!$B$60,$D39*((($D39-'Model Data Inputs'!$B$62)/'Model Data Inputs'!$B$63*'Central Office and O&amp;M Comp.'!$O39)+((1-($D39-'Model Data Inputs'!$B$62)/'Model Data Inputs'!$B$63)*AVERAGE('Central Office and O&amp;M Comp.'!$I39,'Central Office and O&amp;M Comp.'!$O39,'Central Office and O&amp;M Comp.'!$U39))),'Central Office and O&amp;M Comp.'!$I39+($D39-1)*AVERAGE('Central Office and O&amp;M Comp.'!$O39,'Central Office and O&amp;M Comp.'!$O39,'Central Office and O&amp;M Comp.'!$U39))))</f>
        <v>933405.16123417043</v>
      </c>
      <c r="H39" s="4">
        <f>$E39*'Central Office and O&amp;M Comp.'!$AA39</f>
        <v>581060.9600672524</v>
      </c>
      <c r="I39" s="4">
        <f>C39*'Model Data Inputs'!$B$80</f>
        <v>1278960.5829000003</v>
      </c>
      <c r="J39" s="4">
        <f t="shared" si="1"/>
        <v>2793426.7042014231</v>
      </c>
    </row>
    <row r="40" spans="1:10" x14ac:dyDescent="0.2">
      <c r="A40" s="6" t="s">
        <v>84</v>
      </c>
      <c r="B40" s="6" t="s">
        <v>85</v>
      </c>
      <c r="C40" s="3">
        <f>SUMIFS('School Level ADM'!$S$5:$S$359,'School Level ADM'!$A$5:$A$359,$A40)</f>
        <v>95.544999999999987</v>
      </c>
      <c r="D40" s="122">
        <f>(IF($C40&lt;='Model Data Inputs'!$B$59,'Model Data Inputs'!$B$62,IF($C40&lt;='Model Data Inputs'!$B$60,2+$C40/'Model Data Inputs'!$B$59,IF($C40&lt;='Model Data Inputs'!$B$61,'Model Data Inputs'!$B$63+('Model Data Inputs'!$B$64-'Model Data Inputs'!$B$63)/('Model Data Inputs'!$B$61-'Model Data Inputs'!$B$60)*($C40-'Model Data Inputs'!$B$60),'Model Data Inputs'!$B$64/'Model Data Inputs'!$B$61*$C40))))</f>
        <v>3</v>
      </c>
      <c r="E40" s="122">
        <f>IF($C40&lt;='Model Data Inputs'!$B$59,'Model Data Inputs'!$B$65,IF($C40&lt;='Model Data Inputs'!$B$60,2+$C40/'Model Data Inputs'!$B$59,IF($C40&lt;='Model Data Inputs'!$B$61,'Model Data Inputs'!$B$66+('Model Data Inputs'!$B$67-'Model Data Inputs'!$B$66)/('Model Data Inputs'!$B$61-'Model Data Inputs'!$B$60)*($C40-'Model Data Inputs'!$B$60),'Model Data Inputs'!$B$67/'Model Data Inputs'!$B$61*$C40)))</f>
        <v>3</v>
      </c>
      <c r="F40" s="122">
        <f t="shared" si="0"/>
        <v>6</v>
      </c>
      <c r="G40" s="33">
        <f>(IF($C40&lt;='Model Data Inputs'!$B$59,$D40*AVERAGE('Central Office and O&amp;M Comp.'!$I40,'Central Office and O&amp;M Comp.'!$O40,'Central Office and O&amp;M Comp.'!$U40),IF($C40&lt;='Model Data Inputs'!$B$60,$D40*((($D40-'Model Data Inputs'!$B$62)/'Model Data Inputs'!$B$63*'Central Office and O&amp;M Comp.'!$O40)+((1-($D40-'Model Data Inputs'!$B$62)/'Model Data Inputs'!$B$63)*AVERAGE('Central Office and O&amp;M Comp.'!$I40,'Central Office and O&amp;M Comp.'!$O40,'Central Office and O&amp;M Comp.'!$U40))),'Central Office and O&amp;M Comp.'!$I40+($D40-1)*AVERAGE('Central Office and O&amp;M Comp.'!$O40,'Central Office and O&amp;M Comp.'!$O40,'Central Office and O&amp;M Comp.'!$U40))))</f>
        <v>364178.09880715935</v>
      </c>
      <c r="H40" s="4">
        <f>$E40*'Central Office and O&amp;M Comp.'!$AA40</f>
        <v>174495.64539415433</v>
      </c>
      <c r="I40" s="4">
        <f>C40*'Model Data Inputs'!$B$80</f>
        <v>34956.093699999998</v>
      </c>
      <c r="J40" s="4">
        <f t="shared" si="1"/>
        <v>573629.83790131367</v>
      </c>
    </row>
    <row r="41" spans="1:10" x14ac:dyDescent="0.2">
      <c r="A41" s="6" t="s">
        <v>86</v>
      </c>
      <c r="B41" s="6" t="s">
        <v>87</v>
      </c>
      <c r="C41" s="3">
        <f>SUMIFS('School Level ADM'!$S$5:$S$359,'School Level ADM'!$A$5:$A$359,$A41)</f>
        <v>1048.04</v>
      </c>
      <c r="D41" s="122">
        <f>(IF($C41&lt;='Model Data Inputs'!$B$59,'Model Data Inputs'!$B$62,IF($C41&lt;='Model Data Inputs'!$B$60,2+$C41/'Model Data Inputs'!$B$59,IF($C41&lt;='Model Data Inputs'!$B$61,'Model Data Inputs'!$B$63+('Model Data Inputs'!$B$64-'Model Data Inputs'!$B$63)/('Model Data Inputs'!$B$61-'Model Data Inputs'!$B$60)*($C41-'Model Data Inputs'!$B$60),'Model Data Inputs'!$B$64/'Model Data Inputs'!$B$61*$C41))))</f>
        <v>4.0768639999999996</v>
      </c>
      <c r="E41" s="122">
        <f>IF($C41&lt;='Model Data Inputs'!$B$59,'Model Data Inputs'!$B$65,IF($C41&lt;='Model Data Inputs'!$B$60,2+$C41/'Model Data Inputs'!$B$59,IF($C41&lt;='Model Data Inputs'!$B$61,'Model Data Inputs'!$B$66+('Model Data Inputs'!$B$67-'Model Data Inputs'!$B$66)/('Model Data Inputs'!$B$61-'Model Data Inputs'!$B$60)*($C41-'Model Data Inputs'!$B$60),'Model Data Inputs'!$B$67/'Model Data Inputs'!$B$61*$C41)))</f>
        <v>4.1152959999999998</v>
      </c>
      <c r="F41" s="122">
        <f t="shared" si="0"/>
        <v>8.1921599999999994</v>
      </c>
      <c r="G41" s="33">
        <f>(IF($C41&lt;='Model Data Inputs'!$B$59,$D41*AVERAGE('Central Office and O&amp;M Comp.'!$I41,'Central Office and O&amp;M Comp.'!$O41,'Central Office and O&amp;M Comp.'!$U41),IF($C41&lt;='Model Data Inputs'!$B$60,$D41*((($D41-'Model Data Inputs'!$B$62)/'Model Data Inputs'!$B$63*'Central Office and O&amp;M Comp.'!$O41)+((1-($D41-'Model Data Inputs'!$B$62)/'Model Data Inputs'!$B$63)*AVERAGE('Central Office and O&amp;M Comp.'!$I41,'Central Office and O&amp;M Comp.'!$O41,'Central Office and O&amp;M Comp.'!$U41))),'Central Office and O&amp;M Comp.'!$I41+($D41-1)*AVERAGE('Central Office and O&amp;M Comp.'!$O41,'Central Office and O&amp;M Comp.'!$O41,'Central Office and O&amp;M Comp.'!$U41))))</f>
        <v>581701.54164348601</v>
      </c>
      <c r="H41" s="4">
        <f>$E41*'Central Office and O&amp;M Comp.'!$AA41</f>
        <v>275876.76497562311</v>
      </c>
      <c r="I41" s="4">
        <f>C41*'Model Data Inputs'!$B$80</f>
        <v>383435.91440000001</v>
      </c>
      <c r="J41" s="4">
        <f t="shared" si="1"/>
        <v>1241014.2210191092</v>
      </c>
    </row>
    <row r="42" spans="1:10" x14ac:dyDescent="0.2">
      <c r="A42" s="6" t="s">
        <v>88</v>
      </c>
      <c r="B42" s="6" t="s">
        <v>89</v>
      </c>
      <c r="C42" s="3">
        <f>SUMIFS('School Level ADM'!$S$5:$S$359,'School Level ADM'!$A$5:$A$359,$A42)</f>
        <v>567.07299999999998</v>
      </c>
      <c r="D42" s="122">
        <f>(IF($C42&lt;='Model Data Inputs'!$B$59,'Model Data Inputs'!$B$62,IF($C42&lt;='Model Data Inputs'!$B$60,2+$C42/'Model Data Inputs'!$B$59,IF($C42&lt;='Model Data Inputs'!$B$61,'Model Data Inputs'!$B$63+('Model Data Inputs'!$B$64-'Model Data Inputs'!$B$63)/('Model Data Inputs'!$B$61-'Model Data Inputs'!$B$60)*($C42-'Model Data Inputs'!$B$60),'Model Data Inputs'!$B$64/'Model Data Inputs'!$B$61*$C42))))</f>
        <v>3.1341459999999999</v>
      </c>
      <c r="E42" s="122">
        <f>IF($C42&lt;='Model Data Inputs'!$B$59,'Model Data Inputs'!$B$65,IF($C42&lt;='Model Data Inputs'!$B$60,2+$C42/'Model Data Inputs'!$B$59,IF($C42&lt;='Model Data Inputs'!$B$61,'Model Data Inputs'!$B$66+('Model Data Inputs'!$B$67-'Model Data Inputs'!$B$66)/('Model Data Inputs'!$B$61-'Model Data Inputs'!$B$60)*($C42-'Model Data Inputs'!$B$60),'Model Data Inputs'!$B$67/'Model Data Inputs'!$B$61*$C42)))</f>
        <v>3.1341459999999999</v>
      </c>
      <c r="F42" s="122">
        <f t="shared" si="0"/>
        <v>6.2682919999999998</v>
      </c>
      <c r="G42" s="33">
        <f>(IF($C42&lt;='Model Data Inputs'!$B$59,$D42*AVERAGE('Central Office and O&amp;M Comp.'!$I42,'Central Office and O&amp;M Comp.'!$O42,'Central Office and O&amp;M Comp.'!$U42),IF($C42&lt;='Model Data Inputs'!$B$60,$D42*((($D42-'Model Data Inputs'!$B$62)/'Model Data Inputs'!$B$63*'Central Office and O&amp;M Comp.'!$O42)+((1-($D42-'Model Data Inputs'!$B$62)/'Model Data Inputs'!$B$63)*AVERAGE('Central Office and O&amp;M Comp.'!$I42,'Central Office and O&amp;M Comp.'!$O42,'Central Office and O&amp;M Comp.'!$U42))),'Central Office and O&amp;M Comp.'!$I42+($D42-1)*AVERAGE('Central Office and O&amp;M Comp.'!$O42,'Central Office and O&amp;M Comp.'!$O42,'Central Office and O&amp;M Comp.'!$U42))))</f>
        <v>450330.34134895552</v>
      </c>
      <c r="H42" s="4">
        <f>$E42*'Central Office and O&amp;M Comp.'!$AA42</f>
        <v>210103.49181232389</v>
      </c>
      <c r="I42" s="4">
        <f>C42*'Model Data Inputs'!$B$80</f>
        <v>207469.32777999999</v>
      </c>
      <c r="J42" s="4">
        <f t="shared" si="1"/>
        <v>867903.16094127949</v>
      </c>
    </row>
    <row r="43" spans="1:10" x14ac:dyDescent="0.2">
      <c r="A43" s="6" t="s">
        <v>90</v>
      </c>
      <c r="B43" s="6" t="s">
        <v>91</v>
      </c>
      <c r="C43" s="3">
        <f>SUMIFS('School Level ADM'!$S$5:$S$359,'School Level ADM'!$A$5:$A$359,$A43)</f>
        <v>5559.7213333333339</v>
      </c>
      <c r="D43" s="122">
        <f>(IF($C43&lt;='Model Data Inputs'!$B$59,'Model Data Inputs'!$B$62,IF($C43&lt;='Model Data Inputs'!$B$60,2+$C43/'Model Data Inputs'!$B$59,IF($C43&lt;='Model Data Inputs'!$B$61,'Model Data Inputs'!$B$63+('Model Data Inputs'!$B$64-'Model Data Inputs'!$B$63)/('Model Data Inputs'!$B$61-'Model Data Inputs'!$B$60)*($C43-'Model Data Inputs'!$B$60),'Model Data Inputs'!$B$64/'Model Data Inputs'!$B$61*$C43))))</f>
        <v>12.707934476190479</v>
      </c>
      <c r="E43" s="122">
        <f>IF($C43&lt;='Model Data Inputs'!$B$59,'Model Data Inputs'!$B$65,IF($C43&lt;='Model Data Inputs'!$B$60,2+$C43/'Model Data Inputs'!$B$59,IF($C43&lt;='Model Data Inputs'!$B$61,'Model Data Inputs'!$B$66+('Model Data Inputs'!$B$67-'Model Data Inputs'!$B$66)/('Model Data Inputs'!$B$61-'Model Data Inputs'!$B$60)*($C43-'Model Data Inputs'!$B$60),'Model Data Inputs'!$B$67/'Model Data Inputs'!$B$61*$C43)))</f>
        <v>15.884918095238097</v>
      </c>
      <c r="F43" s="122">
        <f t="shared" si="0"/>
        <v>28.592852571428576</v>
      </c>
      <c r="G43" s="33">
        <f>(IF($C43&lt;='Model Data Inputs'!$B$59,$D43*AVERAGE('Central Office and O&amp;M Comp.'!$I43,'Central Office and O&amp;M Comp.'!$O43,'Central Office and O&amp;M Comp.'!$U43),IF($C43&lt;='Model Data Inputs'!$B$60,$D43*((($D43-'Model Data Inputs'!$B$62)/'Model Data Inputs'!$B$63*'Central Office and O&amp;M Comp.'!$O43)+((1-($D43-'Model Data Inputs'!$B$62)/'Model Data Inputs'!$B$63)*AVERAGE('Central Office and O&amp;M Comp.'!$I43,'Central Office and O&amp;M Comp.'!$O43,'Central Office and O&amp;M Comp.'!$U43))),'Central Office and O&amp;M Comp.'!$I43+($D43-1)*AVERAGE('Central Office and O&amp;M Comp.'!$O43,'Central Office and O&amp;M Comp.'!$O43,'Central Office and O&amp;M Comp.'!$U43))))</f>
        <v>1708758.660898831</v>
      </c>
      <c r="H43" s="4">
        <f>$E43*'Central Office and O&amp;M Comp.'!$AA43</f>
        <v>1051454.4175748006</v>
      </c>
      <c r="I43" s="4">
        <f>C43*'Model Data Inputs'!$B$80</f>
        <v>2034079.6470133336</v>
      </c>
      <c r="J43" s="4">
        <f t="shared" si="1"/>
        <v>4794292.7254869649</v>
      </c>
    </row>
    <row r="44" spans="1:10" x14ac:dyDescent="0.2">
      <c r="A44" s="6" t="s">
        <v>92</v>
      </c>
      <c r="B44" s="6" t="s">
        <v>93</v>
      </c>
      <c r="C44" s="3">
        <f>SUMIFS('School Level ADM'!$S$5:$S$359,'School Level ADM'!$A$5:$A$359,$A44)</f>
        <v>2622.5863333333332</v>
      </c>
      <c r="D44" s="122">
        <f>(IF($C44&lt;='Model Data Inputs'!$B$59,'Model Data Inputs'!$B$62,IF($C44&lt;='Model Data Inputs'!$B$60,2+$C44/'Model Data Inputs'!$B$59,IF($C44&lt;='Model Data Inputs'!$B$61,'Model Data Inputs'!$B$63+('Model Data Inputs'!$B$64-'Model Data Inputs'!$B$63)/('Model Data Inputs'!$B$61-'Model Data Inputs'!$B$60)*($C44-'Model Data Inputs'!$B$60),'Model Data Inputs'!$B$64/'Model Data Inputs'!$B$61*$C44))))</f>
        <v>6.5961381333333335</v>
      </c>
      <c r="E44" s="122">
        <f>IF($C44&lt;='Model Data Inputs'!$B$59,'Model Data Inputs'!$B$65,IF($C44&lt;='Model Data Inputs'!$B$60,2+$C44/'Model Data Inputs'!$B$59,IF($C44&lt;='Model Data Inputs'!$B$61,'Model Data Inputs'!$B$66+('Model Data Inputs'!$B$67-'Model Data Inputs'!$B$66)/('Model Data Inputs'!$B$61-'Model Data Inputs'!$B$60)*($C44-'Model Data Inputs'!$B$60),'Model Data Inputs'!$B$67/'Model Data Inputs'!$B$61*$C44)))</f>
        <v>7.8942071999999994</v>
      </c>
      <c r="F44" s="122">
        <f t="shared" si="0"/>
        <v>14.490345333333334</v>
      </c>
      <c r="G44" s="33">
        <f>(IF($C44&lt;='Model Data Inputs'!$B$59,$D44*AVERAGE('Central Office and O&amp;M Comp.'!$I44,'Central Office and O&amp;M Comp.'!$O44,'Central Office and O&amp;M Comp.'!$U44),IF($C44&lt;='Model Data Inputs'!$B$60,$D44*((($D44-'Model Data Inputs'!$B$62)/'Model Data Inputs'!$B$63*'Central Office and O&amp;M Comp.'!$O44)+((1-($D44-'Model Data Inputs'!$B$62)/'Model Data Inputs'!$B$63)*AVERAGE('Central Office and O&amp;M Comp.'!$I44,'Central Office and O&amp;M Comp.'!$O44,'Central Office and O&amp;M Comp.'!$U44))),'Central Office and O&amp;M Comp.'!$I44+($D44-1)*AVERAGE('Central Office and O&amp;M Comp.'!$O44,'Central Office and O&amp;M Comp.'!$O44,'Central Office and O&amp;M Comp.'!$U44))))</f>
        <v>904562.32374372287</v>
      </c>
      <c r="H44" s="4">
        <f>$E44*'Central Office and O&amp;M Comp.'!$AA44</f>
        <v>522533.32273579994</v>
      </c>
      <c r="I44" s="4">
        <f>C44*'Model Data Inputs'!$B$80</f>
        <v>959499.43591333332</v>
      </c>
      <c r="J44" s="4">
        <f t="shared" si="1"/>
        <v>2386595.082392856</v>
      </c>
    </row>
    <row r="45" spans="1:10" x14ac:dyDescent="0.2">
      <c r="A45" s="6" t="s">
        <v>94</v>
      </c>
      <c r="B45" s="6" t="s">
        <v>95</v>
      </c>
      <c r="C45" s="3">
        <f>SUMIFS('School Level ADM'!$S$5:$S$359,'School Level ADM'!$A$5:$A$359,$A45)</f>
        <v>2819.07</v>
      </c>
      <c r="D45" s="122">
        <f>(IF($C45&lt;='Model Data Inputs'!$B$59,'Model Data Inputs'!$B$62,IF($C45&lt;='Model Data Inputs'!$B$60,2+$C45/'Model Data Inputs'!$B$59,IF($C45&lt;='Model Data Inputs'!$B$61,'Model Data Inputs'!$B$63+('Model Data Inputs'!$B$64-'Model Data Inputs'!$B$63)/('Model Data Inputs'!$B$61-'Model Data Inputs'!$B$60)*($C45-'Model Data Inputs'!$B$60),'Model Data Inputs'!$B$64/'Model Data Inputs'!$B$61*$C45))))</f>
        <v>6.9105120000000007</v>
      </c>
      <c r="E45" s="122">
        <f>IF($C45&lt;='Model Data Inputs'!$B$59,'Model Data Inputs'!$B$65,IF($C45&lt;='Model Data Inputs'!$B$60,2+$C45/'Model Data Inputs'!$B$59,IF($C45&lt;='Model Data Inputs'!$B$61,'Model Data Inputs'!$B$66+('Model Data Inputs'!$B$67-'Model Data Inputs'!$B$66)/('Model Data Inputs'!$B$61-'Model Data Inputs'!$B$60)*($C45-'Model Data Inputs'!$B$60),'Model Data Inputs'!$B$67/'Model Data Inputs'!$B$61*$C45)))</f>
        <v>8.3657679999999992</v>
      </c>
      <c r="F45" s="122">
        <f t="shared" si="0"/>
        <v>15.27628</v>
      </c>
      <c r="G45" s="33">
        <f>(IF($C45&lt;='Model Data Inputs'!$B$59,$D45*AVERAGE('Central Office and O&amp;M Comp.'!$I45,'Central Office and O&amp;M Comp.'!$O45,'Central Office and O&amp;M Comp.'!$U45),IF($C45&lt;='Model Data Inputs'!$B$60,$D45*((($D45-'Model Data Inputs'!$B$62)/'Model Data Inputs'!$B$63*'Central Office and O&amp;M Comp.'!$O45)+((1-($D45-'Model Data Inputs'!$B$62)/'Model Data Inputs'!$B$63)*AVERAGE('Central Office and O&amp;M Comp.'!$I45,'Central Office and O&amp;M Comp.'!$O45,'Central Office and O&amp;M Comp.'!$U45))),'Central Office and O&amp;M Comp.'!$I45+($D45-1)*AVERAGE('Central Office and O&amp;M Comp.'!$O45,'Central Office and O&amp;M Comp.'!$O45,'Central Office and O&amp;M Comp.'!$U45))))</f>
        <v>910454.4241442862</v>
      </c>
      <c r="H45" s="4">
        <f>$E45*'Central Office and O&amp;M Comp.'!$AA45</f>
        <v>536075.77350368525</v>
      </c>
      <c r="I45" s="4">
        <f>C45*'Model Data Inputs'!$B$80</f>
        <v>1031384.9502000001</v>
      </c>
      <c r="J45" s="4">
        <f t="shared" si="1"/>
        <v>2477915.1478479719</v>
      </c>
    </row>
    <row r="46" spans="1:10" x14ac:dyDescent="0.2">
      <c r="A46" s="6" t="s">
        <v>96</v>
      </c>
      <c r="B46" s="6" t="s">
        <v>97</v>
      </c>
      <c r="C46" s="3">
        <f>SUMIFS('School Level ADM'!$S$5:$S$359,'School Level ADM'!$A$5:$A$359,$A46)</f>
        <v>2715.8859999999995</v>
      </c>
      <c r="D46" s="122">
        <f>(IF($C46&lt;='Model Data Inputs'!$B$59,'Model Data Inputs'!$B$62,IF($C46&lt;='Model Data Inputs'!$B$60,2+$C46/'Model Data Inputs'!$B$59,IF($C46&lt;='Model Data Inputs'!$B$61,'Model Data Inputs'!$B$63+('Model Data Inputs'!$B$64-'Model Data Inputs'!$B$63)/('Model Data Inputs'!$B$61-'Model Data Inputs'!$B$60)*($C46-'Model Data Inputs'!$B$60),'Model Data Inputs'!$B$64/'Model Data Inputs'!$B$61*$C46))))</f>
        <v>6.7454175999999997</v>
      </c>
      <c r="E46" s="122">
        <f>IF($C46&lt;='Model Data Inputs'!$B$59,'Model Data Inputs'!$B$65,IF($C46&lt;='Model Data Inputs'!$B$60,2+$C46/'Model Data Inputs'!$B$59,IF($C46&lt;='Model Data Inputs'!$B$61,'Model Data Inputs'!$B$66+('Model Data Inputs'!$B$67-'Model Data Inputs'!$B$66)/('Model Data Inputs'!$B$61-'Model Data Inputs'!$B$60)*($C46-'Model Data Inputs'!$B$60),'Model Data Inputs'!$B$67/'Model Data Inputs'!$B$61*$C46)))</f>
        <v>8.1181263999999977</v>
      </c>
      <c r="F46" s="122">
        <f t="shared" si="0"/>
        <v>14.863543999999997</v>
      </c>
      <c r="G46" s="33">
        <f>(IF($C46&lt;='Model Data Inputs'!$B$59,$D46*AVERAGE('Central Office and O&amp;M Comp.'!$I46,'Central Office and O&amp;M Comp.'!$O46,'Central Office and O&amp;M Comp.'!$U46),IF($C46&lt;='Model Data Inputs'!$B$60,$D46*((($D46-'Model Data Inputs'!$B$62)/'Model Data Inputs'!$B$63*'Central Office and O&amp;M Comp.'!$O46)+((1-($D46-'Model Data Inputs'!$B$62)/'Model Data Inputs'!$B$63)*AVERAGE('Central Office and O&amp;M Comp.'!$I46,'Central Office and O&amp;M Comp.'!$O46,'Central Office and O&amp;M Comp.'!$U46))),'Central Office and O&amp;M Comp.'!$I46+($D46-1)*AVERAGE('Central Office and O&amp;M Comp.'!$O46,'Central Office and O&amp;M Comp.'!$O46,'Central Office and O&amp;M Comp.'!$U46))))</f>
        <v>792483.51969965617</v>
      </c>
      <c r="H46" s="4">
        <f>$E46*'Central Office and O&amp;M Comp.'!$AA46</f>
        <v>472192.56851977413</v>
      </c>
      <c r="I46" s="4">
        <f>C46*'Model Data Inputs'!$B$80</f>
        <v>993634.05195999984</v>
      </c>
      <c r="J46" s="4">
        <f t="shared" si="1"/>
        <v>2258310.1401794301</v>
      </c>
    </row>
    <row r="47" spans="1:10" x14ac:dyDescent="0.2">
      <c r="A47" s="6" t="s">
        <v>98</v>
      </c>
      <c r="B47" s="6" t="s">
        <v>99</v>
      </c>
      <c r="C47" s="3">
        <f>SUMIFS('School Level ADM'!$S$5:$S$359,'School Level ADM'!$A$5:$A$359,$A47)</f>
        <v>835.97699999999998</v>
      </c>
      <c r="D47" s="122">
        <f>(IF($C47&lt;='Model Data Inputs'!$B$59,'Model Data Inputs'!$B$62,IF($C47&lt;='Model Data Inputs'!$B$60,2+$C47/'Model Data Inputs'!$B$59,IF($C47&lt;='Model Data Inputs'!$B$61,'Model Data Inputs'!$B$63+('Model Data Inputs'!$B$64-'Model Data Inputs'!$B$63)/('Model Data Inputs'!$B$61-'Model Data Inputs'!$B$60)*($C47-'Model Data Inputs'!$B$60),'Model Data Inputs'!$B$64/'Model Data Inputs'!$B$61*$C47))))</f>
        <v>3.6719539999999999</v>
      </c>
      <c r="E47" s="122">
        <f>IF($C47&lt;='Model Data Inputs'!$B$59,'Model Data Inputs'!$B$65,IF($C47&lt;='Model Data Inputs'!$B$60,2+$C47/'Model Data Inputs'!$B$59,IF($C47&lt;='Model Data Inputs'!$B$61,'Model Data Inputs'!$B$66+('Model Data Inputs'!$B$67-'Model Data Inputs'!$B$66)/('Model Data Inputs'!$B$61-'Model Data Inputs'!$B$60)*($C47-'Model Data Inputs'!$B$60),'Model Data Inputs'!$B$67/'Model Data Inputs'!$B$61*$C47)))</f>
        <v>3.6719539999999999</v>
      </c>
      <c r="F47" s="122">
        <f t="shared" si="0"/>
        <v>7.3439079999999999</v>
      </c>
      <c r="G47" s="33">
        <f>(IF($C47&lt;='Model Data Inputs'!$B$59,$D47*AVERAGE('Central Office and O&amp;M Comp.'!$I47,'Central Office and O&amp;M Comp.'!$O47,'Central Office and O&amp;M Comp.'!$U47),IF($C47&lt;='Model Data Inputs'!$B$60,$D47*((($D47-'Model Data Inputs'!$B$62)/'Model Data Inputs'!$B$63*'Central Office and O&amp;M Comp.'!$O47)+((1-($D47-'Model Data Inputs'!$B$62)/'Model Data Inputs'!$B$63)*AVERAGE('Central Office and O&amp;M Comp.'!$I47,'Central Office and O&amp;M Comp.'!$O47,'Central Office and O&amp;M Comp.'!$U47))),'Central Office and O&amp;M Comp.'!$I47+($D47-1)*AVERAGE('Central Office and O&amp;M Comp.'!$O47,'Central Office and O&amp;M Comp.'!$O47,'Central Office and O&amp;M Comp.'!$U47))))</f>
        <v>443810.03671439306</v>
      </c>
      <c r="H47" s="4">
        <f>$E47*'Central Office and O&amp;M Comp.'!$AA47</f>
        <v>213579.99436254887</v>
      </c>
      <c r="I47" s="4">
        <f>C47*'Model Data Inputs'!$B$80</f>
        <v>305850.54522000003</v>
      </c>
      <c r="J47" s="4">
        <f t="shared" si="1"/>
        <v>963240.57629694184</v>
      </c>
    </row>
    <row r="48" spans="1:10" x14ac:dyDescent="0.2">
      <c r="A48" s="6" t="s">
        <v>100</v>
      </c>
      <c r="B48" s="6" t="s">
        <v>101</v>
      </c>
      <c r="C48" s="3">
        <f>SUMIFS('School Level ADM'!$S$5:$S$359,'School Level ADM'!$A$5:$A$359,$A48)</f>
        <v>727.91500000000008</v>
      </c>
      <c r="D48" s="122">
        <f>(IF($C48&lt;='Model Data Inputs'!$B$59,'Model Data Inputs'!$B$62,IF($C48&lt;='Model Data Inputs'!$B$60,2+$C48/'Model Data Inputs'!$B$59,IF($C48&lt;='Model Data Inputs'!$B$61,'Model Data Inputs'!$B$63+('Model Data Inputs'!$B$64-'Model Data Inputs'!$B$63)/('Model Data Inputs'!$B$61-'Model Data Inputs'!$B$60)*($C48-'Model Data Inputs'!$B$60),'Model Data Inputs'!$B$64/'Model Data Inputs'!$B$61*$C48))))</f>
        <v>3.4558300000000002</v>
      </c>
      <c r="E48" s="122">
        <f>IF($C48&lt;='Model Data Inputs'!$B$59,'Model Data Inputs'!$B$65,IF($C48&lt;='Model Data Inputs'!$B$60,2+$C48/'Model Data Inputs'!$B$59,IF($C48&lt;='Model Data Inputs'!$B$61,'Model Data Inputs'!$B$66+('Model Data Inputs'!$B$67-'Model Data Inputs'!$B$66)/('Model Data Inputs'!$B$61-'Model Data Inputs'!$B$60)*($C48-'Model Data Inputs'!$B$60),'Model Data Inputs'!$B$67/'Model Data Inputs'!$B$61*$C48)))</f>
        <v>3.4558300000000002</v>
      </c>
      <c r="F48" s="122">
        <f t="shared" si="0"/>
        <v>6.9116600000000004</v>
      </c>
      <c r="G48" s="33">
        <f>(IF($C48&lt;='Model Data Inputs'!$B$59,$D48*AVERAGE('Central Office and O&amp;M Comp.'!$I48,'Central Office and O&amp;M Comp.'!$O48,'Central Office and O&amp;M Comp.'!$U48),IF($C48&lt;='Model Data Inputs'!$B$60,$D48*((($D48-'Model Data Inputs'!$B$62)/'Model Data Inputs'!$B$63*'Central Office and O&amp;M Comp.'!$O48)+((1-($D48-'Model Data Inputs'!$B$62)/'Model Data Inputs'!$B$63)*AVERAGE('Central Office and O&amp;M Comp.'!$I48,'Central Office and O&amp;M Comp.'!$O48,'Central Office and O&amp;M Comp.'!$U48))),'Central Office and O&amp;M Comp.'!$I48+($D48-1)*AVERAGE('Central Office and O&amp;M Comp.'!$O48,'Central Office and O&amp;M Comp.'!$O48,'Central Office and O&amp;M Comp.'!$U48))))</f>
        <v>418275.0032737811</v>
      </c>
      <c r="H48" s="4">
        <f>$E48*'Central Office and O&amp;M Comp.'!$AA48</f>
        <v>201009.09540749347</v>
      </c>
      <c r="I48" s="4">
        <f>C48*'Model Data Inputs'!$B$80</f>
        <v>266314.98190000001</v>
      </c>
      <c r="J48" s="4">
        <f t="shared" si="1"/>
        <v>885599.08058127458</v>
      </c>
    </row>
    <row r="49" spans="1:10" x14ac:dyDescent="0.2">
      <c r="A49" s="6" t="s">
        <v>102</v>
      </c>
      <c r="B49" s="6" t="s">
        <v>103</v>
      </c>
      <c r="C49" s="3">
        <f>SUMIFS('School Level ADM'!$S$5:$S$359,'School Level ADM'!$A$5:$A$359,$A49)</f>
        <v>1308.692</v>
      </c>
      <c r="D49" s="122">
        <f>(IF($C49&lt;='Model Data Inputs'!$B$59,'Model Data Inputs'!$B$62,IF($C49&lt;='Model Data Inputs'!$B$60,2+$C49/'Model Data Inputs'!$B$59,IF($C49&lt;='Model Data Inputs'!$B$61,'Model Data Inputs'!$B$63+('Model Data Inputs'!$B$64-'Model Data Inputs'!$B$63)/('Model Data Inputs'!$B$61-'Model Data Inputs'!$B$60)*($C49-'Model Data Inputs'!$B$60),'Model Data Inputs'!$B$64/'Model Data Inputs'!$B$61*$C49))))</f>
        <v>4.4939071999999998</v>
      </c>
      <c r="E49" s="122">
        <f>IF($C49&lt;='Model Data Inputs'!$B$59,'Model Data Inputs'!$B$65,IF($C49&lt;='Model Data Inputs'!$B$60,2+$C49/'Model Data Inputs'!$B$59,IF($C49&lt;='Model Data Inputs'!$B$61,'Model Data Inputs'!$B$66+('Model Data Inputs'!$B$67-'Model Data Inputs'!$B$66)/('Model Data Inputs'!$B$61-'Model Data Inputs'!$B$60)*($C49-'Model Data Inputs'!$B$60),'Model Data Inputs'!$B$67/'Model Data Inputs'!$B$61*$C49)))</f>
        <v>4.7408608000000001</v>
      </c>
      <c r="F49" s="122">
        <f t="shared" si="0"/>
        <v>9.234767999999999</v>
      </c>
      <c r="G49" s="33">
        <f>(IF($C49&lt;='Model Data Inputs'!$B$59,$D49*AVERAGE('Central Office and O&amp;M Comp.'!$I49,'Central Office and O&amp;M Comp.'!$O49,'Central Office and O&amp;M Comp.'!$U49),IF($C49&lt;='Model Data Inputs'!$B$60,$D49*((($D49-'Model Data Inputs'!$B$62)/'Model Data Inputs'!$B$63*'Central Office and O&amp;M Comp.'!$O49)+((1-($D49-'Model Data Inputs'!$B$62)/'Model Data Inputs'!$B$63)*AVERAGE('Central Office and O&amp;M Comp.'!$I49,'Central Office and O&amp;M Comp.'!$O49,'Central Office and O&amp;M Comp.'!$U49))),'Central Office and O&amp;M Comp.'!$I49+($D49-1)*AVERAGE('Central Office and O&amp;M Comp.'!$O49,'Central Office and O&amp;M Comp.'!$O49,'Central Office and O&amp;M Comp.'!$U49))))</f>
        <v>524038.49671394657</v>
      </c>
      <c r="H49" s="4">
        <f>$E49*'Central Office and O&amp;M Comp.'!$AA49</f>
        <v>269744.686408857</v>
      </c>
      <c r="I49" s="4">
        <f>C49*'Model Data Inputs'!$B$80</f>
        <v>478798.05512000003</v>
      </c>
      <c r="J49" s="4">
        <f t="shared" si="1"/>
        <v>1272581.2382428036</v>
      </c>
    </row>
    <row r="50" spans="1:10" x14ac:dyDescent="0.2">
      <c r="A50" s="6" t="s">
        <v>104</v>
      </c>
      <c r="B50" s="6" t="s">
        <v>105</v>
      </c>
      <c r="C50" s="3">
        <f>SUMIFS('School Level ADM'!$S$5:$S$359,'School Level ADM'!$A$5:$A$359,$A50)</f>
        <v>107.16066666666666</v>
      </c>
      <c r="D50" s="122">
        <f>(IF($C50&lt;='Model Data Inputs'!$B$59,'Model Data Inputs'!$B$62,IF($C50&lt;='Model Data Inputs'!$B$60,2+$C50/'Model Data Inputs'!$B$59,IF($C50&lt;='Model Data Inputs'!$B$61,'Model Data Inputs'!$B$63+('Model Data Inputs'!$B$64-'Model Data Inputs'!$B$63)/('Model Data Inputs'!$B$61-'Model Data Inputs'!$B$60)*($C50-'Model Data Inputs'!$B$60),'Model Data Inputs'!$B$64/'Model Data Inputs'!$B$61*$C50))))</f>
        <v>3</v>
      </c>
      <c r="E50" s="122">
        <f>IF($C50&lt;='Model Data Inputs'!$B$59,'Model Data Inputs'!$B$65,IF($C50&lt;='Model Data Inputs'!$B$60,2+$C50/'Model Data Inputs'!$B$59,IF($C50&lt;='Model Data Inputs'!$B$61,'Model Data Inputs'!$B$66+('Model Data Inputs'!$B$67-'Model Data Inputs'!$B$66)/('Model Data Inputs'!$B$61-'Model Data Inputs'!$B$60)*($C50-'Model Data Inputs'!$B$60),'Model Data Inputs'!$B$67/'Model Data Inputs'!$B$61*$C50)))</f>
        <v>3</v>
      </c>
      <c r="F50" s="122">
        <f t="shared" si="0"/>
        <v>6</v>
      </c>
      <c r="G50" s="33">
        <f>(IF($C50&lt;='Model Data Inputs'!$B$59,$D50*AVERAGE('Central Office and O&amp;M Comp.'!$I50,'Central Office and O&amp;M Comp.'!$O50,'Central Office and O&amp;M Comp.'!$U50),IF($C50&lt;='Model Data Inputs'!$B$60,$D50*((($D50-'Model Data Inputs'!$B$62)/'Model Data Inputs'!$B$63*'Central Office and O&amp;M Comp.'!$O50)+((1-($D50-'Model Data Inputs'!$B$62)/'Model Data Inputs'!$B$63)*AVERAGE('Central Office and O&amp;M Comp.'!$I50,'Central Office and O&amp;M Comp.'!$O50,'Central Office and O&amp;M Comp.'!$U50))),'Central Office and O&amp;M Comp.'!$I50+($D50-1)*AVERAGE('Central Office and O&amp;M Comp.'!$O50,'Central Office and O&amp;M Comp.'!$O50,'Central Office and O&amp;M Comp.'!$U50))))</f>
        <v>354569.33425183815</v>
      </c>
      <c r="H50" s="4">
        <f>$E50*'Central Office and O&amp;M Comp.'!$AA50</f>
        <v>170693.48655555779</v>
      </c>
      <c r="I50" s="4">
        <f>C50*'Model Data Inputs'!$B$80</f>
        <v>39205.801506666663</v>
      </c>
      <c r="J50" s="4">
        <f t="shared" si="1"/>
        <v>564468.62231406267</v>
      </c>
    </row>
    <row r="51" spans="1:10" x14ac:dyDescent="0.2">
      <c r="A51" s="6" t="s">
        <v>106</v>
      </c>
      <c r="B51" s="6" t="s">
        <v>107</v>
      </c>
      <c r="C51" s="3">
        <f>SUMIFS('School Level ADM'!$S$5:$S$359,'School Level ADM'!$A$5:$A$359,$A51)</f>
        <v>765.25600000000009</v>
      </c>
      <c r="D51" s="122">
        <f>(IF($C51&lt;='Model Data Inputs'!$B$59,'Model Data Inputs'!$B$62,IF($C51&lt;='Model Data Inputs'!$B$60,2+$C51/'Model Data Inputs'!$B$59,IF($C51&lt;='Model Data Inputs'!$B$61,'Model Data Inputs'!$B$63+('Model Data Inputs'!$B$64-'Model Data Inputs'!$B$63)/('Model Data Inputs'!$B$61-'Model Data Inputs'!$B$60)*($C51-'Model Data Inputs'!$B$60),'Model Data Inputs'!$B$64/'Model Data Inputs'!$B$61*$C51))))</f>
        <v>3.5305119999999999</v>
      </c>
      <c r="E51" s="122">
        <f>IF($C51&lt;='Model Data Inputs'!$B$59,'Model Data Inputs'!$B$65,IF($C51&lt;='Model Data Inputs'!$B$60,2+$C51/'Model Data Inputs'!$B$59,IF($C51&lt;='Model Data Inputs'!$B$61,'Model Data Inputs'!$B$66+('Model Data Inputs'!$B$67-'Model Data Inputs'!$B$66)/('Model Data Inputs'!$B$61-'Model Data Inputs'!$B$60)*($C51-'Model Data Inputs'!$B$60),'Model Data Inputs'!$B$67/'Model Data Inputs'!$B$61*$C51)))</f>
        <v>3.5305119999999999</v>
      </c>
      <c r="F51" s="122">
        <f t="shared" si="0"/>
        <v>7.0610239999999997</v>
      </c>
      <c r="G51" s="33">
        <f>(IF($C51&lt;='Model Data Inputs'!$B$59,$D51*AVERAGE('Central Office and O&amp;M Comp.'!$I51,'Central Office and O&amp;M Comp.'!$O51,'Central Office and O&amp;M Comp.'!$U51),IF($C51&lt;='Model Data Inputs'!$B$60,$D51*((($D51-'Model Data Inputs'!$B$62)/'Model Data Inputs'!$B$63*'Central Office and O&amp;M Comp.'!$O51)+((1-($D51-'Model Data Inputs'!$B$62)/'Model Data Inputs'!$B$63)*AVERAGE('Central Office and O&amp;M Comp.'!$I51,'Central Office and O&amp;M Comp.'!$O51,'Central Office and O&amp;M Comp.'!$U51))),'Central Office and O&amp;M Comp.'!$I51+($D51-1)*AVERAGE('Central Office and O&amp;M Comp.'!$O51,'Central Office and O&amp;M Comp.'!$O51,'Central Office and O&amp;M Comp.'!$U51))))</f>
        <v>400826.85133541888</v>
      </c>
      <c r="H51" s="4">
        <f>$E51*'Central Office and O&amp;M Comp.'!$AA51</f>
        <v>194912.43757738016</v>
      </c>
      <c r="I51" s="4">
        <f>C51*'Model Data Inputs'!$B$80</f>
        <v>279976.56016000005</v>
      </c>
      <c r="J51" s="4">
        <f t="shared" si="1"/>
        <v>875715.84907279909</v>
      </c>
    </row>
    <row r="52" spans="1:10" x14ac:dyDescent="0.2">
      <c r="A52" s="6" t="s">
        <v>108</v>
      </c>
      <c r="B52" s="6" t="s">
        <v>109</v>
      </c>
      <c r="C52" s="3">
        <f>SUMIFS('School Level ADM'!$S$5:$S$359,'School Level ADM'!$A$5:$A$359,$A52)</f>
        <v>255.91166666666663</v>
      </c>
      <c r="D52" s="122">
        <f>(IF($C52&lt;='Model Data Inputs'!$B$59,'Model Data Inputs'!$B$62,IF($C52&lt;='Model Data Inputs'!$B$60,2+$C52/'Model Data Inputs'!$B$59,IF($C52&lt;='Model Data Inputs'!$B$61,'Model Data Inputs'!$B$63+('Model Data Inputs'!$B$64-'Model Data Inputs'!$B$63)/('Model Data Inputs'!$B$61-'Model Data Inputs'!$B$60)*($C52-'Model Data Inputs'!$B$60),'Model Data Inputs'!$B$64/'Model Data Inputs'!$B$61*$C52))))</f>
        <v>3</v>
      </c>
      <c r="E52" s="122">
        <f>IF($C52&lt;='Model Data Inputs'!$B$59,'Model Data Inputs'!$B$65,IF($C52&lt;='Model Data Inputs'!$B$60,2+$C52/'Model Data Inputs'!$B$59,IF($C52&lt;='Model Data Inputs'!$B$61,'Model Data Inputs'!$B$66+('Model Data Inputs'!$B$67-'Model Data Inputs'!$B$66)/('Model Data Inputs'!$B$61-'Model Data Inputs'!$B$60)*($C52-'Model Data Inputs'!$B$60),'Model Data Inputs'!$B$67/'Model Data Inputs'!$B$61*$C52)))</f>
        <v>3</v>
      </c>
      <c r="F52" s="122">
        <f t="shared" si="0"/>
        <v>6</v>
      </c>
      <c r="G52" s="33">
        <f>(IF($C52&lt;='Model Data Inputs'!$B$59,$D52*AVERAGE('Central Office and O&amp;M Comp.'!$I52,'Central Office and O&amp;M Comp.'!$O52,'Central Office and O&amp;M Comp.'!$U52),IF($C52&lt;='Model Data Inputs'!$B$60,$D52*((($D52-'Model Data Inputs'!$B$62)/'Model Data Inputs'!$B$63*'Central Office and O&amp;M Comp.'!$O52)+((1-($D52-'Model Data Inputs'!$B$62)/'Model Data Inputs'!$B$63)*AVERAGE('Central Office and O&amp;M Comp.'!$I52,'Central Office and O&amp;M Comp.'!$O52,'Central Office and O&amp;M Comp.'!$U52))),'Central Office and O&amp;M Comp.'!$I52+($D52-1)*AVERAGE('Central Office and O&amp;M Comp.'!$O52,'Central Office and O&amp;M Comp.'!$O52,'Central Office and O&amp;M Comp.'!$U52))))</f>
        <v>341757.6481780766</v>
      </c>
      <c r="H52" s="4">
        <f>$E52*'Central Office and O&amp;M Comp.'!$AA52</f>
        <v>165623.94143742905</v>
      </c>
      <c r="I52" s="4">
        <f>C52*'Model Data Inputs'!$B$80</f>
        <v>93627.842366666664</v>
      </c>
      <c r="J52" s="4">
        <f t="shared" si="1"/>
        <v>601009.4319821723</v>
      </c>
    </row>
    <row r="54" spans="1:10" ht="13.5" thickBot="1" x14ac:dyDescent="0.25">
      <c r="C54" s="8">
        <f>SUM(C5:C52)</f>
        <v>92369.294999999969</v>
      </c>
      <c r="D54" s="124">
        <f t="shared" ref="D54:J54" si="2">SUM(D5:D52)</f>
        <v>281.98373700952385</v>
      </c>
      <c r="E54" s="124">
        <f t="shared" si="2"/>
        <v>320.8729755619047</v>
      </c>
      <c r="F54" s="124">
        <f t="shared" si="2"/>
        <v>602.8567125714286</v>
      </c>
      <c r="G54" s="9">
        <f t="shared" si="2"/>
        <v>34171302.815346181</v>
      </c>
      <c r="H54" s="9">
        <f t="shared" si="2"/>
        <v>19168680.785296697</v>
      </c>
      <c r="I54" s="9">
        <f t="shared" si="2"/>
        <v>33794230.268699996</v>
      </c>
      <c r="J54" s="9">
        <f t="shared" si="2"/>
        <v>87134213.869342864</v>
      </c>
    </row>
    <row r="55" spans="1:10" ht="13.5" thickTop="1" x14ac:dyDescent="0.2"/>
  </sheetData>
  <sheetProtection algorithmName="SHA-512" hashValue="acQIr4F2OsekKEwGTfb4Gqdk7Jd0uaLUv8j6sQZj2tV2TyyP0OkSEVKicd+OPdQxFWZktG7ulMKQ0vy0yEbw+Q==" saltValue="Dkua+GQH71KBh5zRi39hnQ==" spinCount="100000" sheet="1" objects="1" scenarios="1"/>
  <mergeCells count="2">
    <mergeCell ref="A1:J1"/>
    <mergeCell ref="D3:H3"/>
  </mergeCells>
  <pageMargins left="0.5" right="0.5" top="0.5" bottom="0.5" header="0.25" footer="0.25"/>
  <pageSetup scale="76" fitToWidth="2" orientation="landscape" r:id="rId1"/>
  <headerFooter>
    <oddHeader>&amp;L&amp;"Calibri,Bold"&amp;12Central Office Personnel and Non-Personnel Resources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HZ369"/>
  <sheetViews>
    <sheetView showGridLines="0" topLeftCell="T1" zoomScale="85" zoomScaleNormal="85" zoomScalePageLayoutView="85" workbookViewId="0">
      <selection activeCell="AQ5" sqref="AQ5:AQ359"/>
    </sheetView>
  </sheetViews>
  <sheetFormatPr defaultColWidth="8.85546875" defaultRowHeight="12.75" x14ac:dyDescent="0.2"/>
  <cols>
    <col min="1" max="1" width="12.7109375" customWidth="1"/>
    <col min="2" max="2" width="13.7109375" customWidth="1"/>
    <col min="3" max="3" width="12.7109375" customWidth="1"/>
    <col min="4" max="4" width="30.42578125" customWidth="1"/>
    <col min="5" max="5" width="12.7109375" style="142" customWidth="1"/>
    <col min="6" max="16" width="12.7109375" customWidth="1"/>
    <col min="17" max="17" width="12.5703125" customWidth="1"/>
    <col min="18" max="18" width="13.42578125" customWidth="1"/>
    <col min="19" max="25" width="12.7109375" customWidth="1"/>
    <col min="26" max="26" width="14" customWidth="1"/>
    <col min="27" max="34" width="12.7109375" customWidth="1"/>
    <col min="35" max="35" width="13.7109375" customWidth="1"/>
    <col min="36" max="42" width="12.7109375" customWidth="1"/>
    <col min="43" max="43" width="16.140625" customWidth="1"/>
    <col min="44" max="44" width="12.7109375" customWidth="1"/>
  </cols>
  <sheetData>
    <row r="1" spans="1:44" s="125" customFormat="1" ht="15.75" x14ac:dyDescent="0.25">
      <c r="A1" s="479" t="s">
        <v>304</v>
      </c>
      <c r="B1" s="479"/>
      <c r="C1" s="479"/>
      <c r="D1" s="479"/>
      <c r="E1" s="479"/>
      <c r="M1"/>
      <c r="N1"/>
      <c r="O1"/>
      <c r="P1"/>
      <c r="Q1"/>
      <c r="R1"/>
      <c r="S1"/>
      <c r="T1"/>
      <c r="U1"/>
      <c r="V1"/>
      <c r="W1"/>
      <c r="X1"/>
      <c r="Y1"/>
      <c r="Z1"/>
      <c r="AI1"/>
      <c r="AJ1"/>
      <c r="AK1"/>
    </row>
    <row r="2" spans="1:44" ht="12.75" customHeight="1" x14ac:dyDescent="0.2">
      <c r="E2"/>
      <c r="J2" s="126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I2" s="127"/>
      <c r="AJ2" s="127"/>
      <c r="AK2" s="127"/>
    </row>
    <row r="3" spans="1:44" ht="12.75" customHeight="1" x14ac:dyDescent="0.2">
      <c r="A3" s="128"/>
      <c r="B3" s="128"/>
      <c r="C3" s="128"/>
      <c r="D3" s="128"/>
      <c r="E3" s="128"/>
      <c r="F3" s="128"/>
      <c r="G3" s="128"/>
      <c r="H3" s="128"/>
      <c r="I3" s="128"/>
      <c r="J3" s="128"/>
      <c r="K3" s="128"/>
      <c r="L3" s="128"/>
      <c r="R3" s="99"/>
      <c r="S3" s="99"/>
      <c r="T3" s="99"/>
      <c r="U3" s="480" t="s">
        <v>305</v>
      </c>
      <c r="V3" s="480"/>
      <c r="W3" s="480"/>
      <c r="X3" s="480" t="s">
        <v>306</v>
      </c>
      <c r="Y3" s="480"/>
      <c r="Z3" s="480"/>
      <c r="AA3" s="480" t="s">
        <v>307</v>
      </c>
      <c r="AB3" s="480"/>
      <c r="AC3" s="480"/>
      <c r="AD3" s="480"/>
      <c r="AE3" s="480"/>
      <c r="AF3" s="480"/>
      <c r="AG3" s="480"/>
      <c r="AH3" s="480"/>
      <c r="AI3" s="471" t="s">
        <v>308</v>
      </c>
      <c r="AJ3" s="480" t="s">
        <v>309</v>
      </c>
      <c r="AK3" s="480"/>
      <c r="AL3" s="480"/>
      <c r="AM3" s="480"/>
      <c r="AN3" s="480"/>
      <c r="AO3" s="480"/>
      <c r="AP3" s="480"/>
      <c r="AQ3" s="471" t="s">
        <v>310</v>
      </c>
      <c r="AR3" s="471" t="s">
        <v>311</v>
      </c>
    </row>
    <row r="4" spans="1:44" ht="62.25" customHeight="1" thickBot="1" x14ac:dyDescent="0.25">
      <c r="A4" s="129" t="s">
        <v>1</v>
      </c>
      <c r="B4" s="129" t="s">
        <v>2</v>
      </c>
      <c r="C4" s="129" t="s">
        <v>312</v>
      </c>
      <c r="D4" s="129" t="s">
        <v>313</v>
      </c>
      <c r="E4" s="1" t="s">
        <v>314</v>
      </c>
      <c r="F4" s="1" t="s">
        <v>315</v>
      </c>
      <c r="G4" s="1" t="s">
        <v>316</v>
      </c>
      <c r="H4" s="1" t="s">
        <v>317</v>
      </c>
      <c r="I4" s="1" t="s">
        <v>318</v>
      </c>
      <c r="J4" s="1" t="s">
        <v>319</v>
      </c>
      <c r="K4" s="1" t="s">
        <v>320</v>
      </c>
      <c r="L4" s="1" t="s">
        <v>321</v>
      </c>
      <c r="M4" s="1" t="s">
        <v>322</v>
      </c>
      <c r="N4" s="1" t="s">
        <v>323</v>
      </c>
      <c r="O4" s="1" t="s">
        <v>324</v>
      </c>
      <c r="P4" s="1" t="s">
        <v>325</v>
      </c>
      <c r="Q4" s="1" t="s">
        <v>326</v>
      </c>
      <c r="R4" s="1" t="s">
        <v>327</v>
      </c>
      <c r="S4" s="1" t="s">
        <v>328</v>
      </c>
      <c r="T4" s="130" t="s">
        <v>289</v>
      </c>
      <c r="U4" s="1" t="s">
        <v>329</v>
      </c>
      <c r="V4" s="1" t="s">
        <v>330</v>
      </c>
      <c r="W4" s="1" t="s">
        <v>331</v>
      </c>
      <c r="X4" s="1" t="s">
        <v>332</v>
      </c>
      <c r="Y4" s="1" t="s">
        <v>333</v>
      </c>
      <c r="Z4" s="1" t="s">
        <v>334</v>
      </c>
      <c r="AA4" s="1" t="s">
        <v>279</v>
      </c>
      <c r="AB4" s="1" t="s">
        <v>335</v>
      </c>
      <c r="AC4" s="1" t="s">
        <v>336</v>
      </c>
      <c r="AD4" s="1" t="s">
        <v>337</v>
      </c>
      <c r="AE4" s="1" t="s">
        <v>338</v>
      </c>
      <c r="AF4" s="1" t="s">
        <v>339</v>
      </c>
      <c r="AG4" s="1" t="s">
        <v>340</v>
      </c>
      <c r="AH4" s="1" t="s">
        <v>341</v>
      </c>
      <c r="AI4" s="478"/>
      <c r="AJ4" s="131" t="s">
        <v>342</v>
      </c>
      <c r="AK4" s="131" t="s">
        <v>343</v>
      </c>
      <c r="AL4" s="1" t="s">
        <v>344</v>
      </c>
      <c r="AM4" s="1" t="s">
        <v>345</v>
      </c>
      <c r="AN4" s="1" t="s">
        <v>346</v>
      </c>
      <c r="AO4" s="1" t="s">
        <v>347</v>
      </c>
      <c r="AP4" s="1" t="s">
        <v>348</v>
      </c>
      <c r="AQ4" s="478"/>
      <c r="AR4" s="478"/>
    </row>
    <row r="5" spans="1:44" s="40" customFormat="1" ht="12.75" customHeight="1" x14ac:dyDescent="0.2">
      <c r="A5" s="132" t="s">
        <v>14</v>
      </c>
      <c r="B5" s="132" t="s">
        <v>15</v>
      </c>
      <c r="C5" s="132" t="s">
        <v>349</v>
      </c>
      <c r="D5" s="132" t="s">
        <v>350</v>
      </c>
      <c r="E5" s="133" t="s">
        <v>351</v>
      </c>
      <c r="F5" s="133" t="str">
        <f>IF(AND(SUM('School Level ADM'!$F5:$J5)=0,SUM('School Level ADM'!$O5:$R5)=0,'School Level ADM'!$K5&gt;0,'School Level ADM'!$N5&gt;0),"T","F")</f>
        <v>F</v>
      </c>
      <c r="G5" s="133" t="str">
        <f>IF(AND(SUM('School Level ADM'!$M5:$R5)=0,'School Level ADM'!$L5&gt;0),"T","F")</f>
        <v>F</v>
      </c>
      <c r="H5" s="133" t="str">
        <f t="shared" ref="H5:H68" si="0">IF($K5&gt;0,"H",IF($J5&gt;0,"M","E"))</f>
        <v>M</v>
      </c>
      <c r="I5" s="134">
        <f>IF($F5="T",SUM('School Level ADM'!$F5:$J5),IF($G5="T",SUM('School Level ADM'!$F5:$L5),SUM('School Level ADM'!$F5:$K5,0)))</f>
        <v>162.52499999999998</v>
      </c>
      <c r="J5" s="134">
        <f>'School Level ADM'!$S5-$I5-$K5</f>
        <v>38.41500000000002</v>
      </c>
      <c r="K5" s="134">
        <f>IF(SUM('School Level ADM'!$N5:$R5)='School Level ADM'!$S5,SUM('School Level ADM'!$N5:$R5),IF(OR(SUM('School Level ADM'!$F5:$O5)='School Level ADM'!$S5,SUM('School Level ADM'!$G5:$O5)='School Level ADM'!$S5,SUM('School Level ADM'!$H5:$O5)='School Level ADM'!$S5,SUM('School Level ADM'!$I5:$O5)='School Level ADM'!$S5,SUM('School Level ADM'!$J5:$O5)='School Level ADM'!$S5,SUM('School Level ADM'!$K5:$O5)='School Level ADM'!$S5,SUM('School Level ADM'!$L5:$O5)='School Level ADM'!$S5,SUM('School Level ADM'!$M5:$O5)='School Level ADM'!$S5,SUM('School Level ADM'!$N5:$O5)='School Level ADM'!$S5),0,SUM('School Level ADM'!$O5:$R5)))</f>
        <v>0</v>
      </c>
      <c r="L5" s="134">
        <f t="shared" ref="L5:L68" si="1">SUM($I5:$K5)</f>
        <v>200.94</v>
      </c>
      <c r="M5" s="135">
        <f>'Student At-Risk and ELL Proxy'!S5</f>
        <v>31</v>
      </c>
      <c r="N5" s="135">
        <f>'Student At-Risk and ELL Proxy'!AH5</f>
        <v>5</v>
      </c>
      <c r="O5" s="136">
        <f>IF(E5="K-12","",IF(E5="p-12","",IF(I5&lt;0.1,"",IF(SUM(77441*(L5^-0.398))/8060&lt;0.97,0.97,(77441*(L5^-0.398)/8060)))))</f>
        <v>1.1641675356092345</v>
      </c>
      <c r="P5" s="136">
        <f>IF(E5="K-12","",IF(E5="p-12","",IF(SUM(J5:K5)&lt;0.1,"",IF(SUM(62206*(L5^-0.351)/6816)&lt;0.97,0.97,(62206*(L5^-0.351)/6816)))))</f>
        <v>1.4188170167679288</v>
      </c>
      <c r="Q5" s="136" t="str">
        <f>IF(E5="K-12",((((77441*(I5^-0.398))/8060)*I5)+((62206*((J5)^-0.351))/6816)*J5+((62206*((K5)^-0.351))/6816)*K5)/L5,IF(E5="p-12",((((77441*(I5^-0.398))/8060)*I5)+((62206*((J5)^-0.351))/6816)*J5+((62206*((K5)^-0.351))/6816)*K5)/L5,""))</f>
        <v/>
      </c>
      <c r="R5" s="136">
        <f t="shared" ref="R5:R68" si="2">(IF(E5="K-12",Q5,IF(E5="p-12",Q5,IF(O5="",P5,IF(P5="",O5,(O5*(I5/L5))+(P5*(SUM(J5:K5)/L5)))))))</f>
        <v>1.2128505246542789</v>
      </c>
      <c r="S5" s="136">
        <f>IF(SUM(3515.4*((VLOOKUP($A5,'District Level ADM'!$A$4:$F$52,6,FALSE))^-0.327)/'Model Data Inputs'!$B$71)&lt;1,1,(3515.4*((VLOOKUP($A5,'District Level ADM'!$A$4:$F$52,6,FALSE))^-0.327)/'Model Data Inputs'!$B$71))</f>
        <v>1.2318952399095215</v>
      </c>
      <c r="T5" s="136">
        <f>VLOOKUP($A5,'Regional Cost Adjustment'!$A$4:$C$52,3,FALSE)</f>
        <v>0.94</v>
      </c>
      <c r="U5" s="123">
        <f>((($I5/$L5)*'Model Data Inputs'!$B$85)+((SUM(J5:K5)/$L5)*'Model Data Inputs'!$C$85))*$R5*$T5</f>
        <v>7044.9131081462983</v>
      </c>
      <c r="V5" s="123">
        <f>((($I5/$L5)*'Model Data Inputs'!$B$86)+((SUM(J5:K5)/$L5)*'Model Data Inputs'!$C$86))*$R5</f>
        <v>1992.7269990099726</v>
      </c>
      <c r="W5" s="123">
        <f>SUM(U5:V5)</f>
        <v>9037.6401071562705</v>
      </c>
      <c r="X5" s="123">
        <f t="shared" ref="X5:X68" si="3">U5*L5</f>
        <v>1415604.8399509171</v>
      </c>
      <c r="Y5" s="123">
        <f t="shared" ref="Y5:Y68" si="4">V5*L5</f>
        <v>400418.56318106386</v>
      </c>
      <c r="Z5" s="123">
        <f>IF((SUM(X5:Y5))&lt;(AVERAGE('Elementary Size Adjustment'!$B$66,'Secondary Size Adjustment'!$B$66)),(AVERAGE('Elementary Size Adjustment'!$B$66,'Secondary Size Adjustment'!$B$66)),SUM(X5:Y5))</f>
        <v>1816023.4031319809</v>
      </c>
      <c r="AA5" s="137">
        <f>'Model Data Inputs'!$B$71*S5*L5</f>
        <v>47032.035606409656</v>
      </c>
      <c r="AB5" s="137">
        <f>L5*'Model Data Inputs'!$B$72</f>
        <v>5023.5</v>
      </c>
      <c r="AC5" s="137">
        <f>L5*'Model Data Inputs'!$B$73</f>
        <v>50235</v>
      </c>
      <c r="AD5" s="137">
        <f>L5*'Model Data Inputs'!$B$74</f>
        <v>25117.5</v>
      </c>
      <c r="AE5" s="137">
        <f>$I5*'Model Data Inputs'!$B$76</f>
        <v>3866.4697499999993</v>
      </c>
      <c r="AF5" s="137">
        <f>VLOOKUP($J5,'Student Activities MS&amp;HS Tables'!$M$7:$O$1267,3)</f>
        <v>26392.14</v>
      </c>
      <c r="AG5" s="137">
        <f>VLOOKUP($K5,'Student Activities MS&amp;HS Tables'!$I$7:$K$3007,3)</f>
        <v>0</v>
      </c>
      <c r="AH5" s="137">
        <f t="shared" ref="AH5:AH68" si="5">SUM(AE5:AG5)</f>
        <v>30258.60975</v>
      </c>
      <c r="AI5" s="123">
        <f>SUM(Z5:AD5)+AH5</f>
        <v>1973690.0484883906</v>
      </c>
      <c r="AJ5" s="123">
        <f>(('Model Data Inputs'!$B$90*(('Model Data Inputs'!$B$87*('School Level Inst. Resources'!I5/'School Level Inst. Resources'!L5))+('Model Data Inputs'!$C$87*(SUM('School Level Inst. Resources'!J5:K5)/'School Level Inst. Resources'!L5))))*T5*M5)</f>
        <v>68382.797092615452</v>
      </c>
      <c r="AK5" s="123">
        <f>(('Model Data Inputs'!$B$91*(('Model Data Inputs'!$B$87*('School Level Inst. Resources'!I5/'School Level Inst. Resources'!L5))+('Model Data Inputs'!$C$87*(SUM('School Level Inst. Resources'!J5:K5)/'School Level Inst. Resources'!L5))))*T5*N5)</f>
        <v>11029.48340203475</v>
      </c>
      <c r="AL5" s="137">
        <f>(K5*'Model Data Inputs'!$B$94)*T5</f>
        <v>0</v>
      </c>
      <c r="AM5" s="137">
        <f>K5*'Model Data Inputs'!$B$95</f>
        <v>0</v>
      </c>
      <c r="AN5" s="137">
        <f>SUM(AL5:AM5)</f>
        <v>0</v>
      </c>
      <c r="AO5" s="137">
        <f>('School Level Inst. Resources'!K5*'Model Data Inputs'!$B$96)+('School Level Inst. Resources'!J5*'Model Data Inputs'!$B$97)</f>
        <v>960.37500000000045</v>
      </c>
      <c r="AP5" s="137">
        <f>$L5*'Model Data Inputs'!$B$100</f>
        <v>8037.6</v>
      </c>
      <c r="AQ5" s="137">
        <f>SUM(AI5:AK5,AN5:AP5)</f>
        <v>2062100.3039830409</v>
      </c>
      <c r="AR5" s="137">
        <f t="shared" ref="AR5:AR68" si="6">AQ5/L5</f>
        <v>10262.268856290639</v>
      </c>
    </row>
    <row r="6" spans="1:44" s="40" customFormat="1" ht="12.75" customHeight="1" x14ac:dyDescent="0.2">
      <c r="A6" s="20" t="s">
        <v>14</v>
      </c>
      <c r="B6" s="20" t="s">
        <v>15</v>
      </c>
      <c r="C6" s="20" t="s">
        <v>352</v>
      </c>
      <c r="D6" s="20" t="s">
        <v>353</v>
      </c>
      <c r="E6" s="138" t="s">
        <v>354</v>
      </c>
      <c r="F6" s="138" t="str">
        <f>IF(AND(SUM('School Level ADM'!$F6:$J6)=0,SUM('School Level ADM'!$O6:$R6)=0,'School Level ADM'!$K6&gt;0,'School Level ADM'!$N6&gt;0),"T","F")</f>
        <v>F</v>
      </c>
      <c r="G6" s="138" t="str">
        <f>IF(AND(SUM('School Level ADM'!$M6:$R6)=0,'School Level ADM'!$L6&gt;0),"T","F")</f>
        <v>F</v>
      </c>
      <c r="H6" s="138" t="str">
        <f t="shared" si="0"/>
        <v>E</v>
      </c>
      <c r="I6" s="139">
        <f>IF($F6="T",SUM('School Level ADM'!$F6:$J6),IF($G6="T",SUM('School Level ADM'!$F6:$L6),SUM('School Level ADM'!$F6:$K6,0)))</f>
        <v>238.37</v>
      </c>
      <c r="J6" s="139">
        <f>'School Level ADM'!$S6-$I6-$K6</f>
        <v>0</v>
      </c>
      <c r="K6" s="139">
        <f>IF(SUM('School Level ADM'!$N6:$R6)='School Level ADM'!$S6,SUM('School Level ADM'!$N6:$R6),IF(OR(SUM('School Level ADM'!$F6:$O6)='School Level ADM'!$S6,SUM('School Level ADM'!$G6:$O6)='School Level ADM'!$S6,SUM('School Level ADM'!$H6:$O6)='School Level ADM'!$S6,SUM('School Level ADM'!$I6:$O6)='School Level ADM'!$S6,SUM('School Level ADM'!$J6:$O6)='School Level ADM'!$S6,SUM('School Level ADM'!$K6:$O6)='School Level ADM'!$S6,SUM('School Level ADM'!$L6:$O6)='School Level ADM'!$S6,SUM('School Level ADM'!$M6:$O6)='School Level ADM'!$S6,SUM('School Level ADM'!$N6:$O6)='School Level ADM'!$S6),0,SUM('School Level ADM'!$O6:$R6)))</f>
        <v>0</v>
      </c>
      <c r="L6" s="139">
        <f t="shared" si="1"/>
        <v>238.37</v>
      </c>
      <c r="M6" s="24">
        <f>'Student At-Risk and ELL Proxy'!S6</f>
        <v>49</v>
      </c>
      <c r="N6" s="24">
        <f>'Student At-Risk and ELL Proxy'!AH6</f>
        <v>7</v>
      </c>
      <c r="O6" s="136">
        <f t="shared" ref="O6:O69" si="7">IF(E6="K-12","",IF(E6="p-12","",IF(I6&lt;0.1,"",IF(SUM(77441*(L6^-0.398))/8060&lt;0.97,0.97,(77441*(L6^-0.398)/8060)))))</f>
        <v>1.0876515302419805</v>
      </c>
      <c r="P6" s="136" t="str">
        <f t="shared" ref="P6:P69" si="8">IF(E6="K-12","",IF(E6="p-12","",IF(SUM(J6:K6)&lt;0.1,"",IF(SUM(62206*(L6^-0.351)/6816)&lt;0.97,0.97,(62206*(L6^-0.351)/6816)))))</f>
        <v/>
      </c>
      <c r="Q6" s="136" t="str">
        <f t="shared" ref="Q6:Q69" si="9">IF(E6="K-12",((((77441*(I6^-0.398))/8060)*I6)+((62206*((J6)^-0.351))/6816)*J6+((62206*((K6)^-0.351))/6816)*K6)/L6,IF(E6="p-12",((((77441*(I6^-0.398))/8060)*I6)+((62206*((J6)^-0.351))/6816)*J6+((62206*((K6)^-0.351))/6816)*K6)/L6,""))</f>
        <v/>
      </c>
      <c r="R6" s="136">
        <f t="shared" si="2"/>
        <v>1.0876515302419805</v>
      </c>
      <c r="S6" s="136">
        <f>IF(SUM(3515.4*((VLOOKUP($A6,'District Level ADM'!$A$4:$F$52,6,FALSE))^-0.327)/'Model Data Inputs'!$B$71)&lt;1,1,(3515.4*((VLOOKUP($A6,'District Level ADM'!$A$4:$F$52,6,FALSE))^-0.327)/'Model Data Inputs'!$B$71))</f>
        <v>1.2318952399095215</v>
      </c>
      <c r="T6" s="136">
        <f>VLOOKUP($A6,'Regional Cost Adjustment'!$A$4:$C$52,3,FALSE)</f>
        <v>0.94</v>
      </c>
      <c r="U6" s="123">
        <f>((($I6/$L6)*'Model Data Inputs'!$B$85)+((SUM(J6:K6)/$L6)*'Model Data Inputs'!$C$85))*$R6*$T6</f>
        <v>6510.1735123760254</v>
      </c>
      <c r="V6" s="140">
        <f>((($I6/$L6)*'Model Data Inputs'!$B$86)+((SUM(J6:K6)/$L6)*'Model Data Inputs'!$C$86))*$R6</f>
        <v>1840.9858904855082</v>
      </c>
      <c r="W6" s="140">
        <f t="shared" ref="W6:W69" si="10">SUM(U6:V6)</f>
        <v>8351.1594028615327</v>
      </c>
      <c r="X6" s="140">
        <f t="shared" si="3"/>
        <v>1551830.0601450731</v>
      </c>
      <c r="Y6" s="140">
        <f t="shared" si="4"/>
        <v>438835.80671503057</v>
      </c>
      <c r="Z6" s="123">
        <f>IF((SUM(X6:Y6))&lt;(AVERAGE('Elementary Size Adjustment'!$B$66,'Secondary Size Adjustment'!$B$66)),(AVERAGE('Elementary Size Adjustment'!$B$66,'Secondary Size Adjustment'!$B$66)),SUM(X6:Y6))</f>
        <v>1990665.8668601038</v>
      </c>
      <c r="AA6" s="137">
        <f>'Model Data Inputs'!$B$71*S6*L6</f>
        <v>55792.904984074201</v>
      </c>
      <c r="AB6" s="137">
        <f>L6*'Model Data Inputs'!$B$72</f>
        <v>5959.25</v>
      </c>
      <c r="AC6" s="137">
        <f>L6*'Model Data Inputs'!$B$73</f>
        <v>59592.5</v>
      </c>
      <c r="AD6" s="137">
        <f>L6*'Model Data Inputs'!$B$74</f>
        <v>29796.25</v>
      </c>
      <c r="AE6" s="137">
        <f>$I6*'Model Data Inputs'!$B$76</f>
        <v>5670.8222999999998</v>
      </c>
      <c r="AF6" s="137">
        <f>VLOOKUP($J6,'Student Activities MS&amp;HS Tables'!$M$7:$O$1267,3)</f>
        <v>0</v>
      </c>
      <c r="AG6" s="137">
        <f>VLOOKUP($K6,'Student Activities MS&amp;HS Tables'!$I$7:$K$3007,3)</f>
        <v>0</v>
      </c>
      <c r="AH6" s="137">
        <f t="shared" si="5"/>
        <v>5670.8222999999998</v>
      </c>
      <c r="AI6" s="123">
        <f t="shared" ref="AI6:AI69" si="11">SUM(Z6:AD6)+AH6</f>
        <v>2147477.5941441781</v>
      </c>
      <c r="AJ6" s="123">
        <f>(('Model Data Inputs'!$B$90*(('Model Data Inputs'!$B$87*('School Level Inst. Resources'!I6/'School Level Inst. Resources'!L6))+('Model Data Inputs'!$C$87*(SUM('School Level Inst. Resources'!J6:K6)/'School Level Inst. Resources'!L6))))*T6*M6)</f>
        <v>111376.01547777485</v>
      </c>
      <c r="AK6" s="123">
        <f>(('Model Data Inputs'!$B$91*(('Model Data Inputs'!$B$87*('School Level Inst. Resources'!I6/'School Level Inst. Resources'!L6))+('Model Data Inputs'!$C$87*(SUM('School Level Inst. Resources'!J6:K6)/'School Level Inst. Resources'!L6))))*T6*N6)</f>
        <v>15910.859353967837</v>
      </c>
      <c r="AL6" s="137">
        <f>(K6*'Model Data Inputs'!$B$94)*T6</f>
        <v>0</v>
      </c>
      <c r="AM6" s="137">
        <f>K6*'Model Data Inputs'!$B$95</f>
        <v>0</v>
      </c>
      <c r="AN6" s="137">
        <f t="shared" ref="AN6:AN69" si="12">SUM(AL6:AM6)</f>
        <v>0</v>
      </c>
      <c r="AO6" s="137">
        <f>('School Level Inst. Resources'!K6*'Model Data Inputs'!$B$96)+('School Level Inst. Resources'!J6*'Model Data Inputs'!$B$97)</f>
        <v>0</v>
      </c>
      <c r="AP6" s="137">
        <f>$L6*'Model Data Inputs'!$B$100</f>
        <v>9534.7999999999993</v>
      </c>
      <c r="AQ6" s="137">
        <f t="shared" ref="AQ6:AQ69" si="13">SUM(AI6:AK6,AN6:AP6)</f>
        <v>2284299.2689759205</v>
      </c>
      <c r="AR6" s="141">
        <f t="shared" si="6"/>
        <v>9582.9981498339585</v>
      </c>
    </row>
    <row r="7" spans="1:44" s="40" customFormat="1" ht="12.75" customHeight="1" x14ac:dyDescent="0.2">
      <c r="A7" s="20" t="s">
        <v>14</v>
      </c>
      <c r="B7" s="20" t="s">
        <v>15</v>
      </c>
      <c r="C7" s="20" t="s">
        <v>355</v>
      </c>
      <c r="D7" s="20" t="s">
        <v>356</v>
      </c>
      <c r="E7" s="138" t="s">
        <v>357</v>
      </c>
      <c r="F7" s="138" t="str">
        <f>IF(AND(SUM('School Level ADM'!$F7:$J7)=0,SUM('School Level ADM'!$O7:$R7)=0,'School Level ADM'!$K7&gt;0,'School Level ADM'!$N7&gt;0),"T","F")</f>
        <v>F</v>
      </c>
      <c r="G7" s="138" t="str">
        <f>IF(AND(SUM('School Level ADM'!$M7:$R7)=0,'School Level ADM'!$L7&gt;0),"T","F")</f>
        <v>F</v>
      </c>
      <c r="H7" s="138" t="str">
        <f t="shared" si="0"/>
        <v>E</v>
      </c>
      <c r="I7" s="139">
        <f>IF($F7="T",SUM('School Level ADM'!$F7:$J7),IF($G7="T",SUM('School Level ADM'!$F7:$L7),SUM('School Level ADM'!$F7:$K7,0)))</f>
        <v>7.8800000000000008</v>
      </c>
      <c r="J7" s="139">
        <f>'School Level ADM'!$S7-$I7-$K7</f>
        <v>0</v>
      </c>
      <c r="K7" s="139">
        <f>IF(SUM('School Level ADM'!$N7:$R7)='School Level ADM'!$S7,SUM('School Level ADM'!$N7:$R7),IF(OR(SUM('School Level ADM'!$F7:$O7)='School Level ADM'!$S7,SUM('School Level ADM'!$G7:$O7)='School Level ADM'!$S7,SUM('School Level ADM'!$H7:$O7)='School Level ADM'!$S7,SUM('School Level ADM'!$I7:$O7)='School Level ADM'!$S7,SUM('School Level ADM'!$J7:$O7)='School Level ADM'!$S7,SUM('School Level ADM'!$K7:$O7)='School Level ADM'!$S7,SUM('School Level ADM'!$L7:$O7)='School Level ADM'!$S7,SUM('School Level ADM'!$M7:$O7)='School Level ADM'!$S7,SUM('School Level ADM'!$N7:$O7)='School Level ADM'!$S7),0,SUM('School Level ADM'!$O7:$R7)))</f>
        <v>0</v>
      </c>
      <c r="L7" s="139">
        <f t="shared" si="1"/>
        <v>7.8800000000000008</v>
      </c>
      <c r="M7" s="24">
        <f>'Student At-Risk and ELL Proxy'!S7</f>
        <v>3</v>
      </c>
      <c r="N7" s="24">
        <f>'Student At-Risk and ELL Proxy'!AH7</f>
        <v>0</v>
      </c>
      <c r="O7" s="136">
        <f t="shared" si="7"/>
        <v>4.22491986535496</v>
      </c>
      <c r="P7" s="136" t="str">
        <f t="shared" si="8"/>
        <v/>
      </c>
      <c r="Q7" s="136" t="str">
        <f t="shared" si="9"/>
        <v/>
      </c>
      <c r="R7" s="136">
        <f t="shared" si="2"/>
        <v>4.22491986535496</v>
      </c>
      <c r="S7" s="136">
        <f>IF(SUM(3515.4*((VLOOKUP($A7,'District Level ADM'!$A$4:$F$52,6,FALSE))^-0.327)/'Model Data Inputs'!$B$71)&lt;1,1,(3515.4*((VLOOKUP($A7,'District Level ADM'!$A$4:$F$52,6,FALSE))^-0.327)/'Model Data Inputs'!$B$71))</f>
        <v>1.2318952399095215</v>
      </c>
      <c r="T7" s="136">
        <f>VLOOKUP($A7,'Regional Cost Adjustment'!$A$4:$C$52,3,FALSE)</f>
        <v>0.94</v>
      </c>
      <c r="U7" s="123">
        <f>((($I7/$L7)*'Model Data Inputs'!$B$85)+((SUM(J7:K7)/$L7)*'Model Data Inputs'!$C$85))*$R7*$T7</f>
        <v>25288.394889883388</v>
      </c>
      <c r="V7" s="140">
        <f>((($I7/$L7)*'Model Data Inputs'!$B$86)+((SUM(J7:K7)/$L7)*'Model Data Inputs'!$C$86))*$R7</f>
        <v>7151.2038959941174</v>
      </c>
      <c r="W7" s="140">
        <f t="shared" si="10"/>
        <v>32439.598785877504</v>
      </c>
      <c r="X7" s="140">
        <f t="shared" si="3"/>
        <v>199272.55173228111</v>
      </c>
      <c r="Y7" s="140">
        <f t="shared" si="4"/>
        <v>56351.486700433648</v>
      </c>
      <c r="Z7" s="123">
        <f>IF((SUM(X7:Y7))&lt;(AVERAGE('Elementary Size Adjustment'!$B$66,'Secondary Size Adjustment'!$B$66)),(AVERAGE('Elementary Size Adjustment'!$B$66,'Secondary Size Adjustment'!$B$66)),SUM(X7:Y7))</f>
        <v>255624.03843271476</v>
      </c>
      <c r="AA7" s="137">
        <f>'Model Data Inputs'!$B$71*S7*L7</f>
        <v>1844.3935531925358</v>
      </c>
      <c r="AB7" s="137">
        <f>L7*'Model Data Inputs'!$B$72</f>
        <v>197.00000000000003</v>
      </c>
      <c r="AC7" s="137">
        <f>L7*'Model Data Inputs'!$B$73</f>
        <v>1970.0000000000002</v>
      </c>
      <c r="AD7" s="137">
        <f>L7*'Model Data Inputs'!$B$74</f>
        <v>985.00000000000011</v>
      </c>
      <c r="AE7" s="137">
        <f>$I7*'Model Data Inputs'!$B$76</f>
        <v>187.46520000000001</v>
      </c>
      <c r="AF7" s="137">
        <f>VLOOKUP($J7,'Student Activities MS&amp;HS Tables'!$M$7:$O$1267,3)</f>
        <v>0</v>
      </c>
      <c r="AG7" s="137">
        <f>VLOOKUP($K7,'Student Activities MS&amp;HS Tables'!$I$7:$K$3007,3)</f>
        <v>0</v>
      </c>
      <c r="AH7" s="137">
        <f t="shared" si="5"/>
        <v>187.46520000000001</v>
      </c>
      <c r="AI7" s="123">
        <f t="shared" si="11"/>
        <v>260807.89718590729</v>
      </c>
      <c r="AJ7" s="123">
        <f>(('Model Data Inputs'!$B$90*(('Model Data Inputs'!$B$87*('School Level Inst. Resources'!I7/'School Level Inst. Resources'!L7))+('Model Data Inputs'!$C$87*(SUM('School Level Inst. Resources'!J7:K7)/'School Level Inst. Resources'!L7))))*T7*M7)</f>
        <v>6818.9397231290732</v>
      </c>
      <c r="AK7" s="123">
        <f>(('Model Data Inputs'!$B$91*(('Model Data Inputs'!$B$87*('School Level Inst. Resources'!I7/'School Level Inst. Resources'!L7))+('Model Data Inputs'!$C$87*(SUM('School Level Inst. Resources'!J7:K7)/'School Level Inst. Resources'!L7))))*T7*N7)</f>
        <v>0</v>
      </c>
      <c r="AL7" s="137">
        <f>(K7*'Model Data Inputs'!$B$94)*T7</f>
        <v>0</v>
      </c>
      <c r="AM7" s="137">
        <f>K7*'Model Data Inputs'!$B$95</f>
        <v>0</v>
      </c>
      <c r="AN7" s="137">
        <f t="shared" si="12"/>
        <v>0</v>
      </c>
      <c r="AO7" s="137">
        <f>('School Level Inst. Resources'!K7*'Model Data Inputs'!$B$96)+('School Level Inst. Resources'!J7*'Model Data Inputs'!$B$97)</f>
        <v>0</v>
      </c>
      <c r="AP7" s="137">
        <f>$L7*'Model Data Inputs'!$B$100</f>
        <v>315.20000000000005</v>
      </c>
      <c r="AQ7" s="137">
        <f t="shared" si="13"/>
        <v>267942.0369090364</v>
      </c>
      <c r="AR7" s="141">
        <f t="shared" si="6"/>
        <v>34002.796562060452</v>
      </c>
    </row>
    <row r="8" spans="1:44" s="40" customFormat="1" ht="12.75" customHeight="1" x14ac:dyDescent="0.2">
      <c r="A8" s="20" t="s">
        <v>14</v>
      </c>
      <c r="B8" s="20" t="s">
        <v>15</v>
      </c>
      <c r="C8" s="20" t="s">
        <v>358</v>
      </c>
      <c r="D8" s="20" t="s">
        <v>359</v>
      </c>
      <c r="E8" s="138" t="s">
        <v>357</v>
      </c>
      <c r="F8" s="138" t="str">
        <f>IF(AND(SUM('School Level ADM'!$F8:$J8)=0,SUM('School Level ADM'!$O8:$R8)=0,'School Level ADM'!$K8&gt;0,'School Level ADM'!$N8&gt;0),"T","F")</f>
        <v>F</v>
      </c>
      <c r="G8" s="138" t="str">
        <f>IF(AND(SUM('School Level ADM'!$M8:$R8)=0,'School Level ADM'!$L8&gt;0),"T","F")</f>
        <v>F</v>
      </c>
      <c r="H8" s="138" t="str">
        <f t="shared" si="0"/>
        <v>E</v>
      </c>
      <c r="I8" s="139">
        <f>IF($F8="T",SUM('School Level ADM'!$F8:$J8),IF($G8="T",SUM('School Level ADM'!$F8:$L8),SUM('School Level ADM'!$F8:$K8,0)))</f>
        <v>23.64</v>
      </c>
      <c r="J8" s="139">
        <f>'School Level ADM'!$S8-$I8-$K8</f>
        <v>0</v>
      </c>
      <c r="K8" s="139">
        <f>IF(SUM('School Level ADM'!$N8:$R8)='School Level ADM'!$S8,SUM('School Level ADM'!$N8:$R8),IF(OR(SUM('School Level ADM'!$F8:$O8)='School Level ADM'!$S8,SUM('School Level ADM'!$G8:$O8)='School Level ADM'!$S8,SUM('School Level ADM'!$H8:$O8)='School Level ADM'!$S8,SUM('School Level ADM'!$I8:$O8)='School Level ADM'!$S8,SUM('School Level ADM'!$J8:$O8)='School Level ADM'!$S8,SUM('School Level ADM'!$K8:$O8)='School Level ADM'!$S8,SUM('School Level ADM'!$L8:$O8)='School Level ADM'!$S8,SUM('School Level ADM'!$M8:$O8)='School Level ADM'!$S8,SUM('School Level ADM'!$N8:$O8)='School Level ADM'!$S8),0,SUM('School Level ADM'!$O8:$R8)))</f>
        <v>0</v>
      </c>
      <c r="L8" s="139">
        <f t="shared" si="1"/>
        <v>23.64</v>
      </c>
      <c r="M8" s="24">
        <f>'Student At-Risk and ELL Proxy'!S8</f>
        <v>11</v>
      </c>
      <c r="N8" s="24">
        <f>'Student At-Risk and ELL Proxy'!AH8</f>
        <v>0</v>
      </c>
      <c r="O8" s="136">
        <f t="shared" si="7"/>
        <v>2.7285016243183264</v>
      </c>
      <c r="P8" s="136" t="str">
        <f t="shared" si="8"/>
        <v/>
      </c>
      <c r="Q8" s="136" t="str">
        <f t="shared" si="9"/>
        <v/>
      </c>
      <c r="R8" s="136">
        <f t="shared" si="2"/>
        <v>2.7285016243183264</v>
      </c>
      <c r="S8" s="136">
        <f>IF(SUM(3515.4*((VLOOKUP($A8,'District Level ADM'!$A$4:$F$52,6,FALSE))^-0.327)/'Model Data Inputs'!$B$71)&lt;1,1,(3515.4*((VLOOKUP($A8,'District Level ADM'!$A$4:$F$52,6,FALSE))^-0.327)/'Model Data Inputs'!$B$71))</f>
        <v>1.2318952399095215</v>
      </c>
      <c r="T8" s="136">
        <f>VLOOKUP($A8,'Regional Cost Adjustment'!$A$4:$C$52,3,FALSE)</f>
        <v>0.94</v>
      </c>
      <c r="U8" s="123">
        <f>((($I8/$L8)*'Model Data Inputs'!$B$85)+((SUM(J8:K8)/$L8)*'Model Data Inputs'!$C$85))*$R8*$T8</f>
        <v>16331.534971646865</v>
      </c>
      <c r="V8" s="140">
        <f>((($I8/$L8)*'Model Data Inputs'!$B$86)+((SUM(J8:K8)/$L8)*'Model Data Inputs'!$C$86))*$R8</f>
        <v>4618.3293572154353</v>
      </c>
      <c r="W8" s="140">
        <f t="shared" si="10"/>
        <v>20949.864328862299</v>
      </c>
      <c r="X8" s="140">
        <f t="shared" si="3"/>
        <v>386077.4867297319</v>
      </c>
      <c r="Y8" s="140">
        <f t="shared" si="4"/>
        <v>109177.30600457289</v>
      </c>
      <c r="Z8" s="123">
        <f>IF((SUM(X8:Y8))&lt;(AVERAGE('Elementary Size Adjustment'!$B$66,'Secondary Size Adjustment'!$B$66)),(AVERAGE('Elementary Size Adjustment'!$B$66,'Secondary Size Adjustment'!$B$66)),SUM(X8:Y8))</f>
        <v>495254.79273430479</v>
      </c>
      <c r="AA8" s="137">
        <f>'Model Data Inputs'!$B$71*S8*L8</f>
        <v>5533.180659577607</v>
      </c>
      <c r="AB8" s="137">
        <f>L8*'Model Data Inputs'!$B$72</f>
        <v>591</v>
      </c>
      <c r="AC8" s="137">
        <f>L8*'Model Data Inputs'!$B$73</f>
        <v>5910</v>
      </c>
      <c r="AD8" s="137">
        <f>L8*'Model Data Inputs'!$B$74</f>
        <v>2955</v>
      </c>
      <c r="AE8" s="137">
        <f>$I8*'Model Data Inputs'!$B$76</f>
        <v>562.39559999999994</v>
      </c>
      <c r="AF8" s="137">
        <f>VLOOKUP($J8,'Student Activities MS&amp;HS Tables'!$M$7:$O$1267,3)</f>
        <v>0</v>
      </c>
      <c r="AG8" s="137">
        <f>VLOOKUP($K8,'Student Activities MS&amp;HS Tables'!$I$7:$K$3007,3)</f>
        <v>0</v>
      </c>
      <c r="AH8" s="137">
        <f t="shared" si="5"/>
        <v>562.39559999999994</v>
      </c>
      <c r="AI8" s="123">
        <f t="shared" si="11"/>
        <v>510806.36899388238</v>
      </c>
      <c r="AJ8" s="123">
        <f>(('Model Data Inputs'!$B$90*(('Model Data Inputs'!$B$87*('School Level Inst. Resources'!I8/'School Level Inst. Resources'!L8))+('Model Data Inputs'!$C$87*(SUM('School Level Inst. Resources'!J8:K8)/'School Level Inst. Resources'!L8))))*T8*M8)</f>
        <v>25002.778984806599</v>
      </c>
      <c r="AK8" s="123">
        <f>(('Model Data Inputs'!$B$91*(('Model Data Inputs'!$B$87*('School Level Inst. Resources'!I8/'School Level Inst. Resources'!L8))+('Model Data Inputs'!$C$87*(SUM('School Level Inst. Resources'!J8:K8)/'School Level Inst. Resources'!L8))))*T8*N8)</f>
        <v>0</v>
      </c>
      <c r="AL8" s="137">
        <f>(K8*'Model Data Inputs'!$B$94)*T8</f>
        <v>0</v>
      </c>
      <c r="AM8" s="137">
        <f>K8*'Model Data Inputs'!$B$95</f>
        <v>0</v>
      </c>
      <c r="AN8" s="137">
        <f t="shared" si="12"/>
        <v>0</v>
      </c>
      <c r="AO8" s="137">
        <f>('School Level Inst. Resources'!K8*'Model Data Inputs'!$B$96)+('School Level Inst. Resources'!J8*'Model Data Inputs'!$B$97)</f>
        <v>0</v>
      </c>
      <c r="AP8" s="137">
        <f>$L8*'Model Data Inputs'!$B$100</f>
        <v>945.6</v>
      </c>
      <c r="AQ8" s="137">
        <f t="shared" si="13"/>
        <v>536754.74797868892</v>
      </c>
      <c r="AR8" s="141">
        <f t="shared" si="6"/>
        <v>22705.361589623051</v>
      </c>
    </row>
    <row r="9" spans="1:44" s="40" customFormat="1" ht="12.75" customHeight="1" x14ac:dyDescent="0.2">
      <c r="A9" s="20" t="s">
        <v>14</v>
      </c>
      <c r="B9" s="20" t="s">
        <v>15</v>
      </c>
      <c r="C9" s="20" t="s">
        <v>360</v>
      </c>
      <c r="D9" s="20" t="s">
        <v>361</v>
      </c>
      <c r="E9" s="138" t="s">
        <v>362</v>
      </c>
      <c r="F9" s="138" t="str">
        <f>IF(AND(SUM('School Level ADM'!$F9:$J9)=0,SUM('School Level ADM'!$O9:$R9)=0,'School Level ADM'!$K9&gt;0,'School Level ADM'!$N9&gt;0),"T","F")</f>
        <v>F</v>
      </c>
      <c r="G9" s="138" t="str">
        <f>IF(AND(SUM('School Level ADM'!$M9:$R9)=0,'School Level ADM'!$L9&gt;0),"T","F")</f>
        <v>T</v>
      </c>
      <c r="H9" s="138" t="str">
        <f t="shared" si="0"/>
        <v>E</v>
      </c>
      <c r="I9" s="139">
        <f>IF($F9="T",SUM('School Level ADM'!$F9:$J9),IF($G9="T",SUM('School Level ADM'!$F9:$L9),SUM('School Level ADM'!$F9:$K9,0)))</f>
        <v>25.61</v>
      </c>
      <c r="J9" s="139">
        <f>'School Level ADM'!$S9-$I9-$K9</f>
        <v>0</v>
      </c>
      <c r="K9" s="139">
        <f>IF(SUM('School Level ADM'!$N9:$R9)='School Level ADM'!$S9,SUM('School Level ADM'!$N9:$R9),IF(OR(SUM('School Level ADM'!$F9:$O9)='School Level ADM'!$S9,SUM('School Level ADM'!$G9:$O9)='School Level ADM'!$S9,SUM('School Level ADM'!$H9:$O9)='School Level ADM'!$S9,SUM('School Level ADM'!$I9:$O9)='School Level ADM'!$S9,SUM('School Level ADM'!$J9:$O9)='School Level ADM'!$S9,SUM('School Level ADM'!$K9:$O9)='School Level ADM'!$S9,SUM('School Level ADM'!$L9:$O9)='School Level ADM'!$S9,SUM('School Level ADM'!$M9:$O9)='School Level ADM'!$S9,SUM('School Level ADM'!$N9:$O9)='School Level ADM'!$S9),0,SUM('School Level ADM'!$O9:$R9)))</f>
        <v>0</v>
      </c>
      <c r="L9" s="139">
        <f t="shared" si="1"/>
        <v>25.61</v>
      </c>
      <c r="M9" s="24">
        <f>'Student At-Risk and ELL Proxy'!S9</f>
        <v>9</v>
      </c>
      <c r="N9" s="24">
        <f>'Student At-Risk and ELL Proxy'!AH9</f>
        <v>0</v>
      </c>
      <c r="O9" s="136">
        <f t="shared" si="7"/>
        <v>2.6429497033514049</v>
      </c>
      <c r="P9" s="136" t="str">
        <f t="shared" si="8"/>
        <v/>
      </c>
      <c r="Q9" s="136" t="str">
        <f t="shared" si="9"/>
        <v/>
      </c>
      <c r="R9" s="136">
        <f t="shared" si="2"/>
        <v>2.6429497033514049</v>
      </c>
      <c r="S9" s="136">
        <f>IF(SUM(3515.4*((VLOOKUP($A9,'District Level ADM'!$A$4:$F$52,6,FALSE))^-0.327)/'Model Data Inputs'!$B$71)&lt;1,1,(3515.4*((VLOOKUP($A9,'District Level ADM'!$A$4:$F$52,6,FALSE))^-0.327)/'Model Data Inputs'!$B$71))</f>
        <v>1.2318952399095215</v>
      </c>
      <c r="T9" s="136">
        <f>VLOOKUP($A9,'Regional Cost Adjustment'!$A$4:$C$52,3,FALSE)</f>
        <v>0.94</v>
      </c>
      <c r="U9" s="123">
        <f>((($I9/$L9)*'Model Data Inputs'!$B$85)+((SUM(J9:K9)/$L9)*'Model Data Inputs'!$C$85))*$R9*$T9</f>
        <v>15819.461173812157</v>
      </c>
      <c r="V9" s="140">
        <f>((($I9/$L9)*'Model Data Inputs'!$B$86)+((SUM(J9:K9)/$L9)*'Model Data Inputs'!$C$86))*$R9</f>
        <v>4473.5220590829222</v>
      </c>
      <c r="W9" s="140">
        <f t="shared" si="10"/>
        <v>20292.98323289508</v>
      </c>
      <c r="X9" s="140">
        <f t="shared" si="3"/>
        <v>405136.40066132933</v>
      </c>
      <c r="Y9" s="140">
        <f t="shared" si="4"/>
        <v>114566.89993311363</v>
      </c>
      <c r="Z9" s="123">
        <f>IF((SUM(X9:Y9))&lt;(AVERAGE('Elementary Size Adjustment'!$B$66,'Secondary Size Adjustment'!$B$66)),(AVERAGE('Elementary Size Adjustment'!$B$66,'Secondary Size Adjustment'!$B$66)),SUM(X9:Y9))</f>
        <v>519703.30059444299</v>
      </c>
      <c r="AA9" s="137">
        <f>'Model Data Inputs'!$B$71*S9*L9</f>
        <v>5994.2790478757406</v>
      </c>
      <c r="AB9" s="137">
        <f>L9*'Model Data Inputs'!$B$72</f>
        <v>640.25</v>
      </c>
      <c r="AC9" s="137">
        <f>L9*'Model Data Inputs'!$B$73</f>
        <v>6402.5</v>
      </c>
      <c r="AD9" s="137">
        <f>L9*'Model Data Inputs'!$B$74</f>
        <v>3201.25</v>
      </c>
      <c r="AE9" s="137">
        <f>$I9*'Model Data Inputs'!$B$76</f>
        <v>609.26189999999997</v>
      </c>
      <c r="AF9" s="137">
        <f>VLOOKUP($J9,'Student Activities MS&amp;HS Tables'!$M$7:$O$1267,3)</f>
        <v>0</v>
      </c>
      <c r="AG9" s="137">
        <f>VLOOKUP($K9,'Student Activities MS&amp;HS Tables'!$I$7:$K$3007,3)</f>
        <v>0</v>
      </c>
      <c r="AH9" s="137">
        <f t="shared" si="5"/>
        <v>609.26189999999997</v>
      </c>
      <c r="AI9" s="123">
        <f t="shared" si="11"/>
        <v>536550.84154231881</v>
      </c>
      <c r="AJ9" s="123">
        <f>(('Model Data Inputs'!$B$90*(('Model Data Inputs'!$B$87*('School Level Inst. Resources'!I9/'School Level Inst. Resources'!L9))+('Model Data Inputs'!$C$87*(SUM('School Level Inst. Resources'!J9:K9)/'School Level Inst. Resources'!L9))))*T9*M9)</f>
        <v>20456.819169387218</v>
      </c>
      <c r="AK9" s="123">
        <f>(('Model Data Inputs'!$B$91*(('Model Data Inputs'!$B$87*('School Level Inst. Resources'!I9/'School Level Inst. Resources'!L9))+('Model Data Inputs'!$C$87*(SUM('School Level Inst. Resources'!J9:K9)/'School Level Inst. Resources'!L9))))*T9*N9)</f>
        <v>0</v>
      </c>
      <c r="AL9" s="137">
        <f>(K9*'Model Data Inputs'!$B$94)*T9</f>
        <v>0</v>
      </c>
      <c r="AM9" s="137">
        <f>K9*'Model Data Inputs'!$B$95</f>
        <v>0</v>
      </c>
      <c r="AN9" s="137">
        <f t="shared" si="12"/>
        <v>0</v>
      </c>
      <c r="AO9" s="137">
        <f>('School Level Inst. Resources'!K9*'Model Data Inputs'!$B$96)+('School Level Inst. Resources'!J9*'Model Data Inputs'!$B$97)</f>
        <v>0</v>
      </c>
      <c r="AP9" s="137">
        <f>$L9*'Model Data Inputs'!$B$100</f>
        <v>1024.4000000000001</v>
      </c>
      <c r="AQ9" s="137">
        <f t="shared" si="13"/>
        <v>558032.06071170606</v>
      </c>
      <c r="AR9" s="141">
        <f t="shared" si="6"/>
        <v>21789.615802878019</v>
      </c>
    </row>
    <row r="10" spans="1:44" s="40" customFormat="1" ht="12.75" customHeight="1" x14ac:dyDescent="0.2">
      <c r="A10" s="20" t="s">
        <v>14</v>
      </c>
      <c r="B10" s="20" t="s">
        <v>15</v>
      </c>
      <c r="C10" s="20" t="s">
        <v>363</v>
      </c>
      <c r="D10" s="20" t="s">
        <v>364</v>
      </c>
      <c r="E10" s="138" t="s">
        <v>365</v>
      </c>
      <c r="F10" s="138" t="str">
        <f>IF(AND(SUM('School Level ADM'!$F10:$J10)=0,SUM('School Level ADM'!$O10:$R10)=0,'School Level ADM'!$K10&gt;0,'School Level ADM'!$N10&gt;0),"T","F")</f>
        <v>F</v>
      </c>
      <c r="G10" s="138" t="str">
        <f>IF(AND(SUM('School Level ADM'!$M10:$R10)=0,'School Level ADM'!$L10&gt;0),"T","F")</f>
        <v>F</v>
      </c>
      <c r="H10" s="138" t="str">
        <f t="shared" si="0"/>
        <v>E</v>
      </c>
      <c r="I10" s="139">
        <f>IF($F10="T",SUM('School Level ADM'!$F10:$J10),IF($G10="T",SUM('School Level ADM'!$F10:$L10),SUM('School Level ADM'!$F10:$K10,0)))</f>
        <v>246.25</v>
      </c>
      <c r="J10" s="139">
        <f>'School Level ADM'!$S10-$I10-$K10</f>
        <v>0</v>
      </c>
      <c r="K10" s="139">
        <f>IF(SUM('School Level ADM'!$N10:$R10)='School Level ADM'!$S10,SUM('School Level ADM'!$N10:$R10),IF(OR(SUM('School Level ADM'!$F10:$O10)='School Level ADM'!$S10,SUM('School Level ADM'!$G10:$O10)='School Level ADM'!$S10,SUM('School Level ADM'!$H10:$O10)='School Level ADM'!$S10,SUM('School Level ADM'!$I10:$O10)='School Level ADM'!$S10,SUM('School Level ADM'!$J10:$O10)='School Level ADM'!$S10,SUM('School Level ADM'!$K10:$O10)='School Level ADM'!$S10,SUM('School Level ADM'!$L10:$O10)='School Level ADM'!$S10,SUM('School Level ADM'!$M10:$O10)='School Level ADM'!$S10,SUM('School Level ADM'!$N10:$O10)='School Level ADM'!$S10),0,SUM('School Level ADM'!$O10:$R10)))</f>
        <v>0</v>
      </c>
      <c r="L10" s="139">
        <f t="shared" si="1"/>
        <v>246.25</v>
      </c>
      <c r="M10" s="24">
        <f>'Student At-Risk and ELL Proxy'!S10</f>
        <v>107</v>
      </c>
      <c r="N10" s="24">
        <f>'Student At-Risk and ELL Proxy'!AH10</f>
        <v>30</v>
      </c>
      <c r="O10" s="136">
        <f t="shared" si="7"/>
        <v>1.0736634461523096</v>
      </c>
      <c r="P10" s="136" t="str">
        <f t="shared" si="8"/>
        <v/>
      </c>
      <c r="Q10" s="136" t="str">
        <f t="shared" si="9"/>
        <v/>
      </c>
      <c r="R10" s="136">
        <f t="shared" si="2"/>
        <v>1.0736634461523096</v>
      </c>
      <c r="S10" s="136">
        <f>IF(SUM(3515.4*((VLOOKUP($A10,'District Level ADM'!$A$4:$F$52,6,FALSE))^-0.327)/'Model Data Inputs'!$B$71)&lt;1,1,(3515.4*((VLOOKUP($A10,'District Level ADM'!$A$4:$F$52,6,FALSE))^-0.327)/'Model Data Inputs'!$B$71))</f>
        <v>1.2318952399095215</v>
      </c>
      <c r="T10" s="136">
        <f>VLOOKUP($A10,'Regional Cost Adjustment'!$A$4:$C$52,3,FALSE)</f>
        <v>0.94</v>
      </c>
      <c r="U10" s="123">
        <f>((($I10/$L10)*'Model Data Inputs'!$B$85)+((SUM(J10:K10)/$L10)*'Model Data Inputs'!$C$85))*$R10*$T10</f>
        <v>6426.4473813520535</v>
      </c>
      <c r="V10" s="140">
        <f>((($I10/$L10)*'Model Data Inputs'!$B$86)+((SUM(J10:K10)/$L10)*'Model Data Inputs'!$C$86))*$R10</f>
        <v>1817.3093132657073</v>
      </c>
      <c r="W10" s="140">
        <f t="shared" si="10"/>
        <v>8243.7566946177612</v>
      </c>
      <c r="X10" s="140">
        <f t="shared" si="3"/>
        <v>1582512.6676579432</v>
      </c>
      <c r="Y10" s="140">
        <f t="shared" si="4"/>
        <v>447512.4183916804</v>
      </c>
      <c r="Z10" s="123">
        <f>IF((SUM(X10:Y10))&lt;(AVERAGE('Elementary Size Adjustment'!$B$66,'Secondary Size Adjustment'!$B$66)),(AVERAGE('Elementary Size Adjustment'!$B$66,'Secondary Size Adjustment'!$B$66)),SUM(X10:Y10))</f>
        <v>2030025.0860496236</v>
      </c>
      <c r="AA10" s="137">
        <f>'Model Data Inputs'!$B$71*S10*L10</f>
        <v>57637.298537266739</v>
      </c>
      <c r="AB10" s="137">
        <f>L10*'Model Data Inputs'!$B$72</f>
        <v>6156.25</v>
      </c>
      <c r="AC10" s="137">
        <f>L10*'Model Data Inputs'!$B$73</f>
        <v>61562.5</v>
      </c>
      <c r="AD10" s="137">
        <f>L10*'Model Data Inputs'!$B$74</f>
        <v>30781.25</v>
      </c>
      <c r="AE10" s="137">
        <f>$I10*'Model Data Inputs'!$B$76</f>
        <v>5858.2874999999995</v>
      </c>
      <c r="AF10" s="137">
        <f>VLOOKUP($J10,'Student Activities MS&amp;HS Tables'!$M$7:$O$1267,3)</f>
        <v>0</v>
      </c>
      <c r="AG10" s="137">
        <f>VLOOKUP($K10,'Student Activities MS&amp;HS Tables'!$I$7:$K$3007,3)</f>
        <v>0</v>
      </c>
      <c r="AH10" s="137">
        <f t="shared" si="5"/>
        <v>5858.2874999999995</v>
      </c>
      <c r="AI10" s="123">
        <f t="shared" si="11"/>
        <v>2192020.6720868903</v>
      </c>
      <c r="AJ10" s="123">
        <f>(('Model Data Inputs'!$B$90*(('Model Data Inputs'!$B$87*('School Level Inst. Resources'!I10/'School Level Inst. Resources'!L10))+('Model Data Inputs'!$C$87*(SUM('School Level Inst. Resources'!J10:K10)/'School Level Inst. Resources'!L10))))*T10*M10)</f>
        <v>243208.85012493693</v>
      </c>
      <c r="AK10" s="123">
        <f>(('Model Data Inputs'!$B$91*(('Model Data Inputs'!$B$87*('School Level Inst. Resources'!I10/'School Level Inst. Resources'!L10))+('Model Data Inputs'!$C$87*(SUM('School Level Inst. Resources'!J10:K10)/'School Level Inst. Resources'!L10))))*T10*N10)</f>
        <v>68189.397231290728</v>
      </c>
      <c r="AL10" s="137">
        <f>(K10*'Model Data Inputs'!$B$94)*T10</f>
        <v>0</v>
      </c>
      <c r="AM10" s="137">
        <f>K10*'Model Data Inputs'!$B$95</f>
        <v>0</v>
      </c>
      <c r="AN10" s="137">
        <f t="shared" si="12"/>
        <v>0</v>
      </c>
      <c r="AO10" s="137">
        <f>('School Level Inst. Resources'!K10*'Model Data Inputs'!$B$96)+('School Level Inst. Resources'!J10*'Model Data Inputs'!$B$97)</f>
        <v>0</v>
      </c>
      <c r="AP10" s="137">
        <f>$L10*'Model Data Inputs'!$B$100</f>
        <v>9850</v>
      </c>
      <c r="AQ10" s="137">
        <f t="shared" si="13"/>
        <v>2513268.9194431179</v>
      </c>
      <c r="AR10" s="141">
        <f t="shared" si="6"/>
        <v>10206.168200784236</v>
      </c>
    </row>
    <row r="11" spans="1:44" s="40" customFormat="1" ht="12.75" customHeight="1" x14ac:dyDescent="0.2">
      <c r="A11" s="20" t="s">
        <v>14</v>
      </c>
      <c r="B11" s="20" t="s">
        <v>15</v>
      </c>
      <c r="C11" s="20" t="s">
        <v>366</v>
      </c>
      <c r="D11" s="20" t="s">
        <v>367</v>
      </c>
      <c r="E11" s="138" t="s">
        <v>357</v>
      </c>
      <c r="F11" s="138" t="str">
        <f>IF(AND(SUM('School Level ADM'!$F11:$J11)=0,SUM('School Level ADM'!$O11:$R11)=0,'School Level ADM'!$K11&gt;0,'School Level ADM'!$N11&gt;0),"T","F")</f>
        <v>F</v>
      </c>
      <c r="G11" s="138" t="str">
        <f>IF(AND(SUM('School Level ADM'!$M11:$R11)=0,'School Level ADM'!$L11&gt;0),"T","F")</f>
        <v>F</v>
      </c>
      <c r="H11" s="138" t="str">
        <f t="shared" si="0"/>
        <v>E</v>
      </c>
      <c r="I11" s="139">
        <f>IF($F11="T",SUM('School Level ADM'!$F11:$J11),IF($G11="T",SUM('School Level ADM'!$F11:$L11),SUM('School Level ADM'!$F11:$K11,0)))</f>
        <v>4.9249999999999998</v>
      </c>
      <c r="J11" s="139">
        <f>'School Level ADM'!$S11-$I11-$K11</f>
        <v>0</v>
      </c>
      <c r="K11" s="139">
        <f>IF(SUM('School Level ADM'!$N11:$R11)='School Level ADM'!$S11,SUM('School Level ADM'!$N11:$R11),IF(OR(SUM('School Level ADM'!$F11:$O11)='School Level ADM'!$S11,SUM('School Level ADM'!$G11:$O11)='School Level ADM'!$S11,SUM('School Level ADM'!$H11:$O11)='School Level ADM'!$S11,SUM('School Level ADM'!$I11:$O11)='School Level ADM'!$S11,SUM('School Level ADM'!$J11:$O11)='School Level ADM'!$S11,SUM('School Level ADM'!$K11:$O11)='School Level ADM'!$S11,SUM('School Level ADM'!$L11:$O11)='School Level ADM'!$S11,SUM('School Level ADM'!$M11:$O11)='School Level ADM'!$S11,SUM('School Level ADM'!$N11:$O11)='School Level ADM'!$S11),0,SUM('School Level ADM'!$O11:$R11)))</f>
        <v>0</v>
      </c>
      <c r="L11" s="139">
        <f t="shared" si="1"/>
        <v>4.9249999999999998</v>
      </c>
      <c r="M11" s="24">
        <f>'Student At-Risk and ELL Proxy'!S11</f>
        <v>4</v>
      </c>
      <c r="N11" s="24">
        <f>'Student At-Risk and ELL Proxy'!AH11</f>
        <v>0</v>
      </c>
      <c r="O11" s="136">
        <f t="shared" si="7"/>
        <v>5.0939916546691961</v>
      </c>
      <c r="P11" s="136" t="str">
        <f t="shared" si="8"/>
        <v/>
      </c>
      <c r="Q11" s="136" t="str">
        <f t="shared" si="9"/>
        <v/>
      </c>
      <c r="R11" s="136">
        <f t="shared" si="2"/>
        <v>5.0939916546691961</v>
      </c>
      <c r="S11" s="136">
        <f>IF(SUM(3515.4*((VLOOKUP($A11,'District Level ADM'!$A$4:$F$52,6,FALSE))^-0.327)/'Model Data Inputs'!$B$71)&lt;1,1,(3515.4*((VLOOKUP($A11,'District Level ADM'!$A$4:$F$52,6,FALSE))^-0.327)/'Model Data Inputs'!$B$71))</f>
        <v>1.2318952399095215</v>
      </c>
      <c r="T11" s="136">
        <f>VLOOKUP($A11,'Regional Cost Adjustment'!$A$4:$C$52,3,FALSE)</f>
        <v>0.94</v>
      </c>
      <c r="U11" s="123">
        <f>((($I11/$L11)*'Model Data Inputs'!$B$85)+((SUM(J11:K11)/$L11)*'Model Data Inputs'!$C$85))*$R11*$T11</f>
        <v>30490.252273275317</v>
      </c>
      <c r="V11" s="140">
        <f>((($I11/$L11)*'Model Data Inputs'!$B$86)+((SUM(J11:K11)/$L11)*'Model Data Inputs'!$C$86))*$R11</f>
        <v>8622.2163089408878</v>
      </c>
      <c r="W11" s="140">
        <f t="shared" si="10"/>
        <v>39112.468582216206</v>
      </c>
      <c r="X11" s="140">
        <f t="shared" si="3"/>
        <v>150164.49244588093</v>
      </c>
      <c r="Y11" s="140">
        <f t="shared" si="4"/>
        <v>42464.415321533874</v>
      </c>
      <c r="Z11" s="123">
        <f>IF((SUM(X11:Y11))&lt;(AVERAGE('Elementary Size Adjustment'!$B$66,'Secondary Size Adjustment'!$B$66)),(AVERAGE('Elementary Size Adjustment'!$B$66,'Secondary Size Adjustment'!$B$66)),SUM(X11:Y11))</f>
        <v>192628.90776741481</v>
      </c>
      <c r="AA11" s="137">
        <f>'Model Data Inputs'!$B$71*S11*L11</f>
        <v>1152.7459707453347</v>
      </c>
      <c r="AB11" s="137">
        <f>L11*'Model Data Inputs'!$B$72</f>
        <v>123.125</v>
      </c>
      <c r="AC11" s="137">
        <f>L11*'Model Data Inputs'!$B$73</f>
        <v>1231.25</v>
      </c>
      <c r="AD11" s="137">
        <f>L11*'Model Data Inputs'!$B$74</f>
        <v>615.625</v>
      </c>
      <c r="AE11" s="137">
        <f>$I11*'Model Data Inputs'!$B$76</f>
        <v>117.16574999999999</v>
      </c>
      <c r="AF11" s="137">
        <f>VLOOKUP($J11,'Student Activities MS&amp;HS Tables'!$M$7:$O$1267,3)</f>
        <v>0</v>
      </c>
      <c r="AG11" s="137">
        <f>VLOOKUP($K11,'Student Activities MS&amp;HS Tables'!$I$7:$K$3007,3)</f>
        <v>0</v>
      </c>
      <c r="AH11" s="137">
        <f t="shared" si="5"/>
        <v>117.16574999999999</v>
      </c>
      <c r="AI11" s="123">
        <f t="shared" si="11"/>
        <v>195868.81948816014</v>
      </c>
      <c r="AJ11" s="123">
        <f>(('Model Data Inputs'!$B$90*(('Model Data Inputs'!$B$87*('School Level Inst. Resources'!I11/'School Level Inst. Resources'!L11))+('Model Data Inputs'!$C$87*(SUM('School Level Inst. Resources'!J11:K11)/'School Level Inst. Resources'!L11))))*T11*M11)</f>
        <v>9091.9196308387636</v>
      </c>
      <c r="AK11" s="123">
        <f>(('Model Data Inputs'!$B$91*(('Model Data Inputs'!$B$87*('School Level Inst. Resources'!I11/'School Level Inst. Resources'!L11))+('Model Data Inputs'!$C$87*(SUM('School Level Inst. Resources'!J11:K11)/'School Level Inst. Resources'!L11))))*T11*N11)</f>
        <v>0</v>
      </c>
      <c r="AL11" s="137">
        <f>(K11*'Model Data Inputs'!$B$94)*T11</f>
        <v>0</v>
      </c>
      <c r="AM11" s="137">
        <f>K11*'Model Data Inputs'!$B$95</f>
        <v>0</v>
      </c>
      <c r="AN11" s="137">
        <f t="shared" si="12"/>
        <v>0</v>
      </c>
      <c r="AO11" s="137">
        <f>('School Level Inst. Resources'!K11*'Model Data Inputs'!$B$96)+('School Level Inst. Resources'!J11*'Model Data Inputs'!$B$97)</f>
        <v>0</v>
      </c>
      <c r="AP11" s="137">
        <f>$L11*'Model Data Inputs'!$B$100</f>
        <v>197</v>
      </c>
      <c r="AQ11" s="137">
        <f t="shared" si="13"/>
        <v>205157.7391189989</v>
      </c>
      <c r="AR11" s="141">
        <f t="shared" si="6"/>
        <v>41656.393729745971</v>
      </c>
    </row>
    <row r="12" spans="1:44" s="40" customFormat="1" ht="12.75" customHeight="1" x14ac:dyDescent="0.2">
      <c r="A12" s="20" t="s">
        <v>14</v>
      </c>
      <c r="B12" s="20" t="s">
        <v>15</v>
      </c>
      <c r="C12" s="20" t="s">
        <v>368</v>
      </c>
      <c r="D12" s="20" t="s">
        <v>369</v>
      </c>
      <c r="E12" s="138" t="s">
        <v>365</v>
      </c>
      <c r="F12" s="138" t="str">
        <f>IF(AND(SUM('School Level ADM'!$F12:$J12)=0,SUM('School Level ADM'!$O12:$R12)=0,'School Level ADM'!$K12&gt;0,'School Level ADM'!$N12&gt;0),"T","F")</f>
        <v>F</v>
      </c>
      <c r="G12" s="138" t="str">
        <f>IF(AND(SUM('School Level ADM'!$M12:$R12)=0,'School Level ADM'!$L12&gt;0),"T","F")</f>
        <v>F</v>
      </c>
      <c r="H12" s="138" t="str">
        <f t="shared" si="0"/>
        <v>E</v>
      </c>
      <c r="I12" s="139">
        <f>IF($F12="T",SUM('School Level ADM'!$F12:$J12),IF($G12="T",SUM('School Level ADM'!$F12:$L12),SUM('School Level ADM'!$F12:$K12,0)))</f>
        <v>313.22999999999996</v>
      </c>
      <c r="J12" s="139">
        <f>'School Level ADM'!$S12-$I12-$K12</f>
        <v>0</v>
      </c>
      <c r="K12" s="139">
        <f>IF(SUM('School Level ADM'!$N12:$R12)='School Level ADM'!$S12,SUM('School Level ADM'!$N12:$R12),IF(OR(SUM('School Level ADM'!$F12:$O12)='School Level ADM'!$S12,SUM('School Level ADM'!$G12:$O12)='School Level ADM'!$S12,SUM('School Level ADM'!$H12:$O12)='School Level ADM'!$S12,SUM('School Level ADM'!$I12:$O12)='School Level ADM'!$S12,SUM('School Level ADM'!$J12:$O12)='School Level ADM'!$S12,SUM('School Level ADM'!$K12:$O12)='School Level ADM'!$S12,SUM('School Level ADM'!$L12:$O12)='School Level ADM'!$S12,SUM('School Level ADM'!$M12:$O12)='School Level ADM'!$S12,SUM('School Level ADM'!$N12:$O12)='School Level ADM'!$S12),0,SUM('School Level ADM'!$O12:$R12)))</f>
        <v>0</v>
      </c>
      <c r="L12" s="139">
        <f t="shared" si="1"/>
        <v>313.22999999999996</v>
      </c>
      <c r="M12" s="24">
        <f>'Student At-Risk and ELL Proxy'!S12</f>
        <v>161</v>
      </c>
      <c r="N12" s="24">
        <f>'Student At-Risk and ELL Proxy'!AH12</f>
        <v>30</v>
      </c>
      <c r="O12" s="136">
        <f t="shared" si="7"/>
        <v>0.97562359978778979</v>
      </c>
      <c r="P12" s="136" t="str">
        <f t="shared" si="8"/>
        <v/>
      </c>
      <c r="Q12" s="136" t="str">
        <f t="shared" si="9"/>
        <v/>
      </c>
      <c r="R12" s="136">
        <f t="shared" si="2"/>
        <v>0.97562359978778979</v>
      </c>
      <c r="S12" s="136">
        <f>IF(SUM(3515.4*((VLOOKUP($A12,'District Level ADM'!$A$4:$F$52,6,FALSE))^-0.327)/'Model Data Inputs'!$B$71)&lt;1,1,(3515.4*((VLOOKUP($A12,'District Level ADM'!$A$4:$F$52,6,FALSE))^-0.327)/'Model Data Inputs'!$B$71))</f>
        <v>1.2318952399095215</v>
      </c>
      <c r="T12" s="136">
        <f>VLOOKUP($A12,'Regional Cost Adjustment'!$A$4:$C$52,3,FALSE)</f>
        <v>0.94</v>
      </c>
      <c r="U12" s="123">
        <f>((($I12/$L12)*'Model Data Inputs'!$B$85)+((SUM(J12:K12)/$L12)*'Model Data Inputs'!$C$85))*$R12*$T12</f>
        <v>5839.6267010026104</v>
      </c>
      <c r="V12" s="140">
        <f>((($I12/$L12)*'Model Data Inputs'!$B$86)+((SUM(J12:K12)/$L12)*'Model Data Inputs'!$C$86))*$R12</f>
        <v>1651.3646436321412</v>
      </c>
      <c r="W12" s="140">
        <f t="shared" si="10"/>
        <v>7490.9913446347518</v>
      </c>
      <c r="X12" s="140">
        <f t="shared" si="3"/>
        <v>1829146.2715550475</v>
      </c>
      <c r="Y12" s="140">
        <f t="shared" si="4"/>
        <v>517256.94732489553</v>
      </c>
      <c r="Z12" s="123">
        <f>IF((SUM(X12:Y12))&lt;(AVERAGE('Elementary Size Adjustment'!$B$66,'Secondary Size Adjustment'!$B$66)),(AVERAGE('Elementary Size Adjustment'!$B$66,'Secondary Size Adjustment'!$B$66)),SUM(X12:Y12))</f>
        <v>2346403.2188799428</v>
      </c>
      <c r="AA12" s="137">
        <f>'Model Data Inputs'!$B$71*S12*L12</f>
        <v>73314.643739403284</v>
      </c>
      <c r="AB12" s="137">
        <f>L12*'Model Data Inputs'!$B$72</f>
        <v>7830.7499999999991</v>
      </c>
      <c r="AC12" s="137">
        <f>L12*'Model Data Inputs'!$B$73</f>
        <v>78307.499999999985</v>
      </c>
      <c r="AD12" s="137">
        <f>L12*'Model Data Inputs'!$B$74</f>
        <v>39153.749999999993</v>
      </c>
      <c r="AE12" s="137">
        <f>$I12*'Model Data Inputs'!$B$76</f>
        <v>7451.7416999999987</v>
      </c>
      <c r="AF12" s="137">
        <f>VLOOKUP($J12,'Student Activities MS&amp;HS Tables'!$M$7:$O$1267,3)</f>
        <v>0</v>
      </c>
      <c r="AG12" s="137">
        <f>VLOOKUP($K12,'Student Activities MS&amp;HS Tables'!$I$7:$K$3007,3)</f>
        <v>0</v>
      </c>
      <c r="AH12" s="137">
        <f t="shared" si="5"/>
        <v>7451.7416999999987</v>
      </c>
      <c r="AI12" s="123">
        <f t="shared" si="11"/>
        <v>2552461.6043193461</v>
      </c>
      <c r="AJ12" s="123">
        <f>(('Model Data Inputs'!$B$90*(('Model Data Inputs'!$B$87*('School Level Inst. Resources'!I12/'School Level Inst. Resources'!L12))+('Model Data Inputs'!$C$87*(SUM('School Level Inst. Resources'!J12:K12)/'School Level Inst. Resources'!L12))))*T12*M12)</f>
        <v>365949.76514126023</v>
      </c>
      <c r="AK12" s="123">
        <f>(('Model Data Inputs'!$B$91*(('Model Data Inputs'!$B$87*('School Level Inst. Resources'!I12/'School Level Inst. Resources'!L12))+('Model Data Inputs'!$C$87*(SUM('School Level Inst. Resources'!J12:K12)/'School Level Inst. Resources'!L12))))*T12*N12)</f>
        <v>68189.397231290728</v>
      </c>
      <c r="AL12" s="137">
        <f>(K12*'Model Data Inputs'!$B$94)*T12</f>
        <v>0</v>
      </c>
      <c r="AM12" s="137">
        <f>K12*'Model Data Inputs'!$B$95</f>
        <v>0</v>
      </c>
      <c r="AN12" s="137">
        <f t="shared" si="12"/>
        <v>0</v>
      </c>
      <c r="AO12" s="137">
        <f>('School Level Inst. Resources'!K12*'Model Data Inputs'!$B$96)+('School Level Inst. Resources'!J12*'Model Data Inputs'!$B$97)</f>
        <v>0</v>
      </c>
      <c r="AP12" s="137">
        <f>$L12*'Model Data Inputs'!$B$100</f>
        <v>12529.199999999999</v>
      </c>
      <c r="AQ12" s="137">
        <f t="shared" si="13"/>
        <v>2999129.9666918973</v>
      </c>
      <c r="AR12" s="141">
        <f t="shared" si="6"/>
        <v>9574.8490460425164</v>
      </c>
    </row>
    <row r="13" spans="1:44" s="40" customFormat="1" ht="12.75" customHeight="1" x14ac:dyDescent="0.2">
      <c r="A13" s="20" t="s">
        <v>14</v>
      </c>
      <c r="B13" s="20" t="s">
        <v>15</v>
      </c>
      <c r="C13" s="20" t="s">
        <v>370</v>
      </c>
      <c r="D13" s="20" t="s">
        <v>371</v>
      </c>
      <c r="E13" s="138" t="s">
        <v>354</v>
      </c>
      <c r="F13" s="138" t="str">
        <f>IF(AND(SUM('School Level ADM'!$F13:$J13)=0,SUM('School Level ADM'!$O13:$R13)=0,'School Level ADM'!$K13&gt;0,'School Level ADM'!$N13&gt;0),"T","F")</f>
        <v>F</v>
      </c>
      <c r="G13" s="138" t="str">
        <f>IF(AND(SUM('School Level ADM'!$M13:$R13)=0,'School Level ADM'!$L13&gt;0),"T","F")</f>
        <v>F</v>
      </c>
      <c r="H13" s="138" t="str">
        <f t="shared" si="0"/>
        <v>E</v>
      </c>
      <c r="I13" s="139">
        <f>IF($F13="T",SUM('School Level ADM'!$F13:$J13),IF($G13="T",SUM('School Level ADM'!$F13:$L13),SUM('School Level ADM'!$F13:$K13,0)))</f>
        <v>321.11</v>
      </c>
      <c r="J13" s="139">
        <f>'School Level ADM'!$S13-$I13-$K13</f>
        <v>0</v>
      </c>
      <c r="K13" s="139">
        <f>IF(SUM('School Level ADM'!$N13:$R13)='School Level ADM'!$S13,SUM('School Level ADM'!$N13:$R13),IF(OR(SUM('School Level ADM'!$F13:$O13)='School Level ADM'!$S13,SUM('School Level ADM'!$G13:$O13)='School Level ADM'!$S13,SUM('School Level ADM'!$H13:$O13)='School Level ADM'!$S13,SUM('School Level ADM'!$I13:$O13)='School Level ADM'!$S13,SUM('School Level ADM'!$J13:$O13)='School Level ADM'!$S13,SUM('School Level ADM'!$K13:$O13)='School Level ADM'!$S13,SUM('School Level ADM'!$L13:$O13)='School Level ADM'!$S13,SUM('School Level ADM'!$M13:$O13)='School Level ADM'!$S13,SUM('School Level ADM'!$N13:$O13)='School Level ADM'!$S13),0,SUM('School Level ADM'!$O13:$R13)))</f>
        <v>0</v>
      </c>
      <c r="L13" s="139">
        <f t="shared" si="1"/>
        <v>321.11</v>
      </c>
      <c r="M13" s="24">
        <f>'Student At-Risk and ELL Proxy'!S13</f>
        <v>113</v>
      </c>
      <c r="N13" s="24">
        <f>'Student At-Risk and ELL Proxy'!AH13</f>
        <v>20</v>
      </c>
      <c r="O13" s="136">
        <f t="shared" si="7"/>
        <v>0.97</v>
      </c>
      <c r="P13" s="136" t="str">
        <f t="shared" si="8"/>
        <v/>
      </c>
      <c r="Q13" s="136" t="str">
        <f t="shared" si="9"/>
        <v/>
      </c>
      <c r="R13" s="136">
        <f t="shared" si="2"/>
        <v>0.97</v>
      </c>
      <c r="S13" s="136">
        <f>IF(SUM(3515.4*((VLOOKUP($A13,'District Level ADM'!$A$4:$F$52,6,FALSE))^-0.327)/'Model Data Inputs'!$B$71)&lt;1,1,(3515.4*((VLOOKUP($A13,'District Level ADM'!$A$4:$F$52,6,FALSE))^-0.327)/'Model Data Inputs'!$B$71))</f>
        <v>1.2318952399095215</v>
      </c>
      <c r="T13" s="136">
        <f>VLOOKUP($A13,'Regional Cost Adjustment'!$A$4:$C$52,3,FALSE)</f>
        <v>0.94</v>
      </c>
      <c r="U13" s="123">
        <f>((($I13/$L13)*'Model Data Inputs'!$B$85)+((SUM(J13:K13)/$L13)*'Model Data Inputs'!$C$85))*$R13*$T13</f>
        <v>5805.9664620706362</v>
      </c>
      <c r="V13" s="140">
        <f>((($I13/$L13)*'Model Data Inputs'!$B$86)+((SUM(J13:K13)/$L13)*'Model Data Inputs'!$C$86))*$R13</f>
        <v>1641.8459994936507</v>
      </c>
      <c r="W13" s="140">
        <f t="shared" si="10"/>
        <v>7447.8124615642864</v>
      </c>
      <c r="X13" s="140">
        <f t="shared" si="3"/>
        <v>1864353.8906355021</v>
      </c>
      <c r="Y13" s="140">
        <f t="shared" si="4"/>
        <v>527213.1688974062</v>
      </c>
      <c r="Z13" s="123">
        <f>IF((SUM(X13:Y13))&lt;(AVERAGE('Elementary Size Adjustment'!$B$66,'Secondary Size Adjustment'!$B$66)),(AVERAGE('Elementary Size Adjustment'!$B$66,'Secondary Size Adjustment'!$B$66)),SUM(X13:Y13))</f>
        <v>2391567.0595329083</v>
      </c>
      <c r="AA13" s="137">
        <f>'Model Data Inputs'!$B$71*S13*L13</f>
        <v>75159.037292595822</v>
      </c>
      <c r="AB13" s="137">
        <f>L13*'Model Data Inputs'!$B$72</f>
        <v>8027.75</v>
      </c>
      <c r="AC13" s="137">
        <f>L13*'Model Data Inputs'!$B$73</f>
        <v>80277.5</v>
      </c>
      <c r="AD13" s="137">
        <f>L13*'Model Data Inputs'!$B$74</f>
        <v>40138.75</v>
      </c>
      <c r="AE13" s="137">
        <f>$I13*'Model Data Inputs'!$B$76</f>
        <v>7639.2069000000001</v>
      </c>
      <c r="AF13" s="137">
        <f>VLOOKUP($J13,'Student Activities MS&amp;HS Tables'!$M$7:$O$1267,3)</f>
        <v>0</v>
      </c>
      <c r="AG13" s="137">
        <f>VLOOKUP($K13,'Student Activities MS&amp;HS Tables'!$I$7:$K$3007,3)</f>
        <v>0</v>
      </c>
      <c r="AH13" s="137">
        <f t="shared" si="5"/>
        <v>7639.2069000000001</v>
      </c>
      <c r="AI13" s="123">
        <f t="shared" si="11"/>
        <v>2602809.3037255043</v>
      </c>
      <c r="AJ13" s="123">
        <f>(('Model Data Inputs'!$B$90*(('Model Data Inputs'!$B$87*('School Level Inst. Resources'!I13/'School Level Inst. Resources'!L13))+('Model Data Inputs'!$C$87*(SUM('School Level Inst. Resources'!J13:K13)/'School Level Inst. Resources'!L13))))*T13*M13)</f>
        <v>256846.72957119509</v>
      </c>
      <c r="AK13" s="123">
        <f>(('Model Data Inputs'!$B$91*(('Model Data Inputs'!$B$87*('School Level Inst. Resources'!I13/'School Level Inst. Resources'!L13))+('Model Data Inputs'!$C$87*(SUM('School Level Inst. Resources'!J13:K13)/'School Level Inst. Resources'!L13))))*T13*N13)</f>
        <v>45459.598154193816</v>
      </c>
      <c r="AL13" s="137">
        <f>(K13*'Model Data Inputs'!$B$94)*T13</f>
        <v>0</v>
      </c>
      <c r="AM13" s="137">
        <f>K13*'Model Data Inputs'!$B$95</f>
        <v>0</v>
      </c>
      <c r="AN13" s="137">
        <f t="shared" si="12"/>
        <v>0</v>
      </c>
      <c r="AO13" s="137">
        <f>('School Level Inst. Resources'!K13*'Model Data Inputs'!$B$96)+('School Level Inst. Resources'!J13*'Model Data Inputs'!$B$97)</f>
        <v>0</v>
      </c>
      <c r="AP13" s="137">
        <f>$L13*'Model Data Inputs'!$B$100</f>
        <v>12844.400000000001</v>
      </c>
      <c r="AQ13" s="137">
        <f t="shared" si="13"/>
        <v>2917960.0314508933</v>
      </c>
      <c r="AR13" s="141">
        <f t="shared" si="6"/>
        <v>9087.1042055709677</v>
      </c>
    </row>
    <row r="14" spans="1:44" s="40" customFormat="1" ht="12.75" customHeight="1" x14ac:dyDescent="0.2">
      <c r="A14" s="20" t="s">
        <v>14</v>
      </c>
      <c r="B14" s="20" t="s">
        <v>15</v>
      </c>
      <c r="C14" s="20" t="s">
        <v>372</v>
      </c>
      <c r="D14" s="20" t="s">
        <v>373</v>
      </c>
      <c r="E14" s="138" t="s">
        <v>354</v>
      </c>
      <c r="F14" s="138" t="str">
        <f>IF(AND(SUM('School Level ADM'!$F14:$J14)=0,SUM('School Level ADM'!$O14:$R14)=0,'School Level ADM'!$K14&gt;0,'School Level ADM'!$N14&gt;0),"T","F")</f>
        <v>F</v>
      </c>
      <c r="G14" s="138" t="str">
        <f>IF(AND(SUM('School Level ADM'!$M14:$R14)=0,'School Level ADM'!$L14&gt;0),"T","F")</f>
        <v>F</v>
      </c>
      <c r="H14" s="138" t="str">
        <f t="shared" si="0"/>
        <v>E</v>
      </c>
      <c r="I14" s="139">
        <f>IF($F14="T",SUM('School Level ADM'!$F14:$J14),IF($G14="T",SUM('School Level ADM'!$F14:$L14),SUM('School Level ADM'!$F14:$K14,0)))</f>
        <v>330.96</v>
      </c>
      <c r="J14" s="139">
        <f>'School Level ADM'!$S14-$I14-$K14</f>
        <v>0</v>
      </c>
      <c r="K14" s="139">
        <f>IF(SUM('School Level ADM'!$N14:$R14)='School Level ADM'!$S14,SUM('School Level ADM'!$N14:$R14),IF(OR(SUM('School Level ADM'!$F14:$O14)='School Level ADM'!$S14,SUM('School Level ADM'!$G14:$O14)='School Level ADM'!$S14,SUM('School Level ADM'!$H14:$O14)='School Level ADM'!$S14,SUM('School Level ADM'!$I14:$O14)='School Level ADM'!$S14,SUM('School Level ADM'!$J14:$O14)='School Level ADM'!$S14,SUM('School Level ADM'!$K14:$O14)='School Level ADM'!$S14,SUM('School Level ADM'!$L14:$O14)='School Level ADM'!$S14,SUM('School Level ADM'!$M14:$O14)='School Level ADM'!$S14,SUM('School Level ADM'!$N14:$O14)='School Level ADM'!$S14),0,SUM('School Level ADM'!$O14:$R14)))</f>
        <v>0</v>
      </c>
      <c r="L14" s="139">
        <f t="shared" si="1"/>
        <v>330.96</v>
      </c>
      <c r="M14" s="24">
        <f>'Student At-Risk and ELL Proxy'!S14</f>
        <v>69</v>
      </c>
      <c r="N14" s="24">
        <f>'Student At-Risk and ELL Proxy'!AH14</f>
        <v>20</v>
      </c>
      <c r="O14" s="136">
        <f t="shared" si="7"/>
        <v>0.97</v>
      </c>
      <c r="P14" s="136" t="str">
        <f t="shared" si="8"/>
        <v/>
      </c>
      <c r="Q14" s="136" t="str">
        <f t="shared" si="9"/>
        <v/>
      </c>
      <c r="R14" s="136">
        <f t="shared" si="2"/>
        <v>0.97</v>
      </c>
      <c r="S14" s="136">
        <f>IF(SUM(3515.4*((VLOOKUP($A14,'District Level ADM'!$A$4:$F$52,6,FALSE))^-0.327)/'Model Data Inputs'!$B$71)&lt;1,1,(3515.4*((VLOOKUP($A14,'District Level ADM'!$A$4:$F$52,6,FALSE))^-0.327)/'Model Data Inputs'!$B$71))</f>
        <v>1.2318952399095215</v>
      </c>
      <c r="T14" s="136">
        <f>VLOOKUP($A14,'Regional Cost Adjustment'!$A$4:$C$52,3,FALSE)</f>
        <v>0.94</v>
      </c>
      <c r="U14" s="123">
        <f>((($I14/$L14)*'Model Data Inputs'!$B$85)+((SUM(J14:K14)/$L14)*'Model Data Inputs'!$C$85))*$R14*$T14</f>
        <v>5805.9664620706362</v>
      </c>
      <c r="V14" s="140">
        <f>((($I14/$L14)*'Model Data Inputs'!$B$86)+((SUM(J14:K14)/$L14)*'Model Data Inputs'!$C$86))*$R14</f>
        <v>1641.8459994936507</v>
      </c>
      <c r="W14" s="140">
        <f t="shared" si="10"/>
        <v>7447.8124615642864</v>
      </c>
      <c r="X14" s="140">
        <f t="shared" si="3"/>
        <v>1921542.6602868976</v>
      </c>
      <c r="Y14" s="140">
        <f t="shared" si="4"/>
        <v>543385.35199241864</v>
      </c>
      <c r="Z14" s="123">
        <f>IF((SUM(X14:Y14))&lt;(AVERAGE('Elementary Size Adjustment'!$B$66,'Secondary Size Adjustment'!$B$66)),(AVERAGE('Elementary Size Adjustment'!$B$66,'Secondary Size Adjustment'!$B$66)),SUM(X14:Y14))</f>
        <v>2464928.0122793163</v>
      </c>
      <c r="AA14" s="137">
        <f>'Model Data Inputs'!$B$71*S14*L14</f>
        <v>77464.529234086483</v>
      </c>
      <c r="AB14" s="137">
        <f>L14*'Model Data Inputs'!$B$72</f>
        <v>8274</v>
      </c>
      <c r="AC14" s="137">
        <f>L14*'Model Data Inputs'!$B$73</f>
        <v>82740</v>
      </c>
      <c r="AD14" s="137">
        <f>L14*'Model Data Inputs'!$B$74</f>
        <v>41370</v>
      </c>
      <c r="AE14" s="137">
        <f>$I14*'Model Data Inputs'!$B$76</f>
        <v>7873.5383999999995</v>
      </c>
      <c r="AF14" s="137">
        <f>VLOOKUP($J14,'Student Activities MS&amp;HS Tables'!$M$7:$O$1267,3)</f>
        <v>0</v>
      </c>
      <c r="AG14" s="137">
        <f>VLOOKUP($K14,'Student Activities MS&amp;HS Tables'!$I$7:$K$3007,3)</f>
        <v>0</v>
      </c>
      <c r="AH14" s="137">
        <f t="shared" si="5"/>
        <v>7873.5383999999995</v>
      </c>
      <c r="AI14" s="123">
        <f t="shared" si="11"/>
        <v>2682650.0799134029</v>
      </c>
      <c r="AJ14" s="123">
        <f>(('Model Data Inputs'!$B$90*(('Model Data Inputs'!$B$87*('School Level Inst. Resources'!I14/'School Level Inst. Resources'!L14))+('Model Data Inputs'!$C$87*(SUM('School Level Inst. Resources'!J14:K14)/'School Level Inst. Resources'!L14))))*T14*M14)</f>
        <v>156835.61363196868</v>
      </c>
      <c r="AK14" s="123">
        <f>(('Model Data Inputs'!$B$91*(('Model Data Inputs'!$B$87*('School Level Inst. Resources'!I14/'School Level Inst. Resources'!L14))+('Model Data Inputs'!$C$87*(SUM('School Level Inst. Resources'!J14:K14)/'School Level Inst. Resources'!L14))))*T14*N14)</f>
        <v>45459.598154193816</v>
      </c>
      <c r="AL14" s="137">
        <f>(K14*'Model Data Inputs'!$B$94)*T14</f>
        <v>0</v>
      </c>
      <c r="AM14" s="137">
        <f>K14*'Model Data Inputs'!$B$95</f>
        <v>0</v>
      </c>
      <c r="AN14" s="137">
        <f t="shared" si="12"/>
        <v>0</v>
      </c>
      <c r="AO14" s="137">
        <f>('School Level Inst. Resources'!K14*'Model Data Inputs'!$B$96)+('School Level Inst. Resources'!J14*'Model Data Inputs'!$B$97)</f>
        <v>0</v>
      </c>
      <c r="AP14" s="137">
        <f>$L14*'Model Data Inputs'!$B$100</f>
        <v>13238.4</v>
      </c>
      <c r="AQ14" s="137">
        <f t="shared" si="13"/>
        <v>2898183.6916995654</v>
      </c>
      <c r="AR14" s="141">
        <f t="shared" si="6"/>
        <v>8756.9002045551297</v>
      </c>
    </row>
    <row r="15" spans="1:44" s="40" customFormat="1" ht="12.75" customHeight="1" x14ac:dyDescent="0.2">
      <c r="A15" s="20" t="s">
        <v>14</v>
      </c>
      <c r="B15" s="20" t="s">
        <v>15</v>
      </c>
      <c r="C15" s="20" t="s">
        <v>374</v>
      </c>
      <c r="D15" s="20" t="s">
        <v>375</v>
      </c>
      <c r="E15" s="138" t="s">
        <v>376</v>
      </c>
      <c r="F15" s="138" t="str">
        <f>IF(AND(SUM('School Level ADM'!$F15:$J15)=0,SUM('School Level ADM'!$O15:$R15)=0,'School Level ADM'!$K15&gt;0,'School Level ADM'!$N15&gt;0),"T","F")</f>
        <v>F</v>
      </c>
      <c r="G15" s="138" t="str">
        <f>IF(AND(SUM('School Level ADM'!$M15:$R15)=0,'School Level ADM'!$L15&gt;0),"T","F")</f>
        <v>F</v>
      </c>
      <c r="H15" s="138" t="str">
        <f t="shared" si="0"/>
        <v>M</v>
      </c>
      <c r="I15" s="139">
        <f>IF($F15="T",SUM('School Level ADM'!$F15:$J15),IF($G15="T",SUM('School Level ADM'!$F15:$L15),SUM('School Level ADM'!$F15:$K15,0)))</f>
        <v>176.315</v>
      </c>
      <c r="J15" s="139">
        <f>'School Level ADM'!$S15-$I15-$K15</f>
        <v>86.68</v>
      </c>
      <c r="K15" s="139">
        <f>IF(SUM('School Level ADM'!$N15:$R15)='School Level ADM'!$S15,SUM('School Level ADM'!$N15:$R15),IF(OR(SUM('School Level ADM'!$F15:$O15)='School Level ADM'!$S15,SUM('School Level ADM'!$G15:$O15)='School Level ADM'!$S15,SUM('School Level ADM'!$H15:$O15)='School Level ADM'!$S15,SUM('School Level ADM'!$I15:$O15)='School Level ADM'!$S15,SUM('School Level ADM'!$J15:$O15)='School Level ADM'!$S15,SUM('School Level ADM'!$K15:$O15)='School Level ADM'!$S15,SUM('School Level ADM'!$L15:$O15)='School Level ADM'!$S15,SUM('School Level ADM'!$M15:$O15)='School Level ADM'!$S15,SUM('School Level ADM'!$N15:$O15)='School Level ADM'!$S15),0,SUM('School Level ADM'!$O15:$R15)))</f>
        <v>0</v>
      </c>
      <c r="L15" s="139">
        <f t="shared" si="1"/>
        <v>262.995</v>
      </c>
      <c r="M15" s="24">
        <f>'Student At-Risk and ELL Proxy'!S15</f>
        <v>47</v>
      </c>
      <c r="N15" s="24">
        <f>'Student At-Risk and ELL Proxy'!AH15</f>
        <v>5</v>
      </c>
      <c r="O15" s="136">
        <f t="shared" si="7"/>
        <v>1.045916005129125</v>
      </c>
      <c r="P15" s="136">
        <f t="shared" si="8"/>
        <v>1.2909253365243643</v>
      </c>
      <c r="Q15" s="136" t="str">
        <f t="shared" si="9"/>
        <v/>
      </c>
      <c r="R15" s="136">
        <f t="shared" si="2"/>
        <v>1.1266681443155708</v>
      </c>
      <c r="S15" s="136">
        <f>IF(SUM(3515.4*((VLOOKUP($A15,'District Level ADM'!$A$4:$F$52,6,FALSE))^-0.327)/'Model Data Inputs'!$B$71)&lt;1,1,(3515.4*((VLOOKUP($A15,'District Level ADM'!$A$4:$F$52,6,FALSE))^-0.327)/'Model Data Inputs'!$B$71))</f>
        <v>1.2318952399095215</v>
      </c>
      <c r="T15" s="136">
        <f>VLOOKUP($A15,'Regional Cost Adjustment'!$A$4:$C$52,3,FALSE)</f>
        <v>0.94</v>
      </c>
      <c r="U15" s="123">
        <f>((($I15/$L15)*'Model Data Inputs'!$B$85)+((SUM(J15:K15)/$L15)*'Model Data Inputs'!$C$85))*$R15*$T15</f>
        <v>6399.9588622099791</v>
      </c>
      <c r="V15" s="140">
        <f>((($I15/$L15)*'Model Data Inputs'!$B$86)+((SUM(J15:K15)/$L15)*'Model Data Inputs'!$C$86))*$R15</f>
        <v>1810.6582993022209</v>
      </c>
      <c r="W15" s="140">
        <f t="shared" si="10"/>
        <v>8210.6171615122003</v>
      </c>
      <c r="X15" s="140">
        <f t="shared" si="3"/>
        <v>1683157.1809669135</v>
      </c>
      <c r="Y15" s="140">
        <f t="shared" si="4"/>
        <v>476194.07942498761</v>
      </c>
      <c r="Z15" s="123">
        <f>IF((SUM(X15:Y15))&lt;(AVERAGE('Elementary Size Adjustment'!$B$66,'Secondary Size Adjustment'!$B$66)),(AVERAGE('Elementary Size Adjustment'!$B$66,'Secondary Size Adjustment'!$B$66)),SUM(X15:Y15))</f>
        <v>2159351.2603919012</v>
      </c>
      <c r="AA15" s="137">
        <f>'Model Data Inputs'!$B$71*S15*L15</f>
        <v>61556.634837800877</v>
      </c>
      <c r="AB15" s="137">
        <f>L15*'Model Data Inputs'!$B$72</f>
        <v>6574.875</v>
      </c>
      <c r="AC15" s="137">
        <f>L15*'Model Data Inputs'!$B$73</f>
        <v>65748.75</v>
      </c>
      <c r="AD15" s="137">
        <f>L15*'Model Data Inputs'!$B$74</f>
        <v>32874.375</v>
      </c>
      <c r="AE15" s="137">
        <f>$I15*'Model Data Inputs'!$B$76</f>
        <v>4194.5338499999998</v>
      </c>
      <c r="AF15" s="137">
        <f>VLOOKUP($J15,'Student Activities MS&amp;HS Tables'!$M$7:$O$1267,3)</f>
        <v>49910.96</v>
      </c>
      <c r="AG15" s="137">
        <f>VLOOKUP($K15,'Student Activities MS&amp;HS Tables'!$I$7:$K$3007,3)</f>
        <v>0</v>
      </c>
      <c r="AH15" s="137">
        <f t="shared" si="5"/>
        <v>54105.493849999999</v>
      </c>
      <c r="AI15" s="123">
        <f t="shared" si="11"/>
        <v>2380211.3890797026</v>
      </c>
      <c r="AJ15" s="123">
        <f>(('Model Data Inputs'!$B$90*(('Model Data Inputs'!$B$87*('School Level Inst. Resources'!I15/'School Level Inst. Resources'!L15))+('Model Data Inputs'!$C$87*(SUM('School Level Inst. Resources'!J15:K15)/'School Level Inst. Resources'!L15))))*T15*M15)</f>
        <v>101394.43955390224</v>
      </c>
      <c r="AK15" s="123">
        <f>(('Model Data Inputs'!$B$91*(('Model Data Inputs'!$B$87*('School Level Inst. Resources'!I15/'School Level Inst. Resources'!L15))+('Model Data Inputs'!$C$87*(SUM('School Level Inst. Resources'!J15:K15)/'School Level Inst. Resources'!L15))))*T15*N15)</f>
        <v>10786.64250573428</v>
      </c>
      <c r="AL15" s="137">
        <f>(K15*'Model Data Inputs'!$B$94)*T15</f>
        <v>0</v>
      </c>
      <c r="AM15" s="137">
        <f>K15*'Model Data Inputs'!$B$95</f>
        <v>0</v>
      </c>
      <c r="AN15" s="137">
        <f t="shared" si="12"/>
        <v>0</v>
      </c>
      <c r="AO15" s="137">
        <f>('School Level Inst. Resources'!K15*'Model Data Inputs'!$B$96)+('School Level Inst. Resources'!J15*'Model Data Inputs'!$B$97)</f>
        <v>2167</v>
      </c>
      <c r="AP15" s="137">
        <f>$L15*'Model Data Inputs'!$B$100</f>
        <v>10519.8</v>
      </c>
      <c r="AQ15" s="137">
        <f t="shared" si="13"/>
        <v>2505079.2711393386</v>
      </c>
      <c r="AR15" s="141">
        <f t="shared" si="6"/>
        <v>9525.1973274751945</v>
      </c>
    </row>
    <row r="16" spans="1:44" s="40" customFormat="1" ht="12.75" customHeight="1" x14ac:dyDescent="0.2">
      <c r="A16" s="20" t="s">
        <v>14</v>
      </c>
      <c r="B16" s="20" t="s">
        <v>15</v>
      </c>
      <c r="C16" s="20" t="s">
        <v>377</v>
      </c>
      <c r="D16" s="20" t="s">
        <v>378</v>
      </c>
      <c r="E16" s="138" t="s">
        <v>357</v>
      </c>
      <c r="F16" s="138" t="str">
        <f>IF(AND(SUM('School Level ADM'!$F16:$J16)=0,SUM('School Level ADM'!$O16:$R16)=0,'School Level ADM'!$K16&gt;0,'School Level ADM'!$N16&gt;0),"T","F")</f>
        <v>F</v>
      </c>
      <c r="G16" s="138" t="str">
        <f>IF(AND(SUM('School Level ADM'!$M16:$R16)=0,'School Level ADM'!$L16&gt;0),"T","F")</f>
        <v>T</v>
      </c>
      <c r="H16" s="138" t="str">
        <f t="shared" si="0"/>
        <v>E</v>
      </c>
      <c r="I16" s="139">
        <f>IF($F16="T",SUM('School Level ADM'!$F16:$J16),IF($G16="T",SUM('School Level ADM'!$F16:$L16),SUM('School Level ADM'!$F16:$K16,0)))</f>
        <v>78.8</v>
      </c>
      <c r="J16" s="139">
        <f>'School Level ADM'!$S16-$I16-$K16</f>
        <v>0</v>
      </c>
      <c r="K16" s="139">
        <f>IF(SUM('School Level ADM'!$N16:$R16)='School Level ADM'!$S16,SUM('School Level ADM'!$N16:$R16),IF(OR(SUM('School Level ADM'!$F16:$O16)='School Level ADM'!$S16,SUM('School Level ADM'!$G16:$O16)='School Level ADM'!$S16,SUM('School Level ADM'!$H16:$O16)='School Level ADM'!$S16,SUM('School Level ADM'!$I16:$O16)='School Level ADM'!$S16,SUM('School Level ADM'!$J16:$O16)='School Level ADM'!$S16,SUM('School Level ADM'!$K16:$O16)='School Level ADM'!$S16,SUM('School Level ADM'!$L16:$O16)='School Level ADM'!$S16,SUM('School Level ADM'!$M16:$O16)='School Level ADM'!$S16,SUM('School Level ADM'!$N16:$O16)='School Level ADM'!$S16),0,SUM('School Level ADM'!$O16:$R16)))</f>
        <v>0</v>
      </c>
      <c r="L16" s="139">
        <f t="shared" si="1"/>
        <v>78.8</v>
      </c>
      <c r="M16" s="24">
        <f>'Student At-Risk and ELL Proxy'!S16</f>
        <v>34</v>
      </c>
      <c r="N16" s="24">
        <f>'Student At-Risk and ELL Proxy'!AH16</f>
        <v>2</v>
      </c>
      <c r="O16" s="136">
        <f t="shared" si="7"/>
        <v>1.6897345183100796</v>
      </c>
      <c r="P16" s="136" t="str">
        <f t="shared" si="8"/>
        <v/>
      </c>
      <c r="Q16" s="136" t="str">
        <f t="shared" si="9"/>
        <v/>
      </c>
      <c r="R16" s="136">
        <f t="shared" si="2"/>
        <v>1.6897345183100796</v>
      </c>
      <c r="S16" s="136">
        <f>IF(SUM(3515.4*((VLOOKUP($A16,'District Level ADM'!$A$4:$F$52,6,FALSE))^-0.327)/'Model Data Inputs'!$B$71)&lt;1,1,(3515.4*((VLOOKUP($A16,'District Level ADM'!$A$4:$F$52,6,FALSE))^-0.327)/'Model Data Inputs'!$B$71))</f>
        <v>1.2318952399095215</v>
      </c>
      <c r="T16" s="136">
        <f>VLOOKUP($A16,'Regional Cost Adjustment'!$A$4:$C$52,3,FALSE)</f>
        <v>0.94</v>
      </c>
      <c r="U16" s="123">
        <f>((($I16/$L16)*'Model Data Inputs'!$B$85)+((SUM(J16:K16)/$L16)*'Model Data Inputs'!$C$85))*$R16*$T16</f>
        <v>10113.960766094231</v>
      </c>
      <c r="V16" s="140">
        <f>((($I16/$L16)*'Model Data Inputs'!$B$86)+((SUM(J16:K16)/$L16)*'Model Data Inputs'!$C$86))*$R16</f>
        <v>2860.0864526739533</v>
      </c>
      <c r="W16" s="140">
        <f t="shared" si="10"/>
        <v>12974.047218768184</v>
      </c>
      <c r="X16" s="140">
        <f t="shared" si="3"/>
        <v>796980.1083682254</v>
      </c>
      <c r="Y16" s="140">
        <f t="shared" si="4"/>
        <v>225374.81247070752</v>
      </c>
      <c r="Z16" s="123">
        <f>IF((SUM(X16:Y16))&lt;(AVERAGE('Elementary Size Adjustment'!$B$66,'Secondary Size Adjustment'!$B$66)),(AVERAGE('Elementary Size Adjustment'!$B$66,'Secondary Size Adjustment'!$B$66)),SUM(X16:Y16))</f>
        <v>1022354.920838933</v>
      </c>
      <c r="AA16" s="137">
        <f>'Model Data Inputs'!$B$71*S16*L16</f>
        <v>18443.935531925355</v>
      </c>
      <c r="AB16" s="137">
        <f>L16*'Model Data Inputs'!$B$72</f>
        <v>1970</v>
      </c>
      <c r="AC16" s="137">
        <f>L16*'Model Data Inputs'!$B$73</f>
        <v>19700</v>
      </c>
      <c r="AD16" s="137">
        <f>L16*'Model Data Inputs'!$B$74</f>
        <v>9850</v>
      </c>
      <c r="AE16" s="137">
        <f>$I16*'Model Data Inputs'!$B$76</f>
        <v>1874.6519999999998</v>
      </c>
      <c r="AF16" s="137">
        <f>VLOOKUP($J16,'Student Activities MS&amp;HS Tables'!$M$7:$O$1267,3)</f>
        <v>0</v>
      </c>
      <c r="AG16" s="137">
        <f>VLOOKUP($K16,'Student Activities MS&amp;HS Tables'!$I$7:$K$3007,3)</f>
        <v>0</v>
      </c>
      <c r="AH16" s="137">
        <f t="shared" si="5"/>
        <v>1874.6519999999998</v>
      </c>
      <c r="AI16" s="123">
        <f t="shared" si="11"/>
        <v>1074193.5083708584</v>
      </c>
      <c r="AJ16" s="123">
        <f>(('Model Data Inputs'!$B$90*(('Model Data Inputs'!$B$87*('School Level Inst. Resources'!I16/'School Level Inst. Resources'!L16))+('Model Data Inputs'!$C$87*(SUM('School Level Inst. Resources'!J16:K16)/'School Level Inst. Resources'!L16))))*T16*M16)</f>
        <v>77281.31686212949</v>
      </c>
      <c r="AK16" s="123">
        <f>(('Model Data Inputs'!$B$91*(('Model Data Inputs'!$B$87*('School Level Inst. Resources'!I16/'School Level Inst. Resources'!L16))+('Model Data Inputs'!$C$87*(SUM('School Level Inst. Resources'!J16:K16)/'School Level Inst. Resources'!L16))))*T16*N16)</f>
        <v>4545.9598154193818</v>
      </c>
      <c r="AL16" s="137">
        <f>(K16*'Model Data Inputs'!$B$94)*T16</f>
        <v>0</v>
      </c>
      <c r="AM16" s="137">
        <f>K16*'Model Data Inputs'!$B$95</f>
        <v>0</v>
      </c>
      <c r="AN16" s="137">
        <f t="shared" si="12"/>
        <v>0</v>
      </c>
      <c r="AO16" s="137">
        <f>('School Level Inst. Resources'!K16*'Model Data Inputs'!$B$96)+('School Level Inst. Resources'!J16*'Model Data Inputs'!$B$97)</f>
        <v>0</v>
      </c>
      <c r="AP16" s="137">
        <f>$L16*'Model Data Inputs'!$B$100</f>
        <v>3152</v>
      </c>
      <c r="AQ16" s="137">
        <f t="shared" si="13"/>
        <v>1159172.785048407</v>
      </c>
      <c r="AR16" s="141">
        <f t="shared" si="6"/>
        <v>14710.314531071155</v>
      </c>
    </row>
    <row r="17" spans="1:44" s="40" customFormat="1" ht="12.75" customHeight="1" x14ac:dyDescent="0.2">
      <c r="A17" s="20" t="s">
        <v>14</v>
      </c>
      <c r="B17" s="20" t="s">
        <v>15</v>
      </c>
      <c r="C17" s="20" t="s">
        <v>379</v>
      </c>
      <c r="D17" s="20" t="s">
        <v>380</v>
      </c>
      <c r="E17" s="138" t="s">
        <v>376</v>
      </c>
      <c r="F17" s="138" t="str">
        <f>IF(AND(SUM('School Level ADM'!$F17:$J17)=0,SUM('School Level ADM'!$O17:$R17)=0,'School Level ADM'!$K17&gt;0,'School Level ADM'!$N17&gt;0),"T","F")</f>
        <v>F</v>
      </c>
      <c r="G17" s="138" t="str">
        <f>IF(AND(SUM('School Level ADM'!$M17:$R17)=0,'School Level ADM'!$L17&gt;0),"T","F")</f>
        <v>F</v>
      </c>
      <c r="H17" s="138" t="str">
        <f t="shared" si="0"/>
        <v>E</v>
      </c>
      <c r="I17" s="139">
        <f>IF($F17="T",SUM('School Level ADM'!$F17:$J17),IF($G17="T",SUM('School Level ADM'!$F17:$L17),SUM('School Level ADM'!$F17:$K17,0)))</f>
        <v>0.98499999999999999</v>
      </c>
      <c r="J17" s="139">
        <f>'School Level ADM'!$S17-$I17-$K17</f>
        <v>0</v>
      </c>
      <c r="K17" s="139">
        <f>IF(SUM('School Level ADM'!$N17:$R17)='School Level ADM'!$S17,SUM('School Level ADM'!$N17:$R17),IF(OR(SUM('School Level ADM'!$F17:$O17)='School Level ADM'!$S17,SUM('School Level ADM'!$G17:$O17)='School Level ADM'!$S17,SUM('School Level ADM'!$H17:$O17)='School Level ADM'!$S17,SUM('School Level ADM'!$I17:$O17)='School Level ADM'!$S17,SUM('School Level ADM'!$J17:$O17)='School Level ADM'!$S17,SUM('School Level ADM'!$K17:$O17)='School Level ADM'!$S17,SUM('School Level ADM'!$L17:$O17)='School Level ADM'!$S17,SUM('School Level ADM'!$M17:$O17)='School Level ADM'!$S17,SUM('School Level ADM'!$N17:$O17)='School Level ADM'!$S17),0,SUM('School Level ADM'!$O17:$R17)))</f>
        <v>0</v>
      </c>
      <c r="L17" s="139">
        <f t="shared" si="1"/>
        <v>0.98499999999999999</v>
      </c>
      <c r="M17" s="24">
        <f>'Student At-Risk and ELL Proxy'!S17</f>
        <v>0</v>
      </c>
      <c r="N17" s="24">
        <f>'Student At-Risk and ELL Proxy'!AH17</f>
        <v>0</v>
      </c>
      <c r="O17" s="136">
        <f t="shared" si="7"/>
        <v>9.6660333865672001</v>
      </c>
      <c r="P17" s="136" t="str">
        <f t="shared" si="8"/>
        <v/>
      </c>
      <c r="Q17" s="136" t="str">
        <f t="shared" si="9"/>
        <v/>
      </c>
      <c r="R17" s="136">
        <f t="shared" si="2"/>
        <v>9.6660333865672001</v>
      </c>
      <c r="S17" s="136">
        <f>IF(SUM(3515.4*((VLOOKUP($A17,'District Level ADM'!$A$4:$F$52,6,FALSE))^-0.327)/'Model Data Inputs'!$B$71)&lt;1,1,(3515.4*((VLOOKUP($A17,'District Level ADM'!$A$4:$F$52,6,FALSE))^-0.327)/'Model Data Inputs'!$B$71))</f>
        <v>1.2318952399095215</v>
      </c>
      <c r="T17" s="136">
        <f>VLOOKUP($A17,'Regional Cost Adjustment'!$A$4:$C$52,3,FALSE)</f>
        <v>0.94</v>
      </c>
      <c r="U17" s="123">
        <f>((($I17/$L17)*'Model Data Inputs'!$B$85)+((SUM(J17:K17)/$L17)*'Model Data Inputs'!$C$85))*$R17*$T17</f>
        <v>57856.356354293006</v>
      </c>
      <c r="V17" s="140">
        <f>((($I17/$L17)*'Model Data Inputs'!$B$86)+((SUM(J17:K17)/$L17)*'Model Data Inputs'!$C$86))*$R17</f>
        <v>16360.967264646826</v>
      </c>
      <c r="W17" s="140">
        <f t="shared" si="10"/>
        <v>74217.32361893983</v>
      </c>
      <c r="X17" s="140">
        <f t="shared" si="3"/>
        <v>56988.51100897861</v>
      </c>
      <c r="Y17" s="140">
        <f t="shared" si="4"/>
        <v>16115.552755677123</v>
      </c>
      <c r="Z17" s="123">
        <f>IF((SUM(X17:Y17))&lt;(AVERAGE('Elementary Size Adjustment'!$B$66,'Secondary Size Adjustment'!$B$66)),(AVERAGE('Elementary Size Adjustment'!$B$66,'Secondary Size Adjustment'!$B$66)),SUM(X17:Y17))</f>
        <v>143474.22151540525</v>
      </c>
      <c r="AA17" s="137">
        <f>'Model Data Inputs'!$B$71*S17*L17</f>
        <v>230.54919414906695</v>
      </c>
      <c r="AB17" s="137">
        <f>L17*'Model Data Inputs'!$B$72</f>
        <v>24.625</v>
      </c>
      <c r="AC17" s="137">
        <f>L17*'Model Data Inputs'!$B$73</f>
        <v>246.25</v>
      </c>
      <c r="AD17" s="137">
        <f>L17*'Model Data Inputs'!$B$74</f>
        <v>123.125</v>
      </c>
      <c r="AE17" s="137">
        <f>$I17*'Model Data Inputs'!$B$76</f>
        <v>23.433149999999998</v>
      </c>
      <c r="AF17" s="137">
        <f>VLOOKUP($J17,'Student Activities MS&amp;HS Tables'!$M$7:$O$1267,3)</f>
        <v>0</v>
      </c>
      <c r="AG17" s="137">
        <f>VLOOKUP($K17,'Student Activities MS&amp;HS Tables'!$I$7:$K$3007,3)</f>
        <v>0</v>
      </c>
      <c r="AH17" s="137">
        <f t="shared" si="5"/>
        <v>23.433149999999998</v>
      </c>
      <c r="AI17" s="123">
        <f t="shared" si="11"/>
        <v>144122.20385955431</v>
      </c>
      <c r="AJ17" s="123">
        <f>(('Model Data Inputs'!$B$90*(('Model Data Inputs'!$B$87*('School Level Inst. Resources'!I17/'School Level Inst. Resources'!L17))+('Model Data Inputs'!$C$87*(SUM('School Level Inst. Resources'!J17:K17)/'School Level Inst. Resources'!L17))))*T17*M17)</f>
        <v>0</v>
      </c>
      <c r="AK17" s="123">
        <f>(('Model Data Inputs'!$B$91*(('Model Data Inputs'!$B$87*('School Level Inst. Resources'!I17/'School Level Inst. Resources'!L17))+('Model Data Inputs'!$C$87*(SUM('School Level Inst. Resources'!J17:K17)/'School Level Inst. Resources'!L17))))*T17*N17)</f>
        <v>0</v>
      </c>
      <c r="AL17" s="137">
        <f>(K17*'Model Data Inputs'!$B$94)*T17</f>
        <v>0</v>
      </c>
      <c r="AM17" s="137">
        <f>K17*'Model Data Inputs'!$B$95</f>
        <v>0</v>
      </c>
      <c r="AN17" s="137">
        <f t="shared" si="12"/>
        <v>0</v>
      </c>
      <c r="AO17" s="137">
        <f>('School Level Inst. Resources'!K17*'Model Data Inputs'!$B$96)+('School Level Inst. Resources'!J17*'Model Data Inputs'!$B$97)</f>
        <v>0</v>
      </c>
      <c r="AP17" s="137">
        <f>$L17*'Model Data Inputs'!$B$100</f>
        <v>39.4</v>
      </c>
      <c r="AQ17" s="137">
        <f t="shared" si="13"/>
        <v>144161.60385955431</v>
      </c>
      <c r="AR17" s="141">
        <f t="shared" si="6"/>
        <v>146356.95823305007</v>
      </c>
    </row>
    <row r="18" spans="1:44" s="40" customFormat="1" ht="12.75" customHeight="1" x14ac:dyDescent="0.2">
      <c r="A18" s="20" t="s">
        <v>14</v>
      </c>
      <c r="B18" s="20" t="s">
        <v>15</v>
      </c>
      <c r="C18" s="20" t="s">
        <v>381</v>
      </c>
      <c r="D18" s="20" t="s">
        <v>382</v>
      </c>
      <c r="E18" s="138" t="s">
        <v>383</v>
      </c>
      <c r="F18" s="138" t="str">
        <f>IF(AND(SUM('School Level ADM'!$F18:$J18)=0,SUM('School Level ADM'!$O18:$R18)=0,'School Level ADM'!$K18&gt;0,'School Level ADM'!$N18&gt;0),"T","F")</f>
        <v>F</v>
      </c>
      <c r="G18" s="138" t="str">
        <f>IF(AND(SUM('School Level ADM'!$M18:$R18)=0,'School Level ADM'!$L18&gt;0),"T","F")</f>
        <v>F</v>
      </c>
      <c r="H18" s="138" t="str">
        <f t="shared" si="0"/>
        <v>M</v>
      </c>
      <c r="I18" s="139">
        <f>IF($F18="T",SUM('School Level ADM'!$F18:$J18),IF($G18="T",SUM('School Level ADM'!$F18:$L18),SUM('School Level ADM'!$F18:$K18,0)))</f>
        <v>0</v>
      </c>
      <c r="J18" s="139">
        <f>'School Level ADM'!$S18-$I18-$K18</f>
        <v>757.46500000000003</v>
      </c>
      <c r="K18" s="139">
        <f>IF(SUM('School Level ADM'!$N18:$R18)='School Level ADM'!$S18,SUM('School Level ADM'!$N18:$R18),IF(OR(SUM('School Level ADM'!$F18:$O18)='School Level ADM'!$S18,SUM('School Level ADM'!$G18:$O18)='School Level ADM'!$S18,SUM('School Level ADM'!$H18:$O18)='School Level ADM'!$S18,SUM('School Level ADM'!$I18:$O18)='School Level ADM'!$S18,SUM('School Level ADM'!$J18:$O18)='School Level ADM'!$S18,SUM('School Level ADM'!$K18:$O18)='School Level ADM'!$S18,SUM('School Level ADM'!$L18:$O18)='School Level ADM'!$S18,SUM('School Level ADM'!$M18:$O18)='School Level ADM'!$S18,SUM('School Level ADM'!$N18:$O18)='School Level ADM'!$S18),0,SUM('School Level ADM'!$O18:$R18)))</f>
        <v>0</v>
      </c>
      <c r="L18" s="139">
        <f t="shared" si="1"/>
        <v>757.46500000000003</v>
      </c>
      <c r="M18" s="24">
        <f>'Student At-Risk and ELL Proxy'!S18</f>
        <v>222</v>
      </c>
      <c r="N18" s="24">
        <f>'Student At-Risk and ELL Proxy'!AH18</f>
        <v>24</v>
      </c>
      <c r="O18" s="136" t="str">
        <f t="shared" si="7"/>
        <v/>
      </c>
      <c r="P18" s="136">
        <f t="shared" si="8"/>
        <v>0.97</v>
      </c>
      <c r="Q18" s="136" t="str">
        <f t="shared" si="9"/>
        <v/>
      </c>
      <c r="R18" s="136">
        <f t="shared" si="2"/>
        <v>0.97</v>
      </c>
      <c r="S18" s="136">
        <f>IF(SUM(3515.4*((VLOOKUP($A18,'District Level ADM'!$A$4:$F$52,6,FALSE))^-0.327)/'Model Data Inputs'!$B$71)&lt;1,1,(3515.4*((VLOOKUP($A18,'District Level ADM'!$A$4:$F$52,6,FALSE))^-0.327)/'Model Data Inputs'!$B$71))</f>
        <v>1.2318952399095215</v>
      </c>
      <c r="T18" s="136">
        <f>VLOOKUP($A18,'Regional Cost Adjustment'!$A$4:$C$52,3,FALSE)</f>
        <v>0.94</v>
      </c>
      <c r="U18" s="123">
        <f>((($I18/$L18)*'Model Data Inputs'!$B$85)+((SUM(J18:K18)/$L18)*'Model Data Inputs'!$C$85))*$R18*$T18</f>
        <v>4908.0274564669671</v>
      </c>
      <c r="V18" s="140">
        <f>((($I18/$L18)*'Model Data Inputs'!$B$86)+((SUM(J18:K18)/$L18)*'Model Data Inputs'!$C$86))*$R18</f>
        <v>1390.1145343996893</v>
      </c>
      <c r="W18" s="140">
        <f t="shared" si="10"/>
        <v>6298.1419908666567</v>
      </c>
      <c r="X18" s="140">
        <f t="shared" si="3"/>
        <v>3717659.0173127516</v>
      </c>
      <c r="Y18" s="140">
        <f t="shared" si="4"/>
        <v>1052963.1057990608</v>
      </c>
      <c r="Z18" s="123">
        <f>IF((SUM(X18:Y18))&lt;(AVERAGE('Elementary Size Adjustment'!$B$66,'Secondary Size Adjustment'!$B$66)),(AVERAGE('Elementary Size Adjustment'!$B$66,'Secondary Size Adjustment'!$B$66)),SUM(X18:Y18))</f>
        <v>4770622.1231118124</v>
      </c>
      <c r="AA18" s="137">
        <f>'Model Data Inputs'!$B$71*S18*L18</f>
        <v>177292.33030063249</v>
      </c>
      <c r="AB18" s="137">
        <f>L18*'Model Data Inputs'!$B$72</f>
        <v>18936.625</v>
      </c>
      <c r="AC18" s="137">
        <f>L18*'Model Data Inputs'!$B$73</f>
        <v>189366.25</v>
      </c>
      <c r="AD18" s="137">
        <f>L18*'Model Data Inputs'!$B$74</f>
        <v>94683.125</v>
      </c>
      <c r="AE18" s="137">
        <f>$I18*'Model Data Inputs'!$B$76</f>
        <v>0</v>
      </c>
      <c r="AF18" s="137">
        <f>VLOOKUP($J18,'Student Activities MS&amp;HS Tables'!$M$7:$O$1267,3)</f>
        <v>188992.62</v>
      </c>
      <c r="AG18" s="137">
        <f>VLOOKUP($K18,'Student Activities MS&amp;HS Tables'!$I$7:$K$3007,3)</f>
        <v>0</v>
      </c>
      <c r="AH18" s="137">
        <f t="shared" si="5"/>
        <v>188992.62</v>
      </c>
      <c r="AI18" s="123">
        <f t="shared" si="11"/>
        <v>5439893.0734124454</v>
      </c>
      <c r="AJ18" s="123">
        <f>(('Model Data Inputs'!$B$90*(('Model Data Inputs'!$B$87*('School Level Inst. Resources'!I18/'School Level Inst. Resources'!L18))+('Model Data Inputs'!$C$87*(SUM('School Level Inst. Resources'!J18:K18)/'School Level Inst. Resources'!L18))))*T18*M18)</f>
        <v>426702.43186830741</v>
      </c>
      <c r="AK18" s="123">
        <f>(('Model Data Inputs'!$B$91*(('Model Data Inputs'!$B$87*('School Level Inst. Resources'!I18/'School Level Inst. Resources'!L18))+('Model Data Inputs'!$C$87*(SUM('School Level Inst. Resources'!J18:K18)/'School Level Inst. Resources'!L18))))*T18*N18)</f>
        <v>46129.99263441161</v>
      </c>
      <c r="AL18" s="137">
        <f>(K18*'Model Data Inputs'!$B$94)*T18</f>
        <v>0</v>
      </c>
      <c r="AM18" s="137">
        <f>K18*'Model Data Inputs'!$B$95</f>
        <v>0</v>
      </c>
      <c r="AN18" s="137">
        <f t="shared" si="12"/>
        <v>0</v>
      </c>
      <c r="AO18" s="137">
        <f>('School Level Inst. Resources'!K18*'Model Data Inputs'!$B$96)+('School Level Inst. Resources'!J18*'Model Data Inputs'!$B$97)</f>
        <v>18936.625</v>
      </c>
      <c r="AP18" s="137">
        <f>$L18*'Model Data Inputs'!$B$100</f>
        <v>30298.600000000002</v>
      </c>
      <c r="AQ18" s="137">
        <f t="shared" si="13"/>
        <v>5961960.7229151642</v>
      </c>
      <c r="AR18" s="141">
        <f t="shared" si="6"/>
        <v>7870.9388855130783</v>
      </c>
    </row>
    <row r="19" spans="1:44" s="40" customFormat="1" ht="12.75" customHeight="1" x14ac:dyDescent="0.2">
      <c r="A19" s="20" t="s">
        <v>14</v>
      </c>
      <c r="B19" s="20" t="s">
        <v>15</v>
      </c>
      <c r="C19" s="20" t="s">
        <v>384</v>
      </c>
      <c r="D19" s="20" t="s">
        <v>385</v>
      </c>
      <c r="E19" s="138" t="s">
        <v>386</v>
      </c>
      <c r="F19" s="138" t="str">
        <f>IF(AND(SUM('School Level ADM'!$F19:$J19)=0,SUM('School Level ADM'!$O19:$R19)=0,'School Level ADM'!$K19&gt;0,'School Level ADM'!$N19&gt;0),"T","F")</f>
        <v>F</v>
      </c>
      <c r="G19" s="138" t="str">
        <f>IF(AND(SUM('School Level ADM'!$M19:$R19)=0,'School Level ADM'!$L19&gt;0),"T","F")</f>
        <v>F</v>
      </c>
      <c r="H19" s="138" t="str">
        <f t="shared" si="0"/>
        <v>M</v>
      </c>
      <c r="I19" s="139">
        <f>IF($F19="T",SUM('School Level ADM'!$F19:$J19),IF($G19="T",SUM('School Level ADM'!$F19:$L19),SUM('School Level ADM'!$F19:$K19,0)))</f>
        <v>0</v>
      </c>
      <c r="J19" s="139">
        <f>'School Level ADM'!$S19-$I19-$K19</f>
        <v>13.79</v>
      </c>
      <c r="K19" s="139">
        <f>IF(SUM('School Level ADM'!$N19:$R19)='School Level ADM'!$S19,SUM('School Level ADM'!$N19:$R19),IF(OR(SUM('School Level ADM'!$F19:$O19)='School Level ADM'!$S19,SUM('School Level ADM'!$G19:$O19)='School Level ADM'!$S19,SUM('School Level ADM'!$H19:$O19)='School Level ADM'!$S19,SUM('School Level ADM'!$I19:$O19)='School Level ADM'!$S19,SUM('School Level ADM'!$J19:$O19)='School Level ADM'!$S19,SUM('School Level ADM'!$K19:$O19)='School Level ADM'!$S19,SUM('School Level ADM'!$L19:$O19)='School Level ADM'!$S19,SUM('School Level ADM'!$M19:$O19)='School Level ADM'!$S19,SUM('School Level ADM'!$N19:$O19)='School Level ADM'!$S19),0,SUM('School Level ADM'!$O19:$R19)))</f>
        <v>0</v>
      </c>
      <c r="L19" s="139">
        <f t="shared" si="1"/>
        <v>13.79</v>
      </c>
      <c r="M19" s="24">
        <f>'Student At-Risk and ELL Proxy'!S19</f>
        <v>4</v>
      </c>
      <c r="N19" s="24">
        <f>'Student At-Risk and ELL Proxy'!AH19</f>
        <v>1</v>
      </c>
      <c r="O19" s="136" t="str">
        <f t="shared" si="7"/>
        <v/>
      </c>
      <c r="P19" s="136">
        <f t="shared" si="8"/>
        <v>3.6334202880256687</v>
      </c>
      <c r="Q19" s="136" t="str">
        <f t="shared" si="9"/>
        <v/>
      </c>
      <c r="R19" s="136">
        <f t="shared" si="2"/>
        <v>3.6334202880256687</v>
      </c>
      <c r="S19" s="136">
        <f>IF(SUM(3515.4*((VLOOKUP($A19,'District Level ADM'!$A$4:$F$52,6,FALSE))^-0.327)/'Model Data Inputs'!$B$71)&lt;1,1,(3515.4*((VLOOKUP($A19,'District Level ADM'!$A$4:$F$52,6,FALSE))^-0.327)/'Model Data Inputs'!$B$71))</f>
        <v>1.2318952399095215</v>
      </c>
      <c r="T19" s="136">
        <f>VLOOKUP($A19,'Regional Cost Adjustment'!$A$4:$C$52,3,FALSE)</f>
        <v>0.94</v>
      </c>
      <c r="U19" s="123">
        <f>((($I19/$L19)*'Model Data Inputs'!$B$85)+((SUM(J19:K19)/$L19)*'Model Data Inputs'!$C$85))*$R19*$T19</f>
        <v>18384.460344859894</v>
      </c>
      <c r="V19" s="140">
        <f>((($I19/$L19)*'Model Data Inputs'!$B$86)+((SUM(J19:K19)/$L19)*'Model Data Inputs'!$C$86))*$R19</f>
        <v>5207.0828370795753</v>
      </c>
      <c r="W19" s="140">
        <f t="shared" si="10"/>
        <v>23591.543181939469</v>
      </c>
      <c r="X19" s="140">
        <f t="shared" si="3"/>
        <v>253521.7081556179</v>
      </c>
      <c r="Y19" s="140">
        <f t="shared" si="4"/>
        <v>71805.672323327337</v>
      </c>
      <c r="Z19" s="123">
        <f>IF((SUM(X19:Y19))&lt;(AVERAGE('Elementary Size Adjustment'!$B$66,'Secondary Size Adjustment'!$B$66)),(AVERAGE('Elementary Size Adjustment'!$B$66,'Secondary Size Adjustment'!$B$66)),SUM(X19:Y19))</f>
        <v>325327.38047894521</v>
      </c>
      <c r="AA19" s="137">
        <f>'Model Data Inputs'!$B$71*S19*L19</f>
        <v>3227.6887180869371</v>
      </c>
      <c r="AB19" s="137">
        <f>L19*'Model Data Inputs'!$B$72</f>
        <v>344.75</v>
      </c>
      <c r="AC19" s="137">
        <f>L19*'Model Data Inputs'!$B$73</f>
        <v>3447.5</v>
      </c>
      <c r="AD19" s="137">
        <f>L19*'Model Data Inputs'!$B$74</f>
        <v>1723.75</v>
      </c>
      <c r="AE19" s="137">
        <f>$I19*'Model Data Inputs'!$B$76</f>
        <v>0</v>
      </c>
      <c r="AF19" s="137">
        <f>VLOOKUP($J19,'Student Activities MS&amp;HS Tables'!$M$7:$O$1267,3)</f>
        <v>9802</v>
      </c>
      <c r="AG19" s="137">
        <f>VLOOKUP($K19,'Student Activities MS&amp;HS Tables'!$I$7:$K$3007,3)</f>
        <v>0</v>
      </c>
      <c r="AH19" s="137">
        <f t="shared" si="5"/>
        <v>9802</v>
      </c>
      <c r="AI19" s="123">
        <f t="shared" si="11"/>
        <v>343873.06919703213</v>
      </c>
      <c r="AJ19" s="123">
        <f>(('Model Data Inputs'!$B$90*(('Model Data Inputs'!$B$87*('School Level Inst. Resources'!I19/'School Level Inst. Resources'!L19))+('Model Data Inputs'!$C$87*(SUM('School Level Inst. Resources'!J19:K19)/'School Level Inst. Resources'!L19))))*T19*M19)</f>
        <v>7688.3321057352687</v>
      </c>
      <c r="AK19" s="123">
        <f>(('Model Data Inputs'!$B$91*(('Model Data Inputs'!$B$87*('School Level Inst. Resources'!I19/'School Level Inst. Resources'!L19))+('Model Data Inputs'!$C$87*(SUM('School Level Inst. Resources'!J19:K19)/'School Level Inst. Resources'!L19))))*T19*N19)</f>
        <v>1922.0830264338172</v>
      </c>
      <c r="AL19" s="137">
        <f>(K19*'Model Data Inputs'!$B$94)*T19</f>
        <v>0</v>
      </c>
      <c r="AM19" s="137">
        <f>K19*'Model Data Inputs'!$B$95</f>
        <v>0</v>
      </c>
      <c r="AN19" s="137">
        <f t="shared" si="12"/>
        <v>0</v>
      </c>
      <c r="AO19" s="137">
        <f>('School Level Inst. Resources'!K19*'Model Data Inputs'!$B$96)+('School Level Inst. Resources'!J19*'Model Data Inputs'!$B$97)</f>
        <v>344.75</v>
      </c>
      <c r="AP19" s="137">
        <f>$L19*'Model Data Inputs'!$B$100</f>
        <v>551.59999999999991</v>
      </c>
      <c r="AQ19" s="137">
        <f t="shared" si="13"/>
        <v>354379.8343292012</v>
      </c>
      <c r="AR19" s="141">
        <f t="shared" si="6"/>
        <v>25698.32011089204</v>
      </c>
    </row>
    <row r="20" spans="1:44" s="40" customFormat="1" ht="12.75" customHeight="1" x14ac:dyDescent="0.2">
      <c r="A20" s="20" t="s">
        <v>14</v>
      </c>
      <c r="B20" s="20" t="s">
        <v>15</v>
      </c>
      <c r="C20" s="20" t="s">
        <v>387</v>
      </c>
      <c r="D20" s="20" t="s">
        <v>388</v>
      </c>
      <c r="E20" s="138" t="s">
        <v>389</v>
      </c>
      <c r="F20" s="138" t="str">
        <f>IF(AND(SUM('School Level ADM'!$F20:$J20)=0,SUM('School Level ADM'!$O20:$R20)=0,'School Level ADM'!$K20&gt;0,'School Level ADM'!$N20&gt;0),"T","F")</f>
        <v>F</v>
      </c>
      <c r="G20" s="138" t="str">
        <f>IF(AND(SUM('School Level ADM'!$M20:$R20)=0,'School Level ADM'!$L20&gt;0),"T","F")</f>
        <v>F</v>
      </c>
      <c r="H20" s="138" t="str">
        <f t="shared" si="0"/>
        <v>H</v>
      </c>
      <c r="I20" s="139">
        <f>IF($F20="T",SUM('School Level ADM'!$F20:$J20),IF($G20="T",SUM('School Level ADM'!$F20:$L20),SUM('School Level ADM'!$F20:$K20,0)))</f>
        <v>0</v>
      </c>
      <c r="J20" s="139">
        <f>'School Level ADM'!$S20-$I20-$K20</f>
        <v>0</v>
      </c>
      <c r="K20" s="139">
        <f>IF(SUM('School Level ADM'!$N20:$R20)='School Level ADM'!$S20,SUM('School Level ADM'!$N20:$R20),IF(OR(SUM('School Level ADM'!$F20:$O20)='School Level ADM'!$S20,SUM('School Level ADM'!$G20:$O20)='School Level ADM'!$S20,SUM('School Level ADM'!$H20:$O20)='School Level ADM'!$S20,SUM('School Level ADM'!$I20:$O20)='School Level ADM'!$S20,SUM('School Level ADM'!$J20:$O20)='School Level ADM'!$S20,SUM('School Level ADM'!$K20:$O20)='School Level ADM'!$S20,SUM('School Level ADM'!$L20:$O20)='School Level ADM'!$S20,SUM('School Level ADM'!$M20:$O20)='School Level ADM'!$S20,SUM('School Level ADM'!$N20:$O20)='School Level ADM'!$S20),0,SUM('School Level ADM'!$O20:$R20)))</f>
        <v>1063.8</v>
      </c>
      <c r="L20" s="139">
        <f t="shared" si="1"/>
        <v>1063.8</v>
      </c>
      <c r="M20" s="24">
        <f>'Student At-Risk and ELL Proxy'!S20</f>
        <v>216</v>
      </c>
      <c r="N20" s="24">
        <f>'Student At-Risk and ELL Proxy'!AH20</f>
        <v>17</v>
      </c>
      <c r="O20" s="136" t="str">
        <f t="shared" si="7"/>
        <v/>
      </c>
      <c r="P20" s="136">
        <f t="shared" si="8"/>
        <v>0.97</v>
      </c>
      <c r="Q20" s="136" t="str">
        <f t="shared" si="9"/>
        <v/>
      </c>
      <c r="R20" s="136">
        <f t="shared" si="2"/>
        <v>0.97</v>
      </c>
      <c r="S20" s="136">
        <f>IF(SUM(3515.4*((VLOOKUP($A20,'District Level ADM'!$A$4:$F$52,6,FALSE))^-0.327)/'Model Data Inputs'!$B$71)&lt;1,1,(3515.4*((VLOOKUP($A20,'District Level ADM'!$A$4:$F$52,6,FALSE))^-0.327)/'Model Data Inputs'!$B$71))</f>
        <v>1.2318952399095215</v>
      </c>
      <c r="T20" s="136">
        <f>VLOOKUP($A20,'Regional Cost Adjustment'!$A$4:$C$52,3,FALSE)</f>
        <v>0.94</v>
      </c>
      <c r="U20" s="123">
        <f>((($I20/$L20)*'Model Data Inputs'!$B$85)+((SUM(J20:K20)/$L20)*'Model Data Inputs'!$C$85))*$R20*$T20</f>
        <v>4908.0274564669671</v>
      </c>
      <c r="V20" s="140">
        <f>((($I20/$L20)*'Model Data Inputs'!$B$86)+((SUM(J20:K20)/$L20)*'Model Data Inputs'!$C$86))*$R20</f>
        <v>1390.1145343996893</v>
      </c>
      <c r="W20" s="140">
        <f t="shared" si="10"/>
        <v>6298.1419908666567</v>
      </c>
      <c r="X20" s="140">
        <f t="shared" si="3"/>
        <v>5221159.6081895595</v>
      </c>
      <c r="Y20" s="140">
        <f t="shared" si="4"/>
        <v>1478803.8416943895</v>
      </c>
      <c r="Z20" s="123">
        <f>IF((SUM(X20:Y20))&lt;(AVERAGE('Elementary Size Adjustment'!$B$66,'Secondary Size Adjustment'!$B$66)),(AVERAGE('Elementary Size Adjustment'!$B$66,'Secondary Size Adjustment'!$B$66)),SUM(X20:Y20))</f>
        <v>6699963.449883949</v>
      </c>
      <c r="AA20" s="137">
        <f>'Model Data Inputs'!$B$71*S20*L20</f>
        <v>248993.12968099228</v>
      </c>
      <c r="AB20" s="137">
        <f>L20*'Model Data Inputs'!$B$72</f>
        <v>26595</v>
      </c>
      <c r="AC20" s="137">
        <f>L20*'Model Data Inputs'!$B$73</f>
        <v>265950</v>
      </c>
      <c r="AD20" s="137">
        <f>L20*'Model Data Inputs'!$B$74</f>
        <v>132975</v>
      </c>
      <c r="AE20" s="137">
        <f>$I20*'Model Data Inputs'!$B$76</f>
        <v>0</v>
      </c>
      <c r="AF20" s="137">
        <f>VLOOKUP($J20,'Student Activities MS&amp;HS Tables'!$M$7:$O$1267,3)</f>
        <v>0</v>
      </c>
      <c r="AG20" s="137">
        <f>VLOOKUP($K20,'Student Activities MS&amp;HS Tables'!$I$7:$K$3007,3)</f>
        <v>671592.77</v>
      </c>
      <c r="AH20" s="137">
        <f t="shared" si="5"/>
        <v>671592.77</v>
      </c>
      <c r="AI20" s="123">
        <f t="shared" si="11"/>
        <v>8046069.3495649416</v>
      </c>
      <c r="AJ20" s="123">
        <f>(('Model Data Inputs'!$B$90*(('Model Data Inputs'!$B$87*('School Level Inst. Resources'!I20/'School Level Inst. Resources'!L20))+('Model Data Inputs'!$C$87*(SUM('School Level Inst. Resources'!J20:K20)/'School Level Inst. Resources'!L20))))*T20*M20)</f>
        <v>415169.93370970449</v>
      </c>
      <c r="AK20" s="123">
        <f>(('Model Data Inputs'!$B$91*(('Model Data Inputs'!$B$87*('School Level Inst. Resources'!I20/'School Level Inst. Resources'!L20))+('Model Data Inputs'!$C$87*(SUM('School Level Inst. Resources'!J20:K20)/'School Level Inst. Resources'!L20))))*T20*N20)</f>
        <v>32675.411449374893</v>
      </c>
      <c r="AL20" s="137">
        <f>(K20*'Model Data Inputs'!$B$94)*T20</f>
        <v>165060.73317005998</v>
      </c>
      <c r="AM20" s="137">
        <f>K20*'Model Data Inputs'!$B$95</f>
        <v>44583.671834999994</v>
      </c>
      <c r="AN20" s="137">
        <f t="shared" si="12"/>
        <v>209644.40500505996</v>
      </c>
      <c r="AO20" s="137">
        <f>('School Level Inst. Resources'!K20*'Model Data Inputs'!$B$96)+('School Level Inst. Resources'!J20*'Model Data Inputs'!$B$97)</f>
        <v>106380</v>
      </c>
      <c r="AP20" s="137">
        <f>$L20*'Model Data Inputs'!$B$100</f>
        <v>42552</v>
      </c>
      <c r="AQ20" s="137">
        <f t="shared" si="13"/>
        <v>8852491.0997290816</v>
      </c>
      <c r="AR20" s="141">
        <f t="shared" si="6"/>
        <v>8321.574637835196</v>
      </c>
    </row>
    <row r="21" spans="1:44" s="40" customFormat="1" ht="12.75" customHeight="1" x14ac:dyDescent="0.2">
      <c r="A21" s="20" t="s">
        <v>14</v>
      </c>
      <c r="B21" s="20" t="s">
        <v>15</v>
      </c>
      <c r="C21" s="20" t="s">
        <v>390</v>
      </c>
      <c r="D21" s="20" t="s">
        <v>391</v>
      </c>
      <c r="E21" s="138" t="s">
        <v>389</v>
      </c>
      <c r="F21" s="138" t="str">
        <f>IF(AND(SUM('School Level ADM'!$F21:$J21)=0,SUM('School Level ADM'!$O21:$R21)=0,'School Level ADM'!$K21&gt;0,'School Level ADM'!$N21&gt;0),"T","F")</f>
        <v>F</v>
      </c>
      <c r="G21" s="138" t="str">
        <f>IF(AND(SUM('School Level ADM'!$M21:$R21)=0,'School Level ADM'!$L21&gt;0),"T","F")</f>
        <v>F</v>
      </c>
      <c r="H21" s="138" t="str">
        <f t="shared" si="0"/>
        <v>H</v>
      </c>
      <c r="I21" s="139">
        <f>IF($F21="T",SUM('School Level ADM'!$F21:$J21),IF($G21="T",SUM('School Level ADM'!$F21:$L21),SUM('School Level ADM'!$F21:$K21,0)))</f>
        <v>0</v>
      </c>
      <c r="J21" s="139">
        <f>'School Level ADM'!$S21-$I21-$K21</f>
        <v>0</v>
      </c>
      <c r="K21" s="139">
        <f>IF(SUM('School Level ADM'!$N21:$R21)='School Level ADM'!$S21,SUM('School Level ADM'!$N21:$R21),IF(OR(SUM('School Level ADM'!$F21:$O21)='School Level ADM'!$S21,SUM('School Level ADM'!$G21:$O21)='School Level ADM'!$S21,SUM('School Level ADM'!$H21:$O21)='School Level ADM'!$S21,SUM('School Level ADM'!$I21:$O21)='School Level ADM'!$S21,SUM('School Level ADM'!$J21:$O21)='School Level ADM'!$S21,SUM('School Level ADM'!$K21:$O21)='School Level ADM'!$S21,SUM('School Level ADM'!$L21:$O21)='School Level ADM'!$S21,SUM('School Level ADM'!$M21:$O21)='School Level ADM'!$S21,SUM('School Level ADM'!$N21:$O21)='School Level ADM'!$S21),0,SUM('School Level ADM'!$O21:$R21)))</f>
        <v>38.414999999999999</v>
      </c>
      <c r="L21" s="139">
        <f t="shared" si="1"/>
        <v>38.414999999999999</v>
      </c>
      <c r="M21" s="24">
        <f>'Student At-Risk and ELL Proxy'!S21</f>
        <v>16</v>
      </c>
      <c r="N21" s="24">
        <f>'Student At-Risk and ELL Proxy'!AH21</f>
        <v>1</v>
      </c>
      <c r="O21" s="136" t="str">
        <f t="shared" si="7"/>
        <v/>
      </c>
      <c r="P21" s="136">
        <f t="shared" si="8"/>
        <v>2.5359629267233683</v>
      </c>
      <c r="Q21" s="136" t="str">
        <f t="shared" si="9"/>
        <v/>
      </c>
      <c r="R21" s="136">
        <f t="shared" si="2"/>
        <v>2.5359629267233683</v>
      </c>
      <c r="S21" s="136">
        <f>IF(SUM(3515.4*((VLOOKUP($A21,'District Level ADM'!$A$4:$F$52,6,FALSE))^-0.327)/'Model Data Inputs'!$B$71)&lt;1,1,(3515.4*((VLOOKUP($A21,'District Level ADM'!$A$4:$F$52,6,FALSE))^-0.327)/'Model Data Inputs'!$B$71))</f>
        <v>1.2318952399095215</v>
      </c>
      <c r="T21" s="136">
        <f>VLOOKUP($A21,'Regional Cost Adjustment'!$A$4:$C$52,3,FALSE)</f>
        <v>0.94</v>
      </c>
      <c r="U21" s="123">
        <f>((($I21/$L21)*'Model Data Inputs'!$B$85)+((SUM(J21:K21)/$L21)*'Model Data Inputs'!$C$85))*$R21*$T21</f>
        <v>12831.521312309917</v>
      </c>
      <c r="V21" s="140">
        <f>((($I21/$L21)*'Model Data Inputs'!$B$86)+((SUM(J21:K21)/$L21)*'Model Data Inputs'!$C$86))*$R21</f>
        <v>3634.308168182401</v>
      </c>
      <c r="W21" s="140">
        <f t="shared" si="10"/>
        <v>16465.829480492317</v>
      </c>
      <c r="X21" s="140">
        <f t="shared" si="3"/>
        <v>492922.89121238544</v>
      </c>
      <c r="Y21" s="140">
        <f t="shared" si="4"/>
        <v>139611.94828072694</v>
      </c>
      <c r="Z21" s="123">
        <f>IF((SUM(X21:Y21))&lt;(AVERAGE('Elementary Size Adjustment'!$B$66,'Secondary Size Adjustment'!$B$66)),(AVERAGE('Elementary Size Adjustment'!$B$66,'Secondary Size Adjustment'!$B$66)),SUM(X21:Y21))</f>
        <v>632534.83949311241</v>
      </c>
      <c r="AA21" s="137">
        <f>'Model Data Inputs'!$B$71*S21*L21</f>
        <v>8991.4185718136105</v>
      </c>
      <c r="AB21" s="137">
        <f>L21*'Model Data Inputs'!$B$72</f>
        <v>960.375</v>
      </c>
      <c r="AC21" s="137">
        <f>L21*'Model Data Inputs'!$B$73</f>
        <v>9603.75</v>
      </c>
      <c r="AD21" s="137">
        <f>L21*'Model Data Inputs'!$B$74</f>
        <v>4801.875</v>
      </c>
      <c r="AE21" s="137">
        <f>$I21*'Model Data Inputs'!$B$76</f>
        <v>0</v>
      </c>
      <c r="AF21" s="137">
        <f>VLOOKUP($J21,'Student Activities MS&amp;HS Tables'!$M$7:$O$1267,3)</f>
        <v>0</v>
      </c>
      <c r="AG21" s="137">
        <f>VLOOKUP($K21,'Student Activities MS&amp;HS Tables'!$I$7:$K$3007,3)</f>
        <v>70284.42</v>
      </c>
      <c r="AH21" s="137">
        <f t="shared" si="5"/>
        <v>70284.42</v>
      </c>
      <c r="AI21" s="123">
        <f t="shared" si="11"/>
        <v>727176.67806492606</v>
      </c>
      <c r="AJ21" s="123">
        <f>(('Model Data Inputs'!$B$90*(('Model Data Inputs'!$B$87*('School Level Inst. Resources'!I21/'School Level Inst. Resources'!L21))+('Model Data Inputs'!$C$87*(SUM('School Level Inst. Resources'!J21:K21)/'School Level Inst. Resources'!L21))))*T21*M21)</f>
        <v>30753.328422941075</v>
      </c>
      <c r="AK21" s="123">
        <f>(('Model Data Inputs'!$B$91*(('Model Data Inputs'!$B$87*('School Level Inst. Resources'!I21/'School Level Inst. Resources'!L21))+('Model Data Inputs'!$C$87*(SUM('School Level Inst. Resources'!J21:K21)/'School Level Inst. Resources'!L21))))*T21*N21)</f>
        <v>1922.0830264338172</v>
      </c>
      <c r="AL21" s="137">
        <f>(K21*'Model Data Inputs'!$B$94)*T21</f>
        <v>5960.5264755854996</v>
      </c>
      <c r="AM21" s="137">
        <f>K21*'Model Data Inputs'!$B$95</f>
        <v>1609.9659273749999</v>
      </c>
      <c r="AN21" s="137">
        <f t="shared" si="12"/>
        <v>7570.492402960499</v>
      </c>
      <c r="AO21" s="137">
        <f>('School Level Inst. Resources'!K21*'Model Data Inputs'!$B$96)+('School Level Inst. Resources'!J21*'Model Data Inputs'!$B$97)</f>
        <v>3841.5</v>
      </c>
      <c r="AP21" s="137">
        <f>$L21*'Model Data Inputs'!$B$100</f>
        <v>1536.6</v>
      </c>
      <c r="AQ21" s="137">
        <f t="shared" si="13"/>
        <v>772800.68191726145</v>
      </c>
      <c r="AR21" s="141">
        <f t="shared" si="6"/>
        <v>20117.15949283513</v>
      </c>
    </row>
    <row r="22" spans="1:44" s="40" customFormat="1" ht="12.75" customHeight="1" x14ac:dyDescent="0.2">
      <c r="A22" s="20" t="s">
        <v>14</v>
      </c>
      <c r="B22" s="20" t="s">
        <v>15</v>
      </c>
      <c r="C22" s="20" t="s">
        <v>392</v>
      </c>
      <c r="D22" s="20" t="s">
        <v>393</v>
      </c>
      <c r="E22" s="138" t="s">
        <v>389</v>
      </c>
      <c r="F22" s="138" t="str">
        <f>IF(AND(SUM('School Level ADM'!$F22:$J22)=0,SUM('School Level ADM'!$O22:$R22)=0,'School Level ADM'!$K22&gt;0,'School Level ADM'!$N22&gt;0),"T","F")</f>
        <v>F</v>
      </c>
      <c r="G22" s="138" t="str">
        <f>IF(AND(SUM('School Level ADM'!$M22:$R22)=0,'School Level ADM'!$L22&gt;0),"T","F")</f>
        <v>F</v>
      </c>
      <c r="H22" s="138" t="str">
        <f t="shared" si="0"/>
        <v>H</v>
      </c>
      <c r="I22" s="139">
        <f>IF($F22="T",SUM('School Level ADM'!$F22:$J22),IF($G22="T",SUM('School Level ADM'!$F22:$L22),SUM('School Level ADM'!$F22:$K22,0)))</f>
        <v>0</v>
      </c>
      <c r="J22" s="139">
        <f>'School Level ADM'!$S22-$I22-$K22</f>
        <v>0</v>
      </c>
      <c r="K22" s="139">
        <f>IF(SUM('School Level ADM'!$N22:$R22)='School Level ADM'!$S22,SUM('School Level ADM'!$N22:$R22),IF(OR(SUM('School Level ADM'!$F22:$O22)='School Level ADM'!$S22,SUM('School Level ADM'!$G22:$O22)='School Level ADM'!$S22,SUM('School Level ADM'!$H22:$O22)='School Level ADM'!$S22,SUM('School Level ADM'!$I22:$O22)='School Level ADM'!$S22,SUM('School Level ADM'!$J22:$O22)='School Level ADM'!$S22,SUM('School Level ADM'!$K22:$O22)='School Level ADM'!$S22,SUM('School Level ADM'!$L22:$O22)='School Level ADM'!$S22,SUM('School Level ADM'!$M22:$O22)='School Level ADM'!$S22,SUM('School Level ADM'!$N22:$O22)='School Level ADM'!$S22),0,SUM('School Level ADM'!$O22:$R22)))</f>
        <v>36.445</v>
      </c>
      <c r="L22" s="139">
        <f t="shared" si="1"/>
        <v>36.445</v>
      </c>
      <c r="M22" s="24">
        <f>'Student At-Risk and ELL Proxy'!S22</f>
        <v>42.56</v>
      </c>
      <c r="N22" s="24">
        <f>'Student At-Risk and ELL Proxy'!AH22</f>
        <v>2</v>
      </c>
      <c r="O22" s="136" t="str">
        <f t="shared" si="7"/>
        <v/>
      </c>
      <c r="P22" s="136">
        <f t="shared" si="8"/>
        <v>2.5832579357800745</v>
      </c>
      <c r="Q22" s="136" t="str">
        <f t="shared" si="9"/>
        <v/>
      </c>
      <c r="R22" s="136">
        <f t="shared" si="2"/>
        <v>2.5832579357800745</v>
      </c>
      <c r="S22" s="136">
        <f>IF(SUM(3515.4*((VLOOKUP($A22,'District Level ADM'!$A$4:$F$52,6,FALSE))^-0.327)/'Model Data Inputs'!$B$71)&lt;1,1,(3515.4*((VLOOKUP($A22,'District Level ADM'!$A$4:$F$52,6,FALSE))^-0.327)/'Model Data Inputs'!$B$71))</f>
        <v>1.2318952399095215</v>
      </c>
      <c r="T22" s="136">
        <f>VLOOKUP($A22,'Regional Cost Adjustment'!$A$4:$C$52,3,FALSE)</f>
        <v>0.94</v>
      </c>
      <c r="U22" s="123">
        <f>((($I22/$L22)*'Model Data Inputs'!$B$85)+((SUM(J22:K22)/$L22)*'Model Data Inputs'!$C$85))*$R22*$T22</f>
        <v>13070.825645303903</v>
      </c>
      <c r="V22" s="140">
        <f>((($I22/$L22)*'Model Data Inputs'!$B$86)+((SUM(J22:K22)/$L22)*'Model Data Inputs'!$C$86))*$R22</f>
        <v>3702.0870130218773</v>
      </c>
      <c r="W22" s="140">
        <f t="shared" si="10"/>
        <v>16772.912658325782</v>
      </c>
      <c r="X22" s="140">
        <f t="shared" si="3"/>
        <v>476366.24064310075</v>
      </c>
      <c r="Y22" s="140">
        <f t="shared" si="4"/>
        <v>134922.56118958231</v>
      </c>
      <c r="Z22" s="123">
        <f>IF((SUM(X22:Y22))&lt;(AVERAGE('Elementary Size Adjustment'!$B$66,'Secondary Size Adjustment'!$B$66)),(AVERAGE('Elementary Size Adjustment'!$B$66,'Secondary Size Adjustment'!$B$66)),SUM(X22:Y22))</f>
        <v>611288.80183268304</v>
      </c>
      <c r="AA22" s="137">
        <f>'Model Data Inputs'!$B$71*S22*L22</f>
        <v>8530.3201835154778</v>
      </c>
      <c r="AB22" s="137">
        <f>L22*'Model Data Inputs'!$B$72</f>
        <v>911.125</v>
      </c>
      <c r="AC22" s="137">
        <f>L22*'Model Data Inputs'!$B$73</f>
        <v>9111.25</v>
      </c>
      <c r="AD22" s="137">
        <f>L22*'Model Data Inputs'!$B$74</f>
        <v>4555.625</v>
      </c>
      <c r="AE22" s="137">
        <f>$I22*'Model Data Inputs'!$B$76</f>
        <v>0</v>
      </c>
      <c r="AF22" s="137">
        <f>VLOOKUP($J22,'Student Activities MS&amp;HS Tables'!$M$7:$O$1267,3)</f>
        <v>0</v>
      </c>
      <c r="AG22" s="137">
        <f>VLOOKUP($K22,'Student Activities MS&amp;HS Tables'!$I$7:$K$3007,3)</f>
        <v>66911.400000000009</v>
      </c>
      <c r="AH22" s="137">
        <f t="shared" si="5"/>
        <v>66911.400000000009</v>
      </c>
      <c r="AI22" s="123">
        <f t="shared" si="11"/>
        <v>701308.52201619849</v>
      </c>
      <c r="AJ22" s="123">
        <f>(('Model Data Inputs'!$B$90*(('Model Data Inputs'!$B$87*('School Level Inst. Resources'!I22/'School Level Inst. Resources'!L22))+('Model Data Inputs'!$C$87*(SUM('School Level Inst. Resources'!J22:K22)/'School Level Inst. Resources'!L22))))*T22*M22)</f>
        <v>81803.853605023265</v>
      </c>
      <c r="AK22" s="123">
        <f>(('Model Data Inputs'!$B$91*(('Model Data Inputs'!$B$87*('School Level Inst. Resources'!I22/'School Level Inst. Resources'!L22))+('Model Data Inputs'!$C$87*(SUM('School Level Inst. Resources'!J22:K22)/'School Level Inst. Resources'!L22))))*T22*N22)</f>
        <v>3844.1660528676343</v>
      </c>
      <c r="AL22" s="137">
        <f>(K22*'Model Data Inputs'!$B$94)*T22</f>
        <v>5654.8584511965</v>
      </c>
      <c r="AM22" s="137">
        <f>K22*'Model Data Inputs'!$B$95</f>
        <v>1527.403572125</v>
      </c>
      <c r="AN22" s="137">
        <f t="shared" si="12"/>
        <v>7182.2620233215002</v>
      </c>
      <c r="AO22" s="137">
        <f>('School Level Inst. Resources'!K22*'Model Data Inputs'!$B$96)+('School Level Inst. Resources'!J22*'Model Data Inputs'!$B$97)</f>
        <v>3644.5</v>
      </c>
      <c r="AP22" s="137">
        <f>$L22*'Model Data Inputs'!$B$100</f>
        <v>1457.8</v>
      </c>
      <c r="AQ22" s="137">
        <f t="shared" si="13"/>
        <v>799241.1036974109</v>
      </c>
      <c r="AR22" s="141">
        <f t="shared" si="6"/>
        <v>21930.061838315567</v>
      </c>
    </row>
    <row r="23" spans="1:44" s="40" customFormat="1" ht="12.75" customHeight="1" x14ac:dyDescent="0.2">
      <c r="A23" s="20" t="s">
        <v>16</v>
      </c>
      <c r="B23" s="20" t="s">
        <v>17</v>
      </c>
      <c r="C23" s="20" t="s">
        <v>394</v>
      </c>
      <c r="D23" s="20" t="s">
        <v>395</v>
      </c>
      <c r="E23" s="138" t="s">
        <v>365</v>
      </c>
      <c r="F23" s="138" t="str">
        <f>IF(AND(SUM('School Level ADM'!$F23:$J23)=0,SUM('School Level ADM'!$O23:$R23)=0,'School Level ADM'!$K23&gt;0,'School Level ADM'!$N23&gt;0),"T","F")</f>
        <v>F</v>
      </c>
      <c r="G23" s="138" t="str">
        <f>IF(AND(SUM('School Level ADM'!$M23:$R23)=0,'School Level ADM'!$L23&gt;0),"T","F")</f>
        <v>F</v>
      </c>
      <c r="H23" s="138" t="str">
        <f t="shared" si="0"/>
        <v>E</v>
      </c>
      <c r="I23" s="139">
        <f>IF($F23="T",SUM('School Level ADM'!$F23:$J23),IF($G23="T",SUM('School Level ADM'!$F23:$L23),SUM('School Level ADM'!$F23:$K23,0)))</f>
        <v>109.33500000000001</v>
      </c>
      <c r="J23" s="139">
        <f>'School Level ADM'!$S23-$I23-$K23</f>
        <v>0</v>
      </c>
      <c r="K23" s="139">
        <f>IF(SUM('School Level ADM'!$N23:$R23)='School Level ADM'!$S23,SUM('School Level ADM'!$N23:$R23),IF(OR(SUM('School Level ADM'!$F23:$O23)='School Level ADM'!$S23,SUM('School Level ADM'!$G23:$O23)='School Level ADM'!$S23,SUM('School Level ADM'!$H23:$O23)='School Level ADM'!$S23,SUM('School Level ADM'!$I23:$O23)='School Level ADM'!$S23,SUM('School Level ADM'!$J23:$O23)='School Level ADM'!$S23,SUM('School Level ADM'!$K23:$O23)='School Level ADM'!$S23,SUM('School Level ADM'!$L23:$O23)='School Level ADM'!$S23,SUM('School Level ADM'!$M23:$O23)='School Level ADM'!$S23,SUM('School Level ADM'!$N23:$O23)='School Level ADM'!$S23),0,SUM('School Level ADM'!$O23:$R23)))</f>
        <v>0</v>
      </c>
      <c r="L23" s="139">
        <f t="shared" si="1"/>
        <v>109.33500000000001</v>
      </c>
      <c r="M23" s="24">
        <f>'Student At-Risk and ELL Proxy'!S23</f>
        <v>63</v>
      </c>
      <c r="N23" s="24">
        <f>'Student At-Risk and ELL Proxy'!AH23</f>
        <v>1</v>
      </c>
      <c r="O23" s="136">
        <f t="shared" si="7"/>
        <v>1.4832342496877484</v>
      </c>
      <c r="P23" s="136" t="str">
        <f t="shared" si="8"/>
        <v/>
      </c>
      <c r="Q23" s="136" t="str">
        <f t="shared" si="9"/>
        <v/>
      </c>
      <c r="R23" s="136">
        <f t="shared" si="2"/>
        <v>1.4832342496877484</v>
      </c>
      <c r="S23" s="136">
        <f>IF(SUM(3515.4*((VLOOKUP($A23,'District Level ADM'!$A$4:$F$52,6,FALSE))^-0.327)/'Model Data Inputs'!$B$71)&lt;1,1,(3515.4*((VLOOKUP($A23,'District Level ADM'!$A$4:$F$52,6,FALSE))^-0.327)/'Model Data Inputs'!$B$71))</f>
        <v>1.9153689244119212</v>
      </c>
      <c r="T23" s="136">
        <f>VLOOKUP($A23,'Regional Cost Adjustment'!$A$4:$C$52,3,FALSE)</f>
        <v>0.92</v>
      </c>
      <c r="U23" s="123">
        <f>((($I23/$L23)*'Model Data Inputs'!$B$85)+((SUM(J23:K23)/$L23)*'Model Data Inputs'!$C$85))*$R23*$T23</f>
        <v>8689.0542271935137</v>
      </c>
      <c r="V23" s="140">
        <f>((($I23/$L23)*'Model Data Inputs'!$B$86)+((SUM(J23:K23)/$L23)*'Model Data Inputs'!$C$86))*$R23</f>
        <v>2510.558988826594</v>
      </c>
      <c r="W23" s="140">
        <f t="shared" si="10"/>
        <v>11199.613216020109</v>
      </c>
      <c r="X23" s="140">
        <f t="shared" si="3"/>
        <v>950017.74393020291</v>
      </c>
      <c r="Y23" s="140">
        <f t="shared" si="4"/>
        <v>274491.96704335569</v>
      </c>
      <c r="Z23" s="123">
        <f>IF((SUM(X23:Y23))&lt;(AVERAGE('Elementary Size Adjustment'!$B$66,'Secondary Size Adjustment'!$B$66)),(AVERAGE('Elementary Size Adjustment'!$B$66,'Secondary Size Adjustment'!$B$66)),SUM(X23:Y23))</f>
        <v>1224509.7109735585</v>
      </c>
      <c r="AA23" s="137">
        <f>'Model Data Inputs'!$B$71*S23*L23</f>
        <v>39789.203656609709</v>
      </c>
      <c r="AB23" s="137">
        <f>L23*'Model Data Inputs'!$B$72</f>
        <v>2733.375</v>
      </c>
      <c r="AC23" s="137">
        <f>L23*'Model Data Inputs'!$B$73</f>
        <v>27333.750000000004</v>
      </c>
      <c r="AD23" s="137">
        <f>L23*'Model Data Inputs'!$B$74</f>
        <v>13666.875000000002</v>
      </c>
      <c r="AE23" s="137">
        <f>$I23*'Model Data Inputs'!$B$76</f>
        <v>2601.0796500000001</v>
      </c>
      <c r="AF23" s="137">
        <f>VLOOKUP($J23,'Student Activities MS&amp;HS Tables'!$M$7:$O$1267,3)</f>
        <v>0</v>
      </c>
      <c r="AG23" s="137">
        <f>VLOOKUP($K23,'Student Activities MS&amp;HS Tables'!$I$7:$K$3007,3)</f>
        <v>0</v>
      </c>
      <c r="AH23" s="137">
        <f t="shared" si="5"/>
        <v>2601.0796500000001</v>
      </c>
      <c r="AI23" s="123">
        <f t="shared" si="11"/>
        <v>1310633.9942801681</v>
      </c>
      <c r="AJ23" s="123">
        <f>(('Model Data Inputs'!$B$90*(('Model Data Inputs'!$B$87*('School Level Inst. Resources'!I23/'School Level Inst. Resources'!L23))+('Model Data Inputs'!$C$87*(SUM('School Level Inst. Resources'!J23:K23)/'School Level Inst. Resources'!L23))))*T23*M23)</f>
        <v>140150.97388388691</v>
      </c>
      <c r="AK23" s="123">
        <f>(('Model Data Inputs'!$B$91*(('Model Data Inputs'!$B$87*('School Level Inst. Resources'!I23/'School Level Inst. Resources'!L23))+('Model Data Inputs'!$C$87*(SUM('School Level Inst. Resources'!J23:K23)/'School Level Inst. Resources'!L23))))*T23*N23)</f>
        <v>2224.6186330775699</v>
      </c>
      <c r="AL23" s="137">
        <f>(K23*'Model Data Inputs'!$B$94)*T23</f>
        <v>0</v>
      </c>
      <c r="AM23" s="137">
        <f>K23*'Model Data Inputs'!$B$95</f>
        <v>0</v>
      </c>
      <c r="AN23" s="137">
        <f t="shared" si="12"/>
        <v>0</v>
      </c>
      <c r="AO23" s="137">
        <f>('School Level Inst. Resources'!K23*'Model Data Inputs'!$B$96)+('School Level Inst. Resources'!J23*'Model Data Inputs'!$B$97)</f>
        <v>0</v>
      </c>
      <c r="AP23" s="137">
        <f>$L23*'Model Data Inputs'!$B$100</f>
        <v>4373.4000000000005</v>
      </c>
      <c r="AQ23" s="137">
        <f t="shared" si="13"/>
        <v>1457382.9867971323</v>
      </c>
      <c r="AR23" s="141">
        <f t="shared" si="6"/>
        <v>13329.519246326723</v>
      </c>
    </row>
    <row r="24" spans="1:44" s="40" customFormat="1" ht="12.75" customHeight="1" x14ac:dyDescent="0.2">
      <c r="A24" s="20" t="s">
        <v>16</v>
      </c>
      <c r="B24" s="20" t="s">
        <v>17</v>
      </c>
      <c r="C24" s="20" t="s">
        <v>396</v>
      </c>
      <c r="D24" s="20" t="s">
        <v>397</v>
      </c>
      <c r="E24" s="138" t="s">
        <v>365</v>
      </c>
      <c r="F24" s="138" t="str">
        <f>IF(AND(SUM('School Level ADM'!$F24:$J24)=0,SUM('School Level ADM'!$O24:$R24)=0,'School Level ADM'!$K24&gt;0,'School Level ADM'!$N24&gt;0),"T","F")</f>
        <v>F</v>
      </c>
      <c r="G24" s="138" t="str">
        <f>IF(AND(SUM('School Level ADM'!$M24:$R24)=0,'School Level ADM'!$L24&gt;0),"T","F")</f>
        <v>F</v>
      </c>
      <c r="H24" s="138" t="str">
        <f t="shared" si="0"/>
        <v>E</v>
      </c>
      <c r="I24" s="139">
        <f>IF($F24="T",SUM('School Level ADM'!$F24:$J24),IF($G24="T",SUM('School Level ADM'!$F24:$L24),SUM('School Level ADM'!$F24:$K24,0)))</f>
        <v>290.57499999999999</v>
      </c>
      <c r="J24" s="139">
        <f>'School Level ADM'!$S24-$I24-$K24</f>
        <v>0</v>
      </c>
      <c r="K24" s="139">
        <f>IF(SUM('School Level ADM'!$N24:$R24)='School Level ADM'!$S24,SUM('School Level ADM'!$N24:$R24),IF(OR(SUM('School Level ADM'!$F24:$O24)='School Level ADM'!$S24,SUM('School Level ADM'!$G24:$O24)='School Level ADM'!$S24,SUM('School Level ADM'!$H24:$O24)='School Level ADM'!$S24,SUM('School Level ADM'!$I24:$O24)='School Level ADM'!$S24,SUM('School Level ADM'!$J24:$O24)='School Level ADM'!$S24,SUM('School Level ADM'!$K24:$O24)='School Level ADM'!$S24,SUM('School Level ADM'!$L24:$O24)='School Level ADM'!$S24,SUM('School Level ADM'!$M24:$O24)='School Level ADM'!$S24,SUM('School Level ADM'!$N24:$O24)='School Level ADM'!$S24),0,SUM('School Level ADM'!$O24:$R24)))</f>
        <v>0</v>
      </c>
      <c r="L24" s="139">
        <f t="shared" si="1"/>
        <v>290.57499999999999</v>
      </c>
      <c r="M24" s="24">
        <f>'Student At-Risk and ELL Proxy'!S24</f>
        <v>119</v>
      </c>
      <c r="N24" s="24">
        <f>'Student At-Risk and ELL Proxy'!AH24</f>
        <v>2</v>
      </c>
      <c r="O24" s="136">
        <f t="shared" si="7"/>
        <v>1.0052153886516149</v>
      </c>
      <c r="P24" s="136" t="str">
        <f t="shared" si="8"/>
        <v/>
      </c>
      <c r="Q24" s="136" t="str">
        <f t="shared" si="9"/>
        <v/>
      </c>
      <c r="R24" s="136">
        <f t="shared" si="2"/>
        <v>1.0052153886516149</v>
      </c>
      <c r="S24" s="136">
        <f>IF(SUM(3515.4*((VLOOKUP($A24,'District Level ADM'!$A$4:$F$52,6,FALSE))^-0.327)/'Model Data Inputs'!$B$71)&lt;1,1,(3515.4*((VLOOKUP($A24,'District Level ADM'!$A$4:$F$52,6,FALSE))^-0.327)/'Model Data Inputs'!$B$71))</f>
        <v>1.9153689244119212</v>
      </c>
      <c r="T24" s="136">
        <f>VLOOKUP($A24,'Regional Cost Adjustment'!$A$4:$C$52,3,FALSE)</f>
        <v>0.92</v>
      </c>
      <c r="U24" s="123">
        <f>((($I24/$L24)*'Model Data Inputs'!$B$85)+((SUM(J24:K24)/$L24)*'Model Data Inputs'!$C$85))*$R24*$T24</f>
        <v>5888.7333702293163</v>
      </c>
      <c r="V24" s="140">
        <f>((($I24/$L24)*'Model Data Inputs'!$B$86)+((SUM(J24:K24)/$L24)*'Model Data Inputs'!$C$86))*$R24</f>
        <v>1701.4524376155764</v>
      </c>
      <c r="W24" s="140">
        <f t="shared" si="10"/>
        <v>7590.1858078448931</v>
      </c>
      <c r="X24" s="140">
        <f t="shared" si="3"/>
        <v>1711118.6990543834</v>
      </c>
      <c r="Y24" s="140">
        <f t="shared" si="4"/>
        <v>494399.54206014611</v>
      </c>
      <c r="Z24" s="123">
        <f>IF((SUM(X24:Y24))&lt;(AVERAGE('Elementary Size Adjustment'!$B$66,'Secondary Size Adjustment'!$B$66)),(AVERAGE('Elementary Size Adjustment'!$B$66,'Secondary Size Adjustment'!$B$66)),SUM(X24:Y24))</f>
        <v>2205518.2411145298</v>
      </c>
      <c r="AA24" s="137">
        <f>'Model Data Inputs'!$B$71*S24*L24</f>
        <v>105746.08179008885</v>
      </c>
      <c r="AB24" s="137">
        <f>L24*'Model Data Inputs'!$B$72</f>
        <v>7264.375</v>
      </c>
      <c r="AC24" s="137">
        <f>L24*'Model Data Inputs'!$B$73</f>
        <v>72643.75</v>
      </c>
      <c r="AD24" s="137">
        <f>L24*'Model Data Inputs'!$B$74</f>
        <v>36321.875</v>
      </c>
      <c r="AE24" s="137">
        <f>$I24*'Model Data Inputs'!$B$76</f>
        <v>6912.7792499999996</v>
      </c>
      <c r="AF24" s="137">
        <f>VLOOKUP($J24,'Student Activities MS&amp;HS Tables'!$M$7:$O$1267,3)</f>
        <v>0</v>
      </c>
      <c r="AG24" s="137">
        <f>VLOOKUP($K24,'Student Activities MS&amp;HS Tables'!$I$7:$K$3007,3)</f>
        <v>0</v>
      </c>
      <c r="AH24" s="137">
        <f t="shared" si="5"/>
        <v>6912.7792499999996</v>
      </c>
      <c r="AI24" s="123">
        <f t="shared" si="11"/>
        <v>2434407.1021546186</v>
      </c>
      <c r="AJ24" s="123">
        <f>(('Model Data Inputs'!$B$90*(('Model Data Inputs'!$B$87*('School Level Inst. Resources'!I24/'School Level Inst. Resources'!L24))+('Model Data Inputs'!$C$87*(SUM('School Level Inst. Resources'!J24:K24)/'School Level Inst. Resources'!L24))))*T24*M24)</f>
        <v>264729.61733623082</v>
      </c>
      <c r="AK24" s="123">
        <f>(('Model Data Inputs'!$B$91*(('Model Data Inputs'!$B$87*('School Level Inst. Resources'!I24/'School Level Inst. Resources'!L24))+('Model Data Inputs'!$C$87*(SUM('School Level Inst. Resources'!J24:K24)/'School Level Inst. Resources'!L24))))*T24*N24)</f>
        <v>4449.2372661551399</v>
      </c>
      <c r="AL24" s="137">
        <f>(K24*'Model Data Inputs'!$B$94)*T24</f>
        <v>0</v>
      </c>
      <c r="AM24" s="137">
        <f>K24*'Model Data Inputs'!$B$95</f>
        <v>0</v>
      </c>
      <c r="AN24" s="137">
        <f t="shared" si="12"/>
        <v>0</v>
      </c>
      <c r="AO24" s="137">
        <f>('School Level Inst. Resources'!K24*'Model Data Inputs'!$B$96)+('School Level Inst. Resources'!J24*'Model Data Inputs'!$B$97)</f>
        <v>0</v>
      </c>
      <c r="AP24" s="137">
        <f>$L24*'Model Data Inputs'!$B$100</f>
        <v>11623</v>
      </c>
      <c r="AQ24" s="137">
        <f t="shared" si="13"/>
        <v>2715208.9567570044</v>
      </c>
      <c r="AR24" s="141">
        <f t="shared" si="6"/>
        <v>9344.26208984601</v>
      </c>
    </row>
    <row r="25" spans="1:44" s="40" customFormat="1" ht="12.75" customHeight="1" x14ac:dyDescent="0.2">
      <c r="A25" s="20" t="s">
        <v>16</v>
      </c>
      <c r="B25" s="20" t="s">
        <v>17</v>
      </c>
      <c r="C25" s="20" t="s">
        <v>398</v>
      </c>
      <c r="D25" s="20" t="s">
        <v>399</v>
      </c>
      <c r="E25" s="138" t="s">
        <v>383</v>
      </c>
      <c r="F25" s="138" t="str">
        <f>IF(AND(SUM('School Level ADM'!$F25:$J25)=0,SUM('School Level ADM'!$O25:$R25)=0,'School Level ADM'!$K25&gt;0,'School Level ADM'!$N25&gt;0),"T","F")</f>
        <v>F</v>
      </c>
      <c r="G25" s="138" t="str">
        <f>IF(AND(SUM('School Level ADM'!$M25:$R25)=0,'School Level ADM'!$L25&gt;0),"T","F")</f>
        <v>F</v>
      </c>
      <c r="H25" s="138" t="str">
        <f t="shared" si="0"/>
        <v>M</v>
      </c>
      <c r="I25" s="139">
        <f>IF($F25="T",SUM('School Level ADM'!$F25:$J25),IF($G25="T",SUM('School Level ADM'!$F25:$L25),SUM('School Level ADM'!$F25:$K25,0)))</f>
        <v>0</v>
      </c>
      <c r="J25" s="139">
        <f>'School Level ADM'!$S25-$I25-$K25</f>
        <v>55.16</v>
      </c>
      <c r="K25" s="139">
        <f>IF(SUM('School Level ADM'!$N25:$R25)='School Level ADM'!$S25,SUM('School Level ADM'!$N25:$R25),IF(OR(SUM('School Level ADM'!$F25:$O25)='School Level ADM'!$S25,SUM('School Level ADM'!$G25:$O25)='School Level ADM'!$S25,SUM('School Level ADM'!$H25:$O25)='School Level ADM'!$S25,SUM('School Level ADM'!$I25:$O25)='School Level ADM'!$S25,SUM('School Level ADM'!$J25:$O25)='School Level ADM'!$S25,SUM('School Level ADM'!$K25:$O25)='School Level ADM'!$S25,SUM('School Level ADM'!$L25:$O25)='School Level ADM'!$S25,SUM('School Level ADM'!$M25:$O25)='School Level ADM'!$S25,SUM('School Level ADM'!$N25:$O25)='School Level ADM'!$S25),0,SUM('School Level ADM'!$O25:$R25)))</f>
        <v>0</v>
      </c>
      <c r="L25" s="139">
        <f t="shared" si="1"/>
        <v>55.16</v>
      </c>
      <c r="M25" s="24">
        <f>'Student At-Risk and ELL Proxy'!S25</f>
        <v>34</v>
      </c>
      <c r="N25" s="24">
        <f>'Student At-Risk and ELL Proxy'!AH25</f>
        <v>3</v>
      </c>
      <c r="O25" s="136" t="str">
        <f t="shared" si="7"/>
        <v/>
      </c>
      <c r="P25" s="136">
        <f t="shared" si="8"/>
        <v>2.2335340615850456</v>
      </c>
      <c r="Q25" s="136" t="str">
        <f t="shared" si="9"/>
        <v/>
      </c>
      <c r="R25" s="136">
        <f t="shared" si="2"/>
        <v>2.2335340615850456</v>
      </c>
      <c r="S25" s="136">
        <f>IF(SUM(3515.4*((VLOOKUP($A25,'District Level ADM'!$A$4:$F$52,6,FALSE))^-0.327)/'Model Data Inputs'!$B$71)&lt;1,1,(3515.4*((VLOOKUP($A25,'District Level ADM'!$A$4:$F$52,6,FALSE))^-0.327)/'Model Data Inputs'!$B$71))</f>
        <v>1.9153689244119212</v>
      </c>
      <c r="T25" s="136">
        <f>VLOOKUP($A25,'Regional Cost Adjustment'!$A$4:$C$52,3,FALSE)</f>
        <v>0.92</v>
      </c>
      <c r="U25" s="123">
        <f>((($I25/$L25)*'Model Data Inputs'!$B$85)+((SUM(J25:K25)/$L25)*'Model Data Inputs'!$C$85))*$R25*$T25</f>
        <v>11060.83217731575</v>
      </c>
      <c r="V25" s="140">
        <f>((($I25/$L25)*'Model Data Inputs'!$B$86)+((SUM(J25:K25)/$L25)*'Model Data Inputs'!$C$86))*$R25</f>
        <v>3200.895012459941</v>
      </c>
      <c r="W25" s="140">
        <f t="shared" si="10"/>
        <v>14261.727189775691</v>
      </c>
      <c r="X25" s="140">
        <f t="shared" si="3"/>
        <v>610115.50290073676</v>
      </c>
      <c r="Y25" s="140">
        <f t="shared" si="4"/>
        <v>176561.36888729033</v>
      </c>
      <c r="Z25" s="123">
        <f>IF((SUM(X25:Y25))&lt;(AVERAGE('Elementary Size Adjustment'!$B$66,'Secondary Size Adjustment'!$B$66)),(AVERAGE('Elementary Size Adjustment'!$B$66,'Secondary Size Adjustment'!$B$66)),SUM(X25:Y25))</f>
        <v>786676.87178802711</v>
      </c>
      <c r="AA25" s="137">
        <f>'Model Data Inputs'!$B$71*S25*L25</f>
        <v>20073.832475406696</v>
      </c>
      <c r="AB25" s="137">
        <f>L25*'Model Data Inputs'!$B$72</f>
        <v>1379</v>
      </c>
      <c r="AC25" s="137">
        <f>L25*'Model Data Inputs'!$B$73</f>
        <v>13790</v>
      </c>
      <c r="AD25" s="137">
        <f>L25*'Model Data Inputs'!$B$74</f>
        <v>6895</v>
      </c>
      <c r="AE25" s="137">
        <f>$I25*'Model Data Inputs'!$B$76</f>
        <v>0</v>
      </c>
      <c r="AF25" s="137">
        <f>VLOOKUP($J25,'Student Activities MS&amp;HS Tables'!$M$7:$O$1267,3)</f>
        <v>35975.5</v>
      </c>
      <c r="AG25" s="137">
        <f>VLOOKUP($K25,'Student Activities MS&amp;HS Tables'!$I$7:$K$3007,3)</f>
        <v>0</v>
      </c>
      <c r="AH25" s="137">
        <f t="shared" si="5"/>
        <v>35975.5</v>
      </c>
      <c r="AI25" s="123">
        <f t="shared" si="11"/>
        <v>864790.20426343381</v>
      </c>
      <c r="AJ25" s="123">
        <f>(('Model Data Inputs'!$B$90*(('Model Data Inputs'!$B$87*('School Level Inst. Resources'!I25/'School Level Inst. Resources'!L25))+('Model Data Inputs'!$C$87*(SUM('School Level Inst. Resources'!J25:K25)/'School Level Inst. Resources'!L25))))*T25*M25)</f>
        <v>63960.379858350861</v>
      </c>
      <c r="AK25" s="123">
        <f>(('Model Data Inputs'!$B$91*(('Model Data Inputs'!$B$87*('School Level Inst. Resources'!I25/'School Level Inst. Resources'!L25))+('Model Data Inputs'!$C$87*(SUM('School Level Inst. Resources'!J25:K25)/'School Level Inst. Resources'!L25))))*T25*N25)</f>
        <v>5643.5629286780168</v>
      </c>
      <c r="AL25" s="137">
        <f>(K25*'Model Data Inputs'!$B$94)*T25</f>
        <v>0</v>
      </c>
      <c r="AM25" s="137">
        <f>K25*'Model Data Inputs'!$B$95</f>
        <v>0</v>
      </c>
      <c r="AN25" s="137">
        <f t="shared" si="12"/>
        <v>0</v>
      </c>
      <c r="AO25" s="137">
        <f>('School Level Inst. Resources'!K25*'Model Data Inputs'!$B$96)+('School Level Inst. Resources'!J25*'Model Data Inputs'!$B$97)</f>
        <v>1379</v>
      </c>
      <c r="AP25" s="137">
        <f>$L25*'Model Data Inputs'!$B$100</f>
        <v>2206.3999999999996</v>
      </c>
      <c r="AQ25" s="137">
        <f t="shared" si="13"/>
        <v>937979.54705046269</v>
      </c>
      <c r="AR25" s="141">
        <f t="shared" si="6"/>
        <v>17004.70534899316</v>
      </c>
    </row>
    <row r="26" spans="1:44" s="40" customFormat="1" ht="12.75" customHeight="1" x14ac:dyDescent="0.2">
      <c r="A26" s="20" t="s">
        <v>16</v>
      </c>
      <c r="B26" s="20" t="s">
        <v>17</v>
      </c>
      <c r="C26" s="20" t="s">
        <v>400</v>
      </c>
      <c r="D26" s="20" t="s">
        <v>401</v>
      </c>
      <c r="E26" s="138" t="s">
        <v>383</v>
      </c>
      <c r="F26" s="138" t="str">
        <f>IF(AND(SUM('School Level ADM'!$F26:$J26)=0,SUM('School Level ADM'!$O26:$R26)=0,'School Level ADM'!$K26&gt;0,'School Level ADM'!$N26&gt;0),"T","F")</f>
        <v>F</v>
      </c>
      <c r="G26" s="138" t="str">
        <f>IF(AND(SUM('School Level ADM'!$M26:$R26)=0,'School Level ADM'!$L26&gt;0),"T","F")</f>
        <v>F</v>
      </c>
      <c r="H26" s="138" t="str">
        <f t="shared" si="0"/>
        <v>M</v>
      </c>
      <c r="I26" s="139">
        <f>IF($F26="T",SUM('School Level ADM'!$F26:$J26),IF($G26="T",SUM('School Level ADM'!$F26:$L26),SUM('School Level ADM'!$F26:$K26,0)))</f>
        <v>0</v>
      </c>
      <c r="J26" s="139">
        <f>'School Level ADM'!$S26-$I26-$K26</f>
        <v>190.10500000000002</v>
      </c>
      <c r="K26" s="139">
        <f>IF(SUM('School Level ADM'!$N26:$R26)='School Level ADM'!$S26,SUM('School Level ADM'!$N26:$R26),IF(OR(SUM('School Level ADM'!$F26:$O26)='School Level ADM'!$S26,SUM('School Level ADM'!$G26:$O26)='School Level ADM'!$S26,SUM('School Level ADM'!$H26:$O26)='School Level ADM'!$S26,SUM('School Level ADM'!$I26:$O26)='School Level ADM'!$S26,SUM('School Level ADM'!$J26:$O26)='School Level ADM'!$S26,SUM('School Level ADM'!$K26:$O26)='School Level ADM'!$S26,SUM('School Level ADM'!$L26:$O26)='School Level ADM'!$S26,SUM('School Level ADM'!$M26:$O26)='School Level ADM'!$S26,SUM('School Level ADM'!$N26:$O26)='School Level ADM'!$S26),0,SUM('School Level ADM'!$O26:$R26)))</f>
        <v>0</v>
      </c>
      <c r="L26" s="139">
        <f t="shared" si="1"/>
        <v>190.10500000000002</v>
      </c>
      <c r="M26" s="24">
        <f>'Student At-Risk and ELL Proxy'!S26</f>
        <v>105</v>
      </c>
      <c r="N26" s="24">
        <f>'Student At-Risk and ELL Proxy'!AH26</f>
        <v>0</v>
      </c>
      <c r="O26" s="136" t="str">
        <f t="shared" si="7"/>
        <v/>
      </c>
      <c r="P26" s="136">
        <f t="shared" si="8"/>
        <v>1.4466916069952704</v>
      </c>
      <c r="Q26" s="136" t="str">
        <f t="shared" si="9"/>
        <v/>
      </c>
      <c r="R26" s="136">
        <f t="shared" si="2"/>
        <v>1.4466916069952704</v>
      </c>
      <c r="S26" s="136">
        <f>IF(SUM(3515.4*((VLOOKUP($A26,'District Level ADM'!$A$4:$F$52,6,FALSE))^-0.327)/'Model Data Inputs'!$B$71)&lt;1,1,(3515.4*((VLOOKUP($A26,'District Level ADM'!$A$4:$F$52,6,FALSE))^-0.327)/'Model Data Inputs'!$B$71))</f>
        <v>1.9153689244119212</v>
      </c>
      <c r="T26" s="136">
        <f>VLOOKUP($A26,'Regional Cost Adjustment'!$A$4:$C$52,3,FALSE)</f>
        <v>0.92</v>
      </c>
      <c r="U26" s="123">
        <f>((($I26/$L26)*'Model Data Inputs'!$B$85)+((SUM(J26:K26)/$L26)*'Model Data Inputs'!$C$85))*$R26*$T26</f>
        <v>7164.2574664611302</v>
      </c>
      <c r="V26" s="140">
        <f>((($I26/$L26)*'Model Data Inputs'!$B$86)+((SUM(J26:K26)/$L26)*'Model Data Inputs'!$C$86))*$R26</f>
        <v>2073.2649790496585</v>
      </c>
      <c r="W26" s="140">
        <f t="shared" si="10"/>
        <v>9237.5224455107891</v>
      </c>
      <c r="X26" s="140">
        <f t="shared" si="3"/>
        <v>1361961.1656615932</v>
      </c>
      <c r="Y26" s="140">
        <f t="shared" si="4"/>
        <v>394138.03884223534</v>
      </c>
      <c r="Z26" s="123">
        <f>IF((SUM(X26:Y26))&lt;(AVERAGE('Elementary Size Adjustment'!$B$66,'Secondary Size Adjustment'!$B$66)),(AVERAGE('Elementary Size Adjustment'!$B$66,'Secondary Size Adjustment'!$B$66)),SUM(X26:Y26))</f>
        <v>1756099.2045038287</v>
      </c>
      <c r="AA26" s="137">
        <f>'Model Data Inputs'!$B$71*S26*L26</f>
        <v>69183.029781312376</v>
      </c>
      <c r="AB26" s="137">
        <f>L26*'Model Data Inputs'!$B$72</f>
        <v>4752.625</v>
      </c>
      <c r="AC26" s="137">
        <f>L26*'Model Data Inputs'!$B$73</f>
        <v>47526.250000000007</v>
      </c>
      <c r="AD26" s="137">
        <f>L26*'Model Data Inputs'!$B$74</f>
        <v>23763.125000000004</v>
      </c>
      <c r="AE26" s="137">
        <f>$I26*'Model Data Inputs'!$B$76</f>
        <v>0</v>
      </c>
      <c r="AF26" s="137">
        <f>VLOOKUP($J26,'Student Activities MS&amp;HS Tables'!$M$7:$O$1267,3)</f>
        <v>76074.099999999991</v>
      </c>
      <c r="AG26" s="137">
        <f>VLOOKUP($K26,'Student Activities MS&amp;HS Tables'!$I$7:$K$3007,3)</f>
        <v>0</v>
      </c>
      <c r="AH26" s="137">
        <f t="shared" si="5"/>
        <v>76074.099999999991</v>
      </c>
      <c r="AI26" s="123">
        <f t="shared" si="11"/>
        <v>1977398.3342851412</v>
      </c>
      <c r="AJ26" s="123">
        <f>(('Model Data Inputs'!$B$90*(('Model Data Inputs'!$B$87*('School Level Inst. Resources'!I26/'School Level Inst. Resources'!L26))+('Model Data Inputs'!$C$87*(SUM('School Level Inst. Resources'!J26:K26)/'School Level Inst. Resources'!L26))))*T26*M26)</f>
        <v>197524.7025037306</v>
      </c>
      <c r="AK26" s="123">
        <f>(('Model Data Inputs'!$B$91*(('Model Data Inputs'!$B$87*('School Level Inst. Resources'!I26/'School Level Inst. Resources'!L26))+('Model Data Inputs'!$C$87*(SUM('School Level Inst. Resources'!J26:K26)/'School Level Inst. Resources'!L26))))*T26*N26)</f>
        <v>0</v>
      </c>
      <c r="AL26" s="137">
        <f>(K26*'Model Data Inputs'!$B$94)*T26</f>
        <v>0</v>
      </c>
      <c r="AM26" s="137">
        <f>K26*'Model Data Inputs'!$B$95</f>
        <v>0</v>
      </c>
      <c r="AN26" s="137">
        <f t="shared" si="12"/>
        <v>0</v>
      </c>
      <c r="AO26" s="137">
        <f>('School Level Inst. Resources'!K26*'Model Data Inputs'!$B$96)+('School Level Inst. Resources'!J26*'Model Data Inputs'!$B$97)</f>
        <v>4752.625</v>
      </c>
      <c r="AP26" s="137">
        <f>$L26*'Model Data Inputs'!$B$100</f>
        <v>7604.2000000000007</v>
      </c>
      <c r="AQ26" s="137">
        <f t="shared" si="13"/>
        <v>2187279.8617888722</v>
      </c>
      <c r="AR26" s="141">
        <f t="shared" si="6"/>
        <v>11505.640892080019</v>
      </c>
    </row>
    <row r="27" spans="1:44" s="40" customFormat="1" ht="12.75" customHeight="1" x14ac:dyDescent="0.2">
      <c r="A27" s="20" t="s">
        <v>16</v>
      </c>
      <c r="B27" s="20" t="s">
        <v>17</v>
      </c>
      <c r="C27" s="20" t="s">
        <v>402</v>
      </c>
      <c r="D27" s="20" t="s">
        <v>403</v>
      </c>
      <c r="E27" s="138" t="s">
        <v>389</v>
      </c>
      <c r="F27" s="138" t="str">
        <f>IF(AND(SUM('School Level ADM'!$F27:$J27)=0,SUM('School Level ADM'!$O27:$R27)=0,'School Level ADM'!$K27&gt;0,'School Level ADM'!$N27&gt;0),"T","F")</f>
        <v>F</v>
      </c>
      <c r="G27" s="138" t="str">
        <f>IF(AND(SUM('School Level ADM'!$M27:$R27)=0,'School Level ADM'!$L27&gt;0),"T","F")</f>
        <v>F</v>
      </c>
      <c r="H27" s="138" t="str">
        <f t="shared" si="0"/>
        <v>H</v>
      </c>
      <c r="I27" s="139">
        <f>IF($F27="T",SUM('School Level ADM'!$F27:$J27),IF($G27="T",SUM('School Level ADM'!$F27:$L27),SUM('School Level ADM'!$F27:$K27,0)))</f>
        <v>0</v>
      </c>
      <c r="J27" s="139">
        <f>'School Level ADM'!$S27-$I27-$K27</f>
        <v>0</v>
      </c>
      <c r="K27" s="139">
        <f>IF(SUM('School Level ADM'!$N27:$R27)='School Level ADM'!$S27,SUM('School Level ADM'!$N27:$R27),IF(OR(SUM('School Level ADM'!$F27:$O27)='School Level ADM'!$S27,SUM('School Level ADM'!$G27:$O27)='School Level ADM'!$S27,SUM('School Level ADM'!$H27:$O27)='School Level ADM'!$S27,SUM('School Level ADM'!$I27:$O27)='School Level ADM'!$S27,SUM('School Level ADM'!$J27:$O27)='School Level ADM'!$S27,SUM('School Level ADM'!$K27:$O27)='School Level ADM'!$S27,SUM('School Level ADM'!$L27:$O27)='School Level ADM'!$S27,SUM('School Level ADM'!$M27:$O27)='School Level ADM'!$S27,SUM('School Level ADM'!$N27:$O27)='School Level ADM'!$S27),0,SUM('School Level ADM'!$O27:$R27)))</f>
        <v>65.995000000000005</v>
      </c>
      <c r="L27" s="139">
        <f t="shared" si="1"/>
        <v>65.995000000000005</v>
      </c>
      <c r="M27" s="24">
        <f>'Student At-Risk and ELL Proxy'!S27</f>
        <v>23</v>
      </c>
      <c r="N27" s="24">
        <f>'Student At-Risk and ELL Proxy'!AH27</f>
        <v>1</v>
      </c>
      <c r="O27" s="136" t="str">
        <f t="shared" si="7"/>
        <v/>
      </c>
      <c r="P27" s="136">
        <f t="shared" si="8"/>
        <v>2.0972698889645263</v>
      </c>
      <c r="Q27" s="136" t="str">
        <f t="shared" si="9"/>
        <v/>
      </c>
      <c r="R27" s="136">
        <f t="shared" si="2"/>
        <v>2.0972698889645263</v>
      </c>
      <c r="S27" s="136">
        <f>IF(SUM(3515.4*((VLOOKUP($A27,'District Level ADM'!$A$4:$F$52,6,FALSE))^-0.327)/'Model Data Inputs'!$B$71)&lt;1,1,(3515.4*((VLOOKUP($A27,'District Level ADM'!$A$4:$F$52,6,FALSE))^-0.327)/'Model Data Inputs'!$B$71))</f>
        <v>1.9153689244119212</v>
      </c>
      <c r="T27" s="136">
        <f>VLOOKUP($A27,'Regional Cost Adjustment'!$A$4:$C$52,3,FALSE)</f>
        <v>0.92</v>
      </c>
      <c r="U27" s="123">
        <f>((($I27/$L27)*'Model Data Inputs'!$B$85)+((SUM(J27:K27)/$L27)*'Model Data Inputs'!$C$85))*$R27*$T27</f>
        <v>10386.029329640905</v>
      </c>
      <c r="V27" s="140">
        <f>((($I27/$L27)*'Model Data Inputs'!$B$86)+((SUM(J27:K27)/$L27)*'Model Data Inputs'!$C$86))*$R27</f>
        <v>3005.6137682560934</v>
      </c>
      <c r="W27" s="140">
        <f t="shared" si="10"/>
        <v>13391.643097896998</v>
      </c>
      <c r="X27" s="140">
        <f t="shared" si="3"/>
        <v>685426.00560965156</v>
      </c>
      <c r="Y27" s="140">
        <f t="shared" si="4"/>
        <v>198355.48063606091</v>
      </c>
      <c r="Z27" s="123">
        <f>IF((SUM(X27:Y27))&lt;(AVERAGE('Elementary Size Adjustment'!$B$66,'Secondary Size Adjustment'!$B$66)),(AVERAGE('Elementary Size Adjustment'!$B$66,'Secondary Size Adjustment'!$B$66)),SUM(X27:Y27))</f>
        <v>883781.4862457125</v>
      </c>
      <c r="AA27" s="137">
        <f>'Model Data Inputs'!$B$71*S27*L27</f>
        <v>24016.906711647302</v>
      </c>
      <c r="AB27" s="137">
        <f>L27*'Model Data Inputs'!$B$72</f>
        <v>1649.875</v>
      </c>
      <c r="AC27" s="137">
        <f>L27*'Model Data Inputs'!$B$73</f>
        <v>16498.75</v>
      </c>
      <c r="AD27" s="137">
        <f>L27*'Model Data Inputs'!$B$74</f>
        <v>8249.375</v>
      </c>
      <c r="AE27" s="137">
        <f>$I27*'Model Data Inputs'!$B$76</f>
        <v>0</v>
      </c>
      <c r="AF27" s="137">
        <f>VLOOKUP($J27,'Student Activities MS&amp;HS Tables'!$M$7:$O$1267,3)</f>
        <v>0</v>
      </c>
      <c r="AG27" s="137">
        <f>VLOOKUP($K27,'Student Activities MS&amp;HS Tables'!$I$7:$K$3007,3)</f>
        <v>112272.55</v>
      </c>
      <c r="AH27" s="137">
        <f t="shared" si="5"/>
        <v>112272.55</v>
      </c>
      <c r="AI27" s="123">
        <f t="shared" si="11"/>
        <v>1046468.9429573598</v>
      </c>
      <c r="AJ27" s="123">
        <f>(('Model Data Inputs'!$B$90*(('Model Data Inputs'!$B$87*('School Level Inst. Resources'!I27/'School Level Inst. Resources'!L27))+('Model Data Inputs'!$C$87*(SUM('School Level Inst. Resources'!J27:K27)/'School Level Inst. Resources'!L27))))*T27*M27)</f>
        <v>43267.315786531464</v>
      </c>
      <c r="AK27" s="123">
        <f>(('Model Data Inputs'!$B$91*(('Model Data Inputs'!$B$87*('School Level Inst. Resources'!I27/'School Level Inst. Resources'!L27))+('Model Data Inputs'!$C$87*(SUM('School Level Inst. Resources'!J27:K27)/'School Level Inst. Resources'!L27))))*T27*N27)</f>
        <v>1881.1876428926723</v>
      </c>
      <c r="AL27" s="137">
        <f>(K27*'Model Data Inputs'!$B$94)*T27</f>
        <v>10022.009054967002</v>
      </c>
      <c r="AM27" s="137">
        <f>K27*'Model Data Inputs'!$B$95</f>
        <v>2765.838900875</v>
      </c>
      <c r="AN27" s="137">
        <f t="shared" si="12"/>
        <v>12787.847955842002</v>
      </c>
      <c r="AO27" s="137">
        <f>('School Level Inst. Resources'!K27*'Model Data Inputs'!$B$96)+('School Level Inst. Resources'!J27*'Model Data Inputs'!$B$97)</f>
        <v>6599.5</v>
      </c>
      <c r="AP27" s="137">
        <f>$L27*'Model Data Inputs'!$B$100</f>
        <v>2639.8</v>
      </c>
      <c r="AQ27" s="137">
        <f t="shared" si="13"/>
        <v>1113644.5943426259</v>
      </c>
      <c r="AR27" s="141">
        <f t="shared" si="6"/>
        <v>16874.681329534447</v>
      </c>
    </row>
    <row r="28" spans="1:44" s="40" customFormat="1" ht="12.75" customHeight="1" x14ac:dyDescent="0.2">
      <c r="A28" s="20" t="s">
        <v>16</v>
      </c>
      <c r="B28" s="20" t="s">
        <v>17</v>
      </c>
      <c r="C28" s="20" t="s">
        <v>404</v>
      </c>
      <c r="D28" s="20" t="s">
        <v>405</v>
      </c>
      <c r="E28" s="138" t="s">
        <v>389</v>
      </c>
      <c r="F28" s="138" t="str">
        <f>IF(AND(SUM('School Level ADM'!$F28:$J28)=0,SUM('School Level ADM'!$O28:$R28)=0,'School Level ADM'!$K28&gt;0,'School Level ADM'!$N28&gt;0),"T","F")</f>
        <v>F</v>
      </c>
      <c r="G28" s="138" t="str">
        <f>IF(AND(SUM('School Level ADM'!$M28:$R28)=0,'School Level ADM'!$L28&gt;0),"T","F")</f>
        <v>F</v>
      </c>
      <c r="H28" s="138" t="str">
        <f t="shared" si="0"/>
        <v>H</v>
      </c>
      <c r="I28" s="139">
        <f>IF($F28="T",SUM('School Level ADM'!$F28:$J28),IF($G28="T",SUM('School Level ADM'!$F28:$L28),SUM('School Level ADM'!$F28:$K28,0)))</f>
        <v>0</v>
      </c>
      <c r="J28" s="139">
        <f>'School Level ADM'!$S28-$I28-$K28</f>
        <v>0</v>
      </c>
      <c r="K28" s="139">
        <f>IF(SUM('School Level ADM'!$N28:$R28)='School Level ADM'!$S28,SUM('School Level ADM'!$N28:$R28),IF(OR(SUM('School Level ADM'!$F28:$O28)='School Level ADM'!$S28,SUM('School Level ADM'!$G28:$O28)='School Level ADM'!$S28,SUM('School Level ADM'!$H28:$O28)='School Level ADM'!$S28,SUM('School Level ADM'!$I28:$O28)='School Level ADM'!$S28,SUM('School Level ADM'!$J28:$O28)='School Level ADM'!$S28,SUM('School Level ADM'!$K28:$O28)='School Level ADM'!$S28,SUM('School Level ADM'!$L28:$O28)='School Level ADM'!$S28,SUM('School Level ADM'!$M28:$O28)='School Level ADM'!$S28,SUM('School Level ADM'!$N28:$O28)='School Level ADM'!$S28),0,SUM('School Level ADM'!$O28:$R28)))</f>
        <v>317.16999999999996</v>
      </c>
      <c r="L28" s="139">
        <f t="shared" si="1"/>
        <v>317.16999999999996</v>
      </c>
      <c r="M28" s="24">
        <f>'Student At-Risk and ELL Proxy'!S28</f>
        <v>181</v>
      </c>
      <c r="N28" s="24">
        <f>'Student At-Risk and ELL Proxy'!AH28</f>
        <v>2</v>
      </c>
      <c r="O28" s="136" t="str">
        <f t="shared" si="7"/>
        <v/>
      </c>
      <c r="P28" s="136">
        <f t="shared" si="8"/>
        <v>1.2087852901989367</v>
      </c>
      <c r="Q28" s="136" t="str">
        <f t="shared" si="9"/>
        <v/>
      </c>
      <c r="R28" s="136">
        <f t="shared" si="2"/>
        <v>1.2087852901989367</v>
      </c>
      <c r="S28" s="136">
        <f>IF(SUM(3515.4*((VLOOKUP($A28,'District Level ADM'!$A$4:$F$52,6,FALSE))^-0.327)/'Model Data Inputs'!$B$71)&lt;1,1,(3515.4*((VLOOKUP($A28,'District Level ADM'!$A$4:$F$52,6,FALSE))^-0.327)/'Model Data Inputs'!$B$71))</f>
        <v>1.9153689244119212</v>
      </c>
      <c r="T28" s="136">
        <f>VLOOKUP($A28,'Regional Cost Adjustment'!$A$4:$C$52,3,FALSE)</f>
        <v>0.92</v>
      </c>
      <c r="U28" s="123">
        <f>((($I28/$L28)*'Model Data Inputs'!$B$85)+((SUM(J28:K28)/$L28)*'Model Data Inputs'!$C$85))*$R28*$T28</f>
        <v>5986.1058146613195</v>
      </c>
      <c r="V28" s="140">
        <f>((($I28/$L28)*'Model Data Inputs'!$B$86)+((SUM(J28:K28)/$L28)*'Model Data Inputs'!$C$86))*$R28</f>
        <v>1732.3195885299879</v>
      </c>
      <c r="W28" s="140">
        <f t="shared" si="10"/>
        <v>7718.4254031913079</v>
      </c>
      <c r="X28" s="140">
        <f t="shared" si="3"/>
        <v>1898613.1812361304</v>
      </c>
      <c r="Y28" s="140">
        <f t="shared" si="4"/>
        <v>549439.80389405612</v>
      </c>
      <c r="Z28" s="123">
        <f>IF((SUM(X28:Y28))&lt;(AVERAGE('Elementary Size Adjustment'!$B$66,'Secondary Size Adjustment'!$B$66)),(AVERAGE('Elementary Size Adjustment'!$B$66,'Secondary Size Adjustment'!$B$66)),SUM(X28:Y28))</f>
        <v>2448052.9851301867</v>
      </c>
      <c r="AA28" s="137">
        <f>'Model Data Inputs'!$B$71*S28*L28</f>
        <v>115424.53673358851</v>
      </c>
      <c r="AB28" s="137">
        <f>L28*'Model Data Inputs'!$B$72</f>
        <v>7929.2499999999991</v>
      </c>
      <c r="AC28" s="137">
        <f>L28*'Model Data Inputs'!$B$73</f>
        <v>79292.499999999985</v>
      </c>
      <c r="AD28" s="137">
        <f>L28*'Model Data Inputs'!$B$74</f>
        <v>39646.249999999993</v>
      </c>
      <c r="AE28" s="137">
        <f>$I28*'Model Data Inputs'!$B$76</f>
        <v>0</v>
      </c>
      <c r="AF28" s="137">
        <f>VLOOKUP($J28,'Student Activities MS&amp;HS Tables'!$M$7:$O$1267,3)</f>
        <v>0</v>
      </c>
      <c r="AG28" s="137">
        <f>VLOOKUP($K28,'Student Activities MS&amp;HS Tables'!$I$7:$K$3007,3)</f>
        <v>319849.83</v>
      </c>
      <c r="AH28" s="137">
        <f t="shared" si="5"/>
        <v>319849.83</v>
      </c>
      <c r="AI28" s="123">
        <f t="shared" si="11"/>
        <v>3010195.3518637754</v>
      </c>
      <c r="AJ28" s="123">
        <f>(('Model Data Inputs'!$B$90*(('Model Data Inputs'!$B$87*('School Level Inst. Resources'!I28/'School Level Inst. Resources'!L28))+('Model Data Inputs'!$C$87*(SUM('School Level Inst. Resources'!J28:K28)/'School Level Inst. Resources'!L28))))*T28*M28)</f>
        <v>340494.96336357371</v>
      </c>
      <c r="AK28" s="123">
        <f>(('Model Data Inputs'!$B$91*(('Model Data Inputs'!$B$87*('School Level Inst. Resources'!I28/'School Level Inst. Resources'!L28))+('Model Data Inputs'!$C$87*(SUM('School Level Inst. Resources'!J28:K28)/'School Level Inst. Resources'!L28))))*T28*N28)</f>
        <v>3762.3752857853447</v>
      </c>
      <c r="AL28" s="137">
        <f>(K28*'Model Data Inputs'!$B$94)*T28</f>
        <v>48165.476353721999</v>
      </c>
      <c r="AM28" s="137">
        <f>K28*'Model Data Inputs'!$B$95</f>
        <v>13292.539195249998</v>
      </c>
      <c r="AN28" s="137">
        <f t="shared" si="12"/>
        <v>61458.015548971998</v>
      </c>
      <c r="AO28" s="137">
        <f>('School Level Inst. Resources'!K28*'Model Data Inputs'!$B$96)+('School Level Inst. Resources'!J28*'Model Data Inputs'!$B$97)</f>
        <v>31716.999999999996</v>
      </c>
      <c r="AP28" s="137">
        <f>$L28*'Model Data Inputs'!$B$100</f>
        <v>12686.8</v>
      </c>
      <c r="AQ28" s="137">
        <f t="shared" si="13"/>
        <v>3460314.5060621062</v>
      </c>
      <c r="AR28" s="141">
        <f t="shared" si="6"/>
        <v>10909.967859703334</v>
      </c>
    </row>
    <row r="29" spans="1:44" s="40" customFormat="1" ht="12.75" customHeight="1" x14ac:dyDescent="0.2">
      <c r="A29" s="20" t="s">
        <v>18</v>
      </c>
      <c r="B29" s="20" t="s">
        <v>19</v>
      </c>
      <c r="C29" s="20" t="s">
        <v>406</v>
      </c>
      <c r="D29" s="20" t="s">
        <v>407</v>
      </c>
      <c r="E29" s="138" t="s">
        <v>354</v>
      </c>
      <c r="F29" s="138" t="str">
        <f>IF(AND(SUM('School Level ADM'!$F29:$J29)=0,SUM('School Level ADM'!$O29:$R29)=0,'School Level ADM'!$K29&gt;0,'School Level ADM'!$N29&gt;0),"T","F")</f>
        <v>F</v>
      </c>
      <c r="G29" s="138" t="str">
        <f>IF(AND(SUM('School Level ADM'!$M29:$R29)=0,'School Level ADM'!$L29&gt;0),"T","F")</f>
        <v>F</v>
      </c>
      <c r="H29" s="138" t="str">
        <f t="shared" si="0"/>
        <v>E</v>
      </c>
      <c r="I29" s="139">
        <f>IF($F29="T",SUM('School Level ADM'!$F29:$J29),IF($G29="T",SUM('School Level ADM'!$F29:$L29),SUM('School Level ADM'!$F29:$K29,0)))</f>
        <v>331.94499999999999</v>
      </c>
      <c r="J29" s="139">
        <f>'School Level ADM'!$S29-$I29-$K29</f>
        <v>0</v>
      </c>
      <c r="K29" s="139">
        <f>IF(SUM('School Level ADM'!$N29:$R29)='School Level ADM'!$S29,SUM('School Level ADM'!$N29:$R29),IF(OR(SUM('School Level ADM'!$F29:$O29)='School Level ADM'!$S29,SUM('School Level ADM'!$G29:$O29)='School Level ADM'!$S29,SUM('School Level ADM'!$H29:$O29)='School Level ADM'!$S29,SUM('School Level ADM'!$I29:$O29)='School Level ADM'!$S29,SUM('School Level ADM'!$J29:$O29)='School Level ADM'!$S29,SUM('School Level ADM'!$K29:$O29)='School Level ADM'!$S29,SUM('School Level ADM'!$L29:$O29)='School Level ADM'!$S29,SUM('School Level ADM'!$M29:$O29)='School Level ADM'!$S29,SUM('School Level ADM'!$N29:$O29)='School Level ADM'!$S29),0,SUM('School Level ADM'!$O29:$R29)))</f>
        <v>0</v>
      </c>
      <c r="L29" s="139">
        <f t="shared" si="1"/>
        <v>331.94499999999999</v>
      </c>
      <c r="M29" s="24">
        <f>'Student At-Risk and ELL Proxy'!S29</f>
        <v>166</v>
      </c>
      <c r="N29" s="24">
        <f>'Student At-Risk and ELL Proxy'!AH29</f>
        <v>4</v>
      </c>
      <c r="O29" s="136">
        <f t="shared" si="7"/>
        <v>0.97</v>
      </c>
      <c r="P29" s="136" t="str">
        <f t="shared" si="8"/>
        <v/>
      </c>
      <c r="Q29" s="136" t="str">
        <f t="shared" si="9"/>
        <v/>
      </c>
      <c r="R29" s="136">
        <f t="shared" si="2"/>
        <v>0.97</v>
      </c>
      <c r="S29" s="136">
        <f>IF(SUM(3515.4*((VLOOKUP($A29,'District Level ADM'!$A$4:$F$52,6,FALSE))^-0.327)/'Model Data Inputs'!$B$71)&lt;1,1,(3515.4*((VLOOKUP($A29,'District Level ADM'!$A$4:$F$52,6,FALSE))^-0.327)/'Model Data Inputs'!$B$71))</f>
        <v>2.1647851834430458</v>
      </c>
      <c r="T29" s="136">
        <f>VLOOKUP($A29,'Regional Cost Adjustment'!$A$4:$C$52,3,FALSE)</f>
        <v>0.92</v>
      </c>
      <c r="U29" s="123">
        <f>((($I29/$L29)*'Model Data Inputs'!$B$85)+((SUM(J29:K29)/$L29)*'Model Data Inputs'!$C$85))*$R29*$T29</f>
        <v>5682.435260749985</v>
      </c>
      <c r="V29" s="140">
        <f>((($I29/$L29)*'Model Data Inputs'!$B$86)+((SUM(J29:K29)/$L29)*'Model Data Inputs'!$C$86))*$R29</f>
        <v>1641.8459994936507</v>
      </c>
      <c r="W29" s="140">
        <f t="shared" si="10"/>
        <v>7324.2812602436352</v>
      </c>
      <c r="X29" s="140">
        <f t="shared" si="3"/>
        <v>1886255.9726296538</v>
      </c>
      <c r="Y29" s="140">
        <f t="shared" si="4"/>
        <v>545002.57030191983</v>
      </c>
      <c r="Z29" s="123">
        <f>IF((SUM(X29:Y29))&lt;(AVERAGE('Elementary Size Adjustment'!$B$66,'Secondary Size Adjustment'!$B$66)),(AVERAGE('Elementary Size Adjustment'!$B$66,'Secondary Size Adjustment'!$B$66)),SUM(X29:Y29))</f>
        <v>2431258.5429315735</v>
      </c>
      <c r="AA29" s="137">
        <f>'Model Data Inputs'!$B$71*S29*L29</f>
        <v>136532.02736642034</v>
      </c>
      <c r="AB29" s="137">
        <f>L29*'Model Data Inputs'!$B$72</f>
        <v>8298.625</v>
      </c>
      <c r="AC29" s="137">
        <f>L29*'Model Data Inputs'!$B$73</f>
        <v>82986.25</v>
      </c>
      <c r="AD29" s="137">
        <f>L29*'Model Data Inputs'!$B$74</f>
        <v>41493.125</v>
      </c>
      <c r="AE29" s="137">
        <f>$I29*'Model Data Inputs'!$B$76</f>
        <v>7896.9715499999993</v>
      </c>
      <c r="AF29" s="137">
        <f>VLOOKUP($J29,'Student Activities MS&amp;HS Tables'!$M$7:$O$1267,3)</f>
        <v>0</v>
      </c>
      <c r="AG29" s="137">
        <f>VLOOKUP($K29,'Student Activities MS&amp;HS Tables'!$I$7:$K$3007,3)</f>
        <v>0</v>
      </c>
      <c r="AH29" s="137">
        <f t="shared" si="5"/>
        <v>7896.9715499999993</v>
      </c>
      <c r="AI29" s="123">
        <f t="shared" si="11"/>
        <v>2708465.5418479936</v>
      </c>
      <c r="AJ29" s="123">
        <f>(('Model Data Inputs'!$B$90*(('Model Data Inputs'!$B$87*('School Level Inst. Resources'!I29/'School Level Inst. Resources'!L29))+('Model Data Inputs'!$C$87*(SUM('School Level Inst. Resources'!J29:K29)/'School Level Inst. Resources'!L29))))*T29*M29)</f>
        <v>369286.69309087662</v>
      </c>
      <c r="AK29" s="123">
        <f>(('Model Data Inputs'!$B$91*(('Model Data Inputs'!$B$87*('School Level Inst. Resources'!I29/'School Level Inst. Resources'!L29))+('Model Data Inputs'!$C$87*(SUM('School Level Inst. Resources'!J29:K29)/'School Level Inst. Resources'!L29))))*T29*N29)</f>
        <v>8898.4745323102798</v>
      </c>
      <c r="AL29" s="137">
        <f>(K29*'Model Data Inputs'!$B$94)*T29</f>
        <v>0</v>
      </c>
      <c r="AM29" s="137">
        <f>K29*'Model Data Inputs'!$B$95</f>
        <v>0</v>
      </c>
      <c r="AN29" s="137">
        <f t="shared" si="12"/>
        <v>0</v>
      </c>
      <c r="AO29" s="137">
        <f>('School Level Inst. Resources'!K29*'Model Data Inputs'!$B$96)+('School Level Inst. Resources'!J29*'Model Data Inputs'!$B$97)</f>
        <v>0</v>
      </c>
      <c r="AP29" s="137">
        <f>$L29*'Model Data Inputs'!$B$100</f>
        <v>13277.8</v>
      </c>
      <c r="AQ29" s="137">
        <f t="shared" si="13"/>
        <v>3099928.5094711804</v>
      </c>
      <c r="AR29" s="141">
        <f t="shared" si="6"/>
        <v>9338.6811353422418</v>
      </c>
    </row>
    <row r="30" spans="1:44" s="40" customFormat="1" ht="12.75" customHeight="1" x14ac:dyDescent="0.2">
      <c r="A30" s="20" t="s">
        <v>18</v>
      </c>
      <c r="B30" s="20" t="s">
        <v>19</v>
      </c>
      <c r="C30" s="20" t="s">
        <v>408</v>
      </c>
      <c r="D30" s="20" t="s">
        <v>409</v>
      </c>
      <c r="E30" s="138" t="s">
        <v>383</v>
      </c>
      <c r="F30" s="138" t="str">
        <f>IF(AND(SUM('School Level ADM'!$F30:$J30)=0,SUM('School Level ADM'!$O30:$R30)=0,'School Level ADM'!$K30&gt;0,'School Level ADM'!$N30&gt;0),"T","F")</f>
        <v>F</v>
      </c>
      <c r="G30" s="138" t="str">
        <f>IF(AND(SUM('School Level ADM'!$M30:$R30)=0,'School Level ADM'!$L30&gt;0),"T","F")</f>
        <v>F</v>
      </c>
      <c r="H30" s="138" t="str">
        <f t="shared" si="0"/>
        <v>M</v>
      </c>
      <c r="I30" s="139">
        <f>IF($F30="T",SUM('School Level ADM'!$F30:$J30),IF($G30="T",SUM('School Level ADM'!$F30:$L30),SUM('School Level ADM'!$F30:$K30,0)))</f>
        <v>0</v>
      </c>
      <c r="J30" s="139">
        <f>'School Level ADM'!$S30-$I30-$K30</f>
        <v>164.495</v>
      </c>
      <c r="K30" s="139">
        <f>IF(SUM('School Level ADM'!$N30:$R30)='School Level ADM'!$S30,SUM('School Level ADM'!$N30:$R30),IF(OR(SUM('School Level ADM'!$F30:$O30)='School Level ADM'!$S30,SUM('School Level ADM'!$G30:$O30)='School Level ADM'!$S30,SUM('School Level ADM'!$H30:$O30)='School Level ADM'!$S30,SUM('School Level ADM'!$I30:$O30)='School Level ADM'!$S30,SUM('School Level ADM'!$J30:$O30)='School Level ADM'!$S30,SUM('School Level ADM'!$K30:$O30)='School Level ADM'!$S30,SUM('School Level ADM'!$L30:$O30)='School Level ADM'!$S30,SUM('School Level ADM'!$M30:$O30)='School Level ADM'!$S30,SUM('School Level ADM'!$N30:$O30)='School Level ADM'!$S30),0,SUM('School Level ADM'!$O30:$R30)))</f>
        <v>0</v>
      </c>
      <c r="L30" s="139">
        <f t="shared" si="1"/>
        <v>164.495</v>
      </c>
      <c r="M30" s="24">
        <f>'Student At-Risk and ELL Proxy'!S30</f>
        <v>80</v>
      </c>
      <c r="N30" s="24">
        <f>'Student At-Risk and ELL Proxy'!AH30</f>
        <v>2</v>
      </c>
      <c r="O30" s="136" t="str">
        <f t="shared" si="7"/>
        <v/>
      </c>
      <c r="P30" s="136">
        <f t="shared" si="8"/>
        <v>1.5220646374583413</v>
      </c>
      <c r="Q30" s="136" t="str">
        <f t="shared" si="9"/>
        <v/>
      </c>
      <c r="R30" s="136">
        <f t="shared" si="2"/>
        <v>1.5220646374583413</v>
      </c>
      <c r="S30" s="136">
        <f>IF(SUM(3515.4*((VLOOKUP($A30,'District Level ADM'!$A$4:$F$52,6,FALSE))^-0.327)/'Model Data Inputs'!$B$71)&lt;1,1,(3515.4*((VLOOKUP($A30,'District Level ADM'!$A$4:$F$52,6,FALSE))^-0.327)/'Model Data Inputs'!$B$71))</f>
        <v>2.1647851834430458</v>
      </c>
      <c r="T30" s="136">
        <f>VLOOKUP($A30,'Regional Cost Adjustment'!$A$4:$C$52,3,FALSE)</f>
        <v>0.92</v>
      </c>
      <c r="U30" s="123">
        <f>((($I30/$L30)*'Model Data Inputs'!$B$85)+((SUM(J30:K30)/$L30)*'Model Data Inputs'!$C$85))*$R30*$T30</f>
        <v>7537.5172501315446</v>
      </c>
      <c r="V30" s="140">
        <f>((($I30/$L30)*'Model Data Inputs'!$B$86)+((SUM(J30:K30)/$L30)*'Model Data Inputs'!$C$86))*$R30</f>
        <v>2181.2826544604477</v>
      </c>
      <c r="W30" s="140">
        <f t="shared" si="10"/>
        <v>9718.7999045919933</v>
      </c>
      <c r="X30" s="140">
        <f t="shared" si="3"/>
        <v>1239883.9000603885</v>
      </c>
      <c r="Y30" s="140">
        <f t="shared" si="4"/>
        <v>358810.09024547134</v>
      </c>
      <c r="Z30" s="123">
        <f>IF((SUM(X30:Y30))&lt;(AVERAGE('Elementary Size Adjustment'!$B$66,'Secondary Size Adjustment'!$B$66)),(AVERAGE('Elementary Size Adjustment'!$B$66,'Secondary Size Adjustment'!$B$66)),SUM(X30:Y30))</f>
        <v>1598693.9903058598</v>
      </c>
      <c r="AA30" s="137">
        <f>'Model Data Inputs'!$B$71*S30*L30</f>
        <v>67658.304362588126</v>
      </c>
      <c r="AB30" s="137">
        <f>L30*'Model Data Inputs'!$B$72</f>
        <v>4112.375</v>
      </c>
      <c r="AC30" s="137">
        <f>L30*'Model Data Inputs'!$B$73</f>
        <v>41123.75</v>
      </c>
      <c r="AD30" s="137">
        <f>L30*'Model Data Inputs'!$B$74</f>
        <v>20561.875</v>
      </c>
      <c r="AE30" s="137">
        <f>$I30*'Model Data Inputs'!$B$76</f>
        <v>0</v>
      </c>
      <c r="AF30" s="137">
        <f>VLOOKUP($J30,'Student Activities MS&amp;HS Tables'!$M$7:$O$1267,3)</f>
        <v>72425.680000000008</v>
      </c>
      <c r="AG30" s="137">
        <f>VLOOKUP($K30,'Student Activities MS&amp;HS Tables'!$I$7:$K$3007,3)</f>
        <v>0</v>
      </c>
      <c r="AH30" s="137">
        <f t="shared" si="5"/>
        <v>72425.680000000008</v>
      </c>
      <c r="AI30" s="123">
        <f t="shared" si="11"/>
        <v>1804575.9746684479</v>
      </c>
      <c r="AJ30" s="123">
        <f>(('Model Data Inputs'!$B$90*(('Model Data Inputs'!$B$87*('School Level Inst. Resources'!I30/'School Level Inst. Resources'!L30))+('Model Data Inputs'!$C$87*(SUM('School Level Inst. Resources'!J30:K30)/'School Level Inst. Resources'!L30))))*T30*M30)</f>
        <v>150495.01143141379</v>
      </c>
      <c r="AK30" s="123">
        <f>(('Model Data Inputs'!$B$91*(('Model Data Inputs'!$B$87*('School Level Inst. Resources'!I30/'School Level Inst. Resources'!L30))+('Model Data Inputs'!$C$87*(SUM('School Level Inst. Resources'!J30:K30)/'School Level Inst. Resources'!L30))))*T30*N30)</f>
        <v>3762.3752857853447</v>
      </c>
      <c r="AL30" s="137">
        <f>(K30*'Model Data Inputs'!$B$94)*T30</f>
        <v>0</v>
      </c>
      <c r="AM30" s="137">
        <f>K30*'Model Data Inputs'!$B$95</f>
        <v>0</v>
      </c>
      <c r="AN30" s="137">
        <f t="shared" si="12"/>
        <v>0</v>
      </c>
      <c r="AO30" s="137">
        <f>('School Level Inst. Resources'!K30*'Model Data Inputs'!$B$96)+('School Level Inst. Resources'!J30*'Model Data Inputs'!$B$97)</f>
        <v>4112.375</v>
      </c>
      <c r="AP30" s="137">
        <f>$L30*'Model Data Inputs'!$B$100</f>
        <v>6579.8</v>
      </c>
      <c r="AQ30" s="137">
        <f t="shared" si="13"/>
        <v>1969525.536385647</v>
      </c>
      <c r="AR30" s="141">
        <f t="shared" si="6"/>
        <v>11973.163539230049</v>
      </c>
    </row>
    <row r="31" spans="1:44" s="40" customFormat="1" ht="12.75" customHeight="1" x14ac:dyDescent="0.2">
      <c r="A31" s="20" t="s">
        <v>18</v>
      </c>
      <c r="B31" s="20" t="s">
        <v>19</v>
      </c>
      <c r="C31" s="20" t="s">
        <v>410</v>
      </c>
      <c r="D31" s="20" t="s">
        <v>411</v>
      </c>
      <c r="E31" s="138" t="s">
        <v>389</v>
      </c>
      <c r="F31" s="138" t="str">
        <f>IF(AND(SUM('School Level ADM'!$F31:$J31)=0,SUM('School Level ADM'!$O31:$R31)=0,'School Level ADM'!$K31&gt;0,'School Level ADM'!$N31&gt;0),"T","F")</f>
        <v>F</v>
      </c>
      <c r="G31" s="138" t="str">
        <f>IF(AND(SUM('School Level ADM'!$M31:$R31)=0,'School Level ADM'!$L31&gt;0),"T","F")</f>
        <v>F</v>
      </c>
      <c r="H31" s="138" t="str">
        <f t="shared" si="0"/>
        <v>H</v>
      </c>
      <c r="I31" s="139">
        <f>IF($F31="T",SUM('School Level ADM'!$F31:$J31),IF($G31="T",SUM('School Level ADM'!$F31:$L31),SUM('School Level ADM'!$F31:$K31,0)))</f>
        <v>0</v>
      </c>
      <c r="J31" s="139">
        <f>'School Level ADM'!$S31-$I31-$K31</f>
        <v>0</v>
      </c>
      <c r="K31" s="139">
        <f>IF(SUM('School Level ADM'!$N31:$R31)='School Level ADM'!$S31,SUM('School Level ADM'!$N31:$R31),IF(OR(SUM('School Level ADM'!$F31:$O31)='School Level ADM'!$S31,SUM('School Level ADM'!$G31:$O31)='School Level ADM'!$S31,SUM('School Level ADM'!$H31:$O31)='School Level ADM'!$S31,SUM('School Level ADM'!$I31:$O31)='School Level ADM'!$S31,SUM('School Level ADM'!$J31:$O31)='School Level ADM'!$S31,SUM('School Level ADM'!$K31:$O31)='School Level ADM'!$S31,SUM('School Level ADM'!$L31:$O31)='School Level ADM'!$S31,SUM('School Level ADM'!$M31:$O31)='School Level ADM'!$S31,SUM('School Level ADM'!$N31:$O31)='School Level ADM'!$S31),0,SUM('School Level ADM'!$O31:$R31)))</f>
        <v>210.79</v>
      </c>
      <c r="L31" s="139">
        <f t="shared" si="1"/>
        <v>210.79</v>
      </c>
      <c r="M31" s="24">
        <f>'Student At-Risk and ELL Proxy'!S31</f>
        <v>61</v>
      </c>
      <c r="N31" s="24">
        <f>'Student At-Risk and ELL Proxy'!AH31</f>
        <v>2</v>
      </c>
      <c r="O31" s="136" t="str">
        <f t="shared" si="7"/>
        <v/>
      </c>
      <c r="P31" s="136">
        <f t="shared" si="8"/>
        <v>1.3951835367572911</v>
      </c>
      <c r="Q31" s="136" t="str">
        <f t="shared" si="9"/>
        <v/>
      </c>
      <c r="R31" s="136">
        <f t="shared" si="2"/>
        <v>1.3951835367572911</v>
      </c>
      <c r="S31" s="136">
        <f>IF(SUM(3515.4*((VLOOKUP($A31,'District Level ADM'!$A$4:$F$52,6,FALSE))^-0.327)/'Model Data Inputs'!$B$71)&lt;1,1,(3515.4*((VLOOKUP($A31,'District Level ADM'!$A$4:$F$52,6,FALSE))^-0.327)/'Model Data Inputs'!$B$71))</f>
        <v>2.1647851834430458</v>
      </c>
      <c r="T31" s="136">
        <f>VLOOKUP($A31,'Regional Cost Adjustment'!$A$4:$C$52,3,FALSE)</f>
        <v>0.92</v>
      </c>
      <c r="U31" s="123">
        <f>((($I31/$L31)*'Model Data Inputs'!$B$85)+((SUM(J31:K31)/$L31)*'Model Data Inputs'!$C$85))*$R31*$T31</f>
        <v>6909.1809352908949</v>
      </c>
      <c r="V31" s="140">
        <f>((($I31/$L31)*'Model Data Inputs'!$B$86)+((SUM(J31:K31)/$L31)*'Model Data Inputs'!$C$86))*$R31</f>
        <v>1999.448363506674</v>
      </c>
      <c r="W31" s="140">
        <f t="shared" si="10"/>
        <v>8908.6292987975685</v>
      </c>
      <c r="X31" s="140">
        <f t="shared" si="3"/>
        <v>1456386.2493499676</v>
      </c>
      <c r="Y31" s="140">
        <f t="shared" si="4"/>
        <v>421463.72054357181</v>
      </c>
      <c r="Z31" s="123">
        <f>IF((SUM(X31:Y31))&lt;(AVERAGE('Elementary Size Adjustment'!$B$66,'Secondary Size Adjustment'!$B$66)),(AVERAGE('Elementary Size Adjustment'!$B$66,'Secondary Size Adjustment'!$B$66)),SUM(X31:Y31))</f>
        <v>1877849.9698935393</v>
      </c>
      <c r="AA31" s="137">
        <f>'Model Data Inputs'!$B$71*S31*L31</f>
        <v>86699.863075412315</v>
      </c>
      <c r="AB31" s="137">
        <f>L31*'Model Data Inputs'!$B$72</f>
        <v>5269.75</v>
      </c>
      <c r="AC31" s="137">
        <f>L31*'Model Data Inputs'!$B$73</f>
        <v>52697.5</v>
      </c>
      <c r="AD31" s="137">
        <f>L31*'Model Data Inputs'!$B$74</f>
        <v>26348.75</v>
      </c>
      <c r="AE31" s="137">
        <f>$I31*'Model Data Inputs'!$B$76</f>
        <v>0</v>
      </c>
      <c r="AF31" s="137">
        <f>VLOOKUP($J31,'Student Activities MS&amp;HS Tables'!$M$7:$O$1267,3)</f>
        <v>0</v>
      </c>
      <c r="AG31" s="137">
        <f>VLOOKUP($K31,'Student Activities MS&amp;HS Tables'!$I$7:$K$3007,3)</f>
        <v>262233.3</v>
      </c>
      <c r="AH31" s="137">
        <f t="shared" si="5"/>
        <v>262233.3</v>
      </c>
      <c r="AI31" s="123">
        <f t="shared" si="11"/>
        <v>2311099.1329689515</v>
      </c>
      <c r="AJ31" s="123">
        <f>(('Model Data Inputs'!$B$90*(('Model Data Inputs'!$B$87*('School Level Inst. Resources'!I31/'School Level Inst. Resources'!L31))+('Model Data Inputs'!$C$87*(SUM('School Level Inst. Resources'!J31:K31)/'School Level Inst. Resources'!L31))))*T31*M31)</f>
        <v>114752.44621645301</v>
      </c>
      <c r="AK31" s="123">
        <f>(('Model Data Inputs'!$B$91*(('Model Data Inputs'!$B$87*('School Level Inst. Resources'!I31/'School Level Inst. Resources'!L31))+('Model Data Inputs'!$C$87*(SUM('School Level Inst. Resources'!J31:K31)/'School Level Inst. Resources'!L31))))*T31*N31)</f>
        <v>3762.3752857853447</v>
      </c>
      <c r="AL31" s="137">
        <f>(K31*'Model Data Inputs'!$B$94)*T31</f>
        <v>32010.596086014004</v>
      </c>
      <c r="AM31" s="137">
        <f>K31*'Model Data Inputs'!$B$95</f>
        <v>8834.172011749999</v>
      </c>
      <c r="AN31" s="137">
        <f t="shared" si="12"/>
        <v>40844.768097764005</v>
      </c>
      <c r="AO31" s="137">
        <f>('School Level Inst. Resources'!K31*'Model Data Inputs'!$B$96)+('School Level Inst. Resources'!J31*'Model Data Inputs'!$B$97)</f>
        <v>21079</v>
      </c>
      <c r="AP31" s="137">
        <f>$L31*'Model Data Inputs'!$B$100</f>
        <v>8431.6</v>
      </c>
      <c r="AQ31" s="137">
        <f t="shared" si="13"/>
        <v>2499969.3225689535</v>
      </c>
      <c r="AR31" s="141">
        <f t="shared" si="6"/>
        <v>11859.999632662619</v>
      </c>
    </row>
    <row r="32" spans="1:44" s="40" customFormat="1" ht="12.75" customHeight="1" x14ac:dyDescent="0.2">
      <c r="A32" s="20" t="s">
        <v>20</v>
      </c>
      <c r="B32" s="20" t="s">
        <v>21</v>
      </c>
      <c r="C32" s="20" t="s">
        <v>412</v>
      </c>
      <c r="D32" s="20" t="s">
        <v>413</v>
      </c>
      <c r="E32" s="138" t="s">
        <v>354</v>
      </c>
      <c r="F32" s="138" t="str">
        <f>IF(AND(SUM('School Level ADM'!$F32:$J32)=0,SUM('School Level ADM'!$O32:$R32)=0,'School Level ADM'!$K32&gt;0,'School Level ADM'!$N32&gt;0),"T","F")</f>
        <v>F</v>
      </c>
      <c r="G32" s="138" t="str">
        <f>IF(AND(SUM('School Level ADM'!$M32:$R32)=0,'School Level ADM'!$L32&gt;0),"T","F")</f>
        <v>F</v>
      </c>
      <c r="H32" s="138" t="str">
        <f t="shared" si="0"/>
        <v>E</v>
      </c>
      <c r="I32" s="139">
        <f>IF($F32="T",SUM('School Level ADM'!$F32:$J32),IF($G32="T",SUM('School Level ADM'!$F32:$L32),SUM('School Level ADM'!$F32:$K32,0)))</f>
        <v>209.91400000000002</v>
      </c>
      <c r="J32" s="139">
        <f>'School Level ADM'!$S32-$I32-$K32</f>
        <v>0</v>
      </c>
      <c r="K32" s="139">
        <f>IF(SUM('School Level ADM'!$N32:$R32)='School Level ADM'!$S32,SUM('School Level ADM'!$N32:$R32),IF(OR(SUM('School Level ADM'!$F32:$O32)='School Level ADM'!$S32,SUM('School Level ADM'!$G32:$O32)='School Level ADM'!$S32,SUM('School Level ADM'!$H32:$O32)='School Level ADM'!$S32,SUM('School Level ADM'!$I32:$O32)='School Level ADM'!$S32,SUM('School Level ADM'!$J32:$O32)='School Level ADM'!$S32,SUM('School Level ADM'!$K32:$O32)='School Level ADM'!$S32,SUM('School Level ADM'!$L32:$O32)='School Level ADM'!$S32,SUM('School Level ADM'!$M32:$O32)='School Level ADM'!$S32,SUM('School Level ADM'!$N32:$O32)='School Level ADM'!$S32),0,SUM('School Level ADM'!$O32:$R32)))</f>
        <v>0</v>
      </c>
      <c r="L32" s="139">
        <f t="shared" si="1"/>
        <v>209.91400000000002</v>
      </c>
      <c r="M32" s="24">
        <f>'Student At-Risk and ELL Proxy'!S32</f>
        <v>101</v>
      </c>
      <c r="N32" s="24">
        <f>'Student At-Risk and ELL Proxy'!AH32</f>
        <v>30</v>
      </c>
      <c r="O32" s="136">
        <f t="shared" si="7"/>
        <v>1.1440985406999871</v>
      </c>
      <c r="P32" s="136" t="str">
        <f t="shared" si="8"/>
        <v/>
      </c>
      <c r="Q32" s="136" t="str">
        <f t="shared" si="9"/>
        <v/>
      </c>
      <c r="R32" s="136">
        <f t="shared" si="2"/>
        <v>1.1440985406999871</v>
      </c>
      <c r="S32" s="136">
        <f>IF(SUM(3515.4*((VLOOKUP($A32,'District Level ADM'!$A$4:$F$52,6,FALSE))^-0.327)/'Model Data Inputs'!$B$71)&lt;1,1,(3515.4*((VLOOKUP($A32,'District Level ADM'!$A$4:$F$52,6,FALSE))^-0.327)/'Model Data Inputs'!$B$71))</f>
        <v>2.4317452964660879</v>
      </c>
      <c r="T32" s="136">
        <f>VLOOKUP($A32,'Regional Cost Adjustment'!$A$4:$C$52,3,FALSE)</f>
        <v>0.92</v>
      </c>
      <c r="U32" s="123">
        <f>((($I32/$L32)*'Model Data Inputs'!$B$85)+((SUM(J32:K32)/$L32)*'Model Data Inputs'!$C$85))*$R32*$T32</f>
        <v>6702.3359685012447</v>
      </c>
      <c r="V32" s="140">
        <f>((($I32/$L32)*'Model Data Inputs'!$B$86)+((SUM(J32:K32)/$L32)*'Model Data Inputs'!$C$86))*$R32</f>
        <v>1936.5294969843271</v>
      </c>
      <c r="W32" s="140">
        <f t="shared" si="10"/>
        <v>8638.8654654855709</v>
      </c>
      <c r="X32" s="140">
        <f t="shared" si="3"/>
        <v>1406914.1524919705</v>
      </c>
      <c r="Y32" s="140">
        <f t="shared" si="4"/>
        <v>406504.65282996808</v>
      </c>
      <c r="Z32" s="123">
        <f>IF((SUM(X32:Y32))&lt;(AVERAGE('Elementary Size Adjustment'!$B$66,'Secondary Size Adjustment'!$B$66)),(AVERAGE('Elementary Size Adjustment'!$B$66,'Secondary Size Adjustment'!$B$66)),SUM(X32:Y32))</f>
        <v>1813418.8053219386</v>
      </c>
      <c r="AA32" s="137">
        <f>'Model Data Inputs'!$B$71*S32*L32</f>
        <v>96986.90261085266</v>
      </c>
      <c r="AB32" s="137">
        <f>L32*'Model Data Inputs'!$B$72</f>
        <v>5247.85</v>
      </c>
      <c r="AC32" s="137">
        <f>L32*'Model Data Inputs'!$B$73</f>
        <v>52478.500000000007</v>
      </c>
      <c r="AD32" s="137">
        <f>L32*'Model Data Inputs'!$B$74</f>
        <v>26239.250000000004</v>
      </c>
      <c r="AE32" s="137">
        <f>$I32*'Model Data Inputs'!$B$76</f>
        <v>4993.8540600000006</v>
      </c>
      <c r="AF32" s="137">
        <f>VLOOKUP($J32,'Student Activities MS&amp;HS Tables'!$M$7:$O$1267,3)</f>
        <v>0</v>
      </c>
      <c r="AG32" s="137">
        <f>VLOOKUP($K32,'Student Activities MS&amp;HS Tables'!$I$7:$K$3007,3)</f>
        <v>0</v>
      </c>
      <c r="AH32" s="137">
        <f t="shared" si="5"/>
        <v>4993.8540600000006</v>
      </c>
      <c r="AI32" s="123">
        <f t="shared" si="11"/>
        <v>1999365.1619927913</v>
      </c>
      <c r="AJ32" s="123">
        <f>(('Model Data Inputs'!$B$90*(('Model Data Inputs'!$B$87*('School Level Inst. Resources'!I32/'School Level Inst. Resources'!L32))+('Model Data Inputs'!$C$87*(SUM('School Level Inst. Resources'!J32:K32)/'School Level Inst. Resources'!L32))))*T32*M32)</f>
        <v>224686.48194083455</v>
      </c>
      <c r="AK32" s="123">
        <f>(('Model Data Inputs'!$B$91*(('Model Data Inputs'!$B$87*('School Level Inst. Resources'!I32/'School Level Inst. Resources'!L32))+('Model Data Inputs'!$C$87*(SUM('School Level Inst. Resources'!J32:K32)/'School Level Inst. Resources'!L32))))*T32*N32)</f>
        <v>66738.558992327104</v>
      </c>
      <c r="AL32" s="137">
        <f>(K32*'Model Data Inputs'!$B$94)*T32</f>
        <v>0</v>
      </c>
      <c r="AM32" s="137">
        <f>K32*'Model Data Inputs'!$B$95</f>
        <v>0</v>
      </c>
      <c r="AN32" s="137">
        <f t="shared" si="12"/>
        <v>0</v>
      </c>
      <c r="AO32" s="137">
        <f>('School Level Inst. Resources'!K32*'Model Data Inputs'!$B$96)+('School Level Inst. Resources'!J32*'Model Data Inputs'!$B$97)</f>
        <v>0</v>
      </c>
      <c r="AP32" s="137">
        <f>$L32*'Model Data Inputs'!$B$100</f>
        <v>8396.5600000000013</v>
      </c>
      <c r="AQ32" s="137">
        <f t="shared" si="13"/>
        <v>2299186.7629259531</v>
      </c>
      <c r="AR32" s="141">
        <f t="shared" si="6"/>
        <v>10952.993906675843</v>
      </c>
    </row>
    <row r="33" spans="1:44" s="40" customFormat="1" ht="12.75" customHeight="1" x14ac:dyDescent="0.2">
      <c r="A33" s="20" t="s">
        <v>20</v>
      </c>
      <c r="B33" s="20" t="s">
        <v>21</v>
      </c>
      <c r="C33" s="20" t="s">
        <v>414</v>
      </c>
      <c r="D33" s="20" t="s">
        <v>415</v>
      </c>
      <c r="E33" s="138" t="s">
        <v>383</v>
      </c>
      <c r="F33" s="138" t="str">
        <f>IF(AND(SUM('School Level ADM'!$F33:$J33)=0,SUM('School Level ADM'!$O33:$R33)=0,'School Level ADM'!$K33&gt;0,'School Level ADM'!$N33&gt;0),"T","F")</f>
        <v>F</v>
      </c>
      <c r="G33" s="138" t="str">
        <f>IF(AND(SUM('School Level ADM'!$M33:$R33)=0,'School Level ADM'!$L33&gt;0),"T","F")</f>
        <v>F</v>
      </c>
      <c r="H33" s="138" t="str">
        <f t="shared" si="0"/>
        <v>M</v>
      </c>
      <c r="I33" s="139">
        <f>IF($F33="T",SUM('School Level ADM'!$F33:$J33),IF($G33="T",SUM('School Level ADM'!$F33:$L33),SUM('School Level ADM'!$F33:$K33,0)))</f>
        <v>0</v>
      </c>
      <c r="J33" s="139">
        <f>'School Level ADM'!$S33-$I33-$K33</f>
        <v>110.46733333333333</v>
      </c>
      <c r="K33" s="139">
        <f>IF(SUM('School Level ADM'!$N33:$R33)='School Level ADM'!$S33,SUM('School Level ADM'!$N33:$R33),IF(OR(SUM('School Level ADM'!$F33:$O33)='School Level ADM'!$S33,SUM('School Level ADM'!$G33:$O33)='School Level ADM'!$S33,SUM('School Level ADM'!$H33:$O33)='School Level ADM'!$S33,SUM('School Level ADM'!$I33:$O33)='School Level ADM'!$S33,SUM('School Level ADM'!$J33:$O33)='School Level ADM'!$S33,SUM('School Level ADM'!$K33:$O33)='School Level ADM'!$S33,SUM('School Level ADM'!$L33:$O33)='School Level ADM'!$S33,SUM('School Level ADM'!$M33:$O33)='School Level ADM'!$S33,SUM('School Level ADM'!$N33:$O33)='School Level ADM'!$S33),0,SUM('School Level ADM'!$O33:$R33)))</f>
        <v>0</v>
      </c>
      <c r="L33" s="139">
        <f t="shared" si="1"/>
        <v>110.46733333333333</v>
      </c>
      <c r="M33" s="24">
        <f>'Student At-Risk and ELL Proxy'!S33</f>
        <v>55</v>
      </c>
      <c r="N33" s="24">
        <f>'Student At-Risk and ELL Proxy'!AH33</f>
        <v>8</v>
      </c>
      <c r="O33" s="136" t="str">
        <f t="shared" si="7"/>
        <v/>
      </c>
      <c r="P33" s="136">
        <f t="shared" si="8"/>
        <v>1.7503609096868322</v>
      </c>
      <c r="Q33" s="136" t="str">
        <f t="shared" si="9"/>
        <v/>
      </c>
      <c r="R33" s="136">
        <f t="shared" si="2"/>
        <v>1.7503609096868322</v>
      </c>
      <c r="S33" s="136">
        <f>IF(SUM(3515.4*((VLOOKUP($A33,'District Level ADM'!$A$4:$F$52,6,FALSE))^-0.327)/'Model Data Inputs'!$B$71)&lt;1,1,(3515.4*((VLOOKUP($A33,'District Level ADM'!$A$4:$F$52,6,FALSE))^-0.327)/'Model Data Inputs'!$B$71))</f>
        <v>2.4317452964660879</v>
      </c>
      <c r="T33" s="136">
        <f>VLOOKUP($A33,'Regional Cost Adjustment'!$A$4:$C$52,3,FALSE)</f>
        <v>0.92</v>
      </c>
      <c r="U33" s="123">
        <f>((($I33/$L33)*'Model Data Inputs'!$B$85)+((SUM(J33:K33)/$L33)*'Model Data Inputs'!$C$85))*$R33*$T33</f>
        <v>8668.0783627899909</v>
      </c>
      <c r="V33" s="140">
        <f>((($I33/$L33)*'Model Data Inputs'!$B$86)+((SUM(J33:K33)/$L33)*'Model Data Inputs'!$C$86))*$R33</f>
        <v>2508.4558154646675</v>
      </c>
      <c r="W33" s="140">
        <f t="shared" si="10"/>
        <v>11176.534178254658</v>
      </c>
      <c r="X33" s="140">
        <f t="shared" si="3"/>
        <v>957539.50186177611</v>
      </c>
      <c r="Y33" s="140">
        <f t="shared" si="4"/>
        <v>277102.42471887392</v>
      </c>
      <c r="Z33" s="123">
        <f>IF((SUM(X33:Y33))&lt;(AVERAGE('Elementary Size Adjustment'!$B$66,'Secondary Size Adjustment'!$B$66)),(AVERAGE('Elementary Size Adjustment'!$B$66,'Secondary Size Adjustment'!$B$66)),SUM(X33:Y33))</f>
        <v>1234641.92658065</v>
      </c>
      <c r="AA33" s="137">
        <f>'Model Data Inputs'!$B$71*S33*L33</f>
        <v>51039.399466832117</v>
      </c>
      <c r="AB33" s="137">
        <f>L33*'Model Data Inputs'!$B$72</f>
        <v>2761.6833333333334</v>
      </c>
      <c r="AC33" s="137">
        <f>L33*'Model Data Inputs'!$B$73</f>
        <v>27616.833333333332</v>
      </c>
      <c r="AD33" s="137">
        <f>L33*'Model Data Inputs'!$B$74</f>
        <v>13808.416666666666</v>
      </c>
      <c r="AE33" s="137">
        <f>$I33*'Model Data Inputs'!$B$76</f>
        <v>0</v>
      </c>
      <c r="AF33" s="137">
        <f>VLOOKUP($J33,'Student Activities MS&amp;HS Tables'!$M$7:$O$1267,3)</f>
        <v>57996.4</v>
      </c>
      <c r="AG33" s="137">
        <f>VLOOKUP($K33,'Student Activities MS&amp;HS Tables'!$I$7:$K$3007,3)</f>
        <v>0</v>
      </c>
      <c r="AH33" s="137">
        <f t="shared" si="5"/>
        <v>57996.4</v>
      </c>
      <c r="AI33" s="123">
        <f t="shared" si="11"/>
        <v>1387864.6593808155</v>
      </c>
      <c r="AJ33" s="123">
        <f>(('Model Data Inputs'!$B$90*(('Model Data Inputs'!$B$87*('School Level Inst. Resources'!I33/'School Level Inst. Resources'!L33))+('Model Data Inputs'!$C$87*(SUM('School Level Inst. Resources'!J33:K33)/'School Level Inst. Resources'!L33))))*T33*M33)</f>
        <v>103465.32035909698</v>
      </c>
      <c r="AK33" s="123">
        <f>(('Model Data Inputs'!$B$91*(('Model Data Inputs'!$B$87*('School Level Inst. Resources'!I33/'School Level Inst. Resources'!L33))+('Model Data Inputs'!$C$87*(SUM('School Level Inst. Resources'!J33:K33)/'School Level Inst. Resources'!L33))))*T33*N33)</f>
        <v>15049.501143141379</v>
      </c>
      <c r="AL33" s="137">
        <f>(K33*'Model Data Inputs'!$B$94)*T33</f>
        <v>0</v>
      </c>
      <c r="AM33" s="137">
        <f>K33*'Model Data Inputs'!$B$95</f>
        <v>0</v>
      </c>
      <c r="AN33" s="137">
        <f t="shared" si="12"/>
        <v>0</v>
      </c>
      <c r="AO33" s="137">
        <f>('School Level Inst. Resources'!K33*'Model Data Inputs'!$B$96)+('School Level Inst. Resources'!J33*'Model Data Inputs'!$B$97)</f>
        <v>2761.6833333333334</v>
      </c>
      <c r="AP33" s="137">
        <f>$L33*'Model Data Inputs'!$B$100</f>
        <v>4418.6933333333327</v>
      </c>
      <c r="AQ33" s="137">
        <f t="shared" si="13"/>
        <v>1513559.8575497204</v>
      </c>
      <c r="AR33" s="141">
        <f t="shared" si="6"/>
        <v>13701.424773082726</v>
      </c>
    </row>
    <row r="34" spans="1:44" s="40" customFormat="1" ht="12.75" customHeight="1" x14ac:dyDescent="0.2">
      <c r="A34" s="20" t="s">
        <v>20</v>
      </c>
      <c r="B34" s="20" t="s">
        <v>21</v>
      </c>
      <c r="C34" s="20" t="s">
        <v>416</v>
      </c>
      <c r="D34" s="20" t="s">
        <v>417</v>
      </c>
      <c r="E34" s="138" t="s">
        <v>389</v>
      </c>
      <c r="F34" s="138" t="str">
        <f>IF(AND(SUM('School Level ADM'!$F34:$J34)=0,SUM('School Level ADM'!$O34:$R34)=0,'School Level ADM'!$K34&gt;0,'School Level ADM'!$N34&gt;0),"T","F")</f>
        <v>F</v>
      </c>
      <c r="G34" s="138" t="str">
        <f>IF(AND(SUM('School Level ADM'!$M34:$R34)=0,'School Level ADM'!$L34&gt;0),"T","F")</f>
        <v>F</v>
      </c>
      <c r="H34" s="138" t="str">
        <f t="shared" si="0"/>
        <v>H</v>
      </c>
      <c r="I34" s="139">
        <f>IF($F34="T",SUM('School Level ADM'!$F34:$J34),IF($G34="T",SUM('School Level ADM'!$F34:$L34),SUM('School Level ADM'!$F34:$K34,0)))</f>
        <v>0</v>
      </c>
      <c r="J34" s="139">
        <f>'School Level ADM'!$S34-$I34-$K34</f>
        <v>0</v>
      </c>
      <c r="K34" s="139">
        <f>IF(SUM('School Level ADM'!$N34:$R34)='School Level ADM'!$S34,SUM('School Level ADM'!$N34:$R34),IF(OR(SUM('School Level ADM'!$F34:$O34)='School Level ADM'!$S34,SUM('School Level ADM'!$G34:$O34)='School Level ADM'!$S34,SUM('School Level ADM'!$H34:$O34)='School Level ADM'!$S34,SUM('School Level ADM'!$I34:$O34)='School Level ADM'!$S34,SUM('School Level ADM'!$J34:$O34)='School Level ADM'!$S34,SUM('School Level ADM'!$K34:$O34)='School Level ADM'!$S34,SUM('School Level ADM'!$L34:$O34)='School Level ADM'!$S34,SUM('School Level ADM'!$M34:$O34)='School Level ADM'!$S34,SUM('School Level ADM'!$N34:$O34)='School Level ADM'!$S34),0,SUM('School Level ADM'!$O34:$R34)))</f>
        <v>175.20166666666665</v>
      </c>
      <c r="L34" s="139">
        <f t="shared" si="1"/>
        <v>175.20166666666665</v>
      </c>
      <c r="M34" s="24">
        <f>'Student At-Risk and ELL Proxy'!S34</f>
        <v>76</v>
      </c>
      <c r="N34" s="24">
        <f>'Student At-Risk and ELL Proxy'!AH34</f>
        <v>13</v>
      </c>
      <c r="O34" s="136" t="str">
        <f t="shared" si="7"/>
        <v/>
      </c>
      <c r="P34" s="136">
        <f t="shared" si="8"/>
        <v>1.4887465717424229</v>
      </c>
      <c r="Q34" s="136" t="str">
        <f t="shared" si="9"/>
        <v/>
      </c>
      <c r="R34" s="136">
        <f t="shared" si="2"/>
        <v>1.4887465717424229</v>
      </c>
      <c r="S34" s="136">
        <f>IF(SUM(3515.4*((VLOOKUP($A34,'District Level ADM'!$A$4:$F$52,6,FALSE))^-0.327)/'Model Data Inputs'!$B$71)&lt;1,1,(3515.4*((VLOOKUP($A34,'District Level ADM'!$A$4:$F$52,6,FALSE))^-0.327)/'Model Data Inputs'!$B$71))</f>
        <v>2.4317452964660879</v>
      </c>
      <c r="T34" s="136">
        <f>VLOOKUP($A34,'Regional Cost Adjustment'!$A$4:$C$52,3,FALSE)</f>
        <v>0.92</v>
      </c>
      <c r="U34" s="123">
        <f>((($I34/$L34)*'Model Data Inputs'!$B$85)+((SUM(J34:K34)/$L34)*'Model Data Inputs'!$C$85))*$R34*$T34</f>
        <v>7372.5206469031054</v>
      </c>
      <c r="V34" s="140">
        <f>((($I34/$L34)*'Model Data Inputs'!$B$86)+((SUM(J34:K34)/$L34)*'Model Data Inputs'!$C$86))*$R34</f>
        <v>2133.5342756874761</v>
      </c>
      <c r="W34" s="140">
        <f t="shared" si="10"/>
        <v>9506.0549225905816</v>
      </c>
      <c r="X34" s="140">
        <f t="shared" si="3"/>
        <v>1291677.9048718354</v>
      </c>
      <c r="Y34" s="140">
        <f t="shared" si="4"/>
        <v>373798.76099090528</v>
      </c>
      <c r="Z34" s="123">
        <f>IF((SUM(X34:Y34))&lt;(AVERAGE('Elementary Size Adjustment'!$B$66,'Secondary Size Adjustment'!$B$66)),(AVERAGE('Elementary Size Adjustment'!$B$66,'Secondary Size Adjustment'!$B$66)),SUM(X34:Y34))</f>
        <v>1665476.6658627407</v>
      </c>
      <c r="AA34" s="137">
        <f>'Model Data Inputs'!$B$71*S34*L34</f>
        <v>80948.707481440346</v>
      </c>
      <c r="AB34" s="137">
        <f>L34*'Model Data Inputs'!$B$72</f>
        <v>4380.0416666666661</v>
      </c>
      <c r="AC34" s="137">
        <f>L34*'Model Data Inputs'!$B$73</f>
        <v>43800.416666666664</v>
      </c>
      <c r="AD34" s="137">
        <f>L34*'Model Data Inputs'!$B$74</f>
        <v>21900.208333333332</v>
      </c>
      <c r="AE34" s="137">
        <f>$I34*'Model Data Inputs'!$B$76</f>
        <v>0</v>
      </c>
      <c r="AF34" s="137">
        <f>VLOOKUP($J34,'Student Activities MS&amp;HS Tables'!$M$7:$O$1267,3)</f>
        <v>0</v>
      </c>
      <c r="AG34" s="137">
        <f>VLOOKUP($K34,'Student Activities MS&amp;HS Tables'!$I$7:$K$3007,3)</f>
        <v>235872</v>
      </c>
      <c r="AH34" s="137">
        <f t="shared" si="5"/>
        <v>235872</v>
      </c>
      <c r="AI34" s="123">
        <f t="shared" si="11"/>
        <v>2052378.0400108478</v>
      </c>
      <c r="AJ34" s="123">
        <f>(('Model Data Inputs'!$B$90*(('Model Data Inputs'!$B$87*('School Level Inst. Resources'!I34/'School Level Inst. Resources'!L34))+('Model Data Inputs'!$C$87*(SUM('School Level Inst. Resources'!J34:K34)/'School Level Inst. Resources'!L34))))*T34*M34)</f>
        <v>142970.26085984311</v>
      </c>
      <c r="AK34" s="123">
        <f>(('Model Data Inputs'!$B$91*(('Model Data Inputs'!$B$87*('School Level Inst. Resources'!I34/'School Level Inst. Resources'!L34))+('Model Data Inputs'!$C$87*(SUM('School Level Inst. Resources'!J34:K34)/'School Level Inst. Resources'!L34))))*T34*N34)</f>
        <v>24455.439357604741</v>
      </c>
      <c r="AL34" s="137">
        <f>(K34*'Model Data Inputs'!$B$94)*T34</f>
        <v>26606.147280531</v>
      </c>
      <c r="AM34" s="137">
        <f>K34*'Model Data Inputs'!$B$95</f>
        <v>7342.6711897083323</v>
      </c>
      <c r="AN34" s="137">
        <f t="shared" si="12"/>
        <v>33948.818470239334</v>
      </c>
      <c r="AO34" s="137">
        <f>('School Level Inst. Resources'!K34*'Model Data Inputs'!$B$96)+('School Level Inst. Resources'!J34*'Model Data Inputs'!$B$97)</f>
        <v>17520.166666666664</v>
      </c>
      <c r="AP34" s="137">
        <f>$L34*'Model Data Inputs'!$B$100</f>
        <v>7008.0666666666657</v>
      </c>
      <c r="AQ34" s="137">
        <f t="shared" si="13"/>
        <v>2278280.7920318684</v>
      </c>
      <c r="AR34" s="141">
        <f t="shared" si="6"/>
        <v>13003.762095291342</v>
      </c>
    </row>
    <row r="35" spans="1:44" s="40" customFormat="1" ht="12.75" customHeight="1" x14ac:dyDescent="0.2">
      <c r="A35" s="20" t="s">
        <v>22</v>
      </c>
      <c r="B35" s="20" t="s">
        <v>23</v>
      </c>
      <c r="C35" s="20" t="s">
        <v>418</v>
      </c>
      <c r="D35" s="20" t="s">
        <v>419</v>
      </c>
      <c r="E35" s="138" t="s">
        <v>354</v>
      </c>
      <c r="F35" s="138" t="str">
        <f>IF(AND(SUM('School Level ADM'!$F35:$J35)=0,SUM('School Level ADM'!$O35:$R35)=0,'School Level ADM'!$K35&gt;0,'School Level ADM'!$N35&gt;0),"T","F")</f>
        <v>F</v>
      </c>
      <c r="G35" s="138" t="str">
        <f>IF(AND(SUM('School Level ADM'!$M35:$R35)=0,'School Level ADM'!$L35&gt;0),"T","F")</f>
        <v>F</v>
      </c>
      <c r="H35" s="138" t="str">
        <f t="shared" si="0"/>
        <v>E</v>
      </c>
      <c r="I35" s="139">
        <f>IF($F35="T",SUM('School Level ADM'!$F35:$J35),IF($G35="T",SUM('School Level ADM'!$F35:$L35),SUM('School Level ADM'!$F35:$K35,0)))</f>
        <v>123.58166666666666</v>
      </c>
      <c r="J35" s="139">
        <f>'School Level ADM'!$S35-$I35-$K35</f>
        <v>0</v>
      </c>
      <c r="K35" s="139">
        <f>IF(SUM('School Level ADM'!$N35:$R35)='School Level ADM'!$S35,SUM('School Level ADM'!$N35:$R35),IF(OR(SUM('School Level ADM'!$F35:$O35)='School Level ADM'!$S35,SUM('School Level ADM'!$G35:$O35)='School Level ADM'!$S35,SUM('School Level ADM'!$H35:$O35)='School Level ADM'!$S35,SUM('School Level ADM'!$I35:$O35)='School Level ADM'!$S35,SUM('School Level ADM'!$J35:$O35)='School Level ADM'!$S35,SUM('School Level ADM'!$K35:$O35)='School Level ADM'!$S35,SUM('School Level ADM'!$L35:$O35)='School Level ADM'!$S35,SUM('School Level ADM'!$M35:$O35)='School Level ADM'!$S35,SUM('School Level ADM'!$N35:$O35)='School Level ADM'!$S35),0,SUM('School Level ADM'!$O35:$R35)))</f>
        <v>0</v>
      </c>
      <c r="L35" s="139">
        <f t="shared" si="1"/>
        <v>123.58166666666666</v>
      </c>
      <c r="M35" s="24">
        <f>'Student At-Risk and ELL Proxy'!S35</f>
        <v>69</v>
      </c>
      <c r="N35" s="24">
        <f>'Student At-Risk and ELL Proxy'!AH35</f>
        <v>0</v>
      </c>
      <c r="O35" s="136">
        <f t="shared" si="7"/>
        <v>1.4126617935271246</v>
      </c>
      <c r="P35" s="136" t="str">
        <f t="shared" si="8"/>
        <v/>
      </c>
      <c r="Q35" s="136" t="str">
        <f t="shared" si="9"/>
        <v/>
      </c>
      <c r="R35" s="136">
        <f t="shared" si="2"/>
        <v>1.4126617935271246</v>
      </c>
      <c r="S35" s="136">
        <f>IF(SUM(3515.4*((VLOOKUP($A35,'District Level ADM'!$A$4:$F$52,6,FALSE))^-0.327)/'Model Data Inputs'!$B$71)&lt;1,1,(3515.4*((VLOOKUP($A35,'District Level ADM'!$A$4:$F$52,6,FALSE))^-0.327)/'Model Data Inputs'!$B$71))</f>
        <v>2.933504790008965</v>
      </c>
      <c r="T35" s="136">
        <f>VLOOKUP($A35,'Regional Cost Adjustment'!$A$4:$C$52,3,FALSE)</f>
        <v>0.92</v>
      </c>
      <c r="U35" s="123">
        <f>((($I35/$L35)*'Model Data Inputs'!$B$85)+((SUM(J35:K35)/$L35)*'Model Data Inputs'!$C$85))*$R35*$T35</f>
        <v>8275.6280278895338</v>
      </c>
      <c r="V35" s="140">
        <f>((($I35/$L35)*'Model Data Inputs'!$B$86)+((SUM(J35:K35)/$L35)*'Model Data Inputs'!$C$86))*$R35</f>
        <v>2391.106303443335</v>
      </c>
      <c r="W35" s="140">
        <f t="shared" si="10"/>
        <v>10666.734331332869</v>
      </c>
      <c r="X35" s="140">
        <f t="shared" si="3"/>
        <v>1022715.9043999683</v>
      </c>
      <c r="Y35" s="140">
        <f t="shared" si="4"/>
        <v>295496.90215669974</v>
      </c>
      <c r="Z35" s="123">
        <f>IF((SUM(X35:Y35))&lt;(AVERAGE('Elementary Size Adjustment'!$B$66,'Secondary Size Adjustment'!$B$66)),(AVERAGE('Elementary Size Adjustment'!$B$66,'Secondary Size Adjustment'!$B$66)),SUM(X35:Y35))</f>
        <v>1318212.8065566681</v>
      </c>
      <c r="AA35" s="137">
        <f>'Model Data Inputs'!$B$71*S35*L35</f>
        <v>68880.208113551998</v>
      </c>
      <c r="AB35" s="137">
        <f>L35*'Model Data Inputs'!$B$72</f>
        <v>3089.5416666666665</v>
      </c>
      <c r="AC35" s="137">
        <f>L35*'Model Data Inputs'!$B$73</f>
        <v>30895.416666666664</v>
      </c>
      <c r="AD35" s="137">
        <f>L35*'Model Data Inputs'!$B$74</f>
        <v>15447.708333333332</v>
      </c>
      <c r="AE35" s="137">
        <f>$I35*'Model Data Inputs'!$B$76</f>
        <v>2940.00785</v>
      </c>
      <c r="AF35" s="137">
        <f>VLOOKUP($J35,'Student Activities MS&amp;HS Tables'!$M$7:$O$1267,3)</f>
        <v>0</v>
      </c>
      <c r="AG35" s="137">
        <f>VLOOKUP($K35,'Student Activities MS&amp;HS Tables'!$I$7:$K$3007,3)</f>
        <v>0</v>
      </c>
      <c r="AH35" s="137">
        <f t="shared" si="5"/>
        <v>2940.00785</v>
      </c>
      <c r="AI35" s="123">
        <f t="shared" si="11"/>
        <v>1439465.6891868869</v>
      </c>
      <c r="AJ35" s="123">
        <f>(('Model Data Inputs'!$B$90*(('Model Data Inputs'!$B$87*('School Level Inst. Resources'!I35/'School Level Inst. Resources'!L35))+('Model Data Inputs'!$C$87*(SUM('School Level Inst. Resources'!J35:K35)/'School Level Inst. Resources'!L35))))*T35*M35)</f>
        <v>153498.68568235231</v>
      </c>
      <c r="AK35" s="123">
        <f>(('Model Data Inputs'!$B$91*(('Model Data Inputs'!$B$87*('School Level Inst. Resources'!I35/'School Level Inst. Resources'!L35))+('Model Data Inputs'!$C$87*(SUM('School Level Inst. Resources'!J35:K35)/'School Level Inst. Resources'!L35))))*T35*N35)</f>
        <v>0</v>
      </c>
      <c r="AL35" s="137">
        <f>(K35*'Model Data Inputs'!$B$94)*T35</f>
        <v>0</v>
      </c>
      <c r="AM35" s="137">
        <f>K35*'Model Data Inputs'!$B$95</f>
        <v>0</v>
      </c>
      <c r="AN35" s="137">
        <f t="shared" si="12"/>
        <v>0</v>
      </c>
      <c r="AO35" s="137">
        <f>('School Level Inst. Resources'!K35*'Model Data Inputs'!$B$96)+('School Level Inst. Resources'!J35*'Model Data Inputs'!$B$97)</f>
        <v>0</v>
      </c>
      <c r="AP35" s="137">
        <f>$L35*'Model Data Inputs'!$B$100</f>
        <v>4943.2666666666664</v>
      </c>
      <c r="AQ35" s="137">
        <f t="shared" si="13"/>
        <v>1597907.6415359059</v>
      </c>
      <c r="AR35" s="141">
        <f t="shared" si="6"/>
        <v>12929.97322852019</v>
      </c>
    </row>
    <row r="36" spans="1:44" s="40" customFormat="1" ht="12.75" customHeight="1" x14ac:dyDescent="0.2">
      <c r="A36" s="20" t="s">
        <v>22</v>
      </c>
      <c r="B36" s="20" t="s">
        <v>23</v>
      </c>
      <c r="C36" s="20" t="s">
        <v>420</v>
      </c>
      <c r="D36" s="20" t="s">
        <v>421</v>
      </c>
      <c r="E36" s="138" t="s">
        <v>422</v>
      </c>
      <c r="F36" s="138" t="str">
        <f>IF(AND(SUM('School Level ADM'!$F36:$J36)=0,SUM('School Level ADM'!$O36:$R36)=0,'School Level ADM'!$K36&gt;0,'School Level ADM'!$N36&gt;0),"T","F")</f>
        <v>F</v>
      </c>
      <c r="G36" s="138" t="str">
        <f>IF(AND(SUM('School Level ADM'!$M36:$R36)=0,'School Level ADM'!$L36&gt;0),"T","F")</f>
        <v>F</v>
      </c>
      <c r="H36" s="138" t="str">
        <f t="shared" si="0"/>
        <v>H</v>
      </c>
      <c r="I36" s="139">
        <f>IF($F36="T",SUM('School Level ADM'!$F36:$J36),IF($G36="T",SUM('School Level ADM'!$F36:$L36),SUM('School Level ADM'!$F36:$K36,0)))</f>
        <v>0</v>
      </c>
      <c r="J36" s="139">
        <f>'School Level ADM'!$S36-$I36-$K36</f>
        <v>69.526666666666671</v>
      </c>
      <c r="K36" s="139">
        <f>IF(SUM('School Level ADM'!$N36:$R36)='School Level ADM'!$S36,SUM('School Level ADM'!$N36:$R36),IF(OR(SUM('School Level ADM'!$F36:$O36)='School Level ADM'!$S36,SUM('School Level ADM'!$G36:$O36)='School Level ADM'!$S36,SUM('School Level ADM'!$H36:$O36)='School Level ADM'!$S36,SUM('School Level ADM'!$I36:$O36)='School Level ADM'!$S36,SUM('School Level ADM'!$J36:$O36)='School Level ADM'!$S36,SUM('School Level ADM'!$K36:$O36)='School Level ADM'!$S36,SUM('School Level ADM'!$L36:$O36)='School Level ADM'!$S36,SUM('School Level ADM'!$M36:$O36)='School Level ADM'!$S36,SUM('School Level ADM'!$N36:$O36)='School Level ADM'!$S36),0,SUM('School Level ADM'!$O36:$R36)))</f>
        <v>86.131</v>
      </c>
      <c r="L36" s="139">
        <f t="shared" si="1"/>
        <v>155.65766666666667</v>
      </c>
      <c r="M36" s="24">
        <f>'Student At-Risk and ELL Proxy'!S36</f>
        <v>75</v>
      </c>
      <c r="N36" s="24">
        <f>'Student At-Risk and ELL Proxy'!AH36</f>
        <v>1</v>
      </c>
      <c r="O36" s="136" t="str">
        <f t="shared" si="7"/>
        <v/>
      </c>
      <c r="P36" s="136">
        <f t="shared" si="8"/>
        <v>1.551853939860419</v>
      </c>
      <c r="Q36" s="136" t="str">
        <f t="shared" si="9"/>
        <v/>
      </c>
      <c r="R36" s="136">
        <f t="shared" si="2"/>
        <v>1.551853939860419</v>
      </c>
      <c r="S36" s="136">
        <f>IF(SUM(3515.4*((VLOOKUP($A36,'District Level ADM'!$A$4:$F$52,6,FALSE))^-0.327)/'Model Data Inputs'!$B$71)&lt;1,1,(3515.4*((VLOOKUP($A36,'District Level ADM'!$A$4:$F$52,6,FALSE))^-0.327)/'Model Data Inputs'!$B$71))</f>
        <v>2.933504790008965</v>
      </c>
      <c r="T36" s="136">
        <f>VLOOKUP($A36,'Regional Cost Adjustment'!$A$4:$C$52,3,FALSE)</f>
        <v>0.92</v>
      </c>
      <c r="U36" s="123">
        <f>((($I36/$L36)*'Model Data Inputs'!$B$85)+((SUM(J36:K36)/$L36)*'Model Data Inputs'!$C$85))*$R36*$T36</f>
        <v>7685.0388304896514</v>
      </c>
      <c r="V36" s="140">
        <f>((($I36/$L36)*'Model Data Inputs'!$B$86)+((SUM(J36:K36)/$L36)*'Model Data Inputs'!$C$86))*$R36</f>
        <v>2223.9739351189587</v>
      </c>
      <c r="W36" s="140">
        <f t="shared" si="10"/>
        <v>9909.0127656086097</v>
      </c>
      <c r="X36" s="140">
        <f t="shared" si="3"/>
        <v>1196235.212596748</v>
      </c>
      <c r="Y36" s="140">
        <f t="shared" si="4"/>
        <v>346178.59346810187</v>
      </c>
      <c r="Z36" s="123">
        <f>IF((SUM(X36:Y36))&lt;(AVERAGE('Elementary Size Adjustment'!$B$66,'Secondary Size Adjustment'!$B$66)),(AVERAGE('Elementary Size Adjustment'!$B$66,'Secondary Size Adjustment'!$B$66)),SUM(X36:Y36))</f>
        <v>1542413.80606485</v>
      </c>
      <c r="AA36" s="137">
        <f>'Model Data Inputs'!$B$71*S36*L36</f>
        <v>86758.277045974231</v>
      </c>
      <c r="AB36" s="137">
        <f>L36*'Model Data Inputs'!$B$72</f>
        <v>3891.4416666666666</v>
      </c>
      <c r="AC36" s="137">
        <f>L36*'Model Data Inputs'!$B$73</f>
        <v>38914.416666666664</v>
      </c>
      <c r="AD36" s="137">
        <f>L36*'Model Data Inputs'!$B$74</f>
        <v>19457.208333333332</v>
      </c>
      <c r="AE36" s="137">
        <f>$I36*'Model Data Inputs'!$B$76</f>
        <v>0</v>
      </c>
      <c r="AF36" s="137">
        <f>VLOOKUP($J36,'Student Activities MS&amp;HS Tables'!$M$7:$O$1267,3)</f>
        <v>42835.199999999997</v>
      </c>
      <c r="AG36" s="137">
        <f>VLOOKUP($K36,'Student Activities MS&amp;HS Tables'!$I$7:$K$3007,3)</f>
        <v>140363.18000000002</v>
      </c>
      <c r="AH36" s="137">
        <f t="shared" si="5"/>
        <v>183198.38</v>
      </c>
      <c r="AI36" s="123">
        <f t="shared" si="11"/>
        <v>1874633.529777491</v>
      </c>
      <c r="AJ36" s="123">
        <f>(('Model Data Inputs'!$B$90*(('Model Data Inputs'!$B$87*('School Level Inst. Resources'!I36/'School Level Inst. Resources'!L36))+('Model Data Inputs'!$C$87*(SUM('School Level Inst. Resources'!J36:K36)/'School Level Inst. Resources'!L36))))*T36*M36)</f>
        <v>141089.07321695043</v>
      </c>
      <c r="AK36" s="123">
        <f>(('Model Data Inputs'!$B$91*(('Model Data Inputs'!$B$87*('School Level Inst. Resources'!I36/'School Level Inst. Resources'!L36))+('Model Data Inputs'!$C$87*(SUM('School Level Inst. Resources'!J36:K36)/'School Level Inst. Resources'!L36))))*T36*N36)</f>
        <v>1881.1876428926723</v>
      </c>
      <c r="AL36" s="137">
        <f>(K36*'Model Data Inputs'!$B$94)*T36</f>
        <v>13079.864564184601</v>
      </c>
      <c r="AM36" s="137">
        <f>K36*'Model Data Inputs'!$B$95</f>
        <v>3609.7351370749998</v>
      </c>
      <c r="AN36" s="137">
        <f t="shared" si="12"/>
        <v>16689.599701259602</v>
      </c>
      <c r="AO36" s="137">
        <f>('School Level Inst. Resources'!K36*'Model Data Inputs'!$B$96)+('School Level Inst. Resources'!J36*'Model Data Inputs'!$B$97)</f>
        <v>10351.266666666666</v>
      </c>
      <c r="AP36" s="137">
        <f>$L36*'Model Data Inputs'!$B$100</f>
        <v>6226.3066666666673</v>
      </c>
      <c r="AQ36" s="137">
        <f t="shared" si="13"/>
        <v>2050870.9636719269</v>
      </c>
      <c r="AR36" s="141">
        <f t="shared" si="6"/>
        <v>13175.521691866083</v>
      </c>
    </row>
    <row r="37" spans="1:44" s="40" customFormat="1" ht="12.75" customHeight="1" x14ac:dyDescent="0.2">
      <c r="A37" s="20" t="s">
        <v>24</v>
      </c>
      <c r="B37" s="20" t="s">
        <v>25</v>
      </c>
      <c r="C37" s="20" t="s">
        <v>423</v>
      </c>
      <c r="D37" s="20" t="s">
        <v>424</v>
      </c>
      <c r="E37" s="138" t="s">
        <v>357</v>
      </c>
      <c r="F37" s="138" t="str">
        <f>IF(AND(SUM('School Level ADM'!$F37:$J37)=0,SUM('School Level ADM'!$O37:$R37)=0,'School Level ADM'!$K37&gt;0,'School Level ADM'!$N37&gt;0),"T","F")</f>
        <v>F</v>
      </c>
      <c r="G37" s="138" t="str">
        <f>IF(AND(SUM('School Level ADM'!$M37:$R37)=0,'School Level ADM'!$L37&gt;0),"T","F")</f>
        <v>T</v>
      </c>
      <c r="H37" s="138" t="str">
        <f t="shared" si="0"/>
        <v>E</v>
      </c>
      <c r="I37" s="139">
        <f>IF($F37="T",SUM('School Level ADM'!$F37:$J37),IF($G37="T",SUM('School Level ADM'!$F37:$L37),SUM('School Level ADM'!$F37:$K37,0)))</f>
        <v>39.463333333333331</v>
      </c>
      <c r="J37" s="139">
        <f>'School Level ADM'!$S37-$I37-$K37</f>
        <v>0</v>
      </c>
      <c r="K37" s="139">
        <f>IF(SUM('School Level ADM'!$N37:$R37)='School Level ADM'!$S37,SUM('School Level ADM'!$N37:$R37),IF(OR(SUM('School Level ADM'!$F37:$O37)='School Level ADM'!$S37,SUM('School Level ADM'!$G37:$O37)='School Level ADM'!$S37,SUM('School Level ADM'!$H37:$O37)='School Level ADM'!$S37,SUM('School Level ADM'!$I37:$O37)='School Level ADM'!$S37,SUM('School Level ADM'!$J37:$O37)='School Level ADM'!$S37,SUM('School Level ADM'!$K37:$O37)='School Level ADM'!$S37,SUM('School Level ADM'!$L37:$O37)='School Level ADM'!$S37,SUM('School Level ADM'!$M37:$O37)='School Level ADM'!$S37,SUM('School Level ADM'!$N37:$O37)='School Level ADM'!$S37),0,SUM('School Level ADM'!$O37:$R37)))</f>
        <v>0</v>
      </c>
      <c r="L37" s="139">
        <f t="shared" si="1"/>
        <v>39.463333333333331</v>
      </c>
      <c r="M37" s="24">
        <f>'Student At-Risk and ELL Proxy'!S37</f>
        <v>4</v>
      </c>
      <c r="N37" s="24">
        <f>'Student At-Risk and ELL Proxy'!AH37</f>
        <v>0</v>
      </c>
      <c r="O37" s="136">
        <f t="shared" si="7"/>
        <v>2.2251064456799097</v>
      </c>
      <c r="P37" s="136" t="str">
        <f t="shared" si="8"/>
        <v/>
      </c>
      <c r="Q37" s="136" t="str">
        <f t="shared" si="9"/>
        <v/>
      </c>
      <c r="R37" s="136">
        <f t="shared" si="2"/>
        <v>2.2251064456799097</v>
      </c>
      <c r="S37" s="136">
        <f>IF(SUM(3515.4*((VLOOKUP($A37,'District Level ADM'!$A$4:$F$52,6,FALSE))^-0.327)/'Model Data Inputs'!$B$71)&lt;1,1,(3515.4*((VLOOKUP($A37,'District Level ADM'!$A$4:$F$52,6,FALSE))^-0.327)/'Model Data Inputs'!$B$71))</f>
        <v>1</v>
      </c>
      <c r="T37" s="136">
        <f>VLOOKUP($A37,'Regional Cost Adjustment'!$A$4:$C$52,3,FALSE)</f>
        <v>1.17</v>
      </c>
      <c r="U37" s="123">
        <f>((($I37/$L37)*'Model Data Inputs'!$B$85)+((SUM(J37:K37)/$L37)*'Model Data Inputs'!$C$85))*$R37*$T37</f>
        <v>16577.215700637269</v>
      </c>
      <c r="V37" s="140">
        <f>((($I37/$L37)*'Model Data Inputs'!$B$86)+((SUM(J37:K37)/$L37)*'Model Data Inputs'!$C$86))*$R37</f>
        <v>3766.2702229763872</v>
      </c>
      <c r="W37" s="140">
        <f t="shared" si="10"/>
        <v>20343.485923613654</v>
      </c>
      <c r="X37" s="140">
        <f t="shared" si="3"/>
        <v>654192.18893281533</v>
      </c>
      <c r="Y37" s="140">
        <f t="shared" si="4"/>
        <v>148629.57723272481</v>
      </c>
      <c r="Z37" s="123">
        <f>IF((SUM(X37:Y37))&lt;(AVERAGE('Elementary Size Adjustment'!$B$66,'Secondary Size Adjustment'!$B$66)),(AVERAGE('Elementary Size Adjustment'!$B$66,'Secondary Size Adjustment'!$B$66)),SUM(X37:Y37))</f>
        <v>802821.76616554009</v>
      </c>
      <c r="AA37" s="137">
        <f>'Model Data Inputs'!$B$71*S37*L37</f>
        <v>7498.0333333333328</v>
      </c>
      <c r="AB37" s="137">
        <f>L37*'Model Data Inputs'!$B$72</f>
        <v>986.58333333333326</v>
      </c>
      <c r="AC37" s="137">
        <f>L37*'Model Data Inputs'!$B$73</f>
        <v>9865.8333333333321</v>
      </c>
      <c r="AD37" s="137">
        <f>L37*'Model Data Inputs'!$B$74</f>
        <v>4932.9166666666661</v>
      </c>
      <c r="AE37" s="137">
        <f>$I37*'Model Data Inputs'!$B$76</f>
        <v>938.83269999999993</v>
      </c>
      <c r="AF37" s="137">
        <f>VLOOKUP($J37,'Student Activities MS&amp;HS Tables'!$M$7:$O$1267,3)</f>
        <v>0</v>
      </c>
      <c r="AG37" s="137">
        <f>VLOOKUP($K37,'Student Activities MS&amp;HS Tables'!$I$7:$K$3007,3)</f>
        <v>0</v>
      </c>
      <c r="AH37" s="137">
        <f t="shared" si="5"/>
        <v>938.83269999999993</v>
      </c>
      <c r="AI37" s="123">
        <f t="shared" si="11"/>
        <v>827043.96553220681</v>
      </c>
      <c r="AJ37" s="123">
        <f>(('Model Data Inputs'!$B$90*(('Model Data Inputs'!$B$87*('School Level Inst. Resources'!I37/'School Level Inst. Resources'!L37))+('Model Data Inputs'!$C$87*(SUM('School Level Inst. Resources'!J37:K37)/'School Level Inst. Resources'!L37))))*T37*M37)</f>
        <v>11316.538263916333</v>
      </c>
      <c r="AK37" s="123">
        <f>(('Model Data Inputs'!$B$91*(('Model Data Inputs'!$B$87*('School Level Inst. Resources'!I37/'School Level Inst. Resources'!L37))+('Model Data Inputs'!$C$87*(SUM('School Level Inst. Resources'!J37:K37)/'School Level Inst. Resources'!L37))))*T37*N37)</f>
        <v>0</v>
      </c>
      <c r="AL37" s="137">
        <f>(K37*'Model Data Inputs'!$B$94)*T37</f>
        <v>0</v>
      </c>
      <c r="AM37" s="137">
        <f>K37*'Model Data Inputs'!$B$95</f>
        <v>0</v>
      </c>
      <c r="AN37" s="137">
        <f t="shared" si="12"/>
        <v>0</v>
      </c>
      <c r="AO37" s="137">
        <f>('School Level Inst. Resources'!K37*'Model Data Inputs'!$B$96)+('School Level Inst. Resources'!J37*'Model Data Inputs'!$B$97)</f>
        <v>0</v>
      </c>
      <c r="AP37" s="137">
        <f>$L37*'Model Data Inputs'!$B$100</f>
        <v>1578.5333333333333</v>
      </c>
      <c r="AQ37" s="137">
        <f t="shared" si="13"/>
        <v>839939.03712945653</v>
      </c>
      <c r="AR37" s="141">
        <f t="shared" si="6"/>
        <v>21284.036754695244</v>
      </c>
    </row>
    <row r="38" spans="1:44" s="40" customFormat="1" ht="12.75" customHeight="1" x14ac:dyDescent="0.2">
      <c r="A38" s="20" t="s">
        <v>24</v>
      </c>
      <c r="B38" s="20" t="s">
        <v>25</v>
      </c>
      <c r="C38" s="20" t="s">
        <v>425</v>
      </c>
      <c r="D38" s="20" t="s">
        <v>426</v>
      </c>
      <c r="E38" s="138" t="s">
        <v>362</v>
      </c>
      <c r="F38" s="138" t="str">
        <f>IF(AND(SUM('School Level ADM'!$F38:$J38)=0,SUM('School Level ADM'!$O38:$R38)=0,'School Level ADM'!$K38&gt;0,'School Level ADM'!$N38&gt;0),"T","F")</f>
        <v>F</v>
      </c>
      <c r="G38" s="138" t="str">
        <f>IF(AND(SUM('School Level ADM'!$M38:$R38)=0,'School Level ADM'!$L38&gt;0),"T","F")</f>
        <v>T</v>
      </c>
      <c r="H38" s="138" t="str">
        <f t="shared" si="0"/>
        <v>E</v>
      </c>
      <c r="I38" s="139">
        <f>IF($F38="T",SUM('School Level ADM'!$F38:$J38),IF($G38="T",SUM('School Level ADM'!$F38:$L38),SUM('School Level ADM'!$F38:$K38,0)))</f>
        <v>232.27633333333333</v>
      </c>
      <c r="J38" s="139">
        <f>'School Level ADM'!$S38-$I38-$K38</f>
        <v>0</v>
      </c>
      <c r="K38" s="139">
        <f>IF(SUM('School Level ADM'!$N38:$R38)='School Level ADM'!$S38,SUM('School Level ADM'!$N38:$R38),IF(OR(SUM('School Level ADM'!$F38:$O38)='School Level ADM'!$S38,SUM('School Level ADM'!$G38:$O38)='School Level ADM'!$S38,SUM('School Level ADM'!$H38:$O38)='School Level ADM'!$S38,SUM('School Level ADM'!$I38:$O38)='School Level ADM'!$S38,SUM('School Level ADM'!$J38:$O38)='School Level ADM'!$S38,SUM('School Level ADM'!$K38:$O38)='School Level ADM'!$S38,SUM('School Level ADM'!$L38:$O38)='School Level ADM'!$S38,SUM('School Level ADM'!$M38:$O38)='School Level ADM'!$S38,SUM('School Level ADM'!$N38:$O38)='School Level ADM'!$S38),0,SUM('School Level ADM'!$O38:$R38)))</f>
        <v>0</v>
      </c>
      <c r="L38" s="139">
        <f t="shared" si="1"/>
        <v>232.27633333333333</v>
      </c>
      <c r="M38" s="24">
        <f>'Student At-Risk and ELL Proxy'!S38</f>
        <v>83</v>
      </c>
      <c r="N38" s="24">
        <f>'Student At-Risk and ELL Proxy'!AH38</f>
        <v>16</v>
      </c>
      <c r="O38" s="136">
        <f t="shared" si="7"/>
        <v>1.0989196415792375</v>
      </c>
      <c r="P38" s="136" t="str">
        <f t="shared" si="8"/>
        <v/>
      </c>
      <c r="Q38" s="136" t="str">
        <f t="shared" si="9"/>
        <v/>
      </c>
      <c r="R38" s="136">
        <f t="shared" si="2"/>
        <v>1.0989196415792375</v>
      </c>
      <c r="S38" s="136">
        <f>IF(SUM(3515.4*((VLOOKUP($A38,'District Level ADM'!$A$4:$F$52,6,FALSE))^-0.327)/'Model Data Inputs'!$B$71)&lt;1,1,(3515.4*((VLOOKUP($A38,'District Level ADM'!$A$4:$F$52,6,FALSE))^-0.327)/'Model Data Inputs'!$B$71))</f>
        <v>1</v>
      </c>
      <c r="T38" s="136">
        <f>VLOOKUP($A38,'Regional Cost Adjustment'!$A$4:$C$52,3,FALSE)</f>
        <v>1.17</v>
      </c>
      <c r="U38" s="123">
        <f>((($I38/$L38)*'Model Data Inputs'!$B$85)+((SUM(J38:K38)/$L38)*'Model Data Inputs'!$C$85))*$R38*$T38</f>
        <v>8187.0366118864795</v>
      </c>
      <c r="V38" s="140">
        <f>((($I38/$L38)*'Model Data Inputs'!$B$86)+((SUM(J38:K38)/$L38)*'Model Data Inputs'!$C$86))*$R38</f>
        <v>1860.0585745276985</v>
      </c>
      <c r="W38" s="140">
        <f t="shared" si="10"/>
        <v>10047.095186414179</v>
      </c>
      <c r="X38" s="140">
        <f t="shared" si="3"/>
        <v>1901654.8450747479</v>
      </c>
      <c r="Y38" s="140">
        <f t="shared" si="4"/>
        <v>432047.58547652053</v>
      </c>
      <c r="Z38" s="123">
        <f>IF((SUM(X38:Y38))&lt;(AVERAGE('Elementary Size Adjustment'!$B$66,'Secondary Size Adjustment'!$B$66)),(AVERAGE('Elementary Size Adjustment'!$B$66,'Secondary Size Adjustment'!$B$66)),SUM(X38:Y38))</f>
        <v>2333702.4305512686</v>
      </c>
      <c r="AA38" s="137">
        <f>'Model Data Inputs'!$B$71*S38*L38</f>
        <v>44132.503333333334</v>
      </c>
      <c r="AB38" s="137">
        <f>L38*'Model Data Inputs'!$B$72</f>
        <v>5806.9083333333328</v>
      </c>
      <c r="AC38" s="137">
        <f>L38*'Model Data Inputs'!$B$73</f>
        <v>58069.083333333328</v>
      </c>
      <c r="AD38" s="137">
        <f>L38*'Model Data Inputs'!$B$74</f>
        <v>29034.541666666664</v>
      </c>
      <c r="AE38" s="137">
        <f>$I38*'Model Data Inputs'!$B$76</f>
        <v>5525.8539699999992</v>
      </c>
      <c r="AF38" s="137">
        <f>VLOOKUP($J38,'Student Activities MS&amp;HS Tables'!$M$7:$O$1267,3)</f>
        <v>0</v>
      </c>
      <c r="AG38" s="137">
        <f>VLOOKUP($K38,'Student Activities MS&amp;HS Tables'!$I$7:$K$3007,3)</f>
        <v>0</v>
      </c>
      <c r="AH38" s="137">
        <f t="shared" si="5"/>
        <v>5525.8539699999992</v>
      </c>
      <c r="AI38" s="123">
        <f t="shared" si="11"/>
        <v>2476271.3211879353</v>
      </c>
      <c r="AJ38" s="123">
        <f>(('Model Data Inputs'!$B$90*(('Model Data Inputs'!$B$87*('School Level Inst. Resources'!I38/'School Level Inst. Resources'!L38))+('Model Data Inputs'!$C$87*(SUM('School Level Inst. Resources'!J38:K38)/'School Level Inst. Resources'!L38))))*T38*M38)</f>
        <v>234818.1689762639</v>
      </c>
      <c r="AK38" s="123">
        <f>(('Model Data Inputs'!$B$91*(('Model Data Inputs'!$B$87*('School Level Inst. Resources'!I38/'School Level Inst. Resources'!L38))+('Model Data Inputs'!$C$87*(SUM('School Level Inst. Resources'!J38:K38)/'School Level Inst. Resources'!L38))))*T38*N38)</f>
        <v>45266.153055665331</v>
      </c>
      <c r="AL38" s="137">
        <f>(K38*'Model Data Inputs'!$B$94)*T38</f>
        <v>0</v>
      </c>
      <c r="AM38" s="137">
        <f>K38*'Model Data Inputs'!$B$95</f>
        <v>0</v>
      </c>
      <c r="AN38" s="137">
        <f t="shared" si="12"/>
        <v>0</v>
      </c>
      <c r="AO38" s="137">
        <f>('School Level Inst. Resources'!K38*'Model Data Inputs'!$B$96)+('School Level Inst. Resources'!J38*'Model Data Inputs'!$B$97)</f>
        <v>0</v>
      </c>
      <c r="AP38" s="137">
        <f>$L38*'Model Data Inputs'!$B$100</f>
        <v>9291.0533333333333</v>
      </c>
      <c r="AQ38" s="137">
        <f t="shared" si="13"/>
        <v>2765646.6965531982</v>
      </c>
      <c r="AR38" s="141">
        <f t="shared" si="6"/>
        <v>11906.708948191874</v>
      </c>
    </row>
    <row r="39" spans="1:44" s="40" customFormat="1" ht="12.75" customHeight="1" x14ac:dyDescent="0.2">
      <c r="A39" s="20" t="s">
        <v>24</v>
      </c>
      <c r="B39" s="20" t="s">
        <v>25</v>
      </c>
      <c r="C39" s="20" t="s">
        <v>427</v>
      </c>
      <c r="D39" s="20" t="s">
        <v>428</v>
      </c>
      <c r="E39" s="138" t="s">
        <v>357</v>
      </c>
      <c r="F39" s="138" t="str">
        <f>IF(AND(SUM('School Level ADM'!$F39:$J39)=0,SUM('School Level ADM'!$O39:$R39)=0,'School Level ADM'!$K39&gt;0,'School Level ADM'!$N39&gt;0),"T","F")</f>
        <v>F</v>
      </c>
      <c r="G39" s="138" t="str">
        <f>IF(AND(SUM('School Level ADM'!$M39:$R39)=0,'School Level ADM'!$L39&gt;0),"T","F")</f>
        <v>T</v>
      </c>
      <c r="H39" s="138" t="str">
        <f t="shared" si="0"/>
        <v>E</v>
      </c>
      <c r="I39" s="139">
        <f>IF($F39="T",SUM('School Level ADM'!$F39:$J39),IF($G39="T",SUM('School Level ADM'!$F39:$L39),SUM('School Level ADM'!$F39:$K39,0)))</f>
        <v>426.74000000000007</v>
      </c>
      <c r="J39" s="139">
        <f>'School Level ADM'!$S39-$I39-$K39</f>
        <v>0</v>
      </c>
      <c r="K39" s="139">
        <f>IF(SUM('School Level ADM'!$N39:$R39)='School Level ADM'!$S39,SUM('School Level ADM'!$N39:$R39),IF(OR(SUM('School Level ADM'!$F39:$O39)='School Level ADM'!$S39,SUM('School Level ADM'!$G39:$O39)='School Level ADM'!$S39,SUM('School Level ADM'!$H39:$O39)='School Level ADM'!$S39,SUM('School Level ADM'!$I39:$O39)='School Level ADM'!$S39,SUM('School Level ADM'!$J39:$O39)='School Level ADM'!$S39,SUM('School Level ADM'!$K39:$O39)='School Level ADM'!$S39,SUM('School Level ADM'!$L39:$O39)='School Level ADM'!$S39,SUM('School Level ADM'!$M39:$O39)='School Level ADM'!$S39,SUM('School Level ADM'!$N39:$O39)='School Level ADM'!$S39),0,SUM('School Level ADM'!$O39:$R39)))</f>
        <v>0</v>
      </c>
      <c r="L39" s="139">
        <f t="shared" si="1"/>
        <v>426.74000000000007</v>
      </c>
      <c r="M39" s="24">
        <f>'Student At-Risk and ELL Proxy'!S39</f>
        <v>277</v>
      </c>
      <c r="N39" s="24">
        <f>'Student At-Risk and ELL Proxy'!AH39</f>
        <v>90</v>
      </c>
      <c r="O39" s="136">
        <f t="shared" si="7"/>
        <v>0.97</v>
      </c>
      <c r="P39" s="136" t="str">
        <f t="shared" si="8"/>
        <v/>
      </c>
      <c r="Q39" s="136" t="str">
        <f t="shared" si="9"/>
        <v/>
      </c>
      <c r="R39" s="136">
        <f t="shared" si="2"/>
        <v>0.97</v>
      </c>
      <c r="S39" s="136">
        <f>IF(SUM(3515.4*((VLOOKUP($A39,'District Level ADM'!$A$4:$F$52,6,FALSE))^-0.327)/'Model Data Inputs'!$B$71)&lt;1,1,(3515.4*((VLOOKUP($A39,'District Level ADM'!$A$4:$F$52,6,FALSE))^-0.327)/'Model Data Inputs'!$B$71))</f>
        <v>1</v>
      </c>
      <c r="T39" s="136">
        <f>VLOOKUP($A39,'Regional Cost Adjustment'!$A$4:$C$52,3,FALSE)</f>
        <v>1.17</v>
      </c>
      <c r="U39" s="123">
        <f>((($I39/$L39)*'Model Data Inputs'!$B$85)+((SUM(J39:K39)/$L39)*'Model Data Inputs'!$C$85))*$R39*$T39</f>
        <v>7226.5752772581318</v>
      </c>
      <c r="V39" s="140">
        <f>((($I39/$L39)*'Model Data Inputs'!$B$86)+((SUM(J39:K39)/$L39)*'Model Data Inputs'!$C$86))*$R39</f>
        <v>1641.8459994936507</v>
      </c>
      <c r="W39" s="140">
        <f t="shared" si="10"/>
        <v>8868.421276751782</v>
      </c>
      <c r="X39" s="140">
        <f t="shared" si="3"/>
        <v>3083868.7338171354</v>
      </c>
      <c r="Y39" s="140">
        <f t="shared" si="4"/>
        <v>700641.36182392063</v>
      </c>
      <c r="Z39" s="123">
        <f>IF((SUM(X39:Y39))&lt;(AVERAGE('Elementary Size Adjustment'!$B$66,'Secondary Size Adjustment'!$B$66)),(AVERAGE('Elementary Size Adjustment'!$B$66,'Secondary Size Adjustment'!$B$66)),SUM(X39:Y39))</f>
        <v>3784510.0956410561</v>
      </c>
      <c r="AA39" s="137">
        <f>'Model Data Inputs'!$B$71*S39*L39</f>
        <v>81080.600000000006</v>
      </c>
      <c r="AB39" s="137">
        <f>L39*'Model Data Inputs'!$B$72</f>
        <v>10668.500000000002</v>
      </c>
      <c r="AC39" s="137">
        <f>L39*'Model Data Inputs'!$B$73</f>
        <v>106685.00000000001</v>
      </c>
      <c r="AD39" s="137">
        <f>L39*'Model Data Inputs'!$B$74</f>
        <v>53342.500000000007</v>
      </c>
      <c r="AE39" s="137">
        <f>$I39*'Model Data Inputs'!$B$76</f>
        <v>10152.144600000001</v>
      </c>
      <c r="AF39" s="137">
        <f>VLOOKUP($J39,'Student Activities MS&amp;HS Tables'!$M$7:$O$1267,3)</f>
        <v>0</v>
      </c>
      <c r="AG39" s="137">
        <f>VLOOKUP($K39,'Student Activities MS&amp;HS Tables'!$I$7:$K$3007,3)</f>
        <v>0</v>
      </c>
      <c r="AH39" s="137">
        <f t="shared" si="5"/>
        <v>10152.144600000001</v>
      </c>
      <c r="AI39" s="123">
        <f t="shared" si="11"/>
        <v>4046438.8402410564</v>
      </c>
      <c r="AJ39" s="123">
        <f>(('Model Data Inputs'!$B$90*(('Model Data Inputs'!$B$87*('School Level Inst. Resources'!I39/'School Level Inst. Resources'!L39))+('Model Data Inputs'!$C$87*(SUM('School Level Inst. Resources'!J39:K39)/'School Level Inst. Resources'!L39))))*T39*M39)</f>
        <v>783670.274776206</v>
      </c>
      <c r="AK39" s="123">
        <f>(('Model Data Inputs'!$B$91*(('Model Data Inputs'!$B$87*('School Level Inst. Resources'!I39/'School Level Inst. Resources'!L39))+('Model Data Inputs'!$C$87*(SUM('School Level Inst. Resources'!J39:K39)/'School Level Inst. Resources'!L39))))*T39*N39)</f>
        <v>254622.11093811749</v>
      </c>
      <c r="AL39" s="137">
        <f>(K39*'Model Data Inputs'!$B$94)*T39</f>
        <v>0</v>
      </c>
      <c r="AM39" s="137">
        <f>K39*'Model Data Inputs'!$B$95</f>
        <v>0</v>
      </c>
      <c r="AN39" s="137">
        <f t="shared" si="12"/>
        <v>0</v>
      </c>
      <c r="AO39" s="137">
        <f>('School Level Inst. Resources'!K39*'Model Data Inputs'!$B$96)+('School Level Inst. Resources'!J39*'Model Data Inputs'!$B$97)</f>
        <v>0</v>
      </c>
      <c r="AP39" s="137">
        <f>$L39*'Model Data Inputs'!$B$100</f>
        <v>17069.600000000002</v>
      </c>
      <c r="AQ39" s="137">
        <f t="shared" si="13"/>
        <v>5101800.8259553798</v>
      </c>
      <c r="AR39" s="141">
        <f t="shared" si="6"/>
        <v>11955.290870214601</v>
      </c>
    </row>
    <row r="40" spans="1:44" s="40" customFormat="1" ht="12.75" customHeight="1" x14ac:dyDescent="0.2">
      <c r="A40" s="20" t="s">
        <v>24</v>
      </c>
      <c r="B40" s="20" t="s">
        <v>25</v>
      </c>
      <c r="C40" s="20" t="s">
        <v>429</v>
      </c>
      <c r="D40" s="20" t="s">
        <v>430</v>
      </c>
      <c r="E40" s="138" t="s">
        <v>376</v>
      </c>
      <c r="F40" s="138" t="str">
        <f>IF(AND(SUM('School Level ADM'!$F40:$J40)=0,SUM('School Level ADM'!$O40:$R40)=0,'School Level ADM'!$K40&gt;0,'School Level ADM'!$N40&gt;0),"T","F")</f>
        <v>F</v>
      </c>
      <c r="G40" s="138" t="str">
        <f>IF(AND(SUM('School Level ADM'!$M40:$R40)=0,'School Level ADM'!$L40&gt;0),"T","F")</f>
        <v>T</v>
      </c>
      <c r="H40" s="138" t="str">
        <f t="shared" si="0"/>
        <v>E</v>
      </c>
      <c r="I40" s="139">
        <f>IF($F40="T",SUM('School Level ADM'!$F40:$J40),IF($G40="T",SUM('School Level ADM'!$F40:$L40),SUM('School Level ADM'!$F40:$K40,0)))</f>
        <v>25.639999999999997</v>
      </c>
      <c r="J40" s="139">
        <f>'School Level ADM'!$S40-$I40-$K40</f>
        <v>0</v>
      </c>
      <c r="K40" s="139">
        <f>IF(SUM('School Level ADM'!$N40:$R40)='School Level ADM'!$S40,SUM('School Level ADM'!$N40:$R40),IF(OR(SUM('School Level ADM'!$F40:$O40)='School Level ADM'!$S40,SUM('School Level ADM'!$G40:$O40)='School Level ADM'!$S40,SUM('School Level ADM'!$H40:$O40)='School Level ADM'!$S40,SUM('School Level ADM'!$I40:$O40)='School Level ADM'!$S40,SUM('School Level ADM'!$J40:$O40)='School Level ADM'!$S40,SUM('School Level ADM'!$K40:$O40)='School Level ADM'!$S40,SUM('School Level ADM'!$L40:$O40)='School Level ADM'!$S40,SUM('School Level ADM'!$M40:$O40)='School Level ADM'!$S40,SUM('School Level ADM'!$N40:$O40)='School Level ADM'!$S40),0,SUM('School Level ADM'!$O40:$R40)))</f>
        <v>0</v>
      </c>
      <c r="L40" s="139">
        <f t="shared" si="1"/>
        <v>25.639999999999997</v>
      </c>
      <c r="M40" s="24">
        <f>'Student At-Risk and ELL Proxy'!S40</f>
        <v>2</v>
      </c>
      <c r="N40" s="24">
        <f>'Student At-Risk and ELL Proxy'!AH40</f>
        <v>1</v>
      </c>
      <c r="O40" s="136">
        <f t="shared" si="7"/>
        <v>2.641718504434988</v>
      </c>
      <c r="P40" s="136" t="str">
        <f t="shared" si="8"/>
        <v/>
      </c>
      <c r="Q40" s="136" t="str">
        <f t="shared" si="9"/>
        <v/>
      </c>
      <c r="R40" s="136">
        <f t="shared" si="2"/>
        <v>2.641718504434988</v>
      </c>
      <c r="S40" s="136">
        <f>IF(SUM(3515.4*((VLOOKUP($A40,'District Level ADM'!$A$4:$F$52,6,FALSE))^-0.327)/'Model Data Inputs'!$B$71)&lt;1,1,(3515.4*((VLOOKUP($A40,'District Level ADM'!$A$4:$F$52,6,FALSE))^-0.327)/'Model Data Inputs'!$B$71))</f>
        <v>1</v>
      </c>
      <c r="T40" s="136">
        <f>VLOOKUP($A40,'Regional Cost Adjustment'!$A$4:$C$52,3,FALSE)</f>
        <v>1.17</v>
      </c>
      <c r="U40" s="123">
        <f>((($I40/$L40)*'Model Data Inputs'!$B$85)+((SUM(J40:K40)/$L40)*'Model Data Inputs'!$C$85))*$R40*$T40</f>
        <v>19681.007869716712</v>
      </c>
      <c r="V40" s="140">
        <f>((($I40/$L40)*'Model Data Inputs'!$B$86)+((SUM(J40:K40)/$L40)*'Model Data Inputs'!$C$86))*$R40</f>
        <v>4471.4381013349839</v>
      </c>
      <c r="W40" s="140">
        <f t="shared" si="10"/>
        <v>24152.445971051697</v>
      </c>
      <c r="X40" s="140">
        <f t="shared" si="3"/>
        <v>504621.0417795364</v>
      </c>
      <c r="Y40" s="140">
        <f t="shared" si="4"/>
        <v>114647.67291822897</v>
      </c>
      <c r="Z40" s="123">
        <f>IF((SUM(X40:Y40))&lt;(AVERAGE('Elementary Size Adjustment'!$B$66,'Secondary Size Adjustment'!$B$66)),(AVERAGE('Elementary Size Adjustment'!$B$66,'Secondary Size Adjustment'!$B$66)),SUM(X40:Y40))</f>
        <v>619268.71469776542</v>
      </c>
      <c r="AA40" s="137">
        <f>'Model Data Inputs'!$B$71*S40*L40</f>
        <v>4871.5999999999995</v>
      </c>
      <c r="AB40" s="137">
        <f>L40*'Model Data Inputs'!$B$72</f>
        <v>640.99999999999989</v>
      </c>
      <c r="AC40" s="137">
        <f>L40*'Model Data Inputs'!$B$73</f>
        <v>6409.9999999999991</v>
      </c>
      <c r="AD40" s="137">
        <f>L40*'Model Data Inputs'!$B$74</f>
        <v>3204.9999999999995</v>
      </c>
      <c r="AE40" s="137">
        <f>$I40*'Model Data Inputs'!$B$76</f>
        <v>609.97559999999987</v>
      </c>
      <c r="AF40" s="137">
        <f>VLOOKUP($J40,'Student Activities MS&amp;HS Tables'!$M$7:$O$1267,3)</f>
        <v>0</v>
      </c>
      <c r="AG40" s="137">
        <f>VLOOKUP($K40,'Student Activities MS&amp;HS Tables'!$I$7:$K$3007,3)</f>
        <v>0</v>
      </c>
      <c r="AH40" s="137">
        <f t="shared" si="5"/>
        <v>609.97559999999987</v>
      </c>
      <c r="AI40" s="123">
        <f t="shared" si="11"/>
        <v>635006.2902977654</v>
      </c>
      <c r="AJ40" s="123">
        <f>(('Model Data Inputs'!$B$90*(('Model Data Inputs'!$B$87*('School Level Inst. Resources'!I40/'School Level Inst. Resources'!L40))+('Model Data Inputs'!$C$87*(SUM('School Level Inst. Resources'!J40:K40)/'School Level Inst. Resources'!L40))))*T40*M40)</f>
        <v>5658.2691319581663</v>
      </c>
      <c r="AK40" s="123">
        <f>(('Model Data Inputs'!$B$91*(('Model Data Inputs'!$B$87*('School Level Inst. Resources'!I40/'School Level Inst. Resources'!L40))+('Model Data Inputs'!$C$87*(SUM('School Level Inst. Resources'!J40:K40)/'School Level Inst. Resources'!L40))))*T40*N40)</f>
        <v>2829.1345659790832</v>
      </c>
      <c r="AL40" s="137">
        <f>(K40*'Model Data Inputs'!$B$94)*T40</f>
        <v>0</v>
      </c>
      <c r="AM40" s="137">
        <f>K40*'Model Data Inputs'!$B$95</f>
        <v>0</v>
      </c>
      <c r="AN40" s="137">
        <f t="shared" si="12"/>
        <v>0</v>
      </c>
      <c r="AO40" s="137">
        <f>('School Level Inst. Resources'!K40*'Model Data Inputs'!$B$96)+('School Level Inst. Resources'!J40*'Model Data Inputs'!$B$97)</f>
        <v>0</v>
      </c>
      <c r="AP40" s="137">
        <f>$L40*'Model Data Inputs'!$B$100</f>
        <v>1025.5999999999999</v>
      </c>
      <c r="AQ40" s="137">
        <f t="shared" si="13"/>
        <v>644519.29399570264</v>
      </c>
      <c r="AR40" s="141">
        <f t="shared" si="6"/>
        <v>25137.257956150654</v>
      </c>
    </row>
    <row r="41" spans="1:44" s="40" customFormat="1" ht="12.75" customHeight="1" x14ac:dyDescent="0.2">
      <c r="A41" s="20" t="s">
        <v>24</v>
      </c>
      <c r="B41" s="20" t="s">
        <v>25</v>
      </c>
      <c r="C41" s="20" t="s">
        <v>431</v>
      </c>
      <c r="D41" s="20" t="s">
        <v>432</v>
      </c>
      <c r="E41" s="138" t="s">
        <v>357</v>
      </c>
      <c r="F41" s="138" t="str">
        <f>IF(AND(SUM('School Level ADM'!$F41:$J41)=0,SUM('School Level ADM'!$O41:$R41)=0,'School Level ADM'!$K41&gt;0,'School Level ADM'!$N41&gt;0),"T","F")</f>
        <v>F</v>
      </c>
      <c r="G41" s="138" t="str">
        <f>IF(AND(SUM('School Level ADM'!$M41:$R41)=0,'School Level ADM'!$L41&gt;0),"T","F")</f>
        <v>T</v>
      </c>
      <c r="H41" s="138" t="str">
        <f t="shared" si="0"/>
        <v>E</v>
      </c>
      <c r="I41" s="139">
        <f>IF($F41="T",SUM('School Level ADM'!$F41:$J41),IF($G41="T",SUM('School Level ADM'!$F41:$L41),SUM('School Level ADM'!$F41:$K41,0)))</f>
        <v>259.98633333333333</v>
      </c>
      <c r="J41" s="139">
        <f>'School Level ADM'!$S41-$I41-$K41</f>
        <v>0</v>
      </c>
      <c r="K41" s="139">
        <f>IF(SUM('School Level ADM'!$N41:$R41)='School Level ADM'!$S41,SUM('School Level ADM'!$N41:$R41),IF(OR(SUM('School Level ADM'!$F41:$O41)='School Level ADM'!$S41,SUM('School Level ADM'!$G41:$O41)='School Level ADM'!$S41,SUM('School Level ADM'!$H41:$O41)='School Level ADM'!$S41,SUM('School Level ADM'!$I41:$O41)='School Level ADM'!$S41,SUM('School Level ADM'!$J41:$O41)='School Level ADM'!$S41,SUM('School Level ADM'!$K41:$O41)='School Level ADM'!$S41,SUM('School Level ADM'!$L41:$O41)='School Level ADM'!$S41,SUM('School Level ADM'!$M41:$O41)='School Level ADM'!$S41,SUM('School Level ADM'!$N41:$O41)='School Level ADM'!$S41),0,SUM('School Level ADM'!$O41:$R41)))</f>
        <v>0</v>
      </c>
      <c r="L41" s="139">
        <f t="shared" si="1"/>
        <v>259.98633333333333</v>
      </c>
      <c r="M41" s="24">
        <f>'Student At-Risk and ELL Proxy'!S41</f>
        <v>170</v>
      </c>
      <c r="N41" s="24">
        <f>'Student At-Risk and ELL Proxy'!AH41</f>
        <v>37</v>
      </c>
      <c r="O41" s="136">
        <f t="shared" si="7"/>
        <v>1.0507166251427089</v>
      </c>
      <c r="P41" s="136" t="str">
        <f t="shared" si="8"/>
        <v/>
      </c>
      <c r="Q41" s="136" t="str">
        <f t="shared" si="9"/>
        <v/>
      </c>
      <c r="R41" s="136">
        <f t="shared" si="2"/>
        <v>1.0507166251427089</v>
      </c>
      <c r="S41" s="136">
        <f>IF(SUM(3515.4*((VLOOKUP($A41,'District Level ADM'!$A$4:$F$52,6,FALSE))^-0.327)/'Model Data Inputs'!$B$71)&lt;1,1,(3515.4*((VLOOKUP($A41,'District Level ADM'!$A$4:$F$52,6,FALSE))^-0.327)/'Model Data Inputs'!$B$71))</f>
        <v>1</v>
      </c>
      <c r="T41" s="136">
        <f>VLOOKUP($A41,'Regional Cost Adjustment'!$A$4:$C$52,3,FALSE)</f>
        <v>1.17</v>
      </c>
      <c r="U41" s="123">
        <f>((($I41/$L41)*'Model Data Inputs'!$B$85)+((SUM(J41:K41)/$L41)*'Model Data Inputs'!$C$85))*$R41*$T41</f>
        <v>7827.9203986189696</v>
      </c>
      <c r="V41" s="140">
        <f>((($I41/$L41)*'Model Data Inputs'!$B$86)+((SUM(J41:K41)/$L41)*'Model Data Inputs'!$C$86))*$R41</f>
        <v>1778.4689562804394</v>
      </c>
      <c r="W41" s="140">
        <f t="shared" si="10"/>
        <v>9606.3893548994092</v>
      </c>
      <c r="X41" s="140">
        <f t="shared" si="3"/>
        <v>2035152.322062151</v>
      </c>
      <c r="Y41" s="140">
        <f t="shared" si="4"/>
        <v>462377.62289051176</v>
      </c>
      <c r="Z41" s="123">
        <f>IF((SUM(X41:Y41))&lt;(AVERAGE('Elementary Size Adjustment'!$B$66,'Secondary Size Adjustment'!$B$66)),(AVERAGE('Elementary Size Adjustment'!$B$66,'Secondary Size Adjustment'!$B$66)),SUM(X41:Y41))</f>
        <v>2497529.944952663</v>
      </c>
      <c r="AA41" s="137">
        <f>'Model Data Inputs'!$B$71*S41*L41</f>
        <v>49397.403333333335</v>
      </c>
      <c r="AB41" s="137">
        <f>L41*'Model Data Inputs'!$B$72</f>
        <v>6499.6583333333338</v>
      </c>
      <c r="AC41" s="137">
        <f>L41*'Model Data Inputs'!$B$73</f>
        <v>64996.583333333336</v>
      </c>
      <c r="AD41" s="137">
        <f>L41*'Model Data Inputs'!$B$74</f>
        <v>32498.291666666668</v>
      </c>
      <c r="AE41" s="137">
        <f>$I41*'Model Data Inputs'!$B$76</f>
        <v>6185.0748699999995</v>
      </c>
      <c r="AF41" s="137">
        <f>VLOOKUP($J41,'Student Activities MS&amp;HS Tables'!$M$7:$O$1267,3)</f>
        <v>0</v>
      </c>
      <c r="AG41" s="137">
        <f>VLOOKUP($K41,'Student Activities MS&amp;HS Tables'!$I$7:$K$3007,3)</f>
        <v>0</v>
      </c>
      <c r="AH41" s="137">
        <f t="shared" si="5"/>
        <v>6185.0748699999995</v>
      </c>
      <c r="AI41" s="123">
        <f t="shared" si="11"/>
        <v>2657106.9564893297</v>
      </c>
      <c r="AJ41" s="123">
        <f>(('Model Data Inputs'!$B$90*(('Model Data Inputs'!$B$87*('School Level Inst. Resources'!I41/'School Level Inst. Resources'!L41))+('Model Data Inputs'!$C$87*(SUM('School Level Inst. Resources'!J41:K41)/'School Level Inst. Resources'!L41))))*T41*M41)</f>
        <v>480952.87621644413</v>
      </c>
      <c r="AK41" s="123">
        <f>(('Model Data Inputs'!$B$91*(('Model Data Inputs'!$B$87*('School Level Inst. Resources'!I41/'School Level Inst. Resources'!L41))+('Model Data Inputs'!$C$87*(SUM('School Level Inst. Resources'!J41:K41)/'School Level Inst. Resources'!L41))))*T41*N41)</f>
        <v>104677.97894122607</v>
      </c>
      <c r="AL41" s="137">
        <f>(K41*'Model Data Inputs'!$B$94)*T41</f>
        <v>0</v>
      </c>
      <c r="AM41" s="137">
        <f>K41*'Model Data Inputs'!$B$95</f>
        <v>0</v>
      </c>
      <c r="AN41" s="137">
        <f t="shared" si="12"/>
        <v>0</v>
      </c>
      <c r="AO41" s="137">
        <f>('School Level Inst. Resources'!K41*'Model Data Inputs'!$B$96)+('School Level Inst. Resources'!J41*'Model Data Inputs'!$B$97)</f>
        <v>0</v>
      </c>
      <c r="AP41" s="137">
        <f>$L41*'Model Data Inputs'!$B$100</f>
        <v>10399.453333333333</v>
      </c>
      <c r="AQ41" s="137">
        <f t="shared" si="13"/>
        <v>3253137.2649803329</v>
      </c>
      <c r="AR41" s="141">
        <f t="shared" si="6"/>
        <v>12512.724123884715</v>
      </c>
    </row>
    <row r="42" spans="1:44" s="40" customFormat="1" ht="12.75" customHeight="1" x14ac:dyDescent="0.2">
      <c r="A42" s="20" t="s">
        <v>24</v>
      </c>
      <c r="B42" s="20" t="s">
        <v>25</v>
      </c>
      <c r="C42" s="20" t="s">
        <v>433</v>
      </c>
      <c r="D42" s="20" t="s">
        <v>434</v>
      </c>
      <c r="E42" s="138" t="s">
        <v>357</v>
      </c>
      <c r="F42" s="138" t="str">
        <f>IF(AND(SUM('School Level ADM'!$F42:$J42)=0,SUM('School Level ADM'!$O42:$R42)=0,'School Level ADM'!$K42&gt;0,'School Level ADM'!$N42&gt;0),"T","F")</f>
        <v>F</v>
      </c>
      <c r="G42" s="138" t="str">
        <f>IF(AND(SUM('School Level ADM'!$M42:$R42)=0,'School Level ADM'!$L42&gt;0),"T","F")</f>
        <v>T</v>
      </c>
      <c r="H42" s="138" t="str">
        <f t="shared" si="0"/>
        <v>E</v>
      </c>
      <c r="I42" s="139">
        <f>IF($F42="T",SUM('School Level ADM'!$F42:$J42),IF($G42="T",SUM('School Level ADM'!$F42:$L42),SUM('School Level ADM'!$F42:$K42,0)))</f>
        <v>466.08500000000004</v>
      </c>
      <c r="J42" s="139">
        <f>'School Level ADM'!$S42-$I42-$K42</f>
        <v>0</v>
      </c>
      <c r="K42" s="139">
        <f>IF(SUM('School Level ADM'!$N42:$R42)='School Level ADM'!$S42,SUM('School Level ADM'!$N42:$R42),IF(OR(SUM('School Level ADM'!$F42:$O42)='School Level ADM'!$S42,SUM('School Level ADM'!$G42:$O42)='School Level ADM'!$S42,SUM('School Level ADM'!$H42:$O42)='School Level ADM'!$S42,SUM('School Level ADM'!$I42:$O42)='School Level ADM'!$S42,SUM('School Level ADM'!$J42:$O42)='School Level ADM'!$S42,SUM('School Level ADM'!$K42:$O42)='School Level ADM'!$S42,SUM('School Level ADM'!$L42:$O42)='School Level ADM'!$S42,SUM('School Level ADM'!$M42:$O42)='School Level ADM'!$S42,SUM('School Level ADM'!$N42:$O42)='School Level ADM'!$S42),0,SUM('School Level ADM'!$O42:$R42)))</f>
        <v>0</v>
      </c>
      <c r="L42" s="139">
        <f t="shared" si="1"/>
        <v>466.08500000000004</v>
      </c>
      <c r="M42" s="24">
        <f>'Student At-Risk and ELL Proxy'!S42</f>
        <v>267</v>
      </c>
      <c r="N42" s="24">
        <f>'Student At-Risk and ELL Proxy'!AH42</f>
        <v>37</v>
      </c>
      <c r="O42" s="136">
        <f t="shared" si="7"/>
        <v>0.97</v>
      </c>
      <c r="P42" s="136" t="str">
        <f t="shared" si="8"/>
        <v/>
      </c>
      <c r="Q42" s="136" t="str">
        <f t="shared" si="9"/>
        <v/>
      </c>
      <c r="R42" s="136">
        <f t="shared" si="2"/>
        <v>0.97</v>
      </c>
      <c r="S42" s="136">
        <f>IF(SUM(3515.4*((VLOOKUP($A42,'District Level ADM'!$A$4:$F$52,6,FALSE))^-0.327)/'Model Data Inputs'!$B$71)&lt;1,1,(3515.4*((VLOOKUP($A42,'District Level ADM'!$A$4:$F$52,6,FALSE))^-0.327)/'Model Data Inputs'!$B$71))</f>
        <v>1</v>
      </c>
      <c r="T42" s="136">
        <f>VLOOKUP($A42,'Regional Cost Adjustment'!$A$4:$C$52,3,FALSE)</f>
        <v>1.17</v>
      </c>
      <c r="U42" s="123">
        <f>((($I42/$L42)*'Model Data Inputs'!$B$85)+((SUM(J42:K42)/$L42)*'Model Data Inputs'!$C$85))*$R42*$T42</f>
        <v>7226.5752772581318</v>
      </c>
      <c r="V42" s="140">
        <f>((($I42/$L42)*'Model Data Inputs'!$B$86)+((SUM(J42:K42)/$L42)*'Model Data Inputs'!$C$86))*$R42</f>
        <v>1641.8459994936507</v>
      </c>
      <c r="W42" s="140">
        <f t="shared" si="10"/>
        <v>8868.421276751782</v>
      </c>
      <c r="X42" s="140">
        <f t="shared" si="3"/>
        <v>3368198.3381008566</v>
      </c>
      <c r="Y42" s="140">
        <f t="shared" si="4"/>
        <v>765239.79267399828</v>
      </c>
      <c r="Z42" s="123">
        <f>IF((SUM(X42:Y42))&lt;(AVERAGE('Elementary Size Adjustment'!$B$66,'Secondary Size Adjustment'!$B$66)),(AVERAGE('Elementary Size Adjustment'!$B$66,'Secondary Size Adjustment'!$B$66)),SUM(X42:Y42))</f>
        <v>4133438.1307748547</v>
      </c>
      <c r="AA42" s="137">
        <f>'Model Data Inputs'!$B$71*S42*L42</f>
        <v>88556.150000000009</v>
      </c>
      <c r="AB42" s="137">
        <f>L42*'Model Data Inputs'!$B$72</f>
        <v>11652.125</v>
      </c>
      <c r="AC42" s="137">
        <f>L42*'Model Data Inputs'!$B$73</f>
        <v>116521.25000000001</v>
      </c>
      <c r="AD42" s="137">
        <f>L42*'Model Data Inputs'!$B$74</f>
        <v>58260.625000000007</v>
      </c>
      <c r="AE42" s="137">
        <f>$I42*'Model Data Inputs'!$B$76</f>
        <v>11088.16215</v>
      </c>
      <c r="AF42" s="137">
        <f>VLOOKUP($J42,'Student Activities MS&amp;HS Tables'!$M$7:$O$1267,3)</f>
        <v>0</v>
      </c>
      <c r="AG42" s="137">
        <f>VLOOKUP($K42,'Student Activities MS&amp;HS Tables'!$I$7:$K$3007,3)</f>
        <v>0</v>
      </c>
      <c r="AH42" s="137">
        <f t="shared" si="5"/>
        <v>11088.16215</v>
      </c>
      <c r="AI42" s="123">
        <f t="shared" si="11"/>
        <v>4419516.4429248553</v>
      </c>
      <c r="AJ42" s="123">
        <f>(('Model Data Inputs'!$B$90*(('Model Data Inputs'!$B$87*('School Level Inst. Resources'!I42/'School Level Inst. Resources'!L42))+('Model Data Inputs'!$C$87*(SUM('School Level Inst. Resources'!J42:K42)/'School Level Inst. Resources'!L42))))*T42*M42)</f>
        <v>755378.92911641521</v>
      </c>
      <c r="AK42" s="123">
        <f>(('Model Data Inputs'!$B$91*(('Model Data Inputs'!$B$87*('School Level Inst. Resources'!I42/'School Level Inst. Resources'!L42))+('Model Data Inputs'!$C$87*(SUM('School Level Inst. Resources'!J42:K42)/'School Level Inst. Resources'!L42))))*T42*N42)</f>
        <v>104677.97894122607</v>
      </c>
      <c r="AL42" s="137">
        <f>(K42*'Model Data Inputs'!$B$94)*T42</f>
        <v>0</v>
      </c>
      <c r="AM42" s="137">
        <f>K42*'Model Data Inputs'!$B$95</f>
        <v>0</v>
      </c>
      <c r="AN42" s="137">
        <f t="shared" si="12"/>
        <v>0</v>
      </c>
      <c r="AO42" s="137">
        <f>('School Level Inst. Resources'!K42*'Model Data Inputs'!$B$96)+('School Level Inst. Resources'!J42*'Model Data Inputs'!$B$97)</f>
        <v>0</v>
      </c>
      <c r="AP42" s="137">
        <f>$L42*'Model Data Inputs'!$B$100</f>
        <v>18643.400000000001</v>
      </c>
      <c r="AQ42" s="137">
        <f t="shared" si="13"/>
        <v>5298216.7509824969</v>
      </c>
      <c r="AR42" s="141">
        <f t="shared" si="6"/>
        <v>11367.490374035844</v>
      </c>
    </row>
    <row r="43" spans="1:44" s="40" customFormat="1" ht="12.75" customHeight="1" x14ac:dyDescent="0.2">
      <c r="A43" s="20" t="s">
        <v>24</v>
      </c>
      <c r="B43" s="20" t="s">
        <v>25</v>
      </c>
      <c r="C43" s="20" t="s">
        <v>435</v>
      </c>
      <c r="D43" s="20" t="s">
        <v>436</v>
      </c>
      <c r="E43" s="138" t="s">
        <v>357</v>
      </c>
      <c r="F43" s="138" t="str">
        <f>IF(AND(SUM('School Level ADM'!$F43:$J43)=0,SUM('School Level ADM'!$O43:$R43)=0,'School Level ADM'!$K43&gt;0,'School Level ADM'!$N43&gt;0),"T","F")</f>
        <v>F</v>
      </c>
      <c r="G43" s="138" t="str">
        <f>IF(AND(SUM('School Level ADM'!$M43:$R43)=0,'School Level ADM'!$L43&gt;0),"T","F")</f>
        <v>T</v>
      </c>
      <c r="H43" s="138" t="str">
        <f t="shared" si="0"/>
        <v>E</v>
      </c>
      <c r="I43" s="139">
        <f>IF($F43="T",SUM('School Level ADM'!$F43:$J43),IF($G43="T",SUM('School Level ADM'!$F43:$L43),SUM('School Level ADM'!$F43:$K43,0)))</f>
        <v>235.36799999999999</v>
      </c>
      <c r="J43" s="139">
        <f>'School Level ADM'!$S43-$I43-$K43</f>
        <v>0</v>
      </c>
      <c r="K43" s="139">
        <f>IF(SUM('School Level ADM'!$N43:$R43)='School Level ADM'!$S43,SUM('School Level ADM'!$N43:$R43),IF(OR(SUM('School Level ADM'!$F43:$O43)='School Level ADM'!$S43,SUM('School Level ADM'!$G43:$O43)='School Level ADM'!$S43,SUM('School Level ADM'!$H43:$O43)='School Level ADM'!$S43,SUM('School Level ADM'!$I43:$O43)='School Level ADM'!$S43,SUM('School Level ADM'!$J43:$O43)='School Level ADM'!$S43,SUM('School Level ADM'!$K43:$O43)='School Level ADM'!$S43,SUM('School Level ADM'!$L43:$O43)='School Level ADM'!$S43,SUM('School Level ADM'!$M43:$O43)='School Level ADM'!$S43,SUM('School Level ADM'!$N43:$O43)='School Level ADM'!$S43),0,SUM('School Level ADM'!$O43:$R43)))</f>
        <v>0</v>
      </c>
      <c r="L43" s="139">
        <f t="shared" si="1"/>
        <v>235.36799999999999</v>
      </c>
      <c r="M43" s="24">
        <f>'Student At-Risk and ELL Proxy'!S43</f>
        <v>159</v>
      </c>
      <c r="N43" s="24">
        <f>'Student At-Risk and ELL Proxy'!AH43</f>
        <v>69</v>
      </c>
      <c r="O43" s="136">
        <f t="shared" si="7"/>
        <v>1.0931517103865214</v>
      </c>
      <c r="P43" s="136" t="str">
        <f t="shared" si="8"/>
        <v/>
      </c>
      <c r="Q43" s="136" t="str">
        <f t="shared" si="9"/>
        <v/>
      </c>
      <c r="R43" s="136">
        <f t="shared" si="2"/>
        <v>1.0931517103865214</v>
      </c>
      <c r="S43" s="136">
        <f>IF(SUM(3515.4*((VLOOKUP($A43,'District Level ADM'!$A$4:$F$52,6,FALSE))^-0.327)/'Model Data Inputs'!$B$71)&lt;1,1,(3515.4*((VLOOKUP($A43,'District Level ADM'!$A$4:$F$52,6,FALSE))^-0.327)/'Model Data Inputs'!$B$71))</f>
        <v>1</v>
      </c>
      <c r="T43" s="136">
        <f>VLOOKUP($A43,'Regional Cost Adjustment'!$A$4:$C$52,3,FALSE)</f>
        <v>1.17</v>
      </c>
      <c r="U43" s="123">
        <f>((($I43/$L43)*'Model Data Inputs'!$B$85)+((SUM(J43:K43)/$L43)*'Model Data Inputs'!$C$85))*$R43*$T43</f>
        <v>8144.065076878017</v>
      </c>
      <c r="V43" s="140">
        <f>((($I43/$L43)*'Model Data Inputs'!$B$86)+((SUM(J43:K43)/$L43)*'Model Data Inputs'!$C$86))*$R43</f>
        <v>1850.2956314822184</v>
      </c>
      <c r="W43" s="140">
        <f t="shared" si="10"/>
        <v>9994.3607083602346</v>
      </c>
      <c r="X43" s="140">
        <f t="shared" si="3"/>
        <v>1916852.3090146251</v>
      </c>
      <c r="Y43" s="140">
        <f t="shared" si="4"/>
        <v>435500.38219070679</v>
      </c>
      <c r="Z43" s="123">
        <f>IF((SUM(X43:Y43))&lt;(AVERAGE('Elementary Size Adjustment'!$B$66,'Secondary Size Adjustment'!$B$66)),(AVERAGE('Elementary Size Adjustment'!$B$66,'Secondary Size Adjustment'!$B$66)),SUM(X43:Y43))</f>
        <v>2352352.6912053321</v>
      </c>
      <c r="AA43" s="137">
        <f>'Model Data Inputs'!$B$71*S43*L43</f>
        <v>44719.92</v>
      </c>
      <c r="AB43" s="137">
        <f>L43*'Model Data Inputs'!$B$72</f>
        <v>5884.2</v>
      </c>
      <c r="AC43" s="137">
        <f>L43*'Model Data Inputs'!$B$73</f>
        <v>58842</v>
      </c>
      <c r="AD43" s="137">
        <f>L43*'Model Data Inputs'!$B$74</f>
        <v>29421</v>
      </c>
      <c r="AE43" s="137">
        <f>$I43*'Model Data Inputs'!$B$76</f>
        <v>5599.4047199999995</v>
      </c>
      <c r="AF43" s="137">
        <f>VLOOKUP($J43,'Student Activities MS&amp;HS Tables'!$M$7:$O$1267,3)</f>
        <v>0</v>
      </c>
      <c r="AG43" s="137">
        <f>VLOOKUP($K43,'Student Activities MS&amp;HS Tables'!$I$7:$K$3007,3)</f>
        <v>0</v>
      </c>
      <c r="AH43" s="137">
        <f t="shared" si="5"/>
        <v>5599.4047199999995</v>
      </c>
      <c r="AI43" s="123">
        <f t="shared" si="11"/>
        <v>2496819.2159253322</v>
      </c>
      <c r="AJ43" s="123">
        <f>(('Model Data Inputs'!$B$90*(('Model Data Inputs'!$B$87*('School Level Inst. Resources'!I43/'School Level Inst. Resources'!L43))+('Model Data Inputs'!$C$87*(SUM('School Level Inst. Resources'!J43:K43)/'School Level Inst. Resources'!L43))))*T43*M43)</f>
        <v>449832.39599067421</v>
      </c>
      <c r="AK43" s="123">
        <f>(('Model Data Inputs'!$B$91*(('Model Data Inputs'!$B$87*('School Level Inst. Resources'!I43/'School Level Inst. Resources'!L43))+('Model Data Inputs'!$C$87*(SUM('School Level Inst. Resources'!J43:K43)/'School Level Inst. Resources'!L43))))*T43*N43)</f>
        <v>195210.28505255675</v>
      </c>
      <c r="AL43" s="137">
        <f>(K43*'Model Data Inputs'!$B$94)*T43</f>
        <v>0</v>
      </c>
      <c r="AM43" s="137">
        <f>K43*'Model Data Inputs'!$B$95</f>
        <v>0</v>
      </c>
      <c r="AN43" s="137">
        <f t="shared" si="12"/>
        <v>0</v>
      </c>
      <c r="AO43" s="137">
        <f>('School Level Inst. Resources'!K43*'Model Data Inputs'!$B$96)+('School Level Inst. Resources'!J43*'Model Data Inputs'!$B$97)</f>
        <v>0</v>
      </c>
      <c r="AP43" s="137">
        <f>$L43*'Model Data Inputs'!$B$100</f>
        <v>9414.7199999999993</v>
      </c>
      <c r="AQ43" s="137">
        <f t="shared" si="13"/>
        <v>3151276.6169685633</v>
      </c>
      <c r="AR43" s="141">
        <f t="shared" si="6"/>
        <v>13388.721563545441</v>
      </c>
    </row>
    <row r="44" spans="1:44" s="40" customFormat="1" ht="12.75" customHeight="1" x14ac:dyDescent="0.2">
      <c r="A44" s="20" t="s">
        <v>24</v>
      </c>
      <c r="B44" s="20" t="s">
        <v>25</v>
      </c>
      <c r="C44" s="20" t="s">
        <v>437</v>
      </c>
      <c r="D44" s="20" t="s">
        <v>438</v>
      </c>
      <c r="E44" s="138" t="s">
        <v>376</v>
      </c>
      <c r="F44" s="138" t="str">
        <f>IF(AND(SUM('School Level ADM'!$F44:$J44)=0,SUM('School Level ADM'!$O44:$R44)=0,'School Level ADM'!$K44&gt;0,'School Level ADM'!$N44&gt;0),"T","F")</f>
        <v>F</v>
      </c>
      <c r="G44" s="138" t="str">
        <f>IF(AND(SUM('School Level ADM'!$M44:$R44)=0,'School Level ADM'!$L44&gt;0),"T","F")</f>
        <v>F</v>
      </c>
      <c r="H44" s="138" t="str">
        <f t="shared" si="0"/>
        <v>M</v>
      </c>
      <c r="I44" s="139">
        <f>IF($F44="T",SUM('School Level ADM'!$F44:$J44),IF($G44="T",SUM('School Level ADM'!$F44:$L44),SUM('School Level ADM'!$F44:$K44,0)))</f>
        <v>17.686</v>
      </c>
      <c r="J44" s="139">
        <f>'School Level ADM'!$S44-$I44-$K44</f>
        <v>5.950333333333333</v>
      </c>
      <c r="K44" s="139">
        <f>IF(SUM('School Level ADM'!$N44:$R44)='School Level ADM'!$S44,SUM('School Level ADM'!$N44:$R44),IF(OR(SUM('School Level ADM'!$F44:$O44)='School Level ADM'!$S44,SUM('School Level ADM'!$G44:$O44)='School Level ADM'!$S44,SUM('School Level ADM'!$H44:$O44)='School Level ADM'!$S44,SUM('School Level ADM'!$I44:$O44)='School Level ADM'!$S44,SUM('School Level ADM'!$J44:$O44)='School Level ADM'!$S44,SUM('School Level ADM'!$K44:$O44)='School Level ADM'!$S44,SUM('School Level ADM'!$L44:$O44)='School Level ADM'!$S44,SUM('School Level ADM'!$M44:$O44)='School Level ADM'!$S44,SUM('School Level ADM'!$N44:$O44)='School Level ADM'!$S44),0,SUM('School Level ADM'!$O44:$R44)))</f>
        <v>0</v>
      </c>
      <c r="L44" s="139">
        <f t="shared" si="1"/>
        <v>23.636333333333333</v>
      </c>
      <c r="M44" s="24">
        <f>'Student At-Risk and ELL Proxy'!S44</f>
        <v>11</v>
      </c>
      <c r="N44" s="24">
        <f>'Student At-Risk and ELL Proxy'!AH44</f>
        <v>0</v>
      </c>
      <c r="O44" s="136">
        <f t="shared" si="7"/>
        <v>2.7286700771576577</v>
      </c>
      <c r="P44" s="136">
        <f t="shared" si="8"/>
        <v>3.0072953104639928</v>
      </c>
      <c r="Q44" s="136" t="str">
        <f t="shared" si="9"/>
        <v/>
      </c>
      <c r="R44" s="136">
        <f t="shared" si="2"/>
        <v>2.798812640721541</v>
      </c>
      <c r="S44" s="136">
        <f>IF(SUM(3515.4*((VLOOKUP($A44,'District Level ADM'!$A$4:$F$52,6,FALSE))^-0.327)/'Model Data Inputs'!$B$71)&lt;1,1,(3515.4*((VLOOKUP($A44,'District Level ADM'!$A$4:$F$52,6,FALSE))^-0.327)/'Model Data Inputs'!$B$71))</f>
        <v>1</v>
      </c>
      <c r="T44" s="136">
        <f>VLOOKUP($A44,'Regional Cost Adjustment'!$A$4:$C$52,3,FALSE)</f>
        <v>1.17</v>
      </c>
      <c r="U44" s="123">
        <f>((($I44/$L44)*'Model Data Inputs'!$B$85)+((SUM(J44:K44)/$L44)*'Model Data Inputs'!$C$85))*$R44*$T44</f>
        <v>20039.535710244207</v>
      </c>
      <c r="V44" s="140">
        <f>((($I44/$L44)*'Model Data Inputs'!$B$86)+((SUM(J44:K44)/$L44)*'Model Data Inputs'!$C$86))*$R44</f>
        <v>4554.4870726038753</v>
      </c>
      <c r="W44" s="140">
        <f t="shared" si="10"/>
        <v>24594.022782848082</v>
      </c>
      <c r="X44" s="140">
        <f t="shared" si="3"/>
        <v>473661.14589256881</v>
      </c>
      <c r="Y44" s="140">
        <f t="shared" si="4"/>
        <v>107651.37461042273</v>
      </c>
      <c r="Z44" s="123">
        <f>IF((SUM(X44:Y44))&lt;(AVERAGE('Elementary Size Adjustment'!$B$66,'Secondary Size Adjustment'!$B$66)),(AVERAGE('Elementary Size Adjustment'!$B$66,'Secondary Size Adjustment'!$B$66)),SUM(X44:Y44))</f>
        <v>581312.52050299151</v>
      </c>
      <c r="AA44" s="137">
        <f>'Model Data Inputs'!$B$71*S44*L44</f>
        <v>4490.9033333333336</v>
      </c>
      <c r="AB44" s="137">
        <f>L44*'Model Data Inputs'!$B$72</f>
        <v>590.9083333333333</v>
      </c>
      <c r="AC44" s="137">
        <f>L44*'Model Data Inputs'!$B$73</f>
        <v>5909.083333333333</v>
      </c>
      <c r="AD44" s="137">
        <f>L44*'Model Data Inputs'!$B$74</f>
        <v>2954.5416666666665</v>
      </c>
      <c r="AE44" s="137">
        <f>$I44*'Model Data Inputs'!$B$76</f>
        <v>420.74993999999998</v>
      </c>
      <c r="AF44" s="137">
        <f>VLOOKUP($J44,'Student Activities MS&amp;HS Tables'!$M$7:$O$1267,3)</f>
        <v>3865.1</v>
      </c>
      <c r="AG44" s="137">
        <f>VLOOKUP($K44,'Student Activities MS&amp;HS Tables'!$I$7:$K$3007,3)</f>
        <v>0</v>
      </c>
      <c r="AH44" s="137">
        <f t="shared" si="5"/>
        <v>4285.8499400000001</v>
      </c>
      <c r="AI44" s="123">
        <f t="shared" si="11"/>
        <v>599543.80710965814</v>
      </c>
      <c r="AJ44" s="123">
        <f>(('Model Data Inputs'!$B$90*(('Model Data Inputs'!$B$87*('School Level Inst. Resources'!I44/'School Level Inst. Resources'!L44))+('Model Data Inputs'!$C$87*(SUM('School Level Inst. Resources'!J44:K44)/'School Level Inst. Resources'!L44))))*T44*M44)</f>
        <v>29911.020556755604</v>
      </c>
      <c r="AK44" s="123">
        <f>(('Model Data Inputs'!$B$91*(('Model Data Inputs'!$B$87*('School Level Inst. Resources'!I44/'School Level Inst. Resources'!L44))+('Model Data Inputs'!$C$87*(SUM('School Level Inst. Resources'!J44:K44)/'School Level Inst. Resources'!L44))))*T44*N44)</f>
        <v>0</v>
      </c>
      <c r="AL44" s="137">
        <f>(K44*'Model Data Inputs'!$B$94)*T44</f>
        <v>0</v>
      </c>
      <c r="AM44" s="137">
        <f>K44*'Model Data Inputs'!$B$95</f>
        <v>0</v>
      </c>
      <c r="AN44" s="137">
        <f t="shared" si="12"/>
        <v>0</v>
      </c>
      <c r="AO44" s="137">
        <f>('School Level Inst. Resources'!K44*'Model Data Inputs'!$B$96)+('School Level Inst. Resources'!J44*'Model Data Inputs'!$B$97)</f>
        <v>148.75833333333333</v>
      </c>
      <c r="AP44" s="137">
        <f>$L44*'Model Data Inputs'!$B$100</f>
        <v>945.45333333333338</v>
      </c>
      <c r="AQ44" s="137">
        <f t="shared" si="13"/>
        <v>630549.03933308041</v>
      </c>
      <c r="AR44" s="141">
        <f t="shared" si="6"/>
        <v>26677.108942436662</v>
      </c>
    </row>
    <row r="45" spans="1:44" s="40" customFormat="1" ht="12.75" customHeight="1" x14ac:dyDescent="0.2">
      <c r="A45" s="20" t="s">
        <v>24</v>
      </c>
      <c r="B45" s="20" t="s">
        <v>25</v>
      </c>
      <c r="C45" s="20" t="s">
        <v>439</v>
      </c>
      <c r="D45" s="20" t="s">
        <v>440</v>
      </c>
      <c r="E45" s="138" t="s">
        <v>357</v>
      </c>
      <c r="F45" s="138" t="str">
        <f>IF(AND(SUM('School Level ADM'!$F45:$J45)=0,SUM('School Level ADM'!$O45:$R45)=0,'School Level ADM'!$K45&gt;0,'School Level ADM'!$N45&gt;0),"T","F")</f>
        <v>F</v>
      </c>
      <c r="G45" s="138" t="str">
        <f>IF(AND(SUM('School Level ADM'!$M45:$R45)=0,'School Level ADM'!$L45&gt;0),"T","F")</f>
        <v>T</v>
      </c>
      <c r="H45" s="138" t="str">
        <f t="shared" si="0"/>
        <v>E</v>
      </c>
      <c r="I45" s="139">
        <f>IF($F45="T",SUM('School Level ADM'!$F45:$J45),IF($G45="T",SUM('School Level ADM'!$F45:$L45),SUM('School Level ADM'!$F45:$K45,0)))</f>
        <v>328.12933333333336</v>
      </c>
      <c r="J45" s="139">
        <f>'School Level ADM'!$S45-$I45-$K45</f>
        <v>0</v>
      </c>
      <c r="K45" s="139">
        <f>IF(SUM('School Level ADM'!$N45:$R45)='School Level ADM'!$S45,SUM('School Level ADM'!$N45:$R45),IF(OR(SUM('School Level ADM'!$F45:$O45)='School Level ADM'!$S45,SUM('School Level ADM'!$G45:$O45)='School Level ADM'!$S45,SUM('School Level ADM'!$H45:$O45)='School Level ADM'!$S45,SUM('School Level ADM'!$I45:$O45)='School Level ADM'!$S45,SUM('School Level ADM'!$J45:$O45)='School Level ADM'!$S45,SUM('School Level ADM'!$K45:$O45)='School Level ADM'!$S45,SUM('School Level ADM'!$L45:$O45)='School Level ADM'!$S45,SUM('School Level ADM'!$M45:$O45)='School Level ADM'!$S45,SUM('School Level ADM'!$N45:$O45)='School Level ADM'!$S45),0,SUM('School Level ADM'!$O45:$R45)))</f>
        <v>0</v>
      </c>
      <c r="L45" s="139">
        <f t="shared" si="1"/>
        <v>328.12933333333336</v>
      </c>
      <c r="M45" s="24">
        <f>'Student At-Risk and ELL Proxy'!S45</f>
        <v>117</v>
      </c>
      <c r="N45" s="24">
        <f>'Student At-Risk and ELL Proxy'!AH45</f>
        <v>5</v>
      </c>
      <c r="O45" s="136">
        <f t="shared" si="7"/>
        <v>0.97</v>
      </c>
      <c r="P45" s="136" t="str">
        <f t="shared" si="8"/>
        <v/>
      </c>
      <c r="Q45" s="136" t="str">
        <f t="shared" si="9"/>
        <v/>
      </c>
      <c r="R45" s="136">
        <f t="shared" si="2"/>
        <v>0.97</v>
      </c>
      <c r="S45" s="136">
        <f>IF(SUM(3515.4*((VLOOKUP($A45,'District Level ADM'!$A$4:$F$52,6,FALSE))^-0.327)/'Model Data Inputs'!$B$71)&lt;1,1,(3515.4*((VLOOKUP($A45,'District Level ADM'!$A$4:$F$52,6,FALSE))^-0.327)/'Model Data Inputs'!$B$71))</f>
        <v>1</v>
      </c>
      <c r="T45" s="136">
        <f>VLOOKUP($A45,'Regional Cost Adjustment'!$A$4:$C$52,3,FALSE)</f>
        <v>1.17</v>
      </c>
      <c r="U45" s="123">
        <f>((($I45/$L45)*'Model Data Inputs'!$B$85)+((SUM(J45:K45)/$L45)*'Model Data Inputs'!$C$85))*$R45*$T45</f>
        <v>7226.5752772581318</v>
      </c>
      <c r="V45" s="140">
        <f>((($I45/$L45)*'Model Data Inputs'!$B$86)+((SUM(J45:K45)/$L45)*'Model Data Inputs'!$C$86))*$R45</f>
        <v>1641.8459994936507</v>
      </c>
      <c r="W45" s="140">
        <f t="shared" si="10"/>
        <v>8868.421276751782</v>
      </c>
      <c r="X45" s="140">
        <f t="shared" si="3"/>
        <v>2371251.3280098597</v>
      </c>
      <c r="Y45" s="140">
        <f t="shared" si="4"/>
        <v>538737.83324985194</v>
      </c>
      <c r="Z45" s="123">
        <f>IF((SUM(X45:Y45))&lt;(AVERAGE('Elementary Size Adjustment'!$B$66,'Secondary Size Adjustment'!$B$66)),(AVERAGE('Elementary Size Adjustment'!$B$66,'Secondary Size Adjustment'!$B$66)),SUM(X45:Y45))</f>
        <v>2909989.1612597117</v>
      </c>
      <c r="AA45" s="137">
        <f>'Model Data Inputs'!$B$71*S45*L45</f>
        <v>62344.573333333341</v>
      </c>
      <c r="AB45" s="137">
        <f>L45*'Model Data Inputs'!$B$72</f>
        <v>8203.2333333333336</v>
      </c>
      <c r="AC45" s="137">
        <f>L45*'Model Data Inputs'!$B$73</f>
        <v>82032.333333333343</v>
      </c>
      <c r="AD45" s="137">
        <f>L45*'Model Data Inputs'!$B$74</f>
        <v>41016.166666666672</v>
      </c>
      <c r="AE45" s="137">
        <f>$I45*'Model Data Inputs'!$B$76</f>
        <v>7806.1968400000005</v>
      </c>
      <c r="AF45" s="137">
        <f>VLOOKUP($J45,'Student Activities MS&amp;HS Tables'!$M$7:$O$1267,3)</f>
        <v>0</v>
      </c>
      <c r="AG45" s="137">
        <f>VLOOKUP($K45,'Student Activities MS&amp;HS Tables'!$I$7:$K$3007,3)</f>
        <v>0</v>
      </c>
      <c r="AH45" s="137">
        <f t="shared" si="5"/>
        <v>7806.1968400000005</v>
      </c>
      <c r="AI45" s="123">
        <f t="shared" si="11"/>
        <v>3111391.6647663782</v>
      </c>
      <c r="AJ45" s="123">
        <f>(('Model Data Inputs'!$B$90*(('Model Data Inputs'!$B$87*('School Level Inst. Resources'!I45/'School Level Inst. Resources'!L45))+('Model Data Inputs'!$C$87*(SUM('School Level Inst. Resources'!J45:K45)/'School Level Inst. Resources'!L45))))*T45*M45)</f>
        <v>331008.74421955273</v>
      </c>
      <c r="AK45" s="123">
        <f>(('Model Data Inputs'!$B$91*(('Model Data Inputs'!$B$87*('School Level Inst. Resources'!I45/'School Level Inst. Resources'!L45))+('Model Data Inputs'!$C$87*(SUM('School Level Inst. Resources'!J45:K45)/'School Level Inst. Resources'!L45))))*T45*N45)</f>
        <v>14145.672829895415</v>
      </c>
      <c r="AL45" s="137">
        <f>(K45*'Model Data Inputs'!$B$94)*T45</f>
        <v>0</v>
      </c>
      <c r="AM45" s="137">
        <f>K45*'Model Data Inputs'!$B$95</f>
        <v>0</v>
      </c>
      <c r="AN45" s="137">
        <f t="shared" si="12"/>
        <v>0</v>
      </c>
      <c r="AO45" s="137">
        <f>('School Level Inst. Resources'!K45*'Model Data Inputs'!$B$96)+('School Level Inst. Resources'!J45*'Model Data Inputs'!$B$97)</f>
        <v>0</v>
      </c>
      <c r="AP45" s="137">
        <f>$L45*'Model Data Inputs'!$B$100</f>
        <v>13125.173333333334</v>
      </c>
      <c r="AQ45" s="137">
        <f t="shared" si="13"/>
        <v>3469671.2551491596</v>
      </c>
      <c r="AR45" s="141">
        <f t="shared" si="6"/>
        <v>10574.096560957141</v>
      </c>
    </row>
    <row r="46" spans="1:44" s="40" customFormat="1" ht="12.75" customHeight="1" x14ac:dyDescent="0.2">
      <c r="A46" s="20" t="s">
        <v>24</v>
      </c>
      <c r="B46" s="20" t="s">
        <v>25</v>
      </c>
      <c r="C46" s="20" t="s">
        <v>441</v>
      </c>
      <c r="D46" s="20" t="s">
        <v>442</v>
      </c>
      <c r="E46" s="138" t="s">
        <v>357</v>
      </c>
      <c r="F46" s="138" t="str">
        <f>IF(AND(SUM('School Level ADM'!$F46:$J46)=0,SUM('School Level ADM'!$O46:$R46)=0,'School Level ADM'!$K46&gt;0,'School Level ADM'!$N46&gt;0),"T","F")</f>
        <v>F</v>
      </c>
      <c r="G46" s="138" t="str">
        <f>IF(AND(SUM('School Level ADM'!$M46:$R46)=0,'School Level ADM'!$L46&gt;0),"T","F")</f>
        <v>T</v>
      </c>
      <c r="H46" s="138" t="str">
        <f t="shared" si="0"/>
        <v>E</v>
      </c>
      <c r="I46" s="139">
        <f>IF($F46="T",SUM('School Level ADM'!$F46:$J46),IF($G46="T",SUM('School Level ADM'!$F46:$L46),SUM('School Level ADM'!$F46:$K46,0)))</f>
        <v>404.54166666666669</v>
      </c>
      <c r="J46" s="139">
        <f>'School Level ADM'!$S46-$I46-$K46</f>
        <v>0</v>
      </c>
      <c r="K46" s="139">
        <f>IF(SUM('School Level ADM'!$N46:$R46)='School Level ADM'!$S46,SUM('School Level ADM'!$N46:$R46),IF(OR(SUM('School Level ADM'!$F46:$O46)='School Level ADM'!$S46,SUM('School Level ADM'!$G46:$O46)='School Level ADM'!$S46,SUM('School Level ADM'!$H46:$O46)='School Level ADM'!$S46,SUM('School Level ADM'!$I46:$O46)='School Level ADM'!$S46,SUM('School Level ADM'!$J46:$O46)='School Level ADM'!$S46,SUM('School Level ADM'!$K46:$O46)='School Level ADM'!$S46,SUM('School Level ADM'!$L46:$O46)='School Level ADM'!$S46,SUM('School Level ADM'!$M46:$O46)='School Level ADM'!$S46,SUM('School Level ADM'!$N46:$O46)='School Level ADM'!$S46),0,SUM('School Level ADM'!$O46:$R46)))</f>
        <v>0</v>
      </c>
      <c r="L46" s="139">
        <f t="shared" si="1"/>
        <v>404.54166666666669</v>
      </c>
      <c r="M46" s="24">
        <f>'Student At-Risk and ELL Proxy'!S46</f>
        <v>151</v>
      </c>
      <c r="N46" s="24">
        <f>'Student At-Risk and ELL Proxy'!AH46</f>
        <v>11</v>
      </c>
      <c r="O46" s="136">
        <f t="shared" si="7"/>
        <v>0.97</v>
      </c>
      <c r="P46" s="136" t="str">
        <f t="shared" si="8"/>
        <v/>
      </c>
      <c r="Q46" s="136" t="str">
        <f t="shared" si="9"/>
        <v/>
      </c>
      <c r="R46" s="136">
        <f t="shared" si="2"/>
        <v>0.97</v>
      </c>
      <c r="S46" s="136">
        <f>IF(SUM(3515.4*((VLOOKUP($A46,'District Level ADM'!$A$4:$F$52,6,FALSE))^-0.327)/'Model Data Inputs'!$B$71)&lt;1,1,(3515.4*((VLOOKUP($A46,'District Level ADM'!$A$4:$F$52,6,FALSE))^-0.327)/'Model Data Inputs'!$B$71))</f>
        <v>1</v>
      </c>
      <c r="T46" s="136">
        <f>VLOOKUP($A46,'Regional Cost Adjustment'!$A$4:$C$52,3,FALSE)</f>
        <v>1.17</v>
      </c>
      <c r="U46" s="123">
        <f>((($I46/$L46)*'Model Data Inputs'!$B$85)+((SUM(J46:K46)/$L46)*'Model Data Inputs'!$C$85))*$R46*$T46</f>
        <v>7226.5752772581318</v>
      </c>
      <c r="V46" s="140">
        <f>((($I46/$L46)*'Model Data Inputs'!$B$86)+((SUM(J46:K46)/$L46)*'Model Data Inputs'!$C$86))*$R46</f>
        <v>1641.8459994936507</v>
      </c>
      <c r="W46" s="140">
        <f t="shared" si="10"/>
        <v>8868.421276751782</v>
      </c>
      <c r="X46" s="140">
        <f t="shared" si="3"/>
        <v>2923450.8069541333</v>
      </c>
      <c r="Y46" s="140">
        <f t="shared" si="4"/>
        <v>664195.11704516062</v>
      </c>
      <c r="Z46" s="123">
        <f>IF((SUM(X46:Y46))&lt;(AVERAGE('Elementary Size Adjustment'!$B$66,'Secondary Size Adjustment'!$B$66)),(AVERAGE('Elementary Size Adjustment'!$B$66,'Secondary Size Adjustment'!$B$66)),SUM(X46:Y46))</f>
        <v>3587645.9239992937</v>
      </c>
      <c r="AA46" s="137">
        <f>'Model Data Inputs'!$B$71*S46*L46</f>
        <v>76862.916666666672</v>
      </c>
      <c r="AB46" s="137">
        <f>L46*'Model Data Inputs'!$B$72</f>
        <v>10113.541666666668</v>
      </c>
      <c r="AC46" s="137">
        <f>L46*'Model Data Inputs'!$B$73</f>
        <v>101135.41666666667</v>
      </c>
      <c r="AD46" s="137">
        <f>L46*'Model Data Inputs'!$B$74</f>
        <v>50567.708333333336</v>
      </c>
      <c r="AE46" s="137">
        <f>$I46*'Model Data Inputs'!$B$76</f>
        <v>9624.0462499999994</v>
      </c>
      <c r="AF46" s="137">
        <f>VLOOKUP($J46,'Student Activities MS&amp;HS Tables'!$M$7:$O$1267,3)</f>
        <v>0</v>
      </c>
      <c r="AG46" s="137">
        <f>VLOOKUP($K46,'Student Activities MS&amp;HS Tables'!$I$7:$K$3007,3)</f>
        <v>0</v>
      </c>
      <c r="AH46" s="137">
        <f t="shared" si="5"/>
        <v>9624.0462499999994</v>
      </c>
      <c r="AI46" s="123">
        <f t="shared" si="11"/>
        <v>3835949.5535826269</v>
      </c>
      <c r="AJ46" s="123">
        <f>(('Model Data Inputs'!$B$90*(('Model Data Inputs'!$B$87*('School Level Inst. Resources'!I46/'School Level Inst. Resources'!L46))+('Model Data Inputs'!$C$87*(SUM('School Level Inst. Resources'!J46:K46)/'School Level Inst. Resources'!L46))))*T46*M46)</f>
        <v>427199.31946284155</v>
      </c>
      <c r="AK46" s="123">
        <f>(('Model Data Inputs'!$B$91*(('Model Data Inputs'!$B$87*('School Level Inst. Resources'!I46/'School Level Inst. Resources'!L46))+('Model Data Inputs'!$C$87*(SUM('School Level Inst. Resources'!J46:K46)/'School Level Inst. Resources'!L46))))*T46*N46)</f>
        <v>31120.480225769916</v>
      </c>
      <c r="AL46" s="137">
        <f>(K46*'Model Data Inputs'!$B$94)*T46</f>
        <v>0</v>
      </c>
      <c r="AM46" s="137">
        <f>K46*'Model Data Inputs'!$B$95</f>
        <v>0</v>
      </c>
      <c r="AN46" s="137">
        <f t="shared" si="12"/>
        <v>0</v>
      </c>
      <c r="AO46" s="137">
        <f>('School Level Inst. Resources'!K46*'Model Data Inputs'!$B$96)+('School Level Inst. Resources'!J46*'Model Data Inputs'!$B$97)</f>
        <v>0</v>
      </c>
      <c r="AP46" s="137">
        <f>$L46*'Model Data Inputs'!$B$100</f>
        <v>16181.666666666668</v>
      </c>
      <c r="AQ46" s="137">
        <f t="shared" si="13"/>
        <v>4310451.0199379055</v>
      </c>
      <c r="AR46" s="141">
        <f t="shared" si="6"/>
        <v>10655.14723231123</v>
      </c>
    </row>
    <row r="47" spans="1:44" s="40" customFormat="1" ht="12.75" customHeight="1" x14ac:dyDescent="0.2">
      <c r="A47" s="20" t="s">
        <v>24</v>
      </c>
      <c r="B47" s="20" t="s">
        <v>25</v>
      </c>
      <c r="C47" s="20" t="s">
        <v>443</v>
      </c>
      <c r="D47" s="20" t="s">
        <v>444</v>
      </c>
      <c r="E47" s="138" t="s">
        <v>357</v>
      </c>
      <c r="F47" s="138" t="str">
        <f>IF(AND(SUM('School Level ADM'!$F47:$J47)=0,SUM('School Level ADM'!$O47:$R47)=0,'School Level ADM'!$K47&gt;0,'School Level ADM'!$N47&gt;0),"T","F")</f>
        <v>F</v>
      </c>
      <c r="G47" s="138" t="str">
        <f>IF(AND(SUM('School Level ADM'!$M47:$R47)=0,'School Level ADM'!$L47&gt;0),"T","F")</f>
        <v>T</v>
      </c>
      <c r="H47" s="138" t="str">
        <f t="shared" si="0"/>
        <v>E</v>
      </c>
      <c r="I47" s="139">
        <f>IF($F47="T",SUM('School Level ADM'!$F47:$J47),IF($G47="T",SUM('School Level ADM'!$F47:$L47),SUM('School Level ADM'!$F47:$K47,0)))</f>
        <v>339.10966666666667</v>
      </c>
      <c r="J47" s="139">
        <f>'School Level ADM'!$S47-$I47-$K47</f>
        <v>0</v>
      </c>
      <c r="K47" s="139">
        <f>IF(SUM('School Level ADM'!$N47:$R47)='School Level ADM'!$S47,SUM('School Level ADM'!$N47:$R47),IF(OR(SUM('School Level ADM'!$F47:$O47)='School Level ADM'!$S47,SUM('School Level ADM'!$G47:$O47)='School Level ADM'!$S47,SUM('School Level ADM'!$H47:$O47)='School Level ADM'!$S47,SUM('School Level ADM'!$I47:$O47)='School Level ADM'!$S47,SUM('School Level ADM'!$J47:$O47)='School Level ADM'!$S47,SUM('School Level ADM'!$K47:$O47)='School Level ADM'!$S47,SUM('School Level ADM'!$L47:$O47)='School Level ADM'!$S47,SUM('School Level ADM'!$M47:$O47)='School Level ADM'!$S47,SUM('School Level ADM'!$N47:$O47)='School Level ADM'!$S47),0,SUM('School Level ADM'!$O47:$R47)))</f>
        <v>0</v>
      </c>
      <c r="L47" s="139">
        <f t="shared" si="1"/>
        <v>339.10966666666667</v>
      </c>
      <c r="M47" s="24">
        <f>'Student At-Risk and ELL Proxy'!S47</f>
        <v>168</v>
      </c>
      <c r="N47" s="24">
        <f>'Student At-Risk and ELL Proxy'!AH47</f>
        <v>21</v>
      </c>
      <c r="O47" s="136">
        <f t="shared" si="7"/>
        <v>0.97</v>
      </c>
      <c r="P47" s="136" t="str">
        <f t="shared" si="8"/>
        <v/>
      </c>
      <c r="Q47" s="136" t="str">
        <f t="shared" si="9"/>
        <v/>
      </c>
      <c r="R47" s="136">
        <f t="shared" si="2"/>
        <v>0.97</v>
      </c>
      <c r="S47" s="136">
        <f>IF(SUM(3515.4*((VLOOKUP($A47,'District Level ADM'!$A$4:$F$52,6,FALSE))^-0.327)/'Model Data Inputs'!$B$71)&lt;1,1,(3515.4*((VLOOKUP($A47,'District Level ADM'!$A$4:$F$52,6,FALSE))^-0.327)/'Model Data Inputs'!$B$71))</f>
        <v>1</v>
      </c>
      <c r="T47" s="136">
        <f>VLOOKUP($A47,'Regional Cost Adjustment'!$A$4:$C$52,3,FALSE)</f>
        <v>1.17</v>
      </c>
      <c r="U47" s="123">
        <f>((($I47/$L47)*'Model Data Inputs'!$B$85)+((SUM(J47:K47)/$L47)*'Model Data Inputs'!$C$85))*$R47*$T47</f>
        <v>7226.5752772581318</v>
      </c>
      <c r="V47" s="140">
        <f>((($I47/$L47)*'Model Data Inputs'!$B$86)+((SUM(J47:K47)/$L47)*'Model Data Inputs'!$C$86))*$R47</f>
        <v>1641.8459994936507</v>
      </c>
      <c r="W47" s="140">
        <f t="shared" si="10"/>
        <v>8868.421276751782</v>
      </c>
      <c r="X47" s="140">
        <f t="shared" si="3"/>
        <v>2450601.5334125794</v>
      </c>
      <c r="Y47" s="140">
        <f t="shared" si="4"/>
        <v>556765.84960629209</v>
      </c>
      <c r="Z47" s="123">
        <f>IF((SUM(X47:Y47))&lt;(AVERAGE('Elementary Size Adjustment'!$B$66,'Secondary Size Adjustment'!$B$66)),(AVERAGE('Elementary Size Adjustment'!$B$66,'Secondary Size Adjustment'!$B$66)),SUM(X47:Y47))</f>
        <v>3007367.3830188718</v>
      </c>
      <c r="AA47" s="137">
        <f>'Model Data Inputs'!$B$71*S47*L47</f>
        <v>64430.83666666667</v>
      </c>
      <c r="AB47" s="137">
        <f>L47*'Model Data Inputs'!$B$72</f>
        <v>8477.7416666666668</v>
      </c>
      <c r="AC47" s="137">
        <f>L47*'Model Data Inputs'!$B$73</f>
        <v>84777.416666666672</v>
      </c>
      <c r="AD47" s="137">
        <f>L47*'Model Data Inputs'!$B$74</f>
        <v>42388.708333333336</v>
      </c>
      <c r="AE47" s="137">
        <f>$I47*'Model Data Inputs'!$B$76</f>
        <v>8067.4189699999997</v>
      </c>
      <c r="AF47" s="137">
        <f>VLOOKUP($J47,'Student Activities MS&amp;HS Tables'!$M$7:$O$1267,3)</f>
        <v>0</v>
      </c>
      <c r="AG47" s="137">
        <f>VLOOKUP($K47,'Student Activities MS&amp;HS Tables'!$I$7:$K$3007,3)</f>
        <v>0</v>
      </c>
      <c r="AH47" s="137">
        <f t="shared" si="5"/>
        <v>8067.4189699999997</v>
      </c>
      <c r="AI47" s="123">
        <f t="shared" si="11"/>
        <v>3215509.5053222054</v>
      </c>
      <c r="AJ47" s="123">
        <f>(('Model Data Inputs'!$B$90*(('Model Data Inputs'!$B$87*('School Level Inst. Resources'!I47/'School Level Inst. Resources'!L47))+('Model Data Inputs'!$C$87*(SUM('School Level Inst. Resources'!J47:K47)/'School Level Inst. Resources'!L47))))*T47*M47)</f>
        <v>475294.60708448599</v>
      </c>
      <c r="AK47" s="123">
        <f>(('Model Data Inputs'!$B$91*(('Model Data Inputs'!$B$87*('School Level Inst. Resources'!I47/'School Level Inst. Resources'!L47))+('Model Data Inputs'!$C$87*(SUM('School Level Inst. Resources'!J47:K47)/'School Level Inst. Resources'!L47))))*T47*N47)</f>
        <v>59411.825885560749</v>
      </c>
      <c r="AL47" s="137">
        <f>(K47*'Model Data Inputs'!$B$94)*T47</f>
        <v>0</v>
      </c>
      <c r="AM47" s="137">
        <f>K47*'Model Data Inputs'!$B$95</f>
        <v>0</v>
      </c>
      <c r="AN47" s="137">
        <f t="shared" si="12"/>
        <v>0</v>
      </c>
      <c r="AO47" s="137">
        <f>('School Level Inst. Resources'!K47*'Model Data Inputs'!$B$96)+('School Level Inst. Resources'!J47*'Model Data Inputs'!$B$97)</f>
        <v>0</v>
      </c>
      <c r="AP47" s="137">
        <f>$L47*'Model Data Inputs'!$B$100</f>
        <v>13564.386666666667</v>
      </c>
      <c r="AQ47" s="137">
        <f t="shared" si="13"/>
        <v>3763780.3249589191</v>
      </c>
      <c r="AR47" s="141">
        <f t="shared" si="6"/>
        <v>11099.006294794268</v>
      </c>
    </row>
    <row r="48" spans="1:44" s="40" customFormat="1" ht="12.75" customHeight="1" x14ac:dyDescent="0.2">
      <c r="A48" s="20" t="s">
        <v>24</v>
      </c>
      <c r="B48" s="20" t="s">
        <v>25</v>
      </c>
      <c r="C48" s="20" t="s">
        <v>445</v>
      </c>
      <c r="D48" s="20" t="s">
        <v>446</v>
      </c>
      <c r="E48" s="138" t="s">
        <v>357</v>
      </c>
      <c r="F48" s="138" t="str">
        <f>IF(AND(SUM('School Level ADM'!$F48:$J48)=0,SUM('School Level ADM'!$O48:$R48)=0,'School Level ADM'!$K48&gt;0,'School Level ADM'!$N48&gt;0),"T","F")</f>
        <v>F</v>
      </c>
      <c r="G48" s="138" t="str">
        <f>IF(AND(SUM('School Level ADM'!$M48:$R48)=0,'School Level ADM'!$L48&gt;0),"T","F")</f>
        <v>T</v>
      </c>
      <c r="H48" s="138" t="str">
        <f t="shared" si="0"/>
        <v>E</v>
      </c>
      <c r="I48" s="139">
        <f>IF($F48="T",SUM('School Level ADM'!$F48:$J48),IF($G48="T",SUM('School Level ADM'!$F48:$L48),SUM('School Level ADM'!$F48:$K48,0)))</f>
        <v>383.15266666666662</v>
      </c>
      <c r="J48" s="139">
        <f>'School Level ADM'!$S48-$I48-$K48</f>
        <v>0</v>
      </c>
      <c r="K48" s="139">
        <f>IF(SUM('School Level ADM'!$N48:$R48)='School Level ADM'!$S48,SUM('School Level ADM'!$N48:$R48),IF(OR(SUM('School Level ADM'!$F48:$O48)='School Level ADM'!$S48,SUM('School Level ADM'!$G48:$O48)='School Level ADM'!$S48,SUM('School Level ADM'!$H48:$O48)='School Level ADM'!$S48,SUM('School Level ADM'!$I48:$O48)='School Level ADM'!$S48,SUM('School Level ADM'!$J48:$O48)='School Level ADM'!$S48,SUM('School Level ADM'!$K48:$O48)='School Level ADM'!$S48,SUM('School Level ADM'!$L48:$O48)='School Level ADM'!$S48,SUM('School Level ADM'!$M48:$O48)='School Level ADM'!$S48,SUM('School Level ADM'!$N48:$O48)='School Level ADM'!$S48),0,SUM('School Level ADM'!$O48:$R48)))</f>
        <v>0</v>
      </c>
      <c r="L48" s="139">
        <f t="shared" si="1"/>
        <v>383.15266666666662</v>
      </c>
      <c r="M48" s="24">
        <f>'Student At-Risk and ELL Proxy'!S48</f>
        <v>81</v>
      </c>
      <c r="N48" s="24">
        <f>'Student At-Risk and ELL Proxy'!AH48</f>
        <v>5</v>
      </c>
      <c r="O48" s="136">
        <f t="shared" si="7"/>
        <v>0.97</v>
      </c>
      <c r="P48" s="136" t="str">
        <f t="shared" si="8"/>
        <v/>
      </c>
      <c r="Q48" s="136" t="str">
        <f t="shared" si="9"/>
        <v/>
      </c>
      <c r="R48" s="136">
        <f t="shared" si="2"/>
        <v>0.97</v>
      </c>
      <c r="S48" s="136">
        <f>IF(SUM(3515.4*((VLOOKUP($A48,'District Level ADM'!$A$4:$F$52,6,FALSE))^-0.327)/'Model Data Inputs'!$B$71)&lt;1,1,(3515.4*((VLOOKUP($A48,'District Level ADM'!$A$4:$F$52,6,FALSE))^-0.327)/'Model Data Inputs'!$B$71))</f>
        <v>1</v>
      </c>
      <c r="T48" s="136">
        <f>VLOOKUP($A48,'Regional Cost Adjustment'!$A$4:$C$52,3,FALSE)</f>
        <v>1.17</v>
      </c>
      <c r="U48" s="123">
        <f>((($I48/$L48)*'Model Data Inputs'!$B$85)+((SUM(J48:K48)/$L48)*'Model Data Inputs'!$C$85))*$R48*$T48</f>
        <v>7226.5752772581318</v>
      </c>
      <c r="V48" s="140">
        <f>((($I48/$L48)*'Model Data Inputs'!$B$86)+((SUM(J48:K48)/$L48)*'Model Data Inputs'!$C$86))*$R48</f>
        <v>1641.8459994936507</v>
      </c>
      <c r="W48" s="140">
        <f t="shared" si="10"/>
        <v>8868.421276751782</v>
      </c>
      <c r="X48" s="140">
        <f t="shared" si="3"/>
        <v>2768881.588348859</v>
      </c>
      <c r="Y48" s="140">
        <f t="shared" si="4"/>
        <v>629077.67296199081</v>
      </c>
      <c r="Z48" s="123">
        <f>IF((SUM(X48:Y48))&lt;(AVERAGE('Elementary Size Adjustment'!$B$66,'Secondary Size Adjustment'!$B$66)),(AVERAGE('Elementary Size Adjustment'!$B$66,'Secondary Size Adjustment'!$B$66)),SUM(X48:Y48))</f>
        <v>3397959.2613108498</v>
      </c>
      <c r="AA48" s="137">
        <f>'Model Data Inputs'!$B$71*S48*L48</f>
        <v>72799.006666666653</v>
      </c>
      <c r="AB48" s="137">
        <f>L48*'Model Data Inputs'!$B$72</f>
        <v>9578.8166666666657</v>
      </c>
      <c r="AC48" s="137">
        <f>L48*'Model Data Inputs'!$B$73</f>
        <v>95788.166666666657</v>
      </c>
      <c r="AD48" s="137">
        <f>L48*'Model Data Inputs'!$B$74</f>
        <v>47894.083333333328</v>
      </c>
      <c r="AE48" s="137">
        <f>$I48*'Model Data Inputs'!$B$76</f>
        <v>9115.201939999999</v>
      </c>
      <c r="AF48" s="137">
        <f>VLOOKUP($J48,'Student Activities MS&amp;HS Tables'!$M$7:$O$1267,3)</f>
        <v>0</v>
      </c>
      <c r="AG48" s="137">
        <f>VLOOKUP($K48,'Student Activities MS&amp;HS Tables'!$I$7:$K$3007,3)</f>
        <v>0</v>
      </c>
      <c r="AH48" s="137">
        <f t="shared" si="5"/>
        <v>9115.201939999999</v>
      </c>
      <c r="AI48" s="123">
        <f t="shared" si="11"/>
        <v>3633134.5365841836</v>
      </c>
      <c r="AJ48" s="123">
        <f>(('Model Data Inputs'!$B$90*(('Model Data Inputs'!$B$87*('School Level Inst. Resources'!I48/'School Level Inst. Resources'!L48))+('Model Data Inputs'!$C$87*(SUM('School Level Inst. Resources'!J48:K48)/'School Level Inst. Resources'!L48))))*T48*M48)</f>
        <v>229159.89984430574</v>
      </c>
      <c r="AK48" s="123">
        <f>(('Model Data Inputs'!$B$91*(('Model Data Inputs'!$B$87*('School Level Inst. Resources'!I48/'School Level Inst. Resources'!L48))+('Model Data Inputs'!$C$87*(SUM('School Level Inst. Resources'!J48:K48)/'School Level Inst. Resources'!L48))))*T48*N48)</f>
        <v>14145.672829895415</v>
      </c>
      <c r="AL48" s="137">
        <f>(K48*'Model Data Inputs'!$B$94)*T48</f>
        <v>0</v>
      </c>
      <c r="AM48" s="137">
        <f>K48*'Model Data Inputs'!$B$95</f>
        <v>0</v>
      </c>
      <c r="AN48" s="137">
        <f t="shared" si="12"/>
        <v>0</v>
      </c>
      <c r="AO48" s="137">
        <f>('School Level Inst. Resources'!K48*'Model Data Inputs'!$B$96)+('School Level Inst. Resources'!J48*'Model Data Inputs'!$B$97)</f>
        <v>0</v>
      </c>
      <c r="AP48" s="137">
        <f>$L48*'Model Data Inputs'!$B$100</f>
        <v>15326.106666666665</v>
      </c>
      <c r="AQ48" s="137">
        <f t="shared" si="13"/>
        <v>3891766.2159250509</v>
      </c>
      <c r="AR48" s="141">
        <f t="shared" si="6"/>
        <v>10157.220749061866</v>
      </c>
    </row>
    <row r="49" spans="1:44" s="40" customFormat="1" ht="12.75" customHeight="1" x14ac:dyDescent="0.2">
      <c r="A49" s="20" t="s">
        <v>24</v>
      </c>
      <c r="B49" s="20" t="s">
        <v>25</v>
      </c>
      <c r="C49" s="20" t="s">
        <v>447</v>
      </c>
      <c r="D49" s="20" t="s">
        <v>448</v>
      </c>
      <c r="E49" s="138" t="s">
        <v>357</v>
      </c>
      <c r="F49" s="138" t="str">
        <f>IF(AND(SUM('School Level ADM'!$F49:$J49)=0,SUM('School Level ADM'!$O49:$R49)=0,'School Level ADM'!$K49&gt;0,'School Level ADM'!$N49&gt;0),"T","F")</f>
        <v>F</v>
      </c>
      <c r="G49" s="138" t="str">
        <f>IF(AND(SUM('School Level ADM'!$M49:$R49)=0,'School Level ADM'!$L49&gt;0),"T","F")</f>
        <v>T</v>
      </c>
      <c r="H49" s="138" t="str">
        <f t="shared" si="0"/>
        <v>E</v>
      </c>
      <c r="I49" s="139">
        <f>IF($F49="T",SUM('School Level ADM'!$F49:$J49),IF($G49="T",SUM('School Level ADM'!$F49:$L49),SUM('School Level ADM'!$F49:$K49,0)))</f>
        <v>400.81533333333329</v>
      </c>
      <c r="J49" s="139">
        <f>'School Level ADM'!$S49-$I49-$K49</f>
        <v>0</v>
      </c>
      <c r="K49" s="139">
        <f>IF(SUM('School Level ADM'!$N49:$R49)='School Level ADM'!$S49,SUM('School Level ADM'!$N49:$R49),IF(OR(SUM('School Level ADM'!$F49:$O49)='School Level ADM'!$S49,SUM('School Level ADM'!$G49:$O49)='School Level ADM'!$S49,SUM('School Level ADM'!$H49:$O49)='School Level ADM'!$S49,SUM('School Level ADM'!$I49:$O49)='School Level ADM'!$S49,SUM('School Level ADM'!$J49:$O49)='School Level ADM'!$S49,SUM('School Level ADM'!$K49:$O49)='School Level ADM'!$S49,SUM('School Level ADM'!$L49:$O49)='School Level ADM'!$S49,SUM('School Level ADM'!$M49:$O49)='School Level ADM'!$S49,SUM('School Level ADM'!$N49:$O49)='School Level ADM'!$S49),0,SUM('School Level ADM'!$O49:$R49)))</f>
        <v>0</v>
      </c>
      <c r="L49" s="139">
        <f t="shared" si="1"/>
        <v>400.81533333333329</v>
      </c>
      <c r="M49" s="24">
        <f>'Student At-Risk and ELL Proxy'!S49</f>
        <v>152</v>
      </c>
      <c r="N49" s="24">
        <f>'Student At-Risk and ELL Proxy'!AH49</f>
        <v>6</v>
      </c>
      <c r="O49" s="136">
        <f t="shared" si="7"/>
        <v>0.97</v>
      </c>
      <c r="P49" s="136" t="str">
        <f t="shared" si="8"/>
        <v/>
      </c>
      <c r="Q49" s="136" t="str">
        <f t="shared" si="9"/>
        <v/>
      </c>
      <c r="R49" s="136">
        <f t="shared" si="2"/>
        <v>0.97</v>
      </c>
      <c r="S49" s="136">
        <f>IF(SUM(3515.4*((VLOOKUP($A49,'District Level ADM'!$A$4:$F$52,6,FALSE))^-0.327)/'Model Data Inputs'!$B$71)&lt;1,1,(3515.4*((VLOOKUP($A49,'District Level ADM'!$A$4:$F$52,6,FALSE))^-0.327)/'Model Data Inputs'!$B$71))</f>
        <v>1</v>
      </c>
      <c r="T49" s="136">
        <f>VLOOKUP($A49,'Regional Cost Adjustment'!$A$4:$C$52,3,FALSE)</f>
        <v>1.17</v>
      </c>
      <c r="U49" s="123">
        <f>((($I49/$L49)*'Model Data Inputs'!$B$85)+((SUM(J49:K49)/$L49)*'Model Data Inputs'!$C$85))*$R49*$T49</f>
        <v>7226.5752772581318</v>
      </c>
      <c r="V49" s="140">
        <f>((($I49/$L49)*'Model Data Inputs'!$B$86)+((SUM(J49:K49)/$L49)*'Model Data Inputs'!$C$86))*$R49</f>
        <v>1641.8459994936507</v>
      </c>
      <c r="W49" s="140">
        <f t="shared" si="10"/>
        <v>8868.421276751782</v>
      </c>
      <c r="X49" s="140">
        <f t="shared" si="3"/>
        <v>2896522.1786126434</v>
      </c>
      <c r="Y49" s="140">
        <f t="shared" si="4"/>
        <v>658077.05156904738</v>
      </c>
      <c r="Z49" s="123">
        <f>IF((SUM(X49:Y49))&lt;(AVERAGE('Elementary Size Adjustment'!$B$66,'Secondary Size Adjustment'!$B$66)),(AVERAGE('Elementary Size Adjustment'!$B$66,'Secondary Size Adjustment'!$B$66)),SUM(X49:Y49))</f>
        <v>3554599.2301816908</v>
      </c>
      <c r="AA49" s="137">
        <f>'Model Data Inputs'!$B$71*S49*L49</f>
        <v>76154.91333333333</v>
      </c>
      <c r="AB49" s="137">
        <f>L49*'Model Data Inputs'!$B$72</f>
        <v>10020.383333333331</v>
      </c>
      <c r="AC49" s="137">
        <f>L49*'Model Data Inputs'!$B$73</f>
        <v>100203.83333333333</v>
      </c>
      <c r="AD49" s="137">
        <f>L49*'Model Data Inputs'!$B$74</f>
        <v>50101.916666666664</v>
      </c>
      <c r="AE49" s="137">
        <f>$I49*'Model Data Inputs'!$B$76</f>
        <v>9535.3967799999991</v>
      </c>
      <c r="AF49" s="137">
        <f>VLOOKUP($J49,'Student Activities MS&amp;HS Tables'!$M$7:$O$1267,3)</f>
        <v>0</v>
      </c>
      <c r="AG49" s="137">
        <f>VLOOKUP($K49,'Student Activities MS&amp;HS Tables'!$I$7:$K$3007,3)</f>
        <v>0</v>
      </c>
      <c r="AH49" s="137">
        <f t="shared" si="5"/>
        <v>9535.3967799999991</v>
      </c>
      <c r="AI49" s="123">
        <f t="shared" si="11"/>
        <v>3800615.6736283577</v>
      </c>
      <c r="AJ49" s="123">
        <f>(('Model Data Inputs'!$B$90*(('Model Data Inputs'!$B$87*('School Level Inst. Resources'!I49/'School Level Inst. Resources'!L49))+('Model Data Inputs'!$C$87*(SUM('School Level Inst. Resources'!J49:K49)/'School Level Inst. Resources'!L49))))*T49*M49)</f>
        <v>430028.45402882062</v>
      </c>
      <c r="AK49" s="123">
        <f>(('Model Data Inputs'!$B$91*(('Model Data Inputs'!$B$87*('School Level Inst. Resources'!I49/'School Level Inst. Resources'!L49))+('Model Data Inputs'!$C$87*(SUM('School Level Inst. Resources'!J49:K49)/'School Level Inst. Resources'!L49))))*T49*N49)</f>
        <v>16974.807395874501</v>
      </c>
      <c r="AL49" s="137">
        <f>(K49*'Model Data Inputs'!$B$94)*T49</f>
        <v>0</v>
      </c>
      <c r="AM49" s="137">
        <f>K49*'Model Data Inputs'!$B$95</f>
        <v>0</v>
      </c>
      <c r="AN49" s="137">
        <f t="shared" si="12"/>
        <v>0</v>
      </c>
      <c r="AO49" s="137">
        <f>('School Level Inst. Resources'!K49*'Model Data Inputs'!$B$96)+('School Level Inst. Resources'!J49*'Model Data Inputs'!$B$97)</f>
        <v>0</v>
      </c>
      <c r="AP49" s="137">
        <f>$L49*'Model Data Inputs'!$B$100</f>
        <v>16032.613333333331</v>
      </c>
      <c r="AQ49" s="137">
        <f t="shared" si="13"/>
        <v>4263651.5483863866</v>
      </c>
      <c r="AR49" s="141">
        <f t="shared" si="6"/>
        <v>10637.446209775044</v>
      </c>
    </row>
    <row r="50" spans="1:44" s="40" customFormat="1" ht="12.75" customHeight="1" x14ac:dyDescent="0.2">
      <c r="A50" s="20" t="s">
        <v>24</v>
      </c>
      <c r="B50" s="20" t="s">
        <v>25</v>
      </c>
      <c r="C50" s="20" t="s">
        <v>449</v>
      </c>
      <c r="D50" s="20" t="s">
        <v>450</v>
      </c>
      <c r="E50" s="138" t="s">
        <v>357</v>
      </c>
      <c r="F50" s="138" t="str">
        <f>IF(AND(SUM('School Level ADM'!$F50:$J50)=0,SUM('School Level ADM'!$O50:$R50)=0,'School Level ADM'!$K50&gt;0,'School Level ADM'!$N50&gt;0),"T","F")</f>
        <v>F</v>
      </c>
      <c r="G50" s="138" t="str">
        <f>IF(AND(SUM('School Level ADM'!$M50:$R50)=0,'School Level ADM'!$L50&gt;0),"T","F")</f>
        <v>T</v>
      </c>
      <c r="H50" s="138" t="str">
        <f t="shared" si="0"/>
        <v>E</v>
      </c>
      <c r="I50" s="139">
        <f>IF($F50="T",SUM('School Level ADM'!$F50:$J50),IF($G50="T",SUM('School Level ADM'!$F50:$L50),SUM('School Level ADM'!$F50:$K50,0)))</f>
        <v>388.55266666666665</v>
      </c>
      <c r="J50" s="139">
        <f>'School Level ADM'!$S50-$I50-$K50</f>
        <v>0</v>
      </c>
      <c r="K50" s="139">
        <f>IF(SUM('School Level ADM'!$N50:$R50)='School Level ADM'!$S50,SUM('School Level ADM'!$N50:$R50),IF(OR(SUM('School Level ADM'!$F50:$O50)='School Level ADM'!$S50,SUM('School Level ADM'!$G50:$O50)='School Level ADM'!$S50,SUM('School Level ADM'!$H50:$O50)='School Level ADM'!$S50,SUM('School Level ADM'!$I50:$O50)='School Level ADM'!$S50,SUM('School Level ADM'!$J50:$O50)='School Level ADM'!$S50,SUM('School Level ADM'!$K50:$O50)='School Level ADM'!$S50,SUM('School Level ADM'!$L50:$O50)='School Level ADM'!$S50,SUM('School Level ADM'!$M50:$O50)='School Level ADM'!$S50,SUM('School Level ADM'!$N50:$O50)='School Level ADM'!$S50),0,SUM('School Level ADM'!$O50:$R50)))</f>
        <v>0</v>
      </c>
      <c r="L50" s="139">
        <f t="shared" si="1"/>
        <v>388.55266666666665</v>
      </c>
      <c r="M50" s="24">
        <f>'Student At-Risk and ELL Proxy'!S50</f>
        <v>186</v>
      </c>
      <c r="N50" s="24">
        <f>'Student At-Risk and ELL Proxy'!AH50</f>
        <v>11</v>
      </c>
      <c r="O50" s="136">
        <f t="shared" si="7"/>
        <v>0.97</v>
      </c>
      <c r="P50" s="136" t="str">
        <f t="shared" si="8"/>
        <v/>
      </c>
      <c r="Q50" s="136" t="str">
        <f t="shared" si="9"/>
        <v/>
      </c>
      <c r="R50" s="136">
        <f t="shared" si="2"/>
        <v>0.97</v>
      </c>
      <c r="S50" s="136">
        <f>IF(SUM(3515.4*((VLOOKUP($A50,'District Level ADM'!$A$4:$F$52,6,FALSE))^-0.327)/'Model Data Inputs'!$B$71)&lt;1,1,(3515.4*((VLOOKUP($A50,'District Level ADM'!$A$4:$F$52,6,FALSE))^-0.327)/'Model Data Inputs'!$B$71))</f>
        <v>1</v>
      </c>
      <c r="T50" s="136">
        <f>VLOOKUP($A50,'Regional Cost Adjustment'!$A$4:$C$52,3,FALSE)</f>
        <v>1.17</v>
      </c>
      <c r="U50" s="123">
        <f>((($I50/$L50)*'Model Data Inputs'!$B$85)+((SUM(J50:K50)/$L50)*'Model Data Inputs'!$C$85))*$R50*$T50</f>
        <v>7226.5752772581318</v>
      </c>
      <c r="V50" s="140">
        <f>((($I50/$L50)*'Model Data Inputs'!$B$86)+((SUM(J50:K50)/$L50)*'Model Data Inputs'!$C$86))*$R50</f>
        <v>1641.8459994936507</v>
      </c>
      <c r="W50" s="140">
        <f t="shared" si="10"/>
        <v>8868.421276751782</v>
      </c>
      <c r="X50" s="140">
        <f t="shared" si="3"/>
        <v>2807905.094846053</v>
      </c>
      <c r="Y50" s="140">
        <f t="shared" si="4"/>
        <v>637943.64135925658</v>
      </c>
      <c r="Z50" s="123">
        <f>IF((SUM(X50:Y50))&lt;(AVERAGE('Elementary Size Adjustment'!$B$66,'Secondary Size Adjustment'!$B$66)),(AVERAGE('Elementary Size Adjustment'!$B$66,'Secondary Size Adjustment'!$B$66)),SUM(X50:Y50))</f>
        <v>3445848.7362053096</v>
      </c>
      <c r="AA50" s="137">
        <f>'Model Data Inputs'!$B$71*S50*L50</f>
        <v>73825.006666666668</v>
      </c>
      <c r="AB50" s="137">
        <f>L50*'Model Data Inputs'!$B$72</f>
        <v>9713.8166666666657</v>
      </c>
      <c r="AC50" s="137">
        <f>L50*'Model Data Inputs'!$B$73</f>
        <v>97138.166666666657</v>
      </c>
      <c r="AD50" s="137">
        <f>L50*'Model Data Inputs'!$B$74</f>
        <v>48569.083333333328</v>
      </c>
      <c r="AE50" s="137">
        <f>$I50*'Model Data Inputs'!$B$76</f>
        <v>9243.6679399999994</v>
      </c>
      <c r="AF50" s="137">
        <f>VLOOKUP($J50,'Student Activities MS&amp;HS Tables'!$M$7:$O$1267,3)</f>
        <v>0</v>
      </c>
      <c r="AG50" s="137">
        <f>VLOOKUP($K50,'Student Activities MS&amp;HS Tables'!$I$7:$K$3007,3)</f>
        <v>0</v>
      </c>
      <c r="AH50" s="137">
        <f t="shared" si="5"/>
        <v>9243.6679399999994</v>
      </c>
      <c r="AI50" s="123">
        <f t="shared" si="11"/>
        <v>3684338.4774786434</v>
      </c>
      <c r="AJ50" s="123">
        <f>(('Model Data Inputs'!$B$90*(('Model Data Inputs'!$B$87*('School Level Inst. Resources'!I50/'School Level Inst. Resources'!L50))+('Model Data Inputs'!$C$87*(SUM('School Level Inst. Resources'!J50:K50)/'School Level Inst. Resources'!L50))))*T50*M50)</f>
        <v>526219.0292721095</v>
      </c>
      <c r="AK50" s="123">
        <f>(('Model Data Inputs'!$B$91*(('Model Data Inputs'!$B$87*('School Level Inst. Resources'!I50/'School Level Inst. Resources'!L50))+('Model Data Inputs'!$C$87*(SUM('School Level Inst. Resources'!J50:K50)/'School Level Inst. Resources'!L50))))*T50*N50)</f>
        <v>31120.480225769916</v>
      </c>
      <c r="AL50" s="137">
        <f>(K50*'Model Data Inputs'!$B$94)*T50</f>
        <v>0</v>
      </c>
      <c r="AM50" s="137">
        <f>K50*'Model Data Inputs'!$B$95</f>
        <v>0</v>
      </c>
      <c r="AN50" s="137">
        <f t="shared" si="12"/>
        <v>0</v>
      </c>
      <c r="AO50" s="137">
        <f>('School Level Inst. Resources'!K50*'Model Data Inputs'!$B$96)+('School Level Inst. Resources'!J50*'Model Data Inputs'!$B$97)</f>
        <v>0</v>
      </c>
      <c r="AP50" s="137">
        <f>$L50*'Model Data Inputs'!$B$100</f>
        <v>15542.106666666667</v>
      </c>
      <c r="AQ50" s="137">
        <f t="shared" si="13"/>
        <v>4257220.0936431894</v>
      </c>
      <c r="AR50" s="141">
        <f t="shared" si="6"/>
        <v>10956.610155748573</v>
      </c>
    </row>
    <row r="51" spans="1:44" s="40" customFormat="1" ht="12.75" customHeight="1" x14ac:dyDescent="0.2">
      <c r="A51" s="20" t="s">
        <v>24</v>
      </c>
      <c r="B51" s="20" t="s">
        <v>25</v>
      </c>
      <c r="C51" s="20" t="s">
        <v>451</v>
      </c>
      <c r="D51" s="20" t="s">
        <v>452</v>
      </c>
      <c r="E51" s="138" t="s">
        <v>357</v>
      </c>
      <c r="F51" s="138" t="str">
        <f>IF(AND(SUM('School Level ADM'!$F51:$J51)=0,SUM('School Level ADM'!$O51:$R51)=0,'School Level ADM'!$K51&gt;0,'School Level ADM'!$N51&gt;0),"T","F")</f>
        <v>F</v>
      </c>
      <c r="G51" s="138" t="str">
        <f>IF(AND(SUM('School Level ADM'!$M51:$R51)=0,'School Level ADM'!$L51&gt;0),"T","F")</f>
        <v>T</v>
      </c>
      <c r="H51" s="138" t="str">
        <f t="shared" si="0"/>
        <v>E</v>
      </c>
      <c r="I51" s="139">
        <f>IF($F51="T",SUM('School Level ADM'!$F51:$J51),IF($G51="T",SUM('School Level ADM'!$F51:$L51),SUM('School Level ADM'!$F51:$K51,0)))</f>
        <v>435.98066666666671</v>
      </c>
      <c r="J51" s="139">
        <f>'School Level ADM'!$S51-$I51-$K51</f>
        <v>0</v>
      </c>
      <c r="K51" s="139">
        <f>IF(SUM('School Level ADM'!$N51:$R51)='School Level ADM'!$S51,SUM('School Level ADM'!$N51:$R51),IF(OR(SUM('School Level ADM'!$F51:$O51)='School Level ADM'!$S51,SUM('School Level ADM'!$G51:$O51)='School Level ADM'!$S51,SUM('School Level ADM'!$H51:$O51)='School Level ADM'!$S51,SUM('School Level ADM'!$I51:$O51)='School Level ADM'!$S51,SUM('School Level ADM'!$J51:$O51)='School Level ADM'!$S51,SUM('School Level ADM'!$K51:$O51)='School Level ADM'!$S51,SUM('School Level ADM'!$L51:$O51)='School Level ADM'!$S51,SUM('School Level ADM'!$M51:$O51)='School Level ADM'!$S51,SUM('School Level ADM'!$N51:$O51)='School Level ADM'!$S51),0,SUM('School Level ADM'!$O51:$R51)))</f>
        <v>0</v>
      </c>
      <c r="L51" s="139">
        <f t="shared" si="1"/>
        <v>435.98066666666671</v>
      </c>
      <c r="M51" s="24">
        <f>'Student At-Risk and ELL Proxy'!S51</f>
        <v>108</v>
      </c>
      <c r="N51" s="24">
        <f>'Student At-Risk and ELL Proxy'!AH51</f>
        <v>4</v>
      </c>
      <c r="O51" s="136">
        <f t="shared" si="7"/>
        <v>0.97</v>
      </c>
      <c r="P51" s="136" t="str">
        <f t="shared" si="8"/>
        <v/>
      </c>
      <c r="Q51" s="136" t="str">
        <f t="shared" si="9"/>
        <v/>
      </c>
      <c r="R51" s="136">
        <f t="shared" si="2"/>
        <v>0.97</v>
      </c>
      <c r="S51" s="136">
        <f>IF(SUM(3515.4*((VLOOKUP($A51,'District Level ADM'!$A$4:$F$52,6,FALSE))^-0.327)/'Model Data Inputs'!$B$71)&lt;1,1,(3515.4*((VLOOKUP($A51,'District Level ADM'!$A$4:$F$52,6,FALSE))^-0.327)/'Model Data Inputs'!$B$71))</f>
        <v>1</v>
      </c>
      <c r="T51" s="136">
        <f>VLOOKUP($A51,'Regional Cost Adjustment'!$A$4:$C$52,3,FALSE)</f>
        <v>1.17</v>
      </c>
      <c r="U51" s="123">
        <f>((($I51/$L51)*'Model Data Inputs'!$B$85)+((SUM(J51:K51)/$L51)*'Model Data Inputs'!$C$85))*$R51*$T51</f>
        <v>7226.5752772581318</v>
      </c>
      <c r="V51" s="140">
        <f>((($I51/$L51)*'Model Data Inputs'!$B$86)+((SUM(J51:K51)/$L51)*'Model Data Inputs'!$C$86))*$R51</f>
        <v>1641.8459994936507</v>
      </c>
      <c r="W51" s="140">
        <f t="shared" si="10"/>
        <v>8868.421276751782</v>
      </c>
      <c r="X51" s="140">
        <f t="shared" si="3"/>
        <v>3150647.107095852</v>
      </c>
      <c r="Y51" s="140">
        <f t="shared" si="4"/>
        <v>715813.11342324154</v>
      </c>
      <c r="Z51" s="123">
        <f>IF((SUM(X51:Y51))&lt;(AVERAGE('Elementary Size Adjustment'!$B$66,'Secondary Size Adjustment'!$B$66)),(AVERAGE('Elementary Size Adjustment'!$B$66,'Secondary Size Adjustment'!$B$66)),SUM(X51:Y51))</f>
        <v>3866460.2205190938</v>
      </c>
      <c r="AA51" s="137">
        <f>'Model Data Inputs'!$B$71*S51*L51</f>
        <v>82836.326666666675</v>
      </c>
      <c r="AB51" s="137">
        <f>L51*'Model Data Inputs'!$B$72</f>
        <v>10899.516666666668</v>
      </c>
      <c r="AC51" s="137">
        <f>L51*'Model Data Inputs'!$B$73</f>
        <v>108995.16666666667</v>
      </c>
      <c r="AD51" s="137">
        <f>L51*'Model Data Inputs'!$B$74</f>
        <v>54497.583333333336</v>
      </c>
      <c r="AE51" s="137">
        <f>$I51*'Model Data Inputs'!$B$76</f>
        <v>10371.98006</v>
      </c>
      <c r="AF51" s="137">
        <f>VLOOKUP($J51,'Student Activities MS&amp;HS Tables'!$M$7:$O$1267,3)</f>
        <v>0</v>
      </c>
      <c r="AG51" s="137">
        <f>VLOOKUP($K51,'Student Activities MS&amp;HS Tables'!$I$7:$K$3007,3)</f>
        <v>0</v>
      </c>
      <c r="AH51" s="137">
        <f t="shared" si="5"/>
        <v>10371.98006</v>
      </c>
      <c r="AI51" s="123">
        <f t="shared" si="11"/>
        <v>4134060.793912427</v>
      </c>
      <c r="AJ51" s="123">
        <f>(('Model Data Inputs'!$B$90*(('Model Data Inputs'!$B$87*('School Level Inst. Resources'!I51/'School Level Inst. Resources'!L51))+('Model Data Inputs'!$C$87*(SUM('School Level Inst. Resources'!J51:K51)/'School Level Inst. Resources'!L51))))*T51*M51)</f>
        <v>305546.533125741</v>
      </c>
      <c r="AK51" s="123">
        <f>(('Model Data Inputs'!$B$91*(('Model Data Inputs'!$B$87*('School Level Inst. Resources'!I51/'School Level Inst. Resources'!L51))+('Model Data Inputs'!$C$87*(SUM('School Level Inst. Resources'!J51:K51)/'School Level Inst. Resources'!L51))))*T51*N51)</f>
        <v>11316.538263916333</v>
      </c>
      <c r="AL51" s="137">
        <f>(K51*'Model Data Inputs'!$B$94)*T51</f>
        <v>0</v>
      </c>
      <c r="AM51" s="137">
        <f>K51*'Model Data Inputs'!$B$95</f>
        <v>0</v>
      </c>
      <c r="AN51" s="137">
        <f t="shared" si="12"/>
        <v>0</v>
      </c>
      <c r="AO51" s="137">
        <f>('School Level Inst. Resources'!K51*'Model Data Inputs'!$B$96)+('School Level Inst. Resources'!J51*'Model Data Inputs'!$B$97)</f>
        <v>0</v>
      </c>
      <c r="AP51" s="137">
        <f>$L51*'Model Data Inputs'!$B$100</f>
        <v>17439.226666666669</v>
      </c>
      <c r="AQ51" s="137">
        <f t="shared" si="13"/>
        <v>4468363.0919687506</v>
      </c>
      <c r="AR51" s="141">
        <f t="shared" si="6"/>
        <v>10248.99366784326</v>
      </c>
    </row>
    <row r="52" spans="1:44" s="40" customFormat="1" ht="12.75" customHeight="1" x14ac:dyDescent="0.2">
      <c r="A52" s="20" t="s">
        <v>24</v>
      </c>
      <c r="B52" s="20" t="s">
        <v>25</v>
      </c>
      <c r="C52" s="20" t="s">
        <v>453</v>
      </c>
      <c r="D52" s="20" t="s">
        <v>454</v>
      </c>
      <c r="E52" s="138" t="s">
        <v>357</v>
      </c>
      <c r="F52" s="138" t="str">
        <f>IF(AND(SUM('School Level ADM'!$F52:$J52)=0,SUM('School Level ADM'!$O52:$R52)=0,'School Level ADM'!$K52&gt;0,'School Level ADM'!$N52&gt;0),"T","F")</f>
        <v>F</v>
      </c>
      <c r="G52" s="138" t="str">
        <f>IF(AND(SUM('School Level ADM'!$M52:$R52)=0,'School Level ADM'!$L52&gt;0),"T","F")</f>
        <v>T</v>
      </c>
      <c r="H52" s="138" t="str">
        <f t="shared" si="0"/>
        <v>E</v>
      </c>
      <c r="I52" s="139">
        <f>IF($F52="T",SUM('School Level ADM'!$F52:$J52),IF($G52="T",SUM('School Level ADM'!$F52:$L52),SUM('School Level ADM'!$F52:$K52,0)))</f>
        <v>440.952</v>
      </c>
      <c r="J52" s="139">
        <f>'School Level ADM'!$S52-$I52-$K52</f>
        <v>0</v>
      </c>
      <c r="K52" s="139">
        <f>IF(SUM('School Level ADM'!$N52:$R52)='School Level ADM'!$S52,SUM('School Level ADM'!$N52:$R52),IF(OR(SUM('School Level ADM'!$F52:$O52)='School Level ADM'!$S52,SUM('School Level ADM'!$G52:$O52)='School Level ADM'!$S52,SUM('School Level ADM'!$H52:$O52)='School Level ADM'!$S52,SUM('School Level ADM'!$I52:$O52)='School Level ADM'!$S52,SUM('School Level ADM'!$J52:$O52)='School Level ADM'!$S52,SUM('School Level ADM'!$K52:$O52)='School Level ADM'!$S52,SUM('School Level ADM'!$L52:$O52)='School Level ADM'!$S52,SUM('School Level ADM'!$M52:$O52)='School Level ADM'!$S52,SUM('School Level ADM'!$N52:$O52)='School Level ADM'!$S52),0,SUM('School Level ADM'!$O52:$R52)))</f>
        <v>0</v>
      </c>
      <c r="L52" s="139">
        <f t="shared" si="1"/>
        <v>440.952</v>
      </c>
      <c r="M52" s="24">
        <f>'Student At-Risk and ELL Proxy'!S52</f>
        <v>122</v>
      </c>
      <c r="N52" s="24">
        <f>'Student At-Risk and ELL Proxy'!AH52</f>
        <v>15</v>
      </c>
      <c r="O52" s="136">
        <f t="shared" si="7"/>
        <v>0.97</v>
      </c>
      <c r="P52" s="136" t="str">
        <f t="shared" si="8"/>
        <v/>
      </c>
      <c r="Q52" s="136" t="str">
        <f t="shared" si="9"/>
        <v/>
      </c>
      <c r="R52" s="136">
        <f t="shared" si="2"/>
        <v>0.97</v>
      </c>
      <c r="S52" s="136">
        <f>IF(SUM(3515.4*((VLOOKUP($A52,'District Level ADM'!$A$4:$F$52,6,FALSE))^-0.327)/'Model Data Inputs'!$B$71)&lt;1,1,(3515.4*((VLOOKUP($A52,'District Level ADM'!$A$4:$F$52,6,FALSE))^-0.327)/'Model Data Inputs'!$B$71))</f>
        <v>1</v>
      </c>
      <c r="T52" s="136">
        <f>VLOOKUP($A52,'Regional Cost Adjustment'!$A$4:$C$52,3,FALSE)</f>
        <v>1.17</v>
      </c>
      <c r="U52" s="123">
        <f>((($I52/$L52)*'Model Data Inputs'!$B$85)+((SUM(J52:K52)/$L52)*'Model Data Inputs'!$C$85))*$R52*$T52</f>
        <v>7226.5752772581318</v>
      </c>
      <c r="V52" s="140">
        <f>((($I52/$L52)*'Model Data Inputs'!$B$86)+((SUM(J52:K52)/$L52)*'Model Data Inputs'!$C$86))*$R52</f>
        <v>1641.8459994936507</v>
      </c>
      <c r="W52" s="140">
        <f t="shared" si="10"/>
        <v>8868.421276751782</v>
      </c>
      <c r="X52" s="140">
        <f t="shared" si="3"/>
        <v>3186572.8216575277</v>
      </c>
      <c r="Y52" s="140">
        <f t="shared" si="4"/>
        <v>723975.27716872422</v>
      </c>
      <c r="Z52" s="123">
        <f>IF((SUM(X52:Y52))&lt;(AVERAGE('Elementary Size Adjustment'!$B$66,'Secondary Size Adjustment'!$B$66)),(AVERAGE('Elementary Size Adjustment'!$B$66,'Secondary Size Adjustment'!$B$66)),SUM(X52:Y52))</f>
        <v>3910548.0988262519</v>
      </c>
      <c r="AA52" s="137">
        <f>'Model Data Inputs'!$B$71*S52*L52</f>
        <v>83780.88</v>
      </c>
      <c r="AB52" s="137">
        <f>L52*'Model Data Inputs'!$B$72</f>
        <v>11023.8</v>
      </c>
      <c r="AC52" s="137">
        <f>L52*'Model Data Inputs'!$B$73</f>
        <v>110238</v>
      </c>
      <c r="AD52" s="137">
        <f>L52*'Model Data Inputs'!$B$74</f>
        <v>55119</v>
      </c>
      <c r="AE52" s="137">
        <f>$I52*'Model Data Inputs'!$B$76</f>
        <v>10490.248079999999</v>
      </c>
      <c r="AF52" s="137">
        <f>VLOOKUP($J52,'Student Activities MS&amp;HS Tables'!$M$7:$O$1267,3)</f>
        <v>0</v>
      </c>
      <c r="AG52" s="137">
        <f>VLOOKUP($K52,'Student Activities MS&amp;HS Tables'!$I$7:$K$3007,3)</f>
        <v>0</v>
      </c>
      <c r="AH52" s="137">
        <f t="shared" si="5"/>
        <v>10490.248079999999</v>
      </c>
      <c r="AI52" s="123">
        <f t="shared" si="11"/>
        <v>4181200.0269062514</v>
      </c>
      <c r="AJ52" s="123">
        <f>(('Model Data Inputs'!$B$90*(('Model Data Inputs'!$B$87*('School Level Inst. Resources'!I52/'School Level Inst. Resources'!L52))+('Model Data Inputs'!$C$87*(SUM('School Level Inst. Resources'!J52:K52)/'School Level Inst. Resources'!L52))))*T52*M52)</f>
        <v>345154.41704944812</v>
      </c>
      <c r="AK52" s="123">
        <f>(('Model Data Inputs'!$B$91*(('Model Data Inputs'!$B$87*('School Level Inst. Resources'!I52/'School Level Inst. Resources'!L52))+('Model Data Inputs'!$C$87*(SUM('School Level Inst. Resources'!J52:K52)/'School Level Inst. Resources'!L52))))*T52*N52)</f>
        <v>42437.018489686248</v>
      </c>
      <c r="AL52" s="137">
        <f>(K52*'Model Data Inputs'!$B$94)*T52</f>
        <v>0</v>
      </c>
      <c r="AM52" s="137">
        <f>K52*'Model Data Inputs'!$B$95</f>
        <v>0</v>
      </c>
      <c r="AN52" s="137">
        <f t="shared" si="12"/>
        <v>0</v>
      </c>
      <c r="AO52" s="137">
        <f>('School Level Inst. Resources'!K52*'Model Data Inputs'!$B$96)+('School Level Inst. Resources'!J52*'Model Data Inputs'!$B$97)</f>
        <v>0</v>
      </c>
      <c r="AP52" s="137">
        <f>$L52*'Model Data Inputs'!$B$100</f>
        <v>17638.080000000002</v>
      </c>
      <c r="AQ52" s="137">
        <f t="shared" si="13"/>
        <v>4586429.5424453858</v>
      </c>
      <c r="AR52" s="141">
        <f t="shared" si="6"/>
        <v>10401.199092974713</v>
      </c>
    </row>
    <row r="53" spans="1:44" s="40" customFormat="1" ht="12.75" customHeight="1" x14ac:dyDescent="0.2">
      <c r="A53" s="20" t="s">
        <v>24</v>
      </c>
      <c r="B53" s="20" t="s">
        <v>25</v>
      </c>
      <c r="C53" s="20" t="s">
        <v>455</v>
      </c>
      <c r="D53" s="20" t="s">
        <v>456</v>
      </c>
      <c r="E53" s="138" t="s">
        <v>362</v>
      </c>
      <c r="F53" s="138" t="str">
        <f>IF(AND(SUM('School Level ADM'!$F53:$J53)=0,SUM('School Level ADM'!$O53:$R53)=0,'School Level ADM'!$K53&gt;0,'School Level ADM'!$N53&gt;0),"T","F")</f>
        <v>F</v>
      </c>
      <c r="G53" s="138" t="str">
        <f>IF(AND(SUM('School Level ADM'!$M53:$R53)=0,'School Level ADM'!$L53&gt;0),"T","F")</f>
        <v>T</v>
      </c>
      <c r="H53" s="138" t="str">
        <f t="shared" si="0"/>
        <v>E</v>
      </c>
      <c r="I53" s="139">
        <f>IF($F53="T",SUM('School Level ADM'!$F53:$J53),IF($G53="T",SUM('School Level ADM'!$F53:$L53),SUM('School Level ADM'!$F53:$K53,0)))</f>
        <v>171.29766666666669</v>
      </c>
      <c r="J53" s="139">
        <f>'School Level ADM'!$S53-$I53-$K53</f>
        <v>0</v>
      </c>
      <c r="K53" s="139">
        <f>IF(SUM('School Level ADM'!$N53:$R53)='School Level ADM'!$S53,SUM('School Level ADM'!$N53:$R53),IF(OR(SUM('School Level ADM'!$F53:$O53)='School Level ADM'!$S53,SUM('School Level ADM'!$G53:$O53)='School Level ADM'!$S53,SUM('School Level ADM'!$H53:$O53)='School Level ADM'!$S53,SUM('School Level ADM'!$I53:$O53)='School Level ADM'!$S53,SUM('School Level ADM'!$J53:$O53)='School Level ADM'!$S53,SUM('School Level ADM'!$K53:$O53)='School Level ADM'!$S53,SUM('School Level ADM'!$L53:$O53)='School Level ADM'!$S53,SUM('School Level ADM'!$M53:$O53)='School Level ADM'!$S53,SUM('School Level ADM'!$N53:$O53)='School Level ADM'!$S53),0,SUM('School Level ADM'!$O53:$R53)))</f>
        <v>0</v>
      </c>
      <c r="L53" s="139">
        <f t="shared" si="1"/>
        <v>171.29766666666669</v>
      </c>
      <c r="M53" s="24">
        <f>'Student At-Risk and ELL Proxy'!S53</f>
        <v>82</v>
      </c>
      <c r="N53" s="24">
        <f>'Student At-Risk and ELL Proxy'!AH53</f>
        <v>15</v>
      </c>
      <c r="O53" s="136">
        <f t="shared" si="7"/>
        <v>1.2405173267347578</v>
      </c>
      <c r="P53" s="136" t="str">
        <f t="shared" si="8"/>
        <v/>
      </c>
      <c r="Q53" s="136" t="str">
        <f t="shared" si="9"/>
        <v/>
      </c>
      <c r="R53" s="136">
        <f t="shared" si="2"/>
        <v>1.2405173267347578</v>
      </c>
      <c r="S53" s="136">
        <f>IF(SUM(3515.4*((VLOOKUP($A53,'District Level ADM'!$A$4:$F$52,6,FALSE))^-0.327)/'Model Data Inputs'!$B$71)&lt;1,1,(3515.4*((VLOOKUP($A53,'District Level ADM'!$A$4:$F$52,6,FALSE))^-0.327)/'Model Data Inputs'!$B$71))</f>
        <v>1</v>
      </c>
      <c r="T53" s="136">
        <f>VLOOKUP($A53,'Regional Cost Adjustment'!$A$4:$C$52,3,FALSE)</f>
        <v>1.17</v>
      </c>
      <c r="U53" s="123">
        <f>((($I53/$L53)*'Model Data Inputs'!$B$85)+((SUM(J53:K53)/$L53)*'Model Data Inputs'!$C$85))*$R53*$T53</f>
        <v>9241.95035504304</v>
      </c>
      <c r="V53" s="140">
        <f>((($I53/$L53)*'Model Data Inputs'!$B$86)+((SUM(J53:K53)/$L53)*'Model Data Inputs'!$C$86))*$R53</f>
        <v>2099.7303197958968</v>
      </c>
      <c r="W53" s="140">
        <f t="shared" si="10"/>
        <v>11341.680674838937</v>
      </c>
      <c r="X53" s="140">
        <f t="shared" si="3"/>
        <v>1583124.5312680444</v>
      </c>
      <c r="Y53" s="140">
        <f t="shared" si="4"/>
        <v>359678.90441029094</v>
      </c>
      <c r="Z53" s="123">
        <f>IF((SUM(X53:Y53))&lt;(AVERAGE('Elementary Size Adjustment'!$B$66,'Secondary Size Adjustment'!$B$66)),(AVERAGE('Elementary Size Adjustment'!$B$66,'Secondary Size Adjustment'!$B$66)),SUM(X53:Y53))</f>
        <v>1942803.4356783354</v>
      </c>
      <c r="AA53" s="137">
        <f>'Model Data Inputs'!$B$71*S53*L53</f>
        <v>32546.556666666671</v>
      </c>
      <c r="AB53" s="137">
        <f>L53*'Model Data Inputs'!$B$72</f>
        <v>4282.4416666666675</v>
      </c>
      <c r="AC53" s="137">
        <f>L53*'Model Data Inputs'!$B$73</f>
        <v>42824.416666666672</v>
      </c>
      <c r="AD53" s="137">
        <f>L53*'Model Data Inputs'!$B$74</f>
        <v>21412.208333333336</v>
      </c>
      <c r="AE53" s="137">
        <f>$I53*'Model Data Inputs'!$B$76</f>
        <v>4075.1714900000002</v>
      </c>
      <c r="AF53" s="137">
        <f>VLOOKUP($J53,'Student Activities MS&amp;HS Tables'!$M$7:$O$1267,3)</f>
        <v>0</v>
      </c>
      <c r="AG53" s="137">
        <f>VLOOKUP($K53,'Student Activities MS&amp;HS Tables'!$I$7:$K$3007,3)</f>
        <v>0</v>
      </c>
      <c r="AH53" s="137">
        <f t="shared" si="5"/>
        <v>4075.1714900000002</v>
      </c>
      <c r="AI53" s="123">
        <f t="shared" si="11"/>
        <v>2047944.2305016688</v>
      </c>
      <c r="AJ53" s="123">
        <f>(('Model Data Inputs'!$B$90*(('Model Data Inputs'!$B$87*('School Level Inst. Resources'!I53/'School Level Inst. Resources'!L53))+('Model Data Inputs'!$C$87*(SUM('School Level Inst. Resources'!J53:K53)/'School Level Inst. Resources'!L53))))*T53*M53)</f>
        <v>231989.03441028483</v>
      </c>
      <c r="AK53" s="123">
        <f>(('Model Data Inputs'!$B$91*(('Model Data Inputs'!$B$87*('School Level Inst. Resources'!I53/'School Level Inst. Resources'!L53))+('Model Data Inputs'!$C$87*(SUM('School Level Inst. Resources'!J53:K53)/'School Level Inst. Resources'!L53))))*T53*N53)</f>
        <v>42437.018489686248</v>
      </c>
      <c r="AL53" s="137">
        <f>(K53*'Model Data Inputs'!$B$94)*T53</f>
        <v>0</v>
      </c>
      <c r="AM53" s="137">
        <f>K53*'Model Data Inputs'!$B$95</f>
        <v>0</v>
      </c>
      <c r="AN53" s="137">
        <f t="shared" si="12"/>
        <v>0</v>
      </c>
      <c r="AO53" s="137">
        <f>('School Level Inst. Resources'!K53*'Model Data Inputs'!$B$96)+('School Level Inst. Resources'!J53*'Model Data Inputs'!$B$97)</f>
        <v>0</v>
      </c>
      <c r="AP53" s="137">
        <f>$L53*'Model Data Inputs'!$B$100</f>
        <v>6851.9066666666677</v>
      </c>
      <c r="AQ53" s="137">
        <f t="shared" si="13"/>
        <v>2329222.1900683064</v>
      </c>
      <c r="AR53" s="141">
        <f t="shared" si="6"/>
        <v>13597.512653811043</v>
      </c>
    </row>
    <row r="54" spans="1:44" s="40" customFormat="1" ht="12.75" customHeight="1" x14ac:dyDescent="0.2">
      <c r="A54" s="20" t="s">
        <v>24</v>
      </c>
      <c r="B54" s="20" t="s">
        <v>25</v>
      </c>
      <c r="C54" s="20" t="s">
        <v>457</v>
      </c>
      <c r="D54" s="20" t="s">
        <v>458</v>
      </c>
      <c r="E54" s="138" t="s">
        <v>386</v>
      </c>
      <c r="F54" s="138" t="str">
        <f>IF(AND(SUM('School Level ADM'!$F54:$J54)=0,SUM('School Level ADM'!$O54:$R54)=0,'School Level ADM'!$K54&gt;0,'School Level ADM'!$N54&gt;0),"T","F")</f>
        <v>F</v>
      </c>
      <c r="G54" s="138" t="str">
        <f>IF(AND(SUM('School Level ADM'!$M54:$R54)=0,'School Level ADM'!$L54&gt;0),"T","F")</f>
        <v>F</v>
      </c>
      <c r="H54" s="138" t="str">
        <f t="shared" si="0"/>
        <v>M</v>
      </c>
      <c r="I54" s="139">
        <f>IF($F54="T",SUM('School Level ADM'!$F54:$J54),IF($G54="T",SUM('School Level ADM'!$F54:$L54),SUM('School Level ADM'!$F54:$K54,0)))</f>
        <v>0</v>
      </c>
      <c r="J54" s="139">
        <f>'School Level ADM'!$S54-$I54-$K54</f>
        <v>583.08966666666663</v>
      </c>
      <c r="K54" s="139">
        <f>IF(SUM('School Level ADM'!$N54:$R54)='School Level ADM'!$S54,SUM('School Level ADM'!$N54:$R54),IF(OR(SUM('School Level ADM'!$F54:$O54)='School Level ADM'!$S54,SUM('School Level ADM'!$G54:$O54)='School Level ADM'!$S54,SUM('School Level ADM'!$H54:$O54)='School Level ADM'!$S54,SUM('School Level ADM'!$I54:$O54)='School Level ADM'!$S54,SUM('School Level ADM'!$J54:$O54)='School Level ADM'!$S54,SUM('School Level ADM'!$K54:$O54)='School Level ADM'!$S54,SUM('School Level ADM'!$L54:$O54)='School Level ADM'!$S54,SUM('School Level ADM'!$M54:$O54)='School Level ADM'!$S54,SUM('School Level ADM'!$N54:$O54)='School Level ADM'!$S54),0,SUM('School Level ADM'!$O54:$R54)))</f>
        <v>0</v>
      </c>
      <c r="L54" s="139">
        <f t="shared" si="1"/>
        <v>583.08966666666663</v>
      </c>
      <c r="M54" s="24">
        <f>'Student At-Risk and ELL Proxy'!S54</f>
        <v>304</v>
      </c>
      <c r="N54" s="24">
        <f>'Student At-Risk and ELL Proxy'!AH54</f>
        <v>24</v>
      </c>
      <c r="O54" s="136" t="str">
        <f t="shared" si="7"/>
        <v/>
      </c>
      <c r="P54" s="136">
        <f t="shared" si="8"/>
        <v>0.97617928652176655</v>
      </c>
      <c r="Q54" s="136" t="str">
        <f t="shared" si="9"/>
        <v/>
      </c>
      <c r="R54" s="136">
        <f t="shared" si="2"/>
        <v>0.97617928652176655</v>
      </c>
      <c r="S54" s="136">
        <f>IF(SUM(3515.4*((VLOOKUP($A54,'District Level ADM'!$A$4:$F$52,6,FALSE))^-0.327)/'Model Data Inputs'!$B$71)&lt;1,1,(3515.4*((VLOOKUP($A54,'District Level ADM'!$A$4:$F$52,6,FALSE))^-0.327)/'Model Data Inputs'!$B$71))</f>
        <v>1</v>
      </c>
      <c r="T54" s="136">
        <f>VLOOKUP($A54,'Regional Cost Adjustment'!$A$4:$C$52,3,FALSE)</f>
        <v>1.17</v>
      </c>
      <c r="U54" s="123">
        <f>((($I54/$L54)*'Model Data Inputs'!$B$85)+((SUM(J54:K54)/$L54)*'Model Data Inputs'!$C$85))*$R54*$T54</f>
        <v>6147.8440958535894</v>
      </c>
      <c r="V54" s="140">
        <f>((($I54/$L54)*'Model Data Inputs'!$B$86)+((SUM(J54:K54)/$L54)*'Model Data Inputs'!$C$86))*$R54</f>
        <v>1398.9701179111614</v>
      </c>
      <c r="W54" s="140">
        <f t="shared" si="10"/>
        <v>7546.814213764751</v>
      </c>
      <c r="X54" s="140">
        <f t="shared" si="3"/>
        <v>3584744.3645699038</v>
      </c>
      <c r="Y54" s="140">
        <f t="shared" si="4"/>
        <v>815725.01972944639</v>
      </c>
      <c r="Z54" s="123">
        <f>IF((SUM(X54:Y54))&lt;(AVERAGE('Elementary Size Adjustment'!$B$66,'Secondary Size Adjustment'!$B$66)),(AVERAGE('Elementary Size Adjustment'!$B$66,'Secondary Size Adjustment'!$B$66)),SUM(X54:Y54))</f>
        <v>4400469.38429935</v>
      </c>
      <c r="AA54" s="137">
        <f>'Model Data Inputs'!$B$71*S54*L54</f>
        <v>110787.03666666667</v>
      </c>
      <c r="AB54" s="137">
        <f>L54*'Model Data Inputs'!$B$72</f>
        <v>14577.241666666665</v>
      </c>
      <c r="AC54" s="137">
        <f>L54*'Model Data Inputs'!$B$73</f>
        <v>145772.41666666666</v>
      </c>
      <c r="AD54" s="137">
        <f>L54*'Model Data Inputs'!$B$74</f>
        <v>72886.208333333328</v>
      </c>
      <c r="AE54" s="137">
        <f>$I54*'Model Data Inputs'!$B$76</f>
        <v>0</v>
      </c>
      <c r="AF54" s="137">
        <f>VLOOKUP($J54,'Student Activities MS&amp;HS Tables'!$M$7:$O$1267,3)</f>
        <v>155643.51</v>
      </c>
      <c r="AG54" s="137">
        <f>VLOOKUP($K54,'Student Activities MS&amp;HS Tables'!$I$7:$K$3007,3)</f>
        <v>0</v>
      </c>
      <c r="AH54" s="137">
        <f t="shared" si="5"/>
        <v>155643.51</v>
      </c>
      <c r="AI54" s="123">
        <f t="shared" si="11"/>
        <v>4900135.7976326831</v>
      </c>
      <c r="AJ54" s="123">
        <f>(('Model Data Inputs'!$B$90*(('Model Data Inputs'!$B$87*('School Level Inst. Resources'!I54/'School Level Inst. Resources'!L54))+('Model Data Inputs'!$C$87*(SUM('School Level Inst. Resources'!J54:K54)/'School Level Inst. Resources'!L54))))*T54*M54)</f>
        <v>727283.50089572358</v>
      </c>
      <c r="AK54" s="123">
        <f>(('Model Data Inputs'!$B$91*(('Model Data Inputs'!$B$87*('School Level Inst. Resources'!I54/'School Level Inst. Resources'!L54))+('Model Data Inputs'!$C$87*(SUM('School Level Inst. Resources'!J54:K54)/'School Level Inst. Resources'!L54))))*T54*N54)</f>
        <v>57417.118491767644</v>
      </c>
      <c r="AL54" s="137">
        <f>(K54*'Model Data Inputs'!$B$94)*T54</f>
        <v>0</v>
      </c>
      <c r="AM54" s="137">
        <f>K54*'Model Data Inputs'!$B$95</f>
        <v>0</v>
      </c>
      <c r="AN54" s="137">
        <f t="shared" si="12"/>
        <v>0</v>
      </c>
      <c r="AO54" s="137">
        <f>('School Level Inst. Resources'!K54*'Model Data Inputs'!$B$96)+('School Level Inst. Resources'!J54*'Model Data Inputs'!$B$97)</f>
        <v>14577.241666666665</v>
      </c>
      <c r="AP54" s="137">
        <f>$L54*'Model Data Inputs'!$B$100</f>
        <v>23323.586666666666</v>
      </c>
      <c r="AQ54" s="137">
        <f t="shared" si="13"/>
        <v>5722737.2453535078</v>
      </c>
      <c r="AR54" s="141">
        <f t="shared" si="6"/>
        <v>9814.5063658365434</v>
      </c>
    </row>
    <row r="55" spans="1:44" s="40" customFormat="1" ht="12.75" customHeight="1" x14ac:dyDescent="0.2">
      <c r="A55" s="20" t="s">
        <v>24</v>
      </c>
      <c r="B55" s="20" t="s">
        <v>25</v>
      </c>
      <c r="C55" s="20" t="s">
        <v>459</v>
      </c>
      <c r="D55" s="20" t="s">
        <v>460</v>
      </c>
      <c r="E55" s="138" t="s">
        <v>386</v>
      </c>
      <c r="F55" s="138" t="str">
        <f>IF(AND(SUM('School Level ADM'!$F55:$J55)=0,SUM('School Level ADM'!$O55:$R55)=0,'School Level ADM'!$K55&gt;0,'School Level ADM'!$N55&gt;0),"T","F")</f>
        <v>F</v>
      </c>
      <c r="G55" s="138" t="str">
        <f>IF(AND(SUM('School Level ADM'!$M55:$R55)=0,'School Level ADM'!$L55&gt;0),"T","F")</f>
        <v>F</v>
      </c>
      <c r="H55" s="138" t="str">
        <f t="shared" si="0"/>
        <v>M</v>
      </c>
      <c r="I55" s="139">
        <f>IF($F55="T",SUM('School Level ADM'!$F55:$J55),IF($G55="T",SUM('School Level ADM'!$F55:$L55),SUM('School Level ADM'!$F55:$K55,0)))</f>
        <v>0</v>
      </c>
      <c r="J55" s="139">
        <f>'School Level ADM'!$S55-$I55-$K55</f>
        <v>634.50166666666667</v>
      </c>
      <c r="K55" s="139">
        <f>IF(SUM('School Level ADM'!$N55:$R55)='School Level ADM'!$S55,SUM('School Level ADM'!$N55:$R55),IF(OR(SUM('School Level ADM'!$F55:$O55)='School Level ADM'!$S55,SUM('School Level ADM'!$G55:$O55)='School Level ADM'!$S55,SUM('School Level ADM'!$H55:$O55)='School Level ADM'!$S55,SUM('School Level ADM'!$I55:$O55)='School Level ADM'!$S55,SUM('School Level ADM'!$J55:$O55)='School Level ADM'!$S55,SUM('School Level ADM'!$K55:$O55)='School Level ADM'!$S55,SUM('School Level ADM'!$L55:$O55)='School Level ADM'!$S55,SUM('School Level ADM'!$M55:$O55)='School Level ADM'!$S55,SUM('School Level ADM'!$N55:$O55)='School Level ADM'!$S55),0,SUM('School Level ADM'!$O55:$R55)))</f>
        <v>0</v>
      </c>
      <c r="L55" s="139">
        <f t="shared" si="1"/>
        <v>634.50166666666667</v>
      </c>
      <c r="M55" s="24">
        <f>'Student At-Risk and ELL Proxy'!S55</f>
        <v>187</v>
      </c>
      <c r="N55" s="24">
        <f>'Student At-Risk and ELL Proxy'!AH55</f>
        <v>9</v>
      </c>
      <c r="O55" s="136" t="str">
        <f t="shared" si="7"/>
        <v/>
      </c>
      <c r="P55" s="136">
        <f t="shared" si="8"/>
        <v>0.97</v>
      </c>
      <c r="Q55" s="136" t="str">
        <f t="shared" si="9"/>
        <v/>
      </c>
      <c r="R55" s="136">
        <f t="shared" si="2"/>
        <v>0.97</v>
      </c>
      <c r="S55" s="136">
        <f>IF(SUM(3515.4*((VLOOKUP($A55,'District Level ADM'!$A$4:$F$52,6,FALSE))^-0.327)/'Model Data Inputs'!$B$71)&lt;1,1,(3515.4*((VLOOKUP($A55,'District Level ADM'!$A$4:$F$52,6,FALSE))^-0.327)/'Model Data Inputs'!$B$71))</f>
        <v>1</v>
      </c>
      <c r="T55" s="136">
        <f>VLOOKUP($A55,'Regional Cost Adjustment'!$A$4:$C$52,3,FALSE)</f>
        <v>1.17</v>
      </c>
      <c r="U55" s="123">
        <f>((($I55/$L55)*'Model Data Inputs'!$B$85)+((SUM(J55:K55)/$L55)*'Model Data Inputs'!$C$85))*$R55*$T55</f>
        <v>6108.9277915599478</v>
      </c>
      <c r="V55" s="140">
        <f>((($I55/$L55)*'Model Data Inputs'!$B$86)+((SUM(J55:K55)/$L55)*'Model Data Inputs'!$C$86))*$R55</f>
        <v>1390.1145343996893</v>
      </c>
      <c r="W55" s="140">
        <f t="shared" si="10"/>
        <v>7499.0423259596373</v>
      </c>
      <c r="X55" s="140">
        <f t="shared" si="3"/>
        <v>3876124.865291106</v>
      </c>
      <c r="Y55" s="140">
        <f t="shared" si="4"/>
        <v>882029.98893416021</v>
      </c>
      <c r="Z55" s="123">
        <f>IF((SUM(X55:Y55))&lt;(AVERAGE('Elementary Size Adjustment'!$B$66,'Secondary Size Adjustment'!$B$66)),(AVERAGE('Elementary Size Adjustment'!$B$66,'Secondary Size Adjustment'!$B$66)),SUM(X55:Y55))</f>
        <v>4758154.8542252667</v>
      </c>
      <c r="AA55" s="137">
        <f>'Model Data Inputs'!$B$71*S55*L55</f>
        <v>120555.31666666667</v>
      </c>
      <c r="AB55" s="137">
        <f>L55*'Model Data Inputs'!$B$72</f>
        <v>15862.541666666666</v>
      </c>
      <c r="AC55" s="137">
        <f>L55*'Model Data Inputs'!$B$73</f>
        <v>158625.41666666666</v>
      </c>
      <c r="AD55" s="137">
        <f>L55*'Model Data Inputs'!$B$74</f>
        <v>79312.708333333328</v>
      </c>
      <c r="AE55" s="137">
        <f>$I55*'Model Data Inputs'!$B$76</f>
        <v>0</v>
      </c>
      <c r="AF55" s="137">
        <f>VLOOKUP($J55,'Student Activities MS&amp;HS Tables'!$M$7:$O$1267,3)</f>
        <v>165645.18</v>
      </c>
      <c r="AG55" s="137">
        <f>VLOOKUP($K55,'Student Activities MS&amp;HS Tables'!$I$7:$K$3007,3)</f>
        <v>0</v>
      </c>
      <c r="AH55" s="137">
        <f t="shared" si="5"/>
        <v>165645.18</v>
      </c>
      <c r="AI55" s="123">
        <f t="shared" si="11"/>
        <v>5298156.0175585998</v>
      </c>
      <c r="AJ55" s="123">
        <f>(('Model Data Inputs'!$B$90*(('Model Data Inputs'!$B$87*('School Level Inst. Resources'!I55/'School Level Inst. Resources'!L55))+('Model Data Inputs'!$C$87*(SUM('School Level Inst. Resources'!J55:K55)/'School Level Inst. Resources'!L55))))*T55*M55)</f>
        <v>447375.04824835627</v>
      </c>
      <c r="AK55" s="123">
        <f>(('Model Data Inputs'!$B$91*(('Model Data Inputs'!$B$87*('School Level Inst. Resources'!I55/'School Level Inst. Resources'!L55))+('Model Data Inputs'!$C$87*(SUM('School Level Inst. Resources'!J55:K55)/'School Level Inst. Resources'!L55))))*T55*N55)</f>
        <v>21531.419434412866</v>
      </c>
      <c r="AL55" s="137">
        <f>(K55*'Model Data Inputs'!$B$94)*T55</f>
        <v>0</v>
      </c>
      <c r="AM55" s="137">
        <f>K55*'Model Data Inputs'!$B$95</f>
        <v>0</v>
      </c>
      <c r="AN55" s="137">
        <f t="shared" si="12"/>
        <v>0</v>
      </c>
      <c r="AO55" s="137">
        <f>('School Level Inst. Resources'!K55*'Model Data Inputs'!$B$96)+('School Level Inst. Resources'!J55*'Model Data Inputs'!$B$97)</f>
        <v>15862.541666666666</v>
      </c>
      <c r="AP55" s="137">
        <f>$L55*'Model Data Inputs'!$B$100</f>
        <v>25380.066666666666</v>
      </c>
      <c r="AQ55" s="137">
        <f t="shared" si="13"/>
        <v>5808305.0935747027</v>
      </c>
      <c r="AR55" s="141">
        <f t="shared" si="6"/>
        <v>9154.1210980397263</v>
      </c>
    </row>
    <row r="56" spans="1:44" s="40" customFormat="1" ht="12.75" customHeight="1" x14ac:dyDescent="0.2">
      <c r="A56" s="20" t="s">
        <v>24</v>
      </c>
      <c r="B56" s="20" t="s">
        <v>25</v>
      </c>
      <c r="C56" s="20" t="s">
        <v>461</v>
      </c>
      <c r="D56" s="20" t="s">
        <v>462</v>
      </c>
      <c r="E56" s="138" t="s">
        <v>389</v>
      </c>
      <c r="F56" s="138" t="str">
        <f>IF(AND(SUM('School Level ADM'!$F56:$J56)=0,SUM('School Level ADM'!$O56:$R56)=0,'School Level ADM'!$K56&gt;0,'School Level ADM'!$N56&gt;0),"T","F")</f>
        <v>F</v>
      </c>
      <c r="G56" s="138" t="str">
        <f>IF(AND(SUM('School Level ADM'!$M56:$R56)=0,'School Level ADM'!$L56&gt;0),"T","F")</f>
        <v>F</v>
      </c>
      <c r="H56" s="138" t="str">
        <f t="shared" si="0"/>
        <v>H</v>
      </c>
      <c r="I56" s="139">
        <f>IF($F56="T",SUM('School Level ADM'!$F56:$J56),IF($G56="T",SUM('School Level ADM'!$F56:$L56),SUM('School Level ADM'!$F56:$K56,0)))</f>
        <v>0</v>
      </c>
      <c r="J56" s="139">
        <f>'School Level ADM'!$S56-$I56-$K56</f>
        <v>0</v>
      </c>
      <c r="K56" s="139">
        <f>IF(SUM('School Level ADM'!$N56:$R56)='School Level ADM'!$S56,SUM('School Level ADM'!$N56:$R56),IF(OR(SUM('School Level ADM'!$F56:$O56)='School Level ADM'!$S56,SUM('School Level ADM'!$G56:$O56)='School Level ADM'!$S56,SUM('School Level ADM'!$H56:$O56)='School Level ADM'!$S56,SUM('School Level ADM'!$I56:$O56)='School Level ADM'!$S56,SUM('School Level ADM'!$J56:$O56)='School Level ADM'!$S56,SUM('School Level ADM'!$K56:$O56)='School Level ADM'!$S56,SUM('School Level ADM'!$L56:$O56)='School Level ADM'!$S56,SUM('School Level ADM'!$M56:$O56)='School Level ADM'!$S56,SUM('School Level ADM'!$N56:$O56)='School Level ADM'!$S56),0,SUM('School Level ADM'!$O56:$R56)))</f>
        <v>1069.4534999999998</v>
      </c>
      <c r="L56" s="139">
        <f t="shared" si="1"/>
        <v>1069.4534999999998</v>
      </c>
      <c r="M56" s="24">
        <f>'Student At-Risk and ELL Proxy'!S56</f>
        <v>367.5</v>
      </c>
      <c r="N56" s="24">
        <f>'Student At-Risk and ELL Proxy'!AH56</f>
        <v>33.5</v>
      </c>
      <c r="O56" s="136" t="str">
        <f t="shared" si="7"/>
        <v/>
      </c>
      <c r="P56" s="136">
        <f t="shared" si="8"/>
        <v>0.97</v>
      </c>
      <c r="Q56" s="136" t="str">
        <f t="shared" si="9"/>
        <v/>
      </c>
      <c r="R56" s="136">
        <f t="shared" si="2"/>
        <v>0.97</v>
      </c>
      <c r="S56" s="136">
        <f>IF(SUM(3515.4*((VLOOKUP($A56,'District Level ADM'!$A$4:$F$52,6,FALSE))^-0.327)/'Model Data Inputs'!$B$71)&lt;1,1,(3515.4*((VLOOKUP($A56,'District Level ADM'!$A$4:$F$52,6,FALSE))^-0.327)/'Model Data Inputs'!$B$71))</f>
        <v>1</v>
      </c>
      <c r="T56" s="136">
        <f>VLOOKUP($A56,'Regional Cost Adjustment'!$A$4:$C$52,3,FALSE)</f>
        <v>1.17</v>
      </c>
      <c r="U56" s="123">
        <f>((($I56/$L56)*'Model Data Inputs'!$B$85)+((SUM(J56:K56)/$L56)*'Model Data Inputs'!$C$85))*$R56*$T56</f>
        <v>6108.9277915599478</v>
      </c>
      <c r="V56" s="140">
        <f>((($I56/$L56)*'Model Data Inputs'!$B$86)+((SUM(J56:K56)/$L56)*'Model Data Inputs'!$C$86))*$R56</f>
        <v>1390.1145343996893</v>
      </c>
      <c r="W56" s="140">
        <f t="shared" si="10"/>
        <v>7499.0423259596373</v>
      </c>
      <c r="X56" s="140">
        <f t="shared" si="3"/>
        <v>6533214.2079310557</v>
      </c>
      <c r="Y56" s="140">
        <f t="shared" si="4"/>
        <v>1486662.854214618</v>
      </c>
      <c r="Z56" s="123">
        <f>IF((SUM(X56:Y56))&lt;(AVERAGE('Elementary Size Adjustment'!$B$66,'Secondary Size Adjustment'!$B$66)),(AVERAGE('Elementary Size Adjustment'!$B$66,'Secondary Size Adjustment'!$B$66)),SUM(X56:Y56))</f>
        <v>8019877.0621456737</v>
      </c>
      <c r="AA56" s="137">
        <f>'Model Data Inputs'!$B$71*S56*L56</f>
        <v>203196.16499999998</v>
      </c>
      <c r="AB56" s="137">
        <f>L56*'Model Data Inputs'!$B$72</f>
        <v>26736.337499999998</v>
      </c>
      <c r="AC56" s="137">
        <f>L56*'Model Data Inputs'!$B$73</f>
        <v>267363.37499999994</v>
      </c>
      <c r="AD56" s="137">
        <f>L56*'Model Data Inputs'!$B$74</f>
        <v>133681.68749999997</v>
      </c>
      <c r="AE56" s="137">
        <f>$I56*'Model Data Inputs'!$B$76</f>
        <v>0</v>
      </c>
      <c r="AF56" s="137">
        <f>VLOOKUP($J56,'Student Activities MS&amp;HS Tables'!$M$7:$O$1267,3)</f>
        <v>0</v>
      </c>
      <c r="AG56" s="137">
        <f>VLOOKUP($K56,'Student Activities MS&amp;HS Tables'!$I$7:$K$3007,3)</f>
        <v>674164.85</v>
      </c>
      <c r="AH56" s="137">
        <f t="shared" si="5"/>
        <v>674164.85</v>
      </c>
      <c r="AI56" s="123">
        <f t="shared" si="11"/>
        <v>9325019.4771456737</v>
      </c>
      <c r="AJ56" s="123">
        <f>(('Model Data Inputs'!$B$90*(('Model Data Inputs'!$B$87*('School Level Inst. Resources'!I56/'School Level Inst. Resources'!L56))+('Model Data Inputs'!$C$87*(SUM('School Level Inst. Resources'!J56:K56)/'School Level Inst. Resources'!L56))))*T56*M56)</f>
        <v>879199.62690519216</v>
      </c>
      <c r="AK56" s="123">
        <f>(('Model Data Inputs'!$B$91*(('Model Data Inputs'!$B$87*('School Level Inst. Resources'!I56/'School Level Inst. Resources'!L56))+('Model Data Inputs'!$C$87*(SUM('School Level Inst. Resources'!J56:K56)/'School Level Inst. Resources'!L56))))*T56*N56)</f>
        <v>80144.727894759009</v>
      </c>
      <c r="AL56" s="137">
        <f>(K56*'Model Data Inputs'!$B$94)*T56</f>
        <v>206539.77431118619</v>
      </c>
      <c r="AM56" s="137">
        <f>K56*'Model Data Inputs'!$B$95</f>
        <v>44820.60903063749</v>
      </c>
      <c r="AN56" s="137">
        <f t="shared" si="12"/>
        <v>251360.38334182368</v>
      </c>
      <c r="AO56" s="137">
        <f>('School Level Inst. Resources'!K56*'Model Data Inputs'!$B$96)+('School Level Inst. Resources'!J56*'Model Data Inputs'!$B$97)</f>
        <v>106945.34999999999</v>
      </c>
      <c r="AP56" s="137">
        <f>$L56*'Model Data Inputs'!$B$100</f>
        <v>42778.139999999992</v>
      </c>
      <c r="AQ56" s="137">
        <f t="shared" si="13"/>
        <v>10685447.705287447</v>
      </c>
      <c r="AR56" s="141">
        <f t="shared" si="6"/>
        <v>9991.5028613094892</v>
      </c>
    </row>
    <row r="57" spans="1:44" s="40" customFormat="1" ht="12.75" customHeight="1" x14ac:dyDescent="0.2">
      <c r="A57" s="20" t="s">
        <v>24</v>
      </c>
      <c r="B57" s="20" t="s">
        <v>25</v>
      </c>
      <c r="C57" s="20" t="s">
        <v>463</v>
      </c>
      <c r="D57" s="20" t="s">
        <v>464</v>
      </c>
      <c r="E57" s="138" t="s">
        <v>465</v>
      </c>
      <c r="F57" s="138" t="str">
        <f>IF(AND(SUM('School Level ADM'!$F57:$J57)=0,SUM('School Level ADM'!$O57:$R57)=0,'School Level ADM'!$K57&gt;0,'School Level ADM'!$N57&gt;0),"T","F")</f>
        <v>F</v>
      </c>
      <c r="G57" s="138" t="str">
        <f>IF(AND(SUM('School Level ADM'!$M57:$R57)=0,'School Level ADM'!$L57&gt;0),"T","F")</f>
        <v>F</v>
      </c>
      <c r="H57" s="138" t="str">
        <f t="shared" si="0"/>
        <v>H</v>
      </c>
      <c r="I57" s="139">
        <f>IF($F57="T",SUM('School Level ADM'!$F57:$J57),IF($G57="T",SUM('School Level ADM'!$F57:$L57),SUM('School Level ADM'!$F57:$K57,0)))</f>
        <v>0</v>
      </c>
      <c r="J57" s="139">
        <f>'School Level ADM'!$S57-$I57-$K57</f>
        <v>64.537333333333336</v>
      </c>
      <c r="K57" s="139">
        <f>IF(SUM('School Level ADM'!$N57:$R57)='School Level ADM'!$S57,SUM('School Level ADM'!$N57:$R57),IF(OR(SUM('School Level ADM'!$F57:$O57)='School Level ADM'!$S57,SUM('School Level ADM'!$G57:$O57)='School Level ADM'!$S57,SUM('School Level ADM'!$H57:$O57)='School Level ADM'!$S57,SUM('School Level ADM'!$I57:$O57)='School Level ADM'!$S57,SUM('School Level ADM'!$J57:$O57)='School Level ADM'!$S57,SUM('School Level ADM'!$K57:$O57)='School Level ADM'!$S57,SUM('School Level ADM'!$L57:$O57)='School Level ADM'!$S57,SUM('School Level ADM'!$M57:$O57)='School Level ADM'!$S57,SUM('School Level ADM'!$N57:$O57)='School Level ADM'!$S57),0,SUM('School Level ADM'!$O57:$R57)))</f>
        <v>125.24866666666667</v>
      </c>
      <c r="L57" s="139">
        <f t="shared" si="1"/>
        <v>189.786</v>
      </c>
      <c r="M57" s="24">
        <f>'Student At-Risk and ELL Proxy'!S57</f>
        <v>64</v>
      </c>
      <c r="N57" s="24">
        <f>'Student At-Risk and ELL Proxy'!AH57</f>
        <v>11</v>
      </c>
      <c r="O57" s="136" t="str">
        <f t="shared" si="7"/>
        <v/>
      </c>
      <c r="P57" s="136">
        <f t="shared" si="8"/>
        <v>1.4475446538078307</v>
      </c>
      <c r="Q57" s="136" t="str">
        <f t="shared" si="9"/>
        <v/>
      </c>
      <c r="R57" s="136">
        <f t="shared" si="2"/>
        <v>1.4475446538078307</v>
      </c>
      <c r="S57" s="136">
        <f>IF(SUM(3515.4*((VLOOKUP($A57,'District Level ADM'!$A$4:$F$52,6,FALSE))^-0.327)/'Model Data Inputs'!$B$71)&lt;1,1,(3515.4*((VLOOKUP($A57,'District Level ADM'!$A$4:$F$52,6,FALSE))^-0.327)/'Model Data Inputs'!$B$71))</f>
        <v>1</v>
      </c>
      <c r="T57" s="136">
        <f>VLOOKUP($A57,'Regional Cost Adjustment'!$A$4:$C$52,3,FALSE)</f>
        <v>1.17</v>
      </c>
      <c r="U57" s="123">
        <f>((($I57/$L57)*'Model Data Inputs'!$B$85)+((SUM(J57:K57)/$L57)*'Model Data Inputs'!$C$85))*$R57*$T57</f>
        <v>9116.4389331656512</v>
      </c>
      <c r="V57" s="140">
        <f>((($I57/$L57)*'Model Data Inputs'!$B$86)+((SUM(J57:K57)/$L57)*'Model Data Inputs'!$C$86))*$R57</f>
        <v>2074.4874870627136</v>
      </c>
      <c r="W57" s="140">
        <f t="shared" si="10"/>
        <v>11190.926420228365</v>
      </c>
      <c r="X57" s="140">
        <f t="shared" si="3"/>
        <v>1730172.4793697763</v>
      </c>
      <c r="Y57" s="140">
        <f t="shared" si="4"/>
        <v>393708.68221968418</v>
      </c>
      <c r="Z57" s="123">
        <f>IF((SUM(X57:Y57))&lt;(AVERAGE('Elementary Size Adjustment'!$B$66,'Secondary Size Adjustment'!$B$66)),(AVERAGE('Elementary Size Adjustment'!$B$66,'Secondary Size Adjustment'!$B$66)),SUM(X57:Y57))</f>
        <v>2123881.1615894604</v>
      </c>
      <c r="AA57" s="137">
        <f>'Model Data Inputs'!$B$71*S57*L57</f>
        <v>36059.340000000004</v>
      </c>
      <c r="AB57" s="137">
        <f>L57*'Model Data Inputs'!$B$72</f>
        <v>4744.6499999999996</v>
      </c>
      <c r="AC57" s="137">
        <f>L57*'Model Data Inputs'!$B$73</f>
        <v>47446.5</v>
      </c>
      <c r="AD57" s="137">
        <f>L57*'Model Data Inputs'!$B$74</f>
        <v>23723.25</v>
      </c>
      <c r="AE57" s="137">
        <f>$I57*'Model Data Inputs'!$B$76</f>
        <v>0</v>
      </c>
      <c r="AF57" s="137">
        <f>VLOOKUP($J57,'Student Activities MS&amp;HS Tables'!$M$7:$O$1267,3)</f>
        <v>40492.160000000003</v>
      </c>
      <c r="AG57" s="137">
        <f>VLOOKUP($K57,'Student Activities MS&amp;HS Tables'!$I$7:$K$3007,3)</f>
        <v>186177.5</v>
      </c>
      <c r="AH57" s="137">
        <f t="shared" si="5"/>
        <v>226669.66</v>
      </c>
      <c r="AI57" s="123">
        <f t="shared" si="11"/>
        <v>2462524.5615894604</v>
      </c>
      <c r="AJ57" s="123">
        <f>(('Model Data Inputs'!$B$90*(('Model Data Inputs'!$B$87*('School Level Inst. Resources'!I57/'School Level Inst. Resources'!L57))+('Model Data Inputs'!$C$87*(SUM('School Level Inst. Resources'!J57:K57)/'School Level Inst. Resources'!L57))))*T57*M57)</f>
        <v>153112.31597804706</v>
      </c>
      <c r="AK57" s="123">
        <f>(('Model Data Inputs'!$B$91*(('Model Data Inputs'!$B$87*('School Level Inst. Resources'!I57/'School Level Inst. Resources'!L57))+('Model Data Inputs'!$C$87*(SUM('School Level Inst. Resources'!J57:K57)/'School Level Inst. Resources'!L57))))*T57*N57)</f>
        <v>26316.179308726838</v>
      </c>
      <c r="AL57" s="137">
        <f>(K57*'Model Data Inputs'!$B$94)*T57</f>
        <v>24188.832283133703</v>
      </c>
      <c r="AM57" s="137">
        <f>K57*'Model Data Inputs'!$B$95</f>
        <v>5249.149701483333</v>
      </c>
      <c r="AN57" s="137">
        <f t="shared" si="12"/>
        <v>29437.981984617036</v>
      </c>
      <c r="AO57" s="137">
        <f>('School Level Inst. Resources'!K57*'Model Data Inputs'!$B$96)+('School Level Inst. Resources'!J57*'Model Data Inputs'!$B$97)</f>
        <v>14138.3</v>
      </c>
      <c r="AP57" s="137">
        <f>$L57*'Model Data Inputs'!$B$100</f>
        <v>7591.4400000000005</v>
      </c>
      <c r="AQ57" s="137">
        <f t="shared" si="13"/>
        <v>2693120.7788608512</v>
      </c>
      <c r="AR57" s="141">
        <f t="shared" si="6"/>
        <v>14190.302650674186</v>
      </c>
    </row>
    <row r="58" spans="1:44" s="40" customFormat="1" ht="12.75" customHeight="1" x14ac:dyDescent="0.2">
      <c r="A58" s="20" t="s">
        <v>24</v>
      </c>
      <c r="B58" s="20" t="s">
        <v>25</v>
      </c>
      <c r="C58" s="20" t="s">
        <v>466</v>
      </c>
      <c r="D58" s="20" t="s">
        <v>467</v>
      </c>
      <c r="E58" s="138" t="s">
        <v>389</v>
      </c>
      <c r="F58" s="138" t="str">
        <f>IF(AND(SUM('School Level ADM'!$F58:$J58)=0,SUM('School Level ADM'!$O58:$R58)=0,'School Level ADM'!$K58&gt;0,'School Level ADM'!$N58&gt;0),"T","F")</f>
        <v>F</v>
      </c>
      <c r="G58" s="138" t="str">
        <f>IF(AND(SUM('School Level ADM'!$M58:$R58)=0,'School Level ADM'!$L58&gt;0),"T","F")</f>
        <v>F</v>
      </c>
      <c r="H58" s="138" t="str">
        <f t="shared" si="0"/>
        <v>H</v>
      </c>
      <c r="I58" s="139">
        <f>IF($F58="T",SUM('School Level ADM'!$F58:$J58),IF($G58="T",SUM('School Level ADM'!$F58:$L58),SUM('School Level ADM'!$F58:$K58,0)))</f>
        <v>0</v>
      </c>
      <c r="J58" s="139">
        <f>'School Level ADM'!$S58-$I58-$K58</f>
        <v>0</v>
      </c>
      <c r="K58" s="139">
        <f>IF(SUM('School Level ADM'!$N58:$R58)='School Level ADM'!$S58,SUM('School Level ADM'!$N58:$R58),IF(OR(SUM('School Level ADM'!$F58:$O58)='School Level ADM'!$S58,SUM('School Level ADM'!$G58:$O58)='School Level ADM'!$S58,SUM('School Level ADM'!$H58:$O58)='School Level ADM'!$S58,SUM('School Level ADM'!$I58:$O58)='School Level ADM'!$S58,SUM('School Level ADM'!$J58:$O58)='School Level ADM'!$S58,SUM('School Level ADM'!$K58:$O58)='School Level ADM'!$S58,SUM('School Level ADM'!$L58:$O58)='School Level ADM'!$S58,SUM('School Level ADM'!$M58:$O58)='School Level ADM'!$S58,SUM('School Level ADM'!$N58:$O58)='School Level ADM'!$S58),0,SUM('School Level ADM'!$O58:$R58)))</f>
        <v>137.51166666666666</v>
      </c>
      <c r="L58" s="139">
        <f t="shared" si="1"/>
        <v>137.51166666666666</v>
      </c>
      <c r="M58" s="24">
        <f>'Student At-Risk and ELL Proxy'!S58</f>
        <v>159</v>
      </c>
      <c r="N58" s="24">
        <f>'Student At-Risk and ELL Proxy'!AH58</f>
        <v>3</v>
      </c>
      <c r="O58" s="136" t="str">
        <f t="shared" si="7"/>
        <v/>
      </c>
      <c r="P58" s="136">
        <f t="shared" si="8"/>
        <v>1.6208600333020065</v>
      </c>
      <c r="Q58" s="136" t="str">
        <f t="shared" si="9"/>
        <v/>
      </c>
      <c r="R58" s="136">
        <f t="shared" si="2"/>
        <v>1.6208600333020065</v>
      </c>
      <c r="S58" s="136">
        <f>IF(SUM(3515.4*((VLOOKUP($A58,'District Level ADM'!$A$4:$F$52,6,FALSE))^-0.327)/'Model Data Inputs'!$B$71)&lt;1,1,(3515.4*((VLOOKUP($A58,'District Level ADM'!$A$4:$F$52,6,FALSE))^-0.327)/'Model Data Inputs'!$B$71))</f>
        <v>1</v>
      </c>
      <c r="T58" s="136">
        <f>VLOOKUP($A58,'Regional Cost Adjustment'!$A$4:$C$52,3,FALSE)</f>
        <v>1.17</v>
      </c>
      <c r="U58" s="123">
        <f>((($I58/$L58)*'Model Data Inputs'!$B$85)+((SUM(J58:K58)/$L58)*'Model Data Inputs'!$C$85))*$R58*$T58</f>
        <v>10207.955570791146</v>
      </c>
      <c r="V58" s="140">
        <f>((($I58/$L58)*'Model Data Inputs'!$B$86)+((SUM(J58:K58)/$L58)*'Model Data Inputs'!$C$86))*$R58</f>
        <v>2322.8671036295709</v>
      </c>
      <c r="W58" s="140">
        <f t="shared" si="10"/>
        <v>12530.822674420717</v>
      </c>
      <c r="X58" s="140">
        <f t="shared" si="3"/>
        <v>1403712.9837987751</v>
      </c>
      <c r="Y58" s="140">
        <f t="shared" si="4"/>
        <v>319421.32686527498</v>
      </c>
      <c r="Z58" s="123">
        <f>IF((SUM(X58:Y58))&lt;(AVERAGE('Elementary Size Adjustment'!$B$66,'Secondary Size Adjustment'!$B$66)),(AVERAGE('Elementary Size Adjustment'!$B$66,'Secondary Size Adjustment'!$B$66)),SUM(X58:Y58))</f>
        <v>1723134.31066405</v>
      </c>
      <c r="AA58" s="137">
        <f>'Model Data Inputs'!$B$71*S58*L58</f>
        <v>26127.216666666664</v>
      </c>
      <c r="AB58" s="137">
        <f>L58*'Model Data Inputs'!$B$72</f>
        <v>3437.7916666666665</v>
      </c>
      <c r="AC58" s="137">
        <f>L58*'Model Data Inputs'!$B$73</f>
        <v>34377.916666666664</v>
      </c>
      <c r="AD58" s="137">
        <f>L58*'Model Data Inputs'!$B$74</f>
        <v>17188.958333333332</v>
      </c>
      <c r="AE58" s="137">
        <f>$I58*'Model Data Inputs'!$B$76</f>
        <v>0</v>
      </c>
      <c r="AF58" s="137">
        <f>VLOOKUP($J58,'Student Activities MS&amp;HS Tables'!$M$7:$O$1267,3)</f>
        <v>0</v>
      </c>
      <c r="AG58" s="137">
        <f>VLOOKUP($K58,'Student Activities MS&amp;HS Tables'!$I$7:$K$3007,3)</f>
        <v>199395.28</v>
      </c>
      <c r="AH58" s="137">
        <f t="shared" si="5"/>
        <v>199395.28</v>
      </c>
      <c r="AI58" s="123">
        <f t="shared" si="11"/>
        <v>2003661.4739973834</v>
      </c>
      <c r="AJ58" s="123">
        <f>(('Model Data Inputs'!$B$90*(('Model Data Inputs'!$B$87*('School Level Inst. Resources'!I58/'School Level Inst. Resources'!L58))+('Model Data Inputs'!$C$87*(SUM('School Level Inst. Resources'!J58:K58)/'School Level Inst. Resources'!L58))))*T58*M58)</f>
        <v>380388.41000796069</v>
      </c>
      <c r="AK58" s="123">
        <f>(('Model Data Inputs'!$B$91*(('Model Data Inputs'!$B$87*('School Level Inst. Resources'!I58/'School Level Inst. Resources'!L58))+('Model Data Inputs'!$C$87*(SUM('School Level Inst. Resources'!J58:K58)/'School Level Inst. Resources'!L58))))*T58*N58)</f>
        <v>7177.1398114709555</v>
      </c>
      <c r="AL58" s="137">
        <f>(K58*'Model Data Inputs'!$B$94)*T58</f>
        <v>26557.142127720748</v>
      </c>
      <c r="AM58" s="137">
        <f>K58*'Model Data Inputs'!$B$95</f>
        <v>5763.0898854583329</v>
      </c>
      <c r="AN58" s="137">
        <f t="shared" si="12"/>
        <v>32320.23201317908</v>
      </c>
      <c r="AO58" s="137">
        <f>('School Level Inst. Resources'!K58*'Model Data Inputs'!$B$96)+('School Level Inst. Resources'!J58*'Model Data Inputs'!$B$97)</f>
        <v>13751.166666666666</v>
      </c>
      <c r="AP58" s="137">
        <f>$L58*'Model Data Inputs'!$B$100</f>
        <v>5500.4666666666662</v>
      </c>
      <c r="AQ58" s="137">
        <f t="shared" si="13"/>
        <v>2442798.8891633274</v>
      </c>
      <c r="AR58" s="141">
        <f t="shared" si="6"/>
        <v>17764.302828826603</v>
      </c>
    </row>
    <row r="59" spans="1:44" s="40" customFormat="1" ht="12.75" customHeight="1" x14ac:dyDescent="0.2">
      <c r="A59" s="20" t="s">
        <v>24</v>
      </c>
      <c r="B59" s="20" t="s">
        <v>25</v>
      </c>
      <c r="C59" s="20" t="s">
        <v>468</v>
      </c>
      <c r="D59" s="20" t="s">
        <v>469</v>
      </c>
      <c r="E59" s="138" t="s">
        <v>389</v>
      </c>
      <c r="F59" s="138" t="str">
        <f>IF(AND(SUM('School Level ADM'!$F59:$J59)=0,SUM('School Level ADM'!$O59:$R59)=0,'School Level ADM'!$K59&gt;0,'School Level ADM'!$N59&gt;0),"T","F")</f>
        <v>F</v>
      </c>
      <c r="G59" s="138" t="str">
        <f>IF(AND(SUM('School Level ADM'!$M59:$R59)=0,'School Level ADM'!$L59&gt;0),"T","F")</f>
        <v>F</v>
      </c>
      <c r="H59" s="138" t="str">
        <f t="shared" si="0"/>
        <v>H</v>
      </c>
      <c r="I59" s="139">
        <f>IF($F59="T",SUM('School Level ADM'!$F59:$J59),IF($G59="T",SUM('School Level ADM'!$F59:$L59),SUM('School Level ADM'!$F59:$K59,0)))</f>
        <v>0</v>
      </c>
      <c r="J59" s="139">
        <f>'School Level ADM'!$S59-$I59-$K59</f>
        <v>0</v>
      </c>
      <c r="K59" s="139">
        <f>IF(SUM('School Level ADM'!$N59:$R59)='School Level ADM'!$S59,SUM('School Level ADM'!$N59:$R59),IF(OR(SUM('School Level ADM'!$F59:$O59)='School Level ADM'!$S59,SUM('School Level ADM'!$G59:$O59)='School Level ADM'!$S59,SUM('School Level ADM'!$H59:$O59)='School Level ADM'!$S59,SUM('School Level ADM'!$I59:$O59)='School Level ADM'!$S59,SUM('School Level ADM'!$J59:$O59)='School Level ADM'!$S59,SUM('School Level ADM'!$K59:$O59)='School Level ADM'!$S59,SUM('School Level ADM'!$L59:$O59)='School Level ADM'!$S59,SUM('School Level ADM'!$M59:$O59)='School Level ADM'!$S59,SUM('School Level ADM'!$N59:$O59)='School Level ADM'!$S59),0,SUM('School Level ADM'!$O59:$R59)))</f>
        <v>1060.5885000000001</v>
      </c>
      <c r="L59" s="139">
        <f t="shared" si="1"/>
        <v>1060.5885000000001</v>
      </c>
      <c r="M59" s="24">
        <f>'Student At-Risk and ELL Proxy'!S59</f>
        <v>367.5</v>
      </c>
      <c r="N59" s="24">
        <f>'Student At-Risk and ELL Proxy'!AH59</f>
        <v>33.5</v>
      </c>
      <c r="O59" s="136" t="str">
        <f t="shared" si="7"/>
        <v/>
      </c>
      <c r="P59" s="136">
        <f t="shared" si="8"/>
        <v>0.97</v>
      </c>
      <c r="Q59" s="136" t="str">
        <f t="shared" si="9"/>
        <v/>
      </c>
      <c r="R59" s="136">
        <f t="shared" si="2"/>
        <v>0.97</v>
      </c>
      <c r="S59" s="136">
        <f>IF(SUM(3515.4*((VLOOKUP($A59,'District Level ADM'!$A$4:$F$52,6,FALSE))^-0.327)/'Model Data Inputs'!$B$71)&lt;1,1,(3515.4*((VLOOKUP($A59,'District Level ADM'!$A$4:$F$52,6,FALSE))^-0.327)/'Model Data Inputs'!$B$71))</f>
        <v>1</v>
      </c>
      <c r="T59" s="136">
        <f>VLOOKUP($A59,'Regional Cost Adjustment'!$A$4:$C$52,3,FALSE)</f>
        <v>1.17</v>
      </c>
      <c r="U59" s="123">
        <f>((($I59/$L59)*'Model Data Inputs'!$B$85)+((SUM(J59:K59)/$L59)*'Model Data Inputs'!$C$85))*$R59*$T59</f>
        <v>6108.9277915599478</v>
      </c>
      <c r="V59" s="140">
        <f>((($I59/$L59)*'Model Data Inputs'!$B$86)+((SUM(J59:K59)/$L59)*'Model Data Inputs'!$C$86))*$R59</f>
        <v>1390.1145343996893</v>
      </c>
      <c r="W59" s="140">
        <f t="shared" si="10"/>
        <v>7499.0423259596373</v>
      </c>
      <c r="X59" s="140">
        <f t="shared" si="3"/>
        <v>6479058.5630588783</v>
      </c>
      <c r="Y59" s="140">
        <f t="shared" si="4"/>
        <v>1474339.4888671651</v>
      </c>
      <c r="Z59" s="123">
        <f>IF((SUM(X59:Y59))&lt;(AVERAGE('Elementary Size Adjustment'!$B$66,'Secondary Size Adjustment'!$B$66)),(AVERAGE('Elementary Size Adjustment'!$B$66,'Secondary Size Adjustment'!$B$66)),SUM(X59:Y59))</f>
        <v>7953398.0519260429</v>
      </c>
      <c r="AA59" s="137">
        <f>'Model Data Inputs'!$B$71*S59*L59</f>
        <v>201511.815</v>
      </c>
      <c r="AB59" s="137">
        <f>L59*'Model Data Inputs'!$B$72</f>
        <v>26514.712500000001</v>
      </c>
      <c r="AC59" s="137">
        <f>L59*'Model Data Inputs'!$B$73</f>
        <v>265147.125</v>
      </c>
      <c r="AD59" s="137">
        <f>L59*'Model Data Inputs'!$B$74</f>
        <v>132573.5625</v>
      </c>
      <c r="AE59" s="137">
        <f>$I59*'Model Data Inputs'!$B$76</f>
        <v>0</v>
      </c>
      <c r="AF59" s="137">
        <f>VLOOKUP($J59,'Student Activities MS&amp;HS Tables'!$M$7:$O$1267,3)</f>
        <v>0</v>
      </c>
      <c r="AG59" s="137">
        <f>VLOOKUP($K59,'Student Activities MS&amp;HS Tables'!$I$7:$K$3007,3)</f>
        <v>670291</v>
      </c>
      <c r="AH59" s="137">
        <f t="shared" si="5"/>
        <v>670291</v>
      </c>
      <c r="AI59" s="123">
        <f t="shared" si="11"/>
        <v>9249436.2669260427</v>
      </c>
      <c r="AJ59" s="123">
        <f>(('Model Data Inputs'!$B$90*(('Model Data Inputs'!$B$87*('School Level Inst. Resources'!I59/'School Level Inst. Resources'!L59))+('Model Data Inputs'!$C$87*(SUM('School Level Inst. Resources'!J59:K59)/'School Level Inst. Resources'!L59))))*T59*M59)</f>
        <v>879199.62690519216</v>
      </c>
      <c r="AK59" s="123">
        <f>(('Model Data Inputs'!$B$91*(('Model Data Inputs'!$B$87*('School Level Inst. Resources'!I59/'School Level Inst. Resources'!L59))+('Model Data Inputs'!$C$87*(SUM('School Level Inst. Resources'!J59:K59)/'School Level Inst. Resources'!L59))))*T59*N59)</f>
        <v>80144.727894759009</v>
      </c>
      <c r="AL59" s="137">
        <f>(K59*'Model Data Inputs'!$B$94)*T59</f>
        <v>204827.70819585849</v>
      </c>
      <c r="AM59" s="137">
        <f>K59*'Model Data Inputs'!$B$95</f>
        <v>44449.078432012502</v>
      </c>
      <c r="AN59" s="137">
        <f t="shared" si="12"/>
        <v>249276.78662787098</v>
      </c>
      <c r="AO59" s="137">
        <f>('School Level Inst. Resources'!K59*'Model Data Inputs'!$B$96)+('School Level Inst. Resources'!J59*'Model Data Inputs'!$B$97)</f>
        <v>106058.85</v>
      </c>
      <c r="AP59" s="137">
        <f>$L59*'Model Data Inputs'!$B$100</f>
        <v>42423.54</v>
      </c>
      <c r="AQ59" s="137">
        <f t="shared" si="13"/>
        <v>10606539.798353864</v>
      </c>
      <c r="AR59" s="141">
        <f t="shared" si="6"/>
        <v>10000.61739152731</v>
      </c>
    </row>
    <row r="60" spans="1:44" s="40" customFormat="1" ht="12.75" customHeight="1" x14ac:dyDescent="0.2">
      <c r="A60" s="20" t="s">
        <v>26</v>
      </c>
      <c r="B60" s="20" t="s">
        <v>27</v>
      </c>
      <c r="C60" s="20" t="s">
        <v>470</v>
      </c>
      <c r="D60" s="20" t="s">
        <v>471</v>
      </c>
      <c r="E60" s="138" t="s">
        <v>354</v>
      </c>
      <c r="F60" s="138" t="str">
        <f>IF(AND(SUM('School Level ADM'!$F60:$J60)=0,SUM('School Level ADM'!$O60:$R60)=0,'School Level ADM'!$K60&gt;0,'School Level ADM'!$N60&gt;0),"T","F")</f>
        <v>F</v>
      </c>
      <c r="G60" s="138" t="str">
        <f>IF(AND(SUM('School Level ADM'!$M60:$R60)=0,'School Level ADM'!$L60&gt;0),"T","F")</f>
        <v>F</v>
      </c>
      <c r="H60" s="138" t="str">
        <f t="shared" si="0"/>
        <v>E</v>
      </c>
      <c r="I60" s="139">
        <f>IF($F60="T",SUM('School Level ADM'!$F60:$J60),IF($G60="T",SUM('School Level ADM'!$F60:$L60),SUM('School Level ADM'!$F60:$K60,0)))</f>
        <v>803.19466666666676</v>
      </c>
      <c r="J60" s="139">
        <f>'School Level ADM'!$S60-$I60-$K60</f>
        <v>0</v>
      </c>
      <c r="K60" s="139">
        <f>IF(SUM('School Level ADM'!$N60:$R60)='School Level ADM'!$S60,SUM('School Level ADM'!$N60:$R60),IF(OR(SUM('School Level ADM'!$F60:$O60)='School Level ADM'!$S60,SUM('School Level ADM'!$G60:$O60)='School Level ADM'!$S60,SUM('School Level ADM'!$H60:$O60)='School Level ADM'!$S60,SUM('School Level ADM'!$I60:$O60)='School Level ADM'!$S60,SUM('School Level ADM'!$J60:$O60)='School Level ADM'!$S60,SUM('School Level ADM'!$K60:$O60)='School Level ADM'!$S60,SUM('School Level ADM'!$L60:$O60)='School Level ADM'!$S60,SUM('School Level ADM'!$M60:$O60)='School Level ADM'!$S60,SUM('School Level ADM'!$N60:$O60)='School Level ADM'!$S60),0,SUM('School Level ADM'!$O60:$R60)))</f>
        <v>0</v>
      </c>
      <c r="L60" s="139">
        <f t="shared" si="1"/>
        <v>803.19466666666676</v>
      </c>
      <c r="M60" s="24">
        <f>'Student At-Risk and ELL Proxy'!S60</f>
        <v>391</v>
      </c>
      <c r="N60" s="24">
        <f>'Student At-Risk and ELL Proxy'!AH60</f>
        <v>86</v>
      </c>
      <c r="O60" s="136">
        <f t="shared" si="7"/>
        <v>0.97</v>
      </c>
      <c r="P60" s="136" t="str">
        <f t="shared" si="8"/>
        <v/>
      </c>
      <c r="Q60" s="136" t="str">
        <f t="shared" si="9"/>
        <v/>
      </c>
      <c r="R60" s="136">
        <f t="shared" si="2"/>
        <v>0.97</v>
      </c>
      <c r="S60" s="136">
        <f>IF(SUM(3515.4*((VLOOKUP($A60,'District Level ADM'!$A$4:$F$52,6,FALSE))^-0.327)/'Model Data Inputs'!$B$71)&lt;1,1,(3515.4*((VLOOKUP($A60,'District Level ADM'!$A$4:$F$52,6,FALSE))^-0.327)/'Model Data Inputs'!$B$71))</f>
        <v>1.5969385164169694</v>
      </c>
      <c r="T60" s="136">
        <f>VLOOKUP($A60,'Regional Cost Adjustment'!$A$4:$C$52,3,FALSE)</f>
        <v>0.99</v>
      </c>
      <c r="U60" s="123">
        <f>((($I60/$L60)*'Model Data Inputs'!$B$85)+((SUM(J60:K60)/$L60)*'Model Data Inputs'!$C$85))*$R60*$T60</f>
        <v>6114.7944653722661</v>
      </c>
      <c r="V60" s="140">
        <f>((($I60/$L60)*'Model Data Inputs'!$B$86)+((SUM(J60:K60)/$L60)*'Model Data Inputs'!$C$86))*$R60</f>
        <v>1641.8459994936507</v>
      </c>
      <c r="W60" s="140">
        <f t="shared" si="10"/>
        <v>7756.6404648659172</v>
      </c>
      <c r="X60" s="140">
        <f t="shared" si="3"/>
        <v>4911370.3023498561</v>
      </c>
      <c r="Y60" s="140">
        <f t="shared" si="4"/>
        <v>1318721.9502813031</v>
      </c>
      <c r="Z60" s="123">
        <f>IF((SUM(X60:Y60))&lt;(AVERAGE('Elementary Size Adjustment'!$B$66,'Secondary Size Adjustment'!$B$66)),(AVERAGE('Elementary Size Adjustment'!$B$66,'Secondary Size Adjustment'!$B$66)),SUM(X60:Y60))</f>
        <v>6230092.2526311595</v>
      </c>
      <c r="AA60" s="137">
        <f>'Model Data Inputs'!$B$71*S60*L60</f>
        <v>243703.97488233092</v>
      </c>
      <c r="AB60" s="137">
        <f>L60*'Model Data Inputs'!$B$72</f>
        <v>20079.866666666669</v>
      </c>
      <c r="AC60" s="137">
        <f>L60*'Model Data Inputs'!$B$73</f>
        <v>200798.66666666669</v>
      </c>
      <c r="AD60" s="137">
        <f>L60*'Model Data Inputs'!$B$74</f>
        <v>100399.33333333334</v>
      </c>
      <c r="AE60" s="137">
        <f>$I60*'Model Data Inputs'!$B$76</f>
        <v>19108.001120000001</v>
      </c>
      <c r="AF60" s="137">
        <f>VLOOKUP($J60,'Student Activities MS&amp;HS Tables'!$M$7:$O$1267,3)</f>
        <v>0</v>
      </c>
      <c r="AG60" s="137">
        <f>VLOOKUP($K60,'Student Activities MS&amp;HS Tables'!$I$7:$K$3007,3)</f>
        <v>0</v>
      </c>
      <c r="AH60" s="137">
        <f t="shared" si="5"/>
        <v>19108.001120000001</v>
      </c>
      <c r="AI60" s="123">
        <f t="shared" si="11"/>
        <v>6814182.0953001566</v>
      </c>
      <c r="AJ60" s="123">
        <f>(('Model Data Inputs'!$B$90*(('Model Data Inputs'!$B$87*('School Level Inst. Resources'!I60/'School Level Inst. Resources'!L60))+('Model Data Inputs'!$C$87*(SUM('School Level Inst. Resources'!J60:K60)/'School Level Inst. Resources'!L60))))*T60*M60)</f>
        <v>936008.2898673875</v>
      </c>
      <c r="AK60" s="123">
        <f>(('Model Data Inputs'!$B$91*(('Model Data Inputs'!$B$87*('School Level Inst. Resources'!I60/'School Level Inst. Resources'!L60))+('Model Data Inputs'!$C$87*(SUM('School Level Inst. Resources'!J60:K60)/'School Level Inst. Resources'!L60))))*T60*N60)</f>
        <v>205873.94610893945</v>
      </c>
      <c r="AL60" s="137">
        <f>(K60*'Model Data Inputs'!$B$94)*T60</f>
        <v>0</v>
      </c>
      <c r="AM60" s="137">
        <f>K60*'Model Data Inputs'!$B$95</f>
        <v>0</v>
      </c>
      <c r="AN60" s="137">
        <f t="shared" si="12"/>
        <v>0</v>
      </c>
      <c r="AO60" s="137">
        <f>('School Level Inst. Resources'!K60*'Model Data Inputs'!$B$96)+('School Level Inst. Resources'!J60*'Model Data Inputs'!$B$97)</f>
        <v>0</v>
      </c>
      <c r="AP60" s="137">
        <f>$L60*'Model Data Inputs'!$B$100</f>
        <v>32127.78666666667</v>
      </c>
      <c r="AQ60" s="137">
        <f t="shared" si="13"/>
        <v>7988192.11794315</v>
      </c>
      <c r="AR60" s="141">
        <f t="shared" si="6"/>
        <v>9945.5243535105838</v>
      </c>
    </row>
    <row r="61" spans="1:44" s="40" customFormat="1" ht="12.75" customHeight="1" x14ac:dyDescent="0.2">
      <c r="A61" s="20" t="s">
        <v>26</v>
      </c>
      <c r="B61" s="20" t="s">
        <v>27</v>
      </c>
      <c r="C61" s="20" t="s">
        <v>472</v>
      </c>
      <c r="D61" s="20" t="s">
        <v>473</v>
      </c>
      <c r="E61" s="138" t="s">
        <v>474</v>
      </c>
      <c r="F61" s="138" t="str">
        <f>IF(AND(SUM('School Level ADM'!$F61:$J61)=0,SUM('School Level ADM'!$O61:$R61)=0,'School Level ADM'!$K61&gt;0,'School Level ADM'!$N61&gt;0),"T","F")</f>
        <v>F</v>
      </c>
      <c r="G61" s="138" t="str">
        <f>IF(AND(SUM('School Level ADM'!$M61:$R61)=0,'School Level ADM'!$L61&gt;0),"T","F")</f>
        <v>F</v>
      </c>
      <c r="H61" s="138" t="str">
        <f t="shared" si="0"/>
        <v>H</v>
      </c>
      <c r="I61" s="139">
        <f>IF($F61="T",SUM('School Level ADM'!$F61:$J61),IF($G61="T",SUM('School Level ADM'!$F61:$L61),SUM('School Level ADM'!$F61:$K61,0)))</f>
        <v>101.67233333333333</v>
      </c>
      <c r="J61" s="139">
        <f>'School Level ADM'!$S61-$I61-$K61</f>
        <v>36.089333333333357</v>
      </c>
      <c r="K61" s="139">
        <f>IF(SUM('School Level ADM'!$N61:$R61)='School Level ADM'!$S61,SUM('School Level ADM'!$N61:$R61),IF(OR(SUM('School Level ADM'!$F61:$O61)='School Level ADM'!$S61,SUM('School Level ADM'!$G61:$O61)='School Level ADM'!$S61,SUM('School Level ADM'!$H61:$O61)='School Level ADM'!$S61,SUM('School Level ADM'!$I61:$O61)='School Level ADM'!$S61,SUM('School Level ADM'!$J61:$O61)='School Level ADM'!$S61,SUM('School Level ADM'!$K61:$O61)='School Level ADM'!$S61,SUM('School Level ADM'!$L61:$O61)='School Level ADM'!$S61,SUM('School Level ADM'!$M61:$O61)='School Level ADM'!$S61,SUM('School Level ADM'!$N61:$O61)='School Level ADM'!$S61),0,SUM('School Level ADM'!$O61:$R61)))</f>
        <v>45.594999999999999</v>
      </c>
      <c r="L61" s="139">
        <f t="shared" si="1"/>
        <v>183.35666666666668</v>
      </c>
      <c r="M61" s="24">
        <f>'Student At-Risk and ELL Proxy'!S61</f>
        <v>64</v>
      </c>
      <c r="N61" s="24">
        <f>'Student At-Risk and ELL Proxy'!AH61</f>
        <v>10</v>
      </c>
      <c r="O61" s="136" t="str">
        <f t="shared" si="7"/>
        <v/>
      </c>
      <c r="P61" s="136" t="str">
        <f t="shared" si="8"/>
        <v/>
      </c>
      <c r="Q61" s="136">
        <f t="shared" si="9"/>
        <v>1.9506035796338359</v>
      </c>
      <c r="R61" s="136">
        <f t="shared" si="2"/>
        <v>1.9506035796338359</v>
      </c>
      <c r="S61" s="136">
        <f>IF(SUM(3515.4*((VLOOKUP($A61,'District Level ADM'!$A$4:$F$52,6,FALSE))^-0.327)/'Model Data Inputs'!$B$71)&lt;1,1,(3515.4*((VLOOKUP($A61,'District Level ADM'!$A$4:$F$52,6,FALSE))^-0.327)/'Model Data Inputs'!$B$71))</f>
        <v>1.5969385164169694</v>
      </c>
      <c r="T61" s="136">
        <f>VLOOKUP($A61,'Regional Cost Adjustment'!$A$4:$C$52,3,FALSE)</f>
        <v>0.99</v>
      </c>
      <c r="U61" s="123">
        <f>((($I61/$L61)*'Model Data Inputs'!$B$85)+((SUM(J61:K61)/$L61)*'Model Data Inputs'!$C$85))*$R61*$T61</f>
        <v>11449.218179580594</v>
      </c>
      <c r="V61" s="140">
        <f>((($I61/$L61)*'Model Data Inputs'!$B$86)+((SUM(J61:K61)/$L61)*'Model Data Inputs'!$C$86))*$R61</f>
        <v>3076.1241450318339</v>
      </c>
      <c r="W61" s="140">
        <f t="shared" si="10"/>
        <v>14525.342324612428</v>
      </c>
      <c r="X61" s="140">
        <f t="shared" si="3"/>
        <v>2099290.4813472992</v>
      </c>
      <c r="Y61" s="140">
        <f t="shared" si="4"/>
        <v>564027.869485887</v>
      </c>
      <c r="Z61" s="123">
        <f>IF((SUM(X61:Y61))&lt;(AVERAGE('Elementary Size Adjustment'!$B$66,'Secondary Size Adjustment'!$B$66)),(AVERAGE('Elementary Size Adjustment'!$B$66,'Secondary Size Adjustment'!$B$66)),SUM(X61:Y61))</f>
        <v>2663318.3508331859</v>
      </c>
      <c r="AA61" s="137">
        <f>'Model Data Inputs'!$B$71*S61*L61</f>
        <v>55633.771415947223</v>
      </c>
      <c r="AB61" s="137">
        <f>L61*'Model Data Inputs'!$B$72</f>
        <v>4583.916666666667</v>
      </c>
      <c r="AC61" s="137">
        <f>L61*'Model Data Inputs'!$B$73</f>
        <v>45839.166666666672</v>
      </c>
      <c r="AD61" s="137">
        <f>L61*'Model Data Inputs'!$B$74</f>
        <v>22919.583333333336</v>
      </c>
      <c r="AE61" s="137">
        <f>$I61*'Model Data Inputs'!$B$76</f>
        <v>2418.7848099999997</v>
      </c>
      <c r="AF61" s="137">
        <f>VLOOKUP($J61,'Student Activities MS&amp;HS Tables'!$M$7:$O$1267,3)</f>
        <v>25174.44</v>
      </c>
      <c r="AG61" s="137">
        <f>VLOOKUP($K61,'Student Activities MS&amp;HS Tables'!$I$7:$K$3007,3)</f>
        <v>81804.600000000006</v>
      </c>
      <c r="AH61" s="137">
        <f t="shared" si="5"/>
        <v>109397.82481000001</v>
      </c>
      <c r="AI61" s="123">
        <f t="shared" si="11"/>
        <v>2901692.6137257996</v>
      </c>
      <c r="AJ61" s="123">
        <f>(('Model Data Inputs'!$B$90*(('Model Data Inputs'!$B$87*('School Level Inst. Resources'!I61/'School Level Inst. Resources'!L61))+('Model Data Inputs'!$C$87*(SUM('School Level Inst. Resources'!J61:K61)/'School Level Inst. Resources'!L61))))*T61*M61)</f>
        <v>142671.71438747886</v>
      </c>
      <c r="AK61" s="123">
        <f>(('Model Data Inputs'!$B$91*(('Model Data Inputs'!$B$87*('School Level Inst. Resources'!I61/'School Level Inst. Resources'!L61))+('Model Data Inputs'!$C$87*(SUM('School Level Inst. Resources'!J61:K61)/'School Level Inst. Resources'!L61))))*T61*N61)</f>
        <v>22292.455373043573</v>
      </c>
      <c r="AL61" s="137">
        <f>(K61*'Model Data Inputs'!$B$94)*T61</f>
        <v>7450.8933126127495</v>
      </c>
      <c r="AM61" s="137">
        <f>K61*'Model Data Inputs'!$B$95</f>
        <v>1910.8784708749999</v>
      </c>
      <c r="AN61" s="137">
        <f t="shared" si="12"/>
        <v>9361.7717834877494</v>
      </c>
      <c r="AO61" s="137">
        <f>('School Level Inst. Resources'!K61*'Model Data Inputs'!$B$96)+('School Level Inst. Resources'!J61*'Model Data Inputs'!$B$97)</f>
        <v>5461.7333333333336</v>
      </c>
      <c r="AP61" s="137">
        <f>$L61*'Model Data Inputs'!$B$100</f>
        <v>7334.2666666666673</v>
      </c>
      <c r="AQ61" s="137">
        <f t="shared" si="13"/>
        <v>3088814.5552698099</v>
      </c>
      <c r="AR61" s="141">
        <f t="shared" si="6"/>
        <v>16845.935364243513</v>
      </c>
    </row>
    <row r="62" spans="1:44" s="40" customFormat="1" ht="12.75" customHeight="1" x14ac:dyDescent="0.2">
      <c r="A62" s="20" t="s">
        <v>26</v>
      </c>
      <c r="B62" s="20" t="s">
        <v>27</v>
      </c>
      <c r="C62" s="20" t="s">
        <v>475</v>
      </c>
      <c r="D62" s="20" t="s">
        <v>476</v>
      </c>
      <c r="E62" s="138" t="s">
        <v>383</v>
      </c>
      <c r="F62" s="138" t="str">
        <f>IF(AND(SUM('School Level ADM'!$F62:$J62)=0,SUM('School Level ADM'!$O62:$R62)=0,'School Level ADM'!$K62&gt;0,'School Level ADM'!$N62&gt;0),"T","F")</f>
        <v>F</v>
      </c>
      <c r="G62" s="138" t="str">
        <f>IF(AND(SUM('School Level ADM'!$M62:$R62)=0,'School Level ADM'!$L62&gt;0),"T","F")</f>
        <v>F</v>
      </c>
      <c r="H62" s="138" t="str">
        <f t="shared" si="0"/>
        <v>M</v>
      </c>
      <c r="I62" s="139">
        <f>IF($F62="T",SUM('School Level ADM'!$F62:$J62),IF($G62="T",SUM('School Level ADM'!$F62:$L62),SUM('School Level ADM'!$F62:$K62,0)))</f>
        <v>0</v>
      </c>
      <c r="J62" s="139">
        <f>'School Level ADM'!$S62-$I62-$K62</f>
        <v>349.19466666666665</v>
      </c>
      <c r="K62" s="139">
        <f>IF(SUM('School Level ADM'!$N62:$R62)='School Level ADM'!$S62,SUM('School Level ADM'!$N62:$R62),IF(OR(SUM('School Level ADM'!$F62:$O62)='School Level ADM'!$S62,SUM('School Level ADM'!$G62:$O62)='School Level ADM'!$S62,SUM('School Level ADM'!$H62:$O62)='School Level ADM'!$S62,SUM('School Level ADM'!$I62:$O62)='School Level ADM'!$S62,SUM('School Level ADM'!$J62:$O62)='School Level ADM'!$S62,SUM('School Level ADM'!$K62:$O62)='School Level ADM'!$S62,SUM('School Level ADM'!$L62:$O62)='School Level ADM'!$S62,SUM('School Level ADM'!$M62:$O62)='School Level ADM'!$S62,SUM('School Level ADM'!$N62:$O62)='School Level ADM'!$S62),0,SUM('School Level ADM'!$O62:$R62)))</f>
        <v>0</v>
      </c>
      <c r="L62" s="139">
        <f t="shared" si="1"/>
        <v>349.19466666666665</v>
      </c>
      <c r="M62" s="24">
        <f>'Student At-Risk and ELL Proxy'!S62</f>
        <v>171</v>
      </c>
      <c r="N62" s="24">
        <f>'Student At-Risk and ELL Proxy'!AH62</f>
        <v>20</v>
      </c>
      <c r="O62" s="136" t="str">
        <f t="shared" si="7"/>
        <v/>
      </c>
      <c r="P62" s="136">
        <f t="shared" si="8"/>
        <v>1.1686540432781176</v>
      </c>
      <c r="Q62" s="136" t="str">
        <f t="shared" si="9"/>
        <v/>
      </c>
      <c r="R62" s="136">
        <f t="shared" si="2"/>
        <v>1.1686540432781176</v>
      </c>
      <c r="S62" s="136">
        <f>IF(SUM(3515.4*((VLOOKUP($A62,'District Level ADM'!$A$4:$F$52,6,FALSE))^-0.327)/'Model Data Inputs'!$B$71)&lt;1,1,(3515.4*((VLOOKUP($A62,'District Level ADM'!$A$4:$F$52,6,FALSE))^-0.327)/'Model Data Inputs'!$B$71))</f>
        <v>1.5969385164169694</v>
      </c>
      <c r="T62" s="136">
        <f>VLOOKUP($A62,'Regional Cost Adjustment'!$A$4:$C$52,3,FALSE)</f>
        <v>0.99</v>
      </c>
      <c r="U62" s="123">
        <f>((($I62/$L62)*'Model Data Inputs'!$B$85)+((SUM(J62:K62)/$L62)*'Model Data Inputs'!$C$85))*$R62*$T62</f>
        <v>6227.7125139339059</v>
      </c>
      <c r="V62" s="140">
        <f>((($I62/$L62)*'Model Data Inputs'!$B$86)+((SUM(J62:K62)/$L62)*'Model Data Inputs'!$C$86))*$R62</f>
        <v>1674.8071868514176</v>
      </c>
      <c r="W62" s="140">
        <f t="shared" si="10"/>
        <v>7902.5197007853239</v>
      </c>
      <c r="X62" s="140">
        <f t="shared" si="3"/>
        <v>2174683.9953989787</v>
      </c>
      <c r="Y62" s="140">
        <f t="shared" si="4"/>
        <v>584833.73734351841</v>
      </c>
      <c r="Z62" s="123">
        <f>IF((SUM(X62:Y62))&lt;(AVERAGE('Elementary Size Adjustment'!$B$66,'Secondary Size Adjustment'!$B$66)),(AVERAGE('Elementary Size Adjustment'!$B$66,'Secondary Size Adjustment'!$B$66)),SUM(X62:Y62))</f>
        <v>2759517.7327424972</v>
      </c>
      <c r="AA62" s="137">
        <f>'Model Data Inputs'!$B$71*S62*L62</f>
        <v>105952.05845620311</v>
      </c>
      <c r="AB62" s="137">
        <f>L62*'Model Data Inputs'!$B$72</f>
        <v>8729.8666666666668</v>
      </c>
      <c r="AC62" s="137">
        <f>L62*'Model Data Inputs'!$B$73</f>
        <v>87298.666666666657</v>
      </c>
      <c r="AD62" s="137">
        <f>L62*'Model Data Inputs'!$B$74</f>
        <v>43649.333333333328</v>
      </c>
      <c r="AE62" s="137">
        <f>$I62*'Model Data Inputs'!$B$76</f>
        <v>0</v>
      </c>
      <c r="AF62" s="137">
        <f>VLOOKUP($J62,'Student Activities MS&amp;HS Tables'!$M$7:$O$1267,3)</f>
        <v>102421.03000000001</v>
      </c>
      <c r="AG62" s="137">
        <f>VLOOKUP($K62,'Student Activities MS&amp;HS Tables'!$I$7:$K$3007,3)</f>
        <v>0</v>
      </c>
      <c r="AH62" s="137">
        <f t="shared" si="5"/>
        <v>102421.03000000001</v>
      </c>
      <c r="AI62" s="123">
        <f t="shared" si="11"/>
        <v>3107568.6878653667</v>
      </c>
      <c r="AJ62" s="123">
        <f>(('Model Data Inputs'!$B$90*(('Model Data Inputs'!$B$87*('School Level Inst. Resources'!I62/'School Level Inst. Resources'!L62))+('Model Data Inputs'!$C$87*(SUM('School Level Inst. Resources'!J62:K62)/'School Level Inst. Resources'!L62))))*T62*M62)</f>
        <v>346158.97398402222</v>
      </c>
      <c r="AK62" s="123">
        <f>(('Model Data Inputs'!$B$91*(('Model Data Inputs'!$B$87*('School Level Inst. Resources'!I62/'School Level Inst. Resources'!L62))+('Model Data Inputs'!$C$87*(SUM('School Level Inst. Resources'!J62:K62)/'School Level Inst. Resources'!L62))))*T62*N62)</f>
        <v>40486.429705733593</v>
      </c>
      <c r="AL62" s="137">
        <f>(K62*'Model Data Inputs'!$B$94)*T62</f>
        <v>0</v>
      </c>
      <c r="AM62" s="137">
        <f>K62*'Model Data Inputs'!$B$95</f>
        <v>0</v>
      </c>
      <c r="AN62" s="137">
        <f t="shared" si="12"/>
        <v>0</v>
      </c>
      <c r="AO62" s="137">
        <f>('School Level Inst. Resources'!K62*'Model Data Inputs'!$B$96)+('School Level Inst. Resources'!J62*'Model Data Inputs'!$B$97)</f>
        <v>8729.8666666666668</v>
      </c>
      <c r="AP62" s="137">
        <f>$L62*'Model Data Inputs'!$B$100</f>
        <v>13967.786666666667</v>
      </c>
      <c r="AQ62" s="137">
        <f t="shared" si="13"/>
        <v>3516911.7448884556</v>
      </c>
      <c r="AR62" s="141">
        <f t="shared" si="6"/>
        <v>10071.493297592715</v>
      </c>
    </row>
    <row r="63" spans="1:44" s="40" customFormat="1" ht="12.75" customHeight="1" x14ac:dyDescent="0.2">
      <c r="A63" s="20" t="s">
        <v>26</v>
      </c>
      <c r="B63" s="20" t="s">
        <v>27</v>
      </c>
      <c r="C63" s="20" t="s">
        <v>477</v>
      </c>
      <c r="D63" s="20" t="s">
        <v>478</v>
      </c>
      <c r="E63" s="138" t="s">
        <v>389</v>
      </c>
      <c r="F63" s="138" t="str">
        <f>IF(AND(SUM('School Level ADM'!$F63:$J63)=0,SUM('School Level ADM'!$O63:$R63)=0,'School Level ADM'!$K63&gt;0,'School Level ADM'!$N63&gt;0),"T","F")</f>
        <v>F</v>
      </c>
      <c r="G63" s="138" t="str">
        <f>IF(AND(SUM('School Level ADM'!$M63:$R63)=0,'School Level ADM'!$L63&gt;0),"T","F")</f>
        <v>F</v>
      </c>
      <c r="H63" s="138" t="str">
        <f t="shared" si="0"/>
        <v>H</v>
      </c>
      <c r="I63" s="139">
        <f>IF($F63="T",SUM('School Level ADM'!$F63:$J63),IF($G63="T",SUM('School Level ADM'!$F63:$L63),SUM('School Level ADM'!$F63:$K63,0)))</f>
        <v>0</v>
      </c>
      <c r="J63" s="139">
        <f>'School Level ADM'!$S63-$I63-$K63</f>
        <v>0</v>
      </c>
      <c r="K63" s="139">
        <f>IF(SUM('School Level ADM'!$N63:$R63)='School Level ADM'!$S63,SUM('School Level ADM'!$N63:$R63),IF(OR(SUM('School Level ADM'!$F63:$O63)='School Level ADM'!$S63,SUM('School Level ADM'!$G63:$O63)='School Level ADM'!$S63,SUM('School Level ADM'!$H63:$O63)='School Level ADM'!$S63,SUM('School Level ADM'!$I63:$O63)='School Level ADM'!$S63,SUM('School Level ADM'!$J63:$O63)='School Level ADM'!$S63,SUM('School Level ADM'!$K63:$O63)='School Level ADM'!$S63,SUM('School Level ADM'!$L63:$O63)='School Level ADM'!$S63,SUM('School Level ADM'!$M63:$O63)='School Level ADM'!$S63,SUM('School Level ADM'!$N63:$O63)='School Level ADM'!$S63),0,SUM('School Level ADM'!$O63:$R63)))</f>
        <v>423.14866666666671</v>
      </c>
      <c r="L63" s="139">
        <f t="shared" si="1"/>
        <v>423.14866666666671</v>
      </c>
      <c r="M63" s="24">
        <f>'Student At-Risk and ELL Proxy'!S63</f>
        <v>156</v>
      </c>
      <c r="N63" s="24">
        <f>'Student At-Risk and ELL Proxy'!AH63</f>
        <v>28</v>
      </c>
      <c r="O63" s="136" t="str">
        <f t="shared" si="7"/>
        <v/>
      </c>
      <c r="P63" s="136">
        <f t="shared" si="8"/>
        <v>1.0924552583724214</v>
      </c>
      <c r="Q63" s="136" t="str">
        <f t="shared" si="9"/>
        <v/>
      </c>
      <c r="R63" s="136">
        <f t="shared" si="2"/>
        <v>1.0924552583724214</v>
      </c>
      <c r="S63" s="136">
        <f>IF(SUM(3515.4*((VLOOKUP($A63,'District Level ADM'!$A$4:$F$52,6,FALSE))^-0.327)/'Model Data Inputs'!$B$71)&lt;1,1,(3515.4*((VLOOKUP($A63,'District Level ADM'!$A$4:$F$52,6,FALSE))^-0.327)/'Model Data Inputs'!$B$71))</f>
        <v>1.5969385164169694</v>
      </c>
      <c r="T63" s="136">
        <f>VLOOKUP($A63,'Regional Cost Adjustment'!$A$4:$C$52,3,FALSE)</f>
        <v>0.99</v>
      </c>
      <c r="U63" s="123">
        <f>((($I63/$L63)*'Model Data Inputs'!$B$85)+((SUM(J63:K63)/$L63)*'Model Data Inputs'!$C$85))*$R63*$T63</f>
        <v>5821.6521156207764</v>
      </c>
      <c r="V63" s="140">
        <f>((($I63/$L63)*'Model Data Inputs'!$B$86)+((SUM(J63:K63)/$L63)*'Model Data Inputs'!$C$86))*$R63</f>
        <v>1565.6061163349186</v>
      </c>
      <c r="W63" s="140">
        <f t="shared" si="10"/>
        <v>7387.258231955695</v>
      </c>
      <c r="X63" s="140">
        <f t="shared" si="3"/>
        <v>2463424.3305221112</v>
      </c>
      <c r="Y63" s="140">
        <f t="shared" si="4"/>
        <v>662484.14065229916</v>
      </c>
      <c r="Z63" s="123">
        <f>IF((SUM(X63:Y63))&lt;(AVERAGE('Elementary Size Adjustment'!$B$66,'Secondary Size Adjustment'!$B$66)),(AVERAGE('Elementary Size Adjustment'!$B$66,'Secondary Size Adjustment'!$B$66)),SUM(X63:Y63))</f>
        <v>3125908.4711744105</v>
      </c>
      <c r="AA63" s="137">
        <f>'Model Data Inputs'!$B$71*S63*L63</f>
        <v>128391.05675439224</v>
      </c>
      <c r="AB63" s="137">
        <f>L63*'Model Data Inputs'!$B$72</f>
        <v>10578.716666666667</v>
      </c>
      <c r="AC63" s="137">
        <f>L63*'Model Data Inputs'!$B$73</f>
        <v>105787.16666666667</v>
      </c>
      <c r="AD63" s="137">
        <f>L63*'Model Data Inputs'!$B$74</f>
        <v>52893.583333333336</v>
      </c>
      <c r="AE63" s="137">
        <f>$I63*'Model Data Inputs'!$B$76</f>
        <v>0</v>
      </c>
      <c r="AF63" s="137">
        <f>VLOOKUP($J63,'Student Activities MS&amp;HS Tables'!$M$7:$O$1267,3)</f>
        <v>0</v>
      </c>
      <c r="AG63" s="137">
        <f>VLOOKUP($K63,'Student Activities MS&amp;HS Tables'!$I$7:$K$3007,3)</f>
        <v>384481.62</v>
      </c>
      <c r="AH63" s="137">
        <f t="shared" si="5"/>
        <v>384481.62</v>
      </c>
      <c r="AI63" s="123">
        <f t="shared" si="11"/>
        <v>3808040.6145954696</v>
      </c>
      <c r="AJ63" s="123">
        <f>(('Model Data Inputs'!$B$90*(('Model Data Inputs'!$B$87*('School Level Inst. Resources'!I63/'School Level Inst. Resources'!L63))+('Model Data Inputs'!$C$87*(SUM('School Level Inst. Resources'!J63:K63)/'School Level Inst. Resources'!L63))))*T63*M63)</f>
        <v>315794.15170472203</v>
      </c>
      <c r="AK63" s="123">
        <f>(('Model Data Inputs'!$B$91*(('Model Data Inputs'!$B$87*('School Level Inst. Resources'!I63/'School Level Inst. Resources'!L63))+('Model Data Inputs'!$C$87*(SUM('School Level Inst. Resources'!J63:K63)/'School Level Inst. Resources'!L63))))*T63*N63)</f>
        <v>56681.001588027029</v>
      </c>
      <c r="AL63" s="137">
        <f>(K63*'Model Data Inputs'!$B$94)*T63</f>
        <v>69148.713032298911</v>
      </c>
      <c r="AM63" s="137">
        <f>K63*'Model Data Inputs'!$B$95</f>
        <v>17734.086568983334</v>
      </c>
      <c r="AN63" s="137">
        <f t="shared" si="12"/>
        <v>86882.79960128224</v>
      </c>
      <c r="AO63" s="137">
        <f>('School Level Inst. Resources'!K63*'Model Data Inputs'!$B$96)+('School Level Inst. Resources'!J63*'Model Data Inputs'!$B$97)</f>
        <v>42314.866666666669</v>
      </c>
      <c r="AP63" s="137">
        <f>$L63*'Model Data Inputs'!$B$100</f>
        <v>16925.94666666667</v>
      </c>
      <c r="AQ63" s="137">
        <f t="shared" si="13"/>
        <v>4326639.3808228336</v>
      </c>
      <c r="AR63" s="141">
        <f t="shared" si="6"/>
        <v>10224.868283068756</v>
      </c>
    </row>
    <row r="64" spans="1:44" s="40" customFormat="1" ht="12.75" customHeight="1" x14ac:dyDescent="0.2">
      <c r="A64" s="20" t="s">
        <v>26</v>
      </c>
      <c r="B64" s="20" t="s">
        <v>27</v>
      </c>
      <c r="C64" s="20" t="s">
        <v>479</v>
      </c>
      <c r="D64" s="20" t="s">
        <v>480</v>
      </c>
      <c r="E64" s="138" t="s">
        <v>389</v>
      </c>
      <c r="F64" s="138" t="str">
        <f>IF(AND(SUM('School Level ADM'!$F64:$J64)=0,SUM('School Level ADM'!$O64:$R64)=0,'School Level ADM'!$K64&gt;0,'School Level ADM'!$N64&gt;0),"T","F")</f>
        <v>F</v>
      </c>
      <c r="G64" s="138" t="str">
        <f>IF(AND(SUM('School Level ADM'!$M64:$R64)=0,'School Level ADM'!$L64&gt;0),"T","F")</f>
        <v>F</v>
      </c>
      <c r="H64" s="138" t="str">
        <f t="shared" si="0"/>
        <v>H</v>
      </c>
      <c r="I64" s="139">
        <f>IF($F64="T",SUM('School Level ADM'!$F64:$J64),IF($G64="T",SUM('School Level ADM'!$F64:$L64),SUM('School Level ADM'!$F64:$K64,0)))</f>
        <v>0</v>
      </c>
      <c r="J64" s="139">
        <f>'School Level ADM'!$S64-$I64-$K64</f>
        <v>0</v>
      </c>
      <c r="K64" s="139">
        <f>IF(SUM('School Level ADM'!$N64:$R64)='School Level ADM'!$S64,SUM('School Level ADM'!$N64:$R64),IF(OR(SUM('School Level ADM'!$F64:$O64)='School Level ADM'!$S64,SUM('School Level ADM'!$G64:$O64)='School Level ADM'!$S64,SUM('School Level ADM'!$H64:$O64)='School Level ADM'!$S64,SUM('School Level ADM'!$I64:$O64)='School Level ADM'!$S64,SUM('School Level ADM'!$J64:$O64)='School Level ADM'!$S64,SUM('School Level ADM'!$K64:$O64)='School Level ADM'!$S64,SUM('School Level ADM'!$L64:$O64)='School Level ADM'!$S64,SUM('School Level ADM'!$M64:$O64)='School Level ADM'!$S64,SUM('School Level ADM'!$N64:$O64)='School Level ADM'!$S64),0,SUM('School Level ADM'!$O64:$R64)))</f>
        <v>34.259333333333331</v>
      </c>
      <c r="L64" s="139">
        <f t="shared" si="1"/>
        <v>34.259333333333331</v>
      </c>
      <c r="M64" s="24">
        <f>'Student At-Risk and ELL Proxy'!S64</f>
        <v>43</v>
      </c>
      <c r="N64" s="24">
        <f>'Student At-Risk and ELL Proxy'!AH64</f>
        <v>4</v>
      </c>
      <c r="O64" s="136" t="str">
        <f t="shared" si="7"/>
        <v/>
      </c>
      <c r="P64" s="136">
        <f t="shared" si="8"/>
        <v>2.6399475453386616</v>
      </c>
      <c r="Q64" s="136" t="str">
        <f t="shared" si="9"/>
        <v/>
      </c>
      <c r="R64" s="136">
        <f t="shared" si="2"/>
        <v>2.6399475453386616</v>
      </c>
      <c r="S64" s="136">
        <f>IF(SUM(3515.4*((VLOOKUP($A64,'District Level ADM'!$A$4:$F$52,6,FALSE))^-0.327)/'Model Data Inputs'!$B$71)&lt;1,1,(3515.4*((VLOOKUP($A64,'District Level ADM'!$A$4:$F$52,6,FALSE))^-0.327)/'Model Data Inputs'!$B$71))</f>
        <v>1.5969385164169694</v>
      </c>
      <c r="T64" s="136">
        <f>VLOOKUP($A64,'Regional Cost Adjustment'!$A$4:$C$52,3,FALSE)</f>
        <v>0.99</v>
      </c>
      <c r="U64" s="123">
        <f>((($I64/$L64)*'Model Data Inputs'!$B$85)+((SUM(J64:K64)/$L64)*'Model Data Inputs'!$C$85))*$R64*$T64</f>
        <v>14068.179080711974</v>
      </c>
      <c r="V64" s="140">
        <f>((($I64/$L64)*'Model Data Inputs'!$B$86)+((SUM(J64:K64)/$L64)*'Model Data Inputs'!$C$86))*$R64</f>
        <v>3783.3293328124296</v>
      </c>
      <c r="W64" s="140">
        <f t="shared" si="10"/>
        <v>17851.508413524403</v>
      </c>
      <c r="X64" s="140">
        <f t="shared" si="3"/>
        <v>481966.4365191384</v>
      </c>
      <c r="Y64" s="140">
        <f t="shared" si="4"/>
        <v>129614.34072259862</v>
      </c>
      <c r="Z64" s="123">
        <f>IF((SUM(X64:Y64))&lt;(AVERAGE('Elementary Size Adjustment'!$B$66,'Secondary Size Adjustment'!$B$66)),(AVERAGE('Elementary Size Adjustment'!$B$66,'Secondary Size Adjustment'!$B$66)),SUM(X64:Y64))</f>
        <v>611580.777241737</v>
      </c>
      <c r="AA64" s="137">
        <f>'Model Data Inputs'!$B$71*S64*L64</f>
        <v>10394.909299885874</v>
      </c>
      <c r="AB64" s="137">
        <f>L64*'Model Data Inputs'!$B$72</f>
        <v>856.48333333333323</v>
      </c>
      <c r="AC64" s="137">
        <f>L64*'Model Data Inputs'!$B$73</f>
        <v>8564.8333333333321</v>
      </c>
      <c r="AD64" s="137">
        <f>L64*'Model Data Inputs'!$B$74</f>
        <v>4282.4166666666661</v>
      </c>
      <c r="AE64" s="137">
        <f>$I64*'Model Data Inputs'!$B$76</f>
        <v>0</v>
      </c>
      <c r="AF64" s="137">
        <f>VLOOKUP($J64,'Student Activities MS&amp;HS Tables'!$M$7:$O$1267,3)</f>
        <v>0</v>
      </c>
      <c r="AG64" s="137">
        <f>VLOOKUP($K64,'Student Activities MS&amp;HS Tables'!$I$7:$K$3007,3)</f>
        <v>63502.48</v>
      </c>
      <c r="AH64" s="137">
        <f t="shared" si="5"/>
        <v>63502.48</v>
      </c>
      <c r="AI64" s="123">
        <f t="shared" si="11"/>
        <v>699181.89987495611</v>
      </c>
      <c r="AJ64" s="123">
        <f>(('Model Data Inputs'!$B$90*(('Model Data Inputs'!$B$87*('School Level Inst. Resources'!I64/'School Level Inst. Resources'!L64))+('Model Data Inputs'!$C$87*(SUM('School Level Inst. Resources'!J64:K64)/'School Level Inst. Resources'!L64))))*T64*M64)</f>
        <v>87045.823867327228</v>
      </c>
      <c r="AK64" s="123">
        <f>(('Model Data Inputs'!$B$91*(('Model Data Inputs'!$B$87*('School Level Inst. Resources'!I64/'School Level Inst. Resources'!L64))+('Model Data Inputs'!$C$87*(SUM('School Level Inst. Resources'!J64:K64)/'School Level Inst. Resources'!L64))))*T64*N64)</f>
        <v>8097.2859411467189</v>
      </c>
      <c r="AL64" s="137">
        <f>(K64*'Model Data Inputs'!$B$94)*T64</f>
        <v>5598.4787285427001</v>
      </c>
      <c r="AM64" s="137">
        <f>K64*'Model Data Inputs'!$B$95</f>
        <v>1435.8026646166666</v>
      </c>
      <c r="AN64" s="137">
        <f t="shared" si="12"/>
        <v>7034.2813931593664</v>
      </c>
      <c r="AO64" s="137">
        <f>('School Level Inst. Resources'!K64*'Model Data Inputs'!$B$96)+('School Level Inst. Resources'!J64*'Model Data Inputs'!$B$97)</f>
        <v>3425.9333333333329</v>
      </c>
      <c r="AP64" s="137">
        <f>$L64*'Model Data Inputs'!$B$100</f>
        <v>1370.3733333333332</v>
      </c>
      <c r="AQ64" s="137">
        <f t="shared" si="13"/>
        <v>806155.59774325602</v>
      </c>
      <c r="AR64" s="141">
        <f t="shared" si="6"/>
        <v>23530.977380662869</v>
      </c>
    </row>
    <row r="65" spans="1:44" s="40" customFormat="1" ht="12.75" customHeight="1" x14ac:dyDescent="0.2">
      <c r="A65" s="20" t="s">
        <v>28</v>
      </c>
      <c r="B65" s="20" t="s">
        <v>29</v>
      </c>
      <c r="C65" s="20" t="s">
        <v>481</v>
      </c>
      <c r="D65" s="20" t="s">
        <v>482</v>
      </c>
      <c r="E65" s="138" t="s">
        <v>357</v>
      </c>
      <c r="F65" s="138" t="str">
        <f>IF(AND(SUM('School Level ADM'!$F65:$J65)=0,SUM('School Level ADM'!$O65:$R65)=0,'School Level ADM'!$K65&gt;0,'School Level ADM'!$N65&gt;0),"T","F")</f>
        <v>F</v>
      </c>
      <c r="G65" s="138" t="str">
        <f>IF(AND(SUM('School Level ADM'!$M65:$R65)=0,'School Level ADM'!$L65&gt;0),"T","F")</f>
        <v>T</v>
      </c>
      <c r="H65" s="138" t="str">
        <f t="shared" si="0"/>
        <v>E</v>
      </c>
      <c r="I65" s="139">
        <f>IF($F65="T",SUM('School Level ADM'!$F65:$J65),IF($G65="T",SUM('School Level ADM'!$F65:$L65),SUM('School Level ADM'!$F65:$K65,0)))</f>
        <v>13.046333333333333</v>
      </c>
      <c r="J65" s="139">
        <f>'School Level ADM'!$S65-$I65-$K65</f>
        <v>0</v>
      </c>
      <c r="K65" s="139">
        <f>IF(SUM('School Level ADM'!$N65:$R65)='School Level ADM'!$S65,SUM('School Level ADM'!$N65:$R65),IF(OR(SUM('School Level ADM'!$F65:$O65)='School Level ADM'!$S65,SUM('School Level ADM'!$G65:$O65)='School Level ADM'!$S65,SUM('School Level ADM'!$H65:$O65)='School Level ADM'!$S65,SUM('School Level ADM'!$I65:$O65)='School Level ADM'!$S65,SUM('School Level ADM'!$J65:$O65)='School Level ADM'!$S65,SUM('School Level ADM'!$K65:$O65)='School Level ADM'!$S65,SUM('School Level ADM'!$L65:$O65)='School Level ADM'!$S65,SUM('School Level ADM'!$M65:$O65)='School Level ADM'!$S65,SUM('School Level ADM'!$N65:$O65)='School Level ADM'!$S65),0,SUM('School Level ADM'!$O65:$R65)))</f>
        <v>0</v>
      </c>
      <c r="L65" s="139">
        <f t="shared" si="1"/>
        <v>13.046333333333333</v>
      </c>
      <c r="M65" s="24">
        <f>'Student At-Risk and ELL Proxy'!S65</f>
        <v>4</v>
      </c>
      <c r="N65" s="24">
        <f>'Student At-Risk and ELL Proxy'!AH65</f>
        <v>0</v>
      </c>
      <c r="O65" s="136">
        <f t="shared" si="7"/>
        <v>3.4567780795880556</v>
      </c>
      <c r="P65" s="136" t="str">
        <f t="shared" si="8"/>
        <v/>
      </c>
      <c r="Q65" s="136" t="str">
        <f t="shared" si="9"/>
        <v/>
      </c>
      <c r="R65" s="136">
        <f t="shared" si="2"/>
        <v>3.4567780795880556</v>
      </c>
      <c r="S65" s="136">
        <f>IF(SUM(3515.4*((VLOOKUP($A65,'District Level ADM'!$A$4:$F$52,6,FALSE))^-0.327)/'Model Data Inputs'!$B$71)&lt;1,1,(3515.4*((VLOOKUP($A65,'District Level ADM'!$A$4:$F$52,6,FALSE))^-0.327)/'Model Data Inputs'!$B$71))</f>
        <v>2.2610503922323058</v>
      </c>
      <c r="T65" s="136">
        <f>VLOOKUP($A65,'Regional Cost Adjustment'!$A$4:$C$52,3,FALSE)</f>
        <v>0.99</v>
      </c>
      <c r="U65" s="123">
        <f>((($I65/$L65)*'Model Data Inputs'!$B$85)+((SUM(J65:K65)/$L65)*'Model Data Inputs'!$C$85))*$R65*$T65</f>
        <v>21791.224194933209</v>
      </c>
      <c r="V65" s="140">
        <f>((($I65/$L65)*'Model Data Inputs'!$B$86)+((SUM(J65:K65)/$L65)*'Model Data Inputs'!$C$86))*$R65</f>
        <v>5851.0281042360757</v>
      </c>
      <c r="W65" s="140">
        <f t="shared" si="10"/>
        <v>27642.252299169286</v>
      </c>
      <c r="X65" s="140">
        <f t="shared" si="3"/>
        <v>284295.57458849694</v>
      </c>
      <c r="Y65" s="140">
        <f t="shared" si="4"/>
        <v>76334.462990565255</v>
      </c>
      <c r="Z65" s="123">
        <f>IF((SUM(X65:Y65))&lt;(AVERAGE('Elementary Size Adjustment'!$B$66,'Secondary Size Adjustment'!$B$66)),(AVERAGE('Elementary Size Adjustment'!$B$66,'Secondary Size Adjustment'!$B$66)),SUM(X65:Y65))</f>
        <v>360630.03757906216</v>
      </c>
      <c r="AA65" s="137">
        <f>'Model Data Inputs'!$B$71*S65*L65</f>
        <v>5604.6992491000801</v>
      </c>
      <c r="AB65" s="137">
        <f>L65*'Model Data Inputs'!$B$72</f>
        <v>326.1583333333333</v>
      </c>
      <c r="AC65" s="137">
        <f>L65*'Model Data Inputs'!$B$73</f>
        <v>3261.5833333333335</v>
      </c>
      <c r="AD65" s="137">
        <f>L65*'Model Data Inputs'!$B$74</f>
        <v>1630.7916666666667</v>
      </c>
      <c r="AE65" s="137">
        <f>$I65*'Model Data Inputs'!$B$76</f>
        <v>310.37226999999996</v>
      </c>
      <c r="AF65" s="137">
        <f>VLOOKUP($J65,'Student Activities MS&amp;HS Tables'!$M$7:$O$1267,3)</f>
        <v>0</v>
      </c>
      <c r="AG65" s="137">
        <f>VLOOKUP($K65,'Student Activities MS&amp;HS Tables'!$I$7:$K$3007,3)</f>
        <v>0</v>
      </c>
      <c r="AH65" s="137">
        <f t="shared" si="5"/>
        <v>310.37226999999996</v>
      </c>
      <c r="AI65" s="123">
        <f t="shared" si="11"/>
        <v>371763.64243149554</v>
      </c>
      <c r="AJ65" s="123">
        <f>(('Model Data Inputs'!$B$90*(('Model Data Inputs'!$B$87*('School Level Inst. Resources'!I65/'School Level Inst. Resources'!L65))+('Model Data Inputs'!$C$87*(SUM('School Level Inst. Resources'!J65:K65)/'School Level Inst. Resources'!L65))))*T65*M65)</f>
        <v>9575.5323771599742</v>
      </c>
      <c r="AK65" s="123">
        <f>(('Model Data Inputs'!$B$91*(('Model Data Inputs'!$B$87*('School Level Inst. Resources'!I65/'School Level Inst. Resources'!L65))+('Model Data Inputs'!$C$87*(SUM('School Level Inst. Resources'!J65:K65)/'School Level Inst. Resources'!L65))))*T65*N65)</f>
        <v>0</v>
      </c>
      <c r="AL65" s="137">
        <f>(K65*'Model Data Inputs'!$B$94)*T65</f>
        <v>0</v>
      </c>
      <c r="AM65" s="137">
        <f>K65*'Model Data Inputs'!$B$95</f>
        <v>0</v>
      </c>
      <c r="AN65" s="137">
        <f t="shared" si="12"/>
        <v>0</v>
      </c>
      <c r="AO65" s="137">
        <f>('School Level Inst. Resources'!K65*'Model Data Inputs'!$B$96)+('School Level Inst. Resources'!J65*'Model Data Inputs'!$B$97)</f>
        <v>0</v>
      </c>
      <c r="AP65" s="137">
        <f>$L65*'Model Data Inputs'!$B$100</f>
        <v>521.85333333333335</v>
      </c>
      <c r="AQ65" s="137">
        <f t="shared" si="13"/>
        <v>381861.02814198885</v>
      </c>
      <c r="AR65" s="141">
        <f t="shared" si="6"/>
        <v>29269.605366155665</v>
      </c>
    </row>
    <row r="66" spans="1:44" s="40" customFormat="1" ht="12.75" customHeight="1" x14ac:dyDescent="0.2">
      <c r="A66" s="20" t="s">
        <v>28</v>
      </c>
      <c r="B66" s="20" t="s">
        <v>29</v>
      </c>
      <c r="C66" s="20" t="s">
        <v>483</v>
      </c>
      <c r="D66" s="20" t="s">
        <v>484</v>
      </c>
      <c r="E66" s="138" t="s">
        <v>357</v>
      </c>
      <c r="F66" s="138" t="str">
        <f>IF(AND(SUM('School Level ADM'!$F66:$J66)=0,SUM('School Level ADM'!$O66:$R66)=0,'School Level ADM'!$K66&gt;0,'School Level ADM'!$N66&gt;0),"T","F")</f>
        <v>F</v>
      </c>
      <c r="G66" s="138" t="str">
        <f>IF(AND(SUM('School Level ADM'!$M66:$R66)=0,'School Level ADM'!$L66&gt;0),"T","F")</f>
        <v>T</v>
      </c>
      <c r="H66" s="138" t="str">
        <f t="shared" si="0"/>
        <v>E</v>
      </c>
      <c r="I66" s="139">
        <f>IF($F66="T",SUM('School Level ADM'!$F66:$J66),IF($G66="T",SUM('School Level ADM'!$F66:$L66),SUM('School Level ADM'!$F66:$K66,0)))</f>
        <v>74.762666666666661</v>
      </c>
      <c r="J66" s="139">
        <f>'School Level ADM'!$S66-$I66-$K66</f>
        <v>0</v>
      </c>
      <c r="K66" s="139">
        <f>IF(SUM('School Level ADM'!$N66:$R66)='School Level ADM'!$S66,SUM('School Level ADM'!$N66:$R66),IF(OR(SUM('School Level ADM'!$F66:$O66)='School Level ADM'!$S66,SUM('School Level ADM'!$G66:$O66)='School Level ADM'!$S66,SUM('School Level ADM'!$H66:$O66)='School Level ADM'!$S66,SUM('School Level ADM'!$I66:$O66)='School Level ADM'!$S66,SUM('School Level ADM'!$J66:$O66)='School Level ADM'!$S66,SUM('School Level ADM'!$K66:$O66)='School Level ADM'!$S66,SUM('School Level ADM'!$L66:$O66)='School Level ADM'!$S66,SUM('School Level ADM'!$M66:$O66)='School Level ADM'!$S66,SUM('School Level ADM'!$N66:$O66)='School Level ADM'!$S66),0,SUM('School Level ADM'!$O66:$R66)))</f>
        <v>0</v>
      </c>
      <c r="L66" s="139">
        <f t="shared" si="1"/>
        <v>74.762666666666661</v>
      </c>
      <c r="M66" s="24">
        <f>'Student At-Risk and ELL Proxy'!S66</f>
        <v>47</v>
      </c>
      <c r="N66" s="24">
        <f>'Student At-Risk and ELL Proxy'!AH66</f>
        <v>1</v>
      </c>
      <c r="O66" s="136">
        <f t="shared" si="7"/>
        <v>1.7254777630674627</v>
      </c>
      <c r="P66" s="136" t="str">
        <f t="shared" si="8"/>
        <v/>
      </c>
      <c r="Q66" s="136" t="str">
        <f t="shared" si="9"/>
        <v/>
      </c>
      <c r="R66" s="136">
        <f t="shared" si="2"/>
        <v>1.7254777630674627</v>
      </c>
      <c r="S66" s="136">
        <f>IF(SUM(3515.4*((VLOOKUP($A66,'District Level ADM'!$A$4:$F$52,6,FALSE))^-0.327)/'Model Data Inputs'!$B$71)&lt;1,1,(3515.4*((VLOOKUP($A66,'District Level ADM'!$A$4:$F$52,6,FALSE))^-0.327)/'Model Data Inputs'!$B$71))</f>
        <v>2.2610503922323058</v>
      </c>
      <c r="T66" s="136">
        <f>VLOOKUP($A66,'Regional Cost Adjustment'!$A$4:$C$52,3,FALSE)</f>
        <v>0.99</v>
      </c>
      <c r="U66" s="123">
        <f>((($I66/$L66)*'Model Data Inputs'!$B$85)+((SUM(J66:K66)/$L66)*'Model Data Inputs'!$C$85))*$R66*$T66</f>
        <v>10877.259665698803</v>
      </c>
      <c r="V66" s="140">
        <f>((($I66/$L66)*'Model Data Inputs'!$B$86)+((SUM(J66:K66)/$L66)*'Model Data Inputs'!$C$86))*$R66</f>
        <v>2920.5863531005843</v>
      </c>
      <c r="W66" s="140">
        <f t="shared" si="10"/>
        <v>13797.846018799388</v>
      </c>
      <c r="X66" s="140">
        <f t="shared" si="3"/>
        <v>813212.93863341759</v>
      </c>
      <c r="Y66" s="140">
        <f t="shared" si="4"/>
        <v>218350.82398807461</v>
      </c>
      <c r="Z66" s="123">
        <f>IF((SUM(X66:Y66))&lt;(AVERAGE('Elementary Size Adjustment'!$B$66,'Secondary Size Adjustment'!$B$66)),(AVERAGE('Elementary Size Adjustment'!$B$66,'Secondary Size Adjustment'!$B$66)),SUM(X66:Y66))</f>
        <v>1031563.7626214921</v>
      </c>
      <c r="AA66" s="137">
        <f>'Model Data Inputs'!$B$71*S66*L66</f>
        <v>32118.009790289962</v>
      </c>
      <c r="AB66" s="137">
        <f>L66*'Model Data Inputs'!$B$72</f>
        <v>1869.0666666666666</v>
      </c>
      <c r="AC66" s="137">
        <f>L66*'Model Data Inputs'!$B$73</f>
        <v>18690.666666666664</v>
      </c>
      <c r="AD66" s="137">
        <f>L66*'Model Data Inputs'!$B$74</f>
        <v>9345.3333333333321</v>
      </c>
      <c r="AE66" s="137">
        <f>$I66*'Model Data Inputs'!$B$76</f>
        <v>1778.6038399999998</v>
      </c>
      <c r="AF66" s="137">
        <f>VLOOKUP($J66,'Student Activities MS&amp;HS Tables'!$M$7:$O$1267,3)</f>
        <v>0</v>
      </c>
      <c r="AG66" s="137">
        <f>VLOOKUP($K66,'Student Activities MS&amp;HS Tables'!$I$7:$K$3007,3)</f>
        <v>0</v>
      </c>
      <c r="AH66" s="137">
        <f t="shared" si="5"/>
        <v>1778.6038399999998</v>
      </c>
      <c r="AI66" s="123">
        <f t="shared" si="11"/>
        <v>1095365.4429184487</v>
      </c>
      <c r="AJ66" s="123">
        <f>(('Model Data Inputs'!$B$90*(('Model Data Inputs'!$B$87*('School Level Inst. Resources'!I66/'School Level Inst. Resources'!L66))+('Model Data Inputs'!$C$87*(SUM('School Level Inst. Resources'!J66:K66)/'School Level Inst. Resources'!L66))))*T66*M66)</f>
        <v>112512.5054316297</v>
      </c>
      <c r="AK66" s="123">
        <f>(('Model Data Inputs'!$B$91*(('Model Data Inputs'!$B$87*('School Level Inst. Resources'!I66/'School Level Inst. Resources'!L66))+('Model Data Inputs'!$C$87*(SUM('School Level Inst. Resources'!J66:K66)/'School Level Inst. Resources'!L66))))*T66*N66)</f>
        <v>2393.8830942899936</v>
      </c>
      <c r="AL66" s="137">
        <f>(K66*'Model Data Inputs'!$B$94)*T66</f>
        <v>0</v>
      </c>
      <c r="AM66" s="137">
        <f>K66*'Model Data Inputs'!$B$95</f>
        <v>0</v>
      </c>
      <c r="AN66" s="137">
        <f t="shared" si="12"/>
        <v>0</v>
      </c>
      <c r="AO66" s="137">
        <f>('School Level Inst. Resources'!K66*'Model Data Inputs'!$B$96)+('School Level Inst. Resources'!J66*'Model Data Inputs'!$B$97)</f>
        <v>0</v>
      </c>
      <c r="AP66" s="137">
        <f>$L66*'Model Data Inputs'!$B$100</f>
        <v>2990.5066666666662</v>
      </c>
      <c r="AQ66" s="137">
        <f t="shared" si="13"/>
        <v>1213262.3381110351</v>
      </c>
      <c r="AR66" s="141">
        <f t="shared" si="6"/>
        <v>16228.184362663653</v>
      </c>
    </row>
    <row r="67" spans="1:44" s="40" customFormat="1" ht="12.75" customHeight="1" x14ac:dyDescent="0.2">
      <c r="A67" s="20" t="s">
        <v>28</v>
      </c>
      <c r="B67" s="20" t="s">
        <v>29</v>
      </c>
      <c r="C67" s="20" t="s">
        <v>485</v>
      </c>
      <c r="D67" s="20" t="s">
        <v>486</v>
      </c>
      <c r="E67" s="138" t="s">
        <v>357</v>
      </c>
      <c r="F67" s="138" t="str">
        <f>IF(AND(SUM('School Level ADM'!$F67:$J67)=0,SUM('School Level ADM'!$O67:$R67)=0,'School Level ADM'!$K67&gt;0,'School Level ADM'!$N67&gt;0),"T","F")</f>
        <v>F</v>
      </c>
      <c r="G67" s="138" t="str">
        <f>IF(AND(SUM('School Level ADM'!$M67:$R67)=0,'School Level ADM'!$L67&gt;0),"T","F")</f>
        <v>T</v>
      </c>
      <c r="H67" s="138" t="str">
        <f t="shared" si="0"/>
        <v>E</v>
      </c>
      <c r="I67" s="139">
        <f>IF($F67="T",SUM('School Level ADM'!$F67:$J67),IF($G67="T",SUM('School Level ADM'!$F67:$L67),SUM('School Level ADM'!$F67:$K67,0)))</f>
        <v>16.345333333333336</v>
      </c>
      <c r="J67" s="139">
        <f>'School Level ADM'!$S67-$I67-$K67</f>
        <v>0</v>
      </c>
      <c r="K67" s="139">
        <f>IF(SUM('School Level ADM'!$N67:$R67)='School Level ADM'!$S67,SUM('School Level ADM'!$N67:$R67),IF(OR(SUM('School Level ADM'!$F67:$O67)='School Level ADM'!$S67,SUM('School Level ADM'!$G67:$O67)='School Level ADM'!$S67,SUM('School Level ADM'!$H67:$O67)='School Level ADM'!$S67,SUM('School Level ADM'!$I67:$O67)='School Level ADM'!$S67,SUM('School Level ADM'!$J67:$O67)='School Level ADM'!$S67,SUM('School Level ADM'!$K67:$O67)='School Level ADM'!$S67,SUM('School Level ADM'!$L67:$O67)='School Level ADM'!$S67,SUM('School Level ADM'!$M67:$O67)='School Level ADM'!$S67,SUM('School Level ADM'!$N67:$O67)='School Level ADM'!$S67),0,SUM('School Level ADM'!$O67:$R67)))</f>
        <v>0</v>
      </c>
      <c r="L67" s="139">
        <f t="shared" si="1"/>
        <v>16.345333333333336</v>
      </c>
      <c r="M67" s="24">
        <f>'Student At-Risk and ELL Proxy'!S67</f>
        <v>6</v>
      </c>
      <c r="N67" s="24">
        <f>'Student At-Risk and ELL Proxy'!AH67</f>
        <v>0</v>
      </c>
      <c r="O67" s="136">
        <f t="shared" si="7"/>
        <v>3.1601317223904322</v>
      </c>
      <c r="P67" s="136" t="str">
        <f t="shared" si="8"/>
        <v/>
      </c>
      <c r="Q67" s="136" t="str">
        <f t="shared" si="9"/>
        <v/>
      </c>
      <c r="R67" s="136">
        <f t="shared" si="2"/>
        <v>3.1601317223904322</v>
      </c>
      <c r="S67" s="136">
        <f>IF(SUM(3515.4*((VLOOKUP($A67,'District Level ADM'!$A$4:$F$52,6,FALSE))^-0.327)/'Model Data Inputs'!$B$71)&lt;1,1,(3515.4*((VLOOKUP($A67,'District Level ADM'!$A$4:$F$52,6,FALSE))^-0.327)/'Model Data Inputs'!$B$71))</f>
        <v>2.2610503922323058</v>
      </c>
      <c r="T67" s="136">
        <f>VLOOKUP($A67,'Regional Cost Adjustment'!$A$4:$C$52,3,FALSE)</f>
        <v>0.99</v>
      </c>
      <c r="U67" s="123">
        <f>((($I67/$L67)*'Model Data Inputs'!$B$85)+((SUM(J67:K67)/$L67)*'Model Data Inputs'!$C$85))*$R67*$T67</f>
        <v>19921.191717443653</v>
      </c>
      <c r="V67" s="140">
        <f>((($I67/$L67)*'Model Data Inputs'!$B$86)+((SUM(J67:K67)/$L67)*'Model Data Inputs'!$C$86))*$R67</f>
        <v>5348.9171404945473</v>
      </c>
      <c r="W67" s="140">
        <f t="shared" si="10"/>
        <v>25270.108857938201</v>
      </c>
      <c r="X67" s="140">
        <f t="shared" si="3"/>
        <v>325618.5190188557</v>
      </c>
      <c r="Y67" s="140">
        <f t="shared" si="4"/>
        <v>87429.833633763556</v>
      </c>
      <c r="Z67" s="123">
        <f>IF((SUM(X67:Y67))&lt;(AVERAGE('Elementary Size Adjustment'!$B$66,'Secondary Size Adjustment'!$B$66)),(AVERAGE('Elementary Size Adjustment'!$B$66,'Secondary Size Adjustment'!$B$66)),SUM(X67:Y67))</f>
        <v>413048.35265261924</v>
      </c>
      <c r="AA67" s="137">
        <f>'Model Data Inputs'!$B$71*S67*L67</f>
        <v>7021.9482454552135</v>
      </c>
      <c r="AB67" s="137">
        <f>L67*'Model Data Inputs'!$B$72</f>
        <v>408.63333333333338</v>
      </c>
      <c r="AC67" s="137">
        <f>L67*'Model Data Inputs'!$B$73</f>
        <v>4086.3333333333339</v>
      </c>
      <c r="AD67" s="137">
        <f>L67*'Model Data Inputs'!$B$74</f>
        <v>2043.166666666667</v>
      </c>
      <c r="AE67" s="137">
        <f>$I67*'Model Data Inputs'!$B$76</f>
        <v>388.85548000000006</v>
      </c>
      <c r="AF67" s="137">
        <f>VLOOKUP($J67,'Student Activities MS&amp;HS Tables'!$M$7:$O$1267,3)</f>
        <v>0</v>
      </c>
      <c r="AG67" s="137">
        <f>VLOOKUP($K67,'Student Activities MS&amp;HS Tables'!$I$7:$K$3007,3)</f>
        <v>0</v>
      </c>
      <c r="AH67" s="137">
        <f t="shared" si="5"/>
        <v>388.85548000000006</v>
      </c>
      <c r="AI67" s="123">
        <f t="shared" si="11"/>
        <v>426997.28971140785</v>
      </c>
      <c r="AJ67" s="123">
        <f>(('Model Data Inputs'!$B$90*(('Model Data Inputs'!$B$87*('School Level Inst. Resources'!I67/'School Level Inst. Resources'!L67))+('Model Data Inputs'!$C$87*(SUM('School Level Inst. Resources'!J67:K67)/'School Level Inst. Resources'!L67))))*T67*M67)</f>
        <v>14363.298565739962</v>
      </c>
      <c r="AK67" s="123">
        <f>(('Model Data Inputs'!$B$91*(('Model Data Inputs'!$B$87*('School Level Inst. Resources'!I67/'School Level Inst. Resources'!L67))+('Model Data Inputs'!$C$87*(SUM('School Level Inst. Resources'!J67:K67)/'School Level Inst. Resources'!L67))))*T67*N67)</f>
        <v>0</v>
      </c>
      <c r="AL67" s="137">
        <f>(K67*'Model Data Inputs'!$B$94)*T67</f>
        <v>0</v>
      </c>
      <c r="AM67" s="137">
        <f>K67*'Model Data Inputs'!$B$95</f>
        <v>0</v>
      </c>
      <c r="AN67" s="137">
        <f t="shared" si="12"/>
        <v>0</v>
      </c>
      <c r="AO67" s="137">
        <f>('School Level Inst. Resources'!K67*'Model Data Inputs'!$B$96)+('School Level Inst. Resources'!J67*'Model Data Inputs'!$B$97)</f>
        <v>0</v>
      </c>
      <c r="AP67" s="137">
        <f>$L67*'Model Data Inputs'!$B$100</f>
        <v>653.8133333333335</v>
      </c>
      <c r="AQ67" s="137">
        <f t="shared" si="13"/>
        <v>442014.40161048115</v>
      </c>
      <c r="AR67" s="141">
        <f t="shared" si="6"/>
        <v>27042.238454022416</v>
      </c>
    </row>
    <row r="68" spans="1:44" s="40" customFormat="1" ht="12.75" customHeight="1" x14ac:dyDescent="0.2">
      <c r="A68" s="20" t="s">
        <v>28</v>
      </c>
      <c r="B68" s="20" t="s">
        <v>29</v>
      </c>
      <c r="C68" s="20" t="s">
        <v>487</v>
      </c>
      <c r="D68" s="20" t="s">
        <v>488</v>
      </c>
      <c r="E68" s="138" t="s">
        <v>357</v>
      </c>
      <c r="F68" s="138" t="str">
        <f>IF(AND(SUM('School Level ADM'!$F68:$J68)=0,SUM('School Level ADM'!$O68:$R68)=0,'School Level ADM'!$K68&gt;0,'School Level ADM'!$N68&gt;0),"T","F")</f>
        <v>F</v>
      </c>
      <c r="G68" s="138" t="str">
        <f>IF(AND(SUM('School Level ADM'!$M68:$R68)=0,'School Level ADM'!$L68&gt;0),"T","F")</f>
        <v>T</v>
      </c>
      <c r="H68" s="138" t="str">
        <f t="shared" si="0"/>
        <v>E</v>
      </c>
      <c r="I68" s="139">
        <f>IF($F68="T",SUM('School Level ADM'!$F68:$J68),IF($G68="T",SUM('School Level ADM'!$F68:$L68),SUM('School Level ADM'!$F68:$K68,0)))</f>
        <v>155.57533333333333</v>
      </c>
      <c r="J68" s="139">
        <f>'School Level ADM'!$S68-$I68-$K68</f>
        <v>0</v>
      </c>
      <c r="K68" s="139">
        <f>IF(SUM('School Level ADM'!$N68:$R68)='School Level ADM'!$S68,SUM('School Level ADM'!$N68:$R68),IF(OR(SUM('School Level ADM'!$F68:$O68)='School Level ADM'!$S68,SUM('School Level ADM'!$G68:$O68)='School Level ADM'!$S68,SUM('School Level ADM'!$H68:$O68)='School Level ADM'!$S68,SUM('School Level ADM'!$I68:$O68)='School Level ADM'!$S68,SUM('School Level ADM'!$J68:$O68)='School Level ADM'!$S68,SUM('School Level ADM'!$K68:$O68)='School Level ADM'!$S68,SUM('School Level ADM'!$L68:$O68)='School Level ADM'!$S68,SUM('School Level ADM'!$M68:$O68)='School Level ADM'!$S68,SUM('School Level ADM'!$N68:$O68)='School Level ADM'!$S68),0,SUM('School Level ADM'!$O68:$R68)))</f>
        <v>0</v>
      </c>
      <c r="L68" s="139">
        <f t="shared" si="1"/>
        <v>155.57533333333333</v>
      </c>
      <c r="M68" s="24">
        <f>'Student At-Risk and ELL Proxy'!S68</f>
        <v>65</v>
      </c>
      <c r="N68" s="24">
        <f>'Student At-Risk and ELL Proxy'!AH68</f>
        <v>2</v>
      </c>
      <c r="O68" s="136">
        <f t="shared" si="7"/>
        <v>1.2889720374612854</v>
      </c>
      <c r="P68" s="136" t="str">
        <f t="shared" si="8"/>
        <v/>
      </c>
      <c r="Q68" s="136" t="str">
        <f t="shared" si="9"/>
        <v/>
      </c>
      <c r="R68" s="136">
        <f t="shared" si="2"/>
        <v>1.2889720374612854</v>
      </c>
      <c r="S68" s="136">
        <f>IF(SUM(3515.4*((VLOOKUP($A68,'District Level ADM'!$A$4:$F$52,6,FALSE))^-0.327)/'Model Data Inputs'!$B$71)&lt;1,1,(3515.4*((VLOOKUP($A68,'District Level ADM'!$A$4:$F$52,6,FALSE))^-0.327)/'Model Data Inputs'!$B$71))</f>
        <v>2.2610503922323058</v>
      </c>
      <c r="T68" s="136">
        <f>VLOOKUP($A68,'Regional Cost Adjustment'!$A$4:$C$52,3,FALSE)</f>
        <v>0.99</v>
      </c>
      <c r="U68" s="123">
        <f>((($I68/$L68)*'Model Data Inputs'!$B$85)+((SUM(J68:K68)/$L68)*'Model Data Inputs'!$C$85))*$R68*$T68</f>
        <v>8125.5660625648252</v>
      </c>
      <c r="V68" s="140">
        <f>((($I68/$L68)*'Model Data Inputs'!$B$86)+((SUM(J68:K68)/$L68)*'Model Data Inputs'!$C$86))*$R68</f>
        <v>2181.7459620257641</v>
      </c>
      <c r="W68" s="140">
        <f t="shared" si="10"/>
        <v>10307.312024590588</v>
      </c>
      <c r="X68" s="140">
        <f t="shared" si="3"/>
        <v>1264137.6487055435</v>
      </c>
      <c r="Y68" s="140">
        <f t="shared" si="4"/>
        <v>339425.85529081227</v>
      </c>
      <c r="Z68" s="123">
        <f>IF((SUM(X68:Y68))&lt;(AVERAGE('Elementary Size Adjustment'!$B$66,'Secondary Size Adjustment'!$B$66)),(AVERAGE('Elementary Size Adjustment'!$B$66,'Secondary Size Adjustment'!$B$66)),SUM(X68:Y68))</f>
        <v>1603563.5039963557</v>
      </c>
      <c r="AA68" s="137">
        <f>'Model Data Inputs'!$B$71*S68*L68</f>
        <v>66835.09700645096</v>
      </c>
      <c r="AB68" s="137">
        <f>L68*'Model Data Inputs'!$B$72</f>
        <v>3889.3833333333332</v>
      </c>
      <c r="AC68" s="137">
        <f>L68*'Model Data Inputs'!$B$73</f>
        <v>38893.833333333336</v>
      </c>
      <c r="AD68" s="137">
        <f>L68*'Model Data Inputs'!$B$74</f>
        <v>19446.916666666668</v>
      </c>
      <c r="AE68" s="137">
        <f>$I68*'Model Data Inputs'!$B$76</f>
        <v>3701.1371799999997</v>
      </c>
      <c r="AF68" s="137">
        <f>VLOOKUP($J68,'Student Activities MS&amp;HS Tables'!$M$7:$O$1267,3)</f>
        <v>0</v>
      </c>
      <c r="AG68" s="137">
        <f>VLOOKUP($K68,'Student Activities MS&amp;HS Tables'!$I$7:$K$3007,3)</f>
        <v>0</v>
      </c>
      <c r="AH68" s="137">
        <f t="shared" si="5"/>
        <v>3701.1371799999997</v>
      </c>
      <c r="AI68" s="123">
        <f t="shared" si="11"/>
        <v>1736329.8715161399</v>
      </c>
      <c r="AJ68" s="123">
        <f>(('Model Data Inputs'!$B$90*(('Model Data Inputs'!$B$87*('School Level Inst. Resources'!I68/'School Level Inst. Resources'!L68))+('Model Data Inputs'!$C$87*(SUM('School Level Inst. Resources'!J68:K68)/'School Level Inst. Resources'!L68))))*T68*M68)</f>
        <v>155602.40112884957</v>
      </c>
      <c r="AK68" s="123">
        <f>(('Model Data Inputs'!$B$91*(('Model Data Inputs'!$B$87*('School Level Inst. Resources'!I68/'School Level Inst. Resources'!L68))+('Model Data Inputs'!$C$87*(SUM('School Level Inst. Resources'!J68:K68)/'School Level Inst. Resources'!L68))))*T68*N68)</f>
        <v>4787.7661885799871</v>
      </c>
      <c r="AL68" s="137">
        <f>(K68*'Model Data Inputs'!$B$94)*T68</f>
        <v>0</v>
      </c>
      <c r="AM68" s="137">
        <f>K68*'Model Data Inputs'!$B$95</f>
        <v>0</v>
      </c>
      <c r="AN68" s="137">
        <f t="shared" si="12"/>
        <v>0</v>
      </c>
      <c r="AO68" s="137">
        <f>('School Level Inst. Resources'!K68*'Model Data Inputs'!$B$96)+('School Level Inst. Resources'!J68*'Model Data Inputs'!$B$97)</f>
        <v>0</v>
      </c>
      <c r="AP68" s="137">
        <f>$L68*'Model Data Inputs'!$B$100</f>
        <v>6223.0133333333333</v>
      </c>
      <c r="AQ68" s="137">
        <f t="shared" si="13"/>
        <v>1902943.0521669029</v>
      </c>
      <c r="AR68" s="141">
        <f t="shared" si="6"/>
        <v>12231.650168408678</v>
      </c>
    </row>
    <row r="69" spans="1:44" s="40" customFormat="1" ht="12.75" customHeight="1" x14ac:dyDescent="0.2">
      <c r="A69" s="20" t="s">
        <v>28</v>
      </c>
      <c r="B69" s="20" t="s">
        <v>29</v>
      </c>
      <c r="C69" s="20" t="s">
        <v>489</v>
      </c>
      <c r="D69" s="20" t="s">
        <v>490</v>
      </c>
      <c r="E69" s="138" t="s">
        <v>465</v>
      </c>
      <c r="F69" s="138" t="str">
        <f>IF(AND(SUM('School Level ADM'!$F69:$J69)=0,SUM('School Level ADM'!$O69:$R69)=0,'School Level ADM'!$K69&gt;0,'School Level ADM'!$N69&gt;0),"T","F")</f>
        <v>F</v>
      </c>
      <c r="G69" s="138" t="str">
        <f>IF(AND(SUM('School Level ADM'!$M69:$R69)=0,'School Level ADM'!$L69&gt;0),"T","F")</f>
        <v>F</v>
      </c>
      <c r="H69" s="138" t="str">
        <f t="shared" ref="H69:H132" si="14">IF($K69&gt;0,"H",IF($J69&gt;0,"M","E"))</f>
        <v>H</v>
      </c>
      <c r="I69" s="139">
        <f>IF($F69="T",SUM('School Level ADM'!$F69:$J69),IF($G69="T",SUM('School Level ADM'!$F69:$L69),SUM('School Level ADM'!$F69:$K69,0)))</f>
        <v>0</v>
      </c>
      <c r="J69" s="139">
        <f>'School Level ADM'!$S69-$I69-$K69</f>
        <v>31.653666666666666</v>
      </c>
      <c r="K69" s="139">
        <f>IF(SUM('School Level ADM'!$N69:$R69)='School Level ADM'!$S69,SUM('School Level ADM'!$N69:$R69),IF(OR(SUM('School Level ADM'!$F69:$O69)='School Level ADM'!$S69,SUM('School Level ADM'!$G69:$O69)='School Level ADM'!$S69,SUM('School Level ADM'!$H69:$O69)='School Level ADM'!$S69,SUM('School Level ADM'!$I69:$O69)='School Level ADM'!$S69,SUM('School Level ADM'!$J69:$O69)='School Level ADM'!$S69,SUM('School Level ADM'!$K69:$O69)='School Level ADM'!$S69,SUM('School Level ADM'!$L69:$O69)='School Level ADM'!$S69,SUM('School Level ADM'!$M69:$O69)='School Level ADM'!$S69,SUM('School Level ADM'!$N69:$O69)='School Level ADM'!$S69),0,SUM('School Level ADM'!$O69:$R69)))</f>
        <v>56.648333333333326</v>
      </c>
      <c r="L69" s="139">
        <f t="shared" ref="L69:L132" si="15">SUM($I69:$K69)</f>
        <v>88.301999999999992</v>
      </c>
      <c r="M69" s="24">
        <f>'Student At-Risk and ELL Proxy'!S69</f>
        <v>50</v>
      </c>
      <c r="N69" s="24">
        <f>'Student At-Risk and ELL Proxy'!AH69</f>
        <v>0</v>
      </c>
      <c r="O69" s="136" t="str">
        <f t="shared" si="7"/>
        <v/>
      </c>
      <c r="P69" s="136">
        <f t="shared" si="8"/>
        <v>1.8935075217121824</v>
      </c>
      <c r="Q69" s="136" t="str">
        <f t="shared" si="9"/>
        <v/>
      </c>
      <c r="R69" s="136">
        <f t="shared" ref="R69:R132" si="16">(IF(E69="K-12",Q69,IF(E69="p-12",Q69,IF(O69="",P69,IF(P69="",O69,(O69*(I69/L69))+(P69*(SUM(J69:K69)/L69)))))))</f>
        <v>1.8935075217121824</v>
      </c>
      <c r="S69" s="136">
        <f>IF(SUM(3515.4*((VLOOKUP($A69,'District Level ADM'!$A$4:$F$52,6,FALSE))^-0.327)/'Model Data Inputs'!$B$71)&lt;1,1,(3515.4*((VLOOKUP($A69,'District Level ADM'!$A$4:$F$52,6,FALSE))^-0.327)/'Model Data Inputs'!$B$71))</f>
        <v>2.2610503922323058</v>
      </c>
      <c r="T69" s="136">
        <f>VLOOKUP($A69,'Regional Cost Adjustment'!$A$4:$C$52,3,FALSE)</f>
        <v>0.99</v>
      </c>
      <c r="U69" s="123">
        <f>((($I69/$L69)*'Model Data Inputs'!$B$85)+((SUM(J69:K69)/$L69)*'Model Data Inputs'!$C$85))*$R69*$T69</f>
        <v>10090.428862178343</v>
      </c>
      <c r="V69" s="140">
        <f>((($I69/$L69)*'Model Data Inputs'!$B$86)+((SUM(J69:K69)/$L69)*'Model Data Inputs'!$C$86))*$R69</f>
        <v>2713.6003370383919</v>
      </c>
      <c r="W69" s="140">
        <f t="shared" si="10"/>
        <v>12804.029199216735</v>
      </c>
      <c r="X69" s="140">
        <f t="shared" ref="X69:X132" si="17">U69*L69</f>
        <v>891005.04938807199</v>
      </c>
      <c r="Y69" s="140">
        <f t="shared" ref="Y69:Y132" si="18">V69*L69</f>
        <v>239616.33696116405</v>
      </c>
      <c r="Z69" s="123">
        <f>IF((SUM(X69:Y69))&lt;(AVERAGE('Elementary Size Adjustment'!$B$66,'Secondary Size Adjustment'!$B$66)),(AVERAGE('Elementary Size Adjustment'!$B$66,'Secondary Size Adjustment'!$B$66)),SUM(X69:Y69))</f>
        <v>1130621.3863492361</v>
      </c>
      <c r="AA69" s="137">
        <f>'Model Data Inputs'!$B$71*S69*L69</f>
        <v>37934.501629630438</v>
      </c>
      <c r="AB69" s="137">
        <f>L69*'Model Data Inputs'!$B$72</f>
        <v>2207.5499999999997</v>
      </c>
      <c r="AC69" s="137">
        <f>L69*'Model Data Inputs'!$B$73</f>
        <v>22075.499999999996</v>
      </c>
      <c r="AD69" s="137">
        <f>L69*'Model Data Inputs'!$B$74</f>
        <v>11037.749999999998</v>
      </c>
      <c r="AE69" s="137">
        <f>$I69*'Model Data Inputs'!$B$76</f>
        <v>0</v>
      </c>
      <c r="AF69" s="137">
        <f>VLOOKUP($J69,'Student Activities MS&amp;HS Tables'!$M$7:$O$1267,3)</f>
        <v>22046.579999999998</v>
      </c>
      <c r="AG69" s="137">
        <f>VLOOKUP($K69,'Student Activities MS&amp;HS Tables'!$I$7:$K$3007,3)</f>
        <v>99010.239999999991</v>
      </c>
      <c r="AH69" s="137">
        <f t="shared" ref="AH69:AH132" si="19">SUM(AE69:AG69)</f>
        <v>121056.81999999999</v>
      </c>
      <c r="AI69" s="123">
        <f t="shared" si="11"/>
        <v>1324933.5079788666</v>
      </c>
      <c r="AJ69" s="123">
        <f>(('Model Data Inputs'!$B$90*(('Model Data Inputs'!$B$87*('School Level Inst. Resources'!I69/'School Level Inst. Resources'!L69))+('Model Data Inputs'!$C$87*(SUM('School Level Inst. Resources'!J69:K69)/'School Level Inst. Resources'!L69))))*T69*M69)</f>
        <v>101216.07426433399</v>
      </c>
      <c r="AK69" s="123">
        <f>(('Model Data Inputs'!$B$91*(('Model Data Inputs'!$B$87*('School Level Inst. Resources'!I69/'School Level Inst. Resources'!L69))+('Model Data Inputs'!$C$87*(SUM('School Level Inst. Resources'!J69:K69)/'School Level Inst. Resources'!L69))))*T69*N69)</f>
        <v>0</v>
      </c>
      <c r="AL69" s="137">
        <f>(K69*'Model Data Inputs'!$B$94)*T69</f>
        <v>9257.1704793067493</v>
      </c>
      <c r="AM69" s="137">
        <f>K69*'Model Data Inputs'!$B$95</f>
        <v>2374.1217365416665</v>
      </c>
      <c r="AN69" s="137">
        <f t="shared" si="12"/>
        <v>11631.292215848416</v>
      </c>
      <c r="AO69" s="137">
        <f>('School Level Inst. Resources'!K69*'Model Data Inputs'!$B$96)+('School Level Inst. Resources'!J69*'Model Data Inputs'!$B$97)</f>
        <v>6456.1749999999993</v>
      </c>
      <c r="AP69" s="137">
        <f>$L69*'Model Data Inputs'!$B$100</f>
        <v>3532.08</v>
      </c>
      <c r="AQ69" s="137">
        <f t="shared" si="13"/>
        <v>1447769.1294590491</v>
      </c>
      <c r="AR69" s="141">
        <f t="shared" ref="AR69:AR132" si="20">AQ69/L69</f>
        <v>16395.655018675105</v>
      </c>
    </row>
    <row r="70" spans="1:44" s="40" customFormat="1" ht="12.75" customHeight="1" x14ac:dyDescent="0.2">
      <c r="A70" s="20" t="s">
        <v>28</v>
      </c>
      <c r="B70" s="20" t="s">
        <v>29</v>
      </c>
      <c r="C70" s="20" t="s">
        <v>491</v>
      </c>
      <c r="D70" s="20" t="s">
        <v>492</v>
      </c>
      <c r="E70" s="138" t="s">
        <v>474</v>
      </c>
      <c r="F70" s="138" t="str">
        <f>IF(AND(SUM('School Level ADM'!$F70:$J70)=0,SUM('School Level ADM'!$O70:$R70)=0,'School Level ADM'!$K70&gt;0,'School Level ADM'!$N70&gt;0),"T","F")</f>
        <v>F</v>
      </c>
      <c r="G70" s="138" t="str">
        <f>IF(AND(SUM('School Level ADM'!$M70:$R70)=0,'School Level ADM'!$L70&gt;0),"T","F")</f>
        <v>F</v>
      </c>
      <c r="H70" s="138" t="str">
        <f t="shared" si="14"/>
        <v>H</v>
      </c>
      <c r="I70" s="139">
        <f>IF($F70="T",SUM('School Level ADM'!$F70:$J70),IF($G70="T",SUM('School Level ADM'!$F70:$L70),SUM('School Level ADM'!$F70:$K70,0)))</f>
        <v>60.425333333333334</v>
      </c>
      <c r="J70" s="139">
        <f>'School Level ADM'!$S70-$I70-$K70</f>
        <v>35.657666666666699</v>
      </c>
      <c r="K70" s="139">
        <f>IF(SUM('School Level ADM'!$N70:$R70)='School Level ADM'!$S70,SUM('School Level ADM'!$N70:$R70),IF(OR(SUM('School Level ADM'!$F70:$O70)='School Level ADM'!$S70,SUM('School Level ADM'!$G70:$O70)='School Level ADM'!$S70,SUM('School Level ADM'!$H70:$O70)='School Level ADM'!$S70,SUM('School Level ADM'!$I70:$O70)='School Level ADM'!$S70,SUM('School Level ADM'!$J70:$O70)='School Level ADM'!$S70,SUM('School Level ADM'!$K70:$O70)='School Level ADM'!$S70,SUM('School Level ADM'!$L70:$O70)='School Level ADM'!$S70,SUM('School Level ADM'!$M70:$O70)='School Level ADM'!$S70,SUM('School Level ADM'!$N70:$O70)='School Level ADM'!$S70),0,SUM('School Level ADM'!$O70:$R70)))</f>
        <v>44.25333333333333</v>
      </c>
      <c r="L70" s="139">
        <f t="shared" si="15"/>
        <v>140.33633333333336</v>
      </c>
      <c r="M70" s="24">
        <f>'Student At-Risk and ELL Proxy'!S70</f>
        <v>48</v>
      </c>
      <c r="N70" s="24">
        <f>'Student At-Risk and ELL Proxy'!AH70</f>
        <v>0</v>
      </c>
      <c r="O70" s="136" t="str">
        <f t="shared" ref="O70:O133" si="21">IF(E70="K-12","",IF(E70="p-12","",IF(I70&lt;0.1,"",IF(SUM(77441*(L70^-0.398))/8060&lt;0.97,0.97,(77441*(L70^-0.398)/8060)))))</f>
        <v/>
      </c>
      <c r="P70" s="136" t="str">
        <f t="shared" ref="P70:P133" si="22">IF(E70="K-12","",IF(E70="p-12","",IF(SUM(J70:K70)&lt;0.1,"",IF(SUM(62206*(L70^-0.351)/6816)&lt;0.97,0.97,(62206*(L70^-0.351)/6816)))))</f>
        <v/>
      </c>
      <c r="Q70" s="136">
        <f t="shared" ref="Q70:Q133" si="23">IF(E70="K-12",((((77441*(I70^-0.398))/8060)*I70)+((62206*((J70)^-0.351))/6816)*J70+((62206*((K70)^-0.351))/6816)*K70)/L70,IF(E70="p-12",((((77441*(I70^-0.398))/8060)*I70)+((62206*((J70)^-0.351))/6816)*J70+((62206*((K70)^-0.351))/6816)*K70)/L70,""))</f>
        <v>2.2310139853902005</v>
      </c>
      <c r="R70" s="136">
        <f t="shared" si="16"/>
        <v>2.2310139853902005</v>
      </c>
      <c r="S70" s="136">
        <f>IF(SUM(3515.4*((VLOOKUP($A70,'District Level ADM'!$A$4:$F$52,6,FALSE))^-0.327)/'Model Data Inputs'!$B$71)&lt;1,1,(3515.4*((VLOOKUP($A70,'District Level ADM'!$A$4:$F$52,6,FALSE))^-0.327)/'Model Data Inputs'!$B$71))</f>
        <v>2.2610503922323058</v>
      </c>
      <c r="T70" s="136">
        <f>VLOOKUP($A70,'Regional Cost Adjustment'!$A$4:$C$52,3,FALSE)</f>
        <v>0.99</v>
      </c>
      <c r="U70" s="123">
        <f>((($I70/$L70)*'Model Data Inputs'!$B$85)+((SUM(J70:K70)/$L70)*'Model Data Inputs'!$C$85))*$R70*$T70</f>
        <v>12825.543663647775</v>
      </c>
      <c r="V70" s="140">
        <f>((($I70/$L70)*'Model Data Inputs'!$B$86)+((SUM(J70:K70)/$L70)*'Model Data Inputs'!$C$86))*$R70</f>
        <v>3446.5804368009499</v>
      </c>
      <c r="W70" s="140">
        <f t="shared" ref="W70:W133" si="24">SUM(U70:V70)</f>
        <v>16272.124100448726</v>
      </c>
      <c r="X70" s="140">
        <f t="shared" si="17"/>
        <v>1799889.7707628957</v>
      </c>
      <c r="Y70" s="140">
        <f t="shared" si="18"/>
        <v>483680.46103904379</v>
      </c>
      <c r="Z70" s="123">
        <f>IF((SUM(X70:Y70))&lt;(AVERAGE('Elementary Size Adjustment'!$B$66,'Secondary Size Adjustment'!$B$66)),(AVERAGE('Elementary Size Adjustment'!$B$66,'Secondary Size Adjustment'!$B$66)),SUM(X70:Y70))</f>
        <v>2283570.2318019397</v>
      </c>
      <c r="AA70" s="137">
        <f>'Model Data Inputs'!$B$71*S70*L70</f>
        <v>60288.429090277634</v>
      </c>
      <c r="AB70" s="137">
        <f>L70*'Model Data Inputs'!$B$72</f>
        <v>3508.4083333333338</v>
      </c>
      <c r="AC70" s="137">
        <f>L70*'Model Data Inputs'!$B$73</f>
        <v>35084.083333333336</v>
      </c>
      <c r="AD70" s="137">
        <f>L70*'Model Data Inputs'!$B$74</f>
        <v>17542.041666666668</v>
      </c>
      <c r="AE70" s="137">
        <f>$I70*'Model Data Inputs'!$B$76</f>
        <v>1437.5186799999999</v>
      </c>
      <c r="AF70" s="137">
        <f>VLOOKUP($J70,'Student Activities MS&amp;HS Tables'!$M$7:$O$1267,3)</f>
        <v>24558.449999999997</v>
      </c>
      <c r="AG70" s="137">
        <f>VLOOKUP($K70,'Student Activities MS&amp;HS Tables'!$I$7:$K$3007,3)</f>
        <v>80186.040000000008</v>
      </c>
      <c r="AH70" s="137">
        <f t="shared" si="19"/>
        <v>106182.00868</v>
      </c>
      <c r="AI70" s="123">
        <f t="shared" ref="AI70:AI133" si="25">SUM(Z70:AD70)+AH70</f>
        <v>2506175.2029055506</v>
      </c>
      <c r="AJ70" s="123">
        <f>(('Model Data Inputs'!$B$90*(('Model Data Inputs'!$B$87*('School Level Inst. Resources'!I70/'School Level Inst. Resources'!L70))+('Model Data Inputs'!$C$87*(SUM('School Level Inst. Resources'!J70:K70)/'School Level Inst. Resources'!L70))))*T70*M70)</f>
        <v>104805.38490334351</v>
      </c>
      <c r="AK70" s="123">
        <f>(('Model Data Inputs'!$B$91*(('Model Data Inputs'!$B$87*('School Level Inst. Resources'!I70/'School Level Inst. Resources'!L70))+('Model Data Inputs'!$C$87*(SUM('School Level Inst. Resources'!J70:K70)/'School Level Inst. Resources'!L70))))*T70*N70)</f>
        <v>0</v>
      </c>
      <c r="AL70" s="137">
        <f>(K70*'Model Data Inputs'!$B$94)*T70</f>
        <v>7231.6452548339994</v>
      </c>
      <c r="AM70" s="137">
        <f>K70*'Model Data Inputs'!$B$95</f>
        <v>1854.6494556666664</v>
      </c>
      <c r="AN70" s="137">
        <f t="shared" ref="AN70:AN133" si="26">SUM(AL70:AM70)</f>
        <v>9086.294710500666</v>
      </c>
      <c r="AO70" s="137">
        <f>('School Level Inst. Resources'!K70*'Model Data Inputs'!$B$96)+('School Level Inst. Resources'!J70*'Model Data Inputs'!$B$97)</f>
        <v>5316.7750000000005</v>
      </c>
      <c r="AP70" s="137">
        <f>$L70*'Model Data Inputs'!$B$100</f>
        <v>5613.4533333333347</v>
      </c>
      <c r="AQ70" s="137">
        <f t="shared" ref="AQ70:AQ133" si="27">SUM(AI70:AK70,AN70:AP70)</f>
        <v>2630997.1108527277</v>
      </c>
      <c r="AR70" s="141">
        <f t="shared" si="20"/>
        <v>18747.7971553059</v>
      </c>
    </row>
    <row r="71" spans="1:44" s="40" customFormat="1" ht="12.75" customHeight="1" x14ac:dyDescent="0.2">
      <c r="A71" s="20" t="s">
        <v>28</v>
      </c>
      <c r="B71" s="20" t="s">
        <v>29</v>
      </c>
      <c r="C71" s="20" t="s">
        <v>493</v>
      </c>
      <c r="D71" s="20" t="s">
        <v>494</v>
      </c>
      <c r="E71" s="138" t="s">
        <v>465</v>
      </c>
      <c r="F71" s="138" t="str">
        <f>IF(AND(SUM('School Level ADM'!$F71:$J71)=0,SUM('School Level ADM'!$O71:$R71)=0,'School Level ADM'!$K71&gt;0,'School Level ADM'!$N71&gt;0),"T","F")</f>
        <v>F</v>
      </c>
      <c r="G71" s="138" t="str">
        <f>IF(AND(SUM('School Level ADM'!$M71:$R71)=0,'School Level ADM'!$L71&gt;0),"T","F")</f>
        <v>F</v>
      </c>
      <c r="H71" s="138" t="str">
        <f t="shared" si="14"/>
        <v>H</v>
      </c>
      <c r="I71" s="139">
        <f>IF($F71="T",SUM('School Level ADM'!$F71:$J71),IF($G71="T",SUM('School Level ADM'!$F71:$L71),SUM('School Level ADM'!$F71:$K71,0)))</f>
        <v>0</v>
      </c>
      <c r="J71" s="139">
        <f>'School Level ADM'!$S71-$I71-$K71</f>
        <v>39.659000000000006</v>
      </c>
      <c r="K71" s="139">
        <f>IF(SUM('School Level ADM'!$N71:$R71)='School Level ADM'!$S71,SUM('School Level ADM'!$N71:$R71),IF(OR(SUM('School Level ADM'!$F71:$O71)='School Level ADM'!$S71,SUM('School Level ADM'!$G71:$O71)='School Level ADM'!$S71,SUM('School Level ADM'!$H71:$O71)='School Level ADM'!$S71,SUM('School Level ADM'!$I71:$O71)='School Level ADM'!$S71,SUM('School Level ADM'!$J71:$O71)='School Level ADM'!$S71,SUM('School Level ADM'!$K71:$O71)='School Level ADM'!$S71,SUM('School Level ADM'!$L71:$O71)='School Level ADM'!$S71,SUM('School Level ADM'!$M71:$O71)='School Level ADM'!$S71,SUM('School Level ADM'!$N71:$O71)='School Level ADM'!$S71),0,SUM('School Level ADM'!$O71:$R71)))</f>
        <v>91.095333333333329</v>
      </c>
      <c r="L71" s="139">
        <f t="shared" si="15"/>
        <v>130.75433333333334</v>
      </c>
      <c r="M71" s="24">
        <f>'Student At-Risk and ELL Proxy'!S71</f>
        <v>52</v>
      </c>
      <c r="N71" s="24">
        <f>'Student At-Risk and ELL Proxy'!AH71</f>
        <v>2</v>
      </c>
      <c r="O71" s="136" t="str">
        <f t="shared" si="21"/>
        <v/>
      </c>
      <c r="P71" s="136">
        <f t="shared" si="22"/>
        <v>1.6497821728784321</v>
      </c>
      <c r="Q71" s="136" t="str">
        <f t="shared" si="23"/>
        <v/>
      </c>
      <c r="R71" s="136">
        <f t="shared" si="16"/>
        <v>1.6497821728784321</v>
      </c>
      <c r="S71" s="136">
        <f>IF(SUM(3515.4*((VLOOKUP($A71,'District Level ADM'!$A$4:$F$52,6,FALSE))^-0.327)/'Model Data Inputs'!$B$71)&lt;1,1,(3515.4*((VLOOKUP($A71,'District Level ADM'!$A$4:$F$52,6,FALSE))^-0.327)/'Model Data Inputs'!$B$71))</f>
        <v>2.2610503922323058</v>
      </c>
      <c r="T71" s="136">
        <f>VLOOKUP($A71,'Regional Cost Adjustment'!$A$4:$C$52,3,FALSE)</f>
        <v>0.99</v>
      </c>
      <c r="U71" s="123">
        <f>((($I71/$L71)*'Model Data Inputs'!$B$85)+((SUM(J71:K71)/$L71)*'Model Data Inputs'!$C$85))*$R71*$T71</f>
        <v>8791.6258386272275</v>
      </c>
      <c r="V71" s="140">
        <f>((($I71/$L71)*'Model Data Inputs'!$B$86)+((SUM(J71:K71)/$L71)*'Model Data Inputs'!$C$86))*$R71</f>
        <v>2364.3156465070201</v>
      </c>
      <c r="W71" s="140">
        <f t="shared" si="24"/>
        <v>11155.941485134248</v>
      </c>
      <c r="X71" s="140">
        <f t="shared" si="17"/>
        <v>1149543.1754458107</v>
      </c>
      <c r="Y71" s="140">
        <f t="shared" si="18"/>
        <v>309144.51614859444</v>
      </c>
      <c r="Z71" s="123">
        <f>IF((SUM(X71:Y71))&lt;(AVERAGE('Elementary Size Adjustment'!$B$66,'Secondary Size Adjustment'!$B$66)),(AVERAGE('Elementary Size Adjustment'!$B$66,'Secondary Size Adjustment'!$B$66)),SUM(X71:Y71))</f>
        <v>1458687.6915944051</v>
      </c>
      <c r="AA71" s="137">
        <f>'Model Data Inputs'!$B$71*S71*L71</f>
        <v>56172.005967187331</v>
      </c>
      <c r="AB71" s="137">
        <f>L71*'Model Data Inputs'!$B$72</f>
        <v>3268.8583333333336</v>
      </c>
      <c r="AC71" s="137">
        <f>L71*'Model Data Inputs'!$B$73</f>
        <v>32688.583333333332</v>
      </c>
      <c r="AD71" s="137">
        <f>L71*'Model Data Inputs'!$B$74</f>
        <v>16344.291666666666</v>
      </c>
      <c r="AE71" s="137">
        <f>$I71*'Model Data Inputs'!$B$76</f>
        <v>0</v>
      </c>
      <c r="AF71" s="137">
        <f>VLOOKUP($J71,'Student Activities MS&amp;HS Tables'!$M$7:$O$1267,3)</f>
        <v>26993.85</v>
      </c>
      <c r="AG71" s="137">
        <f>VLOOKUP($K71,'Student Activities MS&amp;HS Tables'!$I$7:$K$3007,3)</f>
        <v>146462.68</v>
      </c>
      <c r="AH71" s="137">
        <f t="shared" si="19"/>
        <v>173456.53</v>
      </c>
      <c r="AI71" s="123">
        <f t="shared" si="25"/>
        <v>1740617.9608949258</v>
      </c>
      <c r="AJ71" s="123">
        <f>(('Model Data Inputs'!$B$90*(('Model Data Inputs'!$B$87*('School Level Inst. Resources'!I71/'School Level Inst. Resources'!L71))+('Model Data Inputs'!$C$87*(SUM('School Level Inst. Resources'!J71:K71)/'School Level Inst. Resources'!L71))))*T71*M71)</f>
        <v>105264.71723490735</v>
      </c>
      <c r="AK71" s="123">
        <f>(('Model Data Inputs'!$B$91*(('Model Data Inputs'!$B$87*('School Level Inst. Resources'!I71/'School Level Inst. Resources'!L71))+('Model Data Inputs'!$C$87*(SUM('School Level Inst. Resources'!J71:K71)/'School Level Inst. Resources'!L71))))*T71*N71)</f>
        <v>4048.6429705733594</v>
      </c>
      <c r="AL71" s="137">
        <f>(K71*'Model Data Inputs'!$B$94)*T71</f>
        <v>14886.316700154901</v>
      </c>
      <c r="AM71" s="137">
        <f>K71*'Model Data Inputs'!$B$95</f>
        <v>3817.7894783166662</v>
      </c>
      <c r="AN71" s="137">
        <f t="shared" si="26"/>
        <v>18704.106178471568</v>
      </c>
      <c r="AO71" s="137">
        <f>('School Level Inst. Resources'!K71*'Model Data Inputs'!$B$96)+('School Level Inst. Resources'!J71*'Model Data Inputs'!$B$97)</f>
        <v>10101.008333333333</v>
      </c>
      <c r="AP71" s="137">
        <f>$L71*'Model Data Inputs'!$B$100</f>
        <v>5230.1733333333332</v>
      </c>
      <c r="AQ71" s="137">
        <f t="shared" si="27"/>
        <v>1883966.6089455448</v>
      </c>
      <c r="AR71" s="141">
        <f t="shared" si="20"/>
        <v>14408.444912817764</v>
      </c>
    </row>
    <row r="72" spans="1:44" s="40" customFormat="1" ht="12.75" customHeight="1" x14ac:dyDescent="0.2">
      <c r="A72" s="20" t="s">
        <v>30</v>
      </c>
      <c r="B72" s="20" t="s">
        <v>31</v>
      </c>
      <c r="C72" s="20" t="s">
        <v>495</v>
      </c>
      <c r="D72" s="20" t="s">
        <v>496</v>
      </c>
      <c r="E72" s="138" t="s">
        <v>376</v>
      </c>
      <c r="F72" s="138" t="str">
        <f>IF(AND(SUM('School Level ADM'!$F72:$J72)=0,SUM('School Level ADM'!$O72:$R72)=0,'School Level ADM'!$K72&gt;0,'School Level ADM'!$N72&gt;0),"T","F")</f>
        <v>F</v>
      </c>
      <c r="G72" s="138" t="str">
        <f>IF(AND(SUM('School Level ADM'!$M72:$R72)=0,'School Level ADM'!$L72&gt;0),"T","F")</f>
        <v>F</v>
      </c>
      <c r="H72" s="138" t="str">
        <f t="shared" si="14"/>
        <v>M</v>
      </c>
      <c r="I72" s="139">
        <f>IF($F72="T",SUM('School Level ADM'!$F72:$J72),IF($G72="T",SUM('School Level ADM'!$F72:$L72),SUM('School Level ADM'!$F72:$K72,0)))</f>
        <v>11.637333333333332</v>
      </c>
      <c r="J72" s="139">
        <f>'School Level ADM'!$S72-$I72-$K72</f>
        <v>1.5783333333333331</v>
      </c>
      <c r="K72" s="139">
        <f>IF(SUM('School Level ADM'!$N72:$R72)='School Level ADM'!$S72,SUM('School Level ADM'!$N72:$R72),IF(OR(SUM('School Level ADM'!$F72:$O72)='School Level ADM'!$S72,SUM('School Level ADM'!$G72:$O72)='School Level ADM'!$S72,SUM('School Level ADM'!$H72:$O72)='School Level ADM'!$S72,SUM('School Level ADM'!$I72:$O72)='School Level ADM'!$S72,SUM('School Level ADM'!$J72:$O72)='School Level ADM'!$S72,SUM('School Level ADM'!$K72:$O72)='School Level ADM'!$S72,SUM('School Level ADM'!$L72:$O72)='School Level ADM'!$S72,SUM('School Level ADM'!$M72:$O72)='School Level ADM'!$S72,SUM('School Level ADM'!$N72:$O72)='School Level ADM'!$S72),0,SUM('School Level ADM'!$O72:$R72)))</f>
        <v>0</v>
      </c>
      <c r="L72" s="139">
        <f t="shared" si="15"/>
        <v>13.215666666666666</v>
      </c>
      <c r="M72" s="24">
        <f>'Student At-Risk and ELL Proxy'!S72</f>
        <v>6</v>
      </c>
      <c r="N72" s="24">
        <f>'Student At-Risk and ELL Proxy'!AH72</f>
        <v>3</v>
      </c>
      <c r="O72" s="136">
        <f t="shared" si="21"/>
        <v>3.4390814238472767</v>
      </c>
      <c r="P72" s="136">
        <f t="shared" si="22"/>
        <v>3.6880808116846762</v>
      </c>
      <c r="Q72" s="136" t="str">
        <f t="shared" si="23"/>
        <v/>
      </c>
      <c r="R72" s="136">
        <f t="shared" si="16"/>
        <v>3.4688191619210298</v>
      </c>
      <c r="S72" s="136">
        <f>IF(SUM(3515.4*((VLOOKUP($A72,'District Level ADM'!$A$4:$F$52,6,FALSE))^-0.327)/'Model Data Inputs'!$B$71)&lt;1,1,(3515.4*((VLOOKUP($A72,'District Level ADM'!$A$4:$F$52,6,FALSE))^-0.327)/'Model Data Inputs'!$B$71))</f>
        <v>1.6282964890208715</v>
      </c>
      <c r="T72" s="136">
        <f>VLOOKUP($A72,'Regional Cost Adjustment'!$A$4:$C$52,3,FALSE)</f>
        <v>1.0900000000000001</v>
      </c>
      <c r="U72" s="123">
        <f>((($I72/$L72)*'Model Data Inputs'!$B$85)+((SUM(J72:K72)/$L72)*'Model Data Inputs'!$C$85))*$R72*$T72</f>
        <v>23631.233257546166</v>
      </c>
      <c r="V72" s="140">
        <f>((($I72/$L72)*'Model Data Inputs'!$B$86)+((SUM(J72:K72)/$L72)*'Model Data Inputs'!$C$86))*$R72</f>
        <v>5763.8971033600101</v>
      </c>
      <c r="W72" s="140">
        <f t="shared" si="24"/>
        <v>29395.130360906176</v>
      </c>
      <c r="X72" s="140">
        <f t="shared" si="17"/>
        <v>312302.50165397761</v>
      </c>
      <c r="Y72" s="140">
        <f t="shared" si="18"/>
        <v>76173.742818971426</v>
      </c>
      <c r="Z72" s="123">
        <f>IF((SUM(X72:Y72))&lt;(AVERAGE('Elementary Size Adjustment'!$B$66,'Secondary Size Adjustment'!$B$66)),(AVERAGE('Elementary Size Adjustment'!$B$66,'Secondary Size Adjustment'!$B$66)),SUM(X72:Y72))</f>
        <v>388476.24447294907</v>
      </c>
      <c r="AA72" s="137">
        <f>'Model Data Inputs'!$B$71*S72*L72</f>
        <v>4088.6144903466643</v>
      </c>
      <c r="AB72" s="137">
        <f>L72*'Model Data Inputs'!$B$72</f>
        <v>330.39166666666665</v>
      </c>
      <c r="AC72" s="137">
        <f>L72*'Model Data Inputs'!$B$73</f>
        <v>3303.9166666666665</v>
      </c>
      <c r="AD72" s="137">
        <f>L72*'Model Data Inputs'!$B$74</f>
        <v>1651.9583333333333</v>
      </c>
      <c r="AE72" s="137">
        <f>$I72*'Model Data Inputs'!$B$76</f>
        <v>276.85215999999997</v>
      </c>
      <c r="AF72" s="137">
        <f>VLOOKUP($J72,'Student Activities MS&amp;HS Tables'!$M$7:$O$1267,3)</f>
        <v>782.54</v>
      </c>
      <c r="AG72" s="137">
        <f>VLOOKUP($K72,'Student Activities MS&amp;HS Tables'!$I$7:$K$3007,3)</f>
        <v>0</v>
      </c>
      <c r="AH72" s="137">
        <f t="shared" si="19"/>
        <v>1059.3921599999999</v>
      </c>
      <c r="AI72" s="123">
        <f t="shared" si="25"/>
        <v>398910.51778996241</v>
      </c>
      <c r="AJ72" s="123">
        <f>(('Model Data Inputs'!$B$90*(('Model Data Inputs'!$B$87*('School Level Inst. Resources'!I72/'School Level Inst. Resources'!L72))+('Model Data Inputs'!$C$87*(SUM('School Level Inst. Resources'!J72:K72)/'School Level Inst. Resources'!L72))))*T72*M72)</f>
        <v>15522.569343325504</v>
      </c>
      <c r="AK72" s="123">
        <f>(('Model Data Inputs'!$B$91*(('Model Data Inputs'!$B$87*('School Level Inst. Resources'!I72/'School Level Inst. Resources'!L72))+('Model Data Inputs'!$C$87*(SUM('School Level Inst. Resources'!J72:K72)/'School Level Inst. Resources'!L72))))*T72*N72)</f>
        <v>7761.2846716627519</v>
      </c>
      <c r="AL72" s="137">
        <f>(K72*'Model Data Inputs'!$B$94)*T72</f>
        <v>0</v>
      </c>
      <c r="AM72" s="137">
        <f>K72*'Model Data Inputs'!$B$95</f>
        <v>0</v>
      </c>
      <c r="AN72" s="137">
        <f t="shared" si="26"/>
        <v>0</v>
      </c>
      <c r="AO72" s="137">
        <f>('School Level Inst. Resources'!K72*'Model Data Inputs'!$B$96)+('School Level Inst. Resources'!J72*'Model Data Inputs'!$B$97)</f>
        <v>39.458333333333329</v>
      </c>
      <c r="AP72" s="137">
        <f>$L72*'Model Data Inputs'!$B$100</f>
        <v>528.62666666666667</v>
      </c>
      <c r="AQ72" s="137">
        <f t="shared" si="27"/>
        <v>422762.45680495061</v>
      </c>
      <c r="AR72" s="141">
        <f t="shared" si="20"/>
        <v>31989.491523062323</v>
      </c>
    </row>
    <row r="73" spans="1:44" s="40" customFormat="1" ht="12.75" customHeight="1" x14ac:dyDescent="0.2">
      <c r="A73" s="20" t="s">
        <v>30</v>
      </c>
      <c r="B73" s="20" t="s">
        <v>31</v>
      </c>
      <c r="C73" s="20" t="s">
        <v>497</v>
      </c>
      <c r="D73" s="20" t="s">
        <v>498</v>
      </c>
      <c r="E73" s="138" t="s">
        <v>499</v>
      </c>
      <c r="F73" s="138" t="str">
        <f>IF(AND(SUM('School Level ADM'!$F73:$J73)=0,SUM('School Level ADM'!$O73:$R73)=0,'School Level ADM'!$K73&gt;0,'School Level ADM'!$N73&gt;0),"T","F")</f>
        <v>F</v>
      </c>
      <c r="G73" s="138" t="str">
        <f>IF(AND(SUM('School Level ADM'!$M73:$R73)=0,'School Level ADM'!$L73&gt;0),"T","F")</f>
        <v>F</v>
      </c>
      <c r="H73" s="138" t="str">
        <f t="shared" si="14"/>
        <v>E</v>
      </c>
      <c r="I73" s="139">
        <f>IF($F73="T",SUM('School Level ADM'!$F73:$J73),IF($G73="T",SUM('School Level ADM'!$F73:$L73),SUM('School Level ADM'!$F73:$K73,0)))</f>
        <v>249.82066666666668</v>
      </c>
      <c r="J73" s="139">
        <f>'School Level ADM'!$S73-$I73-$K73</f>
        <v>0</v>
      </c>
      <c r="K73" s="139">
        <f>IF(SUM('School Level ADM'!$N73:$R73)='School Level ADM'!$S73,SUM('School Level ADM'!$N73:$R73),IF(OR(SUM('School Level ADM'!$F73:$O73)='School Level ADM'!$S73,SUM('School Level ADM'!$G73:$O73)='School Level ADM'!$S73,SUM('School Level ADM'!$H73:$O73)='School Level ADM'!$S73,SUM('School Level ADM'!$I73:$O73)='School Level ADM'!$S73,SUM('School Level ADM'!$J73:$O73)='School Level ADM'!$S73,SUM('School Level ADM'!$K73:$O73)='School Level ADM'!$S73,SUM('School Level ADM'!$L73:$O73)='School Level ADM'!$S73,SUM('School Level ADM'!$M73:$O73)='School Level ADM'!$S73,SUM('School Level ADM'!$N73:$O73)='School Level ADM'!$S73),0,SUM('School Level ADM'!$O73:$R73)))</f>
        <v>0</v>
      </c>
      <c r="L73" s="139">
        <f t="shared" si="15"/>
        <v>249.82066666666668</v>
      </c>
      <c r="M73" s="24">
        <f>'Student At-Risk and ELL Proxy'!S73</f>
        <v>96</v>
      </c>
      <c r="N73" s="24">
        <f>'Student At-Risk and ELL Proxy'!AH73</f>
        <v>5</v>
      </c>
      <c r="O73" s="136">
        <f t="shared" si="21"/>
        <v>1.0675293452036001</v>
      </c>
      <c r="P73" s="136" t="str">
        <f t="shared" si="22"/>
        <v/>
      </c>
      <c r="Q73" s="136" t="str">
        <f t="shared" si="23"/>
        <v/>
      </c>
      <c r="R73" s="136">
        <f t="shared" si="16"/>
        <v>1.0675293452036001</v>
      </c>
      <c r="S73" s="136">
        <f>IF(SUM(3515.4*((VLOOKUP($A73,'District Level ADM'!$A$4:$F$52,6,FALSE))^-0.327)/'Model Data Inputs'!$B$71)&lt;1,1,(3515.4*((VLOOKUP($A73,'District Level ADM'!$A$4:$F$52,6,FALSE))^-0.327)/'Model Data Inputs'!$B$71))</f>
        <v>1.6282964890208715</v>
      </c>
      <c r="T73" s="136">
        <f>VLOOKUP($A73,'Regional Cost Adjustment'!$A$4:$C$52,3,FALSE)</f>
        <v>1.0900000000000001</v>
      </c>
      <c r="U73" s="123">
        <f>((($I73/$L73)*'Model Data Inputs'!$B$85)+((SUM(J73:K73)/$L73)*'Model Data Inputs'!$C$85))*$R73*$T73</f>
        <v>7409.3695298594866</v>
      </c>
      <c r="V73" s="140">
        <f>((($I73/$L73)*'Model Data Inputs'!$B$86)+((SUM(J73:K73)/$L73)*'Model Data Inputs'!$C$86))*$R73</f>
        <v>1806.9265822315538</v>
      </c>
      <c r="W73" s="140">
        <f t="shared" si="24"/>
        <v>9216.2961120910404</v>
      </c>
      <c r="X73" s="140">
        <f t="shared" si="17"/>
        <v>1851013.6355291835</v>
      </c>
      <c r="Y73" s="140">
        <f t="shared" si="18"/>
        <v>451407.60339080828</v>
      </c>
      <c r="Z73" s="123">
        <f>IF((SUM(X73:Y73))&lt;(AVERAGE('Elementary Size Adjustment'!$B$66,'Secondary Size Adjustment'!$B$66)),(AVERAGE('Elementary Size Adjustment'!$B$66,'Secondary Size Adjustment'!$B$66)),SUM(X73:Y73))</f>
        <v>2302421.238919992</v>
      </c>
      <c r="AA73" s="137">
        <f>'Model Data Inputs'!$B$71*S73*L73</f>
        <v>77288.601739455495</v>
      </c>
      <c r="AB73" s="137">
        <f>L73*'Model Data Inputs'!$B$72</f>
        <v>6245.5166666666673</v>
      </c>
      <c r="AC73" s="137">
        <f>L73*'Model Data Inputs'!$B$73</f>
        <v>62455.166666666672</v>
      </c>
      <c r="AD73" s="137">
        <f>L73*'Model Data Inputs'!$B$74</f>
        <v>31227.583333333336</v>
      </c>
      <c r="AE73" s="137">
        <f>$I73*'Model Data Inputs'!$B$76</f>
        <v>5943.2336599999999</v>
      </c>
      <c r="AF73" s="137">
        <f>VLOOKUP($J73,'Student Activities MS&amp;HS Tables'!$M$7:$O$1267,3)</f>
        <v>0</v>
      </c>
      <c r="AG73" s="137">
        <f>VLOOKUP($K73,'Student Activities MS&amp;HS Tables'!$I$7:$K$3007,3)</f>
        <v>0</v>
      </c>
      <c r="AH73" s="137">
        <f t="shared" si="19"/>
        <v>5943.2336599999999</v>
      </c>
      <c r="AI73" s="123">
        <f t="shared" si="25"/>
        <v>2485581.340986114</v>
      </c>
      <c r="AJ73" s="123">
        <f>(('Model Data Inputs'!$B$90*(('Model Data Inputs'!$B$87*('School Level Inst. Resources'!I73/'School Level Inst. Resources'!L73))+('Model Data Inputs'!$C$87*(SUM('School Level Inst. Resources'!J73:K73)/'School Level Inst. Resources'!L73))))*T73*M73)</f>
        <v>253026.18887525753</v>
      </c>
      <c r="AK73" s="123">
        <f>(('Model Data Inputs'!$B$91*(('Model Data Inputs'!$B$87*('School Level Inst. Resources'!I73/'School Level Inst. Resources'!L73))+('Model Data Inputs'!$C$87*(SUM('School Level Inst. Resources'!J73:K73)/'School Level Inst. Resources'!L73))))*T73*N73)</f>
        <v>13178.447337252997</v>
      </c>
      <c r="AL73" s="137">
        <f>(K73*'Model Data Inputs'!$B$94)*T73</f>
        <v>0</v>
      </c>
      <c r="AM73" s="137">
        <f>K73*'Model Data Inputs'!$B$95</f>
        <v>0</v>
      </c>
      <c r="AN73" s="137">
        <f t="shared" si="26"/>
        <v>0</v>
      </c>
      <c r="AO73" s="137">
        <f>('School Level Inst. Resources'!K73*'Model Data Inputs'!$B$96)+('School Level Inst. Resources'!J73*'Model Data Inputs'!$B$97)</f>
        <v>0</v>
      </c>
      <c r="AP73" s="137">
        <f>$L73*'Model Data Inputs'!$B$100</f>
        <v>9992.8266666666677</v>
      </c>
      <c r="AQ73" s="137">
        <f t="shared" si="27"/>
        <v>2761778.8038652912</v>
      </c>
      <c r="AR73" s="141">
        <f t="shared" si="20"/>
        <v>11055.045368005147</v>
      </c>
    </row>
    <row r="74" spans="1:44" s="40" customFormat="1" ht="12.75" customHeight="1" x14ac:dyDescent="0.2">
      <c r="A74" s="20" t="s">
        <v>30</v>
      </c>
      <c r="B74" s="20" t="s">
        <v>31</v>
      </c>
      <c r="C74" s="20" t="s">
        <v>500</v>
      </c>
      <c r="D74" s="20" t="s">
        <v>501</v>
      </c>
      <c r="E74" s="138" t="s">
        <v>376</v>
      </c>
      <c r="F74" s="138" t="str">
        <f>IF(AND(SUM('School Level ADM'!$F74:$J74)=0,SUM('School Level ADM'!$O74:$R74)=0,'School Level ADM'!$K74&gt;0,'School Level ADM'!$N74&gt;0),"T","F")</f>
        <v>F</v>
      </c>
      <c r="G74" s="138" t="str">
        <f>IF(AND(SUM('School Level ADM'!$M74:$R74)=0,'School Level ADM'!$L74&gt;0),"T","F")</f>
        <v>F</v>
      </c>
      <c r="H74" s="138" t="str">
        <f t="shared" si="14"/>
        <v>M</v>
      </c>
      <c r="I74" s="139">
        <f>IF($F74="T",SUM('School Level ADM'!$F74:$J74),IF($G74="T",SUM('School Level ADM'!$F74:$L74),SUM('School Level ADM'!$F74:$K74,0)))</f>
        <v>14.046666666666667</v>
      </c>
      <c r="J74" s="139">
        <f>'School Level ADM'!$S74-$I74-$K74</f>
        <v>3.303333333333331</v>
      </c>
      <c r="K74" s="139">
        <f>IF(SUM('School Level ADM'!$N74:$R74)='School Level ADM'!$S74,SUM('School Level ADM'!$N74:$R74),IF(OR(SUM('School Level ADM'!$F74:$O74)='School Level ADM'!$S74,SUM('School Level ADM'!$G74:$O74)='School Level ADM'!$S74,SUM('School Level ADM'!$H74:$O74)='School Level ADM'!$S74,SUM('School Level ADM'!$I74:$O74)='School Level ADM'!$S74,SUM('School Level ADM'!$J74:$O74)='School Level ADM'!$S74,SUM('School Level ADM'!$K74:$O74)='School Level ADM'!$S74,SUM('School Level ADM'!$L74:$O74)='School Level ADM'!$S74,SUM('School Level ADM'!$M74:$O74)='School Level ADM'!$S74,SUM('School Level ADM'!$N74:$O74)='School Level ADM'!$S74),0,SUM('School Level ADM'!$O74:$R74)))</f>
        <v>0</v>
      </c>
      <c r="L74" s="139">
        <f t="shared" si="15"/>
        <v>17.349999999999998</v>
      </c>
      <c r="M74" s="24">
        <f>'Student At-Risk and ELL Proxy'!S74</f>
        <v>0</v>
      </c>
      <c r="N74" s="24">
        <f>'Student At-Risk and ELL Proxy'!AH74</f>
        <v>0</v>
      </c>
      <c r="O74" s="136">
        <f t="shared" si="21"/>
        <v>3.0859914459414775</v>
      </c>
      <c r="P74" s="136">
        <f t="shared" si="22"/>
        <v>3.3520352505703306</v>
      </c>
      <c r="Q74" s="136" t="str">
        <f t="shared" si="23"/>
        <v/>
      </c>
      <c r="R74" s="136">
        <f t="shared" si="16"/>
        <v>3.1366445507228784</v>
      </c>
      <c r="S74" s="136">
        <f>IF(SUM(3515.4*((VLOOKUP($A74,'District Level ADM'!$A$4:$F$52,6,FALSE))^-0.327)/'Model Data Inputs'!$B$71)&lt;1,1,(3515.4*((VLOOKUP($A74,'District Level ADM'!$A$4:$F$52,6,FALSE))^-0.327)/'Model Data Inputs'!$B$71))</f>
        <v>1.6282964890208715</v>
      </c>
      <c r="T74" s="136">
        <f>VLOOKUP($A74,'Regional Cost Adjustment'!$A$4:$C$52,3,FALSE)</f>
        <v>1.0900000000000001</v>
      </c>
      <c r="U74" s="123">
        <f>((($I74/$L74)*'Model Data Inputs'!$B$85)+((SUM(J74:K74)/$L74)*'Model Data Inputs'!$C$85))*$R74*$T74</f>
        <v>21129.366479999349</v>
      </c>
      <c r="V74" s="140">
        <f>((($I74/$L74)*'Model Data Inputs'!$B$86)+((SUM(J74:K74)/$L74)*'Model Data Inputs'!$C$86))*$R74</f>
        <v>5154.1791964776112</v>
      </c>
      <c r="W74" s="140">
        <f t="shared" si="24"/>
        <v>26283.545676476962</v>
      </c>
      <c r="X74" s="140">
        <f t="shared" si="17"/>
        <v>366594.50842798868</v>
      </c>
      <c r="Y74" s="140">
        <f t="shared" si="18"/>
        <v>89425.009058886542</v>
      </c>
      <c r="Z74" s="123">
        <f>IF((SUM(X74:Y74))&lt;(AVERAGE('Elementary Size Adjustment'!$B$66,'Secondary Size Adjustment'!$B$66)),(AVERAGE('Elementary Size Adjustment'!$B$66,'Secondary Size Adjustment'!$B$66)),SUM(X74:Y74))</f>
        <v>456019.51748687524</v>
      </c>
      <c r="AA74" s="137">
        <f>'Model Data Inputs'!$B$71*S74*L74</f>
        <v>5367.6793760573028</v>
      </c>
      <c r="AB74" s="137">
        <f>L74*'Model Data Inputs'!$B$72</f>
        <v>433.74999999999994</v>
      </c>
      <c r="AC74" s="137">
        <f>L74*'Model Data Inputs'!$B$73</f>
        <v>4337.4999999999991</v>
      </c>
      <c r="AD74" s="137">
        <f>L74*'Model Data Inputs'!$B$74</f>
        <v>2168.7499999999995</v>
      </c>
      <c r="AE74" s="137">
        <f>$I74*'Model Data Inputs'!$B$76</f>
        <v>334.17019999999997</v>
      </c>
      <c r="AF74" s="137">
        <f>VLOOKUP($J74,'Student Activities MS&amp;HS Tables'!$M$7:$O$1267,3)</f>
        <v>2333.34</v>
      </c>
      <c r="AG74" s="137">
        <f>VLOOKUP($K74,'Student Activities MS&amp;HS Tables'!$I$7:$K$3007,3)</f>
        <v>0</v>
      </c>
      <c r="AH74" s="137">
        <f t="shared" si="19"/>
        <v>2667.5102000000002</v>
      </c>
      <c r="AI74" s="123">
        <f t="shared" si="25"/>
        <v>470994.70706293255</v>
      </c>
      <c r="AJ74" s="123">
        <f>(('Model Data Inputs'!$B$90*(('Model Data Inputs'!$B$87*('School Level Inst. Resources'!I74/'School Level Inst. Resources'!L74))+('Model Data Inputs'!$C$87*(SUM('School Level Inst. Resources'!J74:K74)/'School Level Inst. Resources'!L74))))*T74*M74)</f>
        <v>0</v>
      </c>
      <c r="AK74" s="123">
        <f>(('Model Data Inputs'!$B$91*(('Model Data Inputs'!$B$87*('School Level Inst. Resources'!I74/'School Level Inst. Resources'!L74))+('Model Data Inputs'!$C$87*(SUM('School Level Inst. Resources'!J74:K74)/'School Level Inst. Resources'!L74))))*T74*N74)</f>
        <v>0</v>
      </c>
      <c r="AL74" s="137">
        <f>(K74*'Model Data Inputs'!$B$94)*T74</f>
        <v>0</v>
      </c>
      <c r="AM74" s="137">
        <f>K74*'Model Data Inputs'!$B$95</f>
        <v>0</v>
      </c>
      <c r="AN74" s="137">
        <f t="shared" si="26"/>
        <v>0</v>
      </c>
      <c r="AO74" s="137">
        <f>('School Level Inst. Resources'!K74*'Model Data Inputs'!$B$96)+('School Level Inst. Resources'!J74*'Model Data Inputs'!$B$97)</f>
        <v>82.583333333333272</v>
      </c>
      <c r="AP74" s="137">
        <f>$L74*'Model Data Inputs'!$B$100</f>
        <v>693.99999999999989</v>
      </c>
      <c r="AQ74" s="137">
        <f t="shared" si="27"/>
        <v>471771.29039626586</v>
      </c>
      <c r="AR74" s="141">
        <f t="shared" si="20"/>
        <v>27191.428841283338</v>
      </c>
    </row>
    <row r="75" spans="1:44" s="40" customFormat="1" ht="12.75" customHeight="1" x14ac:dyDescent="0.2">
      <c r="A75" s="20" t="s">
        <v>30</v>
      </c>
      <c r="B75" s="20" t="s">
        <v>31</v>
      </c>
      <c r="C75" s="20" t="s">
        <v>502</v>
      </c>
      <c r="D75" s="20" t="s">
        <v>503</v>
      </c>
      <c r="E75" s="138" t="s">
        <v>376</v>
      </c>
      <c r="F75" s="138" t="str">
        <f>IF(AND(SUM('School Level ADM'!$F75:$J75)=0,SUM('School Level ADM'!$O75:$R75)=0,'School Level ADM'!$K75&gt;0,'School Level ADM'!$N75&gt;0),"T","F")</f>
        <v>F</v>
      </c>
      <c r="G75" s="138" t="str">
        <f>IF(AND(SUM('School Level ADM'!$M75:$R75)=0,'School Level ADM'!$L75&gt;0),"T","F")</f>
        <v>F</v>
      </c>
      <c r="H75" s="138" t="str">
        <f t="shared" si="14"/>
        <v>M</v>
      </c>
      <c r="I75" s="139">
        <f>IF($F75="T",SUM('School Level ADM'!$F75:$J75),IF($G75="T",SUM('School Level ADM'!$F75:$L75),SUM('School Level ADM'!$F75:$K75,0)))</f>
        <v>9.8306666666666658</v>
      </c>
      <c r="J75" s="139">
        <f>'School Level ADM'!$S75-$I75-$K75</f>
        <v>1.466666666666665</v>
      </c>
      <c r="K75" s="139">
        <f>IF(SUM('School Level ADM'!$N75:$R75)='School Level ADM'!$S75,SUM('School Level ADM'!$N75:$R75),IF(OR(SUM('School Level ADM'!$F75:$O75)='School Level ADM'!$S75,SUM('School Level ADM'!$G75:$O75)='School Level ADM'!$S75,SUM('School Level ADM'!$H75:$O75)='School Level ADM'!$S75,SUM('School Level ADM'!$I75:$O75)='School Level ADM'!$S75,SUM('School Level ADM'!$J75:$O75)='School Level ADM'!$S75,SUM('School Level ADM'!$K75:$O75)='School Level ADM'!$S75,SUM('School Level ADM'!$L75:$O75)='School Level ADM'!$S75,SUM('School Level ADM'!$M75:$O75)='School Level ADM'!$S75,SUM('School Level ADM'!$N75:$O75)='School Level ADM'!$S75),0,SUM('School Level ADM'!$O75:$R75)))</f>
        <v>0</v>
      </c>
      <c r="L75" s="139">
        <f t="shared" si="15"/>
        <v>11.297333333333331</v>
      </c>
      <c r="M75" s="24">
        <f>'Student At-Risk and ELL Proxy'!S75</f>
        <v>2</v>
      </c>
      <c r="N75" s="24">
        <f>'Student At-Risk and ELL Proxy'!AH75</f>
        <v>0</v>
      </c>
      <c r="O75" s="136">
        <f t="shared" si="21"/>
        <v>3.6605933404152822</v>
      </c>
      <c r="P75" s="136">
        <f t="shared" si="22"/>
        <v>3.8968001947802566</v>
      </c>
      <c r="Q75" s="136" t="str">
        <f t="shared" si="23"/>
        <v/>
      </c>
      <c r="R75" s="136">
        <f t="shared" si="16"/>
        <v>3.691258693867598</v>
      </c>
      <c r="S75" s="136">
        <f>IF(SUM(3515.4*((VLOOKUP($A75,'District Level ADM'!$A$4:$F$52,6,FALSE))^-0.327)/'Model Data Inputs'!$B$71)&lt;1,1,(3515.4*((VLOOKUP($A75,'District Level ADM'!$A$4:$F$52,6,FALSE))^-0.327)/'Model Data Inputs'!$B$71))</f>
        <v>1.6282964890208715</v>
      </c>
      <c r="T75" s="136">
        <f>VLOOKUP($A75,'Regional Cost Adjustment'!$A$4:$C$52,3,FALSE)</f>
        <v>1.0900000000000001</v>
      </c>
      <c r="U75" s="123">
        <f>((($I75/$L75)*'Model Data Inputs'!$B$85)+((SUM(J75:K75)/$L75)*'Model Data Inputs'!$C$85))*$R75*$T75</f>
        <v>25105.407399237043</v>
      </c>
      <c r="V75" s="140">
        <f>((($I75/$L75)*'Model Data Inputs'!$B$86)+((SUM(J75:K75)/$L75)*'Model Data Inputs'!$C$86))*$R75</f>
        <v>6123.5514931249154</v>
      </c>
      <c r="W75" s="140">
        <f t="shared" si="24"/>
        <v>31228.958892361959</v>
      </c>
      <c r="X75" s="140">
        <f t="shared" si="17"/>
        <v>283624.1558583139</v>
      </c>
      <c r="Y75" s="140">
        <f t="shared" si="18"/>
        <v>69179.802401663197</v>
      </c>
      <c r="Z75" s="123">
        <f>IF((SUM(X75:Y75))&lt;(AVERAGE('Elementary Size Adjustment'!$B$66,'Secondary Size Adjustment'!$B$66)),(AVERAGE('Elementary Size Adjustment'!$B$66,'Secondary Size Adjustment'!$B$66)),SUM(X75:Y75))</f>
        <v>352803.95825997711</v>
      </c>
      <c r="AA75" s="137">
        <f>'Model Data Inputs'!$B$71*S75*L75</f>
        <v>3495.1275583733732</v>
      </c>
      <c r="AB75" s="137">
        <f>L75*'Model Data Inputs'!$B$72</f>
        <v>282.43333333333328</v>
      </c>
      <c r="AC75" s="137">
        <f>L75*'Model Data Inputs'!$B$73</f>
        <v>2824.3333333333326</v>
      </c>
      <c r="AD75" s="137">
        <f>L75*'Model Data Inputs'!$B$74</f>
        <v>1412.1666666666663</v>
      </c>
      <c r="AE75" s="137">
        <f>$I75*'Model Data Inputs'!$B$76</f>
        <v>233.87155999999996</v>
      </c>
      <c r="AF75" s="137">
        <f>VLOOKUP($J75,'Student Activities MS&amp;HS Tables'!$M$7:$O$1267,3)</f>
        <v>782.54</v>
      </c>
      <c r="AG75" s="137">
        <f>VLOOKUP($K75,'Student Activities MS&amp;HS Tables'!$I$7:$K$3007,3)</f>
        <v>0</v>
      </c>
      <c r="AH75" s="137">
        <f t="shared" si="19"/>
        <v>1016.4115599999999</v>
      </c>
      <c r="AI75" s="123">
        <f t="shared" si="25"/>
        <v>361834.43071168382</v>
      </c>
      <c r="AJ75" s="123">
        <f>(('Model Data Inputs'!$B$90*(('Model Data Inputs'!$B$87*('School Level Inst. Resources'!I75/'School Level Inst. Resources'!L75))+('Model Data Inputs'!$C$87*(SUM('School Level Inst. Resources'!J75:K75)/'School Level Inst. Resources'!L75))))*T75*M75)</f>
        <v>5165.7303639336524</v>
      </c>
      <c r="AK75" s="123">
        <f>(('Model Data Inputs'!$B$91*(('Model Data Inputs'!$B$87*('School Level Inst. Resources'!I75/'School Level Inst. Resources'!L75))+('Model Data Inputs'!$C$87*(SUM('School Level Inst. Resources'!J75:K75)/'School Level Inst. Resources'!L75))))*T75*N75)</f>
        <v>0</v>
      </c>
      <c r="AL75" s="137">
        <f>(K75*'Model Data Inputs'!$B$94)*T75</f>
        <v>0</v>
      </c>
      <c r="AM75" s="137">
        <f>K75*'Model Data Inputs'!$B$95</f>
        <v>0</v>
      </c>
      <c r="AN75" s="137">
        <f t="shared" si="26"/>
        <v>0</v>
      </c>
      <c r="AO75" s="137">
        <f>('School Level Inst. Resources'!K75*'Model Data Inputs'!$B$96)+('School Level Inst. Resources'!J75*'Model Data Inputs'!$B$97)</f>
        <v>36.666666666666629</v>
      </c>
      <c r="AP75" s="137">
        <f>$L75*'Model Data Inputs'!$B$100</f>
        <v>451.8933333333332</v>
      </c>
      <c r="AQ75" s="137">
        <f t="shared" si="27"/>
        <v>367488.72107561748</v>
      </c>
      <c r="AR75" s="141">
        <f t="shared" si="20"/>
        <v>32528.802172396219</v>
      </c>
    </row>
    <row r="76" spans="1:44" s="40" customFormat="1" ht="12.75" customHeight="1" x14ac:dyDescent="0.2">
      <c r="A76" s="20" t="s">
        <v>30</v>
      </c>
      <c r="B76" s="20" t="s">
        <v>31</v>
      </c>
      <c r="C76" s="20" t="s">
        <v>504</v>
      </c>
      <c r="D76" s="20" t="s">
        <v>505</v>
      </c>
      <c r="E76" s="138" t="s">
        <v>376</v>
      </c>
      <c r="F76" s="138" t="str">
        <f>IF(AND(SUM('School Level ADM'!$F76:$J76)=0,SUM('School Level ADM'!$O76:$R76)=0,'School Level ADM'!$K76&gt;0,'School Level ADM'!$N76&gt;0),"T","F")</f>
        <v>F</v>
      </c>
      <c r="G76" s="138" t="str">
        <f>IF(AND(SUM('School Level ADM'!$M76:$R76)=0,'School Level ADM'!$L76&gt;0),"T","F")</f>
        <v>F</v>
      </c>
      <c r="H76" s="138" t="str">
        <f t="shared" si="14"/>
        <v>E</v>
      </c>
      <c r="I76" s="139">
        <f>IF($F76="T",SUM('School Level ADM'!$F76:$J76),IF($G76="T",SUM('School Level ADM'!$F76:$L76),SUM('School Level ADM'!$F76:$K76,0)))</f>
        <v>6.293333333333333</v>
      </c>
      <c r="J76" s="139">
        <f>'School Level ADM'!$S76-$I76-$K76</f>
        <v>0</v>
      </c>
      <c r="K76" s="139">
        <f>IF(SUM('School Level ADM'!$N76:$R76)='School Level ADM'!$S76,SUM('School Level ADM'!$N76:$R76),IF(OR(SUM('School Level ADM'!$F76:$O76)='School Level ADM'!$S76,SUM('School Level ADM'!$G76:$O76)='School Level ADM'!$S76,SUM('School Level ADM'!$H76:$O76)='School Level ADM'!$S76,SUM('School Level ADM'!$I76:$O76)='School Level ADM'!$S76,SUM('School Level ADM'!$J76:$O76)='School Level ADM'!$S76,SUM('School Level ADM'!$K76:$O76)='School Level ADM'!$S76,SUM('School Level ADM'!$L76:$O76)='School Level ADM'!$S76,SUM('School Level ADM'!$M76:$O76)='School Level ADM'!$S76,SUM('School Level ADM'!$N76:$O76)='School Level ADM'!$S76),0,SUM('School Level ADM'!$O76:$R76)))</f>
        <v>0</v>
      </c>
      <c r="L76" s="139">
        <f t="shared" si="15"/>
        <v>6.293333333333333</v>
      </c>
      <c r="M76" s="24">
        <f>'Student At-Risk and ELL Proxy'!S76</f>
        <v>0</v>
      </c>
      <c r="N76" s="24">
        <f>'Student At-Risk and ELL Proxy'!AH76</f>
        <v>0</v>
      </c>
      <c r="O76" s="136">
        <f t="shared" si="21"/>
        <v>4.62041917969706</v>
      </c>
      <c r="P76" s="136" t="str">
        <f t="shared" si="22"/>
        <v/>
      </c>
      <c r="Q76" s="136" t="str">
        <f t="shared" si="23"/>
        <v/>
      </c>
      <c r="R76" s="136">
        <f t="shared" si="16"/>
        <v>4.62041917969706</v>
      </c>
      <c r="S76" s="136">
        <f>IF(SUM(3515.4*((VLOOKUP($A76,'District Level ADM'!$A$4:$F$52,6,FALSE))^-0.327)/'Model Data Inputs'!$B$71)&lt;1,1,(3515.4*((VLOOKUP($A76,'District Level ADM'!$A$4:$F$52,6,FALSE))^-0.327)/'Model Data Inputs'!$B$71))</f>
        <v>1.6282964890208715</v>
      </c>
      <c r="T76" s="136">
        <f>VLOOKUP($A76,'Regional Cost Adjustment'!$A$4:$C$52,3,FALSE)</f>
        <v>1.0900000000000001</v>
      </c>
      <c r="U76" s="123">
        <f>((($I76/$L76)*'Model Data Inputs'!$B$85)+((SUM(J76:K76)/$L76)*'Model Data Inputs'!$C$85))*$R76*$T76</f>
        <v>32068.807512449737</v>
      </c>
      <c r="V76" s="140">
        <f>((($I76/$L76)*'Model Data Inputs'!$B$86)+((SUM(J76:K76)/$L76)*'Model Data Inputs'!$C$86))*$R76</f>
        <v>7820.6358207931471</v>
      </c>
      <c r="W76" s="140">
        <f t="shared" si="24"/>
        <v>39889.443333242882</v>
      </c>
      <c r="X76" s="140">
        <f t="shared" si="17"/>
        <v>201819.69527835032</v>
      </c>
      <c r="Y76" s="140">
        <f t="shared" si="18"/>
        <v>49217.868098858205</v>
      </c>
      <c r="Z76" s="123">
        <f>IF((SUM(X76:Y76))&lt;(AVERAGE('Elementary Size Adjustment'!$B$66,'Secondary Size Adjustment'!$B$66)),(AVERAGE('Elementary Size Adjustment'!$B$66,'Secondary Size Adjustment'!$B$66)),SUM(X76:Y76))</f>
        <v>251037.56337720854</v>
      </c>
      <c r="AA76" s="137">
        <f>'Model Data Inputs'!$B$71*S76*L76</f>
        <v>1947.0083884718902</v>
      </c>
      <c r="AB76" s="137">
        <f>L76*'Model Data Inputs'!$B$72</f>
        <v>157.33333333333331</v>
      </c>
      <c r="AC76" s="137">
        <f>L76*'Model Data Inputs'!$B$73</f>
        <v>1573.3333333333333</v>
      </c>
      <c r="AD76" s="137">
        <f>L76*'Model Data Inputs'!$B$74</f>
        <v>786.66666666666663</v>
      </c>
      <c r="AE76" s="137">
        <f>$I76*'Model Data Inputs'!$B$76</f>
        <v>149.71839999999997</v>
      </c>
      <c r="AF76" s="137">
        <f>VLOOKUP($J76,'Student Activities MS&amp;HS Tables'!$M$7:$O$1267,3)</f>
        <v>0</v>
      </c>
      <c r="AG76" s="137">
        <f>VLOOKUP($K76,'Student Activities MS&amp;HS Tables'!$I$7:$K$3007,3)</f>
        <v>0</v>
      </c>
      <c r="AH76" s="137">
        <f t="shared" si="19"/>
        <v>149.71839999999997</v>
      </c>
      <c r="AI76" s="123">
        <f t="shared" si="25"/>
        <v>255651.62349901377</v>
      </c>
      <c r="AJ76" s="123">
        <f>(('Model Data Inputs'!$B$90*(('Model Data Inputs'!$B$87*('School Level Inst. Resources'!I76/'School Level Inst. Resources'!L76))+('Model Data Inputs'!$C$87*(SUM('School Level Inst. Resources'!J76:K76)/'School Level Inst. Resources'!L76))))*T76*M76)</f>
        <v>0</v>
      </c>
      <c r="AK76" s="123">
        <f>(('Model Data Inputs'!$B$91*(('Model Data Inputs'!$B$87*('School Level Inst. Resources'!I76/'School Level Inst. Resources'!L76))+('Model Data Inputs'!$C$87*(SUM('School Level Inst. Resources'!J76:K76)/'School Level Inst. Resources'!L76))))*T76*N76)</f>
        <v>0</v>
      </c>
      <c r="AL76" s="137">
        <f>(K76*'Model Data Inputs'!$B$94)*T76</f>
        <v>0</v>
      </c>
      <c r="AM76" s="137">
        <f>K76*'Model Data Inputs'!$B$95</f>
        <v>0</v>
      </c>
      <c r="AN76" s="137">
        <f t="shared" si="26"/>
        <v>0</v>
      </c>
      <c r="AO76" s="137">
        <f>('School Level Inst. Resources'!K76*'Model Data Inputs'!$B$96)+('School Level Inst. Resources'!J76*'Model Data Inputs'!$B$97)</f>
        <v>0</v>
      </c>
      <c r="AP76" s="137">
        <f>$L76*'Model Data Inputs'!$B$100</f>
        <v>251.73333333333332</v>
      </c>
      <c r="AQ76" s="137">
        <f t="shared" si="27"/>
        <v>255903.35683234711</v>
      </c>
      <c r="AR76" s="141">
        <f t="shared" si="20"/>
        <v>40662.609666156852</v>
      </c>
    </row>
    <row r="77" spans="1:44" s="40" customFormat="1" ht="12.75" customHeight="1" x14ac:dyDescent="0.2">
      <c r="A77" s="20" t="s">
        <v>30</v>
      </c>
      <c r="B77" s="20" t="s">
        <v>31</v>
      </c>
      <c r="C77" s="20" t="s">
        <v>506</v>
      </c>
      <c r="D77" s="20" t="s">
        <v>507</v>
      </c>
      <c r="E77" s="138" t="s">
        <v>508</v>
      </c>
      <c r="F77" s="138" t="str">
        <f>IF(AND(SUM('School Level ADM'!$F77:$J77)=0,SUM('School Level ADM'!$O77:$R77)=0,'School Level ADM'!$K77&gt;0,'School Level ADM'!$N77&gt;0),"T","F")</f>
        <v>F</v>
      </c>
      <c r="G77" s="138" t="str">
        <f>IF(AND(SUM('School Level ADM'!$M77:$R77)=0,'School Level ADM'!$L77&gt;0),"T","F")</f>
        <v>F</v>
      </c>
      <c r="H77" s="138" t="str">
        <f t="shared" si="14"/>
        <v>E</v>
      </c>
      <c r="I77" s="139">
        <f>IF($F77="T",SUM('School Level ADM'!$F77:$J77),IF($G77="T",SUM('School Level ADM'!$F77:$L77),SUM('School Level ADM'!$F77:$K77,0)))</f>
        <v>252.661</v>
      </c>
      <c r="J77" s="139">
        <f>'School Level ADM'!$S77-$I77-$K77</f>
        <v>0</v>
      </c>
      <c r="K77" s="139">
        <f>IF(SUM('School Level ADM'!$N77:$R77)='School Level ADM'!$S77,SUM('School Level ADM'!$N77:$R77),IF(OR(SUM('School Level ADM'!$F77:$O77)='School Level ADM'!$S77,SUM('School Level ADM'!$G77:$O77)='School Level ADM'!$S77,SUM('School Level ADM'!$H77:$O77)='School Level ADM'!$S77,SUM('School Level ADM'!$I77:$O77)='School Level ADM'!$S77,SUM('School Level ADM'!$J77:$O77)='School Level ADM'!$S77,SUM('School Level ADM'!$K77:$O77)='School Level ADM'!$S77,SUM('School Level ADM'!$L77:$O77)='School Level ADM'!$S77,SUM('School Level ADM'!$M77:$O77)='School Level ADM'!$S77,SUM('School Level ADM'!$N77:$O77)='School Level ADM'!$S77),0,SUM('School Level ADM'!$O77:$R77)))</f>
        <v>0</v>
      </c>
      <c r="L77" s="139">
        <f t="shared" si="15"/>
        <v>252.661</v>
      </c>
      <c r="M77" s="24">
        <f>'Student At-Risk and ELL Proxy'!S77</f>
        <v>101</v>
      </c>
      <c r="N77" s="24">
        <f>'Student At-Risk and ELL Proxy'!AH77</f>
        <v>15</v>
      </c>
      <c r="O77" s="136">
        <f t="shared" si="21"/>
        <v>1.0627367592361296</v>
      </c>
      <c r="P77" s="136" t="str">
        <f t="shared" si="22"/>
        <v/>
      </c>
      <c r="Q77" s="136" t="str">
        <f t="shared" si="23"/>
        <v/>
      </c>
      <c r="R77" s="136">
        <f t="shared" si="16"/>
        <v>1.0627367592361296</v>
      </c>
      <c r="S77" s="136">
        <f>IF(SUM(3515.4*((VLOOKUP($A77,'District Level ADM'!$A$4:$F$52,6,FALSE))^-0.327)/'Model Data Inputs'!$B$71)&lt;1,1,(3515.4*((VLOOKUP($A77,'District Level ADM'!$A$4:$F$52,6,FALSE))^-0.327)/'Model Data Inputs'!$B$71))</f>
        <v>1.6282964890208715</v>
      </c>
      <c r="T77" s="136">
        <f>VLOOKUP($A77,'Regional Cost Adjustment'!$A$4:$C$52,3,FALSE)</f>
        <v>1.0900000000000001</v>
      </c>
      <c r="U77" s="123">
        <f>((($I77/$L77)*'Model Data Inputs'!$B$85)+((SUM(J77:K77)/$L77)*'Model Data Inputs'!$C$85))*$R77*$T77</f>
        <v>7376.1057693866205</v>
      </c>
      <c r="V77" s="140">
        <f>((($I77/$L77)*'Model Data Inputs'!$B$86)+((SUM(J77:K77)/$L77)*'Model Data Inputs'!$C$86))*$R77</f>
        <v>1798.8145326460685</v>
      </c>
      <c r="W77" s="140">
        <f t="shared" si="24"/>
        <v>9174.9203020326895</v>
      </c>
      <c r="X77" s="140">
        <f t="shared" si="17"/>
        <v>1863654.2597989929</v>
      </c>
      <c r="Y77" s="140">
        <f t="shared" si="18"/>
        <v>454490.27863288834</v>
      </c>
      <c r="Z77" s="123">
        <f>IF((SUM(X77:Y77))&lt;(AVERAGE('Elementary Size Adjustment'!$B$66,'Secondary Size Adjustment'!$B$66)),(AVERAGE('Elementary Size Adjustment'!$B$66,'Secondary Size Adjustment'!$B$66)),SUM(X77:Y77))</f>
        <v>2318144.538431881</v>
      </c>
      <c r="AA77" s="137">
        <f>'Model Data Inputs'!$B$71*S77*L77</f>
        <v>78167.333650375469</v>
      </c>
      <c r="AB77" s="137">
        <f>L77*'Model Data Inputs'!$B$72</f>
        <v>6316.5249999999996</v>
      </c>
      <c r="AC77" s="137">
        <f>L77*'Model Data Inputs'!$B$73</f>
        <v>63165.25</v>
      </c>
      <c r="AD77" s="137">
        <f>L77*'Model Data Inputs'!$B$74</f>
        <v>31582.625</v>
      </c>
      <c r="AE77" s="137">
        <f>$I77*'Model Data Inputs'!$B$76</f>
        <v>6010.80519</v>
      </c>
      <c r="AF77" s="137">
        <f>VLOOKUP($J77,'Student Activities MS&amp;HS Tables'!$M$7:$O$1267,3)</f>
        <v>0</v>
      </c>
      <c r="AG77" s="137">
        <f>VLOOKUP($K77,'Student Activities MS&amp;HS Tables'!$I$7:$K$3007,3)</f>
        <v>0</v>
      </c>
      <c r="AH77" s="137">
        <f t="shared" si="19"/>
        <v>6010.80519</v>
      </c>
      <c r="AI77" s="123">
        <f t="shared" si="25"/>
        <v>2503387.0772722564</v>
      </c>
      <c r="AJ77" s="123">
        <f>(('Model Data Inputs'!$B$90*(('Model Data Inputs'!$B$87*('School Level Inst. Resources'!I77/'School Level Inst. Resources'!L77))+('Model Data Inputs'!$C$87*(SUM('School Level Inst. Resources'!J77:K77)/'School Level Inst. Resources'!L77))))*T77*M77)</f>
        <v>266204.63621251052</v>
      </c>
      <c r="AK77" s="123">
        <f>(('Model Data Inputs'!$B$91*(('Model Data Inputs'!$B$87*('School Level Inst. Resources'!I77/'School Level Inst. Resources'!L77))+('Model Data Inputs'!$C$87*(SUM('School Level Inst. Resources'!J77:K77)/'School Level Inst. Resources'!L77))))*T77*N77)</f>
        <v>39535.342011758992</v>
      </c>
      <c r="AL77" s="137">
        <f>(K77*'Model Data Inputs'!$B$94)*T77</f>
        <v>0</v>
      </c>
      <c r="AM77" s="137">
        <f>K77*'Model Data Inputs'!$B$95</f>
        <v>0</v>
      </c>
      <c r="AN77" s="137">
        <f t="shared" si="26"/>
        <v>0</v>
      </c>
      <c r="AO77" s="137">
        <f>('School Level Inst. Resources'!K77*'Model Data Inputs'!$B$96)+('School Level Inst. Resources'!J77*'Model Data Inputs'!$B$97)</f>
        <v>0</v>
      </c>
      <c r="AP77" s="137">
        <f>$L77*'Model Data Inputs'!$B$100</f>
        <v>10106.44</v>
      </c>
      <c r="AQ77" s="137">
        <f t="shared" si="27"/>
        <v>2819233.4954965259</v>
      </c>
      <c r="AR77" s="141">
        <f t="shared" si="20"/>
        <v>11158.166458204971</v>
      </c>
    </row>
    <row r="78" spans="1:44" s="40" customFormat="1" ht="12.75" customHeight="1" x14ac:dyDescent="0.2">
      <c r="A78" s="20" t="s">
        <v>30</v>
      </c>
      <c r="B78" s="20" t="s">
        <v>31</v>
      </c>
      <c r="C78" s="20" t="s">
        <v>509</v>
      </c>
      <c r="D78" s="20" t="s">
        <v>510</v>
      </c>
      <c r="E78" s="138" t="s">
        <v>376</v>
      </c>
      <c r="F78" s="138" t="str">
        <f>IF(AND(SUM('School Level ADM'!$F78:$J78)=0,SUM('School Level ADM'!$O78:$R78)=0,'School Level ADM'!$K78&gt;0,'School Level ADM'!$N78&gt;0),"T","F")</f>
        <v>F</v>
      </c>
      <c r="G78" s="138" t="str">
        <f>IF(AND(SUM('School Level ADM'!$M78:$R78)=0,'School Level ADM'!$L78&gt;0),"T","F")</f>
        <v>F</v>
      </c>
      <c r="H78" s="138" t="str">
        <f t="shared" si="14"/>
        <v>M</v>
      </c>
      <c r="I78" s="139">
        <f>IF($F78="T",SUM('School Level ADM'!$F78:$J78),IF($G78="T",SUM('School Level ADM'!$F78:$L78),SUM('School Level ADM'!$F78:$K78,0)))</f>
        <v>10.171333333333335</v>
      </c>
      <c r="J78" s="139">
        <f>'School Level ADM'!$S78-$I78-$K78</f>
        <v>1.8566666666666674</v>
      </c>
      <c r="K78" s="139">
        <f>IF(SUM('School Level ADM'!$N78:$R78)='School Level ADM'!$S78,SUM('School Level ADM'!$N78:$R78),IF(OR(SUM('School Level ADM'!$F78:$O78)='School Level ADM'!$S78,SUM('School Level ADM'!$G78:$O78)='School Level ADM'!$S78,SUM('School Level ADM'!$H78:$O78)='School Level ADM'!$S78,SUM('School Level ADM'!$I78:$O78)='School Level ADM'!$S78,SUM('School Level ADM'!$J78:$O78)='School Level ADM'!$S78,SUM('School Level ADM'!$K78:$O78)='School Level ADM'!$S78,SUM('School Level ADM'!$L78:$O78)='School Level ADM'!$S78,SUM('School Level ADM'!$M78:$O78)='School Level ADM'!$S78,SUM('School Level ADM'!$N78:$O78)='School Level ADM'!$S78),0,SUM('School Level ADM'!$O78:$R78)))</f>
        <v>0</v>
      </c>
      <c r="L78" s="139">
        <f t="shared" si="15"/>
        <v>12.028000000000002</v>
      </c>
      <c r="M78" s="24">
        <f>'Student At-Risk and ELL Proxy'!S78</f>
        <v>1</v>
      </c>
      <c r="N78" s="24">
        <f>'Student At-Risk and ELL Proxy'!AH78</f>
        <v>0</v>
      </c>
      <c r="O78" s="136">
        <f t="shared" si="21"/>
        <v>3.5704169013723268</v>
      </c>
      <c r="P78" s="136">
        <f t="shared" si="22"/>
        <v>3.8120167832707263</v>
      </c>
      <c r="Q78" s="136" t="str">
        <f t="shared" si="23"/>
        <v/>
      </c>
      <c r="R78" s="136">
        <f t="shared" si="16"/>
        <v>3.6077107530011396</v>
      </c>
      <c r="S78" s="136">
        <f>IF(SUM(3515.4*((VLOOKUP($A78,'District Level ADM'!$A$4:$F$52,6,FALSE))^-0.327)/'Model Data Inputs'!$B$71)&lt;1,1,(3515.4*((VLOOKUP($A78,'District Level ADM'!$A$4:$F$52,6,FALSE))^-0.327)/'Model Data Inputs'!$B$71))</f>
        <v>1.6282964890208715</v>
      </c>
      <c r="T78" s="136">
        <f>VLOOKUP($A78,'Regional Cost Adjustment'!$A$4:$C$52,3,FALSE)</f>
        <v>1.0900000000000001</v>
      </c>
      <c r="U78" s="123">
        <f>((($I78/$L78)*'Model Data Inputs'!$B$85)+((SUM(J78:K78)/$L78)*'Model Data Inputs'!$C$85))*$R78*$T78</f>
        <v>24442.145589712851</v>
      </c>
      <c r="V78" s="140">
        <f>((($I78/$L78)*'Model Data Inputs'!$B$86)+((SUM(J78:K78)/$L78)*'Model Data Inputs'!$C$86))*$R78</f>
        <v>5961.9771378334899</v>
      </c>
      <c r="W78" s="140">
        <f t="shared" si="24"/>
        <v>30404.122727546339</v>
      </c>
      <c r="X78" s="140">
        <f t="shared" si="17"/>
        <v>293990.12715306622</v>
      </c>
      <c r="Y78" s="140">
        <f t="shared" si="18"/>
        <v>71710.66101386123</v>
      </c>
      <c r="Z78" s="123">
        <f>IF((SUM(X78:Y78))&lt;(AVERAGE('Elementary Size Adjustment'!$B$66,'Secondary Size Adjustment'!$B$66)),(AVERAGE('Elementary Size Adjustment'!$B$66,'Secondary Size Adjustment'!$B$66)),SUM(X78:Y78))</f>
        <v>365700.78816692746</v>
      </c>
      <c r="AA78" s="137">
        <f>'Model Data Inputs'!$B$71*S78*L78</f>
        <v>3721.1785322891787</v>
      </c>
      <c r="AB78" s="137">
        <f>L78*'Model Data Inputs'!$B$72</f>
        <v>300.70000000000005</v>
      </c>
      <c r="AC78" s="137">
        <f>L78*'Model Data Inputs'!$B$73</f>
        <v>3007.0000000000005</v>
      </c>
      <c r="AD78" s="137">
        <f>L78*'Model Data Inputs'!$B$74</f>
        <v>1503.5000000000002</v>
      </c>
      <c r="AE78" s="137">
        <f>$I78*'Model Data Inputs'!$B$76</f>
        <v>241.97602000000003</v>
      </c>
      <c r="AF78" s="137">
        <f>VLOOKUP($J78,'Student Activities MS&amp;HS Tables'!$M$7:$O$1267,3)</f>
        <v>782.54</v>
      </c>
      <c r="AG78" s="137">
        <f>VLOOKUP($K78,'Student Activities MS&amp;HS Tables'!$I$7:$K$3007,3)</f>
        <v>0</v>
      </c>
      <c r="AH78" s="137">
        <f t="shared" si="19"/>
        <v>1024.51602</v>
      </c>
      <c r="AI78" s="123">
        <f t="shared" si="25"/>
        <v>375257.68271921662</v>
      </c>
      <c r="AJ78" s="123">
        <f>(('Model Data Inputs'!$B$90*(('Model Data Inputs'!$B$87*('School Level Inst. Resources'!I78/'School Level Inst. Resources'!L78))+('Model Data Inputs'!$C$87*(SUM('School Level Inst. Resources'!J78:K78)/'School Level Inst. Resources'!L78))))*T78*M78)</f>
        <v>2572.8809310069641</v>
      </c>
      <c r="AK78" s="123">
        <f>(('Model Data Inputs'!$B$91*(('Model Data Inputs'!$B$87*('School Level Inst. Resources'!I78/'School Level Inst. Resources'!L78))+('Model Data Inputs'!$C$87*(SUM('School Level Inst. Resources'!J78:K78)/'School Level Inst. Resources'!L78))))*T78*N78)</f>
        <v>0</v>
      </c>
      <c r="AL78" s="137">
        <f>(K78*'Model Data Inputs'!$B$94)*T78</f>
        <v>0</v>
      </c>
      <c r="AM78" s="137">
        <f>K78*'Model Data Inputs'!$B$95</f>
        <v>0</v>
      </c>
      <c r="AN78" s="137">
        <f t="shared" si="26"/>
        <v>0</v>
      </c>
      <c r="AO78" s="137">
        <f>('School Level Inst. Resources'!K78*'Model Data Inputs'!$B$96)+('School Level Inst. Resources'!J78*'Model Data Inputs'!$B$97)</f>
        <v>46.416666666666686</v>
      </c>
      <c r="AP78" s="137">
        <f>$L78*'Model Data Inputs'!$B$100</f>
        <v>481.12000000000012</v>
      </c>
      <c r="AQ78" s="137">
        <f t="shared" si="27"/>
        <v>378358.10031689028</v>
      </c>
      <c r="AR78" s="141">
        <f t="shared" si="20"/>
        <v>31456.443325315115</v>
      </c>
    </row>
    <row r="79" spans="1:44" s="40" customFormat="1" ht="12.75" customHeight="1" x14ac:dyDescent="0.2">
      <c r="A79" s="20" t="s">
        <v>30</v>
      </c>
      <c r="B79" s="20" t="s">
        <v>31</v>
      </c>
      <c r="C79" s="20" t="s">
        <v>511</v>
      </c>
      <c r="D79" s="20" t="s">
        <v>512</v>
      </c>
      <c r="E79" s="138" t="s">
        <v>513</v>
      </c>
      <c r="F79" s="138" t="str">
        <f>IF(AND(SUM('School Level ADM'!$F79:$J79)=0,SUM('School Level ADM'!$O79:$R79)=0,'School Level ADM'!$K79&gt;0,'School Level ADM'!$N79&gt;0),"T","F")</f>
        <v>F</v>
      </c>
      <c r="G79" s="138" t="str">
        <f>IF(AND(SUM('School Level ADM'!$M79:$R79)=0,'School Level ADM'!$L79&gt;0),"T","F")</f>
        <v>F</v>
      </c>
      <c r="H79" s="138" t="str">
        <f t="shared" si="14"/>
        <v>E</v>
      </c>
      <c r="I79" s="139">
        <f>IF($F79="T",SUM('School Level ADM'!$F79:$J79),IF($G79="T",SUM('School Level ADM'!$F79:$L79),SUM('School Level ADM'!$F79:$K79,0)))</f>
        <v>235.05866666666668</v>
      </c>
      <c r="J79" s="139">
        <f>'School Level ADM'!$S79-$I79-$K79</f>
        <v>0</v>
      </c>
      <c r="K79" s="139">
        <f>IF(SUM('School Level ADM'!$N79:$R79)='School Level ADM'!$S79,SUM('School Level ADM'!$N79:$R79),IF(OR(SUM('School Level ADM'!$F79:$O79)='School Level ADM'!$S79,SUM('School Level ADM'!$G79:$O79)='School Level ADM'!$S79,SUM('School Level ADM'!$H79:$O79)='School Level ADM'!$S79,SUM('School Level ADM'!$I79:$O79)='School Level ADM'!$S79,SUM('School Level ADM'!$J79:$O79)='School Level ADM'!$S79,SUM('School Level ADM'!$K79:$O79)='School Level ADM'!$S79,SUM('School Level ADM'!$L79:$O79)='School Level ADM'!$S79,SUM('School Level ADM'!$M79:$O79)='School Level ADM'!$S79,SUM('School Level ADM'!$N79:$O79)='School Level ADM'!$S79),0,SUM('School Level ADM'!$O79:$R79)))</f>
        <v>0</v>
      </c>
      <c r="L79" s="139">
        <f t="shared" si="15"/>
        <v>235.05866666666668</v>
      </c>
      <c r="M79" s="24">
        <f>'Student At-Risk and ELL Proxy'!S79</f>
        <v>96</v>
      </c>
      <c r="N79" s="24">
        <f>'Student At-Risk and ELL Proxy'!AH79</f>
        <v>12</v>
      </c>
      <c r="O79" s="136">
        <f t="shared" si="21"/>
        <v>1.0937240344703896</v>
      </c>
      <c r="P79" s="136" t="str">
        <f t="shared" si="22"/>
        <v/>
      </c>
      <c r="Q79" s="136" t="str">
        <f t="shared" si="23"/>
        <v/>
      </c>
      <c r="R79" s="136">
        <f t="shared" si="16"/>
        <v>1.0937240344703896</v>
      </c>
      <c r="S79" s="136">
        <f>IF(SUM(3515.4*((VLOOKUP($A79,'District Level ADM'!$A$4:$F$52,6,FALSE))^-0.327)/'Model Data Inputs'!$B$71)&lt;1,1,(3515.4*((VLOOKUP($A79,'District Level ADM'!$A$4:$F$52,6,FALSE))^-0.327)/'Model Data Inputs'!$B$71))</f>
        <v>1.6282964890208715</v>
      </c>
      <c r="T79" s="136">
        <f>VLOOKUP($A79,'Regional Cost Adjustment'!$A$4:$C$52,3,FALSE)</f>
        <v>1.0900000000000001</v>
      </c>
      <c r="U79" s="123">
        <f>((($I79/$L79)*'Model Data Inputs'!$B$85)+((SUM(J79:K79)/$L79)*'Model Data Inputs'!$C$85))*$R79*$T79</f>
        <v>7591.1782392589175</v>
      </c>
      <c r="V79" s="140">
        <f>((($I79/$L79)*'Model Data Inputs'!$B$86)+((SUM(J79:K79)/$L79)*'Model Data Inputs'!$C$86))*$R79</f>
        <v>1851.2643613868709</v>
      </c>
      <c r="W79" s="140">
        <f t="shared" si="24"/>
        <v>9442.4426006457888</v>
      </c>
      <c r="X79" s="140">
        <f t="shared" si="17"/>
        <v>1784372.2353492156</v>
      </c>
      <c r="Y79" s="140">
        <f t="shared" si="18"/>
        <v>435155.73243511602</v>
      </c>
      <c r="Z79" s="123">
        <f>IF((SUM(X79:Y79))&lt;(AVERAGE('Elementary Size Adjustment'!$B$66,'Secondary Size Adjustment'!$B$66)),(AVERAGE('Elementary Size Adjustment'!$B$66,'Secondary Size Adjustment'!$B$66)),SUM(X79:Y79))</f>
        <v>2219527.9677843316</v>
      </c>
      <c r="AA79" s="137">
        <f>'Model Data Inputs'!$B$71*S79*L79</f>
        <v>72721.58831297954</v>
      </c>
      <c r="AB79" s="137">
        <f>L79*'Model Data Inputs'!$B$72</f>
        <v>5876.4666666666672</v>
      </c>
      <c r="AC79" s="137">
        <f>L79*'Model Data Inputs'!$B$73</f>
        <v>58764.666666666672</v>
      </c>
      <c r="AD79" s="137">
        <f>L79*'Model Data Inputs'!$B$74</f>
        <v>29382.333333333336</v>
      </c>
      <c r="AE79" s="137">
        <f>$I79*'Model Data Inputs'!$B$76</f>
        <v>5592.0456800000002</v>
      </c>
      <c r="AF79" s="137">
        <f>VLOOKUP($J79,'Student Activities MS&amp;HS Tables'!$M$7:$O$1267,3)</f>
        <v>0</v>
      </c>
      <c r="AG79" s="137">
        <f>VLOOKUP($K79,'Student Activities MS&amp;HS Tables'!$I$7:$K$3007,3)</f>
        <v>0</v>
      </c>
      <c r="AH79" s="137">
        <f t="shared" si="19"/>
        <v>5592.0456800000002</v>
      </c>
      <c r="AI79" s="123">
        <f t="shared" si="25"/>
        <v>2391865.0684439777</v>
      </c>
      <c r="AJ79" s="123">
        <f>(('Model Data Inputs'!$B$90*(('Model Data Inputs'!$B$87*('School Level Inst. Resources'!I79/'School Level Inst. Resources'!L79))+('Model Data Inputs'!$C$87*(SUM('School Level Inst. Resources'!J79:K79)/'School Level Inst. Resources'!L79))))*T79*M79)</f>
        <v>253026.18887525753</v>
      </c>
      <c r="AK79" s="123">
        <f>(('Model Data Inputs'!$B$91*(('Model Data Inputs'!$B$87*('School Level Inst. Resources'!I79/'School Level Inst. Resources'!L79))+('Model Data Inputs'!$C$87*(SUM('School Level Inst. Resources'!J79:K79)/'School Level Inst. Resources'!L79))))*T79*N79)</f>
        <v>31628.273609407192</v>
      </c>
      <c r="AL79" s="137">
        <f>(K79*'Model Data Inputs'!$B$94)*T79</f>
        <v>0</v>
      </c>
      <c r="AM79" s="137">
        <f>K79*'Model Data Inputs'!$B$95</f>
        <v>0</v>
      </c>
      <c r="AN79" s="137">
        <f t="shared" si="26"/>
        <v>0</v>
      </c>
      <c r="AO79" s="137">
        <f>('School Level Inst. Resources'!K79*'Model Data Inputs'!$B$96)+('School Level Inst. Resources'!J79*'Model Data Inputs'!$B$97)</f>
        <v>0</v>
      </c>
      <c r="AP79" s="137">
        <f>$L79*'Model Data Inputs'!$B$100</f>
        <v>9402.3466666666682</v>
      </c>
      <c r="AQ79" s="137">
        <f t="shared" si="27"/>
        <v>2685921.8775953092</v>
      </c>
      <c r="AR79" s="141">
        <f t="shared" si="20"/>
        <v>11426.602199714578</v>
      </c>
    </row>
    <row r="80" spans="1:44" s="40" customFormat="1" ht="12.75" customHeight="1" x14ac:dyDescent="0.2">
      <c r="A80" s="20" t="s">
        <v>30</v>
      </c>
      <c r="B80" s="20" t="s">
        <v>31</v>
      </c>
      <c r="C80" s="20" t="s">
        <v>514</v>
      </c>
      <c r="D80" s="20" t="s">
        <v>515</v>
      </c>
      <c r="E80" s="138" t="s">
        <v>383</v>
      </c>
      <c r="F80" s="138" t="str">
        <f>IF(AND(SUM('School Level ADM'!$F80:$J80)=0,SUM('School Level ADM'!$O80:$R80)=0,'School Level ADM'!$K80&gt;0,'School Level ADM'!$N80&gt;0),"T","F")</f>
        <v>F</v>
      </c>
      <c r="G80" s="138" t="str">
        <f>IF(AND(SUM('School Level ADM'!$M80:$R80)=0,'School Level ADM'!$L80&gt;0),"T","F")</f>
        <v>F</v>
      </c>
      <c r="H80" s="138" t="str">
        <f t="shared" si="14"/>
        <v>M</v>
      </c>
      <c r="I80" s="139">
        <f>IF($F80="T",SUM('School Level ADM'!$F80:$J80),IF($G80="T",SUM('School Level ADM'!$F80:$L80),SUM('School Level ADM'!$F80:$K80,0)))</f>
        <v>0</v>
      </c>
      <c r="J80" s="139">
        <f>'School Level ADM'!$S80-$I80-$K80</f>
        <v>380.80433333333337</v>
      </c>
      <c r="K80" s="139">
        <f>IF(SUM('School Level ADM'!$N80:$R80)='School Level ADM'!$S80,SUM('School Level ADM'!$N80:$R80),IF(OR(SUM('School Level ADM'!$F80:$O80)='School Level ADM'!$S80,SUM('School Level ADM'!$G80:$O80)='School Level ADM'!$S80,SUM('School Level ADM'!$H80:$O80)='School Level ADM'!$S80,SUM('School Level ADM'!$I80:$O80)='School Level ADM'!$S80,SUM('School Level ADM'!$J80:$O80)='School Level ADM'!$S80,SUM('School Level ADM'!$K80:$O80)='School Level ADM'!$S80,SUM('School Level ADM'!$L80:$O80)='School Level ADM'!$S80,SUM('School Level ADM'!$M80:$O80)='School Level ADM'!$S80,SUM('School Level ADM'!$N80:$O80)='School Level ADM'!$S80),0,SUM('School Level ADM'!$O80:$R80)))</f>
        <v>0</v>
      </c>
      <c r="L80" s="139">
        <f t="shared" si="15"/>
        <v>380.80433333333337</v>
      </c>
      <c r="M80" s="24">
        <f>'Student At-Risk and ELL Proxy'!S80</f>
        <v>145</v>
      </c>
      <c r="N80" s="24">
        <f>'Student At-Risk and ELL Proxy'!AH80</f>
        <v>8</v>
      </c>
      <c r="O80" s="136" t="str">
        <f t="shared" si="21"/>
        <v/>
      </c>
      <c r="P80" s="136">
        <f t="shared" si="22"/>
        <v>1.1336430602398704</v>
      </c>
      <c r="Q80" s="136" t="str">
        <f t="shared" si="23"/>
        <v/>
      </c>
      <c r="R80" s="136">
        <f t="shared" si="16"/>
        <v>1.1336430602398704</v>
      </c>
      <c r="S80" s="136">
        <f>IF(SUM(3515.4*((VLOOKUP($A80,'District Level ADM'!$A$4:$F$52,6,FALSE))^-0.327)/'Model Data Inputs'!$B$71)&lt;1,1,(3515.4*((VLOOKUP($A80,'District Level ADM'!$A$4:$F$52,6,FALSE))^-0.327)/'Model Data Inputs'!$B$71))</f>
        <v>1.6282964890208715</v>
      </c>
      <c r="T80" s="136">
        <f>VLOOKUP($A80,'Regional Cost Adjustment'!$A$4:$C$52,3,FALSE)</f>
        <v>1.0900000000000001</v>
      </c>
      <c r="U80" s="123">
        <f>((($I80/$L80)*'Model Data Inputs'!$B$85)+((SUM(J80:K80)/$L80)*'Model Data Inputs'!$C$85))*$R80*$T80</f>
        <v>6651.3565248789955</v>
      </c>
      <c r="V80" s="140">
        <f>((($I80/$L80)*'Model Data Inputs'!$B$86)+((SUM(J80:K80)/$L80)*'Model Data Inputs'!$C$86))*$R80</f>
        <v>1624.6326751142128</v>
      </c>
      <c r="W80" s="140">
        <f t="shared" si="24"/>
        <v>8275.9891999932079</v>
      </c>
      <c r="X80" s="140">
        <f t="shared" si="17"/>
        <v>2532865.3872188628</v>
      </c>
      <c r="Y80" s="140">
        <f t="shared" si="18"/>
        <v>618667.16275841778</v>
      </c>
      <c r="Z80" s="123">
        <f>IF((SUM(X80:Y80))&lt;(AVERAGE('Elementary Size Adjustment'!$B$66,'Secondary Size Adjustment'!$B$66)),(AVERAGE('Elementary Size Adjustment'!$B$66,'Secondary Size Adjustment'!$B$66)),SUM(X80:Y80))</f>
        <v>3151532.5499772807</v>
      </c>
      <c r="AA80" s="137">
        <f>'Model Data Inputs'!$B$71*S80*L80</f>
        <v>117811.84820441407</v>
      </c>
      <c r="AB80" s="137">
        <f>L80*'Model Data Inputs'!$B$72</f>
        <v>9520.1083333333336</v>
      </c>
      <c r="AC80" s="137">
        <f>L80*'Model Data Inputs'!$B$73</f>
        <v>95201.083333333343</v>
      </c>
      <c r="AD80" s="137">
        <f>L80*'Model Data Inputs'!$B$74</f>
        <v>47600.541666666672</v>
      </c>
      <c r="AE80" s="137">
        <f>$I80*'Model Data Inputs'!$B$76</f>
        <v>0</v>
      </c>
      <c r="AF80" s="137">
        <f>VLOOKUP($J80,'Student Activities MS&amp;HS Tables'!$M$7:$O$1267,3)</f>
        <v>110184.79999999999</v>
      </c>
      <c r="AG80" s="137">
        <f>VLOOKUP($K80,'Student Activities MS&amp;HS Tables'!$I$7:$K$3007,3)</f>
        <v>0</v>
      </c>
      <c r="AH80" s="137">
        <f t="shared" si="19"/>
        <v>110184.79999999999</v>
      </c>
      <c r="AI80" s="123">
        <f t="shared" si="25"/>
        <v>3531850.9315150278</v>
      </c>
      <c r="AJ80" s="123">
        <f>(('Model Data Inputs'!$B$90*(('Model Data Inputs'!$B$87*('School Level Inst. Resources'!I80/'School Level Inst. Resources'!L80))+('Model Data Inputs'!$C$87*(SUM('School Level Inst. Resources'!J80:K80)/'School Level Inst. Resources'!L80))))*T80*M80)</f>
        <v>323175.76843389875</v>
      </c>
      <c r="AK80" s="123">
        <f>(('Model Data Inputs'!$B$91*(('Model Data Inputs'!$B$87*('School Level Inst. Resources'!I80/'School Level Inst. Resources'!L80))+('Model Data Inputs'!$C$87*(SUM('School Level Inst. Resources'!J80:K80)/'School Level Inst. Resources'!L80))))*T80*N80)</f>
        <v>17830.38722393924</v>
      </c>
      <c r="AL80" s="137">
        <f>(K80*'Model Data Inputs'!$B$94)*T80</f>
        <v>0</v>
      </c>
      <c r="AM80" s="137">
        <f>K80*'Model Data Inputs'!$B$95</f>
        <v>0</v>
      </c>
      <c r="AN80" s="137">
        <f t="shared" si="26"/>
        <v>0</v>
      </c>
      <c r="AO80" s="137">
        <f>('School Level Inst. Resources'!K80*'Model Data Inputs'!$B$96)+('School Level Inst. Resources'!J80*'Model Data Inputs'!$B$97)</f>
        <v>9520.1083333333336</v>
      </c>
      <c r="AP80" s="137">
        <f>$L80*'Model Data Inputs'!$B$100</f>
        <v>15232.173333333336</v>
      </c>
      <c r="AQ80" s="137">
        <f t="shared" si="27"/>
        <v>3897609.3688395326</v>
      </c>
      <c r="AR80" s="141">
        <f t="shared" si="20"/>
        <v>10235.202248677664</v>
      </c>
    </row>
    <row r="81" spans="1:44" s="40" customFormat="1" ht="12.75" customHeight="1" x14ac:dyDescent="0.2">
      <c r="A81" s="20" t="s">
        <v>30</v>
      </c>
      <c r="B81" s="20" t="s">
        <v>31</v>
      </c>
      <c r="C81" s="20" t="s">
        <v>516</v>
      </c>
      <c r="D81" s="20" t="s">
        <v>517</v>
      </c>
      <c r="E81" s="138" t="s">
        <v>389</v>
      </c>
      <c r="F81" s="138" t="str">
        <f>IF(AND(SUM('School Level ADM'!$F81:$J81)=0,SUM('School Level ADM'!$O81:$R81)=0,'School Level ADM'!$K81&gt;0,'School Level ADM'!$N81&gt;0),"T","F")</f>
        <v>F</v>
      </c>
      <c r="G81" s="138" t="str">
        <f>IF(AND(SUM('School Level ADM'!$M81:$R81)=0,'School Level ADM'!$L81&gt;0),"T","F")</f>
        <v>F</v>
      </c>
      <c r="H81" s="138" t="str">
        <f t="shared" si="14"/>
        <v>H</v>
      </c>
      <c r="I81" s="139">
        <f>IF($F81="T",SUM('School Level ADM'!$F81:$J81),IF($G81="T",SUM('School Level ADM'!$F81:$L81),SUM('School Level ADM'!$F81:$K81,0)))</f>
        <v>0</v>
      </c>
      <c r="J81" s="139">
        <f>'School Level ADM'!$S81-$I81-$K81</f>
        <v>0</v>
      </c>
      <c r="K81" s="139">
        <f>IF(SUM('School Level ADM'!$N81:$R81)='School Level ADM'!$S81,SUM('School Level ADM'!$N81:$R81),IF(OR(SUM('School Level ADM'!$F81:$O81)='School Level ADM'!$S81,SUM('School Level ADM'!$G81:$O81)='School Level ADM'!$S81,SUM('School Level ADM'!$H81:$O81)='School Level ADM'!$S81,SUM('School Level ADM'!$I81:$O81)='School Level ADM'!$S81,SUM('School Level ADM'!$J81:$O81)='School Level ADM'!$S81,SUM('School Level ADM'!$K81:$O81)='School Level ADM'!$S81,SUM('School Level ADM'!$L81:$O81)='School Level ADM'!$S81,SUM('School Level ADM'!$M81:$O81)='School Level ADM'!$S81,SUM('School Level ADM'!$N81:$O81)='School Level ADM'!$S81),0,SUM('School Level ADM'!$O81:$R81)))</f>
        <v>511.09866666666665</v>
      </c>
      <c r="L81" s="139">
        <f t="shared" si="15"/>
        <v>511.09866666666665</v>
      </c>
      <c r="M81" s="24">
        <f>'Student At-Risk and ELL Proxy'!S81</f>
        <v>153</v>
      </c>
      <c r="N81" s="24">
        <f>'Student At-Risk and ELL Proxy'!AH81</f>
        <v>10</v>
      </c>
      <c r="O81" s="136" t="str">
        <f t="shared" si="21"/>
        <v/>
      </c>
      <c r="P81" s="136">
        <f t="shared" si="22"/>
        <v>1.0223922004813801</v>
      </c>
      <c r="Q81" s="136" t="str">
        <f t="shared" si="23"/>
        <v/>
      </c>
      <c r="R81" s="136">
        <f t="shared" si="16"/>
        <v>1.0223922004813801</v>
      </c>
      <c r="S81" s="136">
        <f>IF(SUM(3515.4*((VLOOKUP($A81,'District Level ADM'!$A$4:$F$52,6,FALSE))^-0.327)/'Model Data Inputs'!$B$71)&lt;1,1,(3515.4*((VLOOKUP($A81,'District Level ADM'!$A$4:$F$52,6,FALSE))^-0.327)/'Model Data Inputs'!$B$71))</f>
        <v>1.6282964890208715</v>
      </c>
      <c r="T81" s="136">
        <f>VLOOKUP($A81,'Regional Cost Adjustment'!$A$4:$C$52,3,FALSE)</f>
        <v>1.0900000000000001</v>
      </c>
      <c r="U81" s="123">
        <f>((($I81/$L81)*'Model Data Inputs'!$B$85)+((SUM(J81:K81)/$L81)*'Model Data Inputs'!$C$85))*$R81*$T81</f>
        <v>5998.6209700064937</v>
      </c>
      <c r="V81" s="140">
        <f>((($I81/$L81)*'Model Data Inputs'!$B$86)+((SUM(J81:K81)/$L81)*'Model Data Inputs'!$C$86))*$R81</f>
        <v>1465.1982038619049</v>
      </c>
      <c r="W81" s="140">
        <f t="shared" si="24"/>
        <v>7463.8191738683981</v>
      </c>
      <c r="X81" s="140">
        <f t="shared" si="17"/>
        <v>3065887.1796090254</v>
      </c>
      <c r="Y81" s="140">
        <f t="shared" si="18"/>
        <v>748860.84839621442</v>
      </c>
      <c r="Z81" s="123">
        <f>IF((SUM(X81:Y81))&lt;(AVERAGE('Elementary Size Adjustment'!$B$66,'Secondary Size Adjustment'!$B$66)),(AVERAGE('Elementary Size Adjustment'!$B$66,'Secondary Size Adjustment'!$B$66)),SUM(X81:Y81))</f>
        <v>3814748.0280052396</v>
      </c>
      <c r="AA81" s="137">
        <f>'Model Data Inputs'!$B$71*S81*L81</f>
        <v>158121.8312505506</v>
      </c>
      <c r="AB81" s="137">
        <f>L81*'Model Data Inputs'!$B$72</f>
        <v>12777.466666666665</v>
      </c>
      <c r="AC81" s="137">
        <f>L81*'Model Data Inputs'!$B$73</f>
        <v>127774.66666666666</v>
      </c>
      <c r="AD81" s="137">
        <f>L81*'Model Data Inputs'!$B$74</f>
        <v>63887.333333333328</v>
      </c>
      <c r="AE81" s="137">
        <f>$I81*'Model Data Inputs'!$B$76</f>
        <v>0</v>
      </c>
      <c r="AF81" s="137">
        <f>VLOOKUP($J81,'Student Activities MS&amp;HS Tables'!$M$7:$O$1267,3)</f>
        <v>0</v>
      </c>
      <c r="AG81" s="137">
        <f>VLOOKUP($K81,'Student Activities MS&amp;HS Tables'!$I$7:$K$3007,3)</f>
        <v>422024.68</v>
      </c>
      <c r="AH81" s="137">
        <f t="shared" si="19"/>
        <v>422024.68</v>
      </c>
      <c r="AI81" s="123">
        <f t="shared" si="25"/>
        <v>4599334.0059224572</v>
      </c>
      <c r="AJ81" s="123">
        <f>(('Model Data Inputs'!$B$90*(('Model Data Inputs'!$B$87*('School Level Inst. Resources'!I81/'School Level Inst. Resources'!L81))+('Model Data Inputs'!$C$87*(SUM('School Level Inst. Resources'!J81:K81)/'School Level Inst. Resources'!L81))))*T81*M81)</f>
        <v>341006.15565783798</v>
      </c>
      <c r="AK81" s="123">
        <f>(('Model Data Inputs'!$B$91*(('Model Data Inputs'!$B$87*('School Level Inst. Resources'!I81/'School Level Inst. Resources'!L81))+('Model Data Inputs'!$C$87*(SUM('School Level Inst. Resources'!J81:K81)/'School Level Inst. Resources'!L81))))*T81*N81)</f>
        <v>22287.98402992405</v>
      </c>
      <c r="AL81" s="137">
        <f>(K81*'Model Data Inputs'!$B$94)*T81</f>
        <v>91957.504310162418</v>
      </c>
      <c r="AM81" s="137">
        <f>K81*'Model Data Inputs'!$B$95</f>
        <v>21420.055677733333</v>
      </c>
      <c r="AN81" s="137">
        <f t="shared" si="26"/>
        <v>113377.55998789574</v>
      </c>
      <c r="AO81" s="137">
        <f>('School Level Inst. Resources'!K81*'Model Data Inputs'!$B$96)+('School Level Inst. Resources'!J81*'Model Data Inputs'!$B$97)</f>
        <v>51109.866666666661</v>
      </c>
      <c r="AP81" s="137">
        <f>$L81*'Model Data Inputs'!$B$100</f>
        <v>20443.946666666667</v>
      </c>
      <c r="AQ81" s="137">
        <f t="shared" si="27"/>
        <v>5147559.5189314485</v>
      </c>
      <c r="AR81" s="141">
        <f t="shared" si="20"/>
        <v>10071.557322783303</v>
      </c>
    </row>
    <row r="82" spans="1:44" s="40" customFormat="1" ht="12.75" customHeight="1" x14ac:dyDescent="0.2">
      <c r="A82" s="20" t="s">
        <v>32</v>
      </c>
      <c r="B82" s="20" t="s">
        <v>33</v>
      </c>
      <c r="C82" s="20" t="s">
        <v>518</v>
      </c>
      <c r="D82" s="20" t="s">
        <v>519</v>
      </c>
      <c r="E82" s="138" t="s">
        <v>357</v>
      </c>
      <c r="F82" s="138" t="str">
        <f>IF(AND(SUM('School Level ADM'!$F82:$J82)=0,SUM('School Level ADM'!$O82:$R82)=0,'School Level ADM'!$K82&gt;0,'School Level ADM'!$N82&gt;0),"T","F")</f>
        <v>F</v>
      </c>
      <c r="G82" s="138" t="str">
        <f>IF(AND(SUM('School Level ADM'!$M82:$R82)=0,'School Level ADM'!$L82&gt;0),"T","F")</f>
        <v>T</v>
      </c>
      <c r="H82" s="138" t="str">
        <f t="shared" si="14"/>
        <v>E</v>
      </c>
      <c r="I82" s="139">
        <f>IF($F82="T",SUM('School Level ADM'!$F82:$J82),IF($G82="T",SUM('School Level ADM'!$F82:$L82),SUM('School Level ADM'!$F82:$K82,0)))</f>
        <v>8.2063333333333333</v>
      </c>
      <c r="J82" s="139">
        <f>'School Level ADM'!$S82-$I82-$K82</f>
        <v>0</v>
      </c>
      <c r="K82" s="139">
        <f>IF(SUM('School Level ADM'!$N82:$R82)='School Level ADM'!$S82,SUM('School Level ADM'!$N82:$R82),IF(OR(SUM('School Level ADM'!$F82:$O82)='School Level ADM'!$S82,SUM('School Level ADM'!$G82:$O82)='School Level ADM'!$S82,SUM('School Level ADM'!$H82:$O82)='School Level ADM'!$S82,SUM('School Level ADM'!$I82:$O82)='School Level ADM'!$S82,SUM('School Level ADM'!$J82:$O82)='School Level ADM'!$S82,SUM('School Level ADM'!$K82:$O82)='School Level ADM'!$S82,SUM('School Level ADM'!$L82:$O82)='School Level ADM'!$S82,SUM('School Level ADM'!$M82:$O82)='School Level ADM'!$S82,SUM('School Level ADM'!$N82:$O82)='School Level ADM'!$S82),0,SUM('School Level ADM'!$O82:$R82)))</f>
        <v>0</v>
      </c>
      <c r="L82" s="139">
        <f t="shared" si="15"/>
        <v>8.2063333333333333</v>
      </c>
      <c r="M82" s="24">
        <f>'Student At-Risk and ELL Proxy'!S82</f>
        <v>0</v>
      </c>
      <c r="N82" s="24">
        <f>'Student At-Risk and ELL Proxy'!AH82</f>
        <v>0</v>
      </c>
      <c r="O82" s="136">
        <f t="shared" si="21"/>
        <v>4.1572347366006763</v>
      </c>
      <c r="P82" s="136" t="str">
        <f t="shared" si="22"/>
        <v/>
      </c>
      <c r="Q82" s="136" t="str">
        <f t="shared" si="23"/>
        <v/>
      </c>
      <c r="R82" s="136">
        <f t="shared" si="16"/>
        <v>4.1572347366006763</v>
      </c>
      <c r="S82" s="136">
        <f>IF(SUM(3515.4*((VLOOKUP($A82,'District Level ADM'!$A$4:$F$52,6,FALSE))^-0.327)/'Model Data Inputs'!$B$71)&lt;1,1,(3515.4*((VLOOKUP($A82,'District Level ADM'!$A$4:$F$52,6,FALSE))^-0.327)/'Model Data Inputs'!$B$71))</f>
        <v>2.2756473116385711</v>
      </c>
      <c r="T82" s="136">
        <f>VLOOKUP($A82,'Regional Cost Adjustment'!$A$4:$C$52,3,FALSE)</f>
        <v>1.0900000000000001</v>
      </c>
      <c r="U82" s="123">
        <f>((($I82/$L82)*'Model Data Inputs'!$B$85)+((SUM(J82:K82)/$L82)*'Model Data Inputs'!$C$85))*$R82*$T82</f>
        <v>28853.996870660074</v>
      </c>
      <c r="V82" s="140">
        <f>((($I82/$L82)*'Model Data Inputs'!$B$86)+((SUM(J82:K82)/$L82)*'Model Data Inputs'!$C$86))*$R82</f>
        <v>7036.6383724163516</v>
      </c>
      <c r="W82" s="140">
        <f t="shared" si="24"/>
        <v>35890.635243076424</v>
      </c>
      <c r="X82" s="140">
        <f t="shared" si="17"/>
        <v>236785.51631959344</v>
      </c>
      <c r="Y82" s="140">
        <f t="shared" si="18"/>
        <v>57745.00003017272</v>
      </c>
      <c r="Z82" s="123">
        <f>IF((SUM(X82:Y82))&lt;(AVERAGE('Elementary Size Adjustment'!$B$66,'Secondary Size Adjustment'!$B$66)),(AVERAGE('Elementary Size Adjustment'!$B$66,'Secondary Size Adjustment'!$B$66)),SUM(X82:Y82))</f>
        <v>294530.51634976617</v>
      </c>
      <c r="AA82" s="137">
        <f>'Model Data Inputs'!$B$71*S82*L82</f>
        <v>3548.1968737978987</v>
      </c>
      <c r="AB82" s="137">
        <f>L82*'Model Data Inputs'!$B$72</f>
        <v>205.15833333333333</v>
      </c>
      <c r="AC82" s="137">
        <f>L82*'Model Data Inputs'!$B$73</f>
        <v>2051.5833333333335</v>
      </c>
      <c r="AD82" s="137">
        <f>L82*'Model Data Inputs'!$B$74</f>
        <v>1025.7916666666667</v>
      </c>
      <c r="AE82" s="137">
        <f>$I82*'Model Data Inputs'!$B$76</f>
        <v>195.22866999999999</v>
      </c>
      <c r="AF82" s="137">
        <f>VLOOKUP($J82,'Student Activities MS&amp;HS Tables'!$M$7:$O$1267,3)</f>
        <v>0</v>
      </c>
      <c r="AG82" s="137">
        <f>VLOOKUP($K82,'Student Activities MS&amp;HS Tables'!$I$7:$K$3007,3)</f>
        <v>0</v>
      </c>
      <c r="AH82" s="137">
        <f t="shared" si="19"/>
        <v>195.22866999999999</v>
      </c>
      <c r="AI82" s="123">
        <f t="shared" si="25"/>
        <v>301556.4752268974</v>
      </c>
      <c r="AJ82" s="123">
        <f>(('Model Data Inputs'!$B$90*(('Model Data Inputs'!$B$87*('School Level Inst. Resources'!I82/'School Level Inst. Resources'!L82))+('Model Data Inputs'!$C$87*(SUM('School Level Inst. Resources'!J82:K82)/'School Level Inst. Resources'!L82))))*T82*M82)</f>
        <v>0</v>
      </c>
      <c r="AK82" s="123">
        <f>(('Model Data Inputs'!$B$91*(('Model Data Inputs'!$B$87*('School Level Inst. Resources'!I82/'School Level Inst. Resources'!L82))+('Model Data Inputs'!$C$87*(SUM('School Level Inst. Resources'!J82:K82)/'School Level Inst. Resources'!L82))))*T82*N82)</f>
        <v>0</v>
      </c>
      <c r="AL82" s="137">
        <f>(K82*'Model Data Inputs'!$B$94)*T82</f>
        <v>0</v>
      </c>
      <c r="AM82" s="137">
        <f>K82*'Model Data Inputs'!$B$95</f>
        <v>0</v>
      </c>
      <c r="AN82" s="137">
        <f t="shared" si="26"/>
        <v>0</v>
      </c>
      <c r="AO82" s="137">
        <f>('School Level Inst. Resources'!K82*'Model Data Inputs'!$B$96)+('School Level Inst. Resources'!J82*'Model Data Inputs'!$B$97)</f>
        <v>0</v>
      </c>
      <c r="AP82" s="137">
        <f>$L82*'Model Data Inputs'!$B$100</f>
        <v>328.25333333333333</v>
      </c>
      <c r="AQ82" s="137">
        <f t="shared" si="27"/>
        <v>301884.72856023075</v>
      </c>
      <c r="AR82" s="141">
        <f t="shared" si="20"/>
        <v>36786.798232287758</v>
      </c>
    </row>
    <row r="83" spans="1:44" s="40" customFormat="1" ht="12.75" customHeight="1" x14ac:dyDescent="0.2">
      <c r="A83" s="20" t="s">
        <v>32</v>
      </c>
      <c r="B83" s="20" t="s">
        <v>33</v>
      </c>
      <c r="C83" s="20" t="s">
        <v>520</v>
      </c>
      <c r="D83" s="20" t="s">
        <v>521</v>
      </c>
      <c r="E83" s="138" t="s">
        <v>522</v>
      </c>
      <c r="F83" s="138" t="str">
        <f>IF(AND(SUM('School Level ADM'!$F83:$J83)=0,SUM('School Level ADM'!$O83:$R83)=0,'School Level ADM'!$K83&gt;0,'School Level ADM'!$N83&gt;0),"T","F")</f>
        <v>F</v>
      </c>
      <c r="G83" s="138" t="str">
        <f>IF(AND(SUM('School Level ADM'!$M83:$R83)=0,'School Level ADM'!$L83&gt;0),"T","F")</f>
        <v>F</v>
      </c>
      <c r="H83" s="138" t="str">
        <f t="shared" si="14"/>
        <v>E</v>
      </c>
      <c r="I83" s="139">
        <f>IF($F83="T",SUM('School Level ADM'!$F83:$J83),IF($G83="T",SUM('School Level ADM'!$F83:$L83),SUM('School Level ADM'!$F83:$K83,0)))</f>
        <v>239.80566666666667</v>
      </c>
      <c r="J83" s="139">
        <f>'School Level ADM'!$S83-$I83-$K83</f>
        <v>0</v>
      </c>
      <c r="K83" s="139">
        <f>IF(SUM('School Level ADM'!$N83:$R83)='School Level ADM'!$S83,SUM('School Level ADM'!$N83:$R83),IF(OR(SUM('School Level ADM'!$F83:$O83)='School Level ADM'!$S83,SUM('School Level ADM'!$G83:$O83)='School Level ADM'!$S83,SUM('School Level ADM'!$H83:$O83)='School Level ADM'!$S83,SUM('School Level ADM'!$I83:$O83)='School Level ADM'!$S83,SUM('School Level ADM'!$J83:$O83)='School Level ADM'!$S83,SUM('School Level ADM'!$K83:$O83)='School Level ADM'!$S83,SUM('School Level ADM'!$L83:$O83)='School Level ADM'!$S83,SUM('School Level ADM'!$M83:$O83)='School Level ADM'!$S83,SUM('School Level ADM'!$N83:$O83)='School Level ADM'!$S83),0,SUM('School Level ADM'!$O83:$R83)))</f>
        <v>0</v>
      </c>
      <c r="L83" s="139">
        <f t="shared" si="15"/>
        <v>239.80566666666667</v>
      </c>
      <c r="M83" s="24">
        <f>'Student At-Risk and ELL Proxy'!S83</f>
        <v>80</v>
      </c>
      <c r="N83" s="24">
        <f>'Student At-Risk and ELL Proxy'!AH83</f>
        <v>0</v>
      </c>
      <c r="O83" s="136">
        <f t="shared" si="21"/>
        <v>1.0850552507961881</v>
      </c>
      <c r="P83" s="136" t="str">
        <f t="shared" si="22"/>
        <v/>
      </c>
      <c r="Q83" s="136" t="str">
        <f t="shared" si="23"/>
        <v/>
      </c>
      <c r="R83" s="136">
        <f t="shared" si="16"/>
        <v>1.0850552507961881</v>
      </c>
      <c r="S83" s="136">
        <f>IF(SUM(3515.4*((VLOOKUP($A83,'District Level ADM'!$A$4:$F$52,6,FALSE))^-0.327)/'Model Data Inputs'!$B$71)&lt;1,1,(3515.4*((VLOOKUP($A83,'District Level ADM'!$A$4:$F$52,6,FALSE))^-0.327)/'Model Data Inputs'!$B$71))</f>
        <v>2.2756473116385711</v>
      </c>
      <c r="T83" s="136">
        <f>VLOOKUP($A83,'Regional Cost Adjustment'!$A$4:$C$52,3,FALSE)</f>
        <v>1.0900000000000001</v>
      </c>
      <c r="U83" s="123">
        <f>((($I83/$L83)*'Model Data Inputs'!$B$85)+((SUM(J83:K83)/$L83)*'Model Data Inputs'!$C$85))*$R83*$T83</f>
        <v>7531.0110673632153</v>
      </c>
      <c r="V83" s="140">
        <f>((($I83/$L83)*'Model Data Inputs'!$B$86)+((SUM(J83:K83)/$L83)*'Model Data Inputs'!$C$86))*$R83</f>
        <v>1836.5913636590735</v>
      </c>
      <c r="W83" s="140">
        <f t="shared" si="24"/>
        <v>9367.6024310222892</v>
      </c>
      <c r="X83" s="140">
        <f t="shared" si="17"/>
        <v>1805979.1296830808</v>
      </c>
      <c r="Y83" s="140">
        <f t="shared" si="18"/>
        <v>440425.01635650656</v>
      </c>
      <c r="Z83" s="123">
        <f>IF((SUM(X83:Y83))&lt;(AVERAGE('Elementary Size Adjustment'!$B$66,'Secondary Size Adjustment'!$B$66)),(AVERAGE('Elementary Size Adjustment'!$B$66,'Secondary Size Adjustment'!$B$66)),SUM(X83:Y83))</f>
        <v>2246404.1460395874</v>
      </c>
      <c r="AA83" s="137">
        <f>'Model Data Inputs'!$B$71*S83*L83</f>
        <v>103685.49292648211</v>
      </c>
      <c r="AB83" s="137">
        <f>L83*'Model Data Inputs'!$B$72</f>
        <v>5995.1416666666664</v>
      </c>
      <c r="AC83" s="137">
        <f>L83*'Model Data Inputs'!$B$73</f>
        <v>59951.416666666664</v>
      </c>
      <c r="AD83" s="137">
        <f>L83*'Model Data Inputs'!$B$74</f>
        <v>29975.708333333332</v>
      </c>
      <c r="AE83" s="137">
        <f>$I83*'Model Data Inputs'!$B$76</f>
        <v>5704.9768100000001</v>
      </c>
      <c r="AF83" s="137">
        <f>VLOOKUP($J83,'Student Activities MS&amp;HS Tables'!$M$7:$O$1267,3)</f>
        <v>0</v>
      </c>
      <c r="AG83" s="137">
        <f>VLOOKUP($K83,'Student Activities MS&amp;HS Tables'!$I$7:$K$3007,3)</f>
        <v>0</v>
      </c>
      <c r="AH83" s="137">
        <f t="shared" si="19"/>
        <v>5704.9768100000001</v>
      </c>
      <c r="AI83" s="123">
        <f t="shared" si="25"/>
        <v>2451716.8824427361</v>
      </c>
      <c r="AJ83" s="123">
        <f>(('Model Data Inputs'!$B$90*(('Model Data Inputs'!$B$87*('School Level Inst. Resources'!I83/'School Level Inst. Resources'!L83))+('Model Data Inputs'!$C$87*(SUM('School Level Inst. Resources'!J83:K83)/'School Level Inst. Resources'!L83))))*T83*M83)</f>
        <v>210855.15739604796</v>
      </c>
      <c r="AK83" s="123">
        <f>(('Model Data Inputs'!$B$91*(('Model Data Inputs'!$B$87*('School Level Inst. Resources'!I83/'School Level Inst. Resources'!L83))+('Model Data Inputs'!$C$87*(SUM('School Level Inst. Resources'!J83:K83)/'School Level Inst. Resources'!L83))))*T83*N83)</f>
        <v>0</v>
      </c>
      <c r="AL83" s="137">
        <f>(K83*'Model Data Inputs'!$B$94)*T83</f>
        <v>0</v>
      </c>
      <c r="AM83" s="137">
        <f>K83*'Model Data Inputs'!$B$95</f>
        <v>0</v>
      </c>
      <c r="AN83" s="137">
        <f t="shared" si="26"/>
        <v>0</v>
      </c>
      <c r="AO83" s="137">
        <f>('School Level Inst. Resources'!K83*'Model Data Inputs'!$B$96)+('School Level Inst. Resources'!J83*'Model Data Inputs'!$B$97)</f>
        <v>0</v>
      </c>
      <c r="AP83" s="137">
        <f>$L83*'Model Data Inputs'!$B$100</f>
        <v>9592.2266666666674</v>
      </c>
      <c r="AQ83" s="137">
        <f t="shared" si="27"/>
        <v>2672164.2665054505</v>
      </c>
      <c r="AR83" s="141">
        <f t="shared" si="20"/>
        <v>11143.040544658177</v>
      </c>
    </row>
    <row r="84" spans="1:44" s="40" customFormat="1" ht="12.75" customHeight="1" x14ac:dyDescent="0.2">
      <c r="A84" s="20" t="s">
        <v>32</v>
      </c>
      <c r="B84" s="20" t="s">
        <v>33</v>
      </c>
      <c r="C84" s="20" t="s">
        <v>523</v>
      </c>
      <c r="D84" s="20" t="s">
        <v>524</v>
      </c>
      <c r="E84" s="138" t="s">
        <v>525</v>
      </c>
      <c r="F84" s="138" t="str">
        <f>IF(AND(SUM('School Level ADM'!$F84:$J84)=0,SUM('School Level ADM'!$O84:$R84)=0,'School Level ADM'!$K84&gt;0,'School Level ADM'!$N84&gt;0),"T","F")</f>
        <v>F</v>
      </c>
      <c r="G84" s="138" t="str">
        <f>IF(AND(SUM('School Level ADM'!$M84:$R84)=0,'School Level ADM'!$L84&gt;0),"T","F")</f>
        <v>T</v>
      </c>
      <c r="H84" s="138" t="str">
        <f t="shared" si="14"/>
        <v>E</v>
      </c>
      <c r="I84" s="139">
        <f>IF($F84="T",SUM('School Level ADM'!$F84:$J84),IF($G84="T",SUM('School Level ADM'!$F84:$L84),SUM('School Level ADM'!$F84:$K84,0)))</f>
        <v>89.296666666666681</v>
      </c>
      <c r="J84" s="139">
        <f>'School Level ADM'!$S84-$I84-$K84</f>
        <v>0</v>
      </c>
      <c r="K84" s="139">
        <f>IF(SUM('School Level ADM'!$N84:$R84)='School Level ADM'!$S84,SUM('School Level ADM'!$N84:$R84),IF(OR(SUM('School Level ADM'!$F84:$O84)='School Level ADM'!$S84,SUM('School Level ADM'!$G84:$O84)='School Level ADM'!$S84,SUM('School Level ADM'!$H84:$O84)='School Level ADM'!$S84,SUM('School Level ADM'!$I84:$O84)='School Level ADM'!$S84,SUM('School Level ADM'!$J84:$O84)='School Level ADM'!$S84,SUM('School Level ADM'!$K84:$O84)='School Level ADM'!$S84,SUM('School Level ADM'!$L84:$O84)='School Level ADM'!$S84,SUM('School Level ADM'!$M84:$O84)='School Level ADM'!$S84,SUM('School Level ADM'!$N84:$O84)='School Level ADM'!$S84),0,SUM('School Level ADM'!$O84:$R84)))</f>
        <v>0</v>
      </c>
      <c r="L84" s="139">
        <f t="shared" si="15"/>
        <v>89.296666666666681</v>
      </c>
      <c r="M84" s="24">
        <f>'Student At-Risk and ELL Proxy'!S84</f>
        <v>42</v>
      </c>
      <c r="N84" s="24">
        <f>'Student At-Risk and ELL Proxy'!AH84</f>
        <v>1</v>
      </c>
      <c r="O84" s="136">
        <f t="shared" si="21"/>
        <v>1.6076943373569694</v>
      </c>
      <c r="P84" s="136" t="str">
        <f t="shared" si="22"/>
        <v/>
      </c>
      <c r="Q84" s="136" t="str">
        <f t="shared" si="23"/>
        <v/>
      </c>
      <c r="R84" s="136">
        <f t="shared" si="16"/>
        <v>1.6076943373569694</v>
      </c>
      <c r="S84" s="136">
        <f>IF(SUM(3515.4*((VLOOKUP($A84,'District Level ADM'!$A$4:$F$52,6,FALSE))^-0.327)/'Model Data Inputs'!$B$71)&lt;1,1,(3515.4*((VLOOKUP($A84,'District Level ADM'!$A$4:$F$52,6,FALSE))^-0.327)/'Model Data Inputs'!$B$71))</f>
        <v>2.2756473116385711</v>
      </c>
      <c r="T84" s="136">
        <f>VLOOKUP($A84,'Regional Cost Adjustment'!$A$4:$C$52,3,FALSE)</f>
        <v>1.0900000000000001</v>
      </c>
      <c r="U84" s="123">
        <f>((($I84/$L84)*'Model Data Inputs'!$B$85)+((SUM(J84:K84)/$L84)*'Model Data Inputs'!$C$85))*$R84*$T84</f>
        <v>11158.476804465266</v>
      </c>
      <c r="V84" s="140">
        <f>((($I84/$L84)*'Model Data Inputs'!$B$86)+((SUM(J84:K84)/$L84)*'Model Data Inputs'!$C$86))*$R84</f>
        <v>2721.2232125753976</v>
      </c>
      <c r="W84" s="140">
        <f t="shared" si="24"/>
        <v>13879.700017040665</v>
      </c>
      <c r="X84" s="140">
        <f t="shared" si="17"/>
        <v>996414.78371606686</v>
      </c>
      <c r="Y84" s="140">
        <f t="shared" si="18"/>
        <v>242996.16213894112</v>
      </c>
      <c r="Z84" s="123">
        <f>IF((SUM(X84:Y84))&lt;(AVERAGE('Elementary Size Adjustment'!$B$66,'Secondary Size Adjustment'!$B$66)),(AVERAGE('Elementary Size Adjustment'!$B$66,'Secondary Size Adjustment'!$B$66)),SUM(X84:Y84))</f>
        <v>1239410.945855008</v>
      </c>
      <c r="AA84" s="137">
        <f>'Model Data Inputs'!$B$71*S84*L84</f>
        <v>38609.466693274269</v>
      </c>
      <c r="AB84" s="137">
        <f>L84*'Model Data Inputs'!$B$72</f>
        <v>2232.416666666667</v>
      </c>
      <c r="AC84" s="137">
        <f>L84*'Model Data Inputs'!$B$73</f>
        <v>22324.166666666672</v>
      </c>
      <c r="AD84" s="137">
        <f>L84*'Model Data Inputs'!$B$74</f>
        <v>11162.083333333336</v>
      </c>
      <c r="AE84" s="137">
        <f>$I84*'Model Data Inputs'!$B$76</f>
        <v>2124.3677000000002</v>
      </c>
      <c r="AF84" s="137">
        <f>VLOOKUP($J84,'Student Activities MS&amp;HS Tables'!$M$7:$O$1267,3)</f>
        <v>0</v>
      </c>
      <c r="AG84" s="137">
        <f>VLOOKUP($K84,'Student Activities MS&amp;HS Tables'!$I$7:$K$3007,3)</f>
        <v>0</v>
      </c>
      <c r="AH84" s="137">
        <f t="shared" si="19"/>
        <v>2124.3677000000002</v>
      </c>
      <c r="AI84" s="123">
        <f t="shared" si="25"/>
        <v>1315863.446914949</v>
      </c>
      <c r="AJ84" s="123">
        <f>(('Model Data Inputs'!$B$90*(('Model Data Inputs'!$B$87*('School Level Inst. Resources'!I84/'School Level Inst. Resources'!L84))+('Model Data Inputs'!$C$87*(SUM('School Level Inst. Resources'!J84:K84)/'School Level Inst. Resources'!L84))))*T84*M84)</f>
        <v>110698.95763292517</v>
      </c>
      <c r="AK84" s="123">
        <f>(('Model Data Inputs'!$B$91*(('Model Data Inputs'!$B$87*('School Level Inst. Resources'!I84/'School Level Inst. Resources'!L84))+('Model Data Inputs'!$C$87*(SUM('School Level Inst. Resources'!J84:K84)/'School Level Inst. Resources'!L84))))*T84*N84)</f>
        <v>2635.6894674505993</v>
      </c>
      <c r="AL84" s="137">
        <f>(K84*'Model Data Inputs'!$B$94)*T84</f>
        <v>0</v>
      </c>
      <c r="AM84" s="137">
        <f>K84*'Model Data Inputs'!$B$95</f>
        <v>0</v>
      </c>
      <c r="AN84" s="137">
        <f t="shared" si="26"/>
        <v>0</v>
      </c>
      <c r="AO84" s="137">
        <f>('School Level Inst. Resources'!K84*'Model Data Inputs'!$B$96)+('School Level Inst. Resources'!J84*'Model Data Inputs'!$B$97)</f>
        <v>0</v>
      </c>
      <c r="AP84" s="137">
        <f>$L84*'Model Data Inputs'!$B$100</f>
        <v>3571.8666666666672</v>
      </c>
      <c r="AQ84" s="137">
        <f t="shared" si="27"/>
        <v>1432769.9606819914</v>
      </c>
      <c r="AR84" s="141">
        <f t="shared" si="20"/>
        <v>16045.05536618005</v>
      </c>
    </row>
    <row r="85" spans="1:44" s="40" customFormat="1" ht="12.75" customHeight="1" x14ac:dyDescent="0.2">
      <c r="A85" s="20" t="s">
        <v>32</v>
      </c>
      <c r="B85" s="20" t="s">
        <v>33</v>
      </c>
      <c r="C85" s="20" t="s">
        <v>526</v>
      </c>
      <c r="D85" s="20" t="s">
        <v>527</v>
      </c>
      <c r="E85" s="138" t="s">
        <v>386</v>
      </c>
      <c r="F85" s="138" t="str">
        <f>IF(AND(SUM('School Level ADM'!$F85:$J85)=0,SUM('School Level ADM'!$O85:$R85)=0,'School Level ADM'!$K85&gt;0,'School Level ADM'!$N85&gt;0),"T","F")</f>
        <v>F</v>
      </c>
      <c r="G85" s="138" t="str">
        <f>IF(AND(SUM('School Level ADM'!$M85:$R85)=0,'School Level ADM'!$L85&gt;0),"T","F")</f>
        <v>F</v>
      </c>
      <c r="H85" s="138" t="str">
        <f t="shared" si="14"/>
        <v>M</v>
      </c>
      <c r="I85" s="139">
        <f>IF($F85="T",SUM('School Level ADM'!$F85:$J85),IF($G85="T",SUM('School Level ADM'!$F85:$L85),SUM('School Level ADM'!$F85:$K85,0)))</f>
        <v>0</v>
      </c>
      <c r="J85" s="139">
        <f>'School Level ADM'!$S85-$I85-$K85</f>
        <v>88.62833333333333</v>
      </c>
      <c r="K85" s="139">
        <f>IF(SUM('School Level ADM'!$N85:$R85)='School Level ADM'!$S85,SUM('School Level ADM'!$N85:$R85),IF(OR(SUM('School Level ADM'!$F85:$O85)='School Level ADM'!$S85,SUM('School Level ADM'!$G85:$O85)='School Level ADM'!$S85,SUM('School Level ADM'!$H85:$O85)='School Level ADM'!$S85,SUM('School Level ADM'!$I85:$O85)='School Level ADM'!$S85,SUM('School Level ADM'!$J85:$O85)='School Level ADM'!$S85,SUM('School Level ADM'!$K85:$O85)='School Level ADM'!$S85,SUM('School Level ADM'!$L85:$O85)='School Level ADM'!$S85,SUM('School Level ADM'!$M85:$O85)='School Level ADM'!$S85,SUM('School Level ADM'!$N85:$O85)='School Level ADM'!$S85),0,SUM('School Level ADM'!$O85:$R85)))</f>
        <v>0</v>
      </c>
      <c r="L85" s="139">
        <f t="shared" si="15"/>
        <v>88.62833333333333</v>
      </c>
      <c r="M85" s="24">
        <f>'Student At-Risk and ELL Proxy'!S85</f>
        <v>21</v>
      </c>
      <c r="N85" s="24">
        <f>'Student At-Risk and ELL Proxy'!AH85</f>
        <v>0</v>
      </c>
      <c r="O85" s="136" t="str">
        <f t="shared" si="21"/>
        <v/>
      </c>
      <c r="P85" s="136">
        <f t="shared" si="22"/>
        <v>1.891057428243748</v>
      </c>
      <c r="Q85" s="136" t="str">
        <f t="shared" si="23"/>
        <v/>
      </c>
      <c r="R85" s="136">
        <f t="shared" si="16"/>
        <v>1.891057428243748</v>
      </c>
      <c r="S85" s="136">
        <f>IF(SUM(3515.4*((VLOOKUP($A85,'District Level ADM'!$A$4:$F$52,6,FALSE))^-0.327)/'Model Data Inputs'!$B$71)&lt;1,1,(3515.4*((VLOOKUP($A85,'District Level ADM'!$A$4:$F$52,6,FALSE))^-0.327)/'Model Data Inputs'!$B$71))</f>
        <v>2.2756473116385711</v>
      </c>
      <c r="T85" s="136">
        <f>VLOOKUP($A85,'Regional Cost Adjustment'!$A$4:$C$52,3,FALSE)</f>
        <v>1.0900000000000001</v>
      </c>
      <c r="U85" s="123">
        <f>((($I85/$L85)*'Model Data Inputs'!$B$85)+((SUM(J85:K85)/$L85)*'Model Data Inputs'!$C$85))*$R85*$T85</f>
        <v>11095.288813048894</v>
      </c>
      <c r="V85" s="140">
        <f>((($I85/$L85)*'Model Data Inputs'!$B$86)+((SUM(J85:K85)/$L85)*'Model Data Inputs'!$C$86))*$R85</f>
        <v>2710.089089057868</v>
      </c>
      <c r="W85" s="140">
        <f t="shared" si="24"/>
        <v>13805.377902106762</v>
      </c>
      <c r="X85" s="140">
        <f t="shared" si="17"/>
        <v>983356.95535250171</v>
      </c>
      <c r="Y85" s="140">
        <f t="shared" si="18"/>
        <v>240190.6791480504</v>
      </c>
      <c r="Z85" s="123">
        <f>IF((SUM(X85:Y85))&lt;(AVERAGE('Elementary Size Adjustment'!$B$66,'Secondary Size Adjustment'!$B$66)),(AVERAGE('Elementary Size Adjustment'!$B$66,'Secondary Size Adjustment'!$B$66)),SUM(X85:Y85))</f>
        <v>1223547.6345005522</v>
      </c>
      <c r="AA85" s="137">
        <f>'Model Data Inputs'!$B$71*S85*L85</f>
        <v>38320.497412151359</v>
      </c>
      <c r="AB85" s="137">
        <f>L85*'Model Data Inputs'!$B$72</f>
        <v>2215.708333333333</v>
      </c>
      <c r="AC85" s="137">
        <f>L85*'Model Data Inputs'!$B$73</f>
        <v>22157.083333333332</v>
      </c>
      <c r="AD85" s="137">
        <f>L85*'Model Data Inputs'!$B$74</f>
        <v>11078.541666666666</v>
      </c>
      <c r="AE85" s="137">
        <f>$I85*'Model Data Inputs'!$B$76</f>
        <v>0</v>
      </c>
      <c r="AF85" s="137">
        <f>VLOOKUP($J85,'Student Activities MS&amp;HS Tables'!$M$7:$O$1267,3)</f>
        <v>50653.68</v>
      </c>
      <c r="AG85" s="137">
        <f>VLOOKUP($K85,'Student Activities MS&amp;HS Tables'!$I$7:$K$3007,3)</f>
        <v>0</v>
      </c>
      <c r="AH85" s="137">
        <f t="shared" si="19"/>
        <v>50653.68</v>
      </c>
      <c r="AI85" s="123">
        <f t="shared" si="25"/>
        <v>1347973.1452460368</v>
      </c>
      <c r="AJ85" s="123">
        <f>(('Model Data Inputs'!$B$90*(('Model Data Inputs'!$B$87*('School Level Inst. Resources'!I85/'School Level Inst. Resources'!L85))+('Model Data Inputs'!$C$87*(SUM('School Level Inst. Resources'!J85:K85)/'School Level Inst. Resources'!L85))))*T85*M85)</f>
        <v>46804.766462840504</v>
      </c>
      <c r="AK85" s="123">
        <f>(('Model Data Inputs'!$B$91*(('Model Data Inputs'!$B$87*('School Level Inst. Resources'!I85/'School Level Inst. Resources'!L85))+('Model Data Inputs'!$C$87*(SUM('School Level Inst. Resources'!J85:K85)/'School Level Inst. Resources'!L85))))*T85*N85)</f>
        <v>0</v>
      </c>
      <c r="AL85" s="137">
        <f>(K85*'Model Data Inputs'!$B$94)*T85</f>
        <v>0</v>
      </c>
      <c r="AM85" s="137">
        <f>K85*'Model Data Inputs'!$B$95</f>
        <v>0</v>
      </c>
      <c r="AN85" s="137">
        <f t="shared" si="26"/>
        <v>0</v>
      </c>
      <c r="AO85" s="137">
        <f>('School Level Inst. Resources'!K85*'Model Data Inputs'!$B$96)+('School Level Inst. Resources'!J85*'Model Data Inputs'!$B$97)</f>
        <v>2215.708333333333</v>
      </c>
      <c r="AP85" s="137">
        <f>$L85*'Model Data Inputs'!$B$100</f>
        <v>3545.1333333333332</v>
      </c>
      <c r="AQ85" s="137">
        <f t="shared" si="27"/>
        <v>1400538.753375544</v>
      </c>
      <c r="AR85" s="141">
        <f t="shared" si="20"/>
        <v>15802.381706853083</v>
      </c>
    </row>
    <row r="86" spans="1:44" s="40" customFormat="1" ht="12.75" customHeight="1" x14ac:dyDescent="0.2">
      <c r="A86" s="20" t="s">
        <v>32</v>
      </c>
      <c r="B86" s="20" t="s">
        <v>33</v>
      </c>
      <c r="C86" s="20" t="s">
        <v>528</v>
      </c>
      <c r="D86" s="20" t="s">
        <v>529</v>
      </c>
      <c r="E86" s="138" t="s">
        <v>389</v>
      </c>
      <c r="F86" s="138" t="str">
        <f>IF(AND(SUM('School Level ADM'!$F86:$J86)=0,SUM('School Level ADM'!$O86:$R86)=0,'School Level ADM'!$K86&gt;0,'School Level ADM'!$N86&gt;0),"T","F")</f>
        <v>F</v>
      </c>
      <c r="G86" s="138" t="str">
        <f>IF(AND(SUM('School Level ADM'!$M86:$R86)=0,'School Level ADM'!$L86&gt;0),"T","F")</f>
        <v>F</v>
      </c>
      <c r="H86" s="138" t="str">
        <f t="shared" si="14"/>
        <v>H</v>
      </c>
      <c r="I86" s="139">
        <f>IF($F86="T",SUM('School Level ADM'!$F86:$J86),IF($G86="T",SUM('School Level ADM'!$F86:$L86),SUM('School Level ADM'!$F86:$K86,0)))</f>
        <v>0</v>
      </c>
      <c r="J86" s="139">
        <f>'School Level ADM'!$S86-$I86-$K86</f>
        <v>0</v>
      </c>
      <c r="K86" s="139">
        <f>IF(SUM('School Level ADM'!$N86:$R86)='School Level ADM'!$S86,SUM('School Level ADM'!$N86:$R86),IF(OR(SUM('School Level ADM'!$F86:$O86)='School Level ADM'!$S86,SUM('School Level ADM'!$G86:$O86)='School Level ADM'!$S86,SUM('School Level ADM'!$H86:$O86)='School Level ADM'!$S86,SUM('School Level ADM'!$I86:$O86)='School Level ADM'!$S86,SUM('School Level ADM'!$J86:$O86)='School Level ADM'!$S86,SUM('School Level ADM'!$K86:$O86)='School Level ADM'!$S86,SUM('School Level ADM'!$L86:$O86)='School Level ADM'!$S86,SUM('School Level ADM'!$M86:$O86)='School Level ADM'!$S86,SUM('School Level ADM'!$N86:$O86)='School Level ADM'!$S86),0,SUM('School Level ADM'!$O86:$R86)))</f>
        <v>181.12066666666666</v>
      </c>
      <c r="L86" s="139">
        <f t="shared" si="15"/>
        <v>181.12066666666666</v>
      </c>
      <c r="M86" s="24">
        <f>'Student At-Risk and ELL Proxy'!S86</f>
        <v>41</v>
      </c>
      <c r="N86" s="24">
        <f>'Student At-Risk and ELL Proxy'!AH86</f>
        <v>1</v>
      </c>
      <c r="O86" s="136" t="str">
        <f t="shared" si="21"/>
        <v/>
      </c>
      <c r="P86" s="136">
        <f t="shared" si="22"/>
        <v>1.4714852849088043</v>
      </c>
      <c r="Q86" s="136" t="str">
        <f t="shared" si="23"/>
        <v/>
      </c>
      <c r="R86" s="136">
        <f t="shared" si="16"/>
        <v>1.4714852849088043</v>
      </c>
      <c r="S86" s="136">
        <f>IF(SUM(3515.4*((VLOOKUP($A86,'District Level ADM'!$A$4:$F$52,6,FALSE))^-0.327)/'Model Data Inputs'!$B$71)&lt;1,1,(3515.4*((VLOOKUP($A86,'District Level ADM'!$A$4:$F$52,6,FALSE))^-0.327)/'Model Data Inputs'!$B$71))</f>
        <v>2.2756473116385711</v>
      </c>
      <c r="T86" s="136">
        <f>VLOOKUP($A86,'Regional Cost Adjustment'!$A$4:$C$52,3,FALSE)</f>
        <v>1.0900000000000001</v>
      </c>
      <c r="U86" s="123">
        <f>((($I86/$L86)*'Model Data Inputs'!$B$85)+((SUM(J86:K86)/$L86)*'Model Data Inputs'!$C$85))*$R86*$T86</f>
        <v>8633.5581227574985</v>
      </c>
      <c r="V86" s="140">
        <f>((($I86/$L86)*'Model Data Inputs'!$B$86)+((SUM(J86:K86)/$L86)*'Model Data Inputs'!$C$86))*$R86</f>
        <v>2108.796991450512</v>
      </c>
      <c r="W86" s="140">
        <f t="shared" si="24"/>
        <v>10742.35511420801</v>
      </c>
      <c r="X86" s="140">
        <f t="shared" si="17"/>
        <v>1563715.8028992533</v>
      </c>
      <c r="Y86" s="140">
        <f t="shared" si="18"/>
        <v>381946.71695617767</v>
      </c>
      <c r="Z86" s="123">
        <f>IF((SUM(X86:Y86))&lt;(AVERAGE('Elementary Size Adjustment'!$B$66,'Secondary Size Adjustment'!$B$66)),(AVERAGE('Elementary Size Adjustment'!$B$66,'Secondary Size Adjustment'!$B$66)),SUM(X86:Y86))</f>
        <v>1945662.519855431</v>
      </c>
      <c r="AA86" s="137">
        <f>'Model Data Inputs'!$B$71*S86*L86</f>
        <v>78311.684054615296</v>
      </c>
      <c r="AB86" s="137">
        <f>L86*'Model Data Inputs'!$B$72</f>
        <v>4528.0166666666664</v>
      </c>
      <c r="AC86" s="137">
        <f>L86*'Model Data Inputs'!$B$73</f>
        <v>45280.166666666664</v>
      </c>
      <c r="AD86" s="137">
        <f>L86*'Model Data Inputs'!$B$74</f>
        <v>22640.083333333332</v>
      </c>
      <c r="AE86" s="137">
        <f>$I86*'Model Data Inputs'!$B$76</f>
        <v>0</v>
      </c>
      <c r="AF86" s="137">
        <f>VLOOKUP($J86,'Student Activities MS&amp;HS Tables'!$M$7:$O$1267,3)</f>
        <v>0</v>
      </c>
      <c r="AG86" s="137">
        <f>VLOOKUP($K86,'Student Activities MS&amp;HS Tables'!$I$7:$K$3007,3)</f>
        <v>240883.84999999998</v>
      </c>
      <c r="AH86" s="137">
        <f t="shared" si="19"/>
        <v>240883.84999999998</v>
      </c>
      <c r="AI86" s="123">
        <f t="shared" si="25"/>
        <v>2337306.320576713</v>
      </c>
      <c r="AJ86" s="123">
        <f>(('Model Data Inputs'!$B$90*(('Model Data Inputs'!$B$87*('School Level Inst. Resources'!I86/'School Level Inst. Resources'!L86))+('Model Data Inputs'!$C$87*(SUM('School Level Inst. Resources'!J86:K86)/'School Level Inst. Resources'!L86))))*T86*M86)</f>
        <v>91380.73452268861</v>
      </c>
      <c r="AK86" s="123">
        <f>(('Model Data Inputs'!$B$91*(('Model Data Inputs'!$B$87*('School Level Inst. Resources'!I86/'School Level Inst. Resources'!L86))+('Model Data Inputs'!$C$87*(SUM('School Level Inst. Resources'!J86:K86)/'School Level Inst. Resources'!L86))))*T86*N86)</f>
        <v>2228.798402992405</v>
      </c>
      <c r="AL86" s="137">
        <f>(K86*'Model Data Inputs'!$B$94)*T86</f>
        <v>32587.454383875305</v>
      </c>
      <c r="AM86" s="137">
        <f>K86*'Model Data Inputs'!$B$95</f>
        <v>7590.7354438833327</v>
      </c>
      <c r="AN86" s="137">
        <f t="shared" si="26"/>
        <v>40178.189827758637</v>
      </c>
      <c r="AO86" s="137">
        <f>('School Level Inst. Resources'!K86*'Model Data Inputs'!$B$96)+('School Level Inst. Resources'!J86*'Model Data Inputs'!$B$97)</f>
        <v>18112.066666666666</v>
      </c>
      <c r="AP86" s="137">
        <f>$L86*'Model Data Inputs'!$B$100</f>
        <v>7244.8266666666668</v>
      </c>
      <c r="AQ86" s="137">
        <f t="shared" si="27"/>
        <v>2496450.9366634865</v>
      </c>
      <c r="AR86" s="141">
        <f t="shared" si="20"/>
        <v>13783.35770626297</v>
      </c>
    </row>
    <row r="87" spans="1:44" s="40" customFormat="1" ht="12.75" customHeight="1" x14ac:dyDescent="0.2">
      <c r="A87" s="20" t="s">
        <v>34</v>
      </c>
      <c r="B87" s="20" t="s">
        <v>35</v>
      </c>
      <c r="C87" s="20" t="s">
        <v>530</v>
      </c>
      <c r="D87" s="20" t="s">
        <v>531</v>
      </c>
      <c r="E87" s="138" t="s">
        <v>357</v>
      </c>
      <c r="F87" s="138" t="str">
        <f>IF(AND(SUM('School Level ADM'!$F87:$J87)=0,SUM('School Level ADM'!$O87:$R87)=0,'School Level ADM'!$K87&gt;0,'School Level ADM'!$N87&gt;0),"T","F")</f>
        <v>F</v>
      </c>
      <c r="G87" s="138" t="str">
        <f>IF(AND(SUM('School Level ADM'!$M87:$R87)=0,'School Level ADM'!$L87&gt;0),"T","F")</f>
        <v>T</v>
      </c>
      <c r="H87" s="138" t="str">
        <f t="shared" si="14"/>
        <v>E</v>
      </c>
      <c r="I87" s="139">
        <f>IF($F87="T",SUM('School Level ADM'!$F87:$J87),IF($G87="T",SUM('School Level ADM'!$F87:$L87),SUM('School Level ADM'!$F87:$K87,0)))</f>
        <v>202.91933333333333</v>
      </c>
      <c r="J87" s="139">
        <f>'School Level ADM'!$S87-$I87-$K87</f>
        <v>0</v>
      </c>
      <c r="K87" s="139">
        <f>IF(SUM('School Level ADM'!$N87:$R87)='School Level ADM'!$S87,SUM('School Level ADM'!$N87:$R87),IF(OR(SUM('School Level ADM'!$F87:$O87)='School Level ADM'!$S87,SUM('School Level ADM'!$G87:$O87)='School Level ADM'!$S87,SUM('School Level ADM'!$H87:$O87)='School Level ADM'!$S87,SUM('School Level ADM'!$I87:$O87)='School Level ADM'!$S87,SUM('School Level ADM'!$J87:$O87)='School Level ADM'!$S87,SUM('School Level ADM'!$K87:$O87)='School Level ADM'!$S87,SUM('School Level ADM'!$L87:$O87)='School Level ADM'!$S87,SUM('School Level ADM'!$M87:$O87)='School Level ADM'!$S87,SUM('School Level ADM'!$N87:$O87)='School Level ADM'!$S87),0,SUM('School Level ADM'!$O87:$R87)))</f>
        <v>0</v>
      </c>
      <c r="L87" s="139">
        <f t="shared" si="15"/>
        <v>202.91933333333333</v>
      </c>
      <c r="M87" s="24">
        <f>'Student At-Risk and ELL Proxy'!S87</f>
        <v>65</v>
      </c>
      <c r="N87" s="24">
        <f>'Student At-Risk and ELL Proxy'!AH87</f>
        <v>0</v>
      </c>
      <c r="O87" s="136">
        <f t="shared" si="21"/>
        <v>1.1596346582349997</v>
      </c>
      <c r="P87" s="136" t="str">
        <f t="shared" si="22"/>
        <v/>
      </c>
      <c r="Q87" s="136" t="str">
        <f t="shared" si="23"/>
        <v/>
      </c>
      <c r="R87" s="136">
        <f t="shared" si="16"/>
        <v>1.1596346582349997</v>
      </c>
      <c r="S87" s="136">
        <f>IF(SUM(3515.4*((VLOOKUP($A87,'District Level ADM'!$A$4:$F$52,6,FALSE))^-0.327)/'Model Data Inputs'!$B$71)&lt;1,1,(3515.4*((VLOOKUP($A87,'District Level ADM'!$A$4:$F$52,6,FALSE))^-0.327)/'Model Data Inputs'!$B$71))</f>
        <v>1.8547560980788917</v>
      </c>
      <c r="T87" s="136">
        <f>VLOOKUP($A87,'Regional Cost Adjustment'!$A$4:$C$52,3,FALSE)</f>
        <v>0.96</v>
      </c>
      <c r="U87" s="123">
        <f>((($I87/$L87)*'Model Data Inputs'!$B$85)+((SUM(J87:K87)/$L87)*'Model Data Inputs'!$C$85))*$R87*$T87</f>
        <v>7088.7123674144177</v>
      </c>
      <c r="V87" s="140">
        <f>((($I87/$L87)*'Model Data Inputs'!$B$86)+((SUM(J87:K87)/$L87)*'Model Data Inputs'!$C$86))*$R87</f>
        <v>1962.8263139147639</v>
      </c>
      <c r="W87" s="140">
        <f t="shared" si="24"/>
        <v>9051.5386813291807</v>
      </c>
      <c r="X87" s="140">
        <f t="shared" si="17"/>
        <v>1438436.7877874887</v>
      </c>
      <c r="Y87" s="140">
        <f t="shared" si="18"/>
        <v>398295.40706870792</v>
      </c>
      <c r="Z87" s="123">
        <f>IF((SUM(X87:Y87))&lt;(AVERAGE('Elementary Size Adjustment'!$B$66,'Secondary Size Adjustment'!$B$66)),(AVERAGE('Elementary Size Adjustment'!$B$66,'Secondary Size Adjustment'!$B$66)),SUM(X87:Y87))</f>
        <v>1836732.1948561966</v>
      </c>
      <c r="AA87" s="137">
        <f>'Model Data Inputs'!$B$71*S87*L87</f>
        <v>71509.515474439628</v>
      </c>
      <c r="AB87" s="137">
        <f>L87*'Model Data Inputs'!$B$72</f>
        <v>5072.9833333333336</v>
      </c>
      <c r="AC87" s="137">
        <f>L87*'Model Data Inputs'!$B$73</f>
        <v>50729.833333333328</v>
      </c>
      <c r="AD87" s="137">
        <f>L87*'Model Data Inputs'!$B$74</f>
        <v>25364.916666666664</v>
      </c>
      <c r="AE87" s="137">
        <f>$I87*'Model Data Inputs'!$B$76</f>
        <v>4827.4509399999997</v>
      </c>
      <c r="AF87" s="137">
        <f>VLOOKUP($J87,'Student Activities MS&amp;HS Tables'!$M$7:$O$1267,3)</f>
        <v>0</v>
      </c>
      <c r="AG87" s="137">
        <f>VLOOKUP($K87,'Student Activities MS&amp;HS Tables'!$I$7:$K$3007,3)</f>
        <v>0</v>
      </c>
      <c r="AH87" s="137">
        <f t="shared" si="19"/>
        <v>4827.4509399999997</v>
      </c>
      <c r="AI87" s="123">
        <f t="shared" si="25"/>
        <v>1994236.8946039695</v>
      </c>
      <c r="AJ87" s="123">
        <f>(('Model Data Inputs'!$B$90*(('Model Data Inputs'!$B$87*('School Level Inst. Resources'!I87/'School Level Inst. Resources'!L87))+('Model Data Inputs'!$C$87*(SUM('School Level Inst. Resources'!J87:K87)/'School Level Inst. Resources'!L87))))*T87*M87)</f>
        <v>150887.17685221776</v>
      </c>
      <c r="AK87" s="123">
        <f>(('Model Data Inputs'!$B$91*(('Model Data Inputs'!$B$87*('School Level Inst. Resources'!I87/'School Level Inst. Resources'!L87))+('Model Data Inputs'!$C$87*(SUM('School Level Inst. Resources'!J87:K87)/'School Level Inst. Resources'!L87))))*T87*N87)</f>
        <v>0</v>
      </c>
      <c r="AL87" s="137">
        <f>(K87*'Model Data Inputs'!$B$94)*T87</f>
        <v>0</v>
      </c>
      <c r="AM87" s="137">
        <f>K87*'Model Data Inputs'!$B$95</f>
        <v>0</v>
      </c>
      <c r="AN87" s="137">
        <f t="shared" si="26"/>
        <v>0</v>
      </c>
      <c r="AO87" s="137">
        <f>('School Level Inst. Resources'!K87*'Model Data Inputs'!$B$96)+('School Level Inst. Resources'!J87*'Model Data Inputs'!$B$97)</f>
        <v>0</v>
      </c>
      <c r="AP87" s="137">
        <f>$L87*'Model Data Inputs'!$B$100</f>
        <v>8116.7733333333326</v>
      </c>
      <c r="AQ87" s="137">
        <f t="shared" si="27"/>
        <v>2153240.8447895208</v>
      </c>
      <c r="AR87" s="141">
        <f t="shared" si="20"/>
        <v>10611.314404687188</v>
      </c>
    </row>
    <row r="88" spans="1:44" s="40" customFormat="1" ht="12.75" customHeight="1" x14ac:dyDescent="0.2">
      <c r="A88" s="20" t="s">
        <v>34</v>
      </c>
      <c r="B88" s="20" t="s">
        <v>35</v>
      </c>
      <c r="C88" s="20" t="s">
        <v>532</v>
      </c>
      <c r="D88" s="20" t="s">
        <v>533</v>
      </c>
      <c r="E88" s="138" t="s">
        <v>376</v>
      </c>
      <c r="F88" s="138" t="str">
        <f>IF(AND(SUM('School Level ADM'!$F88:$J88)=0,SUM('School Level ADM'!$O88:$R88)=0,'School Level ADM'!$K88&gt;0,'School Level ADM'!$N88&gt;0),"T","F")</f>
        <v>F</v>
      </c>
      <c r="G88" s="138" t="str">
        <f>IF(AND(SUM('School Level ADM'!$M88:$R88)=0,'School Level ADM'!$L88&gt;0),"T","F")</f>
        <v>F</v>
      </c>
      <c r="H88" s="138" t="str">
        <f t="shared" si="14"/>
        <v>M</v>
      </c>
      <c r="I88" s="139">
        <f>IF($F88="T",SUM('School Level ADM'!$F88:$J88),IF($G88="T",SUM('School Level ADM'!$F88:$L88),SUM('School Level ADM'!$F88:$K88,0)))</f>
        <v>308.80666666666667</v>
      </c>
      <c r="J88" s="139">
        <f>'School Level ADM'!$S88-$I88-$K88</f>
        <v>128.6663333333334</v>
      </c>
      <c r="K88" s="139">
        <f>IF(SUM('School Level ADM'!$N88:$R88)='School Level ADM'!$S88,SUM('School Level ADM'!$N88:$R88),IF(OR(SUM('School Level ADM'!$F88:$O88)='School Level ADM'!$S88,SUM('School Level ADM'!$G88:$O88)='School Level ADM'!$S88,SUM('School Level ADM'!$H88:$O88)='School Level ADM'!$S88,SUM('School Level ADM'!$I88:$O88)='School Level ADM'!$S88,SUM('School Level ADM'!$J88:$O88)='School Level ADM'!$S88,SUM('School Level ADM'!$K88:$O88)='School Level ADM'!$S88,SUM('School Level ADM'!$L88:$O88)='School Level ADM'!$S88,SUM('School Level ADM'!$M88:$O88)='School Level ADM'!$S88,SUM('School Level ADM'!$N88:$O88)='School Level ADM'!$S88),0,SUM('School Level ADM'!$O88:$R88)))</f>
        <v>0</v>
      </c>
      <c r="L88" s="139">
        <f t="shared" si="15"/>
        <v>437.47300000000007</v>
      </c>
      <c r="M88" s="24">
        <f>'Student At-Risk and ELL Proxy'!S88</f>
        <v>214</v>
      </c>
      <c r="N88" s="24">
        <f>'Student At-Risk and ELL Proxy'!AH88</f>
        <v>1</v>
      </c>
      <c r="O88" s="136">
        <f t="shared" si="21"/>
        <v>0.97</v>
      </c>
      <c r="P88" s="136">
        <f t="shared" si="22"/>
        <v>1.0797639011985314</v>
      </c>
      <c r="Q88" s="136" t="str">
        <f t="shared" si="23"/>
        <v/>
      </c>
      <c r="R88" s="136">
        <f t="shared" si="16"/>
        <v>1.0022829493467649</v>
      </c>
      <c r="S88" s="136">
        <f>IF(SUM(3515.4*((VLOOKUP($A88,'District Level ADM'!$A$4:$F$52,6,FALSE))^-0.327)/'Model Data Inputs'!$B$71)&lt;1,1,(3515.4*((VLOOKUP($A88,'District Level ADM'!$A$4:$F$52,6,FALSE))^-0.327)/'Model Data Inputs'!$B$71))</f>
        <v>1.8547560980788917</v>
      </c>
      <c r="T88" s="136">
        <f>VLOOKUP($A88,'Regional Cost Adjustment'!$A$4:$C$52,3,FALSE)</f>
        <v>0.96</v>
      </c>
      <c r="U88" s="123">
        <f>((($I88/$L88)*'Model Data Inputs'!$B$85)+((SUM(J88:K88)/$L88)*'Model Data Inputs'!$C$85))*$R88*$T88</f>
        <v>5848.1488819453889</v>
      </c>
      <c r="V88" s="140">
        <f>((($I88/$L88)*'Model Data Inputs'!$B$86)+((SUM(J88:K88)/$L88)*'Model Data Inputs'!$C$86))*$R88</f>
        <v>1619.9874480134549</v>
      </c>
      <c r="W88" s="140">
        <f t="shared" si="24"/>
        <v>7468.1363299588438</v>
      </c>
      <c r="X88" s="140">
        <f t="shared" si="17"/>
        <v>2558407.2358312956</v>
      </c>
      <c r="Y88" s="140">
        <f t="shared" si="18"/>
        <v>708700.76884479029</v>
      </c>
      <c r="Z88" s="123">
        <f>IF((SUM(X88:Y88))&lt;(AVERAGE('Elementary Size Adjustment'!$B$66,'Secondary Size Adjustment'!$B$66)),(AVERAGE('Elementary Size Adjustment'!$B$66,'Secondary Size Adjustment'!$B$66)),SUM(X88:Y88))</f>
        <v>3267108.0046760859</v>
      </c>
      <c r="AA88" s="137">
        <f>'Model Data Inputs'!$B$71*S88*L88</f>
        <v>154167.08575402477</v>
      </c>
      <c r="AB88" s="137">
        <f>L88*'Model Data Inputs'!$B$72</f>
        <v>10936.825000000003</v>
      </c>
      <c r="AC88" s="137">
        <f>L88*'Model Data Inputs'!$B$73</f>
        <v>109368.25000000001</v>
      </c>
      <c r="AD88" s="137">
        <f>L88*'Model Data Inputs'!$B$74</f>
        <v>54684.125000000007</v>
      </c>
      <c r="AE88" s="137">
        <f>$I88*'Model Data Inputs'!$B$76</f>
        <v>7346.5105999999996</v>
      </c>
      <c r="AF88" s="137">
        <f>VLOOKUP($J88,'Student Activities MS&amp;HS Tables'!$M$7:$O$1267,3)</f>
        <v>63833.599999999999</v>
      </c>
      <c r="AG88" s="137">
        <f>VLOOKUP($K88,'Student Activities MS&amp;HS Tables'!$I$7:$K$3007,3)</f>
        <v>0</v>
      </c>
      <c r="AH88" s="137">
        <f t="shared" si="19"/>
        <v>71180.1106</v>
      </c>
      <c r="AI88" s="123">
        <f t="shared" si="25"/>
        <v>3667444.4010301107</v>
      </c>
      <c r="AJ88" s="123">
        <f>(('Model Data Inputs'!$B$90*(('Model Data Inputs'!$B$87*('School Level Inst. Resources'!I88/'School Level Inst. Resources'!L88))+('Model Data Inputs'!$C$87*(SUM('School Level Inst. Resources'!J88:K88)/'School Level Inst. Resources'!L88))))*T88*M88)</f>
        <v>474211.62350075983</v>
      </c>
      <c r="AK88" s="123">
        <f>(('Model Data Inputs'!$B$91*(('Model Data Inputs'!$B$87*('School Level Inst. Resources'!I88/'School Level Inst. Resources'!L88))+('Model Data Inputs'!$C$87*(SUM('School Level Inst. Resources'!J88:K88)/'School Level Inst. Resources'!L88))))*T88*N88)</f>
        <v>2215.9421658914011</v>
      </c>
      <c r="AL88" s="137">
        <f>(K88*'Model Data Inputs'!$B$94)*T88</f>
        <v>0</v>
      </c>
      <c r="AM88" s="137">
        <f>K88*'Model Data Inputs'!$B$95</f>
        <v>0</v>
      </c>
      <c r="AN88" s="137">
        <f t="shared" si="26"/>
        <v>0</v>
      </c>
      <c r="AO88" s="137">
        <f>('School Level Inst. Resources'!K88*'Model Data Inputs'!$B$96)+('School Level Inst. Resources'!J88*'Model Data Inputs'!$B$97)</f>
        <v>3216.6583333333351</v>
      </c>
      <c r="AP88" s="137">
        <f>$L88*'Model Data Inputs'!$B$100</f>
        <v>17498.920000000002</v>
      </c>
      <c r="AQ88" s="137">
        <f t="shared" si="27"/>
        <v>4164587.5450300947</v>
      </c>
      <c r="AR88" s="141">
        <f t="shared" si="20"/>
        <v>9519.6447438586929</v>
      </c>
    </row>
    <row r="89" spans="1:44" s="40" customFormat="1" ht="12.75" customHeight="1" x14ac:dyDescent="0.2">
      <c r="A89" s="20" t="s">
        <v>34</v>
      </c>
      <c r="B89" s="20" t="s">
        <v>35</v>
      </c>
      <c r="C89" s="20" t="s">
        <v>534</v>
      </c>
      <c r="D89" s="20" t="s">
        <v>535</v>
      </c>
      <c r="E89" s="138" t="s">
        <v>465</v>
      </c>
      <c r="F89" s="138" t="str">
        <f>IF(AND(SUM('School Level ADM'!$F89:$J89)=0,SUM('School Level ADM'!$O89:$R89)=0,'School Level ADM'!$K89&gt;0,'School Level ADM'!$N89&gt;0),"T","F")</f>
        <v>F</v>
      </c>
      <c r="G89" s="138" t="str">
        <f>IF(AND(SUM('School Level ADM'!$M89:$R89)=0,'School Level ADM'!$L89&gt;0),"T","F")</f>
        <v>F</v>
      </c>
      <c r="H89" s="138" t="str">
        <f t="shared" si="14"/>
        <v>H</v>
      </c>
      <c r="I89" s="139">
        <f>IF($F89="T",SUM('School Level ADM'!$F89:$J89),IF($G89="T",SUM('School Level ADM'!$F89:$L89),SUM('School Level ADM'!$F89:$K89,0)))</f>
        <v>0</v>
      </c>
      <c r="J89" s="139">
        <f>'School Level ADM'!$S89-$I89-$K89</f>
        <v>61.424666666666653</v>
      </c>
      <c r="K89" s="139">
        <f>IF(SUM('School Level ADM'!$N89:$R89)='School Level ADM'!$S89,SUM('School Level ADM'!$N89:$R89),IF(OR(SUM('School Level ADM'!$F89:$O89)='School Level ADM'!$S89,SUM('School Level ADM'!$G89:$O89)='School Level ADM'!$S89,SUM('School Level ADM'!$H89:$O89)='School Level ADM'!$S89,SUM('School Level ADM'!$I89:$O89)='School Level ADM'!$S89,SUM('School Level ADM'!$J89:$O89)='School Level ADM'!$S89,SUM('School Level ADM'!$K89:$O89)='School Level ADM'!$S89,SUM('School Level ADM'!$L89:$O89)='School Level ADM'!$S89,SUM('School Level ADM'!$M89:$O89)='School Level ADM'!$S89,SUM('School Level ADM'!$N89:$O89)='School Level ADM'!$S89),0,SUM('School Level ADM'!$O89:$R89)))</f>
        <v>111.75266666666668</v>
      </c>
      <c r="L89" s="139">
        <f t="shared" si="15"/>
        <v>173.17733333333334</v>
      </c>
      <c r="M89" s="24">
        <f>'Student At-Risk and ELL Proxy'!S89</f>
        <v>43</v>
      </c>
      <c r="N89" s="24">
        <f>'Student At-Risk and ELL Proxy'!AH89</f>
        <v>0</v>
      </c>
      <c r="O89" s="136" t="str">
        <f t="shared" si="21"/>
        <v/>
      </c>
      <c r="P89" s="136">
        <f t="shared" si="22"/>
        <v>1.4948318286055946</v>
      </c>
      <c r="Q89" s="136" t="str">
        <f t="shared" si="23"/>
        <v/>
      </c>
      <c r="R89" s="136">
        <f t="shared" si="16"/>
        <v>1.4948318286055946</v>
      </c>
      <c r="S89" s="136">
        <f>IF(SUM(3515.4*((VLOOKUP($A89,'District Level ADM'!$A$4:$F$52,6,FALSE))^-0.327)/'Model Data Inputs'!$B$71)&lt;1,1,(3515.4*((VLOOKUP($A89,'District Level ADM'!$A$4:$F$52,6,FALSE))^-0.327)/'Model Data Inputs'!$B$71))</f>
        <v>1.8547560980788917</v>
      </c>
      <c r="T89" s="136">
        <f>VLOOKUP($A89,'Regional Cost Adjustment'!$A$4:$C$52,3,FALSE)</f>
        <v>0.96</v>
      </c>
      <c r="U89" s="123">
        <f>((($I89/$L89)*'Model Data Inputs'!$B$85)+((SUM(J89:K89)/$L89)*'Model Data Inputs'!$C$85))*$R89*$T89</f>
        <v>7724.5104532716632</v>
      </c>
      <c r="V89" s="140">
        <f>((($I89/$L89)*'Model Data Inputs'!$B$86)+((SUM(J89:K89)/$L89)*'Model Data Inputs'!$C$86))*$R89</f>
        <v>2142.2551045648479</v>
      </c>
      <c r="W89" s="140">
        <f t="shared" si="24"/>
        <v>9866.765557836512</v>
      </c>
      <c r="X89" s="140">
        <f t="shared" si="17"/>
        <v>1337710.1216030447</v>
      </c>
      <c r="Y89" s="140">
        <f t="shared" si="18"/>
        <v>370990.02632826153</v>
      </c>
      <c r="Z89" s="123">
        <f>IF((SUM(X89:Y89))&lt;(AVERAGE('Elementary Size Adjustment'!$B$66,'Secondary Size Adjustment'!$B$66)),(AVERAGE('Elementary Size Adjustment'!$B$66,'Secondary Size Adjustment'!$B$66)),SUM(X89:Y89))</f>
        <v>1708700.1479313062</v>
      </c>
      <c r="AA89" s="137">
        <f>'Model Data Inputs'!$B$71*S89*L89</f>
        <v>61028.325859317774</v>
      </c>
      <c r="AB89" s="137">
        <f>L89*'Model Data Inputs'!$B$72</f>
        <v>4329.4333333333334</v>
      </c>
      <c r="AC89" s="137">
        <f>L89*'Model Data Inputs'!$B$73</f>
        <v>43294.333333333336</v>
      </c>
      <c r="AD89" s="137">
        <f>L89*'Model Data Inputs'!$B$74</f>
        <v>21647.166666666668</v>
      </c>
      <c r="AE89" s="137">
        <f>$I89*'Model Data Inputs'!$B$76</f>
        <v>0</v>
      </c>
      <c r="AF89" s="137">
        <f>VLOOKUP($J89,'Student Activities MS&amp;HS Tables'!$M$7:$O$1267,3)</f>
        <v>39029.630000000005</v>
      </c>
      <c r="AG89" s="137">
        <f>VLOOKUP($K89,'Student Activities MS&amp;HS Tables'!$I$7:$K$3007,3)</f>
        <v>169725.66</v>
      </c>
      <c r="AH89" s="137">
        <f t="shared" si="19"/>
        <v>208755.29</v>
      </c>
      <c r="AI89" s="123">
        <f t="shared" si="25"/>
        <v>2047754.6971239573</v>
      </c>
      <c r="AJ89" s="123">
        <f>(('Model Data Inputs'!$B$90*(('Model Data Inputs'!$B$87*('School Level Inst. Resources'!I89/'School Level Inst. Resources'!L89))+('Model Data Inputs'!$C$87*(SUM('School Level Inst. Resources'!J89:K89)/'School Level Inst. Resources'!L89))))*T89*M89)</f>
        <v>84408.071628923382</v>
      </c>
      <c r="AK89" s="123">
        <f>(('Model Data Inputs'!$B$91*(('Model Data Inputs'!$B$87*('School Level Inst. Resources'!I89/'School Level Inst. Resources'!L89))+('Model Data Inputs'!$C$87*(SUM('School Level Inst. Resources'!J89:K89)/'School Level Inst. Resources'!L89))))*T89*N89)</f>
        <v>0</v>
      </c>
      <c r="AL89" s="137">
        <f>(K89*'Model Data Inputs'!$B$94)*T89</f>
        <v>17708.633851708801</v>
      </c>
      <c r="AM89" s="137">
        <f>K89*'Model Data Inputs'!$B$95</f>
        <v>4683.5347032833342</v>
      </c>
      <c r="AN89" s="137">
        <f t="shared" si="26"/>
        <v>22392.168554992135</v>
      </c>
      <c r="AO89" s="137">
        <f>('School Level Inst. Resources'!K89*'Model Data Inputs'!$B$96)+('School Level Inst. Resources'!J89*'Model Data Inputs'!$B$97)</f>
        <v>12710.883333333335</v>
      </c>
      <c r="AP89" s="137">
        <f>$L89*'Model Data Inputs'!$B$100</f>
        <v>6927.0933333333332</v>
      </c>
      <c r="AQ89" s="137">
        <f t="shared" si="27"/>
        <v>2174192.9139745394</v>
      </c>
      <c r="AR89" s="141">
        <f t="shared" si="20"/>
        <v>12554.719905460333</v>
      </c>
    </row>
    <row r="90" spans="1:44" s="40" customFormat="1" ht="12.75" customHeight="1" x14ac:dyDescent="0.2">
      <c r="A90" s="20" t="s">
        <v>34</v>
      </c>
      <c r="B90" s="20" t="s">
        <v>35</v>
      </c>
      <c r="C90" s="20" t="s">
        <v>536</v>
      </c>
      <c r="D90" s="20" t="s">
        <v>537</v>
      </c>
      <c r="E90" s="138" t="s">
        <v>474</v>
      </c>
      <c r="F90" s="138" t="str">
        <f>IF(AND(SUM('School Level ADM'!$F90:$J90)=0,SUM('School Level ADM'!$O90:$R90)=0,'School Level ADM'!$K90&gt;0,'School Level ADM'!$N90&gt;0),"T","F")</f>
        <v>F</v>
      </c>
      <c r="G90" s="138" t="str">
        <f>IF(AND(SUM('School Level ADM'!$M90:$R90)=0,'School Level ADM'!$L90&gt;0),"T","F")</f>
        <v>F</v>
      </c>
      <c r="H90" s="138" t="str">
        <f t="shared" si="14"/>
        <v>H</v>
      </c>
      <c r="I90" s="139">
        <f>IF($F90="T",SUM('School Level ADM'!$F90:$J90),IF($G90="T",SUM('School Level ADM'!$F90:$L90),SUM('School Level ADM'!$F90:$K90,0)))</f>
        <v>53.502666666666663</v>
      </c>
      <c r="J90" s="139">
        <f>'School Level ADM'!$S90-$I90-$K90</f>
        <v>41.400000000000013</v>
      </c>
      <c r="K90" s="139">
        <f>IF(SUM('School Level ADM'!$N90:$R90)='School Level ADM'!$S90,SUM('School Level ADM'!$N90:$R90),IF(OR(SUM('School Level ADM'!$F90:$O90)='School Level ADM'!$S90,SUM('School Level ADM'!$G90:$O90)='School Level ADM'!$S90,SUM('School Level ADM'!$H90:$O90)='School Level ADM'!$S90,SUM('School Level ADM'!$I90:$O90)='School Level ADM'!$S90,SUM('School Level ADM'!$J90:$O90)='School Level ADM'!$S90,SUM('School Level ADM'!$K90:$O90)='School Level ADM'!$S90,SUM('School Level ADM'!$L90:$O90)='School Level ADM'!$S90,SUM('School Level ADM'!$M90:$O90)='School Level ADM'!$S90,SUM('School Level ADM'!$N90:$O90)='School Level ADM'!$S90),0,SUM('School Level ADM'!$O90:$R90)))</f>
        <v>48.318666666666665</v>
      </c>
      <c r="L90" s="139">
        <f t="shared" si="15"/>
        <v>143.22133333333335</v>
      </c>
      <c r="M90" s="24">
        <f>'Student At-Risk and ELL Proxy'!S90</f>
        <v>71</v>
      </c>
      <c r="N90" s="24">
        <f>'Student At-Risk and ELL Proxy'!AH90</f>
        <v>1</v>
      </c>
      <c r="O90" s="136" t="str">
        <f t="shared" si="21"/>
        <v/>
      </c>
      <c r="P90" s="136" t="str">
        <f t="shared" si="22"/>
        <v/>
      </c>
      <c r="Q90" s="136">
        <f t="shared" si="23"/>
        <v>2.2398222678056299</v>
      </c>
      <c r="R90" s="136">
        <f t="shared" si="16"/>
        <v>2.2398222678056299</v>
      </c>
      <c r="S90" s="136">
        <f>IF(SUM(3515.4*((VLOOKUP($A90,'District Level ADM'!$A$4:$F$52,6,FALSE))^-0.327)/'Model Data Inputs'!$B$71)&lt;1,1,(3515.4*((VLOOKUP($A90,'District Level ADM'!$A$4:$F$52,6,FALSE))^-0.327)/'Model Data Inputs'!$B$71))</f>
        <v>1.8547560980788917</v>
      </c>
      <c r="T90" s="136">
        <f>VLOOKUP($A90,'Regional Cost Adjustment'!$A$4:$C$52,3,FALSE)</f>
        <v>0.96</v>
      </c>
      <c r="U90" s="123">
        <f>((($I90/$L90)*'Model Data Inputs'!$B$85)+((SUM(J90:K90)/$L90)*'Model Data Inputs'!$C$85))*$R90*$T90</f>
        <v>12365.27448020297</v>
      </c>
      <c r="V90" s="140">
        <f>((($I90/$L90)*'Model Data Inputs'!$B$86)+((SUM(J90:K90)/$L90)*'Model Data Inputs'!$C$86))*$R90</f>
        <v>3427.0502944042305</v>
      </c>
      <c r="W90" s="140">
        <f t="shared" si="24"/>
        <v>15792.324774607201</v>
      </c>
      <c r="X90" s="140">
        <f t="shared" si="17"/>
        <v>1770971.0980873099</v>
      </c>
      <c r="Y90" s="140">
        <f t="shared" si="18"/>
        <v>490826.71256496647</v>
      </c>
      <c r="Z90" s="123">
        <f>IF((SUM(X90:Y90))&lt;(AVERAGE('Elementary Size Adjustment'!$B$66,'Secondary Size Adjustment'!$B$66)),(AVERAGE('Elementary Size Adjustment'!$B$66,'Secondary Size Adjustment'!$B$66)),SUM(X90:Y90))</f>
        <v>2261797.8106522765</v>
      </c>
      <c r="AA90" s="137">
        <f>'Model Data Inputs'!$B$71*S90*L90</f>
        <v>50471.721861248036</v>
      </c>
      <c r="AB90" s="137">
        <f>L90*'Model Data Inputs'!$B$72</f>
        <v>3580.5333333333338</v>
      </c>
      <c r="AC90" s="137">
        <f>L90*'Model Data Inputs'!$B$73</f>
        <v>35805.333333333336</v>
      </c>
      <c r="AD90" s="137">
        <f>L90*'Model Data Inputs'!$B$74</f>
        <v>17902.666666666668</v>
      </c>
      <c r="AE90" s="137">
        <f>$I90*'Model Data Inputs'!$B$76</f>
        <v>1272.8284399999998</v>
      </c>
      <c r="AF90" s="137">
        <f>VLOOKUP($J90,'Student Activities MS&amp;HS Tables'!$M$7:$O$1267,3)</f>
        <v>28183.399999999998</v>
      </c>
      <c r="AG90" s="137">
        <f>VLOOKUP($K90,'Student Activities MS&amp;HS Tables'!$I$7:$K$3007,3)</f>
        <v>86605.92</v>
      </c>
      <c r="AH90" s="137">
        <f t="shared" si="19"/>
        <v>116062.14843999999</v>
      </c>
      <c r="AI90" s="123">
        <f t="shared" si="25"/>
        <v>2485620.2142868578</v>
      </c>
      <c r="AJ90" s="123">
        <f>(('Model Data Inputs'!$B$90*(('Model Data Inputs'!$B$87*('School Level Inst. Resources'!I90/'School Level Inst. Resources'!L90))+('Model Data Inputs'!$C$87*(SUM('School Level Inst. Resources'!J90:K90)/'School Level Inst. Resources'!L90))))*T90*M90)</f>
        <v>148876.39775766266</v>
      </c>
      <c r="AK90" s="123">
        <f>(('Model Data Inputs'!$B$91*(('Model Data Inputs'!$B$87*('School Level Inst. Resources'!I90/'School Level Inst. Resources'!L90))+('Model Data Inputs'!$C$87*(SUM('School Level Inst. Resources'!J90:K90)/'School Level Inst. Resources'!L90))))*T90*N90)</f>
        <v>2096.850672643136</v>
      </c>
      <c r="AL90" s="137">
        <f>(K90*'Model Data Inputs'!$B$94)*T90</f>
        <v>7656.7083518015997</v>
      </c>
      <c r="AM90" s="137">
        <f>K90*'Model Data Inputs'!$B$95</f>
        <v>2025.0268642333331</v>
      </c>
      <c r="AN90" s="137">
        <f t="shared" si="26"/>
        <v>9681.7352160349328</v>
      </c>
      <c r="AO90" s="137">
        <f>('School Level Inst. Resources'!K90*'Model Data Inputs'!$B$96)+('School Level Inst. Resources'!J90*'Model Data Inputs'!$B$97)</f>
        <v>5866.8666666666668</v>
      </c>
      <c r="AP90" s="137">
        <f>$L90*'Model Data Inputs'!$B$100</f>
        <v>5728.8533333333344</v>
      </c>
      <c r="AQ90" s="137">
        <f t="shared" si="27"/>
        <v>2657870.9179331986</v>
      </c>
      <c r="AR90" s="141">
        <f t="shared" si="20"/>
        <v>18557.78644196301</v>
      </c>
    </row>
    <row r="91" spans="1:44" s="40" customFormat="1" ht="12.75" customHeight="1" x14ac:dyDescent="0.2">
      <c r="A91" s="20" t="s">
        <v>34</v>
      </c>
      <c r="B91" s="20" t="s">
        <v>35</v>
      </c>
      <c r="C91" s="20" t="s">
        <v>538</v>
      </c>
      <c r="D91" s="20" t="s">
        <v>539</v>
      </c>
      <c r="E91" s="138" t="s">
        <v>389</v>
      </c>
      <c r="F91" s="138" t="str">
        <f>IF(AND(SUM('School Level ADM'!$F91:$J91)=0,SUM('School Level ADM'!$O91:$R91)=0,'School Level ADM'!$K91&gt;0,'School Level ADM'!$N91&gt;0),"T","F")</f>
        <v>F</v>
      </c>
      <c r="G91" s="138" t="str">
        <f>IF(AND(SUM('School Level ADM'!$M91:$R91)=0,'School Level ADM'!$L91&gt;0),"T","F")</f>
        <v>F</v>
      </c>
      <c r="H91" s="138" t="str">
        <f t="shared" si="14"/>
        <v>H</v>
      </c>
      <c r="I91" s="139">
        <f>IF($F91="T",SUM('School Level ADM'!$F91:$J91),IF($G91="T",SUM('School Level ADM'!$F91:$L91),SUM('School Level ADM'!$F91:$K91,0)))</f>
        <v>0</v>
      </c>
      <c r="J91" s="139">
        <f>'School Level ADM'!$S91-$I91-$K91</f>
        <v>0</v>
      </c>
      <c r="K91" s="139">
        <f>IF(SUM('School Level ADM'!$N91:$R91)='School Level ADM'!$S91,SUM('School Level ADM'!$N91:$R91),IF(OR(SUM('School Level ADM'!$F91:$O91)='School Level ADM'!$S91,SUM('School Level ADM'!$G91:$O91)='School Level ADM'!$S91,SUM('School Level ADM'!$H91:$O91)='School Level ADM'!$S91,SUM('School Level ADM'!$I91:$O91)='School Level ADM'!$S91,SUM('School Level ADM'!$J91:$O91)='School Level ADM'!$S91,SUM('School Level ADM'!$K91:$O91)='School Level ADM'!$S91,SUM('School Level ADM'!$L91:$O91)='School Level ADM'!$S91,SUM('School Level ADM'!$M91:$O91)='School Level ADM'!$S91,SUM('School Level ADM'!$N91:$O91)='School Level ADM'!$S91),0,SUM('School Level ADM'!$O91:$R91)))</f>
        <v>177.81500000000003</v>
      </c>
      <c r="L91" s="139">
        <f t="shared" si="15"/>
        <v>177.81500000000003</v>
      </c>
      <c r="M91" s="24">
        <f>'Student At-Risk and ELL Proxy'!S91</f>
        <v>65</v>
      </c>
      <c r="N91" s="24">
        <f>'Student At-Risk and ELL Proxy'!AH91</f>
        <v>0</v>
      </c>
      <c r="O91" s="136" t="str">
        <f t="shared" si="21"/>
        <v/>
      </c>
      <c r="P91" s="136">
        <f t="shared" si="22"/>
        <v>1.4810297687356806</v>
      </c>
      <c r="Q91" s="136" t="str">
        <f t="shared" si="23"/>
        <v/>
      </c>
      <c r="R91" s="136">
        <f t="shared" si="16"/>
        <v>1.4810297687356806</v>
      </c>
      <c r="S91" s="136">
        <f>IF(SUM(3515.4*((VLOOKUP($A91,'District Level ADM'!$A$4:$F$52,6,FALSE))^-0.327)/'Model Data Inputs'!$B$71)&lt;1,1,(3515.4*((VLOOKUP($A91,'District Level ADM'!$A$4:$F$52,6,FALSE))^-0.327)/'Model Data Inputs'!$B$71))</f>
        <v>1.8547560980788917</v>
      </c>
      <c r="T91" s="136">
        <f>VLOOKUP($A91,'Regional Cost Adjustment'!$A$4:$C$52,3,FALSE)</f>
        <v>0.96</v>
      </c>
      <c r="U91" s="123">
        <f>((($I91/$L91)*'Model Data Inputs'!$B$85)+((SUM(J91:K91)/$L91)*'Model Data Inputs'!$C$85))*$R91*$T91</f>
        <v>7653.188613783349</v>
      </c>
      <c r="V91" s="140">
        <f>((($I91/$L91)*'Model Data Inputs'!$B$86)+((SUM(J91:K91)/$L91)*'Model Data Inputs'!$C$86))*$R91</f>
        <v>2122.4752653588457</v>
      </c>
      <c r="W91" s="140">
        <f t="shared" si="24"/>
        <v>9775.6638791421938</v>
      </c>
      <c r="X91" s="140">
        <f t="shared" si="17"/>
        <v>1360851.7333598863</v>
      </c>
      <c r="Y91" s="140">
        <f t="shared" si="18"/>
        <v>377407.93930978322</v>
      </c>
      <c r="Z91" s="123">
        <f>IF((SUM(X91:Y91))&lt;(AVERAGE('Elementary Size Adjustment'!$B$66,'Secondary Size Adjustment'!$B$66)),(AVERAGE('Elementary Size Adjustment'!$B$66,'Secondary Size Adjustment'!$B$66)),SUM(X91:Y91))</f>
        <v>1738259.6726696696</v>
      </c>
      <c r="AA91" s="137">
        <f>'Model Data Inputs'!$B$71*S91*L91</f>
        <v>62662.656560180651</v>
      </c>
      <c r="AB91" s="137">
        <f>L91*'Model Data Inputs'!$B$72</f>
        <v>4445.3750000000009</v>
      </c>
      <c r="AC91" s="137">
        <f>L91*'Model Data Inputs'!$B$73</f>
        <v>44453.750000000007</v>
      </c>
      <c r="AD91" s="137">
        <f>L91*'Model Data Inputs'!$B$74</f>
        <v>22226.875000000004</v>
      </c>
      <c r="AE91" s="137">
        <f>$I91*'Model Data Inputs'!$B$76</f>
        <v>0</v>
      </c>
      <c r="AF91" s="137">
        <f>VLOOKUP($J91,'Student Activities MS&amp;HS Tables'!$M$7:$O$1267,3)</f>
        <v>0</v>
      </c>
      <c r="AG91" s="137">
        <f>VLOOKUP($K91,'Student Activities MS&amp;HS Tables'!$I$7:$K$3007,3)</f>
        <v>237564.09000000003</v>
      </c>
      <c r="AH91" s="137">
        <f t="shared" si="19"/>
        <v>237564.09000000003</v>
      </c>
      <c r="AI91" s="123">
        <f t="shared" si="25"/>
        <v>2109612.4192298502</v>
      </c>
      <c r="AJ91" s="123">
        <f>(('Model Data Inputs'!$B$90*(('Model Data Inputs'!$B$87*('School Level Inst. Resources'!I91/'School Level Inst. Resources'!L91))+('Model Data Inputs'!$C$87*(SUM('School Level Inst. Resources'!J91:K91)/'School Level Inst. Resources'!L91))))*T91*M91)</f>
        <v>127593.59664837255</v>
      </c>
      <c r="AK91" s="123">
        <f>(('Model Data Inputs'!$B$91*(('Model Data Inputs'!$B$87*('School Level Inst. Resources'!I91/'School Level Inst. Resources'!L91))+('Model Data Inputs'!$C$87*(SUM('School Level Inst. Resources'!J91:K91)/'School Level Inst. Resources'!L91))))*T91*N91)</f>
        <v>0</v>
      </c>
      <c r="AL91" s="137">
        <f>(K91*'Model Data Inputs'!$B$94)*T91</f>
        <v>28177.052255352002</v>
      </c>
      <c r="AM91" s="137">
        <f>K91*'Model Data Inputs'!$B$95</f>
        <v>7452.1955323750008</v>
      </c>
      <c r="AN91" s="137">
        <f t="shared" si="26"/>
        <v>35629.247787726999</v>
      </c>
      <c r="AO91" s="137">
        <f>('School Level Inst. Resources'!K91*'Model Data Inputs'!$B$96)+('School Level Inst. Resources'!J91*'Model Data Inputs'!$B$97)</f>
        <v>17781.500000000004</v>
      </c>
      <c r="AP91" s="137">
        <f>$L91*'Model Data Inputs'!$B$100</f>
        <v>7112.6000000000013</v>
      </c>
      <c r="AQ91" s="137">
        <f t="shared" si="27"/>
        <v>2297729.36366595</v>
      </c>
      <c r="AR91" s="141">
        <f t="shared" si="20"/>
        <v>12922.022122239123</v>
      </c>
    </row>
    <row r="92" spans="1:44" s="40" customFormat="1" ht="12.75" customHeight="1" x14ac:dyDescent="0.2">
      <c r="A92" s="20" t="s">
        <v>36</v>
      </c>
      <c r="B92" s="20" t="s">
        <v>540</v>
      </c>
      <c r="C92" s="20" t="s">
        <v>541</v>
      </c>
      <c r="D92" s="20" t="s">
        <v>542</v>
      </c>
      <c r="E92" s="138" t="s">
        <v>357</v>
      </c>
      <c r="F92" s="138" t="str">
        <f>IF(AND(SUM('School Level ADM'!$F92:$J92)=0,SUM('School Level ADM'!$O92:$R92)=0,'School Level ADM'!$K92&gt;0,'School Level ADM'!$N92&gt;0),"T","F")</f>
        <v>F</v>
      </c>
      <c r="G92" s="138" t="str">
        <f>IF(AND(SUM('School Level ADM'!$M92:$R92)=0,'School Level ADM'!$L92&gt;0),"T","F")</f>
        <v>F</v>
      </c>
      <c r="H92" s="138" t="str">
        <f t="shared" si="14"/>
        <v>E</v>
      </c>
      <c r="I92" s="139">
        <f>IF($F92="T",SUM('School Level ADM'!$F92:$J92),IF($G92="T",SUM('School Level ADM'!$F92:$L92),SUM('School Level ADM'!$F92:$K92,0)))</f>
        <v>6.8950000000000005</v>
      </c>
      <c r="J92" s="139">
        <f>'School Level ADM'!$S92-$I92-$K92</f>
        <v>0</v>
      </c>
      <c r="K92" s="139">
        <f>IF(SUM('School Level ADM'!$N92:$R92)='School Level ADM'!$S92,SUM('School Level ADM'!$N92:$R92),IF(OR(SUM('School Level ADM'!$F92:$O92)='School Level ADM'!$S92,SUM('School Level ADM'!$G92:$O92)='School Level ADM'!$S92,SUM('School Level ADM'!$H92:$O92)='School Level ADM'!$S92,SUM('School Level ADM'!$I92:$O92)='School Level ADM'!$S92,SUM('School Level ADM'!$J92:$O92)='School Level ADM'!$S92,SUM('School Level ADM'!$K92:$O92)='School Level ADM'!$S92,SUM('School Level ADM'!$L92:$O92)='School Level ADM'!$S92,SUM('School Level ADM'!$M92:$O92)='School Level ADM'!$S92,SUM('School Level ADM'!$N92:$O92)='School Level ADM'!$S92),0,SUM('School Level ADM'!$O92:$R92)))</f>
        <v>0</v>
      </c>
      <c r="L92" s="139">
        <f t="shared" si="15"/>
        <v>6.8950000000000005</v>
      </c>
      <c r="M92" s="24">
        <f>'Student At-Risk and ELL Proxy'!S92</f>
        <v>4</v>
      </c>
      <c r="N92" s="24">
        <f>'Student At-Risk and ELL Proxy'!AH92</f>
        <v>0</v>
      </c>
      <c r="O92" s="136">
        <f t="shared" si="21"/>
        <v>4.455528961037035</v>
      </c>
      <c r="P92" s="136" t="str">
        <f t="shared" si="22"/>
        <v/>
      </c>
      <c r="Q92" s="136" t="str">
        <f t="shared" si="23"/>
        <v/>
      </c>
      <c r="R92" s="136">
        <f t="shared" si="16"/>
        <v>4.455528961037035</v>
      </c>
      <c r="S92" s="136">
        <f>IF(SUM(3515.4*((VLOOKUP($A92,'District Level ADM'!$A$4:$F$52,6,FALSE))^-0.327)/'Model Data Inputs'!$B$71)&lt;1,1,(3515.4*((VLOOKUP($A92,'District Level ADM'!$A$4:$F$52,6,FALSE))^-0.327)/'Model Data Inputs'!$B$71))</f>
        <v>1.6066555233965785</v>
      </c>
      <c r="T92" s="136">
        <f>VLOOKUP($A92,'Regional Cost Adjustment'!$A$4:$C$52,3,FALSE)</f>
        <v>0.94</v>
      </c>
      <c r="U92" s="123">
        <f>((($I92/$L92)*'Model Data Inputs'!$B$85)+((SUM(J92:K92)/$L92)*'Model Data Inputs'!$C$85))*$R92*$T92</f>
        <v>26668.713111923145</v>
      </c>
      <c r="V92" s="140">
        <f>((($I92/$L92)*'Model Data Inputs'!$B$86)+((SUM(J92:K92)/$L92)*'Model Data Inputs'!$C$86))*$R92</f>
        <v>7541.5385570172757</v>
      </c>
      <c r="W92" s="140">
        <f t="shared" si="24"/>
        <v>34210.251668940422</v>
      </c>
      <c r="X92" s="140">
        <f t="shared" si="17"/>
        <v>183880.77690671009</v>
      </c>
      <c r="Y92" s="140">
        <f t="shared" si="18"/>
        <v>51998.908350634119</v>
      </c>
      <c r="Z92" s="123">
        <f>IF((SUM(X92:Y92))&lt;(AVERAGE('Elementary Size Adjustment'!$B$66,'Secondary Size Adjustment'!$B$66)),(AVERAGE('Elementary Size Adjustment'!$B$66,'Secondary Size Adjustment'!$B$66)),SUM(X92:Y92))</f>
        <v>235879.68525734422</v>
      </c>
      <c r="AA92" s="137">
        <f>'Model Data Inputs'!$B$71*S92*L92</f>
        <v>2104.7990684256879</v>
      </c>
      <c r="AB92" s="137">
        <f>L92*'Model Data Inputs'!$B$72</f>
        <v>172.375</v>
      </c>
      <c r="AC92" s="137">
        <f>L92*'Model Data Inputs'!$B$73</f>
        <v>1723.7500000000002</v>
      </c>
      <c r="AD92" s="137">
        <f>L92*'Model Data Inputs'!$B$74</f>
        <v>861.87500000000011</v>
      </c>
      <c r="AE92" s="137">
        <f>$I92*'Model Data Inputs'!$B$76</f>
        <v>164.03205</v>
      </c>
      <c r="AF92" s="137">
        <f>VLOOKUP($J92,'Student Activities MS&amp;HS Tables'!$M$7:$O$1267,3)</f>
        <v>0</v>
      </c>
      <c r="AG92" s="137">
        <f>VLOOKUP($K92,'Student Activities MS&amp;HS Tables'!$I$7:$K$3007,3)</f>
        <v>0</v>
      </c>
      <c r="AH92" s="137">
        <f t="shared" si="19"/>
        <v>164.03205</v>
      </c>
      <c r="AI92" s="123">
        <f t="shared" si="25"/>
        <v>240906.51637576992</v>
      </c>
      <c r="AJ92" s="123">
        <f>(('Model Data Inputs'!$B$90*(('Model Data Inputs'!$B$87*('School Level Inst. Resources'!I92/'School Level Inst. Resources'!L92))+('Model Data Inputs'!$C$87*(SUM('School Level Inst. Resources'!J92:K92)/'School Level Inst. Resources'!L92))))*T92*M92)</f>
        <v>9091.9196308387636</v>
      </c>
      <c r="AK92" s="123">
        <f>(('Model Data Inputs'!$B$91*(('Model Data Inputs'!$B$87*('School Level Inst. Resources'!I92/'School Level Inst. Resources'!L92))+('Model Data Inputs'!$C$87*(SUM('School Level Inst. Resources'!J92:K92)/'School Level Inst. Resources'!L92))))*T92*N92)</f>
        <v>0</v>
      </c>
      <c r="AL92" s="137">
        <f>(K92*'Model Data Inputs'!$B$94)*T92</f>
        <v>0</v>
      </c>
      <c r="AM92" s="137">
        <f>K92*'Model Data Inputs'!$B$95</f>
        <v>0</v>
      </c>
      <c r="AN92" s="137">
        <f t="shared" si="26"/>
        <v>0</v>
      </c>
      <c r="AO92" s="137">
        <f>('School Level Inst. Resources'!K92*'Model Data Inputs'!$B$96)+('School Level Inst. Resources'!J92*'Model Data Inputs'!$B$97)</f>
        <v>0</v>
      </c>
      <c r="AP92" s="137">
        <f>$L92*'Model Data Inputs'!$B$100</f>
        <v>275.8</v>
      </c>
      <c r="AQ92" s="137">
        <f t="shared" si="27"/>
        <v>250274.23600660867</v>
      </c>
      <c r="AR92" s="141">
        <f t="shared" si="20"/>
        <v>36297.931255490737</v>
      </c>
    </row>
    <row r="93" spans="1:44" s="40" customFormat="1" ht="12.75" customHeight="1" x14ac:dyDescent="0.2">
      <c r="A93" s="20" t="s">
        <v>36</v>
      </c>
      <c r="B93" s="20" t="s">
        <v>540</v>
      </c>
      <c r="C93" s="20" t="s">
        <v>543</v>
      </c>
      <c r="D93" s="20" t="s">
        <v>544</v>
      </c>
      <c r="E93" s="138" t="s">
        <v>545</v>
      </c>
      <c r="F93" s="138" t="str">
        <f>IF(AND(SUM('School Level ADM'!$F93:$J93)=0,SUM('School Level ADM'!$O93:$R93)=0,'School Level ADM'!$K93&gt;0,'School Level ADM'!$N93&gt;0),"T","F")</f>
        <v>F</v>
      </c>
      <c r="G93" s="138" t="str">
        <f>IF(AND(SUM('School Level ADM'!$M93:$R93)=0,'School Level ADM'!$L93&gt;0),"T","F")</f>
        <v>F</v>
      </c>
      <c r="H93" s="138" t="str">
        <f t="shared" si="14"/>
        <v>E</v>
      </c>
      <c r="I93" s="139">
        <f>IF($F93="T",SUM('School Level ADM'!$F93:$J93),IF($G93="T",SUM('School Level ADM'!$F93:$L93),SUM('School Level ADM'!$F93:$K93,0)))</f>
        <v>535.83999999999992</v>
      </c>
      <c r="J93" s="139">
        <f>'School Level ADM'!$S93-$I93-$K93</f>
        <v>0</v>
      </c>
      <c r="K93" s="139">
        <f>IF(SUM('School Level ADM'!$N93:$R93)='School Level ADM'!$S93,SUM('School Level ADM'!$N93:$R93),IF(OR(SUM('School Level ADM'!$F93:$O93)='School Level ADM'!$S93,SUM('School Level ADM'!$G93:$O93)='School Level ADM'!$S93,SUM('School Level ADM'!$H93:$O93)='School Level ADM'!$S93,SUM('School Level ADM'!$I93:$O93)='School Level ADM'!$S93,SUM('School Level ADM'!$J93:$O93)='School Level ADM'!$S93,SUM('School Level ADM'!$K93:$O93)='School Level ADM'!$S93,SUM('School Level ADM'!$L93:$O93)='School Level ADM'!$S93,SUM('School Level ADM'!$M93:$O93)='School Level ADM'!$S93,SUM('School Level ADM'!$N93:$O93)='School Level ADM'!$S93),0,SUM('School Level ADM'!$O93:$R93)))</f>
        <v>0</v>
      </c>
      <c r="L93" s="139">
        <f t="shared" si="15"/>
        <v>535.83999999999992</v>
      </c>
      <c r="M93" s="24">
        <f>'Student At-Risk and ELL Proxy'!S93</f>
        <v>244</v>
      </c>
      <c r="N93" s="24">
        <f>'Student At-Risk and ELL Proxy'!AH93</f>
        <v>0</v>
      </c>
      <c r="O93" s="136">
        <f t="shared" si="21"/>
        <v>0.97</v>
      </c>
      <c r="P93" s="136" t="str">
        <f t="shared" si="22"/>
        <v/>
      </c>
      <c r="Q93" s="136" t="str">
        <f t="shared" si="23"/>
        <v/>
      </c>
      <c r="R93" s="136">
        <f t="shared" si="16"/>
        <v>0.97</v>
      </c>
      <c r="S93" s="136">
        <f>IF(SUM(3515.4*((VLOOKUP($A93,'District Level ADM'!$A$4:$F$52,6,FALSE))^-0.327)/'Model Data Inputs'!$B$71)&lt;1,1,(3515.4*((VLOOKUP($A93,'District Level ADM'!$A$4:$F$52,6,FALSE))^-0.327)/'Model Data Inputs'!$B$71))</f>
        <v>1.6066555233965785</v>
      </c>
      <c r="T93" s="136">
        <f>VLOOKUP($A93,'Regional Cost Adjustment'!$A$4:$C$52,3,FALSE)</f>
        <v>0.94</v>
      </c>
      <c r="U93" s="123">
        <f>((($I93/$L93)*'Model Data Inputs'!$B$85)+((SUM(J93:K93)/$L93)*'Model Data Inputs'!$C$85))*$R93*$T93</f>
        <v>5805.9664620706362</v>
      </c>
      <c r="V93" s="140">
        <f>((($I93/$L93)*'Model Data Inputs'!$B$86)+((SUM(J93:K93)/$L93)*'Model Data Inputs'!$C$86))*$R93</f>
        <v>1641.8459994936507</v>
      </c>
      <c r="W93" s="140">
        <f t="shared" si="24"/>
        <v>7447.8124615642864</v>
      </c>
      <c r="X93" s="140">
        <f t="shared" si="17"/>
        <v>3111069.0690359292</v>
      </c>
      <c r="Y93" s="140">
        <f t="shared" si="18"/>
        <v>879766.76036867767</v>
      </c>
      <c r="Z93" s="123">
        <f>IF((SUM(X93:Y93))&lt;(AVERAGE('Elementary Size Adjustment'!$B$66,'Secondary Size Adjustment'!$B$66)),(AVERAGE('Elementary Size Adjustment'!$B$66,'Secondary Size Adjustment'!$B$66)),SUM(X93:Y93))</f>
        <v>3990835.8294046069</v>
      </c>
      <c r="AA93" s="137">
        <f>'Model Data Inputs'!$B$71*S93*L93</f>
        <v>163572.95617479627</v>
      </c>
      <c r="AB93" s="137">
        <f>L93*'Model Data Inputs'!$B$72</f>
        <v>13395.999999999998</v>
      </c>
      <c r="AC93" s="137">
        <f>L93*'Model Data Inputs'!$B$73</f>
        <v>133959.99999999997</v>
      </c>
      <c r="AD93" s="137">
        <f>L93*'Model Data Inputs'!$B$74</f>
        <v>66979.999999999985</v>
      </c>
      <c r="AE93" s="137">
        <f>$I93*'Model Data Inputs'!$B$76</f>
        <v>12747.633599999997</v>
      </c>
      <c r="AF93" s="137">
        <f>VLOOKUP($J93,'Student Activities MS&amp;HS Tables'!$M$7:$O$1267,3)</f>
        <v>0</v>
      </c>
      <c r="AG93" s="137">
        <f>VLOOKUP($K93,'Student Activities MS&amp;HS Tables'!$I$7:$K$3007,3)</f>
        <v>0</v>
      </c>
      <c r="AH93" s="137">
        <f t="shared" si="19"/>
        <v>12747.633599999997</v>
      </c>
      <c r="AI93" s="123">
        <f t="shared" si="25"/>
        <v>4381492.4191794032</v>
      </c>
      <c r="AJ93" s="123">
        <f>(('Model Data Inputs'!$B$90*(('Model Data Inputs'!$B$87*('School Level Inst. Resources'!I93/'School Level Inst. Resources'!L93))+('Model Data Inputs'!$C$87*(SUM('School Level Inst. Resources'!J93:K93)/'School Level Inst. Resources'!L93))))*T93*M93)</f>
        <v>554607.09748116462</v>
      </c>
      <c r="AK93" s="123">
        <f>(('Model Data Inputs'!$B$91*(('Model Data Inputs'!$B$87*('School Level Inst. Resources'!I93/'School Level Inst. Resources'!L93))+('Model Data Inputs'!$C$87*(SUM('School Level Inst. Resources'!J93:K93)/'School Level Inst. Resources'!L93))))*T93*N93)</f>
        <v>0</v>
      </c>
      <c r="AL93" s="137">
        <f>(K93*'Model Data Inputs'!$B$94)*T93</f>
        <v>0</v>
      </c>
      <c r="AM93" s="137">
        <f>K93*'Model Data Inputs'!$B$95</f>
        <v>0</v>
      </c>
      <c r="AN93" s="137">
        <f t="shared" si="26"/>
        <v>0</v>
      </c>
      <c r="AO93" s="137">
        <f>('School Level Inst. Resources'!K93*'Model Data Inputs'!$B$96)+('School Level Inst. Resources'!J93*'Model Data Inputs'!$B$97)</f>
        <v>0</v>
      </c>
      <c r="AP93" s="137">
        <f>$L93*'Model Data Inputs'!$B$100</f>
        <v>21433.599999999999</v>
      </c>
      <c r="AQ93" s="137">
        <f t="shared" si="27"/>
        <v>4957533.116660567</v>
      </c>
      <c r="AR93" s="141">
        <f t="shared" si="20"/>
        <v>9251.8907074137205</v>
      </c>
    </row>
    <row r="94" spans="1:44" s="40" customFormat="1" ht="12.75" customHeight="1" x14ac:dyDescent="0.2">
      <c r="A94" s="20" t="s">
        <v>36</v>
      </c>
      <c r="B94" s="20" t="s">
        <v>540</v>
      </c>
      <c r="C94" s="20" t="s">
        <v>546</v>
      </c>
      <c r="D94" s="20" t="s">
        <v>547</v>
      </c>
      <c r="E94" s="138" t="s">
        <v>508</v>
      </c>
      <c r="F94" s="138" t="str">
        <f>IF(AND(SUM('School Level ADM'!$F94:$J94)=0,SUM('School Level ADM'!$O94:$R94)=0,'School Level ADM'!$K94&gt;0,'School Level ADM'!$N94&gt;0),"T","F")</f>
        <v>F</v>
      </c>
      <c r="G94" s="138" t="str">
        <f>IF(AND(SUM('School Level ADM'!$M94:$R94)=0,'School Level ADM'!$L94&gt;0),"T","F")</f>
        <v>F</v>
      </c>
      <c r="H94" s="138" t="str">
        <f t="shared" si="14"/>
        <v>E</v>
      </c>
      <c r="I94" s="139">
        <f>IF($F94="T",SUM('School Level ADM'!$F94:$J94),IF($G94="T",SUM('School Level ADM'!$F94:$L94),SUM('School Level ADM'!$F94:$K94,0)))</f>
        <v>300.42499999999995</v>
      </c>
      <c r="J94" s="139">
        <f>'School Level ADM'!$S94-$I94-$K94</f>
        <v>0</v>
      </c>
      <c r="K94" s="139">
        <f>IF(SUM('School Level ADM'!$N94:$R94)='School Level ADM'!$S94,SUM('School Level ADM'!$N94:$R94),IF(OR(SUM('School Level ADM'!$F94:$O94)='School Level ADM'!$S94,SUM('School Level ADM'!$G94:$O94)='School Level ADM'!$S94,SUM('School Level ADM'!$H94:$O94)='School Level ADM'!$S94,SUM('School Level ADM'!$I94:$O94)='School Level ADM'!$S94,SUM('School Level ADM'!$J94:$O94)='School Level ADM'!$S94,SUM('School Level ADM'!$K94:$O94)='School Level ADM'!$S94,SUM('School Level ADM'!$L94:$O94)='School Level ADM'!$S94,SUM('School Level ADM'!$M94:$O94)='School Level ADM'!$S94,SUM('School Level ADM'!$N94:$O94)='School Level ADM'!$S94),0,SUM('School Level ADM'!$O94:$R94)))</f>
        <v>0</v>
      </c>
      <c r="L94" s="139">
        <f t="shared" si="15"/>
        <v>300.42499999999995</v>
      </c>
      <c r="M94" s="24">
        <f>'Student At-Risk and ELL Proxy'!S94</f>
        <v>131</v>
      </c>
      <c r="N94" s="24">
        <f>'Student At-Risk and ELL Proxy'!AH94</f>
        <v>2</v>
      </c>
      <c r="O94" s="136">
        <f t="shared" si="21"/>
        <v>0.99196638371869672</v>
      </c>
      <c r="P94" s="136" t="str">
        <f t="shared" si="22"/>
        <v/>
      </c>
      <c r="Q94" s="136" t="str">
        <f t="shared" si="23"/>
        <v/>
      </c>
      <c r="R94" s="136">
        <f t="shared" si="16"/>
        <v>0.99196638371869672</v>
      </c>
      <c r="S94" s="136">
        <f>IF(SUM(3515.4*((VLOOKUP($A94,'District Level ADM'!$A$4:$F$52,6,FALSE))^-0.327)/'Model Data Inputs'!$B$71)&lt;1,1,(3515.4*((VLOOKUP($A94,'District Level ADM'!$A$4:$F$52,6,FALSE))^-0.327)/'Model Data Inputs'!$B$71))</f>
        <v>1.6066555233965785</v>
      </c>
      <c r="T94" s="136">
        <f>VLOOKUP($A94,'Regional Cost Adjustment'!$A$4:$C$52,3,FALSE)</f>
        <v>0.94</v>
      </c>
      <c r="U94" s="123">
        <f>((($I94/$L94)*'Model Data Inputs'!$B$85)+((SUM(J94:K94)/$L94)*'Model Data Inputs'!$C$85))*$R94*$T94</f>
        <v>5937.4469643012835</v>
      </c>
      <c r="V94" s="140">
        <f>((($I94/$L94)*'Model Data Inputs'!$B$86)+((SUM(J94:K94)/$L94)*'Model Data Inputs'!$C$86))*$R94</f>
        <v>1679.0268440626039</v>
      </c>
      <c r="W94" s="140">
        <f t="shared" si="24"/>
        <v>7616.4738083638877</v>
      </c>
      <c r="X94" s="140">
        <f t="shared" si="17"/>
        <v>1783757.5042502128</v>
      </c>
      <c r="Y94" s="140">
        <f t="shared" si="18"/>
        <v>504421.63962750771</v>
      </c>
      <c r="Z94" s="123">
        <f>IF((SUM(X94:Y94))&lt;(AVERAGE('Elementary Size Adjustment'!$B$66,'Secondary Size Adjustment'!$B$66)),(AVERAGE('Elementary Size Adjustment'!$B$66,'Secondary Size Adjustment'!$B$66)),SUM(X94:Y94))</f>
        <v>2288179.1438777205</v>
      </c>
      <c r="AA94" s="137">
        <f>'Model Data Inputs'!$B$71*S94*L94</f>
        <v>91709.102267119233</v>
      </c>
      <c r="AB94" s="137">
        <f>L94*'Model Data Inputs'!$B$72</f>
        <v>7510.6249999999991</v>
      </c>
      <c r="AC94" s="137">
        <f>L94*'Model Data Inputs'!$B$73</f>
        <v>75106.249999999985</v>
      </c>
      <c r="AD94" s="137">
        <f>L94*'Model Data Inputs'!$B$74</f>
        <v>37553.124999999993</v>
      </c>
      <c r="AE94" s="137">
        <f>$I94*'Model Data Inputs'!$B$76</f>
        <v>7147.1107499999989</v>
      </c>
      <c r="AF94" s="137">
        <f>VLOOKUP($J94,'Student Activities MS&amp;HS Tables'!$M$7:$O$1267,3)</f>
        <v>0</v>
      </c>
      <c r="AG94" s="137">
        <f>VLOOKUP($K94,'Student Activities MS&amp;HS Tables'!$I$7:$K$3007,3)</f>
        <v>0</v>
      </c>
      <c r="AH94" s="137">
        <f t="shared" si="19"/>
        <v>7147.1107499999989</v>
      </c>
      <c r="AI94" s="123">
        <f t="shared" si="25"/>
        <v>2507205.3568948396</v>
      </c>
      <c r="AJ94" s="123">
        <f>(('Model Data Inputs'!$B$90*(('Model Data Inputs'!$B$87*('School Level Inst. Resources'!I94/'School Level Inst. Resources'!L94))+('Model Data Inputs'!$C$87*(SUM('School Level Inst. Resources'!J94:K94)/'School Level Inst. Resources'!L94))))*T94*M94)</f>
        <v>297760.36790996953</v>
      </c>
      <c r="AK94" s="123">
        <f>(('Model Data Inputs'!$B$91*(('Model Data Inputs'!$B$87*('School Level Inst. Resources'!I94/'School Level Inst. Resources'!L94))+('Model Data Inputs'!$C$87*(SUM('School Level Inst. Resources'!J94:K94)/'School Level Inst. Resources'!L94))))*T94*N94)</f>
        <v>4545.9598154193818</v>
      </c>
      <c r="AL94" s="137">
        <f>(K94*'Model Data Inputs'!$B$94)*T94</f>
        <v>0</v>
      </c>
      <c r="AM94" s="137">
        <f>K94*'Model Data Inputs'!$B$95</f>
        <v>0</v>
      </c>
      <c r="AN94" s="137">
        <f t="shared" si="26"/>
        <v>0</v>
      </c>
      <c r="AO94" s="137">
        <f>('School Level Inst. Resources'!K94*'Model Data Inputs'!$B$96)+('School Level Inst. Resources'!J94*'Model Data Inputs'!$B$97)</f>
        <v>0</v>
      </c>
      <c r="AP94" s="137">
        <f>$L94*'Model Data Inputs'!$B$100</f>
        <v>12016.999999999998</v>
      </c>
      <c r="AQ94" s="137">
        <f t="shared" si="27"/>
        <v>2821528.6846202286</v>
      </c>
      <c r="AR94" s="141">
        <f t="shared" si="20"/>
        <v>9391.7905787475374</v>
      </c>
    </row>
    <row r="95" spans="1:44" s="40" customFormat="1" ht="12.75" customHeight="1" x14ac:dyDescent="0.2">
      <c r="A95" s="20" t="s">
        <v>36</v>
      </c>
      <c r="B95" s="20" t="s">
        <v>540</v>
      </c>
      <c r="C95" s="20" t="s">
        <v>548</v>
      </c>
      <c r="D95" s="20" t="s">
        <v>549</v>
      </c>
      <c r="E95" s="138" t="s">
        <v>383</v>
      </c>
      <c r="F95" s="138" t="str">
        <f>IF(AND(SUM('School Level ADM'!$F95:$J95)=0,SUM('School Level ADM'!$O95:$R95)=0,'School Level ADM'!$K95&gt;0,'School Level ADM'!$N95&gt;0),"T","F")</f>
        <v>F</v>
      </c>
      <c r="G95" s="138" t="str">
        <f>IF(AND(SUM('School Level ADM'!$M95:$R95)=0,'School Level ADM'!$L95&gt;0),"T","F")</f>
        <v>F</v>
      </c>
      <c r="H95" s="138" t="str">
        <f t="shared" si="14"/>
        <v>M</v>
      </c>
      <c r="I95" s="139">
        <f>IF($F95="T",SUM('School Level ADM'!$F95:$J95),IF($G95="T",SUM('School Level ADM'!$F95:$L95),SUM('School Level ADM'!$F95:$K95,0)))</f>
        <v>0</v>
      </c>
      <c r="J95" s="139">
        <f>'School Level ADM'!$S95-$I95-$K95</f>
        <v>409.76</v>
      </c>
      <c r="K95" s="139">
        <f>IF(SUM('School Level ADM'!$N95:$R95)='School Level ADM'!$S95,SUM('School Level ADM'!$N95:$R95),IF(OR(SUM('School Level ADM'!$F95:$O95)='School Level ADM'!$S95,SUM('School Level ADM'!$G95:$O95)='School Level ADM'!$S95,SUM('School Level ADM'!$H95:$O95)='School Level ADM'!$S95,SUM('School Level ADM'!$I95:$O95)='School Level ADM'!$S95,SUM('School Level ADM'!$J95:$O95)='School Level ADM'!$S95,SUM('School Level ADM'!$K95:$O95)='School Level ADM'!$S95,SUM('School Level ADM'!$L95:$O95)='School Level ADM'!$S95,SUM('School Level ADM'!$M95:$O95)='School Level ADM'!$S95,SUM('School Level ADM'!$N95:$O95)='School Level ADM'!$S95),0,SUM('School Level ADM'!$O95:$R95)))</f>
        <v>0</v>
      </c>
      <c r="L95" s="139">
        <f t="shared" si="15"/>
        <v>409.76</v>
      </c>
      <c r="M95" s="24">
        <f>'Student At-Risk and ELL Proxy'!S95</f>
        <v>167</v>
      </c>
      <c r="N95" s="24">
        <f>'Student At-Risk and ELL Proxy'!AH95</f>
        <v>3</v>
      </c>
      <c r="O95" s="136" t="str">
        <f t="shared" si="21"/>
        <v/>
      </c>
      <c r="P95" s="136">
        <f t="shared" si="22"/>
        <v>1.1048538116937936</v>
      </c>
      <c r="Q95" s="136" t="str">
        <f t="shared" si="23"/>
        <v/>
      </c>
      <c r="R95" s="136">
        <f t="shared" si="16"/>
        <v>1.1048538116937936</v>
      </c>
      <c r="S95" s="136">
        <f>IF(SUM(3515.4*((VLOOKUP($A95,'District Level ADM'!$A$4:$F$52,6,FALSE))^-0.327)/'Model Data Inputs'!$B$71)&lt;1,1,(3515.4*((VLOOKUP($A95,'District Level ADM'!$A$4:$F$52,6,FALSE))^-0.327)/'Model Data Inputs'!$B$71))</f>
        <v>1.6066555233965785</v>
      </c>
      <c r="T95" s="136">
        <f>VLOOKUP($A95,'Regional Cost Adjustment'!$A$4:$C$52,3,FALSE)</f>
        <v>0.94</v>
      </c>
      <c r="U95" s="123">
        <f>((($I95/$L95)*'Model Data Inputs'!$B$85)+((SUM(J95:K95)/$L95)*'Model Data Inputs'!$C$85))*$R95*$T95</f>
        <v>5590.3637558508481</v>
      </c>
      <c r="V95" s="140">
        <f>((($I95/$L95)*'Model Data Inputs'!$B$86)+((SUM(J95:K95)/$L95)*'Model Data Inputs'!$C$86))*$R95</f>
        <v>1583.3745794045774</v>
      </c>
      <c r="W95" s="140">
        <f t="shared" si="24"/>
        <v>7173.7383352554252</v>
      </c>
      <c r="X95" s="140">
        <f t="shared" si="17"/>
        <v>2290707.4525974435</v>
      </c>
      <c r="Y95" s="140">
        <f t="shared" si="18"/>
        <v>648803.56765681959</v>
      </c>
      <c r="Z95" s="123">
        <f>IF((SUM(X95:Y95))&lt;(AVERAGE('Elementary Size Adjustment'!$B$66,'Secondary Size Adjustment'!$B$66)),(AVERAGE('Elementary Size Adjustment'!$B$66,'Secondary Size Adjustment'!$B$66)),SUM(X95:Y95))</f>
        <v>2939511.0202542632</v>
      </c>
      <c r="AA95" s="137">
        <f>'Model Data Inputs'!$B$71*S95*L95</f>
        <v>125085.20178072658</v>
      </c>
      <c r="AB95" s="137">
        <f>L95*'Model Data Inputs'!$B$72</f>
        <v>10244</v>
      </c>
      <c r="AC95" s="137">
        <f>L95*'Model Data Inputs'!$B$73</f>
        <v>102440</v>
      </c>
      <c r="AD95" s="137">
        <f>L95*'Model Data Inputs'!$B$74</f>
        <v>51220</v>
      </c>
      <c r="AE95" s="137">
        <f>$I95*'Model Data Inputs'!$B$76</f>
        <v>0</v>
      </c>
      <c r="AF95" s="137">
        <f>VLOOKUP($J95,'Student Activities MS&amp;HS Tables'!$M$7:$O$1267,3)</f>
        <v>117248.03000000001</v>
      </c>
      <c r="AG95" s="137">
        <f>VLOOKUP($K95,'Student Activities MS&amp;HS Tables'!$I$7:$K$3007,3)</f>
        <v>0</v>
      </c>
      <c r="AH95" s="137">
        <f t="shared" si="19"/>
        <v>117248.03000000001</v>
      </c>
      <c r="AI95" s="123">
        <f t="shared" si="25"/>
        <v>3345748.2520349897</v>
      </c>
      <c r="AJ95" s="123">
        <f>(('Model Data Inputs'!$B$90*(('Model Data Inputs'!$B$87*('School Level Inst. Resources'!I95/'School Level Inst. Resources'!L95))+('Model Data Inputs'!$C$87*(SUM('School Level Inst. Resources'!J95:K95)/'School Level Inst. Resources'!L95))))*T95*M95)</f>
        <v>320987.86541444744</v>
      </c>
      <c r="AK95" s="123">
        <f>(('Model Data Inputs'!$B$91*(('Model Data Inputs'!$B$87*('School Level Inst. Resources'!I95/'School Level Inst. Resources'!L95))+('Model Data Inputs'!$C$87*(SUM('School Level Inst. Resources'!J95:K95)/'School Level Inst. Resources'!L95))))*T95*N95)</f>
        <v>5766.2490793014513</v>
      </c>
      <c r="AL95" s="137">
        <f>(K95*'Model Data Inputs'!$B$94)*T95</f>
        <v>0</v>
      </c>
      <c r="AM95" s="137">
        <f>K95*'Model Data Inputs'!$B$95</f>
        <v>0</v>
      </c>
      <c r="AN95" s="137">
        <f t="shared" si="26"/>
        <v>0</v>
      </c>
      <c r="AO95" s="137">
        <f>('School Level Inst. Resources'!K95*'Model Data Inputs'!$B$96)+('School Level Inst. Resources'!J95*'Model Data Inputs'!$B$97)</f>
        <v>10244</v>
      </c>
      <c r="AP95" s="137">
        <f>$L95*'Model Data Inputs'!$B$100</f>
        <v>16390.400000000001</v>
      </c>
      <c r="AQ95" s="137">
        <f t="shared" si="27"/>
        <v>3699136.7665287387</v>
      </c>
      <c r="AR95" s="141">
        <f t="shared" si="20"/>
        <v>9027.5692271786866</v>
      </c>
    </row>
    <row r="96" spans="1:44" s="40" customFormat="1" ht="12.75" customHeight="1" x14ac:dyDescent="0.2">
      <c r="A96" s="20" t="s">
        <v>36</v>
      </c>
      <c r="B96" s="20" t="s">
        <v>540</v>
      </c>
      <c r="C96" s="20" t="s">
        <v>550</v>
      </c>
      <c r="D96" s="20" t="s">
        <v>551</v>
      </c>
      <c r="E96" s="138" t="s">
        <v>389</v>
      </c>
      <c r="F96" s="138" t="str">
        <f>IF(AND(SUM('School Level ADM'!$F96:$J96)=0,SUM('School Level ADM'!$O96:$R96)=0,'School Level ADM'!$K96&gt;0,'School Level ADM'!$N96&gt;0),"T","F")</f>
        <v>F</v>
      </c>
      <c r="G96" s="138" t="str">
        <f>IF(AND(SUM('School Level ADM'!$M96:$R96)=0,'School Level ADM'!$L96&gt;0),"T","F")</f>
        <v>F</v>
      </c>
      <c r="H96" s="138" t="str">
        <f t="shared" si="14"/>
        <v>H</v>
      </c>
      <c r="I96" s="139">
        <f>IF($F96="T",SUM('School Level ADM'!$F96:$J96),IF($G96="T",SUM('School Level ADM'!$F96:$L96),SUM('School Level ADM'!$F96:$K96,0)))</f>
        <v>0</v>
      </c>
      <c r="J96" s="139">
        <f>'School Level ADM'!$S96-$I96-$K96</f>
        <v>0</v>
      </c>
      <c r="K96" s="139">
        <f>IF(SUM('School Level ADM'!$N96:$R96)='School Level ADM'!$S96,SUM('School Level ADM'!$N96:$R96),IF(OR(SUM('School Level ADM'!$F96:$O96)='School Level ADM'!$S96,SUM('School Level ADM'!$G96:$O96)='School Level ADM'!$S96,SUM('School Level ADM'!$H96:$O96)='School Level ADM'!$S96,SUM('School Level ADM'!$I96:$O96)='School Level ADM'!$S96,SUM('School Level ADM'!$J96:$O96)='School Level ADM'!$S96,SUM('School Level ADM'!$K96:$O96)='School Level ADM'!$S96,SUM('School Level ADM'!$L96:$O96)='School Level ADM'!$S96,SUM('School Level ADM'!$M96:$O96)='School Level ADM'!$S96,SUM('School Level ADM'!$N96:$O96)='School Level ADM'!$S96),0,SUM('School Level ADM'!$O96:$R96)))</f>
        <v>472.79999999999995</v>
      </c>
      <c r="L96" s="139">
        <f t="shared" si="15"/>
        <v>472.79999999999995</v>
      </c>
      <c r="M96" s="24">
        <f>'Student At-Risk and ELL Proxy'!S96</f>
        <v>127</v>
      </c>
      <c r="N96" s="24">
        <f>'Student At-Risk and ELL Proxy'!AH96</f>
        <v>4</v>
      </c>
      <c r="O96" s="136" t="str">
        <f t="shared" si="21"/>
        <v/>
      </c>
      <c r="P96" s="136">
        <f t="shared" si="22"/>
        <v>1.0507294455209868</v>
      </c>
      <c r="Q96" s="136" t="str">
        <f t="shared" si="23"/>
        <v/>
      </c>
      <c r="R96" s="136">
        <f t="shared" si="16"/>
        <v>1.0507294455209868</v>
      </c>
      <c r="S96" s="136">
        <f>IF(SUM(3515.4*((VLOOKUP($A96,'District Level ADM'!$A$4:$F$52,6,FALSE))^-0.327)/'Model Data Inputs'!$B$71)&lt;1,1,(3515.4*((VLOOKUP($A96,'District Level ADM'!$A$4:$F$52,6,FALSE))^-0.327)/'Model Data Inputs'!$B$71))</f>
        <v>1.6066555233965785</v>
      </c>
      <c r="T96" s="136">
        <f>VLOOKUP($A96,'Regional Cost Adjustment'!$A$4:$C$52,3,FALSE)</f>
        <v>0.94</v>
      </c>
      <c r="U96" s="123">
        <f>((($I96/$L96)*'Model Data Inputs'!$B$85)+((SUM(J96:K96)/$L96)*'Model Data Inputs'!$C$85))*$R96*$T96</f>
        <v>5316.5040906549648</v>
      </c>
      <c r="V96" s="140">
        <f>((($I96/$L96)*'Model Data Inputs'!$B$86)+((SUM(J96:K96)/$L96)*'Model Data Inputs'!$C$86))*$R96</f>
        <v>1505.8085298355159</v>
      </c>
      <c r="W96" s="140">
        <f t="shared" si="24"/>
        <v>6822.3126204904802</v>
      </c>
      <c r="X96" s="140">
        <f t="shared" si="17"/>
        <v>2513643.1340616671</v>
      </c>
      <c r="Y96" s="140">
        <f t="shared" si="18"/>
        <v>711946.27290623181</v>
      </c>
      <c r="Z96" s="123">
        <f>IF((SUM(X96:Y96))&lt;(AVERAGE('Elementary Size Adjustment'!$B$66,'Secondary Size Adjustment'!$B$66)),(AVERAGE('Elementary Size Adjustment'!$B$66,'Secondary Size Adjustment'!$B$66)),SUM(X96:Y96))</f>
        <v>3225589.4069678988</v>
      </c>
      <c r="AA96" s="137">
        <f>'Model Data Inputs'!$B$71*S96*L96</f>
        <v>144329.07897776144</v>
      </c>
      <c r="AB96" s="137">
        <f>L96*'Model Data Inputs'!$B$72</f>
        <v>11819.999999999998</v>
      </c>
      <c r="AC96" s="137">
        <f>L96*'Model Data Inputs'!$B$73</f>
        <v>118199.99999999999</v>
      </c>
      <c r="AD96" s="137">
        <f>L96*'Model Data Inputs'!$B$74</f>
        <v>59099.999999999993</v>
      </c>
      <c r="AE96" s="137">
        <f>$I96*'Model Data Inputs'!$B$76</f>
        <v>0</v>
      </c>
      <c r="AF96" s="137">
        <f>VLOOKUP($J96,'Student Activities MS&amp;HS Tables'!$M$7:$O$1267,3)</f>
        <v>0</v>
      </c>
      <c r="AG96" s="137">
        <f>VLOOKUP($K96,'Student Activities MS&amp;HS Tables'!$I$7:$K$3007,3)</f>
        <v>407189.68000000005</v>
      </c>
      <c r="AH96" s="137">
        <f t="shared" si="19"/>
        <v>407189.68000000005</v>
      </c>
      <c r="AI96" s="123">
        <f t="shared" si="25"/>
        <v>3966228.1659456603</v>
      </c>
      <c r="AJ96" s="123">
        <f>(('Model Data Inputs'!$B$90*(('Model Data Inputs'!$B$87*('School Level Inst. Resources'!I96/'School Level Inst. Resources'!L96))+('Model Data Inputs'!$C$87*(SUM('School Level Inst. Resources'!J96:K96)/'School Level Inst. Resources'!L96))))*T96*M96)</f>
        <v>244104.54435709477</v>
      </c>
      <c r="AK96" s="123">
        <f>(('Model Data Inputs'!$B$91*(('Model Data Inputs'!$B$87*('School Level Inst. Resources'!I96/'School Level Inst. Resources'!L96))+('Model Data Inputs'!$C$87*(SUM('School Level Inst. Resources'!J96:K96)/'School Level Inst. Resources'!L96))))*T96*N96)</f>
        <v>7688.3321057352687</v>
      </c>
      <c r="AL96" s="137">
        <f>(K96*'Model Data Inputs'!$B$94)*T96</f>
        <v>73360.325853360002</v>
      </c>
      <c r="AM96" s="137">
        <f>K96*'Model Data Inputs'!$B$95</f>
        <v>19814.965259999997</v>
      </c>
      <c r="AN96" s="137">
        <f t="shared" si="26"/>
        <v>93175.291113359999</v>
      </c>
      <c r="AO96" s="137">
        <f>('School Level Inst. Resources'!K96*'Model Data Inputs'!$B$96)+('School Level Inst. Resources'!J96*'Model Data Inputs'!$B$97)</f>
        <v>47279.999999999993</v>
      </c>
      <c r="AP96" s="137">
        <f>$L96*'Model Data Inputs'!$B$100</f>
        <v>18912</v>
      </c>
      <c r="AQ96" s="137">
        <f t="shared" si="27"/>
        <v>4377388.3335218504</v>
      </c>
      <c r="AR96" s="141">
        <f t="shared" si="20"/>
        <v>9258.4355615944387</v>
      </c>
    </row>
    <row r="97" spans="1:44" s="40" customFormat="1" ht="12.75" customHeight="1" x14ac:dyDescent="0.2">
      <c r="A97" s="20" t="s">
        <v>36</v>
      </c>
      <c r="B97" s="20" t="s">
        <v>540</v>
      </c>
      <c r="C97" s="20" t="s">
        <v>552</v>
      </c>
      <c r="D97" s="20" t="s">
        <v>553</v>
      </c>
      <c r="E97" s="138" t="s">
        <v>389</v>
      </c>
      <c r="F97" s="138" t="str">
        <f>IF(AND(SUM('School Level ADM'!$F97:$J97)=0,SUM('School Level ADM'!$O97:$R97)=0,'School Level ADM'!$K97&gt;0,'School Level ADM'!$N97&gt;0),"T","F")</f>
        <v>F</v>
      </c>
      <c r="G97" s="138" t="str">
        <f>IF(AND(SUM('School Level ADM'!$M97:$R97)=0,'School Level ADM'!$L97&gt;0),"T","F")</f>
        <v>F</v>
      </c>
      <c r="H97" s="138" t="str">
        <f t="shared" si="14"/>
        <v>H</v>
      </c>
      <c r="I97" s="139">
        <f>IF($F97="T",SUM('School Level ADM'!$F97:$J97),IF($G97="T",SUM('School Level ADM'!$F97:$L97),SUM('School Level ADM'!$F97:$K97,0)))</f>
        <v>0</v>
      </c>
      <c r="J97" s="139">
        <f>'School Level ADM'!$S97-$I97-$K97</f>
        <v>0</v>
      </c>
      <c r="K97" s="139">
        <f>IF(SUM('School Level ADM'!$N97:$R97)='School Level ADM'!$S97,SUM('School Level ADM'!$N97:$R97),IF(OR(SUM('School Level ADM'!$F97:$O97)='School Level ADM'!$S97,SUM('School Level ADM'!$G97:$O97)='School Level ADM'!$S97,SUM('School Level ADM'!$H97:$O97)='School Level ADM'!$S97,SUM('School Level ADM'!$I97:$O97)='School Level ADM'!$S97,SUM('School Level ADM'!$J97:$O97)='School Level ADM'!$S97,SUM('School Level ADM'!$K97:$O97)='School Level ADM'!$S97,SUM('School Level ADM'!$L97:$O97)='School Level ADM'!$S97,SUM('School Level ADM'!$M97:$O97)='School Level ADM'!$S97,SUM('School Level ADM'!$N97:$O97)='School Level ADM'!$S97),0,SUM('School Level ADM'!$O97:$R97)))</f>
        <v>34.475000000000001</v>
      </c>
      <c r="L97" s="139">
        <f t="shared" si="15"/>
        <v>34.475000000000001</v>
      </c>
      <c r="M97" s="24">
        <f>'Student At-Risk and ELL Proxy'!S97</f>
        <v>34</v>
      </c>
      <c r="N97" s="24">
        <f>'Student At-Risk and ELL Proxy'!AH97</f>
        <v>0</v>
      </c>
      <c r="O97" s="136" t="str">
        <f t="shared" si="21"/>
        <v/>
      </c>
      <c r="P97" s="136">
        <f t="shared" si="22"/>
        <v>2.6341390329212602</v>
      </c>
      <c r="Q97" s="136" t="str">
        <f t="shared" si="23"/>
        <v/>
      </c>
      <c r="R97" s="136">
        <f t="shared" si="16"/>
        <v>2.6341390329212602</v>
      </c>
      <c r="S97" s="136">
        <f>IF(SUM(3515.4*((VLOOKUP($A97,'District Level ADM'!$A$4:$F$52,6,FALSE))^-0.327)/'Model Data Inputs'!$B$71)&lt;1,1,(3515.4*((VLOOKUP($A97,'District Level ADM'!$A$4:$F$52,6,FALSE))^-0.327)/'Model Data Inputs'!$B$71))</f>
        <v>1.6066555233965785</v>
      </c>
      <c r="T97" s="136">
        <f>VLOOKUP($A97,'Regional Cost Adjustment'!$A$4:$C$52,3,FALSE)</f>
        <v>0.94</v>
      </c>
      <c r="U97" s="123">
        <f>((($I97/$L97)*'Model Data Inputs'!$B$85)+((SUM(J97:K97)/$L97)*'Model Data Inputs'!$C$85))*$R97*$T97</f>
        <v>13328.274946112257</v>
      </c>
      <c r="V97" s="140">
        <f>((($I97/$L97)*'Model Data Inputs'!$B$86)+((SUM(J97:K97)/$L97)*'Model Data Inputs'!$C$86))*$R97</f>
        <v>3775.0051085498822</v>
      </c>
      <c r="W97" s="140">
        <f t="shared" si="24"/>
        <v>17103.28005466214</v>
      </c>
      <c r="X97" s="140">
        <f t="shared" si="17"/>
        <v>459492.27876722009</v>
      </c>
      <c r="Y97" s="140">
        <f t="shared" si="18"/>
        <v>130143.30111725719</v>
      </c>
      <c r="Z97" s="123">
        <f>IF((SUM(X97:Y97))&lt;(AVERAGE('Elementary Size Adjustment'!$B$66,'Secondary Size Adjustment'!$B$66)),(AVERAGE('Elementary Size Adjustment'!$B$66,'Secondary Size Adjustment'!$B$66)),SUM(X97:Y97))</f>
        <v>589635.57988447731</v>
      </c>
      <c r="AA97" s="137">
        <f>'Model Data Inputs'!$B$71*S97*L97</f>
        <v>10523.995342128439</v>
      </c>
      <c r="AB97" s="137">
        <f>L97*'Model Data Inputs'!$B$72</f>
        <v>861.875</v>
      </c>
      <c r="AC97" s="137">
        <f>L97*'Model Data Inputs'!$B$73</f>
        <v>8618.75</v>
      </c>
      <c r="AD97" s="137">
        <f>L97*'Model Data Inputs'!$B$74</f>
        <v>4309.375</v>
      </c>
      <c r="AE97" s="137">
        <f>$I97*'Model Data Inputs'!$B$76</f>
        <v>0</v>
      </c>
      <c r="AF97" s="137">
        <f>VLOOKUP($J97,'Student Activities MS&amp;HS Tables'!$M$7:$O$1267,3)</f>
        <v>0</v>
      </c>
      <c r="AG97" s="137">
        <f>VLOOKUP($K97,'Student Activities MS&amp;HS Tables'!$I$7:$K$3007,3)</f>
        <v>63502.48</v>
      </c>
      <c r="AH97" s="137">
        <f t="shared" si="19"/>
        <v>63502.48</v>
      </c>
      <c r="AI97" s="123">
        <f t="shared" si="25"/>
        <v>677452.05522660573</v>
      </c>
      <c r="AJ97" s="123">
        <f>(('Model Data Inputs'!$B$90*(('Model Data Inputs'!$B$87*('School Level Inst. Resources'!I97/'School Level Inst. Resources'!L97))+('Model Data Inputs'!$C$87*(SUM('School Level Inst. Resources'!J97:K97)/'School Level Inst. Resources'!L97))))*T97*M97)</f>
        <v>65350.822898749786</v>
      </c>
      <c r="AK97" s="123">
        <f>(('Model Data Inputs'!$B$91*(('Model Data Inputs'!$B$87*('School Level Inst. Resources'!I97/'School Level Inst. Resources'!L97))+('Model Data Inputs'!$C$87*(SUM('School Level Inst. Resources'!J97:K97)/'School Level Inst. Resources'!L97))))*T97*N97)</f>
        <v>0</v>
      </c>
      <c r="AL97" s="137">
        <f>(K97*'Model Data Inputs'!$B$94)*T97</f>
        <v>5349.1904268075004</v>
      </c>
      <c r="AM97" s="137">
        <f>K97*'Model Data Inputs'!$B$95</f>
        <v>1444.8412168750001</v>
      </c>
      <c r="AN97" s="137">
        <f t="shared" si="26"/>
        <v>6794.0316436825005</v>
      </c>
      <c r="AO97" s="137">
        <f>('School Level Inst. Resources'!K97*'Model Data Inputs'!$B$96)+('School Level Inst. Resources'!J97*'Model Data Inputs'!$B$97)</f>
        <v>3447.5</v>
      </c>
      <c r="AP97" s="137">
        <f>$L97*'Model Data Inputs'!$B$100</f>
        <v>1379</v>
      </c>
      <c r="AQ97" s="137">
        <f t="shared" si="27"/>
        <v>754423.40976903809</v>
      </c>
      <c r="AR97" s="141">
        <f t="shared" si="20"/>
        <v>21883.202603887978</v>
      </c>
    </row>
    <row r="98" spans="1:44" s="40" customFormat="1" ht="12.75" customHeight="1" x14ac:dyDescent="0.2">
      <c r="A98" s="20" t="s">
        <v>38</v>
      </c>
      <c r="B98" s="20" t="s">
        <v>554</v>
      </c>
      <c r="C98" s="20" t="s">
        <v>555</v>
      </c>
      <c r="D98" s="20" t="s">
        <v>556</v>
      </c>
      <c r="E98" s="138" t="s">
        <v>354</v>
      </c>
      <c r="F98" s="138" t="str">
        <f>IF(AND(SUM('School Level ADM'!$F98:$J98)=0,SUM('School Level ADM'!$O98:$R98)=0,'School Level ADM'!$K98&gt;0,'School Level ADM'!$N98&gt;0),"T","F")</f>
        <v>F</v>
      </c>
      <c r="G98" s="138" t="str">
        <f>IF(AND(SUM('School Level ADM'!$M98:$R98)=0,'School Level ADM'!$L98&gt;0),"T","F")</f>
        <v>F</v>
      </c>
      <c r="H98" s="138" t="str">
        <f t="shared" si="14"/>
        <v>E</v>
      </c>
      <c r="I98" s="139">
        <f>IF($F98="T",SUM('School Level ADM'!$F98:$J98),IF($G98="T",SUM('School Level ADM'!$F98:$L98),SUM('School Level ADM'!$F98:$K98,0)))</f>
        <v>65.010000000000005</v>
      </c>
      <c r="J98" s="139">
        <f>'School Level ADM'!$S98-$I98-$K98</f>
        <v>0</v>
      </c>
      <c r="K98" s="139">
        <f>IF(SUM('School Level ADM'!$N98:$R98)='School Level ADM'!$S98,SUM('School Level ADM'!$N98:$R98),IF(OR(SUM('School Level ADM'!$F98:$O98)='School Level ADM'!$S98,SUM('School Level ADM'!$G98:$O98)='School Level ADM'!$S98,SUM('School Level ADM'!$H98:$O98)='School Level ADM'!$S98,SUM('School Level ADM'!$I98:$O98)='School Level ADM'!$S98,SUM('School Level ADM'!$J98:$O98)='School Level ADM'!$S98,SUM('School Level ADM'!$K98:$O98)='School Level ADM'!$S98,SUM('School Level ADM'!$L98:$O98)='School Level ADM'!$S98,SUM('School Level ADM'!$M98:$O98)='School Level ADM'!$S98,SUM('School Level ADM'!$N98:$O98)='School Level ADM'!$S98),0,SUM('School Level ADM'!$O98:$R98)))</f>
        <v>0</v>
      </c>
      <c r="L98" s="139">
        <f t="shared" si="15"/>
        <v>65.010000000000005</v>
      </c>
      <c r="M98" s="24">
        <f>'Student At-Risk and ELL Proxy'!S98</f>
        <v>24</v>
      </c>
      <c r="N98" s="24">
        <f>'Student At-Risk and ELL Proxy'!AH98</f>
        <v>0</v>
      </c>
      <c r="O98" s="136">
        <f t="shared" si="21"/>
        <v>1.824188882168809</v>
      </c>
      <c r="P98" s="136" t="str">
        <f t="shared" si="22"/>
        <v/>
      </c>
      <c r="Q98" s="136" t="str">
        <f t="shared" si="23"/>
        <v/>
      </c>
      <c r="R98" s="136">
        <f t="shared" si="16"/>
        <v>1.824188882168809</v>
      </c>
      <c r="S98" s="136">
        <f>IF(SUM(3515.4*((VLOOKUP($A98,'District Level ADM'!$A$4:$F$52,6,FALSE))^-0.327)/'Model Data Inputs'!$B$71)&lt;1,1,(3515.4*((VLOOKUP($A98,'District Level ADM'!$A$4:$F$52,6,FALSE))^-0.327)/'Model Data Inputs'!$B$71))</f>
        <v>3.6044751711404759</v>
      </c>
      <c r="T98" s="136">
        <f>VLOOKUP($A98,'Regional Cost Adjustment'!$A$4:$C$52,3,FALSE)</f>
        <v>0.94</v>
      </c>
      <c r="U98" s="123">
        <f>((($I98/$L98)*'Model Data Inputs'!$B$85)+((SUM(J98:K98)/$L98)*'Model Data Inputs'!$C$85))*$R98*$T98</f>
        <v>10918.741722014669</v>
      </c>
      <c r="V98" s="140">
        <f>((($I98/$L98)*'Model Data Inputs'!$B$86)+((SUM(J98:K98)/$L98)*'Model Data Inputs'!$C$86))*$R98</f>
        <v>3087.6672355769624</v>
      </c>
      <c r="W98" s="140">
        <f t="shared" si="24"/>
        <v>14006.408957591631</v>
      </c>
      <c r="X98" s="140">
        <f t="shared" si="17"/>
        <v>709827.39934817364</v>
      </c>
      <c r="Y98" s="140">
        <f t="shared" si="18"/>
        <v>200729.24698485833</v>
      </c>
      <c r="Z98" s="123">
        <f>IF((SUM(X98:Y98))&lt;(AVERAGE('Elementary Size Adjustment'!$B$66,'Secondary Size Adjustment'!$B$66)),(AVERAGE('Elementary Size Adjustment'!$B$66,'Secondary Size Adjustment'!$B$66)),SUM(X98:Y98))</f>
        <v>910556.64633303194</v>
      </c>
      <c r="AA98" s="137">
        <f>'Model Data Inputs'!$B$71*S98*L98</f>
        <v>44522.116866410048</v>
      </c>
      <c r="AB98" s="137">
        <f>L98*'Model Data Inputs'!$B$72</f>
        <v>1625.2500000000002</v>
      </c>
      <c r="AC98" s="137">
        <f>L98*'Model Data Inputs'!$B$73</f>
        <v>16252.500000000002</v>
      </c>
      <c r="AD98" s="137">
        <f>L98*'Model Data Inputs'!$B$74</f>
        <v>8126.2500000000009</v>
      </c>
      <c r="AE98" s="137">
        <f>$I98*'Model Data Inputs'!$B$76</f>
        <v>1546.5879</v>
      </c>
      <c r="AF98" s="137">
        <f>VLOOKUP($J98,'Student Activities MS&amp;HS Tables'!$M$7:$O$1267,3)</f>
        <v>0</v>
      </c>
      <c r="AG98" s="137">
        <f>VLOOKUP($K98,'Student Activities MS&amp;HS Tables'!$I$7:$K$3007,3)</f>
        <v>0</v>
      </c>
      <c r="AH98" s="137">
        <f t="shared" si="19"/>
        <v>1546.5879</v>
      </c>
      <c r="AI98" s="123">
        <f t="shared" si="25"/>
        <v>982629.35109944199</v>
      </c>
      <c r="AJ98" s="123">
        <f>(('Model Data Inputs'!$B$90*(('Model Data Inputs'!$B$87*('School Level Inst. Resources'!I98/'School Level Inst. Resources'!L98))+('Model Data Inputs'!$C$87*(SUM('School Level Inst. Resources'!J98:K98)/'School Level Inst. Resources'!L98))))*T98*M98)</f>
        <v>54551.517785032585</v>
      </c>
      <c r="AK98" s="123">
        <f>(('Model Data Inputs'!$B$91*(('Model Data Inputs'!$B$87*('School Level Inst. Resources'!I98/'School Level Inst. Resources'!L98))+('Model Data Inputs'!$C$87*(SUM('School Level Inst. Resources'!J98:K98)/'School Level Inst. Resources'!L98))))*T98*N98)</f>
        <v>0</v>
      </c>
      <c r="AL98" s="137">
        <f>(K98*'Model Data Inputs'!$B$94)*T98</f>
        <v>0</v>
      </c>
      <c r="AM98" s="137">
        <f>K98*'Model Data Inputs'!$B$95</f>
        <v>0</v>
      </c>
      <c r="AN98" s="137">
        <f t="shared" si="26"/>
        <v>0</v>
      </c>
      <c r="AO98" s="137">
        <f>('School Level Inst. Resources'!K98*'Model Data Inputs'!$B$96)+('School Level Inst. Resources'!J98*'Model Data Inputs'!$B$97)</f>
        <v>0</v>
      </c>
      <c r="AP98" s="137">
        <f>$L98*'Model Data Inputs'!$B$100</f>
        <v>2600.4</v>
      </c>
      <c r="AQ98" s="137">
        <f t="shared" si="27"/>
        <v>1039781.2688844746</v>
      </c>
      <c r="AR98" s="141">
        <f t="shared" si="20"/>
        <v>15994.174263720575</v>
      </c>
    </row>
    <row r="99" spans="1:44" s="40" customFormat="1" ht="12.75" customHeight="1" x14ac:dyDescent="0.2">
      <c r="A99" s="20" t="s">
        <v>38</v>
      </c>
      <c r="B99" s="20" t="s">
        <v>554</v>
      </c>
      <c r="C99" s="20" t="s">
        <v>557</v>
      </c>
      <c r="D99" s="20" t="s">
        <v>558</v>
      </c>
      <c r="E99" s="138" t="s">
        <v>383</v>
      </c>
      <c r="F99" s="138" t="str">
        <f>IF(AND(SUM('School Level ADM'!$F99:$J99)=0,SUM('School Level ADM'!$O99:$R99)=0,'School Level ADM'!$K99&gt;0,'School Level ADM'!$N99&gt;0),"T","F")</f>
        <v>F</v>
      </c>
      <c r="G99" s="138" t="str">
        <f>IF(AND(SUM('School Level ADM'!$M99:$R99)=0,'School Level ADM'!$L99&gt;0),"T","F")</f>
        <v>F</v>
      </c>
      <c r="H99" s="138" t="str">
        <f t="shared" si="14"/>
        <v>M</v>
      </c>
      <c r="I99" s="139">
        <f>IF($F99="T",SUM('School Level ADM'!$F99:$J99),IF($G99="T",SUM('School Level ADM'!$F99:$L99),SUM('School Level ADM'!$F99:$K99,0)))</f>
        <v>0</v>
      </c>
      <c r="J99" s="139">
        <f>'School Level ADM'!$S99-$I99-$K99</f>
        <v>35.459999999999994</v>
      </c>
      <c r="K99" s="139">
        <f>IF(SUM('School Level ADM'!$N99:$R99)='School Level ADM'!$S99,SUM('School Level ADM'!$N99:$R99),IF(OR(SUM('School Level ADM'!$F99:$O99)='School Level ADM'!$S99,SUM('School Level ADM'!$G99:$O99)='School Level ADM'!$S99,SUM('School Level ADM'!$H99:$O99)='School Level ADM'!$S99,SUM('School Level ADM'!$I99:$O99)='School Level ADM'!$S99,SUM('School Level ADM'!$J99:$O99)='School Level ADM'!$S99,SUM('School Level ADM'!$K99:$O99)='School Level ADM'!$S99,SUM('School Level ADM'!$L99:$O99)='School Level ADM'!$S99,SUM('School Level ADM'!$M99:$O99)='School Level ADM'!$S99,SUM('School Level ADM'!$N99:$O99)='School Level ADM'!$S99),0,SUM('School Level ADM'!$O99:$R99)))</f>
        <v>0</v>
      </c>
      <c r="L99" s="139">
        <f t="shared" si="15"/>
        <v>35.459999999999994</v>
      </c>
      <c r="M99" s="24">
        <f>'Student At-Risk and ELL Proxy'!S99</f>
        <v>14</v>
      </c>
      <c r="N99" s="24">
        <f>'Student At-Risk and ELL Proxy'!AH99</f>
        <v>0</v>
      </c>
      <c r="O99" s="136" t="str">
        <f t="shared" si="21"/>
        <v/>
      </c>
      <c r="P99" s="136">
        <f t="shared" si="22"/>
        <v>2.6082210738741054</v>
      </c>
      <c r="Q99" s="136" t="str">
        <f t="shared" si="23"/>
        <v/>
      </c>
      <c r="R99" s="136">
        <f t="shared" si="16"/>
        <v>2.6082210738741054</v>
      </c>
      <c r="S99" s="136">
        <f>IF(SUM(3515.4*((VLOOKUP($A99,'District Level ADM'!$A$4:$F$52,6,FALSE))^-0.327)/'Model Data Inputs'!$B$71)&lt;1,1,(3515.4*((VLOOKUP($A99,'District Level ADM'!$A$4:$F$52,6,FALSE))^-0.327)/'Model Data Inputs'!$B$71))</f>
        <v>3.6044751711404759</v>
      </c>
      <c r="T99" s="136">
        <f>VLOOKUP($A99,'Regional Cost Adjustment'!$A$4:$C$52,3,FALSE)</f>
        <v>0.94</v>
      </c>
      <c r="U99" s="123">
        <f>((($I99/$L99)*'Model Data Inputs'!$B$85)+((SUM(J99:K99)/$L99)*'Model Data Inputs'!$C$85))*$R99*$T99</f>
        <v>13197.13468361842</v>
      </c>
      <c r="V99" s="140">
        <f>((($I99/$L99)*'Model Data Inputs'!$B$86)+((SUM(J99:K99)/$L99)*'Model Data Inputs'!$C$86))*$R99</f>
        <v>3737.8618801236698</v>
      </c>
      <c r="W99" s="140">
        <f t="shared" si="24"/>
        <v>16934.99656374209</v>
      </c>
      <c r="X99" s="140">
        <f t="shared" si="17"/>
        <v>467970.39588110911</v>
      </c>
      <c r="Y99" s="140">
        <f t="shared" si="18"/>
        <v>132544.58226918531</v>
      </c>
      <c r="Z99" s="123">
        <f>IF((SUM(X99:Y99))&lt;(AVERAGE('Elementary Size Adjustment'!$B$66,'Secondary Size Adjustment'!$B$66)),(AVERAGE('Elementary Size Adjustment'!$B$66,'Secondary Size Adjustment'!$B$66)),SUM(X99:Y99))</f>
        <v>600514.9781502944</v>
      </c>
      <c r="AA99" s="137">
        <f>'Model Data Inputs'!$B$71*S99*L99</f>
        <v>24284.791018041837</v>
      </c>
      <c r="AB99" s="137">
        <f>L99*'Model Data Inputs'!$B$72</f>
        <v>886.49999999999989</v>
      </c>
      <c r="AC99" s="137">
        <f>L99*'Model Data Inputs'!$B$73</f>
        <v>8864.9999999999982</v>
      </c>
      <c r="AD99" s="137">
        <f>L99*'Model Data Inputs'!$B$74</f>
        <v>4432.4999999999991</v>
      </c>
      <c r="AE99" s="137">
        <f>$I99*'Model Data Inputs'!$B$76</f>
        <v>0</v>
      </c>
      <c r="AF99" s="137">
        <f>VLOOKUP($J99,'Student Activities MS&amp;HS Tables'!$M$7:$O$1267,3)</f>
        <v>24558.449999999997</v>
      </c>
      <c r="AG99" s="137">
        <f>VLOOKUP($K99,'Student Activities MS&amp;HS Tables'!$I$7:$K$3007,3)</f>
        <v>0</v>
      </c>
      <c r="AH99" s="137">
        <f t="shared" si="19"/>
        <v>24558.449999999997</v>
      </c>
      <c r="AI99" s="123">
        <f t="shared" si="25"/>
        <v>663542.21916833613</v>
      </c>
      <c r="AJ99" s="123">
        <f>(('Model Data Inputs'!$B$90*(('Model Data Inputs'!$B$87*('School Level Inst. Resources'!I99/'School Level Inst. Resources'!L99))+('Model Data Inputs'!$C$87*(SUM('School Level Inst. Resources'!J99:K99)/'School Level Inst. Resources'!L99))))*T99*M99)</f>
        <v>26909.162370073442</v>
      </c>
      <c r="AK99" s="123">
        <f>(('Model Data Inputs'!$B$91*(('Model Data Inputs'!$B$87*('School Level Inst. Resources'!I99/'School Level Inst. Resources'!L99))+('Model Data Inputs'!$C$87*(SUM('School Level Inst. Resources'!J99:K99)/'School Level Inst. Resources'!L99))))*T99*N99)</f>
        <v>0</v>
      </c>
      <c r="AL99" s="137">
        <f>(K99*'Model Data Inputs'!$B$94)*T99</f>
        <v>0</v>
      </c>
      <c r="AM99" s="137">
        <f>K99*'Model Data Inputs'!$B$95</f>
        <v>0</v>
      </c>
      <c r="AN99" s="137">
        <f t="shared" si="26"/>
        <v>0</v>
      </c>
      <c r="AO99" s="137">
        <f>('School Level Inst. Resources'!K99*'Model Data Inputs'!$B$96)+('School Level Inst. Resources'!J99*'Model Data Inputs'!$B$97)</f>
        <v>886.49999999999989</v>
      </c>
      <c r="AP99" s="137">
        <f>$L99*'Model Data Inputs'!$B$100</f>
        <v>1418.3999999999996</v>
      </c>
      <c r="AQ99" s="137">
        <f t="shared" si="27"/>
        <v>692756.28153840965</v>
      </c>
      <c r="AR99" s="141">
        <f t="shared" si="20"/>
        <v>19536.274155059498</v>
      </c>
    </row>
    <row r="100" spans="1:44" s="40" customFormat="1" ht="12.75" customHeight="1" x14ac:dyDescent="0.2">
      <c r="A100" s="20" t="s">
        <v>38</v>
      </c>
      <c r="B100" s="20" t="s">
        <v>554</v>
      </c>
      <c r="C100" s="20" t="s">
        <v>559</v>
      </c>
      <c r="D100" s="20" t="s">
        <v>560</v>
      </c>
      <c r="E100" s="138" t="s">
        <v>389</v>
      </c>
      <c r="F100" s="138" t="str">
        <f>IF(AND(SUM('School Level ADM'!$F100:$J100)=0,SUM('School Level ADM'!$O100:$R100)=0,'School Level ADM'!$K100&gt;0,'School Level ADM'!$N100&gt;0),"T","F")</f>
        <v>F</v>
      </c>
      <c r="G100" s="138" t="str">
        <f>IF(AND(SUM('School Level ADM'!$M100:$R100)=0,'School Level ADM'!$L100&gt;0),"T","F")</f>
        <v>F</v>
      </c>
      <c r="H100" s="138" t="str">
        <f t="shared" si="14"/>
        <v>H</v>
      </c>
      <c r="I100" s="139">
        <f>IF($F100="T",SUM('School Level ADM'!$F100:$J100),IF($G100="T",SUM('School Level ADM'!$F100:$L100),SUM('School Level ADM'!$F100:$K100,0)))</f>
        <v>0</v>
      </c>
      <c r="J100" s="139">
        <f>'School Level ADM'!$S100-$I100-$K100</f>
        <v>0</v>
      </c>
      <c r="K100" s="139">
        <f>IF(SUM('School Level ADM'!$N100:$R100)='School Level ADM'!$S100,SUM('School Level ADM'!$N100:$R100),IF(OR(SUM('School Level ADM'!$F100:$O100)='School Level ADM'!$S100,SUM('School Level ADM'!$G100:$O100)='School Level ADM'!$S100,SUM('School Level ADM'!$H100:$O100)='School Level ADM'!$S100,SUM('School Level ADM'!$I100:$O100)='School Level ADM'!$S100,SUM('School Level ADM'!$J100:$O100)='School Level ADM'!$S100,SUM('School Level ADM'!$K100:$O100)='School Level ADM'!$S100,SUM('School Level ADM'!$L100:$O100)='School Level ADM'!$S100,SUM('School Level ADM'!$M100:$O100)='School Level ADM'!$S100,SUM('School Level ADM'!$N100:$O100)='School Level ADM'!$S100),0,SUM('School Level ADM'!$O100:$R100)))</f>
        <v>48.265000000000001</v>
      </c>
      <c r="L100" s="139">
        <f t="shared" si="15"/>
        <v>48.265000000000001</v>
      </c>
      <c r="M100" s="24">
        <f>'Student At-Risk and ELL Proxy'!S100</f>
        <v>27</v>
      </c>
      <c r="N100" s="24">
        <f>'Student At-Risk and ELL Proxy'!AH100</f>
        <v>0</v>
      </c>
      <c r="O100" s="136" t="str">
        <f t="shared" si="21"/>
        <v/>
      </c>
      <c r="P100" s="136">
        <f t="shared" si="22"/>
        <v>2.340710769325995</v>
      </c>
      <c r="Q100" s="136" t="str">
        <f t="shared" si="23"/>
        <v/>
      </c>
      <c r="R100" s="136">
        <f t="shared" si="16"/>
        <v>2.340710769325995</v>
      </c>
      <c r="S100" s="136">
        <f>IF(SUM(3515.4*((VLOOKUP($A100,'District Level ADM'!$A$4:$F$52,6,FALSE))^-0.327)/'Model Data Inputs'!$B$71)&lt;1,1,(3515.4*((VLOOKUP($A100,'District Level ADM'!$A$4:$F$52,6,FALSE))^-0.327)/'Model Data Inputs'!$B$71))</f>
        <v>3.6044751711404759</v>
      </c>
      <c r="T100" s="136">
        <f>VLOOKUP($A100,'Regional Cost Adjustment'!$A$4:$C$52,3,FALSE)</f>
        <v>0.94</v>
      </c>
      <c r="U100" s="123">
        <f>((($I100/$L100)*'Model Data Inputs'!$B$85)+((SUM(J100:K100)/$L100)*'Model Data Inputs'!$C$85))*$R100*$T100</f>
        <v>11843.580127319487</v>
      </c>
      <c r="V100" s="140">
        <f>((($I100/$L100)*'Model Data Inputs'!$B$86)+((SUM(J100:K100)/$L100)*'Model Data Inputs'!$C$86))*$R100</f>
        <v>3354.4907848102521</v>
      </c>
      <c r="W100" s="140">
        <f t="shared" si="24"/>
        <v>15198.070912129739</v>
      </c>
      <c r="X100" s="140">
        <f t="shared" si="17"/>
        <v>571630.39484507497</v>
      </c>
      <c r="Y100" s="140">
        <f t="shared" si="18"/>
        <v>161904.49772886682</v>
      </c>
      <c r="Z100" s="123">
        <f>IF((SUM(X100:Y100))&lt;(AVERAGE('Elementary Size Adjustment'!$B$66,'Secondary Size Adjustment'!$B$66)),(AVERAGE('Elementary Size Adjustment'!$B$66,'Secondary Size Adjustment'!$B$66)),SUM(X100:Y100))</f>
        <v>733534.89257394173</v>
      </c>
      <c r="AA100" s="137">
        <f>'Model Data Inputs'!$B$71*S100*L100</f>
        <v>33054.29888566806</v>
      </c>
      <c r="AB100" s="137">
        <f>L100*'Model Data Inputs'!$B$72</f>
        <v>1206.625</v>
      </c>
      <c r="AC100" s="137">
        <f>L100*'Model Data Inputs'!$B$73</f>
        <v>12066.25</v>
      </c>
      <c r="AD100" s="137">
        <f>L100*'Model Data Inputs'!$B$74</f>
        <v>6033.125</v>
      </c>
      <c r="AE100" s="137">
        <f>$I100*'Model Data Inputs'!$B$76</f>
        <v>0</v>
      </c>
      <c r="AF100" s="137">
        <f>VLOOKUP($J100,'Student Activities MS&amp;HS Tables'!$M$7:$O$1267,3)</f>
        <v>0</v>
      </c>
      <c r="AG100" s="137">
        <f>VLOOKUP($K100,'Student Activities MS&amp;HS Tables'!$I$7:$K$3007,3)</f>
        <v>86605.92</v>
      </c>
      <c r="AH100" s="137">
        <f t="shared" si="19"/>
        <v>86605.92</v>
      </c>
      <c r="AI100" s="123">
        <f t="shared" si="25"/>
        <v>872501.11145960982</v>
      </c>
      <c r="AJ100" s="123">
        <f>(('Model Data Inputs'!$B$90*(('Model Data Inputs'!$B$87*('School Level Inst. Resources'!I100/'School Level Inst. Resources'!L100))+('Model Data Inputs'!$C$87*(SUM('School Level Inst. Resources'!J100:K100)/'School Level Inst. Resources'!L100))))*T100*M100)</f>
        <v>51896.241713713061</v>
      </c>
      <c r="AK100" s="123">
        <f>(('Model Data Inputs'!$B$91*(('Model Data Inputs'!$B$87*('School Level Inst. Resources'!I100/'School Level Inst. Resources'!L100))+('Model Data Inputs'!$C$87*(SUM('School Level Inst. Resources'!J100:K100)/'School Level Inst. Resources'!L100))))*T100*N100)</f>
        <v>0</v>
      </c>
      <c r="AL100" s="137">
        <f>(K100*'Model Data Inputs'!$B$94)*T100</f>
        <v>7488.8665975305003</v>
      </c>
      <c r="AM100" s="137">
        <f>K100*'Model Data Inputs'!$B$95</f>
        <v>2022.777703625</v>
      </c>
      <c r="AN100" s="137">
        <f t="shared" si="26"/>
        <v>9511.6443011555002</v>
      </c>
      <c r="AO100" s="137">
        <f>('School Level Inst. Resources'!K100*'Model Data Inputs'!$B$96)+('School Level Inst. Resources'!J100*'Model Data Inputs'!$B$97)</f>
        <v>4826.5</v>
      </c>
      <c r="AP100" s="137">
        <f>$L100*'Model Data Inputs'!$B$100</f>
        <v>1930.6</v>
      </c>
      <c r="AQ100" s="137">
        <f t="shared" si="27"/>
        <v>940666.0974744783</v>
      </c>
      <c r="AR100" s="141">
        <f t="shared" si="20"/>
        <v>19489.611467408646</v>
      </c>
    </row>
    <row r="101" spans="1:44" s="40" customFormat="1" ht="12.75" customHeight="1" x14ac:dyDescent="0.2">
      <c r="A101" s="20" t="s">
        <v>40</v>
      </c>
      <c r="B101" s="20" t="s">
        <v>561</v>
      </c>
      <c r="C101" s="20" t="s">
        <v>562</v>
      </c>
      <c r="D101" s="20" t="s">
        <v>563</v>
      </c>
      <c r="E101" s="138" t="s">
        <v>564</v>
      </c>
      <c r="F101" s="138" t="str">
        <f>IF(AND(SUM('School Level ADM'!$F101:$J101)=0,SUM('School Level ADM'!$O101:$R101)=0,'School Level ADM'!$K101&gt;0,'School Level ADM'!$N101&gt;0),"T","F")</f>
        <v>F</v>
      </c>
      <c r="G101" s="138" t="str">
        <f>IF(AND(SUM('School Level ADM'!$M101:$R101)=0,'School Level ADM'!$L101&gt;0),"T","F")</f>
        <v>F</v>
      </c>
      <c r="H101" s="138" t="str">
        <f t="shared" si="14"/>
        <v>E</v>
      </c>
      <c r="I101" s="139">
        <f>IF($F101="T",SUM('School Level ADM'!$F101:$J101),IF($G101="T",SUM('School Level ADM'!$F101:$L101),SUM('School Level ADM'!$F101:$K101,0)))</f>
        <v>17.73</v>
      </c>
      <c r="J101" s="139">
        <f>'School Level ADM'!$S101-$I101-$K101</f>
        <v>0</v>
      </c>
      <c r="K101" s="139">
        <f>IF(SUM('School Level ADM'!$N101:$R101)='School Level ADM'!$S101,SUM('School Level ADM'!$N101:$R101),IF(OR(SUM('School Level ADM'!$F101:$O101)='School Level ADM'!$S101,SUM('School Level ADM'!$G101:$O101)='School Level ADM'!$S101,SUM('School Level ADM'!$H101:$O101)='School Level ADM'!$S101,SUM('School Level ADM'!$I101:$O101)='School Level ADM'!$S101,SUM('School Level ADM'!$J101:$O101)='School Level ADM'!$S101,SUM('School Level ADM'!$K101:$O101)='School Level ADM'!$S101,SUM('School Level ADM'!$L101:$O101)='School Level ADM'!$S101,SUM('School Level ADM'!$M101:$O101)='School Level ADM'!$S101,SUM('School Level ADM'!$N101:$O101)='School Level ADM'!$S101),0,SUM('School Level ADM'!$O101:$R101)))</f>
        <v>0</v>
      </c>
      <c r="L101" s="139">
        <f t="shared" si="15"/>
        <v>17.73</v>
      </c>
      <c r="M101" s="24">
        <f>'Student At-Risk and ELL Proxy'!S101</f>
        <v>8</v>
      </c>
      <c r="N101" s="24">
        <f>'Student At-Risk and ELL Proxy'!AH101</f>
        <v>0</v>
      </c>
      <c r="O101" s="136">
        <f t="shared" si="21"/>
        <v>3.0594956061781589</v>
      </c>
      <c r="P101" s="136" t="str">
        <f t="shared" si="22"/>
        <v/>
      </c>
      <c r="Q101" s="136" t="str">
        <f t="shared" si="23"/>
        <v/>
      </c>
      <c r="R101" s="136">
        <f t="shared" si="16"/>
        <v>3.0594956061781589</v>
      </c>
      <c r="S101" s="136">
        <f>IF(SUM(3515.4*((VLOOKUP($A101,'District Level ADM'!$A$4:$F$52,6,FALSE))^-0.327)/'Model Data Inputs'!$B$71)&lt;1,1,(3515.4*((VLOOKUP($A101,'District Level ADM'!$A$4:$F$52,6,FALSE))^-0.327)/'Model Data Inputs'!$B$71))</f>
        <v>2.5938916622692614</v>
      </c>
      <c r="T101" s="136">
        <f>VLOOKUP($A101,'Regional Cost Adjustment'!$A$4:$C$52,3,FALSE)</f>
        <v>0.94</v>
      </c>
      <c r="U101" s="123">
        <f>((($I101/$L101)*'Model Data Inputs'!$B$85)+((SUM(J101:K101)/$L101)*'Model Data Inputs'!$C$85))*$R101*$T101</f>
        <v>18312.710185899858</v>
      </c>
      <c r="V101" s="140">
        <f>((($I101/$L101)*'Model Data Inputs'!$B$86)+((SUM(J101:K101)/$L101)*'Model Data Inputs'!$C$86))*$R101</f>
        <v>5178.5779602804241</v>
      </c>
      <c r="W101" s="140">
        <f t="shared" si="24"/>
        <v>23491.288146180283</v>
      </c>
      <c r="X101" s="140">
        <f t="shared" si="17"/>
        <v>324684.3515960045</v>
      </c>
      <c r="Y101" s="140">
        <f t="shared" si="18"/>
        <v>91816.187235771926</v>
      </c>
      <c r="Z101" s="123">
        <f>IF((SUM(X101:Y101))&lt;(AVERAGE('Elementary Size Adjustment'!$B$66,'Secondary Size Adjustment'!$B$66)),(AVERAGE('Elementary Size Adjustment'!$B$66,'Secondary Size Adjustment'!$B$66)),SUM(X101:Y101))</f>
        <v>416500.53883177642</v>
      </c>
      <c r="AA101" s="137">
        <f>'Model Data Inputs'!$B$71*S101*L101</f>
        <v>8738.0428426864619</v>
      </c>
      <c r="AB101" s="137">
        <f>L101*'Model Data Inputs'!$B$72</f>
        <v>443.25</v>
      </c>
      <c r="AC101" s="137">
        <f>L101*'Model Data Inputs'!$B$73</f>
        <v>4432.5</v>
      </c>
      <c r="AD101" s="137">
        <f>L101*'Model Data Inputs'!$B$74</f>
        <v>2216.25</v>
      </c>
      <c r="AE101" s="137">
        <f>$I101*'Model Data Inputs'!$B$76</f>
        <v>421.79669999999999</v>
      </c>
      <c r="AF101" s="137">
        <f>VLOOKUP($J101,'Student Activities MS&amp;HS Tables'!$M$7:$O$1267,3)</f>
        <v>0</v>
      </c>
      <c r="AG101" s="137">
        <f>VLOOKUP($K101,'Student Activities MS&amp;HS Tables'!$I$7:$K$3007,3)</f>
        <v>0</v>
      </c>
      <c r="AH101" s="137">
        <f t="shared" si="19"/>
        <v>421.79669999999999</v>
      </c>
      <c r="AI101" s="123">
        <f t="shared" si="25"/>
        <v>432752.37837446289</v>
      </c>
      <c r="AJ101" s="123">
        <f>(('Model Data Inputs'!$B$90*(('Model Data Inputs'!$B$87*('School Level Inst. Resources'!I101/'School Level Inst. Resources'!L101))+('Model Data Inputs'!$C$87*(SUM('School Level Inst. Resources'!J101:K101)/'School Level Inst. Resources'!L101))))*T101*M101)</f>
        <v>18183.839261677527</v>
      </c>
      <c r="AK101" s="123">
        <f>(('Model Data Inputs'!$B$91*(('Model Data Inputs'!$B$87*('School Level Inst. Resources'!I101/'School Level Inst. Resources'!L101))+('Model Data Inputs'!$C$87*(SUM('School Level Inst. Resources'!J101:K101)/'School Level Inst. Resources'!L101))))*T101*N101)</f>
        <v>0</v>
      </c>
      <c r="AL101" s="137">
        <f>(K101*'Model Data Inputs'!$B$94)*T101</f>
        <v>0</v>
      </c>
      <c r="AM101" s="137">
        <f>K101*'Model Data Inputs'!$B$95</f>
        <v>0</v>
      </c>
      <c r="AN101" s="137">
        <f t="shared" si="26"/>
        <v>0</v>
      </c>
      <c r="AO101" s="137">
        <f>('School Level Inst. Resources'!K101*'Model Data Inputs'!$B$96)+('School Level Inst. Resources'!J101*'Model Data Inputs'!$B$97)</f>
        <v>0</v>
      </c>
      <c r="AP101" s="137">
        <f>$L101*'Model Data Inputs'!$B$100</f>
        <v>709.2</v>
      </c>
      <c r="AQ101" s="137">
        <f t="shared" si="27"/>
        <v>451645.41763614042</v>
      </c>
      <c r="AR101" s="141">
        <f t="shared" si="20"/>
        <v>25473.514813093087</v>
      </c>
    </row>
    <row r="102" spans="1:44" s="40" customFormat="1" ht="12.75" customHeight="1" x14ac:dyDescent="0.2">
      <c r="A102" s="20" t="s">
        <v>40</v>
      </c>
      <c r="B102" s="20" t="s">
        <v>561</v>
      </c>
      <c r="C102" s="20" t="s">
        <v>565</v>
      </c>
      <c r="D102" s="20" t="s">
        <v>566</v>
      </c>
      <c r="E102" s="138" t="s">
        <v>365</v>
      </c>
      <c r="F102" s="138" t="str">
        <f>IF(AND(SUM('School Level ADM'!$F102:$J102)=0,SUM('School Level ADM'!$O102:$R102)=0,'School Level ADM'!$K102&gt;0,'School Level ADM'!$N102&gt;0),"T","F")</f>
        <v>F</v>
      </c>
      <c r="G102" s="138" t="str">
        <f>IF(AND(SUM('School Level ADM'!$M102:$R102)=0,'School Level ADM'!$L102&gt;0),"T","F")</f>
        <v>F</v>
      </c>
      <c r="H102" s="138" t="str">
        <f t="shared" si="14"/>
        <v>E</v>
      </c>
      <c r="I102" s="139">
        <f>IF($F102="T",SUM('School Level ADM'!$F102:$J102),IF($G102="T",SUM('School Level ADM'!$F102:$L102),SUM('School Level ADM'!$F102:$K102,0)))</f>
        <v>169.42000000000002</v>
      </c>
      <c r="J102" s="139">
        <f>'School Level ADM'!$S102-$I102-$K102</f>
        <v>0</v>
      </c>
      <c r="K102" s="139">
        <f>IF(SUM('School Level ADM'!$N102:$R102)='School Level ADM'!$S102,SUM('School Level ADM'!$N102:$R102),IF(OR(SUM('School Level ADM'!$F102:$O102)='School Level ADM'!$S102,SUM('School Level ADM'!$G102:$O102)='School Level ADM'!$S102,SUM('School Level ADM'!$H102:$O102)='School Level ADM'!$S102,SUM('School Level ADM'!$I102:$O102)='School Level ADM'!$S102,SUM('School Level ADM'!$J102:$O102)='School Level ADM'!$S102,SUM('School Level ADM'!$K102:$O102)='School Level ADM'!$S102,SUM('School Level ADM'!$L102:$O102)='School Level ADM'!$S102,SUM('School Level ADM'!$M102:$O102)='School Level ADM'!$S102,SUM('School Level ADM'!$N102:$O102)='School Level ADM'!$S102),0,SUM('School Level ADM'!$O102:$R102)))</f>
        <v>0</v>
      </c>
      <c r="L102" s="139">
        <f t="shared" si="15"/>
        <v>169.42000000000002</v>
      </c>
      <c r="M102" s="24">
        <f>'Student At-Risk and ELL Proxy'!S102</f>
        <v>82</v>
      </c>
      <c r="N102" s="24">
        <f>'Student At-Risk and ELL Proxy'!AH102</f>
        <v>0</v>
      </c>
      <c r="O102" s="136">
        <f t="shared" si="21"/>
        <v>1.2459710997401305</v>
      </c>
      <c r="P102" s="136" t="str">
        <f t="shared" si="22"/>
        <v/>
      </c>
      <c r="Q102" s="136" t="str">
        <f t="shared" si="23"/>
        <v/>
      </c>
      <c r="R102" s="136">
        <f t="shared" si="16"/>
        <v>1.2459710997401305</v>
      </c>
      <c r="S102" s="136">
        <f>IF(SUM(3515.4*((VLOOKUP($A102,'District Level ADM'!$A$4:$F$52,6,FALSE))^-0.327)/'Model Data Inputs'!$B$71)&lt;1,1,(3515.4*((VLOOKUP($A102,'District Level ADM'!$A$4:$F$52,6,FALSE))^-0.327)/'Model Data Inputs'!$B$71))</f>
        <v>2.5938916622692614</v>
      </c>
      <c r="T102" s="136">
        <f>VLOOKUP($A102,'Regional Cost Adjustment'!$A$4:$C$52,3,FALSE)</f>
        <v>0.94</v>
      </c>
      <c r="U102" s="123">
        <f>((($I102/$L102)*'Model Data Inputs'!$B$85)+((SUM(J102:K102)/$L102)*'Model Data Inputs'!$C$85))*$R102*$T102</f>
        <v>7457.800430722129</v>
      </c>
      <c r="V102" s="140">
        <f>((($I102/$L102)*'Model Data Inputs'!$B$86)+((SUM(J102:K102)/$L102)*'Model Data Inputs'!$C$86))*$R102</f>
        <v>2108.9615109206575</v>
      </c>
      <c r="W102" s="140">
        <f t="shared" si="24"/>
        <v>9566.761941642786</v>
      </c>
      <c r="X102" s="140">
        <f t="shared" si="17"/>
        <v>1263500.5489729433</v>
      </c>
      <c r="Y102" s="140">
        <f t="shared" si="18"/>
        <v>357300.25918017782</v>
      </c>
      <c r="Z102" s="123">
        <f>IF((SUM(X102:Y102))&lt;(AVERAGE('Elementary Size Adjustment'!$B$66,'Secondary Size Adjustment'!$B$66)),(AVERAGE('Elementary Size Adjustment'!$B$66,'Secondary Size Adjustment'!$B$66)),SUM(X102:Y102))</f>
        <v>1620800.8081531213</v>
      </c>
      <c r="AA102" s="137">
        <f>'Model Data Inputs'!$B$71*S102*L102</f>
        <v>83496.853830115084</v>
      </c>
      <c r="AB102" s="137">
        <f>L102*'Model Data Inputs'!$B$72</f>
        <v>4235.5</v>
      </c>
      <c r="AC102" s="137">
        <f>L102*'Model Data Inputs'!$B$73</f>
        <v>42355.000000000007</v>
      </c>
      <c r="AD102" s="137">
        <f>L102*'Model Data Inputs'!$B$74</f>
        <v>21177.500000000004</v>
      </c>
      <c r="AE102" s="137">
        <f>$I102*'Model Data Inputs'!$B$76</f>
        <v>4030.5018000000005</v>
      </c>
      <c r="AF102" s="137">
        <f>VLOOKUP($J102,'Student Activities MS&amp;HS Tables'!$M$7:$O$1267,3)</f>
        <v>0</v>
      </c>
      <c r="AG102" s="137">
        <f>VLOOKUP($K102,'Student Activities MS&amp;HS Tables'!$I$7:$K$3007,3)</f>
        <v>0</v>
      </c>
      <c r="AH102" s="137">
        <f t="shared" si="19"/>
        <v>4030.5018000000005</v>
      </c>
      <c r="AI102" s="123">
        <f t="shared" si="25"/>
        <v>1776096.1637832364</v>
      </c>
      <c r="AJ102" s="123">
        <f>(('Model Data Inputs'!$B$90*(('Model Data Inputs'!$B$87*('School Level Inst. Resources'!I102/'School Level Inst. Resources'!L102))+('Model Data Inputs'!$C$87*(SUM('School Level Inst. Resources'!J102:K102)/'School Level Inst. Resources'!L102))))*T102*M102)</f>
        <v>186384.35243219466</v>
      </c>
      <c r="AK102" s="123">
        <f>(('Model Data Inputs'!$B$91*(('Model Data Inputs'!$B$87*('School Level Inst. Resources'!I102/'School Level Inst. Resources'!L102))+('Model Data Inputs'!$C$87*(SUM('School Level Inst. Resources'!J102:K102)/'School Level Inst. Resources'!L102))))*T102*N102)</f>
        <v>0</v>
      </c>
      <c r="AL102" s="137">
        <f>(K102*'Model Data Inputs'!$B$94)*T102</f>
        <v>0</v>
      </c>
      <c r="AM102" s="137">
        <f>K102*'Model Data Inputs'!$B$95</f>
        <v>0</v>
      </c>
      <c r="AN102" s="137">
        <f t="shared" si="26"/>
        <v>0</v>
      </c>
      <c r="AO102" s="137">
        <f>('School Level Inst. Resources'!K102*'Model Data Inputs'!$B$96)+('School Level Inst. Resources'!J102*'Model Data Inputs'!$B$97)</f>
        <v>0</v>
      </c>
      <c r="AP102" s="137">
        <f>$L102*'Model Data Inputs'!$B$100</f>
        <v>6776.8000000000011</v>
      </c>
      <c r="AQ102" s="137">
        <f t="shared" si="27"/>
        <v>1969257.3162154311</v>
      </c>
      <c r="AR102" s="141">
        <f t="shared" si="20"/>
        <v>11623.523292500478</v>
      </c>
    </row>
    <row r="103" spans="1:44" s="40" customFormat="1" ht="12.75" customHeight="1" x14ac:dyDescent="0.2">
      <c r="A103" s="20" t="s">
        <v>40</v>
      </c>
      <c r="B103" s="20" t="s">
        <v>561</v>
      </c>
      <c r="C103" s="20" t="s">
        <v>567</v>
      </c>
      <c r="D103" s="20" t="s">
        <v>568</v>
      </c>
      <c r="E103" s="138" t="s">
        <v>383</v>
      </c>
      <c r="F103" s="138" t="str">
        <f>IF(AND(SUM('School Level ADM'!$F103:$J103)=0,SUM('School Level ADM'!$O103:$R103)=0,'School Level ADM'!$K103&gt;0,'School Level ADM'!$N103&gt;0),"T","F")</f>
        <v>F</v>
      </c>
      <c r="G103" s="138" t="str">
        <f>IF(AND(SUM('School Level ADM'!$M103:$R103)=0,'School Level ADM'!$L103&gt;0),"T","F")</f>
        <v>F</v>
      </c>
      <c r="H103" s="138" t="str">
        <f t="shared" si="14"/>
        <v>M</v>
      </c>
      <c r="I103" s="139">
        <f>IF($F103="T",SUM('School Level ADM'!$F103:$J103),IF($G103="T",SUM('School Level ADM'!$F103:$L103),SUM('School Level ADM'!$F103:$K103,0)))</f>
        <v>0</v>
      </c>
      <c r="J103" s="139">
        <f>'School Level ADM'!$S103-$I103-$K103</f>
        <v>85.694999999999993</v>
      </c>
      <c r="K103" s="139">
        <f>IF(SUM('School Level ADM'!$N103:$R103)='School Level ADM'!$S103,SUM('School Level ADM'!$N103:$R103),IF(OR(SUM('School Level ADM'!$F103:$O103)='School Level ADM'!$S103,SUM('School Level ADM'!$G103:$O103)='School Level ADM'!$S103,SUM('School Level ADM'!$H103:$O103)='School Level ADM'!$S103,SUM('School Level ADM'!$I103:$O103)='School Level ADM'!$S103,SUM('School Level ADM'!$J103:$O103)='School Level ADM'!$S103,SUM('School Level ADM'!$K103:$O103)='School Level ADM'!$S103,SUM('School Level ADM'!$L103:$O103)='School Level ADM'!$S103,SUM('School Level ADM'!$M103:$O103)='School Level ADM'!$S103,SUM('School Level ADM'!$N103:$O103)='School Level ADM'!$S103),0,SUM('School Level ADM'!$O103:$R103)))</f>
        <v>0</v>
      </c>
      <c r="L103" s="139">
        <f t="shared" si="15"/>
        <v>85.694999999999993</v>
      </c>
      <c r="M103" s="24">
        <f>'Student At-Risk and ELL Proxy'!S103</f>
        <v>46</v>
      </c>
      <c r="N103" s="24">
        <f>'Student At-Risk and ELL Proxy'!AH103</f>
        <v>0</v>
      </c>
      <c r="O103" s="136" t="str">
        <f t="shared" si="21"/>
        <v/>
      </c>
      <c r="P103" s="136">
        <f t="shared" si="22"/>
        <v>1.9135301951310728</v>
      </c>
      <c r="Q103" s="136" t="str">
        <f t="shared" si="23"/>
        <v/>
      </c>
      <c r="R103" s="136">
        <f t="shared" si="16"/>
        <v>1.9135301951310728</v>
      </c>
      <c r="S103" s="136">
        <f>IF(SUM(3515.4*((VLOOKUP($A103,'District Level ADM'!$A$4:$F$52,6,FALSE))^-0.327)/'Model Data Inputs'!$B$71)&lt;1,1,(3515.4*((VLOOKUP($A103,'District Level ADM'!$A$4:$F$52,6,FALSE))^-0.327)/'Model Data Inputs'!$B$71))</f>
        <v>2.5938916622692614</v>
      </c>
      <c r="T103" s="136">
        <f>VLOOKUP($A103,'Regional Cost Adjustment'!$A$4:$C$52,3,FALSE)</f>
        <v>0.94</v>
      </c>
      <c r="U103" s="123">
        <f>((($I103/$L103)*'Model Data Inputs'!$B$85)+((SUM(J103:K103)/$L103)*'Model Data Inputs'!$C$85))*$R103*$T103</f>
        <v>9682.122408744226</v>
      </c>
      <c r="V103" s="140">
        <f>((($I103/$L103)*'Model Data Inputs'!$B$86)+((SUM(J103:K103)/$L103)*'Model Data Inputs'!$C$86))*$R103</f>
        <v>2742.294985839565</v>
      </c>
      <c r="W103" s="140">
        <f t="shared" si="24"/>
        <v>12424.41739458379</v>
      </c>
      <c r="X103" s="140">
        <f t="shared" si="17"/>
        <v>829709.47981733643</v>
      </c>
      <c r="Y103" s="140">
        <f t="shared" si="18"/>
        <v>235000.96881152151</v>
      </c>
      <c r="Z103" s="123">
        <f>IF((SUM(X103:Y103))&lt;(AVERAGE('Elementary Size Adjustment'!$B$66,'Secondary Size Adjustment'!$B$66)),(AVERAGE('Elementary Size Adjustment'!$B$66,'Secondary Size Adjustment'!$B$66)),SUM(X103:Y103))</f>
        <v>1064710.448628858</v>
      </c>
      <c r="AA103" s="137">
        <f>'Model Data Inputs'!$B$71*S103*L103</f>
        <v>42233.873739651222</v>
      </c>
      <c r="AB103" s="137">
        <f>L103*'Model Data Inputs'!$B$72</f>
        <v>2142.375</v>
      </c>
      <c r="AC103" s="137">
        <f>L103*'Model Data Inputs'!$B$73</f>
        <v>21423.75</v>
      </c>
      <c r="AD103" s="137">
        <f>L103*'Model Data Inputs'!$B$74</f>
        <v>10711.875</v>
      </c>
      <c r="AE103" s="137">
        <f>$I103*'Model Data Inputs'!$B$76</f>
        <v>0</v>
      </c>
      <c r="AF103" s="137">
        <f>VLOOKUP($J103,'Student Activities MS&amp;HS Tables'!$M$7:$O$1267,3)</f>
        <v>49532.9</v>
      </c>
      <c r="AG103" s="137">
        <f>VLOOKUP($K103,'Student Activities MS&amp;HS Tables'!$I$7:$K$3007,3)</f>
        <v>0</v>
      </c>
      <c r="AH103" s="137">
        <f t="shared" si="19"/>
        <v>49532.9</v>
      </c>
      <c r="AI103" s="123">
        <f t="shared" si="25"/>
        <v>1190755.222368509</v>
      </c>
      <c r="AJ103" s="123">
        <f>(('Model Data Inputs'!$B$90*(('Model Data Inputs'!$B$87*('School Level Inst. Resources'!I103/'School Level Inst. Resources'!L103))+('Model Data Inputs'!$C$87*(SUM('School Level Inst. Resources'!J103:K103)/'School Level Inst. Resources'!L103))))*T103*M103)</f>
        <v>88415.819215955591</v>
      </c>
      <c r="AK103" s="123">
        <f>(('Model Data Inputs'!$B$91*(('Model Data Inputs'!$B$87*('School Level Inst. Resources'!I103/'School Level Inst. Resources'!L103))+('Model Data Inputs'!$C$87*(SUM('School Level Inst. Resources'!J103:K103)/'School Level Inst. Resources'!L103))))*T103*N103)</f>
        <v>0</v>
      </c>
      <c r="AL103" s="137">
        <f>(K103*'Model Data Inputs'!$B$94)*T103</f>
        <v>0</v>
      </c>
      <c r="AM103" s="137">
        <f>K103*'Model Data Inputs'!$B$95</f>
        <v>0</v>
      </c>
      <c r="AN103" s="137">
        <f t="shared" si="26"/>
        <v>0</v>
      </c>
      <c r="AO103" s="137">
        <f>('School Level Inst. Resources'!K103*'Model Data Inputs'!$B$96)+('School Level Inst. Resources'!J103*'Model Data Inputs'!$B$97)</f>
        <v>2142.375</v>
      </c>
      <c r="AP103" s="137">
        <f>$L103*'Model Data Inputs'!$B$100</f>
        <v>3427.7999999999997</v>
      </c>
      <c r="AQ103" s="137">
        <f t="shared" si="27"/>
        <v>1284741.2165844648</v>
      </c>
      <c r="AR103" s="141">
        <f t="shared" si="20"/>
        <v>14992.020731483341</v>
      </c>
    </row>
    <row r="104" spans="1:44" s="40" customFormat="1" ht="12.75" customHeight="1" x14ac:dyDescent="0.2">
      <c r="A104" s="20" t="s">
        <v>40</v>
      </c>
      <c r="B104" s="20" t="s">
        <v>561</v>
      </c>
      <c r="C104" s="20" t="s">
        <v>569</v>
      </c>
      <c r="D104" s="20" t="s">
        <v>570</v>
      </c>
      <c r="E104" s="138" t="s">
        <v>389</v>
      </c>
      <c r="F104" s="138" t="str">
        <f>IF(AND(SUM('School Level ADM'!$F104:$J104)=0,SUM('School Level ADM'!$O104:$R104)=0,'School Level ADM'!$K104&gt;0,'School Level ADM'!$N104&gt;0),"T","F")</f>
        <v>F</v>
      </c>
      <c r="G104" s="138" t="str">
        <f>IF(AND(SUM('School Level ADM'!$M104:$R104)=0,'School Level ADM'!$L104&gt;0),"T","F")</f>
        <v>F</v>
      </c>
      <c r="H104" s="138" t="str">
        <f t="shared" si="14"/>
        <v>H</v>
      </c>
      <c r="I104" s="139">
        <f>IF($F104="T",SUM('School Level ADM'!$F104:$J104),IF($G104="T",SUM('School Level ADM'!$F104:$L104),SUM('School Level ADM'!$F104:$K104,0)))</f>
        <v>0</v>
      </c>
      <c r="J104" s="139">
        <f>'School Level ADM'!$S104-$I104-$K104</f>
        <v>0</v>
      </c>
      <c r="K104" s="139">
        <f>IF(SUM('School Level ADM'!$N104:$R104)='School Level ADM'!$S104,SUM('School Level ADM'!$N104:$R104),IF(OR(SUM('School Level ADM'!$F104:$O104)='School Level ADM'!$S104,SUM('School Level ADM'!$G104:$O104)='School Level ADM'!$S104,SUM('School Level ADM'!$H104:$O104)='School Level ADM'!$S104,SUM('School Level ADM'!$I104:$O104)='School Level ADM'!$S104,SUM('School Level ADM'!$J104:$O104)='School Level ADM'!$S104,SUM('School Level ADM'!$K104:$O104)='School Level ADM'!$S104,SUM('School Level ADM'!$L104:$O104)='School Level ADM'!$S104,SUM('School Level ADM'!$M104:$O104)='School Level ADM'!$S104,SUM('School Level ADM'!$N104:$O104)='School Level ADM'!$S104),0,SUM('School Level ADM'!$O104:$R104)))</f>
        <v>131.005</v>
      </c>
      <c r="L104" s="139">
        <f t="shared" si="15"/>
        <v>131.005</v>
      </c>
      <c r="M104" s="24">
        <f>'Student At-Risk and ELL Proxy'!S104</f>
        <v>72</v>
      </c>
      <c r="N104" s="24">
        <f>'Student At-Risk and ELL Proxy'!AH104</f>
        <v>2</v>
      </c>
      <c r="O104" s="136" t="str">
        <f t="shared" si="21"/>
        <v/>
      </c>
      <c r="P104" s="136">
        <f t="shared" si="22"/>
        <v>1.6486734773602341</v>
      </c>
      <c r="Q104" s="136" t="str">
        <f t="shared" si="23"/>
        <v/>
      </c>
      <c r="R104" s="136">
        <f t="shared" si="16"/>
        <v>1.6486734773602341</v>
      </c>
      <c r="S104" s="136">
        <f>IF(SUM(3515.4*((VLOOKUP($A104,'District Level ADM'!$A$4:$F$52,6,FALSE))^-0.327)/'Model Data Inputs'!$B$71)&lt;1,1,(3515.4*((VLOOKUP($A104,'District Level ADM'!$A$4:$F$52,6,FALSE))^-0.327)/'Model Data Inputs'!$B$71))</f>
        <v>2.5938916622692614</v>
      </c>
      <c r="T104" s="136">
        <f>VLOOKUP($A104,'Regional Cost Adjustment'!$A$4:$C$52,3,FALSE)</f>
        <v>0.94</v>
      </c>
      <c r="U104" s="123">
        <f>((($I104/$L104)*'Model Data Inputs'!$B$85)+((SUM(J104:K104)/$L104)*'Model Data Inputs'!$C$85))*$R104*$T104</f>
        <v>8341.9945295184534</v>
      </c>
      <c r="V104" s="140">
        <f>((($I104/$L104)*'Model Data Inputs'!$B$86)+((SUM(J104:K104)/$L104)*'Model Data Inputs'!$C$86))*$R104</f>
        <v>2362.7267663481844</v>
      </c>
      <c r="W104" s="140">
        <f t="shared" si="24"/>
        <v>10704.721295866639</v>
      </c>
      <c r="X104" s="140">
        <f t="shared" si="17"/>
        <v>1092842.9933395649</v>
      </c>
      <c r="Y104" s="140">
        <f t="shared" si="18"/>
        <v>309529.02002544387</v>
      </c>
      <c r="Z104" s="123">
        <f>IF((SUM(X104:Y104))&lt;(AVERAGE('Elementary Size Adjustment'!$B$66,'Secondary Size Adjustment'!$B$66)),(AVERAGE('Elementary Size Adjustment'!$B$66,'Secondary Size Adjustment'!$B$66)),SUM(X104:Y104))</f>
        <v>1402372.0133650089</v>
      </c>
      <c r="AA104" s="137">
        <f>'Model Data Inputs'!$B$71*S104*L104</f>
        <v>64564.427670961071</v>
      </c>
      <c r="AB104" s="137">
        <f>L104*'Model Data Inputs'!$B$72</f>
        <v>3275.125</v>
      </c>
      <c r="AC104" s="137">
        <f>L104*'Model Data Inputs'!$B$73</f>
        <v>32751.25</v>
      </c>
      <c r="AD104" s="137">
        <f>L104*'Model Data Inputs'!$B$74</f>
        <v>16375.625</v>
      </c>
      <c r="AE104" s="137">
        <f>$I104*'Model Data Inputs'!$B$76</f>
        <v>0</v>
      </c>
      <c r="AF104" s="137">
        <f>VLOOKUP($J104,'Student Activities MS&amp;HS Tables'!$M$7:$O$1267,3)</f>
        <v>0</v>
      </c>
      <c r="AG104" s="137">
        <f>VLOOKUP($K104,'Student Activities MS&amp;HS Tables'!$I$7:$K$3007,3)</f>
        <v>192888.33000000002</v>
      </c>
      <c r="AH104" s="137">
        <f t="shared" si="19"/>
        <v>192888.33000000002</v>
      </c>
      <c r="AI104" s="123">
        <f t="shared" si="25"/>
        <v>1712226.77103597</v>
      </c>
      <c r="AJ104" s="123">
        <f>(('Model Data Inputs'!$B$90*(('Model Data Inputs'!$B$87*('School Level Inst. Resources'!I104/'School Level Inst. Resources'!L104))+('Model Data Inputs'!$C$87*(SUM('School Level Inst. Resources'!J104:K104)/'School Level Inst. Resources'!L104))))*T104*M104)</f>
        <v>138389.97790323483</v>
      </c>
      <c r="AK104" s="123">
        <f>(('Model Data Inputs'!$B$91*(('Model Data Inputs'!$B$87*('School Level Inst. Resources'!I104/'School Level Inst. Resources'!L104))+('Model Data Inputs'!$C$87*(SUM('School Level Inst. Resources'!J104:K104)/'School Level Inst. Resources'!L104))))*T104*N104)</f>
        <v>3844.1660528676343</v>
      </c>
      <c r="AL104" s="137">
        <f>(K104*'Model Data Inputs'!$B$94)*T104</f>
        <v>20326.9236218685</v>
      </c>
      <c r="AM104" s="137">
        <f>K104*'Model Data Inputs'!$B$95</f>
        <v>5490.3966241249991</v>
      </c>
      <c r="AN104" s="137">
        <f t="shared" si="26"/>
        <v>25817.320245993498</v>
      </c>
      <c r="AO104" s="137">
        <f>('School Level Inst. Resources'!K104*'Model Data Inputs'!$B$96)+('School Level Inst. Resources'!J104*'Model Data Inputs'!$B$97)</f>
        <v>13100.5</v>
      </c>
      <c r="AP104" s="137">
        <f>$L104*'Model Data Inputs'!$B$100</f>
        <v>5240.2</v>
      </c>
      <c r="AQ104" s="137">
        <f t="shared" si="27"/>
        <v>1898618.9352380659</v>
      </c>
      <c r="AR104" s="141">
        <f t="shared" si="20"/>
        <v>14492.721157498308</v>
      </c>
    </row>
    <row r="105" spans="1:44" s="40" customFormat="1" ht="12.75" customHeight="1" x14ac:dyDescent="0.2">
      <c r="A105" s="20" t="s">
        <v>40</v>
      </c>
      <c r="B105" s="20" t="s">
        <v>561</v>
      </c>
      <c r="C105" s="20" t="s">
        <v>571</v>
      </c>
      <c r="D105" s="20" t="s">
        <v>572</v>
      </c>
      <c r="E105" s="138" t="s">
        <v>389</v>
      </c>
      <c r="F105" s="138" t="str">
        <f>IF(AND(SUM('School Level ADM'!$F105:$J105)=0,SUM('School Level ADM'!$O105:$R105)=0,'School Level ADM'!$K105&gt;0,'School Level ADM'!$N105&gt;0),"T","F")</f>
        <v>F</v>
      </c>
      <c r="G105" s="138" t="str">
        <f>IF(AND(SUM('School Level ADM'!$M105:$R105)=0,'School Level ADM'!$L105&gt;0),"T","F")</f>
        <v>F</v>
      </c>
      <c r="H105" s="138" t="str">
        <f t="shared" si="14"/>
        <v>H</v>
      </c>
      <c r="I105" s="139">
        <f>IF($F105="T",SUM('School Level ADM'!$F105:$J105),IF($G105="T",SUM('School Level ADM'!$F105:$L105),SUM('School Level ADM'!$F105:$K105,0)))</f>
        <v>0</v>
      </c>
      <c r="J105" s="139">
        <f>'School Level ADM'!$S105-$I105-$K105</f>
        <v>0</v>
      </c>
      <c r="K105" s="139">
        <f>IF(SUM('School Level ADM'!$N105:$R105)='School Level ADM'!$S105,SUM('School Level ADM'!$N105:$R105),IF(OR(SUM('School Level ADM'!$F105:$O105)='School Level ADM'!$S105,SUM('School Level ADM'!$G105:$O105)='School Level ADM'!$S105,SUM('School Level ADM'!$H105:$O105)='School Level ADM'!$S105,SUM('School Level ADM'!$I105:$O105)='School Level ADM'!$S105,SUM('School Level ADM'!$J105:$O105)='School Level ADM'!$S105,SUM('School Level ADM'!$K105:$O105)='School Level ADM'!$S105,SUM('School Level ADM'!$L105:$O105)='School Level ADM'!$S105,SUM('School Level ADM'!$M105:$O105)='School Level ADM'!$S105,SUM('School Level ADM'!$N105:$O105)='School Level ADM'!$S105),0,SUM('School Level ADM'!$O105:$R105)))</f>
        <v>2.9550000000000001</v>
      </c>
      <c r="L105" s="139">
        <f t="shared" si="15"/>
        <v>2.9550000000000001</v>
      </c>
      <c r="M105" s="24">
        <f>'Student At-Risk and ELL Proxy'!S105</f>
        <v>4</v>
      </c>
      <c r="N105" s="24">
        <f>'Student At-Risk and ELL Proxy'!AH105</f>
        <v>0</v>
      </c>
      <c r="O105" s="136" t="str">
        <f t="shared" si="21"/>
        <v/>
      </c>
      <c r="P105" s="136">
        <f t="shared" si="22"/>
        <v>6.2393165063122398</v>
      </c>
      <c r="Q105" s="136" t="str">
        <f t="shared" si="23"/>
        <v/>
      </c>
      <c r="R105" s="136">
        <f t="shared" si="16"/>
        <v>6.2393165063122398</v>
      </c>
      <c r="S105" s="136">
        <f>IF(SUM(3515.4*((VLOOKUP($A105,'District Level ADM'!$A$4:$F$52,6,FALSE))^-0.327)/'Model Data Inputs'!$B$71)&lt;1,1,(3515.4*((VLOOKUP($A105,'District Level ADM'!$A$4:$F$52,6,FALSE))^-0.327)/'Model Data Inputs'!$B$71))</f>
        <v>2.5938916622692614</v>
      </c>
      <c r="T105" s="136">
        <f>VLOOKUP($A105,'Regional Cost Adjustment'!$A$4:$C$52,3,FALSE)</f>
        <v>0.94</v>
      </c>
      <c r="U105" s="123">
        <f>((($I105/$L105)*'Model Data Inputs'!$B$85)+((SUM(J105:K105)/$L105)*'Model Data Inputs'!$C$85))*$R105*$T105</f>
        <v>31569.831672750541</v>
      </c>
      <c r="V105" s="140">
        <f>((($I105/$L105)*'Model Data Inputs'!$B$86)+((SUM(J105:K105)/$L105)*'Model Data Inputs'!$C$86))*$R105</f>
        <v>8941.6129486026148</v>
      </c>
      <c r="W105" s="140">
        <f t="shared" si="24"/>
        <v>40511.444621353156</v>
      </c>
      <c r="X105" s="140">
        <f t="shared" si="17"/>
        <v>93288.852592977855</v>
      </c>
      <c r="Y105" s="140">
        <f t="shared" si="18"/>
        <v>26422.466263120728</v>
      </c>
      <c r="Z105" s="123">
        <f>IF((SUM(X105:Y105))&lt;(AVERAGE('Elementary Size Adjustment'!$B$66,'Secondary Size Adjustment'!$B$66)),(AVERAGE('Elementary Size Adjustment'!$B$66,'Secondary Size Adjustment'!$B$66)),SUM(X105:Y105))</f>
        <v>143474.22151540525</v>
      </c>
      <c r="AA105" s="137">
        <f>'Model Data Inputs'!$B$71*S105*L105</f>
        <v>1456.3404737810768</v>
      </c>
      <c r="AB105" s="137">
        <f>L105*'Model Data Inputs'!$B$72</f>
        <v>73.875</v>
      </c>
      <c r="AC105" s="137">
        <f>L105*'Model Data Inputs'!$B$73</f>
        <v>738.75</v>
      </c>
      <c r="AD105" s="137">
        <f>L105*'Model Data Inputs'!$B$74</f>
        <v>369.375</v>
      </c>
      <c r="AE105" s="137">
        <f>$I105*'Model Data Inputs'!$B$76</f>
        <v>0</v>
      </c>
      <c r="AF105" s="137">
        <f>VLOOKUP($J105,'Student Activities MS&amp;HS Tables'!$M$7:$O$1267,3)</f>
        <v>0</v>
      </c>
      <c r="AG105" s="137">
        <f>VLOOKUP($K105,'Student Activities MS&amp;HS Tables'!$I$7:$K$3007,3)</f>
        <v>4025.38</v>
      </c>
      <c r="AH105" s="137">
        <f t="shared" si="19"/>
        <v>4025.38</v>
      </c>
      <c r="AI105" s="123">
        <f t="shared" si="25"/>
        <v>150137.94198918634</v>
      </c>
      <c r="AJ105" s="123">
        <f>(('Model Data Inputs'!$B$90*(('Model Data Inputs'!$B$87*('School Level Inst. Resources'!I105/'School Level Inst. Resources'!L105))+('Model Data Inputs'!$C$87*(SUM('School Level Inst. Resources'!J105:K105)/'School Level Inst. Resources'!L105))))*T105*M105)</f>
        <v>7688.3321057352687</v>
      </c>
      <c r="AK105" s="123">
        <f>(('Model Data Inputs'!$B$91*(('Model Data Inputs'!$B$87*('School Level Inst. Resources'!I105/'School Level Inst. Resources'!L105))+('Model Data Inputs'!$C$87*(SUM('School Level Inst. Resources'!J105:K105)/'School Level Inst. Resources'!L105))))*T105*N105)</f>
        <v>0</v>
      </c>
      <c r="AL105" s="137">
        <f>(K105*'Model Data Inputs'!$B$94)*T105</f>
        <v>458.5020365835</v>
      </c>
      <c r="AM105" s="137">
        <f>K105*'Model Data Inputs'!$B$95</f>
        <v>123.84353287499999</v>
      </c>
      <c r="AN105" s="137">
        <f t="shared" si="26"/>
        <v>582.34556945849999</v>
      </c>
      <c r="AO105" s="137">
        <f>('School Level Inst. Resources'!K105*'Model Data Inputs'!$B$96)+('School Level Inst. Resources'!J105*'Model Data Inputs'!$B$97)</f>
        <v>295.5</v>
      </c>
      <c r="AP105" s="137">
        <f>$L105*'Model Data Inputs'!$B$100</f>
        <v>118.2</v>
      </c>
      <c r="AQ105" s="137">
        <f t="shared" si="27"/>
        <v>158822.31966438011</v>
      </c>
      <c r="AR105" s="141">
        <f t="shared" si="20"/>
        <v>53746.977889807138</v>
      </c>
    </row>
    <row r="106" spans="1:44" s="40" customFormat="1" ht="12.75" customHeight="1" x14ac:dyDescent="0.2">
      <c r="A106" s="20" t="s">
        <v>42</v>
      </c>
      <c r="B106" s="20" t="s">
        <v>43</v>
      </c>
      <c r="C106" s="20" t="s">
        <v>573</v>
      </c>
      <c r="D106" s="20" t="s">
        <v>574</v>
      </c>
      <c r="E106" s="138" t="s">
        <v>365</v>
      </c>
      <c r="F106" s="138" t="str">
        <f>IF(AND(SUM('School Level ADM'!$F106:$J106)=0,SUM('School Level ADM'!$O106:$R106)=0,'School Level ADM'!$K106&gt;0,'School Level ADM'!$N106&gt;0),"T","F")</f>
        <v>F</v>
      </c>
      <c r="G106" s="138" t="str">
        <f>IF(AND(SUM('School Level ADM'!$M106:$R106)=0,'School Level ADM'!$L106&gt;0),"T","F")</f>
        <v>F</v>
      </c>
      <c r="H106" s="138" t="str">
        <f t="shared" si="14"/>
        <v>E</v>
      </c>
      <c r="I106" s="139">
        <f>IF($F106="T",SUM('School Level ADM'!$F106:$J106),IF($G106="T",SUM('School Level ADM'!$F106:$L106),SUM('School Level ADM'!$F106:$K106,0)))</f>
        <v>314.57233333333329</v>
      </c>
      <c r="J106" s="139">
        <f>'School Level ADM'!$S106-$I106-$K106</f>
        <v>0</v>
      </c>
      <c r="K106" s="139">
        <f>IF(SUM('School Level ADM'!$N106:$R106)='School Level ADM'!$S106,SUM('School Level ADM'!$N106:$R106),IF(OR(SUM('School Level ADM'!$F106:$O106)='School Level ADM'!$S106,SUM('School Level ADM'!$G106:$O106)='School Level ADM'!$S106,SUM('School Level ADM'!$H106:$O106)='School Level ADM'!$S106,SUM('School Level ADM'!$I106:$O106)='School Level ADM'!$S106,SUM('School Level ADM'!$J106:$O106)='School Level ADM'!$S106,SUM('School Level ADM'!$K106:$O106)='School Level ADM'!$S106,SUM('School Level ADM'!$L106:$O106)='School Level ADM'!$S106,SUM('School Level ADM'!$M106:$O106)='School Level ADM'!$S106,SUM('School Level ADM'!$N106:$O106)='School Level ADM'!$S106),0,SUM('School Level ADM'!$O106:$R106)))</f>
        <v>0</v>
      </c>
      <c r="L106" s="139">
        <f t="shared" si="15"/>
        <v>314.57233333333329</v>
      </c>
      <c r="M106" s="24">
        <f>'Student At-Risk and ELL Proxy'!S106</f>
        <v>226.77920000000029</v>
      </c>
      <c r="N106" s="24">
        <f>'Student At-Risk and ELL Proxy'!AH106</f>
        <v>3</v>
      </c>
      <c r="O106" s="136">
        <f t="shared" si="21"/>
        <v>0.97396453268843008</v>
      </c>
      <c r="P106" s="136" t="str">
        <f t="shared" si="22"/>
        <v/>
      </c>
      <c r="Q106" s="136" t="str">
        <f t="shared" si="23"/>
        <v/>
      </c>
      <c r="R106" s="136">
        <f t="shared" si="16"/>
        <v>0.97396453268843008</v>
      </c>
      <c r="S106" s="136">
        <f>IF(SUM(3515.4*((VLOOKUP($A106,'District Level ADM'!$A$4:$F$52,6,FALSE))^-0.327)/'Model Data Inputs'!$B$71)&lt;1,1,(3515.4*((VLOOKUP($A106,'District Level ADM'!$A$4:$F$52,6,FALSE))^-0.327)/'Model Data Inputs'!$B$71))</f>
        <v>2.263181352851471</v>
      </c>
      <c r="T106" s="136">
        <f>VLOOKUP($A106,'Regional Cost Adjustment'!$A$4:$C$52,3,FALSE)</f>
        <v>0.94</v>
      </c>
      <c r="U106" s="123">
        <f>((($I106/$L106)*'Model Data Inputs'!$B$85)+((SUM(J106:K106)/$L106)*'Model Data Inputs'!$C$85))*$R106*$T106</f>
        <v>5829.6963010673453</v>
      </c>
      <c r="V106" s="140">
        <f>((($I106/$L106)*'Model Data Inputs'!$B$86)+((SUM(J106:K106)/$L106)*'Model Data Inputs'!$C$86))*$R106</f>
        <v>1648.5564656115482</v>
      </c>
      <c r="W106" s="140">
        <f t="shared" si="24"/>
        <v>7478.2527666788937</v>
      </c>
      <c r="X106" s="140">
        <f t="shared" si="17"/>
        <v>1833861.168051457</v>
      </c>
      <c r="Y106" s="140">
        <f t="shared" si="18"/>
        <v>518590.25401917775</v>
      </c>
      <c r="Z106" s="123">
        <f>IF((SUM(X106:Y106))&lt;(AVERAGE('Elementary Size Adjustment'!$B$66,'Secondary Size Adjustment'!$B$66)),(AVERAGE('Elementary Size Adjustment'!$B$66,'Secondary Size Adjustment'!$B$66)),SUM(X106:Y106))</f>
        <v>2352451.4220706346</v>
      </c>
      <c r="AA106" s="137">
        <f>'Model Data Inputs'!$B$71*S106*L106</f>
        <v>135267.50539536568</v>
      </c>
      <c r="AB106" s="137">
        <f>L106*'Model Data Inputs'!$B$72</f>
        <v>7864.3083333333325</v>
      </c>
      <c r="AC106" s="137">
        <f>L106*'Model Data Inputs'!$B$73</f>
        <v>78643.083333333328</v>
      </c>
      <c r="AD106" s="137">
        <f>L106*'Model Data Inputs'!$B$74</f>
        <v>39321.541666666664</v>
      </c>
      <c r="AE106" s="137">
        <f>$I106*'Model Data Inputs'!$B$76</f>
        <v>7483.6758099999988</v>
      </c>
      <c r="AF106" s="137">
        <f>VLOOKUP($J106,'Student Activities MS&amp;HS Tables'!$M$7:$O$1267,3)</f>
        <v>0</v>
      </c>
      <c r="AG106" s="137">
        <f>VLOOKUP($K106,'Student Activities MS&amp;HS Tables'!$I$7:$K$3007,3)</f>
        <v>0</v>
      </c>
      <c r="AH106" s="137">
        <f t="shared" si="19"/>
        <v>7483.6758099999988</v>
      </c>
      <c r="AI106" s="123">
        <f t="shared" si="25"/>
        <v>2621031.5366093335</v>
      </c>
      <c r="AJ106" s="123">
        <f>(('Model Data Inputs'!$B$90*(('Model Data Inputs'!$B$87*('School Level Inst. Resources'!I106/'School Level Inst. Resources'!L106))+('Model Data Inputs'!$C$87*(SUM('School Level Inst. Resources'!J106:K106)/'School Level Inst. Resources'!L106))))*T106*M106)</f>
        <v>515464.56508647819</v>
      </c>
      <c r="AK106" s="123">
        <f>(('Model Data Inputs'!$B$91*(('Model Data Inputs'!$B$87*('School Level Inst. Resources'!I106/'School Level Inst. Resources'!L106))+('Model Data Inputs'!$C$87*(SUM('School Level Inst. Resources'!J106:K106)/'School Level Inst. Resources'!L106))))*T106*N106)</f>
        <v>6818.9397231290732</v>
      </c>
      <c r="AL106" s="137">
        <f>(K106*'Model Data Inputs'!$B$94)*T106</f>
        <v>0</v>
      </c>
      <c r="AM106" s="137">
        <f>K106*'Model Data Inputs'!$B$95</f>
        <v>0</v>
      </c>
      <c r="AN106" s="137">
        <f t="shared" si="26"/>
        <v>0</v>
      </c>
      <c r="AO106" s="137">
        <f>('School Level Inst. Resources'!K106*'Model Data Inputs'!$B$96)+('School Level Inst. Resources'!J106*'Model Data Inputs'!$B$97)</f>
        <v>0</v>
      </c>
      <c r="AP106" s="137">
        <f>$L106*'Model Data Inputs'!$B$100</f>
        <v>12582.893333333332</v>
      </c>
      <c r="AQ106" s="137">
        <f t="shared" si="27"/>
        <v>3155897.9347522743</v>
      </c>
      <c r="AR106" s="141">
        <f t="shared" si="20"/>
        <v>10032.344234825508</v>
      </c>
    </row>
    <row r="107" spans="1:44" s="40" customFormat="1" ht="12.75" customHeight="1" x14ac:dyDescent="0.2">
      <c r="A107" s="20" t="s">
        <v>42</v>
      </c>
      <c r="B107" s="20" t="s">
        <v>43</v>
      </c>
      <c r="C107" s="20" t="s">
        <v>575</v>
      </c>
      <c r="D107" s="20" t="s">
        <v>576</v>
      </c>
      <c r="E107" s="138" t="s">
        <v>383</v>
      </c>
      <c r="F107" s="138" t="str">
        <f>IF(AND(SUM('School Level ADM'!$F107:$J107)=0,SUM('School Level ADM'!$O107:$R107)=0,'School Level ADM'!$K107&gt;0,'School Level ADM'!$N107&gt;0),"T","F")</f>
        <v>F</v>
      </c>
      <c r="G107" s="138" t="str">
        <f>IF(AND(SUM('School Level ADM'!$M107:$R107)=0,'School Level ADM'!$L107&gt;0),"T","F")</f>
        <v>F</v>
      </c>
      <c r="H107" s="138" t="str">
        <f t="shared" si="14"/>
        <v>M</v>
      </c>
      <c r="I107" s="139">
        <f>IF($F107="T",SUM('School Level ADM'!$F107:$J107),IF($G107="T",SUM('School Level ADM'!$F107:$L107),SUM('School Level ADM'!$F107:$K107,0)))</f>
        <v>0</v>
      </c>
      <c r="J107" s="139">
        <f>'School Level ADM'!$S107-$I107-$K107</f>
        <v>150.33266666666665</v>
      </c>
      <c r="K107" s="139">
        <f>IF(SUM('School Level ADM'!$N107:$R107)='School Level ADM'!$S107,SUM('School Level ADM'!$N107:$R107),IF(OR(SUM('School Level ADM'!$F107:$O107)='School Level ADM'!$S107,SUM('School Level ADM'!$G107:$O107)='School Level ADM'!$S107,SUM('School Level ADM'!$H107:$O107)='School Level ADM'!$S107,SUM('School Level ADM'!$I107:$O107)='School Level ADM'!$S107,SUM('School Level ADM'!$J107:$O107)='School Level ADM'!$S107,SUM('School Level ADM'!$K107:$O107)='School Level ADM'!$S107,SUM('School Level ADM'!$L107:$O107)='School Level ADM'!$S107,SUM('School Level ADM'!$M107:$O107)='School Level ADM'!$S107,SUM('School Level ADM'!$N107:$O107)='School Level ADM'!$S107),0,SUM('School Level ADM'!$O107:$R107)))</f>
        <v>0</v>
      </c>
      <c r="L107" s="139">
        <f t="shared" si="15"/>
        <v>150.33266666666665</v>
      </c>
      <c r="M107" s="24">
        <f>'Student At-Risk and ELL Proxy'!S107</f>
        <v>110.63580000000013</v>
      </c>
      <c r="N107" s="24">
        <f>'Student At-Risk and ELL Proxy'!AH107</f>
        <v>9</v>
      </c>
      <c r="O107" s="136" t="str">
        <f t="shared" si="21"/>
        <v/>
      </c>
      <c r="P107" s="136">
        <f t="shared" si="22"/>
        <v>1.5709304738173209</v>
      </c>
      <c r="Q107" s="136" t="str">
        <f t="shared" si="23"/>
        <v/>
      </c>
      <c r="R107" s="136">
        <f t="shared" si="16"/>
        <v>1.5709304738173209</v>
      </c>
      <c r="S107" s="136">
        <f>IF(SUM(3515.4*((VLOOKUP($A107,'District Level ADM'!$A$4:$F$52,6,FALSE))^-0.327)/'Model Data Inputs'!$B$71)&lt;1,1,(3515.4*((VLOOKUP($A107,'District Level ADM'!$A$4:$F$52,6,FALSE))^-0.327)/'Model Data Inputs'!$B$71))</f>
        <v>2.263181352851471</v>
      </c>
      <c r="T107" s="136">
        <f>VLOOKUP($A107,'Regional Cost Adjustment'!$A$4:$C$52,3,FALSE)</f>
        <v>0.94</v>
      </c>
      <c r="U107" s="123">
        <f>((($I107/$L107)*'Model Data Inputs'!$B$85)+((SUM(J107:K107)/$L107)*'Model Data Inputs'!$C$85))*$R107*$T107</f>
        <v>7948.6287605114157</v>
      </c>
      <c r="V107" s="140">
        <f>((($I107/$L107)*'Model Data Inputs'!$B$86)+((SUM(J107:K107)/$L107)*'Model Data Inputs'!$C$86))*$R107</f>
        <v>2251.3126641080912</v>
      </c>
      <c r="W107" s="140">
        <f t="shared" si="24"/>
        <v>10199.941424619507</v>
      </c>
      <c r="X107" s="140">
        <f t="shared" si="17"/>
        <v>1194938.5579110424</v>
      </c>
      <c r="Y107" s="140">
        <f t="shared" si="18"/>
        <v>338445.83629580692</v>
      </c>
      <c r="Z107" s="123">
        <f>IF((SUM(X107:Y107))&lt;(AVERAGE('Elementary Size Adjustment'!$B$66,'Secondary Size Adjustment'!$B$66)),(AVERAGE('Elementary Size Adjustment'!$B$66,'Secondary Size Adjustment'!$B$66)),SUM(X107:Y107))</f>
        <v>1533384.3942068494</v>
      </c>
      <c r="AA107" s="137">
        <f>'Model Data Inputs'!$B$71*S107*L107</f>
        <v>64643.716705642822</v>
      </c>
      <c r="AB107" s="137">
        <f>L107*'Model Data Inputs'!$B$72</f>
        <v>3758.3166666666662</v>
      </c>
      <c r="AC107" s="137">
        <f>L107*'Model Data Inputs'!$B$73</f>
        <v>37583.166666666664</v>
      </c>
      <c r="AD107" s="137">
        <f>L107*'Model Data Inputs'!$B$74</f>
        <v>18791.583333333332</v>
      </c>
      <c r="AE107" s="137">
        <f>$I107*'Model Data Inputs'!$B$76</f>
        <v>0</v>
      </c>
      <c r="AF107" s="137">
        <f>VLOOKUP($J107,'Student Activities MS&amp;HS Tables'!$M$7:$O$1267,3)</f>
        <v>69573</v>
      </c>
      <c r="AG107" s="137">
        <f>VLOOKUP($K107,'Student Activities MS&amp;HS Tables'!$I$7:$K$3007,3)</f>
        <v>0</v>
      </c>
      <c r="AH107" s="137">
        <f t="shared" si="19"/>
        <v>69573</v>
      </c>
      <c r="AI107" s="123">
        <f t="shared" si="25"/>
        <v>1727734.1775791589</v>
      </c>
      <c r="AJ107" s="123">
        <f>(('Model Data Inputs'!$B$90*(('Model Data Inputs'!$B$87*('School Level Inst. Resources'!I107/'School Level Inst. Resources'!L107))+('Model Data Inputs'!$C$87*(SUM('School Level Inst. Resources'!J107:K107)/'School Level Inst. Resources'!L107))))*T107*M107)</f>
        <v>212651.19329592676</v>
      </c>
      <c r="AK107" s="123">
        <f>(('Model Data Inputs'!$B$91*(('Model Data Inputs'!$B$87*('School Level Inst. Resources'!I107/'School Level Inst. Resources'!L107))+('Model Data Inputs'!$C$87*(SUM('School Level Inst. Resources'!J107:K107)/'School Level Inst. Resources'!L107))))*T107*N107)</f>
        <v>17298.747237904354</v>
      </c>
      <c r="AL107" s="137">
        <f>(K107*'Model Data Inputs'!$B$94)*T107</f>
        <v>0</v>
      </c>
      <c r="AM107" s="137">
        <f>K107*'Model Data Inputs'!$B$95</f>
        <v>0</v>
      </c>
      <c r="AN107" s="137">
        <f t="shared" si="26"/>
        <v>0</v>
      </c>
      <c r="AO107" s="137">
        <f>('School Level Inst. Resources'!K107*'Model Data Inputs'!$B$96)+('School Level Inst. Resources'!J107*'Model Data Inputs'!$B$97)</f>
        <v>3758.3166666666662</v>
      </c>
      <c r="AP107" s="137">
        <f>$L107*'Model Data Inputs'!$B$100</f>
        <v>6013.3066666666664</v>
      </c>
      <c r="AQ107" s="137">
        <f t="shared" si="27"/>
        <v>1967455.7414463235</v>
      </c>
      <c r="AR107" s="141">
        <f t="shared" si="20"/>
        <v>13087.346782777242</v>
      </c>
    </row>
    <row r="108" spans="1:44" s="40" customFormat="1" ht="12.75" customHeight="1" x14ac:dyDescent="0.2">
      <c r="A108" s="20" t="s">
        <v>42</v>
      </c>
      <c r="B108" s="20" t="s">
        <v>43</v>
      </c>
      <c r="C108" s="20" t="s">
        <v>577</v>
      </c>
      <c r="D108" s="20" t="s">
        <v>578</v>
      </c>
      <c r="E108" s="138" t="s">
        <v>389</v>
      </c>
      <c r="F108" s="138" t="str">
        <f>IF(AND(SUM('School Level ADM'!$F108:$J108)=0,SUM('School Level ADM'!$O108:$R108)=0,'School Level ADM'!$K108&gt;0,'School Level ADM'!$N108&gt;0),"T","F")</f>
        <v>F</v>
      </c>
      <c r="G108" s="138" t="str">
        <f>IF(AND(SUM('School Level ADM'!$M108:$R108)=0,'School Level ADM'!$L108&gt;0),"T","F")</f>
        <v>F</v>
      </c>
      <c r="H108" s="138" t="str">
        <f t="shared" si="14"/>
        <v>H</v>
      </c>
      <c r="I108" s="139">
        <f>IF($F108="T",SUM('School Level ADM'!$F108:$J108),IF($G108="T",SUM('School Level ADM'!$F108:$L108),SUM('School Level ADM'!$F108:$K108,0)))</f>
        <v>0</v>
      </c>
      <c r="J108" s="139">
        <f>'School Level ADM'!$S108-$I108-$K108</f>
        <v>0</v>
      </c>
      <c r="K108" s="139">
        <f>IF(SUM('School Level ADM'!$N108:$R108)='School Level ADM'!$S108,SUM('School Level ADM'!$N108:$R108),IF(OR(SUM('School Level ADM'!$F108:$O108)='School Level ADM'!$S108,SUM('School Level ADM'!$G108:$O108)='School Level ADM'!$S108,SUM('School Level ADM'!$H108:$O108)='School Level ADM'!$S108,SUM('School Level ADM'!$I108:$O108)='School Level ADM'!$S108,SUM('School Level ADM'!$J108:$O108)='School Level ADM'!$S108,SUM('School Level ADM'!$K108:$O108)='School Level ADM'!$S108,SUM('School Level ADM'!$L108:$O108)='School Level ADM'!$S108,SUM('School Level ADM'!$M108:$O108)='School Level ADM'!$S108,SUM('School Level ADM'!$N108:$O108)='School Level ADM'!$S108),0,SUM('School Level ADM'!$O108:$R108)))</f>
        <v>152.43633333333332</v>
      </c>
      <c r="L108" s="139">
        <f t="shared" si="15"/>
        <v>152.43633333333332</v>
      </c>
      <c r="M108" s="24">
        <f>'Student At-Risk and ELL Proxy'!S108</f>
        <v>112.01860000000009</v>
      </c>
      <c r="N108" s="24">
        <f>'Student At-Risk and ELL Proxy'!AH108</f>
        <v>32</v>
      </c>
      <c r="O108" s="136" t="str">
        <f t="shared" si="21"/>
        <v/>
      </c>
      <c r="P108" s="136">
        <f t="shared" si="22"/>
        <v>1.5632866996201564</v>
      </c>
      <c r="Q108" s="136" t="str">
        <f t="shared" si="23"/>
        <v/>
      </c>
      <c r="R108" s="136">
        <f t="shared" si="16"/>
        <v>1.5632866996201564</v>
      </c>
      <c r="S108" s="136">
        <f>IF(SUM(3515.4*((VLOOKUP($A108,'District Level ADM'!$A$4:$F$52,6,FALSE))^-0.327)/'Model Data Inputs'!$B$71)&lt;1,1,(3515.4*((VLOOKUP($A108,'District Level ADM'!$A$4:$F$52,6,FALSE))^-0.327)/'Model Data Inputs'!$B$71))</f>
        <v>2.263181352851471</v>
      </c>
      <c r="T108" s="136">
        <f>VLOOKUP($A108,'Regional Cost Adjustment'!$A$4:$C$52,3,FALSE)</f>
        <v>0.94</v>
      </c>
      <c r="U108" s="123">
        <f>((($I108/$L108)*'Model Data Inputs'!$B$85)+((SUM(J108:K108)/$L108)*'Model Data Inputs'!$C$85))*$R108*$T108</f>
        <v>7909.9526227477909</v>
      </c>
      <c r="V108" s="140">
        <f>((($I108/$L108)*'Model Data Inputs'!$B$86)+((SUM(J108:K108)/$L108)*'Model Data Inputs'!$C$86))*$R108</f>
        <v>2240.3583119337122</v>
      </c>
      <c r="W108" s="140">
        <f t="shared" si="24"/>
        <v>10150.310934681504</v>
      </c>
      <c r="X108" s="140">
        <f t="shared" si="17"/>
        <v>1205764.1746520563</v>
      </c>
      <c r="Y108" s="140">
        <f t="shared" si="18"/>
        <v>341512.00642403134</v>
      </c>
      <c r="Z108" s="123">
        <f>IF((SUM(X108:Y108))&lt;(AVERAGE('Elementary Size Adjustment'!$B$66,'Secondary Size Adjustment'!$B$66)),(AVERAGE('Elementary Size Adjustment'!$B$66,'Secondary Size Adjustment'!$B$66)),SUM(X108:Y108))</f>
        <v>1547276.1810760875</v>
      </c>
      <c r="AA108" s="137">
        <f>'Model Data Inputs'!$B$71*S108*L108</f>
        <v>65548.302748439717</v>
      </c>
      <c r="AB108" s="137">
        <f>L108*'Model Data Inputs'!$B$72</f>
        <v>3810.9083333333328</v>
      </c>
      <c r="AC108" s="137">
        <f>L108*'Model Data Inputs'!$B$73</f>
        <v>38109.083333333328</v>
      </c>
      <c r="AD108" s="137">
        <f>L108*'Model Data Inputs'!$B$74</f>
        <v>19054.541666666664</v>
      </c>
      <c r="AE108" s="137">
        <f>$I108*'Model Data Inputs'!$B$76</f>
        <v>0</v>
      </c>
      <c r="AF108" s="137">
        <f>VLOOKUP($J108,'Student Activities MS&amp;HS Tables'!$M$7:$O$1267,3)</f>
        <v>0</v>
      </c>
      <c r="AG108" s="137">
        <f>VLOOKUP($K108,'Student Activities MS&amp;HS Tables'!$I$7:$K$3007,3)</f>
        <v>214769.92000000001</v>
      </c>
      <c r="AH108" s="137">
        <f t="shared" si="19"/>
        <v>214769.92000000001</v>
      </c>
      <c r="AI108" s="123">
        <f t="shared" si="25"/>
        <v>1888568.9371578607</v>
      </c>
      <c r="AJ108" s="123">
        <f>(('Model Data Inputs'!$B$90*(('Model Data Inputs'!$B$87*('School Level Inst. Resources'!I108/'School Level Inst. Resources'!L108))+('Model Data Inputs'!$C$87*(SUM('School Level Inst. Resources'!J108:K108)/'School Level Inst. Resources'!L108))))*T108*M108)</f>
        <v>215309.04970487938</v>
      </c>
      <c r="AK108" s="123">
        <f>(('Model Data Inputs'!$B$91*(('Model Data Inputs'!$B$87*('School Level Inst. Resources'!I108/'School Level Inst. Resources'!L108))+('Model Data Inputs'!$C$87*(SUM('School Level Inst. Resources'!J108:K108)/'School Level Inst. Resources'!L108))))*T108*N108)</f>
        <v>61506.656845882149</v>
      </c>
      <c r="AL108" s="137">
        <f>(K108*'Model Data Inputs'!$B$94)*T108</f>
        <v>23652.240027971096</v>
      </c>
      <c r="AM108" s="137">
        <f>K108*'Model Data Inputs'!$B$95</f>
        <v>6388.5800536416655</v>
      </c>
      <c r="AN108" s="137">
        <f t="shared" si="26"/>
        <v>30040.820081612761</v>
      </c>
      <c r="AO108" s="137">
        <f>('School Level Inst. Resources'!K108*'Model Data Inputs'!$B$96)+('School Level Inst. Resources'!J108*'Model Data Inputs'!$B$97)</f>
        <v>15243.633333333331</v>
      </c>
      <c r="AP108" s="137">
        <f>$L108*'Model Data Inputs'!$B$100</f>
        <v>6097.4533333333329</v>
      </c>
      <c r="AQ108" s="137">
        <f t="shared" si="27"/>
        <v>2216766.5504569011</v>
      </c>
      <c r="AR108" s="141">
        <f t="shared" si="20"/>
        <v>14542.245290100793</v>
      </c>
    </row>
    <row r="109" spans="1:44" s="40" customFormat="1" ht="12.75" customHeight="1" x14ac:dyDescent="0.2">
      <c r="A109" s="20" t="s">
        <v>44</v>
      </c>
      <c r="B109" s="20" t="s">
        <v>45</v>
      </c>
      <c r="C109" s="20" t="s">
        <v>579</v>
      </c>
      <c r="D109" s="20" t="s">
        <v>580</v>
      </c>
      <c r="E109" s="138" t="s">
        <v>362</v>
      </c>
      <c r="F109" s="138" t="str">
        <f>IF(AND(SUM('School Level ADM'!$F109:$J109)=0,SUM('School Level ADM'!$O109:$R109)=0,'School Level ADM'!$K109&gt;0,'School Level ADM'!$N109&gt;0),"T","F")</f>
        <v>F</v>
      </c>
      <c r="G109" s="138" t="str">
        <f>IF(AND(SUM('School Level ADM'!$M109:$R109)=0,'School Level ADM'!$L109&gt;0),"T","F")</f>
        <v>T</v>
      </c>
      <c r="H109" s="138" t="str">
        <f t="shared" si="14"/>
        <v>E</v>
      </c>
      <c r="I109" s="139">
        <f>IF($F109="T",SUM('School Level ADM'!$F109:$J109),IF($G109="T",SUM('School Level ADM'!$F109:$L109),SUM('School Level ADM'!$F109:$K109,0)))</f>
        <v>305.35000000000002</v>
      </c>
      <c r="J109" s="139">
        <f>'School Level ADM'!$S109-$I109-$K109</f>
        <v>0</v>
      </c>
      <c r="K109" s="139">
        <f>IF(SUM('School Level ADM'!$N109:$R109)='School Level ADM'!$S109,SUM('School Level ADM'!$N109:$R109),IF(OR(SUM('School Level ADM'!$F109:$O109)='School Level ADM'!$S109,SUM('School Level ADM'!$G109:$O109)='School Level ADM'!$S109,SUM('School Level ADM'!$H109:$O109)='School Level ADM'!$S109,SUM('School Level ADM'!$I109:$O109)='School Level ADM'!$S109,SUM('School Level ADM'!$J109:$O109)='School Level ADM'!$S109,SUM('School Level ADM'!$K109:$O109)='School Level ADM'!$S109,SUM('School Level ADM'!$L109:$O109)='School Level ADM'!$S109,SUM('School Level ADM'!$M109:$O109)='School Level ADM'!$S109,SUM('School Level ADM'!$N109:$O109)='School Level ADM'!$S109),0,SUM('School Level ADM'!$O109:$R109)))</f>
        <v>0</v>
      </c>
      <c r="L109" s="139">
        <f t="shared" si="15"/>
        <v>305.35000000000002</v>
      </c>
      <c r="M109" s="24">
        <f>'Student At-Risk and ELL Proxy'!S109</f>
        <v>267.72939999999994</v>
      </c>
      <c r="N109" s="24">
        <f>'Student At-Risk and ELL Proxy'!AH109</f>
        <v>3</v>
      </c>
      <c r="O109" s="136">
        <f t="shared" si="21"/>
        <v>0.98556741585762864</v>
      </c>
      <c r="P109" s="136" t="str">
        <f t="shared" si="22"/>
        <v/>
      </c>
      <c r="Q109" s="136" t="str">
        <f t="shared" si="23"/>
        <v/>
      </c>
      <c r="R109" s="136">
        <f t="shared" si="16"/>
        <v>0.98556741585762864</v>
      </c>
      <c r="S109" s="136">
        <f>IF(SUM(3515.4*((VLOOKUP($A109,'District Level ADM'!$A$4:$F$52,6,FALSE))^-0.327)/'Model Data Inputs'!$B$71)&lt;1,1,(3515.4*((VLOOKUP($A109,'District Level ADM'!$A$4:$F$52,6,FALSE))^-0.327)/'Model Data Inputs'!$B$71))</f>
        <v>2.4287970091531883</v>
      </c>
      <c r="T109" s="136">
        <f>VLOOKUP($A109,'Regional Cost Adjustment'!$A$4:$C$52,3,FALSE)</f>
        <v>0.94</v>
      </c>
      <c r="U109" s="123">
        <f>((($I109/$L109)*'Model Data Inputs'!$B$85)+((SUM(J109:K109)/$L109)*'Model Data Inputs'!$C$85))*$R109*$T109</f>
        <v>5899.1457346175421</v>
      </c>
      <c r="V109" s="140">
        <f>((($I109/$L109)*'Model Data Inputs'!$B$86)+((SUM(J109:K109)/$L109)*'Model Data Inputs'!$C$86))*$R109</f>
        <v>1668.1957927393223</v>
      </c>
      <c r="W109" s="140">
        <f t="shared" si="24"/>
        <v>7567.3415273568644</v>
      </c>
      <c r="X109" s="140">
        <f t="shared" si="17"/>
        <v>1801304.1500654665</v>
      </c>
      <c r="Y109" s="140">
        <f t="shared" si="18"/>
        <v>509383.58531295211</v>
      </c>
      <c r="Z109" s="123">
        <f>IF((SUM(X109:Y109))&lt;(AVERAGE('Elementary Size Adjustment'!$B$66,'Secondary Size Adjustment'!$B$66)),(AVERAGE('Elementary Size Adjustment'!$B$66,'Secondary Size Adjustment'!$B$66)),SUM(X109:Y109))</f>
        <v>2310687.7353784186</v>
      </c>
      <c r="AA109" s="137">
        <f>'Model Data Inputs'!$B$71*S109*L109</f>
        <v>140910.30168153596</v>
      </c>
      <c r="AB109" s="137">
        <f>L109*'Model Data Inputs'!$B$72</f>
        <v>7633.7500000000009</v>
      </c>
      <c r="AC109" s="137">
        <f>L109*'Model Data Inputs'!$B$73</f>
        <v>76337.5</v>
      </c>
      <c r="AD109" s="137">
        <f>L109*'Model Data Inputs'!$B$74</f>
        <v>38168.75</v>
      </c>
      <c r="AE109" s="137">
        <f>$I109*'Model Data Inputs'!$B$76</f>
        <v>7264.2764999999999</v>
      </c>
      <c r="AF109" s="137">
        <f>VLOOKUP($J109,'Student Activities MS&amp;HS Tables'!$M$7:$O$1267,3)</f>
        <v>0</v>
      </c>
      <c r="AG109" s="137">
        <f>VLOOKUP($K109,'Student Activities MS&amp;HS Tables'!$I$7:$K$3007,3)</f>
        <v>0</v>
      </c>
      <c r="AH109" s="137">
        <f t="shared" si="19"/>
        <v>7264.2764999999999</v>
      </c>
      <c r="AI109" s="123">
        <f t="shared" si="25"/>
        <v>2581002.3135599545</v>
      </c>
      <c r="AJ109" s="123">
        <f>(('Model Data Inputs'!$B$90*(('Model Data Inputs'!$B$87*('School Level Inst. Resources'!I109/'School Level Inst. Resources'!L109))+('Model Data Inputs'!$C$87*(SUM('School Level Inst. Resources'!J109:K109)/'School Level Inst. Resources'!L109))))*T109*M109)</f>
        <v>608543.54690317076</v>
      </c>
      <c r="AK109" s="123">
        <f>(('Model Data Inputs'!$B$91*(('Model Data Inputs'!$B$87*('School Level Inst. Resources'!I109/'School Level Inst. Resources'!L109))+('Model Data Inputs'!$C$87*(SUM('School Level Inst. Resources'!J109:K109)/'School Level Inst. Resources'!L109))))*T109*N109)</f>
        <v>6818.9397231290732</v>
      </c>
      <c r="AL109" s="137">
        <f>(K109*'Model Data Inputs'!$B$94)*T109</f>
        <v>0</v>
      </c>
      <c r="AM109" s="137">
        <f>K109*'Model Data Inputs'!$B$95</f>
        <v>0</v>
      </c>
      <c r="AN109" s="137">
        <f t="shared" si="26"/>
        <v>0</v>
      </c>
      <c r="AO109" s="137">
        <f>('School Level Inst. Resources'!K109*'Model Data Inputs'!$B$96)+('School Level Inst. Resources'!J109*'Model Data Inputs'!$B$97)</f>
        <v>0</v>
      </c>
      <c r="AP109" s="137">
        <f>$L109*'Model Data Inputs'!$B$100</f>
        <v>12214</v>
      </c>
      <c r="AQ109" s="137">
        <f t="shared" si="27"/>
        <v>3208578.8001862541</v>
      </c>
      <c r="AR109" s="141">
        <f t="shared" si="20"/>
        <v>10507.872278324066</v>
      </c>
    </row>
    <row r="110" spans="1:44" s="40" customFormat="1" ht="12.75" customHeight="1" x14ac:dyDescent="0.2">
      <c r="A110" s="20" t="s">
        <v>44</v>
      </c>
      <c r="B110" s="20" t="s">
        <v>45</v>
      </c>
      <c r="C110" s="20" t="s">
        <v>581</v>
      </c>
      <c r="D110" s="20" t="s">
        <v>582</v>
      </c>
      <c r="E110" s="138" t="s">
        <v>386</v>
      </c>
      <c r="F110" s="138" t="str">
        <f>IF(AND(SUM('School Level ADM'!$F110:$J110)=0,SUM('School Level ADM'!$O110:$R110)=0,'School Level ADM'!$K110&gt;0,'School Level ADM'!$N110&gt;0),"T","F")</f>
        <v>F</v>
      </c>
      <c r="G110" s="138" t="str">
        <f>IF(AND(SUM('School Level ADM'!$M110:$R110)=0,'School Level ADM'!$L110&gt;0),"T","F")</f>
        <v>F</v>
      </c>
      <c r="H110" s="138" t="str">
        <f t="shared" si="14"/>
        <v>M</v>
      </c>
      <c r="I110" s="139">
        <f>IF($F110="T",SUM('School Level ADM'!$F110:$J110),IF($G110="T",SUM('School Level ADM'!$F110:$L110),SUM('School Level ADM'!$F110:$K110,0)))</f>
        <v>0</v>
      </c>
      <c r="J110" s="139">
        <f>'School Level ADM'!$S110-$I110-$K110</f>
        <v>102.44</v>
      </c>
      <c r="K110" s="139">
        <f>IF(SUM('School Level ADM'!$N110:$R110)='School Level ADM'!$S110,SUM('School Level ADM'!$N110:$R110),IF(OR(SUM('School Level ADM'!$F110:$O110)='School Level ADM'!$S110,SUM('School Level ADM'!$G110:$O110)='School Level ADM'!$S110,SUM('School Level ADM'!$H110:$O110)='School Level ADM'!$S110,SUM('School Level ADM'!$I110:$O110)='School Level ADM'!$S110,SUM('School Level ADM'!$J110:$O110)='School Level ADM'!$S110,SUM('School Level ADM'!$K110:$O110)='School Level ADM'!$S110,SUM('School Level ADM'!$L110:$O110)='School Level ADM'!$S110,SUM('School Level ADM'!$M110:$O110)='School Level ADM'!$S110,SUM('School Level ADM'!$N110:$O110)='School Level ADM'!$S110),0,SUM('School Level ADM'!$O110:$R110)))</f>
        <v>0</v>
      </c>
      <c r="L110" s="139">
        <f t="shared" si="15"/>
        <v>102.44</v>
      </c>
      <c r="M110" s="24">
        <f>'Student At-Risk and ELL Proxy'!S110</f>
        <v>90.886800000000036</v>
      </c>
      <c r="N110" s="24">
        <f>'Student At-Risk and ELL Proxy'!AH110</f>
        <v>3</v>
      </c>
      <c r="O110" s="136" t="str">
        <f t="shared" si="21"/>
        <v/>
      </c>
      <c r="P110" s="136">
        <f t="shared" si="22"/>
        <v>1.7973302148174415</v>
      </c>
      <c r="Q110" s="136" t="str">
        <f t="shared" si="23"/>
        <v/>
      </c>
      <c r="R110" s="136">
        <f t="shared" si="16"/>
        <v>1.7973302148174415</v>
      </c>
      <c r="S110" s="136">
        <f>IF(SUM(3515.4*((VLOOKUP($A110,'District Level ADM'!$A$4:$F$52,6,FALSE))^-0.327)/'Model Data Inputs'!$B$71)&lt;1,1,(3515.4*((VLOOKUP($A110,'District Level ADM'!$A$4:$F$52,6,FALSE))^-0.327)/'Model Data Inputs'!$B$71))</f>
        <v>2.4287970091531883</v>
      </c>
      <c r="T110" s="136">
        <f>VLOOKUP($A110,'Regional Cost Adjustment'!$A$4:$C$52,3,FALSE)</f>
        <v>0.94</v>
      </c>
      <c r="U110" s="123">
        <f>((($I110/$L110)*'Model Data Inputs'!$B$85)+((SUM(J110:K110)/$L110)*'Model Data Inputs'!$C$85))*$R110*$T110</f>
        <v>9094.1711780017267</v>
      </c>
      <c r="V110" s="140">
        <f>((($I110/$L110)*'Model Data Inputs'!$B$86)+((SUM(J110:K110)/$L110)*'Model Data Inputs'!$C$86))*$R110</f>
        <v>2575.7678914777748</v>
      </c>
      <c r="W110" s="140">
        <f t="shared" si="24"/>
        <v>11669.939069479502</v>
      </c>
      <c r="X110" s="140">
        <f t="shared" si="17"/>
        <v>931606.89547449688</v>
      </c>
      <c r="Y110" s="140">
        <f t="shared" si="18"/>
        <v>263861.66280298325</v>
      </c>
      <c r="Z110" s="123">
        <f>IF((SUM(X110:Y110))&lt;(AVERAGE('Elementary Size Adjustment'!$B$66,'Secondary Size Adjustment'!$B$66)),(AVERAGE('Elementary Size Adjustment'!$B$66,'Secondary Size Adjustment'!$B$66)),SUM(X110:Y110))</f>
        <v>1195468.5582774801</v>
      </c>
      <c r="AA110" s="137">
        <f>'Model Data Inputs'!$B$71*S110*L110</f>
        <v>47273.13346735399</v>
      </c>
      <c r="AB110" s="137">
        <f>L110*'Model Data Inputs'!$B$72</f>
        <v>2561</v>
      </c>
      <c r="AC110" s="137">
        <f>L110*'Model Data Inputs'!$B$73</f>
        <v>25610</v>
      </c>
      <c r="AD110" s="137">
        <f>L110*'Model Data Inputs'!$B$74</f>
        <v>12805</v>
      </c>
      <c r="AE110" s="137">
        <f>$I110*'Model Data Inputs'!$B$76</f>
        <v>0</v>
      </c>
      <c r="AF110" s="137">
        <f>VLOOKUP($J110,'Student Activities MS&amp;HS Tables'!$M$7:$O$1267,3)</f>
        <v>55315.619999999995</v>
      </c>
      <c r="AG110" s="137">
        <f>VLOOKUP($K110,'Student Activities MS&amp;HS Tables'!$I$7:$K$3007,3)</f>
        <v>0</v>
      </c>
      <c r="AH110" s="137">
        <f t="shared" si="19"/>
        <v>55315.619999999995</v>
      </c>
      <c r="AI110" s="123">
        <f t="shared" si="25"/>
        <v>1339033.3117448338</v>
      </c>
      <c r="AJ110" s="123">
        <f>(('Model Data Inputs'!$B$90*(('Model Data Inputs'!$B$87*('School Level Inst. Resources'!I110/'School Level Inst. Resources'!L110))+('Model Data Inputs'!$C$87*(SUM('School Level Inst. Resources'!J110:K110)/'School Level Inst. Resources'!L110))))*T110*M110)</f>
        <v>174691.97560688513</v>
      </c>
      <c r="AK110" s="123">
        <f>(('Model Data Inputs'!$B$91*(('Model Data Inputs'!$B$87*('School Level Inst. Resources'!I110/'School Level Inst. Resources'!L110))+('Model Data Inputs'!$C$87*(SUM('School Level Inst. Resources'!J110:K110)/'School Level Inst. Resources'!L110))))*T110*N110)</f>
        <v>5766.2490793014513</v>
      </c>
      <c r="AL110" s="137">
        <f>(K110*'Model Data Inputs'!$B$94)*T110</f>
        <v>0</v>
      </c>
      <c r="AM110" s="137">
        <f>K110*'Model Data Inputs'!$B$95</f>
        <v>0</v>
      </c>
      <c r="AN110" s="137">
        <f t="shared" si="26"/>
        <v>0</v>
      </c>
      <c r="AO110" s="137">
        <f>('School Level Inst. Resources'!K110*'Model Data Inputs'!$B$96)+('School Level Inst. Resources'!J110*'Model Data Inputs'!$B$97)</f>
        <v>2561</v>
      </c>
      <c r="AP110" s="137">
        <f>$L110*'Model Data Inputs'!$B$100</f>
        <v>4097.6000000000004</v>
      </c>
      <c r="AQ110" s="137">
        <f t="shared" si="27"/>
        <v>1526150.1364310205</v>
      </c>
      <c r="AR110" s="141">
        <f t="shared" si="20"/>
        <v>14897.990398584738</v>
      </c>
    </row>
    <row r="111" spans="1:44" s="40" customFormat="1" ht="12.75" customHeight="1" x14ac:dyDescent="0.2">
      <c r="A111" s="20" t="s">
        <v>44</v>
      </c>
      <c r="B111" s="20" t="s">
        <v>45</v>
      </c>
      <c r="C111" s="20" t="s">
        <v>583</v>
      </c>
      <c r="D111" s="20" t="s">
        <v>584</v>
      </c>
      <c r="E111" s="138" t="s">
        <v>389</v>
      </c>
      <c r="F111" s="138" t="str">
        <f>IF(AND(SUM('School Level ADM'!$F111:$J111)=0,SUM('School Level ADM'!$O111:$R111)=0,'School Level ADM'!$K111&gt;0,'School Level ADM'!$N111&gt;0),"T","F")</f>
        <v>F</v>
      </c>
      <c r="G111" s="138" t="str">
        <f>IF(AND(SUM('School Level ADM'!$M111:$R111)=0,'School Level ADM'!$L111&gt;0),"T","F")</f>
        <v>F</v>
      </c>
      <c r="H111" s="138" t="str">
        <f t="shared" si="14"/>
        <v>H</v>
      </c>
      <c r="I111" s="139">
        <f>IF($F111="T",SUM('School Level ADM'!$F111:$J111),IF($G111="T",SUM('School Level ADM'!$F111:$L111),SUM('School Level ADM'!$F111:$K111,0)))</f>
        <v>0</v>
      </c>
      <c r="J111" s="139">
        <f>'School Level ADM'!$S111-$I111-$K111</f>
        <v>0</v>
      </c>
      <c r="K111" s="139">
        <f>IF(SUM('School Level ADM'!$N111:$R111)='School Level ADM'!$S111,SUM('School Level ADM'!$N111:$R111),IF(OR(SUM('School Level ADM'!$F111:$O111)='School Level ADM'!$S111,SUM('School Level ADM'!$G111:$O111)='School Level ADM'!$S111,SUM('School Level ADM'!$H111:$O111)='School Level ADM'!$S111,SUM('School Level ADM'!$I111:$O111)='School Level ADM'!$S111,SUM('School Level ADM'!$J111:$O111)='School Level ADM'!$S111,SUM('School Level ADM'!$K111:$O111)='School Level ADM'!$S111,SUM('School Level ADM'!$L111:$O111)='School Level ADM'!$S111,SUM('School Level ADM'!$M111:$O111)='School Level ADM'!$S111,SUM('School Level ADM'!$N111:$O111)='School Level ADM'!$S111),0,SUM('School Level ADM'!$O111:$R111)))</f>
        <v>89.635000000000005</v>
      </c>
      <c r="L111" s="139">
        <f t="shared" si="15"/>
        <v>89.635000000000005</v>
      </c>
      <c r="M111" s="24">
        <f>'Student At-Risk and ELL Proxy'!S111</f>
        <v>53.216799999999999</v>
      </c>
      <c r="N111" s="24">
        <f>'Student At-Risk and ELL Proxy'!AH111</f>
        <v>2</v>
      </c>
      <c r="O111" s="136" t="str">
        <f t="shared" si="21"/>
        <v/>
      </c>
      <c r="P111" s="136">
        <f t="shared" si="22"/>
        <v>1.8835755685197093</v>
      </c>
      <c r="Q111" s="136" t="str">
        <f t="shared" si="23"/>
        <v/>
      </c>
      <c r="R111" s="136">
        <f t="shared" si="16"/>
        <v>1.8835755685197093</v>
      </c>
      <c r="S111" s="136">
        <f>IF(SUM(3515.4*((VLOOKUP($A111,'District Level ADM'!$A$4:$F$52,6,FALSE))^-0.327)/'Model Data Inputs'!$B$71)&lt;1,1,(3515.4*((VLOOKUP($A111,'District Level ADM'!$A$4:$F$52,6,FALSE))^-0.327)/'Model Data Inputs'!$B$71))</f>
        <v>2.4287970091531883</v>
      </c>
      <c r="T111" s="136">
        <f>VLOOKUP($A111,'Regional Cost Adjustment'!$A$4:$C$52,3,FALSE)</f>
        <v>0.94</v>
      </c>
      <c r="U111" s="123">
        <f>((($I111/$L111)*'Model Data Inputs'!$B$85)+((SUM(J111:K111)/$L111)*'Model Data Inputs'!$C$85))*$R111*$T111</f>
        <v>9530.5573264176401</v>
      </c>
      <c r="V111" s="140">
        <f>((($I111/$L111)*'Model Data Inputs'!$B$86)+((SUM(J111:K111)/$L111)*'Model Data Inputs'!$C$86))*$R111</f>
        <v>2699.3667777725836</v>
      </c>
      <c r="W111" s="140">
        <f t="shared" si="24"/>
        <v>12229.924104190224</v>
      </c>
      <c r="X111" s="140">
        <f t="shared" si="17"/>
        <v>854271.50595344522</v>
      </c>
      <c r="Y111" s="140">
        <f t="shared" si="18"/>
        <v>241957.74112564555</v>
      </c>
      <c r="Z111" s="123">
        <f>IF((SUM(X111:Y111))&lt;(AVERAGE('Elementary Size Adjustment'!$B$66,'Secondary Size Adjustment'!$B$66)),(AVERAGE('Elementary Size Adjustment'!$B$66,'Secondary Size Adjustment'!$B$66)),SUM(X111:Y111))</f>
        <v>1096229.2470790907</v>
      </c>
      <c r="AA111" s="137">
        <f>'Model Data Inputs'!$B$71*S111*L111</f>
        <v>41363.991783934747</v>
      </c>
      <c r="AB111" s="137">
        <f>L111*'Model Data Inputs'!$B$72</f>
        <v>2240.875</v>
      </c>
      <c r="AC111" s="137">
        <f>L111*'Model Data Inputs'!$B$73</f>
        <v>22408.75</v>
      </c>
      <c r="AD111" s="137">
        <f>L111*'Model Data Inputs'!$B$74</f>
        <v>11204.375</v>
      </c>
      <c r="AE111" s="137">
        <f>$I111*'Model Data Inputs'!$B$76</f>
        <v>0</v>
      </c>
      <c r="AF111" s="137">
        <f>VLOOKUP($J111,'Student Activities MS&amp;HS Tables'!$M$7:$O$1267,3)</f>
        <v>0</v>
      </c>
      <c r="AG111" s="137">
        <f>VLOOKUP($K111,'Student Activities MS&amp;HS Tables'!$I$7:$K$3007,3)</f>
        <v>144050.06</v>
      </c>
      <c r="AH111" s="137">
        <f t="shared" si="19"/>
        <v>144050.06</v>
      </c>
      <c r="AI111" s="123">
        <f t="shared" si="25"/>
        <v>1317497.2988630254</v>
      </c>
      <c r="AJ111" s="123">
        <f>(('Model Data Inputs'!$B$90*(('Model Data Inputs'!$B$87*('School Level Inst. Resources'!I111/'School Level Inst. Resources'!L111))+('Model Data Inputs'!$C$87*(SUM('School Level Inst. Resources'!J111:K111)/'School Level Inst. Resources'!L111))))*T111*M111)</f>
        <v>102287.10800112315</v>
      </c>
      <c r="AK111" s="123">
        <f>(('Model Data Inputs'!$B$91*(('Model Data Inputs'!$B$87*('School Level Inst. Resources'!I111/'School Level Inst. Resources'!L111))+('Model Data Inputs'!$C$87*(SUM('School Level Inst. Resources'!J111:K111)/'School Level Inst. Resources'!L111))))*T111*N111)</f>
        <v>3844.1660528676343</v>
      </c>
      <c r="AL111" s="137">
        <f>(K111*'Model Data Inputs'!$B$94)*T111</f>
        <v>13907.895109699502</v>
      </c>
      <c r="AM111" s="137">
        <f>K111*'Model Data Inputs'!$B$95</f>
        <v>3756.587163875</v>
      </c>
      <c r="AN111" s="137">
        <f t="shared" si="26"/>
        <v>17664.482273574504</v>
      </c>
      <c r="AO111" s="137">
        <f>('School Level Inst. Resources'!K111*'Model Data Inputs'!$B$96)+('School Level Inst. Resources'!J111*'Model Data Inputs'!$B$97)</f>
        <v>8963.5</v>
      </c>
      <c r="AP111" s="137">
        <f>$L111*'Model Data Inputs'!$B$100</f>
        <v>3585.4</v>
      </c>
      <c r="AQ111" s="137">
        <f t="shared" si="27"/>
        <v>1453841.9551905906</v>
      </c>
      <c r="AR111" s="141">
        <f t="shared" si="20"/>
        <v>16219.578905456468</v>
      </c>
    </row>
    <row r="112" spans="1:44" s="40" customFormat="1" ht="12.75" customHeight="1" x14ac:dyDescent="0.2">
      <c r="A112" s="20" t="s">
        <v>46</v>
      </c>
      <c r="B112" s="20" t="s">
        <v>47</v>
      </c>
      <c r="C112" s="20" t="s">
        <v>585</v>
      </c>
      <c r="D112" s="20" t="s">
        <v>586</v>
      </c>
      <c r="E112" s="138" t="s">
        <v>362</v>
      </c>
      <c r="F112" s="138" t="str">
        <f>IF(AND(SUM('School Level ADM'!$F112:$J112)=0,SUM('School Level ADM'!$O112:$R112)=0,'School Level ADM'!$K112&gt;0,'School Level ADM'!$N112&gt;0),"T","F")</f>
        <v>F</v>
      </c>
      <c r="G112" s="138" t="str">
        <f>IF(AND(SUM('School Level ADM'!$M112:$R112)=0,'School Level ADM'!$L112&gt;0),"T","F")</f>
        <v>T</v>
      </c>
      <c r="H112" s="138" t="str">
        <f t="shared" si="14"/>
        <v>E</v>
      </c>
      <c r="I112" s="139">
        <f>IF($F112="T",SUM('School Level ADM'!$F112:$J112),IF($G112="T",SUM('School Level ADM'!$F112:$L112),SUM('School Level ADM'!$F112:$K112,0)))</f>
        <v>223.745</v>
      </c>
      <c r="J112" s="139">
        <f>'School Level ADM'!$S112-$I112-$K112</f>
        <v>0</v>
      </c>
      <c r="K112" s="139">
        <f>IF(SUM('School Level ADM'!$N112:$R112)='School Level ADM'!$S112,SUM('School Level ADM'!$N112:$R112),IF(OR(SUM('School Level ADM'!$F112:$O112)='School Level ADM'!$S112,SUM('School Level ADM'!$G112:$O112)='School Level ADM'!$S112,SUM('School Level ADM'!$H112:$O112)='School Level ADM'!$S112,SUM('School Level ADM'!$I112:$O112)='School Level ADM'!$S112,SUM('School Level ADM'!$J112:$O112)='School Level ADM'!$S112,SUM('School Level ADM'!$K112:$O112)='School Level ADM'!$S112,SUM('School Level ADM'!$L112:$O112)='School Level ADM'!$S112,SUM('School Level ADM'!$M112:$O112)='School Level ADM'!$S112,SUM('School Level ADM'!$N112:$O112)='School Level ADM'!$S112),0,SUM('School Level ADM'!$O112:$R112)))</f>
        <v>0</v>
      </c>
      <c r="L112" s="139">
        <f t="shared" si="15"/>
        <v>223.745</v>
      </c>
      <c r="M112" s="24">
        <f>'Student At-Risk and ELL Proxy'!S112</f>
        <v>84</v>
      </c>
      <c r="N112" s="24">
        <f>'Student At-Risk and ELL Proxy'!AH112</f>
        <v>5</v>
      </c>
      <c r="O112" s="136">
        <f t="shared" si="21"/>
        <v>1.115408838936079</v>
      </c>
      <c r="P112" s="136" t="str">
        <f t="shared" si="22"/>
        <v/>
      </c>
      <c r="Q112" s="136" t="str">
        <f t="shared" si="23"/>
        <v/>
      </c>
      <c r="R112" s="136">
        <f t="shared" si="16"/>
        <v>1.115408838936079</v>
      </c>
      <c r="S112" s="136">
        <f>IF(SUM(3515.4*((VLOOKUP($A112,'District Level ADM'!$A$4:$F$52,6,FALSE))^-0.327)/'Model Data Inputs'!$B$71)&lt;1,1,(3515.4*((VLOOKUP($A112,'District Level ADM'!$A$4:$F$52,6,FALSE))^-0.327)/'Model Data Inputs'!$B$71))</f>
        <v>2.6331924829663356</v>
      </c>
      <c r="T112" s="136">
        <f>VLOOKUP($A112,'Regional Cost Adjustment'!$A$4:$C$52,3,FALSE)</f>
        <v>0.94</v>
      </c>
      <c r="U112" s="123">
        <f>((($I112/$L112)*'Model Data Inputs'!$B$85)+((SUM(J112:K112)/$L112)*'Model Data Inputs'!$C$85))*$R112*$T112</f>
        <v>6676.3157838763118</v>
      </c>
      <c r="V112" s="140">
        <f>((($I112/$L112)*'Model Data Inputs'!$B$86)+((SUM(J112:K112)/$L112)*'Model Data Inputs'!$C$86))*$R112</f>
        <v>1887.9685979454216</v>
      </c>
      <c r="W112" s="140">
        <f t="shared" si="24"/>
        <v>8564.2843818217334</v>
      </c>
      <c r="X112" s="140">
        <f t="shared" si="17"/>
        <v>1493792.2750634055</v>
      </c>
      <c r="Y112" s="140">
        <f t="shared" si="18"/>
        <v>422423.53394729836</v>
      </c>
      <c r="Z112" s="123">
        <f>IF((SUM(X112:Y112))&lt;(AVERAGE('Elementary Size Adjustment'!$B$66,'Secondary Size Adjustment'!$B$66)),(AVERAGE('Elementary Size Adjustment'!$B$66,'Secondary Size Adjustment'!$B$66)),SUM(X112:Y112))</f>
        <v>1916215.8090107038</v>
      </c>
      <c r="AA112" s="137">
        <f>'Model Data Inputs'!$B$71*S112*L112</f>
        <v>111941.09389924753</v>
      </c>
      <c r="AB112" s="137">
        <f>L112*'Model Data Inputs'!$B$72</f>
        <v>5593.625</v>
      </c>
      <c r="AC112" s="137">
        <f>L112*'Model Data Inputs'!$B$73</f>
        <v>55936.25</v>
      </c>
      <c r="AD112" s="137">
        <f>L112*'Model Data Inputs'!$B$74</f>
        <v>27968.125</v>
      </c>
      <c r="AE112" s="137">
        <f>$I112*'Model Data Inputs'!$B$76</f>
        <v>5322.8935499999998</v>
      </c>
      <c r="AF112" s="137">
        <f>VLOOKUP($J112,'Student Activities MS&amp;HS Tables'!$M$7:$O$1267,3)</f>
        <v>0</v>
      </c>
      <c r="AG112" s="137">
        <f>VLOOKUP($K112,'Student Activities MS&amp;HS Tables'!$I$7:$K$3007,3)</f>
        <v>0</v>
      </c>
      <c r="AH112" s="137">
        <f t="shared" si="19"/>
        <v>5322.8935499999998</v>
      </c>
      <c r="AI112" s="123">
        <f t="shared" si="25"/>
        <v>2122977.7964599514</v>
      </c>
      <c r="AJ112" s="123">
        <f>(('Model Data Inputs'!$B$90*(('Model Data Inputs'!$B$87*('School Level Inst. Resources'!I112/'School Level Inst. Resources'!L112))+('Model Data Inputs'!$C$87*(SUM('School Level Inst. Resources'!J112:K112)/'School Level Inst. Resources'!L112))))*T112*M112)</f>
        <v>190930.31224761403</v>
      </c>
      <c r="AK112" s="123">
        <f>(('Model Data Inputs'!$B$91*(('Model Data Inputs'!$B$87*('School Level Inst. Resources'!I112/'School Level Inst. Resources'!L112))+('Model Data Inputs'!$C$87*(SUM('School Level Inst. Resources'!J112:K112)/'School Level Inst. Resources'!L112))))*T112*N112)</f>
        <v>11364.899538548454</v>
      </c>
      <c r="AL112" s="137">
        <f>(K112*'Model Data Inputs'!$B$94)*T112</f>
        <v>0</v>
      </c>
      <c r="AM112" s="137">
        <f>K112*'Model Data Inputs'!$B$95</f>
        <v>0</v>
      </c>
      <c r="AN112" s="137">
        <f t="shared" si="26"/>
        <v>0</v>
      </c>
      <c r="AO112" s="137">
        <f>('School Level Inst. Resources'!K112*'Model Data Inputs'!$B$96)+('School Level Inst. Resources'!J112*'Model Data Inputs'!$B$97)</f>
        <v>0</v>
      </c>
      <c r="AP112" s="137">
        <f>$L112*'Model Data Inputs'!$B$100</f>
        <v>8949.7999999999993</v>
      </c>
      <c r="AQ112" s="137">
        <f t="shared" si="27"/>
        <v>2334222.8082461138</v>
      </c>
      <c r="AR112" s="141">
        <f t="shared" si="20"/>
        <v>10432.513836046006</v>
      </c>
    </row>
    <row r="113" spans="1:44" s="40" customFormat="1" ht="12.75" customHeight="1" x14ac:dyDescent="0.2">
      <c r="A113" s="20" t="s">
        <v>46</v>
      </c>
      <c r="B113" s="20" t="s">
        <v>47</v>
      </c>
      <c r="C113" s="20" t="s">
        <v>587</v>
      </c>
      <c r="D113" s="20" t="s">
        <v>588</v>
      </c>
      <c r="E113" s="138" t="s">
        <v>386</v>
      </c>
      <c r="F113" s="138" t="str">
        <f>IF(AND(SUM('School Level ADM'!$F113:$J113)=0,SUM('School Level ADM'!$O113:$R113)=0,'School Level ADM'!$K113&gt;0,'School Level ADM'!$N113&gt;0),"T","F")</f>
        <v>F</v>
      </c>
      <c r="G113" s="138" t="str">
        <f>IF(AND(SUM('School Level ADM'!$M113:$R113)=0,'School Level ADM'!$L113&gt;0),"T","F")</f>
        <v>F</v>
      </c>
      <c r="H113" s="138" t="str">
        <f t="shared" si="14"/>
        <v>M</v>
      </c>
      <c r="I113" s="139">
        <f>IF($F113="T",SUM('School Level ADM'!$F113:$J113),IF($G113="T",SUM('School Level ADM'!$F113:$L113),SUM('School Level ADM'!$F113:$K113,0)))</f>
        <v>0</v>
      </c>
      <c r="J113" s="139">
        <f>'School Level ADM'!$S113-$I113-$K113</f>
        <v>56.222999999999999</v>
      </c>
      <c r="K113" s="139">
        <f>IF(SUM('School Level ADM'!$N113:$R113)='School Level ADM'!$S113,SUM('School Level ADM'!$N113:$R113),IF(OR(SUM('School Level ADM'!$F113:$O113)='School Level ADM'!$S113,SUM('School Level ADM'!$G113:$O113)='School Level ADM'!$S113,SUM('School Level ADM'!$H113:$O113)='School Level ADM'!$S113,SUM('School Level ADM'!$I113:$O113)='School Level ADM'!$S113,SUM('School Level ADM'!$J113:$O113)='School Level ADM'!$S113,SUM('School Level ADM'!$K113:$O113)='School Level ADM'!$S113,SUM('School Level ADM'!$L113:$O113)='School Level ADM'!$S113,SUM('School Level ADM'!$M113:$O113)='School Level ADM'!$S113,SUM('School Level ADM'!$N113:$O113)='School Level ADM'!$S113),0,SUM('School Level ADM'!$O113:$R113)))</f>
        <v>0</v>
      </c>
      <c r="L113" s="139">
        <f t="shared" si="15"/>
        <v>56.222999999999999</v>
      </c>
      <c r="M113" s="24">
        <f>'Student At-Risk and ELL Proxy'!S113</f>
        <v>19</v>
      </c>
      <c r="N113" s="24">
        <f>'Student At-Risk and ELL Proxy'!AH113</f>
        <v>1</v>
      </c>
      <c r="O113" s="136" t="str">
        <f t="shared" si="21"/>
        <v/>
      </c>
      <c r="P113" s="136">
        <f t="shared" si="22"/>
        <v>2.2186197507160972</v>
      </c>
      <c r="Q113" s="136" t="str">
        <f t="shared" si="23"/>
        <v/>
      </c>
      <c r="R113" s="136">
        <f t="shared" si="16"/>
        <v>2.2186197507160972</v>
      </c>
      <c r="S113" s="136">
        <f>IF(SUM(3515.4*((VLOOKUP($A113,'District Level ADM'!$A$4:$F$52,6,FALSE))^-0.327)/'Model Data Inputs'!$B$71)&lt;1,1,(3515.4*((VLOOKUP($A113,'District Level ADM'!$A$4:$F$52,6,FALSE))^-0.327)/'Model Data Inputs'!$B$71))</f>
        <v>2.6331924829663356</v>
      </c>
      <c r="T113" s="136">
        <f>VLOOKUP($A113,'Regional Cost Adjustment'!$A$4:$C$52,3,FALSE)</f>
        <v>0.94</v>
      </c>
      <c r="U113" s="123">
        <f>((($I113/$L113)*'Model Data Inputs'!$B$85)+((SUM(J113:K113)/$L113)*'Model Data Inputs'!$C$85))*$R113*$T113</f>
        <v>11225.821290695365</v>
      </c>
      <c r="V113" s="140">
        <f>((($I113/$L113)*'Model Data Inputs'!$B$86)+((SUM(J113:K113)/$L113)*'Model Data Inputs'!$C$86))*$R113</f>
        <v>3179.5211977078993</v>
      </c>
      <c r="W113" s="140">
        <f t="shared" si="24"/>
        <v>14405.342488403265</v>
      </c>
      <c r="X113" s="140">
        <f t="shared" si="17"/>
        <v>631149.35042676551</v>
      </c>
      <c r="Y113" s="140">
        <f t="shared" si="18"/>
        <v>178762.22029873123</v>
      </c>
      <c r="Z113" s="123">
        <f>IF((SUM(X113:Y113))&lt;(AVERAGE('Elementary Size Adjustment'!$B$66,'Secondary Size Adjustment'!$B$66)),(AVERAGE('Elementary Size Adjustment'!$B$66,'Secondary Size Adjustment'!$B$66)),SUM(X113:Y113))</f>
        <v>809911.57072549674</v>
      </c>
      <c r="AA113" s="137">
        <f>'Model Data Inputs'!$B$71*S113*L113</f>
        <v>28128.736384265092</v>
      </c>
      <c r="AB113" s="137">
        <f>L113*'Model Data Inputs'!$B$72</f>
        <v>1405.575</v>
      </c>
      <c r="AC113" s="137">
        <f>L113*'Model Data Inputs'!$B$73</f>
        <v>14055.75</v>
      </c>
      <c r="AD113" s="137">
        <f>L113*'Model Data Inputs'!$B$74</f>
        <v>7027.875</v>
      </c>
      <c r="AE113" s="137">
        <f>$I113*'Model Data Inputs'!$B$76</f>
        <v>0</v>
      </c>
      <c r="AF113" s="137">
        <f>VLOOKUP($J113,'Student Activities MS&amp;HS Tables'!$M$7:$O$1267,3)</f>
        <v>36496.32</v>
      </c>
      <c r="AG113" s="137">
        <f>VLOOKUP($K113,'Student Activities MS&amp;HS Tables'!$I$7:$K$3007,3)</f>
        <v>0</v>
      </c>
      <c r="AH113" s="137">
        <f t="shared" si="19"/>
        <v>36496.32</v>
      </c>
      <c r="AI113" s="123">
        <f t="shared" si="25"/>
        <v>897025.82710976177</v>
      </c>
      <c r="AJ113" s="123">
        <f>(('Model Data Inputs'!$B$90*(('Model Data Inputs'!$B$87*('School Level Inst. Resources'!I113/'School Level Inst. Resources'!L113))+('Model Data Inputs'!$C$87*(SUM('School Level Inst. Resources'!J113:K113)/'School Level Inst. Resources'!L113))))*T113*M113)</f>
        <v>36519.57750224253</v>
      </c>
      <c r="AK113" s="123">
        <f>(('Model Data Inputs'!$B$91*(('Model Data Inputs'!$B$87*('School Level Inst. Resources'!I113/'School Level Inst. Resources'!L113))+('Model Data Inputs'!$C$87*(SUM('School Level Inst. Resources'!J113:K113)/'School Level Inst. Resources'!L113))))*T113*N113)</f>
        <v>1922.0830264338172</v>
      </c>
      <c r="AL113" s="137">
        <f>(K113*'Model Data Inputs'!$B$94)*T113</f>
        <v>0</v>
      </c>
      <c r="AM113" s="137">
        <f>K113*'Model Data Inputs'!$B$95</f>
        <v>0</v>
      </c>
      <c r="AN113" s="137">
        <f t="shared" si="26"/>
        <v>0</v>
      </c>
      <c r="AO113" s="137">
        <f>('School Level Inst. Resources'!K113*'Model Data Inputs'!$B$96)+('School Level Inst. Resources'!J113*'Model Data Inputs'!$B$97)</f>
        <v>1405.575</v>
      </c>
      <c r="AP113" s="137">
        <f>$L113*'Model Data Inputs'!$B$100</f>
        <v>2248.92</v>
      </c>
      <c r="AQ113" s="137">
        <f t="shared" si="27"/>
        <v>939121.98263843812</v>
      </c>
      <c r="AR113" s="141">
        <f t="shared" si="20"/>
        <v>16703.519602981665</v>
      </c>
    </row>
    <row r="114" spans="1:44" s="40" customFormat="1" ht="12.75" customHeight="1" x14ac:dyDescent="0.2">
      <c r="A114" s="20" t="s">
        <v>46</v>
      </c>
      <c r="B114" s="20" t="s">
        <v>47</v>
      </c>
      <c r="C114" s="20" t="s">
        <v>589</v>
      </c>
      <c r="D114" s="20" t="s">
        <v>590</v>
      </c>
      <c r="E114" s="138" t="s">
        <v>389</v>
      </c>
      <c r="F114" s="138" t="str">
        <f>IF(AND(SUM('School Level ADM'!$F114:$J114)=0,SUM('School Level ADM'!$O114:$R114)=0,'School Level ADM'!$K114&gt;0,'School Level ADM'!$N114&gt;0),"T","F")</f>
        <v>F</v>
      </c>
      <c r="G114" s="138" t="str">
        <f>IF(AND(SUM('School Level ADM'!$M114:$R114)=0,'School Level ADM'!$L114&gt;0),"T","F")</f>
        <v>F</v>
      </c>
      <c r="H114" s="138" t="str">
        <f t="shared" si="14"/>
        <v>H</v>
      </c>
      <c r="I114" s="139">
        <f>IF($F114="T",SUM('School Level ADM'!$F114:$J114),IF($G114="T",SUM('School Level ADM'!$F114:$L114),SUM('School Level ADM'!$F114:$K114,0)))</f>
        <v>0</v>
      </c>
      <c r="J114" s="139">
        <f>'School Level ADM'!$S114-$I114-$K114</f>
        <v>0</v>
      </c>
      <c r="K114" s="139">
        <f>IF(SUM('School Level ADM'!$N114:$R114)='School Level ADM'!$S114,SUM('School Level ADM'!$N114:$R114),IF(OR(SUM('School Level ADM'!$F114:$O114)='School Level ADM'!$S114,SUM('School Level ADM'!$G114:$O114)='School Level ADM'!$S114,SUM('School Level ADM'!$H114:$O114)='School Level ADM'!$S114,SUM('School Level ADM'!$I114:$O114)='School Level ADM'!$S114,SUM('School Level ADM'!$J114:$O114)='School Level ADM'!$S114,SUM('School Level ADM'!$K114:$O114)='School Level ADM'!$S114,SUM('School Level ADM'!$L114:$O114)='School Level ADM'!$S114,SUM('School Level ADM'!$M114:$O114)='School Level ADM'!$S114,SUM('School Level ADM'!$N114:$O114)='School Level ADM'!$S114),0,SUM('School Level ADM'!$O114:$R114)))</f>
        <v>108.55300000000001</v>
      </c>
      <c r="L114" s="139">
        <f t="shared" si="15"/>
        <v>108.55300000000001</v>
      </c>
      <c r="M114" s="24">
        <f>'Student At-Risk and ELL Proxy'!S114</f>
        <v>28</v>
      </c>
      <c r="N114" s="24">
        <f>'Student At-Risk and ELL Proxy'!AH114</f>
        <v>2</v>
      </c>
      <c r="O114" s="136" t="str">
        <f t="shared" si="21"/>
        <v/>
      </c>
      <c r="P114" s="136">
        <f t="shared" si="22"/>
        <v>1.7611340418546615</v>
      </c>
      <c r="Q114" s="136" t="str">
        <f t="shared" si="23"/>
        <v/>
      </c>
      <c r="R114" s="136">
        <f t="shared" si="16"/>
        <v>1.7611340418546615</v>
      </c>
      <c r="S114" s="136">
        <f>IF(SUM(3515.4*((VLOOKUP($A114,'District Level ADM'!$A$4:$F$52,6,FALSE))^-0.327)/'Model Data Inputs'!$B$71)&lt;1,1,(3515.4*((VLOOKUP($A114,'District Level ADM'!$A$4:$F$52,6,FALSE))^-0.327)/'Model Data Inputs'!$B$71))</f>
        <v>2.6331924829663356</v>
      </c>
      <c r="T114" s="136">
        <f>VLOOKUP($A114,'Regional Cost Adjustment'!$A$4:$C$52,3,FALSE)</f>
        <v>0.94</v>
      </c>
      <c r="U114" s="123">
        <f>((($I114/$L114)*'Model Data Inputs'!$B$85)+((SUM(J114:K114)/$L114)*'Model Data Inputs'!$C$85))*$R114*$T114</f>
        <v>8911.0249813828086</v>
      </c>
      <c r="V114" s="140">
        <f>((($I114/$L114)*'Model Data Inputs'!$B$86)+((SUM(J114:K114)/$L114)*'Model Data Inputs'!$C$86))*$R114</f>
        <v>2523.8948748538514</v>
      </c>
      <c r="W114" s="140">
        <f t="shared" si="24"/>
        <v>11434.91985623666</v>
      </c>
      <c r="X114" s="140">
        <f t="shared" si="17"/>
        <v>967318.4948040481</v>
      </c>
      <c r="Y114" s="140">
        <f t="shared" si="18"/>
        <v>273976.36035001016</v>
      </c>
      <c r="Z114" s="123">
        <f>IF((SUM(X114:Y114))&lt;(AVERAGE('Elementary Size Adjustment'!$B$66,'Secondary Size Adjustment'!$B$66)),(AVERAGE('Elementary Size Adjustment'!$B$66,'Secondary Size Adjustment'!$B$66)),SUM(X114:Y114))</f>
        <v>1241294.8551540582</v>
      </c>
      <c r="AA114" s="137">
        <f>'Model Data Inputs'!$B$71*S114*L114</f>
        <v>54309.779284654483</v>
      </c>
      <c r="AB114" s="137">
        <f>L114*'Model Data Inputs'!$B$72</f>
        <v>2713.8250000000003</v>
      </c>
      <c r="AC114" s="137">
        <f>L114*'Model Data Inputs'!$B$73</f>
        <v>27138.250000000004</v>
      </c>
      <c r="AD114" s="137">
        <f>L114*'Model Data Inputs'!$B$74</f>
        <v>13569.125000000002</v>
      </c>
      <c r="AE114" s="137">
        <f>$I114*'Model Data Inputs'!$B$76</f>
        <v>0</v>
      </c>
      <c r="AF114" s="137">
        <f>VLOOKUP($J114,'Student Activities MS&amp;HS Tables'!$M$7:$O$1267,3)</f>
        <v>0</v>
      </c>
      <c r="AG114" s="137">
        <f>VLOOKUP($K114,'Student Activities MS&amp;HS Tables'!$I$7:$K$3007,3)</f>
        <v>166055.4</v>
      </c>
      <c r="AH114" s="137">
        <f t="shared" si="19"/>
        <v>166055.4</v>
      </c>
      <c r="AI114" s="123">
        <f t="shared" si="25"/>
        <v>1505081.2344387125</v>
      </c>
      <c r="AJ114" s="123">
        <f>(('Model Data Inputs'!$B$90*(('Model Data Inputs'!$B$87*('School Level Inst. Resources'!I114/'School Level Inst. Resources'!L114))+('Model Data Inputs'!$C$87*(SUM('School Level Inst. Resources'!J114:K114)/'School Level Inst. Resources'!L114))))*T114*M114)</f>
        <v>53818.324740146883</v>
      </c>
      <c r="AK114" s="123">
        <f>(('Model Data Inputs'!$B$91*(('Model Data Inputs'!$B$87*('School Level Inst. Resources'!I114/'School Level Inst. Resources'!L114))+('Model Data Inputs'!$C$87*(SUM('School Level Inst. Resources'!J114:K114)/'School Level Inst. Resources'!L114))))*T114*N114)</f>
        <v>3844.1660528676343</v>
      </c>
      <c r="AL114" s="137">
        <f>(K114*'Model Data Inputs'!$B$94)*T114</f>
        <v>16843.239112436102</v>
      </c>
      <c r="AM114" s="137">
        <f>K114*'Model Data Inputs'!$B$95</f>
        <v>4549.4372332250005</v>
      </c>
      <c r="AN114" s="137">
        <f t="shared" si="26"/>
        <v>21392.676345661101</v>
      </c>
      <c r="AO114" s="137">
        <f>('School Level Inst. Resources'!K114*'Model Data Inputs'!$B$96)+('School Level Inst. Resources'!J114*'Model Data Inputs'!$B$97)</f>
        <v>10855.300000000001</v>
      </c>
      <c r="AP114" s="137">
        <f>$L114*'Model Data Inputs'!$B$100</f>
        <v>4342.1200000000008</v>
      </c>
      <c r="AQ114" s="137">
        <f t="shared" si="27"/>
        <v>1599333.8215773883</v>
      </c>
      <c r="AR114" s="141">
        <f t="shared" si="20"/>
        <v>14733.207019404237</v>
      </c>
    </row>
    <row r="115" spans="1:44" s="40" customFormat="1" ht="12.75" customHeight="1" x14ac:dyDescent="0.2">
      <c r="A115" s="20" t="s">
        <v>48</v>
      </c>
      <c r="B115" s="20" t="s">
        <v>49</v>
      </c>
      <c r="C115" s="20" t="s">
        <v>591</v>
      </c>
      <c r="D115" s="20" t="s">
        <v>592</v>
      </c>
      <c r="E115" s="138" t="s">
        <v>593</v>
      </c>
      <c r="F115" s="138" t="str">
        <f>IF(AND(SUM('School Level ADM'!$F115:$J115)=0,SUM('School Level ADM'!$O115:$R115)=0,'School Level ADM'!$K115&gt;0,'School Level ADM'!$N115&gt;0),"T","F")</f>
        <v>F</v>
      </c>
      <c r="G115" s="138" t="str">
        <f>IF(AND(SUM('School Level ADM'!$M115:$R115)=0,'School Level ADM'!$L115&gt;0),"T","F")</f>
        <v>F</v>
      </c>
      <c r="H115" s="138" t="str">
        <f t="shared" si="14"/>
        <v>E</v>
      </c>
      <c r="I115" s="139">
        <f>IF($F115="T",SUM('School Level ADM'!$F115:$J115),IF($G115="T",SUM('School Level ADM'!$F115:$L115),SUM('School Level ADM'!$F115:$K115,0)))</f>
        <v>181.33333333333334</v>
      </c>
      <c r="J115" s="139">
        <f>'School Level ADM'!$S115-$I115-$K115</f>
        <v>0</v>
      </c>
      <c r="K115" s="139">
        <f>IF(SUM('School Level ADM'!$N115:$R115)='School Level ADM'!$S115,SUM('School Level ADM'!$N115:$R115),IF(OR(SUM('School Level ADM'!$F115:$O115)='School Level ADM'!$S115,SUM('School Level ADM'!$G115:$O115)='School Level ADM'!$S115,SUM('School Level ADM'!$H115:$O115)='School Level ADM'!$S115,SUM('School Level ADM'!$I115:$O115)='School Level ADM'!$S115,SUM('School Level ADM'!$J115:$O115)='School Level ADM'!$S115,SUM('School Level ADM'!$K115:$O115)='School Level ADM'!$S115,SUM('School Level ADM'!$L115:$O115)='School Level ADM'!$S115,SUM('School Level ADM'!$M115:$O115)='School Level ADM'!$S115,SUM('School Level ADM'!$N115:$O115)='School Level ADM'!$S115),0,SUM('School Level ADM'!$O115:$R115)))</f>
        <v>0</v>
      </c>
      <c r="L115" s="139">
        <f t="shared" si="15"/>
        <v>181.33333333333334</v>
      </c>
      <c r="M115" s="24">
        <f>'Student At-Risk and ELL Proxy'!S115</f>
        <v>121</v>
      </c>
      <c r="N115" s="24">
        <f>'Student At-Risk and ELL Proxy'!AH115</f>
        <v>5</v>
      </c>
      <c r="O115" s="136">
        <f t="shared" si="21"/>
        <v>1.2127235406153869</v>
      </c>
      <c r="P115" s="136" t="str">
        <f t="shared" si="22"/>
        <v/>
      </c>
      <c r="Q115" s="136" t="str">
        <f t="shared" si="23"/>
        <v/>
      </c>
      <c r="R115" s="136">
        <f t="shared" si="16"/>
        <v>1.2127235406153869</v>
      </c>
      <c r="S115" s="136">
        <f>IF(SUM(3515.4*((VLOOKUP($A115,'District Level ADM'!$A$4:$F$52,6,FALSE))^-0.327)/'Model Data Inputs'!$B$71)&lt;1,1,(3515.4*((VLOOKUP($A115,'District Level ADM'!$A$4:$F$52,6,FALSE))^-0.327)/'Model Data Inputs'!$B$71))</f>
        <v>1.4421716800658948</v>
      </c>
      <c r="T115" s="136">
        <f>VLOOKUP($A115,'Regional Cost Adjustment'!$A$4:$C$52,3,FALSE)</f>
        <v>0.94</v>
      </c>
      <c r="U115" s="123">
        <f>((($I115/$L115)*'Model Data Inputs'!$B$85)+((SUM(J115:K115)/$L115)*'Model Data Inputs'!$C$85))*$R115*$T115</f>
        <v>7258.7960871922614</v>
      </c>
      <c r="V115" s="140">
        <f>((($I115/$L115)*'Model Data Inputs'!$B$86)+((SUM(J115:K115)/$L115)*'Model Data Inputs'!$C$86))*$R115</f>
        <v>2052.6858697434523</v>
      </c>
      <c r="W115" s="140">
        <f t="shared" si="24"/>
        <v>9311.4819569357132</v>
      </c>
      <c r="X115" s="140">
        <f t="shared" si="17"/>
        <v>1316261.6904775302</v>
      </c>
      <c r="Y115" s="140">
        <f t="shared" si="18"/>
        <v>372220.37104681268</v>
      </c>
      <c r="Z115" s="123">
        <f>IF((SUM(X115:Y115))&lt;(AVERAGE('Elementary Size Adjustment'!$B$66,'Secondary Size Adjustment'!$B$66)),(AVERAGE('Elementary Size Adjustment'!$B$66,'Secondary Size Adjustment'!$B$66)),SUM(X115:Y115))</f>
        <v>1688482.061524343</v>
      </c>
      <c r="AA115" s="137">
        <f>'Model Data Inputs'!$B$71*S115*L115</f>
        <v>49687.621617203629</v>
      </c>
      <c r="AB115" s="137">
        <f>L115*'Model Data Inputs'!$B$72</f>
        <v>4533.3333333333339</v>
      </c>
      <c r="AC115" s="137">
        <f>L115*'Model Data Inputs'!$B$73</f>
        <v>45333.333333333336</v>
      </c>
      <c r="AD115" s="137">
        <f>L115*'Model Data Inputs'!$B$74</f>
        <v>22666.666666666668</v>
      </c>
      <c r="AE115" s="137">
        <f>$I115*'Model Data Inputs'!$B$76</f>
        <v>4313.92</v>
      </c>
      <c r="AF115" s="137">
        <f>VLOOKUP($J115,'Student Activities MS&amp;HS Tables'!$M$7:$O$1267,3)</f>
        <v>0</v>
      </c>
      <c r="AG115" s="137">
        <f>VLOOKUP($K115,'Student Activities MS&amp;HS Tables'!$I$7:$K$3007,3)</f>
        <v>0</v>
      </c>
      <c r="AH115" s="137">
        <f t="shared" si="19"/>
        <v>4313.92</v>
      </c>
      <c r="AI115" s="123">
        <f t="shared" si="25"/>
        <v>1815016.9364748797</v>
      </c>
      <c r="AJ115" s="123">
        <f>(('Model Data Inputs'!$B$90*(('Model Data Inputs'!$B$87*('School Level Inst. Resources'!I115/'School Level Inst. Resources'!L115))+('Model Data Inputs'!$C$87*(SUM('School Level Inst. Resources'!J115:K115)/'School Level Inst. Resources'!L115))))*T115*M115)</f>
        <v>275030.56883287261</v>
      </c>
      <c r="AK115" s="123">
        <f>(('Model Data Inputs'!$B$91*(('Model Data Inputs'!$B$87*('School Level Inst. Resources'!I115/'School Level Inst. Resources'!L115))+('Model Data Inputs'!$C$87*(SUM('School Level Inst. Resources'!J115:K115)/'School Level Inst. Resources'!L115))))*T115*N115)</f>
        <v>11364.899538548454</v>
      </c>
      <c r="AL115" s="137">
        <f>(K115*'Model Data Inputs'!$B$94)*T115</f>
        <v>0</v>
      </c>
      <c r="AM115" s="137">
        <f>K115*'Model Data Inputs'!$B$95</f>
        <v>0</v>
      </c>
      <c r="AN115" s="137">
        <f t="shared" si="26"/>
        <v>0</v>
      </c>
      <c r="AO115" s="137">
        <f>('School Level Inst. Resources'!K115*'Model Data Inputs'!$B$96)+('School Level Inst. Resources'!J115*'Model Data Inputs'!$B$97)</f>
        <v>0</v>
      </c>
      <c r="AP115" s="137">
        <f>$L115*'Model Data Inputs'!$B$100</f>
        <v>7253.3333333333339</v>
      </c>
      <c r="AQ115" s="137">
        <f t="shared" si="27"/>
        <v>2108665.7381796343</v>
      </c>
      <c r="AR115" s="141">
        <f t="shared" si="20"/>
        <v>11628.671350255336</v>
      </c>
    </row>
    <row r="116" spans="1:44" s="40" customFormat="1" ht="12.75" customHeight="1" x14ac:dyDescent="0.2">
      <c r="A116" s="20" t="s">
        <v>48</v>
      </c>
      <c r="B116" s="20" t="s">
        <v>49</v>
      </c>
      <c r="C116" s="20" t="s">
        <v>594</v>
      </c>
      <c r="D116" s="20" t="s">
        <v>595</v>
      </c>
      <c r="E116" s="138" t="s">
        <v>508</v>
      </c>
      <c r="F116" s="138" t="str">
        <f>IF(AND(SUM('School Level ADM'!$F116:$J116)=0,SUM('School Level ADM'!$O116:$R116)=0,'School Level ADM'!$K116&gt;0,'School Level ADM'!$N116&gt;0),"T","F")</f>
        <v>F</v>
      </c>
      <c r="G116" s="138" t="str">
        <f>IF(AND(SUM('School Level ADM'!$M116:$R116)=0,'School Level ADM'!$L116&gt;0),"T","F")</f>
        <v>F</v>
      </c>
      <c r="H116" s="138" t="str">
        <f t="shared" si="14"/>
        <v>E</v>
      </c>
      <c r="I116" s="139">
        <f>IF($F116="T",SUM('School Level ADM'!$F116:$J116),IF($G116="T",SUM('School Level ADM'!$F116:$L116),SUM('School Level ADM'!$F116:$K116,0)))</f>
        <v>388.2166666666667</v>
      </c>
      <c r="J116" s="139">
        <f>'School Level ADM'!$S116-$I116-$K116</f>
        <v>0</v>
      </c>
      <c r="K116" s="139">
        <f>IF(SUM('School Level ADM'!$N116:$R116)='School Level ADM'!$S116,SUM('School Level ADM'!$N116:$R116),IF(OR(SUM('School Level ADM'!$F116:$O116)='School Level ADM'!$S116,SUM('School Level ADM'!$G116:$O116)='School Level ADM'!$S116,SUM('School Level ADM'!$H116:$O116)='School Level ADM'!$S116,SUM('School Level ADM'!$I116:$O116)='School Level ADM'!$S116,SUM('School Level ADM'!$J116:$O116)='School Level ADM'!$S116,SUM('School Level ADM'!$K116:$O116)='School Level ADM'!$S116,SUM('School Level ADM'!$L116:$O116)='School Level ADM'!$S116,SUM('School Level ADM'!$M116:$O116)='School Level ADM'!$S116,SUM('School Level ADM'!$N116:$O116)='School Level ADM'!$S116),0,SUM('School Level ADM'!$O116:$R116)))</f>
        <v>0</v>
      </c>
      <c r="L116" s="139">
        <f t="shared" si="15"/>
        <v>388.2166666666667</v>
      </c>
      <c r="M116" s="24">
        <f>'Student At-Risk and ELL Proxy'!S116</f>
        <v>217</v>
      </c>
      <c r="N116" s="24">
        <f>'Student At-Risk and ELL Proxy'!AH116</f>
        <v>9</v>
      </c>
      <c r="O116" s="136">
        <f t="shared" si="21"/>
        <v>0.97</v>
      </c>
      <c r="P116" s="136" t="str">
        <f t="shared" si="22"/>
        <v/>
      </c>
      <c r="Q116" s="136" t="str">
        <f t="shared" si="23"/>
        <v/>
      </c>
      <c r="R116" s="136">
        <f t="shared" si="16"/>
        <v>0.97</v>
      </c>
      <c r="S116" s="136">
        <f>IF(SUM(3515.4*((VLOOKUP($A116,'District Level ADM'!$A$4:$F$52,6,FALSE))^-0.327)/'Model Data Inputs'!$B$71)&lt;1,1,(3515.4*((VLOOKUP($A116,'District Level ADM'!$A$4:$F$52,6,FALSE))^-0.327)/'Model Data Inputs'!$B$71))</f>
        <v>1.4421716800658948</v>
      </c>
      <c r="T116" s="136">
        <f>VLOOKUP($A116,'Regional Cost Adjustment'!$A$4:$C$52,3,FALSE)</f>
        <v>0.94</v>
      </c>
      <c r="U116" s="123">
        <f>((($I116/$L116)*'Model Data Inputs'!$B$85)+((SUM(J116:K116)/$L116)*'Model Data Inputs'!$C$85))*$R116*$T116</f>
        <v>5805.9664620706362</v>
      </c>
      <c r="V116" s="140">
        <f>((($I116/$L116)*'Model Data Inputs'!$B$86)+((SUM(J116:K116)/$L116)*'Model Data Inputs'!$C$86))*$R116</f>
        <v>1641.8459994936507</v>
      </c>
      <c r="W116" s="140">
        <f t="shared" si="24"/>
        <v>7447.8124615642864</v>
      </c>
      <c r="X116" s="140">
        <f t="shared" si="17"/>
        <v>2253972.9466835223</v>
      </c>
      <c r="Y116" s="140">
        <f t="shared" si="18"/>
        <v>637391.98110342678</v>
      </c>
      <c r="Z116" s="123">
        <f>IF((SUM(X116:Y116))&lt;(AVERAGE('Elementary Size Adjustment'!$B$66,'Secondary Size Adjustment'!$B$66)),(AVERAGE('Elementary Size Adjustment'!$B$66,'Secondary Size Adjustment'!$B$66)),SUM(X116:Y116))</f>
        <v>2891364.9277869491</v>
      </c>
      <c r="AA116" s="137">
        <f>'Model Data Inputs'!$B$71*S116*L116</f>
        <v>106376.26565528715</v>
      </c>
      <c r="AB116" s="137">
        <f>L116*'Model Data Inputs'!$B$72</f>
        <v>9705.4166666666679</v>
      </c>
      <c r="AC116" s="137">
        <f>L116*'Model Data Inputs'!$B$73</f>
        <v>97054.166666666672</v>
      </c>
      <c r="AD116" s="137">
        <f>L116*'Model Data Inputs'!$B$74</f>
        <v>48527.083333333336</v>
      </c>
      <c r="AE116" s="137">
        <f>$I116*'Model Data Inputs'!$B$76</f>
        <v>9235.674500000001</v>
      </c>
      <c r="AF116" s="137">
        <f>VLOOKUP($J116,'Student Activities MS&amp;HS Tables'!$M$7:$O$1267,3)</f>
        <v>0</v>
      </c>
      <c r="AG116" s="137">
        <f>VLOOKUP($K116,'Student Activities MS&amp;HS Tables'!$I$7:$K$3007,3)</f>
        <v>0</v>
      </c>
      <c r="AH116" s="137">
        <f t="shared" si="19"/>
        <v>9235.674500000001</v>
      </c>
      <c r="AI116" s="123">
        <f t="shared" si="25"/>
        <v>3162263.5346089029</v>
      </c>
      <c r="AJ116" s="123">
        <f>(('Model Data Inputs'!$B$90*(('Model Data Inputs'!$B$87*('School Level Inst. Resources'!I116/'School Level Inst. Resources'!L116))+('Model Data Inputs'!$C$87*(SUM('School Level Inst. Resources'!J116:K116)/'School Level Inst. Resources'!L116))))*T116*M116)</f>
        <v>493236.63997300295</v>
      </c>
      <c r="AK116" s="123">
        <f>(('Model Data Inputs'!$B$91*(('Model Data Inputs'!$B$87*('School Level Inst. Resources'!I116/'School Level Inst. Resources'!L116))+('Model Data Inputs'!$C$87*(SUM('School Level Inst. Resources'!J116:K116)/'School Level Inst. Resources'!L116))))*T116*N116)</f>
        <v>20456.819169387218</v>
      </c>
      <c r="AL116" s="137">
        <f>(K116*'Model Data Inputs'!$B$94)*T116</f>
        <v>0</v>
      </c>
      <c r="AM116" s="137">
        <f>K116*'Model Data Inputs'!$B$95</f>
        <v>0</v>
      </c>
      <c r="AN116" s="137">
        <f t="shared" si="26"/>
        <v>0</v>
      </c>
      <c r="AO116" s="137">
        <f>('School Level Inst. Resources'!K116*'Model Data Inputs'!$B$96)+('School Level Inst. Resources'!J116*'Model Data Inputs'!$B$97)</f>
        <v>0</v>
      </c>
      <c r="AP116" s="137">
        <f>$L116*'Model Data Inputs'!$B$100</f>
        <v>15528.666666666668</v>
      </c>
      <c r="AQ116" s="137">
        <f t="shared" si="27"/>
        <v>3691485.6604179596</v>
      </c>
      <c r="AR116" s="141">
        <f t="shared" si="20"/>
        <v>9508.8283872870634</v>
      </c>
    </row>
    <row r="117" spans="1:44" s="40" customFormat="1" ht="12.75" customHeight="1" x14ac:dyDescent="0.2">
      <c r="A117" s="20" t="s">
        <v>48</v>
      </c>
      <c r="B117" s="20" t="s">
        <v>49</v>
      </c>
      <c r="C117" s="20" t="s">
        <v>596</v>
      </c>
      <c r="D117" s="20" t="s">
        <v>597</v>
      </c>
      <c r="E117" s="138" t="s">
        <v>593</v>
      </c>
      <c r="F117" s="138" t="str">
        <f>IF(AND(SUM('School Level ADM'!$F117:$J117)=0,SUM('School Level ADM'!$O117:$R117)=0,'School Level ADM'!$K117&gt;0,'School Level ADM'!$N117&gt;0),"T","F")</f>
        <v>F</v>
      </c>
      <c r="G117" s="138" t="str">
        <f>IF(AND(SUM('School Level ADM'!$M117:$R117)=0,'School Level ADM'!$L117&gt;0),"T","F")</f>
        <v>F</v>
      </c>
      <c r="H117" s="138" t="str">
        <f t="shared" si="14"/>
        <v>E</v>
      </c>
      <c r="I117" s="139">
        <f>IF($F117="T",SUM('School Level ADM'!$F117:$J117),IF($G117="T",SUM('School Level ADM'!$F117:$L117),SUM('School Level ADM'!$F117:$K117,0)))</f>
        <v>172.86700000000002</v>
      </c>
      <c r="J117" s="139">
        <f>'School Level ADM'!$S117-$I117-$K117</f>
        <v>0</v>
      </c>
      <c r="K117" s="139">
        <f>IF(SUM('School Level ADM'!$N117:$R117)='School Level ADM'!$S117,SUM('School Level ADM'!$N117:$R117),IF(OR(SUM('School Level ADM'!$F117:$O117)='School Level ADM'!$S117,SUM('School Level ADM'!$G117:$O117)='School Level ADM'!$S117,SUM('School Level ADM'!$H117:$O117)='School Level ADM'!$S117,SUM('School Level ADM'!$I117:$O117)='School Level ADM'!$S117,SUM('School Level ADM'!$J117:$O117)='School Level ADM'!$S117,SUM('School Level ADM'!$K117:$O117)='School Level ADM'!$S117,SUM('School Level ADM'!$L117:$O117)='School Level ADM'!$S117,SUM('School Level ADM'!$M117:$O117)='School Level ADM'!$S117,SUM('School Level ADM'!$N117:$O117)='School Level ADM'!$S117),0,SUM('School Level ADM'!$O117:$R117)))</f>
        <v>0</v>
      </c>
      <c r="L117" s="139">
        <f t="shared" si="15"/>
        <v>172.86700000000002</v>
      </c>
      <c r="M117" s="24">
        <f>'Student At-Risk and ELL Proxy'!S117</f>
        <v>113</v>
      </c>
      <c r="N117" s="24">
        <f>'Student At-Risk and ELL Proxy'!AH117</f>
        <v>2</v>
      </c>
      <c r="O117" s="136">
        <f t="shared" si="21"/>
        <v>1.2360228421069073</v>
      </c>
      <c r="P117" s="136" t="str">
        <f t="shared" si="22"/>
        <v/>
      </c>
      <c r="Q117" s="136" t="str">
        <f t="shared" si="23"/>
        <v/>
      </c>
      <c r="R117" s="136">
        <f t="shared" si="16"/>
        <v>1.2360228421069073</v>
      </c>
      <c r="S117" s="136">
        <f>IF(SUM(3515.4*((VLOOKUP($A117,'District Level ADM'!$A$4:$F$52,6,FALSE))^-0.327)/'Model Data Inputs'!$B$71)&lt;1,1,(3515.4*((VLOOKUP($A117,'District Level ADM'!$A$4:$F$52,6,FALSE))^-0.327)/'Model Data Inputs'!$B$71))</f>
        <v>1.4421716800658948</v>
      </c>
      <c r="T117" s="136">
        <f>VLOOKUP($A117,'Regional Cost Adjustment'!$A$4:$C$52,3,FALSE)</f>
        <v>0.94</v>
      </c>
      <c r="U117" s="123">
        <f>((($I117/$L117)*'Model Data Inputs'!$B$85)+((SUM(J117:K117)/$L117)*'Model Data Inputs'!$C$85))*$R117*$T117</f>
        <v>7398.2548119854973</v>
      </c>
      <c r="V117" s="140">
        <f>((($I117/$L117)*'Model Data Inputs'!$B$86)+((SUM(J117:K117)/$L117)*'Model Data Inputs'!$C$86))*$R117</f>
        <v>2092.1228439133997</v>
      </c>
      <c r="W117" s="140">
        <f t="shared" si="24"/>
        <v>9490.3776558988975</v>
      </c>
      <c r="X117" s="140">
        <f t="shared" si="17"/>
        <v>1278914.1145834972</v>
      </c>
      <c r="Y117" s="140">
        <f t="shared" si="18"/>
        <v>361658.99965877773</v>
      </c>
      <c r="Z117" s="123">
        <f>IF((SUM(X117:Y117))&lt;(AVERAGE('Elementary Size Adjustment'!$B$66,'Secondary Size Adjustment'!$B$66)),(AVERAGE('Elementary Size Adjustment'!$B$66,'Secondary Size Adjustment'!$B$66)),SUM(X117:Y117))</f>
        <v>1640573.1142422748</v>
      </c>
      <c r="AA117" s="137">
        <f>'Model Data Inputs'!$B$71*S117*L117</f>
        <v>47367.739445410698</v>
      </c>
      <c r="AB117" s="137">
        <f>L117*'Model Data Inputs'!$B$72</f>
        <v>4321.6750000000002</v>
      </c>
      <c r="AC117" s="137">
        <f>L117*'Model Data Inputs'!$B$73</f>
        <v>43216.750000000007</v>
      </c>
      <c r="AD117" s="137">
        <f>L117*'Model Data Inputs'!$B$74</f>
        <v>21608.375000000004</v>
      </c>
      <c r="AE117" s="137">
        <f>$I117*'Model Data Inputs'!$B$76</f>
        <v>4112.5059300000003</v>
      </c>
      <c r="AF117" s="137">
        <f>VLOOKUP($J117,'Student Activities MS&amp;HS Tables'!$M$7:$O$1267,3)</f>
        <v>0</v>
      </c>
      <c r="AG117" s="137">
        <f>VLOOKUP($K117,'Student Activities MS&amp;HS Tables'!$I$7:$K$3007,3)</f>
        <v>0</v>
      </c>
      <c r="AH117" s="137">
        <f t="shared" si="19"/>
        <v>4112.5059300000003</v>
      </c>
      <c r="AI117" s="123">
        <f t="shared" si="25"/>
        <v>1761200.1596176855</v>
      </c>
      <c r="AJ117" s="123">
        <f>(('Model Data Inputs'!$B$90*(('Model Data Inputs'!$B$87*('School Level Inst. Resources'!I117/'School Level Inst. Resources'!L117))+('Model Data Inputs'!$C$87*(SUM('School Level Inst. Resources'!J117:K117)/'School Level Inst. Resources'!L117))))*T117*M117)</f>
        <v>256846.72957119509</v>
      </c>
      <c r="AK117" s="123">
        <f>(('Model Data Inputs'!$B$91*(('Model Data Inputs'!$B$87*('School Level Inst. Resources'!I117/'School Level Inst. Resources'!L117))+('Model Data Inputs'!$C$87*(SUM('School Level Inst. Resources'!J117:K117)/'School Level Inst. Resources'!L117))))*T117*N117)</f>
        <v>4545.9598154193818</v>
      </c>
      <c r="AL117" s="137">
        <f>(K117*'Model Data Inputs'!$B$94)*T117</f>
        <v>0</v>
      </c>
      <c r="AM117" s="137">
        <f>K117*'Model Data Inputs'!$B$95</f>
        <v>0</v>
      </c>
      <c r="AN117" s="137">
        <f t="shared" si="26"/>
        <v>0</v>
      </c>
      <c r="AO117" s="137">
        <f>('School Level Inst. Resources'!K117*'Model Data Inputs'!$B$96)+('School Level Inst. Resources'!J117*'Model Data Inputs'!$B$97)</f>
        <v>0</v>
      </c>
      <c r="AP117" s="137">
        <f>$L117*'Model Data Inputs'!$B$100</f>
        <v>6914.68</v>
      </c>
      <c r="AQ117" s="137">
        <f t="shared" si="27"/>
        <v>2029507.5290042998</v>
      </c>
      <c r="AR117" s="141">
        <f t="shared" si="20"/>
        <v>11740.283159910796</v>
      </c>
    </row>
    <row r="118" spans="1:44" s="40" customFormat="1" ht="12.75" customHeight="1" x14ac:dyDescent="0.2">
      <c r="A118" s="20" t="s">
        <v>48</v>
      </c>
      <c r="B118" s="20" t="s">
        <v>49</v>
      </c>
      <c r="C118" s="20" t="s">
        <v>598</v>
      </c>
      <c r="D118" s="20" t="s">
        <v>599</v>
      </c>
      <c r="E118" s="138" t="s">
        <v>600</v>
      </c>
      <c r="F118" s="138" t="str">
        <f>IF(AND(SUM('School Level ADM'!$F118:$J118)=0,SUM('School Level ADM'!$O118:$R118)=0,'School Level ADM'!$K118&gt;0,'School Level ADM'!$N118&gt;0),"T","F")</f>
        <v>F</v>
      </c>
      <c r="G118" s="138" t="str">
        <f>IF(AND(SUM('School Level ADM'!$M118:$R118)=0,'School Level ADM'!$L118&gt;0),"T","F")</f>
        <v>F</v>
      </c>
      <c r="H118" s="138" t="str">
        <f t="shared" si="14"/>
        <v>E</v>
      </c>
      <c r="I118" s="139">
        <f>IF($F118="T",SUM('School Level ADM'!$F118:$J118),IF($G118="T",SUM('School Level ADM'!$F118:$L118),SUM('School Level ADM'!$F118:$K118,0)))</f>
        <v>207.23066666666668</v>
      </c>
      <c r="J118" s="139">
        <f>'School Level ADM'!$S118-$I118-$K118</f>
        <v>0</v>
      </c>
      <c r="K118" s="139">
        <f>IF(SUM('School Level ADM'!$N118:$R118)='School Level ADM'!$S118,SUM('School Level ADM'!$N118:$R118),IF(OR(SUM('School Level ADM'!$F118:$O118)='School Level ADM'!$S118,SUM('School Level ADM'!$G118:$O118)='School Level ADM'!$S118,SUM('School Level ADM'!$H118:$O118)='School Level ADM'!$S118,SUM('School Level ADM'!$I118:$O118)='School Level ADM'!$S118,SUM('School Level ADM'!$J118:$O118)='School Level ADM'!$S118,SUM('School Level ADM'!$K118:$O118)='School Level ADM'!$S118,SUM('School Level ADM'!$L118:$O118)='School Level ADM'!$S118,SUM('School Level ADM'!$M118:$O118)='School Level ADM'!$S118,SUM('School Level ADM'!$N118:$O118)='School Level ADM'!$S118),0,SUM('School Level ADM'!$O118:$R118)))</f>
        <v>0</v>
      </c>
      <c r="L118" s="139">
        <f t="shared" si="15"/>
        <v>207.23066666666668</v>
      </c>
      <c r="M118" s="24">
        <f>'Student At-Risk and ELL Proxy'!S118</f>
        <v>93</v>
      </c>
      <c r="N118" s="24">
        <f>'Student At-Risk and ELL Proxy'!AH118</f>
        <v>2</v>
      </c>
      <c r="O118" s="136">
        <f t="shared" si="21"/>
        <v>1.1499718487940944</v>
      </c>
      <c r="P118" s="136" t="str">
        <f t="shared" si="22"/>
        <v/>
      </c>
      <c r="Q118" s="136" t="str">
        <f t="shared" si="23"/>
        <v/>
      </c>
      <c r="R118" s="136">
        <f t="shared" si="16"/>
        <v>1.1499718487940944</v>
      </c>
      <c r="S118" s="136">
        <f>IF(SUM(3515.4*((VLOOKUP($A118,'District Level ADM'!$A$4:$F$52,6,FALSE))^-0.327)/'Model Data Inputs'!$B$71)&lt;1,1,(3515.4*((VLOOKUP($A118,'District Level ADM'!$A$4:$F$52,6,FALSE))^-0.327)/'Model Data Inputs'!$B$71))</f>
        <v>1.4421716800658948</v>
      </c>
      <c r="T118" s="136">
        <f>VLOOKUP($A118,'Regional Cost Adjustment'!$A$4:$C$52,3,FALSE)</f>
        <v>0.94</v>
      </c>
      <c r="U118" s="123">
        <f>((($I118/$L118)*'Model Data Inputs'!$B$85)+((SUM(J118:K118)/$L118)*'Model Data Inputs'!$C$85))*$R118*$T118</f>
        <v>6883.1938004369867</v>
      </c>
      <c r="V118" s="140">
        <f>((($I118/$L118)*'Model Data Inputs'!$B$86)+((SUM(J118:K118)/$L118)*'Model Data Inputs'!$C$86))*$R118</f>
        <v>1946.4708035803105</v>
      </c>
      <c r="W118" s="140">
        <f t="shared" si="24"/>
        <v>8829.6646040172964</v>
      </c>
      <c r="X118" s="140">
        <f t="shared" si="17"/>
        <v>1426408.8400604238</v>
      </c>
      <c r="Y118" s="140">
        <f t="shared" si="18"/>
        <v>403368.44227315014</v>
      </c>
      <c r="Z118" s="123">
        <f>IF((SUM(X118:Y118))&lt;(AVERAGE('Elementary Size Adjustment'!$B$66,'Secondary Size Adjustment'!$B$66)),(AVERAGE('Elementary Size Adjustment'!$B$66,'Secondary Size Adjustment'!$B$66)),SUM(X118:Y118))</f>
        <v>1829777.282333574</v>
      </c>
      <c r="AA118" s="137">
        <f>'Model Data Inputs'!$B$71*S118*L118</f>
        <v>56783.817754490003</v>
      </c>
      <c r="AB118" s="137">
        <f>L118*'Model Data Inputs'!$B$72</f>
        <v>5180.7666666666673</v>
      </c>
      <c r="AC118" s="137">
        <f>L118*'Model Data Inputs'!$B$73</f>
        <v>51807.666666666672</v>
      </c>
      <c r="AD118" s="137">
        <f>L118*'Model Data Inputs'!$B$74</f>
        <v>25903.833333333336</v>
      </c>
      <c r="AE118" s="137">
        <f>$I118*'Model Data Inputs'!$B$76</f>
        <v>4930.0175600000002</v>
      </c>
      <c r="AF118" s="137">
        <f>VLOOKUP($J118,'Student Activities MS&amp;HS Tables'!$M$7:$O$1267,3)</f>
        <v>0</v>
      </c>
      <c r="AG118" s="137">
        <f>VLOOKUP($K118,'Student Activities MS&amp;HS Tables'!$I$7:$K$3007,3)</f>
        <v>0</v>
      </c>
      <c r="AH118" s="137">
        <f t="shared" si="19"/>
        <v>4930.0175600000002</v>
      </c>
      <c r="AI118" s="123">
        <f t="shared" si="25"/>
        <v>1974383.3843147308</v>
      </c>
      <c r="AJ118" s="123">
        <f>(('Model Data Inputs'!$B$90*(('Model Data Inputs'!$B$87*('School Level Inst. Resources'!I118/'School Level Inst. Resources'!L118))+('Model Data Inputs'!$C$87*(SUM('School Level Inst. Resources'!J118:K118)/'School Level Inst. Resources'!L118))))*T118*M118)</f>
        <v>211387.13141700125</v>
      </c>
      <c r="AK118" s="123">
        <f>(('Model Data Inputs'!$B$91*(('Model Data Inputs'!$B$87*('School Level Inst. Resources'!I118/'School Level Inst. Resources'!L118))+('Model Data Inputs'!$C$87*(SUM('School Level Inst. Resources'!J118:K118)/'School Level Inst. Resources'!L118))))*T118*N118)</f>
        <v>4545.9598154193818</v>
      </c>
      <c r="AL118" s="137">
        <f>(K118*'Model Data Inputs'!$B$94)*T118</f>
        <v>0</v>
      </c>
      <c r="AM118" s="137">
        <f>K118*'Model Data Inputs'!$B$95</f>
        <v>0</v>
      </c>
      <c r="AN118" s="137">
        <f t="shared" si="26"/>
        <v>0</v>
      </c>
      <c r="AO118" s="137">
        <f>('School Level Inst. Resources'!K118*'Model Data Inputs'!$B$96)+('School Level Inst. Resources'!J118*'Model Data Inputs'!$B$97)</f>
        <v>0</v>
      </c>
      <c r="AP118" s="137">
        <f>$L118*'Model Data Inputs'!$B$100</f>
        <v>8289.2266666666674</v>
      </c>
      <c r="AQ118" s="137">
        <f t="shared" si="27"/>
        <v>2198605.7022138177</v>
      </c>
      <c r="AR118" s="141">
        <f t="shared" si="20"/>
        <v>10609.461126476539</v>
      </c>
    </row>
    <row r="119" spans="1:44" s="40" customFormat="1" ht="12.75" customHeight="1" x14ac:dyDescent="0.2">
      <c r="A119" s="20" t="s">
        <v>48</v>
      </c>
      <c r="B119" s="20" t="s">
        <v>49</v>
      </c>
      <c r="C119" s="20" t="s">
        <v>601</v>
      </c>
      <c r="D119" s="20" t="s">
        <v>602</v>
      </c>
      <c r="E119" s="138" t="s">
        <v>593</v>
      </c>
      <c r="F119" s="138" t="str">
        <f>IF(AND(SUM('School Level ADM'!$F119:$J119)=0,SUM('School Level ADM'!$O119:$R119)=0,'School Level ADM'!$K119&gt;0,'School Level ADM'!$N119&gt;0),"T","F")</f>
        <v>F</v>
      </c>
      <c r="G119" s="138" t="str">
        <f>IF(AND(SUM('School Level ADM'!$M119:$R119)=0,'School Level ADM'!$L119&gt;0),"T","F")</f>
        <v>F</v>
      </c>
      <c r="H119" s="138" t="str">
        <f t="shared" si="14"/>
        <v>E</v>
      </c>
      <c r="I119" s="139">
        <f>IF($F119="T",SUM('School Level ADM'!$F119:$J119),IF($G119="T",SUM('School Level ADM'!$F119:$L119),SUM('School Level ADM'!$F119:$K119,0)))</f>
        <v>219.78399999999999</v>
      </c>
      <c r="J119" s="139">
        <f>'School Level ADM'!$S119-$I119-$K119</f>
        <v>0</v>
      </c>
      <c r="K119" s="139">
        <f>IF(SUM('School Level ADM'!$N119:$R119)='School Level ADM'!$S119,SUM('School Level ADM'!$N119:$R119),IF(OR(SUM('School Level ADM'!$F119:$O119)='School Level ADM'!$S119,SUM('School Level ADM'!$G119:$O119)='School Level ADM'!$S119,SUM('School Level ADM'!$H119:$O119)='School Level ADM'!$S119,SUM('School Level ADM'!$I119:$O119)='School Level ADM'!$S119,SUM('School Level ADM'!$J119:$O119)='School Level ADM'!$S119,SUM('School Level ADM'!$K119:$O119)='School Level ADM'!$S119,SUM('School Level ADM'!$L119:$O119)='School Level ADM'!$S119,SUM('School Level ADM'!$M119:$O119)='School Level ADM'!$S119,SUM('School Level ADM'!$N119:$O119)='School Level ADM'!$S119),0,SUM('School Level ADM'!$O119:$R119)))</f>
        <v>0</v>
      </c>
      <c r="L119" s="139">
        <f t="shared" si="15"/>
        <v>219.78399999999999</v>
      </c>
      <c r="M119" s="24">
        <f>'Student At-Risk and ELL Proxy'!S119</f>
        <v>147</v>
      </c>
      <c r="N119" s="24">
        <f>'Student At-Risk and ELL Proxy'!AH119</f>
        <v>0</v>
      </c>
      <c r="O119" s="136">
        <f t="shared" si="21"/>
        <v>1.1233665126377577</v>
      </c>
      <c r="P119" s="136" t="str">
        <f t="shared" si="22"/>
        <v/>
      </c>
      <c r="Q119" s="136" t="str">
        <f t="shared" si="23"/>
        <v/>
      </c>
      <c r="R119" s="136">
        <f t="shared" si="16"/>
        <v>1.1233665126377577</v>
      </c>
      <c r="S119" s="136">
        <f>IF(SUM(3515.4*((VLOOKUP($A119,'District Level ADM'!$A$4:$F$52,6,FALSE))^-0.327)/'Model Data Inputs'!$B$71)&lt;1,1,(3515.4*((VLOOKUP($A119,'District Level ADM'!$A$4:$F$52,6,FALSE))^-0.327)/'Model Data Inputs'!$B$71))</f>
        <v>1.4421716800658948</v>
      </c>
      <c r="T119" s="136">
        <f>VLOOKUP($A119,'Regional Cost Adjustment'!$A$4:$C$52,3,FALSE)</f>
        <v>0.94</v>
      </c>
      <c r="U119" s="123">
        <f>((($I119/$L119)*'Model Data Inputs'!$B$85)+((SUM(J119:K119)/$L119)*'Model Data Inputs'!$C$85))*$R119*$T119</f>
        <v>6723.9466979258459</v>
      </c>
      <c r="V119" s="140">
        <f>((($I119/$L119)*'Model Data Inputs'!$B$86)+((SUM(J119:K119)/$L119)*'Model Data Inputs'!$C$86))*$R119</f>
        <v>1901.4379533396245</v>
      </c>
      <c r="W119" s="140">
        <f t="shared" si="24"/>
        <v>8625.3846512654709</v>
      </c>
      <c r="X119" s="140">
        <f t="shared" si="17"/>
        <v>1477815.9010569341</v>
      </c>
      <c r="Y119" s="140">
        <f t="shared" si="18"/>
        <v>417905.639136796</v>
      </c>
      <c r="Z119" s="123">
        <f>IF((SUM(X119:Y119))&lt;(AVERAGE('Elementary Size Adjustment'!$B$66,'Secondary Size Adjustment'!$B$66)),(AVERAGE('Elementary Size Adjustment'!$B$66,'Secondary Size Adjustment'!$B$66)),SUM(X119:Y119))</f>
        <v>1895721.54019373</v>
      </c>
      <c r="AA119" s="137">
        <f>'Model Data Inputs'!$B$71*S119*L119</f>
        <v>60223.589501004499</v>
      </c>
      <c r="AB119" s="137">
        <f>L119*'Model Data Inputs'!$B$72</f>
        <v>5494.5999999999995</v>
      </c>
      <c r="AC119" s="137">
        <f>L119*'Model Data Inputs'!$B$73</f>
        <v>54946</v>
      </c>
      <c r="AD119" s="137">
        <f>L119*'Model Data Inputs'!$B$74</f>
        <v>27473</v>
      </c>
      <c r="AE119" s="137">
        <f>$I119*'Model Data Inputs'!$B$76</f>
        <v>5228.6613600000001</v>
      </c>
      <c r="AF119" s="137">
        <f>VLOOKUP($J119,'Student Activities MS&amp;HS Tables'!$M$7:$O$1267,3)</f>
        <v>0</v>
      </c>
      <c r="AG119" s="137">
        <f>VLOOKUP($K119,'Student Activities MS&amp;HS Tables'!$I$7:$K$3007,3)</f>
        <v>0</v>
      </c>
      <c r="AH119" s="137">
        <f t="shared" si="19"/>
        <v>5228.6613600000001</v>
      </c>
      <c r="AI119" s="123">
        <f t="shared" si="25"/>
        <v>2049087.3910547346</v>
      </c>
      <c r="AJ119" s="123">
        <f>(('Model Data Inputs'!$B$90*(('Model Data Inputs'!$B$87*('School Level Inst. Resources'!I119/'School Level Inst. Resources'!L119))+('Model Data Inputs'!$C$87*(SUM('School Level Inst. Resources'!J119:K119)/'School Level Inst. Resources'!L119))))*T119*M119)</f>
        <v>334128.04643332458</v>
      </c>
      <c r="AK119" s="123">
        <f>(('Model Data Inputs'!$B$91*(('Model Data Inputs'!$B$87*('School Level Inst. Resources'!I119/'School Level Inst. Resources'!L119))+('Model Data Inputs'!$C$87*(SUM('School Level Inst. Resources'!J119:K119)/'School Level Inst. Resources'!L119))))*T119*N119)</f>
        <v>0</v>
      </c>
      <c r="AL119" s="137">
        <f>(K119*'Model Data Inputs'!$B$94)*T119</f>
        <v>0</v>
      </c>
      <c r="AM119" s="137">
        <f>K119*'Model Data Inputs'!$B$95</f>
        <v>0</v>
      </c>
      <c r="AN119" s="137">
        <f t="shared" si="26"/>
        <v>0</v>
      </c>
      <c r="AO119" s="137">
        <f>('School Level Inst. Resources'!K119*'Model Data Inputs'!$B$96)+('School Level Inst. Resources'!J119*'Model Data Inputs'!$B$97)</f>
        <v>0</v>
      </c>
      <c r="AP119" s="137">
        <f>$L119*'Model Data Inputs'!$B$100</f>
        <v>8791.36</v>
      </c>
      <c r="AQ119" s="137">
        <f t="shared" si="27"/>
        <v>2392006.7974880589</v>
      </c>
      <c r="AR119" s="141">
        <f t="shared" si="20"/>
        <v>10883.443733338456</v>
      </c>
    </row>
    <row r="120" spans="1:44" s="40" customFormat="1" ht="12.75" customHeight="1" x14ac:dyDescent="0.2">
      <c r="A120" s="20" t="s">
        <v>48</v>
      </c>
      <c r="B120" s="20" t="s">
        <v>49</v>
      </c>
      <c r="C120" s="20" t="s">
        <v>603</v>
      </c>
      <c r="D120" s="20" t="s">
        <v>604</v>
      </c>
      <c r="E120" s="138" t="s">
        <v>383</v>
      </c>
      <c r="F120" s="138" t="str">
        <f>IF(AND(SUM('School Level ADM'!$F120:$J120)=0,SUM('School Level ADM'!$O120:$R120)=0,'School Level ADM'!$K120&gt;0,'School Level ADM'!$N120&gt;0),"T","F")</f>
        <v>F</v>
      </c>
      <c r="G120" s="138" t="str">
        <f>IF(AND(SUM('School Level ADM'!$M120:$R120)=0,'School Level ADM'!$L120&gt;0),"T","F")</f>
        <v>F</v>
      </c>
      <c r="H120" s="138" t="str">
        <f t="shared" si="14"/>
        <v>M</v>
      </c>
      <c r="I120" s="139">
        <f>IF($F120="T",SUM('School Level ADM'!$F120:$J120),IF($G120="T",SUM('School Level ADM'!$F120:$L120),SUM('School Level ADM'!$F120:$K120,0)))</f>
        <v>0</v>
      </c>
      <c r="J120" s="139">
        <f>'School Level ADM'!$S120-$I120-$K120</f>
        <v>544.75233333333335</v>
      </c>
      <c r="K120" s="139">
        <f>IF(SUM('School Level ADM'!$N120:$R120)='School Level ADM'!$S120,SUM('School Level ADM'!$N120:$R120),IF(OR(SUM('School Level ADM'!$F120:$O120)='School Level ADM'!$S120,SUM('School Level ADM'!$G120:$O120)='School Level ADM'!$S120,SUM('School Level ADM'!$H120:$O120)='School Level ADM'!$S120,SUM('School Level ADM'!$I120:$O120)='School Level ADM'!$S120,SUM('School Level ADM'!$J120:$O120)='School Level ADM'!$S120,SUM('School Level ADM'!$K120:$O120)='School Level ADM'!$S120,SUM('School Level ADM'!$L120:$O120)='School Level ADM'!$S120,SUM('School Level ADM'!$M120:$O120)='School Level ADM'!$S120,SUM('School Level ADM'!$N120:$O120)='School Level ADM'!$S120),0,SUM('School Level ADM'!$O120:$R120)))</f>
        <v>0</v>
      </c>
      <c r="L120" s="139">
        <f t="shared" si="15"/>
        <v>544.75233333333335</v>
      </c>
      <c r="M120" s="24">
        <f>'Student At-Risk and ELL Proxy'!S120</f>
        <v>327</v>
      </c>
      <c r="N120" s="24">
        <f>'Student At-Risk and ELL Proxy'!AH120</f>
        <v>28</v>
      </c>
      <c r="O120" s="136" t="str">
        <f t="shared" si="21"/>
        <v/>
      </c>
      <c r="P120" s="136">
        <f t="shared" si="22"/>
        <v>0.99976242556244022</v>
      </c>
      <c r="Q120" s="136" t="str">
        <f t="shared" si="23"/>
        <v/>
      </c>
      <c r="R120" s="136">
        <f t="shared" si="16"/>
        <v>0.99976242556244022</v>
      </c>
      <c r="S120" s="136">
        <f>IF(SUM(3515.4*((VLOOKUP($A120,'District Level ADM'!$A$4:$F$52,6,FALSE))^-0.327)/'Model Data Inputs'!$B$71)&lt;1,1,(3515.4*((VLOOKUP($A120,'District Level ADM'!$A$4:$F$52,6,FALSE))^-0.327)/'Model Data Inputs'!$B$71))</f>
        <v>1.4421716800658948</v>
      </c>
      <c r="T120" s="136">
        <f>VLOOKUP($A120,'Regional Cost Adjustment'!$A$4:$C$52,3,FALSE)</f>
        <v>0.94</v>
      </c>
      <c r="U120" s="123">
        <f>((($I120/$L120)*'Model Data Inputs'!$B$85)+((SUM(J120:K120)/$L120)*'Model Data Inputs'!$C$85))*$R120*$T120</f>
        <v>5058.6200356747104</v>
      </c>
      <c r="V120" s="140">
        <f>((($I120/$L120)*'Model Data Inputs'!$B$86)+((SUM(J120:K120)/$L120)*'Model Data Inputs'!$C$86))*$R120</f>
        <v>1432.7672976505523</v>
      </c>
      <c r="W120" s="140">
        <f t="shared" si="24"/>
        <v>6491.3873333252632</v>
      </c>
      <c r="X120" s="140">
        <f t="shared" si="17"/>
        <v>2755695.0678805485</v>
      </c>
      <c r="Y120" s="140">
        <f t="shared" si="18"/>
        <v>780503.32851883292</v>
      </c>
      <c r="Z120" s="123">
        <f>IF((SUM(X120:Y120))&lt;(AVERAGE('Elementary Size Adjustment'!$B$66,'Secondary Size Adjustment'!$B$66)),(AVERAGE('Elementary Size Adjustment'!$B$66,'Secondary Size Adjustment'!$B$66)),SUM(X120:Y120))</f>
        <v>3536198.3963993816</v>
      </c>
      <c r="AA120" s="137">
        <f>'Model Data Inputs'!$B$71*S120*L120</f>
        <v>149269.01367879845</v>
      </c>
      <c r="AB120" s="137">
        <f>L120*'Model Data Inputs'!$B$72</f>
        <v>13618.808333333334</v>
      </c>
      <c r="AC120" s="137">
        <f>L120*'Model Data Inputs'!$B$73</f>
        <v>136188.08333333334</v>
      </c>
      <c r="AD120" s="137">
        <f>L120*'Model Data Inputs'!$B$74</f>
        <v>68094.041666666672</v>
      </c>
      <c r="AE120" s="137">
        <f>$I120*'Model Data Inputs'!$B$76</f>
        <v>0</v>
      </c>
      <c r="AF120" s="137">
        <f>VLOOKUP($J120,'Student Activities MS&amp;HS Tables'!$M$7:$O$1267,3)</f>
        <v>147630.72</v>
      </c>
      <c r="AG120" s="137">
        <f>VLOOKUP($K120,'Student Activities MS&amp;HS Tables'!$I$7:$K$3007,3)</f>
        <v>0</v>
      </c>
      <c r="AH120" s="137">
        <f t="shared" si="19"/>
        <v>147630.72</v>
      </c>
      <c r="AI120" s="123">
        <f t="shared" si="25"/>
        <v>4050999.0634115133</v>
      </c>
      <c r="AJ120" s="123">
        <f>(('Model Data Inputs'!$B$90*(('Model Data Inputs'!$B$87*('School Level Inst. Resources'!I120/'School Level Inst. Resources'!L120))+('Model Data Inputs'!$C$87*(SUM('School Level Inst. Resources'!J120:K120)/'School Level Inst. Resources'!L120))))*T120*M120)</f>
        <v>628521.1496438582</v>
      </c>
      <c r="AK120" s="123">
        <f>(('Model Data Inputs'!$B$91*(('Model Data Inputs'!$B$87*('School Level Inst. Resources'!I120/'School Level Inst. Resources'!L120))+('Model Data Inputs'!$C$87*(SUM('School Level Inst. Resources'!J120:K120)/'School Level Inst. Resources'!L120))))*T120*N120)</f>
        <v>53818.324740146883</v>
      </c>
      <c r="AL120" s="137">
        <f>(K120*'Model Data Inputs'!$B$94)*T120</f>
        <v>0</v>
      </c>
      <c r="AM120" s="137">
        <f>K120*'Model Data Inputs'!$B$95</f>
        <v>0</v>
      </c>
      <c r="AN120" s="137">
        <f t="shared" si="26"/>
        <v>0</v>
      </c>
      <c r="AO120" s="137">
        <f>('School Level Inst. Resources'!K120*'Model Data Inputs'!$B$96)+('School Level Inst. Resources'!J120*'Model Data Inputs'!$B$97)</f>
        <v>13618.808333333334</v>
      </c>
      <c r="AP120" s="137">
        <f>$L120*'Model Data Inputs'!$B$100</f>
        <v>21790.093333333334</v>
      </c>
      <c r="AQ120" s="137">
        <f t="shared" si="27"/>
        <v>4768747.4394621858</v>
      </c>
      <c r="AR120" s="141">
        <f t="shared" si="20"/>
        <v>8753.973407111951</v>
      </c>
    </row>
    <row r="121" spans="1:44" s="40" customFormat="1" ht="12.75" customHeight="1" x14ac:dyDescent="0.2">
      <c r="A121" s="20" t="s">
        <v>48</v>
      </c>
      <c r="B121" s="20" t="s">
        <v>49</v>
      </c>
      <c r="C121" s="20" t="s">
        <v>605</v>
      </c>
      <c r="D121" s="20" t="s">
        <v>606</v>
      </c>
      <c r="E121" s="138" t="s">
        <v>389</v>
      </c>
      <c r="F121" s="138" t="str">
        <f>IF(AND(SUM('School Level ADM'!$F121:$J121)=0,SUM('School Level ADM'!$O121:$R121)=0,'School Level ADM'!$K121&gt;0,'School Level ADM'!$N121&gt;0),"T","F")</f>
        <v>F</v>
      </c>
      <c r="G121" s="138" t="str">
        <f>IF(AND(SUM('School Level ADM'!$M121:$R121)=0,'School Level ADM'!$L121&gt;0),"T","F")</f>
        <v>F</v>
      </c>
      <c r="H121" s="138" t="str">
        <f t="shared" si="14"/>
        <v>H</v>
      </c>
      <c r="I121" s="139">
        <f>IF($F121="T",SUM('School Level ADM'!$F121:$J121),IF($G121="T",SUM('School Level ADM'!$F121:$L121),SUM('School Level ADM'!$F121:$K121,0)))</f>
        <v>0</v>
      </c>
      <c r="J121" s="139">
        <f>'School Level ADM'!$S121-$I121-$K121</f>
        <v>0</v>
      </c>
      <c r="K121" s="139">
        <f>IF(SUM('School Level ADM'!$N121:$R121)='School Level ADM'!$S121,SUM('School Level ADM'!$N121:$R121),IF(OR(SUM('School Level ADM'!$F121:$O121)='School Level ADM'!$S121,SUM('School Level ADM'!$G121:$O121)='School Level ADM'!$S121,SUM('School Level ADM'!$H121:$O121)='School Level ADM'!$S121,SUM('School Level ADM'!$I121:$O121)='School Level ADM'!$S121,SUM('School Level ADM'!$J121:$O121)='School Level ADM'!$S121,SUM('School Level ADM'!$K121:$O121)='School Level ADM'!$S121,SUM('School Level ADM'!$L121:$O121)='School Level ADM'!$S121,SUM('School Level ADM'!$M121:$O121)='School Level ADM'!$S121,SUM('School Level ADM'!$N121:$O121)='School Level ADM'!$S121),0,SUM('School Level ADM'!$O121:$R121)))</f>
        <v>705.03400000000011</v>
      </c>
      <c r="L121" s="139">
        <f t="shared" si="15"/>
        <v>705.03400000000011</v>
      </c>
      <c r="M121" s="24">
        <f>'Student At-Risk and ELL Proxy'!S121</f>
        <v>304</v>
      </c>
      <c r="N121" s="24">
        <f>'Student At-Risk and ELL Proxy'!AH121</f>
        <v>33</v>
      </c>
      <c r="O121" s="136" t="str">
        <f t="shared" si="21"/>
        <v/>
      </c>
      <c r="P121" s="136">
        <f t="shared" si="22"/>
        <v>0.97</v>
      </c>
      <c r="Q121" s="136" t="str">
        <f t="shared" si="23"/>
        <v/>
      </c>
      <c r="R121" s="136">
        <f t="shared" si="16"/>
        <v>0.97</v>
      </c>
      <c r="S121" s="136">
        <f>IF(SUM(3515.4*((VLOOKUP($A121,'District Level ADM'!$A$4:$F$52,6,FALSE))^-0.327)/'Model Data Inputs'!$B$71)&lt;1,1,(3515.4*((VLOOKUP($A121,'District Level ADM'!$A$4:$F$52,6,FALSE))^-0.327)/'Model Data Inputs'!$B$71))</f>
        <v>1.4421716800658948</v>
      </c>
      <c r="T121" s="136">
        <f>VLOOKUP($A121,'Regional Cost Adjustment'!$A$4:$C$52,3,FALSE)</f>
        <v>0.94</v>
      </c>
      <c r="U121" s="123">
        <f>((($I121/$L121)*'Model Data Inputs'!$B$85)+((SUM(J121:K121)/$L121)*'Model Data Inputs'!$C$85))*$R121*$T121</f>
        <v>4908.0274564669671</v>
      </c>
      <c r="V121" s="140">
        <f>((($I121/$L121)*'Model Data Inputs'!$B$86)+((SUM(J121:K121)/$L121)*'Model Data Inputs'!$C$86))*$R121</f>
        <v>1390.1145343996893</v>
      </c>
      <c r="W121" s="140">
        <f t="shared" si="24"/>
        <v>6298.1419908666567</v>
      </c>
      <c r="X121" s="140">
        <f t="shared" si="17"/>
        <v>3460326.2297427324</v>
      </c>
      <c r="Y121" s="140">
        <f t="shared" si="18"/>
        <v>980078.01064595068</v>
      </c>
      <c r="Z121" s="123">
        <f>IF((SUM(X121:Y121))&lt;(AVERAGE('Elementary Size Adjustment'!$B$66,'Secondary Size Adjustment'!$B$66)),(AVERAGE('Elementary Size Adjustment'!$B$66,'Secondary Size Adjustment'!$B$66)),SUM(X121:Y121))</f>
        <v>4440404.240388683</v>
      </c>
      <c r="AA121" s="137">
        <f>'Model Data Inputs'!$B$71*S121*L121</f>
        <v>193188.21297387985</v>
      </c>
      <c r="AB121" s="137">
        <f>L121*'Model Data Inputs'!$B$72</f>
        <v>17625.850000000002</v>
      </c>
      <c r="AC121" s="137">
        <f>L121*'Model Data Inputs'!$B$73</f>
        <v>176258.50000000003</v>
      </c>
      <c r="AD121" s="137">
        <f>L121*'Model Data Inputs'!$B$74</f>
        <v>88129.250000000015</v>
      </c>
      <c r="AE121" s="137">
        <f>$I121*'Model Data Inputs'!$B$76</f>
        <v>0</v>
      </c>
      <c r="AF121" s="137">
        <f>VLOOKUP($J121,'Student Activities MS&amp;HS Tables'!$M$7:$O$1267,3)</f>
        <v>0</v>
      </c>
      <c r="AG121" s="137">
        <f>VLOOKUP($K121,'Student Activities MS&amp;HS Tables'!$I$7:$K$3007,3)</f>
        <v>493077</v>
      </c>
      <c r="AH121" s="137">
        <f t="shared" si="19"/>
        <v>493077</v>
      </c>
      <c r="AI121" s="123">
        <f t="shared" si="25"/>
        <v>5408683.0533625623</v>
      </c>
      <c r="AJ121" s="123">
        <f>(('Model Data Inputs'!$B$90*(('Model Data Inputs'!$B$87*('School Level Inst. Resources'!I121/'School Level Inst. Resources'!L121))+('Model Data Inputs'!$C$87*(SUM('School Level Inst. Resources'!J121:K121)/'School Level Inst. Resources'!L121))))*T121*M121)</f>
        <v>584313.24003588047</v>
      </c>
      <c r="AK121" s="123">
        <f>(('Model Data Inputs'!$B$91*(('Model Data Inputs'!$B$87*('School Level Inst. Resources'!I121/'School Level Inst. Resources'!L121))+('Model Data Inputs'!$C$87*(SUM('School Level Inst. Resources'!J121:K121)/'School Level Inst. Resources'!L121))))*T121*N121)</f>
        <v>63428.739872315964</v>
      </c>
      <c r="AL121" s="137">
        <f>(K121*'Model Data Inputs'!$B$94)*T121</f>
        <v>109394.08624724582</v>
      </c>
      <c r="AM121" s="137">
        <f>K121*'Model Data Inputs'!$B$95</f>
        <v>29547.851559050003</v>
      </c>
      <c r="AN121" s="137">
        <f t="shared" si="26"/>
        <v>138941.93780629581</v>
      </c>
      <c r="AO121" s="137">
        <f>('School Level Inst. Resources'!K121*'Model Data Inputs'!$B$96)+('School Level Inst. Resources'!J121*'Model Data Inputs'!$B$97)</f>
        <v>70503.400000000009</v>
      </c>
      <c r="AP121" s="137">
        <f>$L121*'Model Data Inputs'!$B$100</f>
        <v>28201.360000000004</v>
      </c>
      <c r="AQ121" s="137">
        <f t="shared" si="27"/>
        <v>6294071.7310770554</v>
      </c>
      <c r="AR121" s="141">
        <f t="shared" si="20"/>
        <v>8927.3307827382141</v>
      </c>
    </row>
    <row r="122" spans="1:44" s="40" customFormat="1" ht="12.75" customHeight="1" x14ac:dyDescent="0.2">
      <c r="A122" s="20" t="s">
        <v>48</v>
      </c>
      <c r="B122" s="20" t="s">
        <v>49</v>
      </c>
      <c r="C122" s="20" t="s">
        <v>607</v>
      </c>
      <c r="D122" s="20" t="s">
        <v>608</v>
      </c>
      <c r="E122" s="138" t="s">
        <v>389</v>
      </c>
      <c r="F122" s="138" t="str">
        <f>IF(AND(SUM('School Level ADM'!$F122:$J122)=0,SUM('School Level ADM'!$O122:$R122)=0,'School Level ADM'!$K122&gt;0,'School Level ADM'!$N122&gt;0),"T","F")</f>
        <v>F</v>
      </c>
      <c r="G122" s="138" t="str">
        <f>IF(AND(SUM('School Level ADM'!$M122:$R122)=0,'School Level ADM'!$L122&gt;0),"T","F")</f>
        <v>F</v>
      </c>
      <c r="H122" s="138" t="str">
        <f t="shared" si="14"/>
        <v>H</v>
      </c>
      <c r="I122" s="139">
        <f>IF($F122="T",SUM('School Level ADM'!$F122:$J122),IF($G122="T",SUM('School Level ADM'!$F122:$L122),SUM('School Level ADM'!$F122:$K122,0)))</f>
        <v>0</v>
      </c>
      <c r="J122" s="139">
        <f>'School Level ADM'!$S122-$I122-$K122</f>
        <v>0</v>
      </c>
      <c r="K122" s="139">
        <f>IF(SUM('School Level ADM'!$N122:$R122)='School Level ADM'!$S122,SUM('School Level ADM'!$N122:$R122),IF(OR(SUM('School Level ADM'!$F122:$O122)='School Level ADM'!$S122,SUM('School Level ADM'!$G122:$O122)='School Level ADM'!$S122,SUM('School Level ADM'!$H122:$O122)='School Level ADM'!$S122,SUM('School Level ADM'!$I122:$O122)='School Level ADM'!$S122,SUM('School Level ADM'!$J122:$O122)='School Level ADM'!$S122,SUM('School Level ADM'!$K122:$O122)='School Level ADM'!$S122,SUM('School Level ADM'!$L122:$O122)='School Level ADM'!$S122,SUM('School Level ADM'!$M122:$O122)='School Level ADM'!$S122,SUM('School Level ADM'!$N122:$O122)='School Level ADM'!$S122),0,SUM('School Level ADM'!$O122:$R122)))</f>
        <v>29.865666666666662</v>
      </c>
      <c r="L122" s="139">
        <f t="shared" si="15"/>
        <v>29.865666666666662</v>
      </c>
      <c r="M122" s="24">
        <f>'Student At-Risk and ELL Proxy'!S122</f>
        <v>38.199999999999989</v>
      </c>
      <c r="N122" s="24">
        <f>'Student At-Risk and ELL Proxy'!AH122</f>
        <v>2</v>
      </c>
      <c r="O122" s="136" t="str">
        <f t="shared" si="21"/>
        <v/>
      </c>
      <c r="P122" s="136">
        <f t="shared" si="22"/>
        <v>2.7702390525260165</v>
      </c>
      <c r="Q122" s="136" t="str">
        <f t="shared" si="23"/>
        <v/>
      </c>
      <c r="R122" s="136">
        <f t="shared" si="16"/>
        <v>2.7702390525260165</v>
      </c>
      <c r="S122" s="136">
        <f>IF(SUM(3515.4*((VLOOKUP($A122,'District Level ADM'!$A$4:$F$52,6,FALSE))^-0.327)/'Model Data Inputs'!$B$71)&lt;1,1,(3515.4*((VLOOKUP($A122,'District Level ADM'!$A$4:$F$52,6,FALSE))^-0.327)/'Model Data Inputs'!$B$71))</f>
        <v>1.4421716800658948</v>
      </c>
      <c r="T122" s="136">
        <f>VLOOKUP($A122,'Regional Cost Adjustment'!$A$4:$C$52,3,FALSE)</f>
        <v>0.94</v>
      </c>
      <c r="U122" s="123">
        <f>((($I122/$L122)*'Model Data Inputs'!$B$85)+((SUM(J122:K122)/$L122)*'Model Data Inputs'!$C$85))*$R122*$T122</f>
        <v>14016.916835850232</v>
      </c>
      <c r="V122" s="140">
        <f>((($I122/$L122)*'Model Data Inputs'!$B$86)+((SUM(J122:K122)/$L122)*'Model Data Inputs'!$C$86))*$R122</f>
        <v>3970.051103791794</v>
      </c>
      <c r="W122" s="140">
        <f t="shared" si="24"/>
        <v>17986.967939642025</v>
      </c>
      <c r="X122" s="140">
        <f t="shared" si="17"/>
        <v>418624.56591389101</v>
      </c>
      <c r="Y122" s="140">
        <f t="shared" si="18"/>
        <v>118568.22291547777</v>
      </c>
      <c r="Z122" s="123">
        <f>IF((SUM(X122:Y122))&lt;(AVERAGE('Elementary Size Adjustment'!$B$66,'Secondary Size Adjustment'!$B$66)),(AVERAGE('Elementary Size Adjustment'!$B$66,'Secondary Size Adjustment'!$B$66)),SUM(X122:Y122))</f>
        <v>537192.78882936877</v>
      </c>
      <c r="AA122" s="137">
        <f>'Model Data Inputs'!$B$71*S122*L122</f>
        <v>8183.5695478613843</v>
      </c>
      <c r="AB122" s="137">
        <f>L122*'Model Data Inputs'!$B$72</f>
        <v>746.64166666666654</v>
      </c>
      <c r="AC122" s="137">
        <f>L122*'Model Data Inputs'!$B$73</f>
        <v>7466.4166666666652</v>
      </c>
      <c r="AD122" s="137">
        <f>L122*'Model Data Inputs'!$B$74</f>
        <v>3733.2083333333326</v>
      </c>
      <c r="AE122" s="137">
        <f>$I122*'Model Data Inputs'!$B$76</f>
        <v>0</v>
      </c>
      <c r="AF122" s="137">
        <f>VLOOKUP($J122,'Student Activities MS&amp;HS Tables'!$M$7:$O$1267,3)</f>
        <v>0</v>
      </c>
      <c r="AG122" s="137">
        <f>VLOOKUP($K122,'Student Activities MS&amp;HS Tables'!$I$7:$K$3007,3)</f>
        <v>54820.729999999996</v>
      </c>
      <c r="AH122" s="137">
        <f t="shared" si="19"/>
        <v>54820.729999999996</v>
      </c>
      <c r="AI122" s="123">
        <f t="shared" si="25"/>
        <v>612143.35504389682</v>
      </c>
      <c r="AJ122" s="123">
        <f>(('Model Data Inputs'!$B$90*(('Model Data Inputs'!$B$87*('School Level Inst. Resources'!I122/'School Level Inst. Resources'!L122))+('Model Data Inputs'!$C$87*(SUM('School Level Inst. Resources'!J122:K122)/'School Level Inst. Resources'!L122))))*T122*M122)</f>
        <v>73423.571609771796</v>
      </c>
      <c r="AK122" s="123">
        <f>(('Model Data Inputs'!$B$91*(('Model Data Inputs'!$B$87*('School Level Inst. Resources'!I122/'School Level Inst. Resources'!L122))+('Model Data Inputs'!$C$87*(SUM('School Level Inst. Resources'!J122:K122)/'School Level Inst. Resources'!L122))))*T122*N122)</f>
        <v>3844.1660528676343</v>
      </c>
      <c r="AL122" s="137">
        <f>(K122*'Model Data Inputs'!$B$94)*T122</f>
        <v>4633.9996584062992</v>
      </c>
      <c r="AM122" s="137">
        <f>K122*'Model Data Inputs'!$B$95</f>
        <v>1251.6648635083332</v>
      </c>
      <c r="AN122" s="137">
        <f t="shared" si="26"/>
        <v>5885.6645219146321</v>
      </c>
      <c r="AO122" s="137">
        <f>('School Level Inst. Resources'!K122*'Model Data Inputs'!$B$96)+('School Level Inst. Resources'!J122*'Model Data Inputs'!$B$97)</f>
        <v>2986.5666666666662</v>
      </c>
      <c r="AP122" s="137">
        <f>$L122*'Model Data Inputs'!$B$100</f>
        <v>1194.6266666666666</v>
      </c>
      <c r="AQ122" s="137">
        <f t="shared" si="27"/>
        <v>699477.95056178432</v>
      </c>
      <c r="AR122" s="141">
        <f t="shared" si="20"/>
        <v>23420.804844864819</v>
      </c>
    </row>
    <row r="123" spans="1:44" s="40" customFormat="1" ht="12.75" customHeight="1" x14ac:dyDescent="0.2">
      <c r="A123" s="20" t="s">
        <v>50</v>
      </c>
      <c r="B123" s="20" t="s">
        <v>51</v>
      </c>
      <c r="C123" s="20" t="s">
        <v>609</v>
      </c>
      <c r="D123" s="20" t="s">
        <v>610</v>
      </c>
      <c r="E123" s="138" t="s">
        <v>611</v>
      </c>
      <c r="F123" s="138" t="str">
        <f>IF(AND(SUM('School Level ADM'!$F123:$J123)=0,SUM('School Level ADM'!$O123:$R123)=0,'School Level ADM'!$K123&gt;0,'School Level ADM'!$N123&gt;0),"T","F")</f>
        <v>F</v>
      </c>
      <c r="G123" s="138" t="str">
        <f>IF(AND(SUM('School Level ADM'!$M123:$R123)=0,'School Level ADM'!$L123&gt;0),"T","F")</f>
        <v>F</v>
      </c>
      <c r="H123" s="138" t="str">
        <f t="shared" si="14"/>
        <v>M</v>
      </c>
      <c r="I123" s="139">
        <f>IF($F123="T",SUM('School Level ADM'!$F123:$J123),IF($G123="T",SUM('School Level ADM'!$F123:$L123),SUM('School Level ADM'!$F123:$K123,0)))</f>
        <v>278.755</v>
      </c>
      <c r="J123" s="139">
        <f>'School Level ADM'!$S123-$I123-$K123</f>
        <v>123.125</v>
      </c>
      <c r="K123" s="139">
        <f>IF(SUM('School Level ADM'!$N123:$R123)='School Level ADM'!$S123,SUM('School Level ADM'!$N123:$R123),IF(OR(SUM('School Level ADM'!$F123:$O123)='School Level ADM'!$S123,SUM('School Level ADM'!$G123:$O123)='School Level ADM'!$S123,SUM('School Level ADM'!$H123:$O123)='School Level ADM'!$S123,SUM('School Level ADM'!$I123:$O123)='School Level ADM'!$S123,SUM('School Level ADM'!$J123:$O123)='School Level ADM'!$S123,SUM('School Level ADM'!$K123:$O123)='School Level ADM'!$S123,SUM('School Level ADM'!$L123:$O123)='School Level ADM'!$S123,SUM('School Level ADM'!$M123:$O123)='School Level ADM'!$S123,SUM('School Level ADM'!$N123:$O123)='School Level ADM'!$S123),0,SUM('School Level ADM'!$O123:$R123)))</f>
        <v>0</v>
      </c>
      <c r="L123" s="139">
        <f t="shared" si="15"/>
        <v>401.88</v>
      </c>
      <c r="M123" s="24">
        <f>'Student At-Risk and ELL Proxy'!S123</f>
        <v>378</v>
      </c>
      <c r="N123" s="24">
        <f>'Student At-Risk and ELL Proxy'!AH123</f>
        <v>70</v>
      </c>
      <c r="O123" s="136">
        <f t="shared" si="21"/>
        <v>0.97</v>
      </c>
      <c r="P123" s="136">
        <f t="shared" si="22"/>
        <v>1.1124099380771117</v>
      </c>
      <c r="Q123" s="136" t="str">
        <f t="shared" si="23"/>
        <v/>
      </c>
      <c r="R123" s="136">
        <f t="shared" si="16"/>
        <v>1.0136304957344091</v>
      </c>
      <c r="S123" s="136">
        <f>IF(SUM(3515.4*((VLOOKUP($A123,'District Level ADM'!$A$4:$F$52,6,FALSE))^-0.327)/'Model Data Inputs'!$B$71)&lt;1,1,(3515.4*((VLOOKUP($A123,'District Level ADM'!$A$4:$F$52,6,FALSE))^-0.327)/'Model Data Inputs'!$B$71))</f>
        <v>2.5332221038033818</v>
      </c>
      <c r="T123" s="136">
        <f>VLOOKUP($A123,'Regional Cost Adjustment'!$A$4:$C$52,3,FALSE)</f>
        <v>0.94</v>
      </c>
      <c r="U123" s="123">
        <f>((($I123/$L123)*'Model Data Inputs'!$B$85)+((SUM(J123:K123)/$L123)*'Model Data Inputs'!$C$85))*$R123*$T123</f>
        <v>5779.640205296314</v>
      </c>
      <c r="V123" s="140">
        <f>((($I123/$L123)*'Model Data Inputs'!$B$86)+((SUM(J123:K123)/$L123)*'Model Data Inputs'!$C$86))*$R123</f>
        <v>1635.1034337230139</v>
      </c>
      <c r="W123" s="140">
        <f t="shared" si="24"/>
        <v>7414.7436390193279</v>
      </c>
      <c r="X123" s="140">
        <f t="shared" si="17"/>
        <v>2322721.8057044828</v>
      </c>
      <c r="Y123" s="140">
        <f t="shared" si="18"/>
        <v>657115.36794460483</v>
      </c>
      <c r="Z123" s="123">
        <f>IF((SUM(X123:Y123))&lt;(AVERAGE('Elementary Size Adjustment'!$B$66,'Secondary Size Adjustment'!$B$66)),(AVERAGE('Elementary Size Adjustment'!$B$66,'Secondary Size Adjustment'!$B$66)),SUM(X123:Y123))</f>
        <v>2979837.1736490875</v>
      </c>
      <c r="AA123" s="137">
        <f>'Model Data Inputs'!$B$71*S123*L123</f>
        <v>193429.7468245356</v>
      </c>
      <c r="AB123" s="137">
        <f>L123*'Model Data Inputs'!$B$72</f>
        <v>10047</v>
      </c>
      <c r="AC123" s="137">
        <f>L123*'Model Data Inputs'!$B$73</f>
        <v>100470</v>
      </c>
      <c r="AD123" s="137">
        <f>L123*'Model Data Inputs'!$B$74</f>
        <v>50235</v>
      </c>
      <c r="AE123" s="137">
        <f>$I123*'Model Data Inputs'!$B$76</f>
        <v>6631.5814499999997</v>
      </c>
      <c r="AF123" s="137">
        <f>VLOOKUP($J123,'Student Activities MS&amp;HS Tables'!$M$7:$O$1267,3)</f>
        <v>62315.49</v>
      </c>
      <c r="AG123" s="137">
        <f>VLOOKUP($K123,'Student Activities MS&amp;HS Tables'!$I$7:$K$3007,3)</f>
        <v>0</v>
      </c>
      <c r="AH123" s="137">
        <f t="shared" si="19"/>
        <v>68947.071450000003</v>
      </c>
      <c r="AI123" s="123">
        <f t="shared" si="25"/>
        <v>3402965.9919236233</v>
      </c>
      <c r="AJ123" s="123">
        <f>(('Model Data Inputs'!$B$90*(('Model Data Inputs'!$B$87*('School Level Inst. Resources'!I123/'School Level Inst. Resources'!L123))+('Model Data Inputs'!$C$87*(SUM('School Level Inst. Resources'!J123:K123)/'School Level Inst. Resources'!L123))))*T123*M123)</f>
        <v>818549.45011356461</v>
      </c>
      <c r="AK123" s="123">
        <f>(('Model Data Inputs'!$B$91*(('Model Data Inputs'!$B$87*('School Level Inst. Resources'!I123/'School Level Inst. Resources'!L123))+('Model Data Inputs'!$C$87*(SUM('School Level Inst. Resources'!J123:K123)/'School Level Inst. Resources'!L123))))*T123*N123)</f>
        <v>151583.23150251198</v>
      </c>
      <c r="AL123" s="137">
        <f>(K123*'Model Data Inputs'!$B$94)*T123</f>
        <v>0</v>
      </c>
      <c r="AM123" s="137">
        <f>K123*'Model Data Inputs'!$B$95</f>
        <v>0</v>
      </c>
      <c r="AN123" s="137">
        <f t="shared" si="26"/>
        <v>0</v>
      </c>
      <c r="AO123" s="137">
        <f>('School Level Inst. Resources'!K123*'Model Data Inputs'!$B$96)+('School Level Inst. Resources'!J123*'Model Data Inputs'!$B$97)</f>
        <v>3078.125</v>
      </c>
      <c r="AP123" s="137">
        <f>$L123*'Model Data Inputs'!$B$100</f>
        <v>16075.2</v>
      </c>
      <c r="AQ123" s="137">
        <f t="shared" si="27"/>
        <v>4392251.9985396992</v>
      </c>
      <c r="AR123" s="141">
        <f t="shared" si="20"/>
        <v>10929.26246277421</v>
      </c>
    </row>
    <row r="124" spans="1:44" s="40" customFormat="1" ht="12.75" customHeight="1" x14ac:dyDescent="0.2">
      <c r="A124" s="20" t="s">
        <v>50</v>
      </c>
      <c r="B124" s="20" t="s">
        <v>51</v>
      </c>
      <c r="C124" s="20" t="s">
        <v>612</v>
      </c>
      <c r="D124" s="20" t="s">
        <v>613</v>
      </c>
      <c r="E124" s="138" t="s">
        <v>389</v>
      </c>
      <c r="F124" s="138" t="str">
        <f>IF(AND(SUM('School Level ADM'!$F124:$J124)=0,SUM('School Level ADM'!$O124:$R124)=0,'School Level ADM'!$K124&gt;0,'School Level ADM'!$N124&gt;0),"T","F")</f>
        <v>F</v>
      </c>
      <c r="G124" s="138" t="str">
        <f>IF(AND(SUM('School Level ADM'!$M124:$R124)=0,'School Level ADM'!$L124&gt;0),"T","F")</f>
        <v>F</v>
      </c>
      <c r="H124" s="138" t="str">
        <f t="shared" si="14"/>
        <v>H</v>
      </c>
      <c r="I124" s="139">
        <f>IF($F124="T",SUM('School Level ADM'!$F124:$J124),IF($G124="T",SUM('School Level ADM'!$F124:$L124),SUM('School Level ADM'!$F124:$K124,0)))</f>
        <v>0</v>
      </c>
      <c r="J124" s="139">
        <f>'School Level ADM'!$S124-$I124-$K124</f>
        <v>0</v>
      </c>
      <c r="K124" s="139">
        <f>IF(SUM('School Level ADM'!$N124:$R124)='School Level ADM'!$S124,SUM('School Level ADM'!$N124:$R124),IF(OR(SUM('School Level ADM'!$F124:$O124)='School Level ADM'!$S124,SUM('School Level ADM'!$G124:$O124)='School Level ADM'!$S124,SUM('School Level ADM'!$H124:$O124)='School Level ADM'!$S124,SUM('School Level ADM'!$I124:$O124)='School Level ADM'!$S124,SUM('School Level ADM'!$J124:$O124)='School Level ADM'!$S124,SUM('School Level ADM'!$K124:$O124)='School Level ADM'!$S124,SUM('School Level ADM'!$L124:$O124)='School Level ADM'!$S124,SUM('School Level ADM'!$M124:$O124)='School Level ADM'!$S124,SUM('School Level ADM'!$N124:$O124)='School Level ADM'!$S124),0,SUM('School Level ADM'!$O124:$R124)))</f>
        <v>35.46</v>
      </c>
      <c r="L124" s="139">
        <f t="shared" si="15"/>
        <v>35.46</v>
      </c>
      <c r="M124" s="24">
        <f>'Student At-Risk and ELL Proxy'!S124</f>
        <v>31</v>
      </c>
      <c r="N124" s="24">
        <f>'Student At-Risk and ELL Proxy'!AH124</f>
        <v>3</v>
      </c>
      <c r="O124" s="136" t="str">
        <f t="shared" si="21"/>
        <v/>
      </c>
      <c r="P124" s="136">
        <f t="shared" si="22"/>
        <v>2.6082210738741054</v>
      </c>
      <c r="Q124" s="136" t="str">
        <f t="shared" si="23"/>
        <v/>
      </c>
      <c r="R124" s="136">
        <f t="shared" si="16"/>
        <v>2.6082210738741054</v>
      </c>
      <c r="S124" s="136">
        <f>IF(SUM(3515.4*((VLOOKUP($A124,'District Level ADM'!$A$4:$F$52,6,FALSE))^-0.327)/'Model Data Inputs'!$B$71)&lt;1,1,(3515.4*((VLOOKUP($A124,'District Level ADM'!$A$4:$F$52,6,FALSE))^-0.327)/'Model Data Inputs'!$B$71))</f>
        <v>2.5332221038033818</v>
      </c>
      <c r="T124" s="136">
        <f>VLOOKUP($A124,'Regional Cost Adjustment'!$A$4:$C$52,3,FALSE)</f>
        <v>0.94</v>
      </c>
      <c r="U124" s="123">
        <f>((($I124/$L124)*'Model Data Inputs'!$B$85)+((SUM(J124:K124)/$L124)*'Model Data Inputs'!$C$85))*$R124*$T124</f>
        <v>13197.13468361842</v>
      </c>
      <c r="V124" s="140">
        <f>((($I124/$L124)*'Model Data Inputs'!$B$86)+((SUM(J124:K124)/$L124)*'Model Data Inputs'!$C$86))*$R124</f>
        <v>3737.8618801236698</v>
      </c>
      <c r="W124" s="140">
        <f t="shared" si="24"/>
        <v>16934.99656374209</v>
      </c>
      <c r="X124" s="140">
        <f t="shared" si="17"/>
        <v>467970.39588110917</v>
      </c>
      <c r="Y124" s="140">
        <f t="shared" si="18"/>
        <v>132544.58226918534</v>
      </c>
      <c r="Z124" s="123">
        <f>IF((SUM(X124:Y124))&lt;(AVERAGE('Elementary Size Adjustment'!$B$66,'Secondary Size Adjustment'!$B$66)),(AVERAGE('Elementary Size Adjustment'!$B$66,'Secondary Size Adjustment'!$B$66)),SUM(X124:Y124))</f>
        <v>600514.97815029451</v>
      </c>
      <c r="AA124" s="137">
        <f>'Model Data Inputs'!$B$71*S124*L124</f>
        <v>17067.330602164904</v>
      </c>
      <c r="AB124" s="137">
        <f>L124*'Model Data Inputs'!$B$72</f>
        <v>886.5</v>
      </c>
      <c r="AC124" s="137">
        <f>L124*'Model Data Inputs'!$B$73</f>
        <v>8865</v>
      </c>
      <c r="AD124" s="137">
        <f>L124*'Model Data Inputs'!$B$74</f>
        <v>4432.5</v>
      </c>
      <c r="AE124" s="137">
        <f>$I124*'Model Data Inputs'!$B$76</f>
        <v>0</v>
      </c>
      <c r="AF124" s="137">
        <f>VLOOKUP($J124,'Student Activities MS&amp;HS Tables'!$M$7:$O$1267,3)</f>
        <v>0</v>
      </c>
      <c r="AG124" s="137">
        <f>VLOOKUP($K124,'Student Activities MS&amp;HS Tables'!$I$7:$K$3007,3)</f>
        <v>65211.65</v>
      </c>
      <c r="AH124" s="137">
        <f t="shared" si="19"/>
        <v>65211.65</v>
      </c>
      <c r="AI124" s="123">
        <f t="shared" si="25"/>
        <v>696977.9587524595</v>
      </c>
      <c r="AJ124" s="123">
        <f>(('Model Data Inputs'!$B$90*(('Model Data Inputs'!$B$87*('School Level Inst. Resources'!I124/'School Level Inst. Resources'!L124))+('Model Data Inputs'!$C$87*(SUM('School Level Inst. Resources'!J124:K124)/'School Level Inst. Resources'!L124))))*T124*M124)</f>
        <v>59584.573819448335</v>
      </c>
      <c r="AK124" s="123">
        <f>(('Model Data Inputs'!$B$91*(('Model Data Inputs'!$B$87*('School Level Inst. Resources'!I124/'School Level Inst. Resources'!L124))+('Model Data Inputs'!$C$87*(SUM('School Level Inst. Resources'!J124:K124)/'School Level Inst. Resources'!L124))))*T124*N124)</f>
        <v>5766.2490793014513</v>
      </c>
      <c r="AL124" s="137">
        <f>(K124*'Model Data Inputs'!$B$94)*T124</f>
        <v>5502.0244390020007</v>
      </c>
      <c r="AM124" s="137">
        <f>K124*'Model Data Inputs'!$B$95</f>
        <v>1486.1223944999999</v>
      </c>
      <c r="AN124" s="137">
        <f t="shared" si="26"/>
        <v>6988.1468335020008</v>
      </c>
      <c r="AO124" s="137">
        <f>('School Level Inst. Resources'!K124*'Model Data Inputs'!$B$96)+('School Level Inst. Resources'!J124*'Model Data Inputs'!$B$97)</f>
        <v>3546</v>
      </c>
      <c r="AP124" s="137">
        <f>$L124*'Model Data Inputs'!$B$100</f>
        <v>1418.4</v>
      </c>
      <c r="AQ124" s="137">
        <f t="shared" si="27"/>
        <v>774281.32848471135</v>
      </c>
      <c r="AR124" s="141">
        <f t="shared" si="20"/>
        <v>21835.34485292474</v>
      </c>
    </row>
    <row r="125" spans="1:44" s="40" customFormat="1" ht="12.75" customHeight="1" x14ac:dyDescent="0.2">
      <c r="A125" s="20" t="s">
        <v>52</v>
      </c>
      <c r="B125" s="20" t="s">
        <v>53</v>
      </c>
      <c r="C125" s="20" t="s">
        <v>614</v>
      </c>
      <c r="D125" s="20" t="s">
        <v>615</v>
      </c>
      <c r="E125" s="138" t="s">
        <v>357</v>
      </c>
      <c r="F125" s="138" t="str">
        <f>IF(AND(SUM('School Level ADM'!$F125:$J125)=0,SUM('School Level ADM'!$O125:$R125)=0,'School Level ADM'!$K125&gt;0,'School Level ADM'!$N125&gt;0),"T","F")</f>
        <v>F</v>
      </c>
      <c r="G125" s="138" t="str">
        <f>IF(AND(SUM('School Level ADM'!$M125:$R125)=0,'School Level ADM'!$L125&gt;0),"T","F")</f>
        <v>T</v>
      </c>
      <c r="H125" s="138" t="str">
        <f t="shared" si="14"/>
        <v>E</v>
      </c>
      <c r="I125" s="139">
        <f>IF($F125="T",SUM('School Level ADM'!$F125:$J125),IF($G125="T",SUM('School Level ADM'!$F125:$L125),SUM('School Level ADM'!$F125:$K125,0)))</f>
        <v>116.50733333333334</v>
      </c>
      <c r="J125" s="139">
        <f>'School Level ADM'!$S125-$I125-$K125</f>
        <v>0</v>
      </c>
      <c r="K125" s="139">
        <f>IF(SUM('School Level ADM'!$N125:$R125)='School Level ADM'!$S125,SUM('School Level ADM'!$N125:$R125),IF(OR(SUM('School Level ADM'!$F125:$O125)='School Level ADM'!$S125,SUM('School Level ADM'!$G125:$O125)='School Level ADM'!$S125,SUM('School Level ADM'!$H125:$O125)='School Level ADM'!$S125,SUM('School Level ADM'!$I125:$O125)='School Level ADM'!$S125,SUM('School Level ADM'!$J125:$O125)='School Level ADM'!$S125,SUM('School Level ADM'!$K125:$O125)='School Level ADM'!$S125,SUM('School Level ADM'!$L125:$O125)='School Level ADM'!$S125,SUM('School Level ADM'!$M125:$O125)='School Level ADM'!$S125,SUM('School Level ADM'!$N125:$O125)='School Level ADM'!$S125),0,SUM('School Level ADM'!$O125:$R125)))</f>
        <v>0</v>
      </c>
      <c r="L125" s="139">
        <f t="shared" si="15"/>
        <v>116.50733333333334</v>
      </c>
      <c r="M125" s="24">
        <f>'Student At-Risk and ELL Proxy'!S125</f>
        <v>42</v>
      </c>
      <c r="N125" s="24">
        <f>'Student At-Risk and ELL Proxy'!AH125</f>
        <v>0</v>
      </c>
      <c r="O125" s="136">
        <f t="shared" si="21"/>
        <v>1.446196520490741</v>
      </c>
      <c r="P125" s="136" t="str">
        <f t="shared" si="22"/>
        <v/>
      </c>
      <c r="Q125" s="136" t="str">
        <f t="shared" si="23"/>
        <v/>
      </c>
      <c r="R125" s="136">
        <f t="shared" si="16"/>
        <v>1.446196520490741</v>
      </c>
      <c r="S125" s="136">
        <f>IF(SUM(3515.4*((VLOOKUP($A125,'District Level ADM'!$A$4:$F$52,6,FALSE))^-0.327)/'Model Data Inputs'!$B$71)&lt;1,1,(3515.4*((VLOOKUP($A125,'District Level ADM'!$A$4:$F$52,6,FALSE))^-0.327)/'Model Data Inputs'!$B$71))</f>
        <v>1.6239345319729026</v>
      </c>
      <c r="T125" s="136">
        <f>VLOOKUP($A125,'Regional Cost Adjustment'!$A$4:$C$52,3,FALSE)</f>
        <v>0.91</v>
      </c>
      <c r="U125" s="123">
        <f>((($I125/$L125)*'Model Data Inputs'!$B$85)+((SUM(J125:K125)/$L125)*'Model Data Inputs'!$C$85))*$R125*$T125</f>
        <v>8379.9926858242688</v>
      </c>
      <c r="V125" s="140">
        <f>((($I125/$L125)*'Model Data Inputs'!$B$86)+((SUM(J125:K125)/$L125)*'Model Data Inputs'!$C$86))*$R125</f>
        <v>2447.8680120096496</v>
      </c>
      <c r="W125" s="140">
        <f t="shared" si="24"/>
        <v>10827.860697833919</v>
      </c>
      <c r="X125" s="140">
        <f t="shared" si="17"/>
        <v>976330.60117822338</v>
      </c>
      <c r="Y125" s="140">
        <f t="shared" si="18"/>
        <v>285194.57443121227</v>
      </c>
      <c r="Z125" s="123">
        <f>IF((SUM(X125:Y125))&lt;(AVERAGE('Elementary Size Adjustment'!$B$66,'Secondary Size Adjustment'!$B$66)),(AVERAGE('Elementary Size Adjustment'!$B$66,'Secondary Size Adjustment'!$B$66)),SUM(X125:Y125))</f>
        <v>1261525.1756094357</v>
      </c>
      <c r="AA125" s="137">
        <f>'Model Data Inputs'!$B$71*S125*L125</f>
        <v>35948.053547334748</v>
      </c>
      <c r="AB125" s="137">
        <f>L125*'Model Data Inputs'!$B$72</f>
        <v>2912.6833333333334</v>
      </c>
      <c r="AC125" s="137">
        <f>L125*'Model Data Inputs'!$B$73</f>
        <v>29126.833333333332</v>
      </c>
      <c r="AD125" s="137">
        <f>L125*'Model Data Inputs'!$B$74</f>
        <v>14563.416666666666</v>
      </c>
      <c r="AE125" s="137">
        <f>$I125*'Model Data Inputs'!$B$76</f>
        <v>2771.70946</v>
      </c>
      <c r="AF125" s="137">
        <f>VLOOKUP($J125,'Student Activities MS&amp;HS Tables'!$M$7:$O$1267,3)</f>
        <v>0</v>
      </c>
      <c r="AG125" s="137">
        <f>VLOOKUP($K125,'Student Activities MS&amp;HS Tables'!$I$7:$K$3007,3)</f>
        <v>0</v>
      </c>
      <c r="AH125" s="137">
        <f t="shared" si="19"/>
        <v>2771.70946</v>
      </c>
      <c r="AI125" s="123">
        <f t="shared" si="25"/>
        <v>1346847.8719501039</v>
      </c>
      <c r="AJ125" s="123">
        <f>(('Model Data Inputs'!$B$90*(('Model Data Inputs'!$B$87*('School Level Inst. Resources'!I125/'School Level Inst. Resources'!L125))+('Model Data Inputs'!$C$87*(SUM('School Level Inst. Resources'!J125:K125)/'School Level Inst. Resources'!L125))))*T125*M125)</f>
        <v>92418.395821983388</v>
      </c>
      <c r="AK125" s="123">
        <f>(('Model Data Inputs'!$B$91*(('Model Data Inputs'!$B$87*('School Level Inst. Resources'!I125/'School Level Inst. Resources'!L125))+('Model Data Inputs'!$C$87*(SUM('School Level Inst. Resources'!J125:K125)/'School Level Inst. Resources'!L125))))*T125*N125)</f>
        <v>0</v>
      </c>
      <c r="AL125" s="137">
        <f>(K125*'Model Data Inputs'!$B$94)*T125</f>
        <v>0</v>
      </c>
      <c r="AM125" s="137">
        <f>K125*'Model Data Inputs'!$B$95</f>
        <v>0</v>
      </c>
      <c r="AN125" s="137">
        <f t="shared" si="26"/>
        <v>0</v>
      </c>
      <c r="AO125" s="137">
        <f>('School Level Inst. Resources'!K125*'Model Data Inputs'!$B$96)+('School Level Inst. Resources'!J125*'Model Data Inputs'!$B$97)</f>
        <v>0</v>
      </c>
      <c r="AP125" s="137">
        <f>$L125*'Model Data Inputs'!$B$100</f>
        <v>4660.2933333333331</v>
      </c>
      <c r="AQ125" s="137">
        <f t="shared" si="27"/>
        <v>1443926.5611054206</v>
      </c>
      <c r="AR125" s="141">
        <f t="shared" si="20"/>
        <v>12393.439277974667</v>
      </c>
    </row>
    <row r="126" spans="1:44" s="40" customFormat="1" ht="12.75" customHeight="1" x14ac:dyDescent="0.2">
      <c r="A126" s="20" t="s">
        <v>52</v>
      </c>
      <c r="B126" s="20" t="s">
        <v>53</v>
      </c>
      <c r="C126" s="20" t="s">
        <v>616</v>
      </c>
      <c r="D126" s="20" t="s">
        <v>617</v>
      </c>
      <c r="E126" s="138" t="s">
        <v>357</v>
      </c>
      <c r="F126" s="138" t="str">
        <f>IF(AND(SUM('School Level ADM'!$F126:$J126)=0,SUM('School Level ADM'!$O126:$R126)=0,'School Level ADM'!$K126&gt;0,'School Level ADM'!$N126&gt;0),"T","F")</f>
        <v>F</v>
      </c>
      <c r="G126" s="138" t="str">
        <f>IF(AND(SUM('School Level ADM'!$M126:$R126)=0,'School Level ADM'!$L126&gt;0),"T","F")</f>
        <v>T</v>
      </c>
      <c r="H126" s="138" t="str">
        <f t="shared" si="14"/>
        <v>E</v>
      </c>
      <c r="I126" s="139">
        <f>IF($F126="T",SUM('School Level ADM'!$F126:$J126),IF($G126="T",SUM('School Level ADM'!$F126:$L126),SUM('School Level ADM'!$F126:$K126,0)))</f>
        <v>22.725333333333332</v>
      </c>
      <c r="J126" s="139">
        <f>'School Level ADM'!$S126-$I126-$K126</f>
        <v>0</v>
      </c>
      <c r="K126" s="139">
        <f>IF(SUM('School Level ADM'!$N126:$R126)='School Level ADM'!$S126,SUM('School Level ADM'!$N126:$R126),IF(OR(SUM('School Level ADM'!$F126:$O126)='School Level ADM'!$S126,SUM('School Level ADM'!$G126:$O126)='School Level ADM'!$S126,SUM('School Level ADM'!$H126:$O126)='School Level ADM'!$S126,SUM('School Level ADM'!$I126:$O126)='School Level ADM'!$S126,SUM('School Level ADM'!$J126:$O126)='School Level ADM'!$S126,SUM('School Level ADM'!$K126:$O126)='School Level ADM'!$S126,SUM('School Level ADM'!$L126:$O126)='School Level ADM'!$S126,SUM('School Level ADM'!$M126:$O126)='School Level ADM'!$S126,SUM('School Level ADM'!$N126:$O126)='School Level ADM'!$S126),0,SUM('School Level ADM'!$O126:$R126)))</f>
        <v>0</v>
      </c>
      <c r="L126" s="139">
        <f t="shared" si="15"/>
        <v>22.725333333333332</v>
      </c>
      <c r="M126" s="24">
        <f>'Student At-Risk and ELL Proxy'!S126</f>
        <v>14</v>
      </c>
      <c r="N126" s="24">
        <f>'Student At-Risk and ELL Proxy'!AH126</f>
        <v>0</v>
      </c>
      <c r="O126" s="136">
        <f t="shared" si="21"/>
        <v>2.7716910934537031</v>
      </c>
      <c r="P126" s="136" t="str">
        <f t="shared" si="22"/>
        <v/>
      </c>
      <c r="Q126" s="136" t="str">
        <f t="shared" si="23"/>
        <v/>
      </c>
      <c r="R126" s="136">
        <f t="shared" si="16"/>
        <v>2.7716910934537031</v>
      </c>
      <c r="S126" s="136">
        <f>IF(SUM(3515.4*((VLOOKUP($A126,'District Level ADM'!$A$4:$F$52,6,FALSE))^-0.327)/'Model Data Inputs'!$B$71)&lt;1,1,(3515.4*((VLOOKUP($A126,'District Level ADM'!$A$4:$F$52,6,FALSE))^-0.327)/'Model Data Inputs'!$B$71))</f>
        <v>1.6239345319729026</v>
      </c>
      <c r="T126" s="136">
        <f>VLOOKUP($A126,'Regional Cost Adjustment'!$A$4:$C$52,3,FALSE)</f>
        <v>0.91</v>
      </c>
      <c r="U126" s="123">
        <f>((($I126/$L126)*'Model Data Inputs'!$B$85)+((SUM(J126:K126)/$L126)*'Model Data Inputs'!$C$85))*$R126*$T126</f>
        <v>16060.577356820577</v>
      </c>
      <c r="V126" s="140">
        <f>((($I126/$L126)*'Model Data Inputs'!$B$86)+((SUM(J126:K126)/$L126)*'Model Data Inputs'!$C$86))*$R126</f>
        <v>4691.43292125685</v>
      </c>
      <c r="W126" s="140">
        <f t="shared" si="24"/>
        <v>20752.010278077425</v>
      </c>
      <c r="X126" s="140">
        <f t="shared" si="17"/>
        <v>364981.97395953321</v>
      </c>
      <c r="Y126" s="140">
        <f t="shared" si="18"/>
        <v>106614.37694653566</v>
      </c>
      <c r="Z126" s="123">
        <f>IF((SUM(X126:Y126))&lt;(AVERAGE('Elementary Size Adjustment'!$B$66,'Secondary Size Adjustment'!$B$66)),(AVERAGE('Elementary Size Adjustment'!$B$66,'Secondary Size Adjustment'!$B$66)),SUM(X126:Y126))</f>
        <v>471596.35090606887</v>
      </c>
      <c r="AA126" s="137">
        <f>'Model Data Inputs'!$B$71*S126*L126</f>
        <v>7011.8461746130251</v>
      </c>
      <c r="AB126" s="137">
        <f>L126*'Model Data Inputs'!$B$72</f>
        <v>568.13333333333333</v>
      </c>
      <c r="AC126" s="137">
        <f>L126*'Model Data Inputs'!$B$73</f>
        <v>5681.333333333333</v>
      </c>
      <c r="AD126" s="137">
        <f>L126*'Model Data Inputs'!$B$74</f>
        <v>2840.6666666666665</v>
      </c>
      <c r="AE126" s="137">
        <f>$I126*'Model Data Inputs'!$B$76</f>
        <v>540.63567999999998</v>
      </c>
      <c r="AF126" s="137">
        <f>VLOOKUP($J126,'Student Activities MS&amp;HS Tables'!$M$7:$O$1267,3)</f>
        <v>0</v>
      </c>
      <c r="AG126" s="137">
        <f>VLOOKUP($K126,'Student Activities MS&amp;HS Tables'!$I$7:$K$3007,3)</f>
        <v>0</v>
      </c>
      <c r="AH126" s="137">
        <f t="shared" si="19"/>
        <v>540.63567999999998</v>
      </c>
      <c r="AI126" s="123">
        <f t="shared" si="25"/>
        <v>488238.96609401528</v>
      </c>
      <c r="AJ126" s="123">
        <f>(('Model Data Inputs'!$B$90*(('Model Data Inputs'!$B$87*('School Level Inst. Resources'!I126/'School Level Inst. Resources'!L126))+('Model Data Inputs'!$C$87*(SUM('School Level Inst. Resources'!J126:K126)/'School Level Inst. Resources'!L126))))*T126*M126)</f>
        <v>30806.131940661129</v>
      </c>
      <c r="AK126" s="123">
        <f>(('Model Data Inputs'!$B$91*(('Model Data Inputs'!$B$87*('School Level Inst. Resources'!I126/'School Level Inst. Resources'!L126))+('Model Data Inputs'!$C$87*(SUM('School Level Inst. Resources'!J126:K126)/'School Level Inst. Resources'!L126))))*T126*N126)</f>
        <v>0</v>
      </c>
      <c r="AL126" s="137">
        <f>(K126*'Model Data Inputs'!$B$94)*T126</f>
        <v>0</v>
      </c>
      <c r="AM126" s="137">
        <f>K126*'Model Data Inputs'!$B$95</f>
        <v>0</v>
      </c>
      <c r="AN126" s="137">
        <f t="shared" si="26"/>
        <v>0</v>
      </c>
      <c r="AO126" s="137">
        <f>('School Level Inst. Resources'!K126*'Model Data Inputs'!$B$96)+('School Level Inst. Resources'!J126*'Model Data Inputs'!$B$97)</f>
        <v>0</v>
      </c>
      <c r="AP126" s="137">
        <f>$L126*'Model Data Inputs'!$B$100</f>
        <v>909.01333333333332</v>
      </c>
      <c r="AQ126" s="137">
        <f t="shared" si="27"/>
        <v>519954.1113680097</v>
      </c>
      <c r="AR126" s="141">
        <f t="shared" si="20"/>
        <v>22879.93332116917</v>
      </c>
    </row>
    <row r="127" spans="1:44" s="40" customFormat="1" ht="12.75" customHeight="1" x14ac:dyDescent="0.2">
      <c r="A127" s="20" t="s">
        <v>52</v>
      </c>
      <c r="B127" s="20" t="s">
        <v>53</v>
      </c>
      <c r="C127" s="20" t="s">
        <v>618</v>
      </c>
      <c r="D127" s="20" t="s">
        <v>619</v>
      </c>
      <c r="E127" s="138" t="s">
        <v>354</v>
      </c>
      <c r="F127" s="138" t="str">
        <f>IF(AND(SUM('School Level ADM'!$F127:$J127)=0,SUM('School Level ADM'!$O127:$R127)=0,'School Level ADM'!$K127&gt;0,'School Level ADM'!$N127&gt;0),"T","F")</f>
        <v>F</v>
      </c>
      <c r="G127" s="138" t="str">
        <f>IF(AND(SUM('School Level ADM'!$M127:$R127)=0,'School Level ADM'!$L127&gt;0),"T","F")</f>
        <v>F</v>
      </c>
      <c r="H127" s="138" t="str">
        <f t="shared" si="14"/>
        <v>E</v>
      </c>
      <c r="I127" s="139">
        <f>IF($F127="T",SUM('School Level ADM'!$F127:$J127),IF($G127="T",SUM('School Level ADM'!$F127:$L127),SUM('School Level ADM'!$F127:$K127,0)))</f>
        <v>131.87366666666668</v>
      </c>
      <c r="J127" s="139">
        <f>'School Level ADM'!$S127-$I127-$K127</f>
        <v>0</v>
      </c>
      <c r="K127" s="139">
        <f>IF(SUM('School Level ADM'!$N127:$R127)='School Level ADM'!$S127,SUM('School Level ADM'!$N127:$R127),IF(OR(SUM('School Level ADM'!$F127:$O127)='School Level ADM'!$S127,SUM('School Level ADM'!$G127:$O127)='School Level ADM'!$S127,SUM('School Level ADM'!$H127:$O127)='School Level ADM'!$S127,SUM('School Level ADM'!$I127:$O127)='School Level ADM'!$S127,SUM('School Level ADM'!$J127:$O127)='School Level ADM'!$S127,SUM('School Level ADM'!$K127:$O127)='School Level ADM'!$S127,SUM('School Level ADM'!$L127:$O127)='School Level ADM'!$S127,SUM('School Level ADM'!$M127:$O127)='School Level ADM'!$S127,SUM('School Level ADM'!$N127:$O127)='School Level ADM'!$S127),0,SUM('School Level ADM'!$O127:$R127)))</f>
        <v>0</v>
      </c>
      <c r="L127" s="139">
        <f t="shared" si="15"/>
        <v>131.87366666666668</v>
      </c>
      <c r="M127" s="24">
        <f>'Student At-Risk and ELL Proxy'!S127</f>
        <v>75</v>
      </c>
      <c r="N127" s="24">
        <f>'Student At-Risk and ELL Proxy'!AH127</f>
        <v>1</v>
      </c>
      <c r="O127" s="136">
        <f t="shared" si="21"/>
        <v>1.3766165743042145</v>
      </c>
      <c r="P127" s="136" t="str">
        <f t="shared" si="22"/>
        <v/>
      </c>
      <c r="Q127" s="136" t="str">
        <f t="shared" si="23"/>
        <v/>
      </c>
      <c r="R127" s="136">
        <f t="shared" si="16"/>
        <v>1.3766165743042145</v>
      </c>
      <c r="S127" s="136">
        <f>IF(SUM(3515.4*((VLOOKUP($A127,'District Level ADM'!$A$4:$F$52,6,FALSE))^-0.327)/'Model Data Inputs'!$B$71)&lt;1,1,(3515.4*((VLOOKUP($A127,'District Level ADM'!$A$4:$F$52,6,FALSE))^-0.327)/'Model Data Inputs'!$B$71))</f>
        <v>1.6239345319729026</v>
      </c>
      <c r="T127" s="136">
        <f>VLOOKUP($A127,'Regional Cost Adjustment'!$A$4:$C$52,3,FALSE)</f>
        <v>0.91</v>
      </c>
      <c r="U127" s="123">
        <f>((($I127/$L127)*'Model Data Inputs'!$B$85)+((SUM(J127:K127)/$L127)*'Model Data Inputs'!$C$85))*$R127*$T127</f>
        <v>7976.8113533693404</v>
      </c>
      <c r="V127" s="140">
        <f>((($I127/$L127)*'Model Data Inputs'!$B$86)+((SUM(J127:K127)/$L127)*'Model Data Inputs'!$C$86))*$R127</f>
        <v>2330.0952735649776</v>
      </c>
      <c r="W127" s="140">
        <f t="shared" si="24"/>
        <v>10306.906626934318</v>
      </c>
      <c r="X127" s="140">
        <f t="shared" si="17"/>
        <v>1051931.3614771108</v>
      </c>
      <c r="Y127" s="140">
        <f t="shared" si="18"/>
        <v>307278.20740768337</v>
      </c>
      <c r="Z127" s="123">
        <f>IF((SUM(X127:Y127))&lt;(AVERAGE('Elementary Size Adjustment'!$B$66,'Secondary Size Adjustment'!$B$66)),(AVERAGE('Elementary Size Adjustment'!$B$66,'Secondary Size Adjustment'!$B$66)),SUM(X127:Y127))</f>
        <v>1359209.5688847941</v>
      </c>
      <c r="AA127" s="137">
        <f>'Model Data Inputs'!$B$71*S127*L127</f>
        <v>40689.298219997945</v>
      </c>
      <c r="AB127" s="137">
        <f>L127*'Model Data Inputs'!$B$72</f>
        <v>3296.8416666666672</v>
      </c>
      <c r="AC127" s="137">
        <f>L127*'Model Data Inputs'!$B$73</f>
        <v>32968.416666666672</v>
      </c>
      <c r="AD127" s="137">
        <f>L127*'Model Data Inputs'!$B$74</f>
        <v>16484.208333333336</v>
      </c>
      <c r="AE127" s="137">
        <f>$I127*'Model Data Inputs'!$B$76</f>
        <v>3137.2745300000001</v>
      </c>
      <c r="AF127" s="137">
        <f>VLOOKUP($J127,'Student Activities MS&amp;HS Tables'!$M$7:$O$1267,3)</f>
        <v>0</v>
      </c>
      <c r="AG127" s="137">
        <f>VLOOKUP($K127,'Student Activities MS&amp;HS Tables'!$I$7:$K$3007,3)</f>
        <v>0</v>
      </c>
      <c r="AH127" s="137">
        <f t="shared" si="19"/>
        <v>3137.2745300000001</v>
      </c>
      <c r="AI127" s="123">
        <f t="shared" si="25"/>
        <v>1455785.6083014586</v>
      </c>
      <c r="AJ127" s="123">
        <f>(('Model Data Inputs'!$B$90*(('Model Data Inputs'!$B$87*('School Level Inst. Resources'!I127/'School Level Inst. Resources'!L127))+('Model Data Inputs'!$C$87*(SUM('School Level Inst. Resources'!J127:K127)/'School Level Inst. Resources'!L127))))*T127*M127)</f>
        <v>165032.84968211318</v>
      </c>
      <c r="AK127" s="123">
        <f>(('Model Data Inputs'!$B$91*(('Model Data Inputs'!$B$87*('School Level Inst. Resources'!I127/'School Level Inst. Resources'!L127))+('Model Data Inputs'!$C$87*(SUM('School Level Inst. Resources'!J127:K127)/'School Level Inst. Resources'!L127))))*T127*N127)</f>
        <v>2200.4379957615092</v>
      </c>
      <c r="AL127" s="137">
        <f>(K127*'Model Data Inputs'!$B$94)*T127</f>
        <v>0</v>
      </c>
      <c r="AM127" s="137">
        <f>K127*'Model Data Inputs'!$B$95</f>
        <v>0</v>
      </c>
      <c r="AN127" s="137">
        <f t="shared" si="26"/>
        <v>0</v>
      </c>
      <c r="AO127" s="137">
        <f>('School Level Inst. Resources'!K127*'Model Data Inputs'!$B$96)+('School Level Inst. Resources'!J127*'Model Data Inputs'!$B$97)</f>
        <v>0</v>
      </c>
      <c r="AP127" s="137">
        <f>$L127*'Model Data Inputs'!$B$100</f>
        <v>5274.9466666666667</v>
      </c>
      <c r="AQ127" s="137">
        <f t="shared" si="27"/>
        <v>1628293.842646</v>
      </c>
      <c r="AR127" s="141">
        <f t="shared" si="20"/>
        <v>12347.376726559003</v>
      </c>
    </row>
    <row r="128" spans="1:44" s="40" customFormat="1" ht="12.75" customHeight="1" x14ac:dyDescent="0.2">
      <c r="A128" s="20" t="s">
        <v>52</v>
      </c>
      <c r="B128" s="20" t="s">
        <v>53</v>
      </c>
      <c r="C128" s="20" t="s">
        <v>620</v>
      </c>
      <c r="D128" s="20" t="s">
        <v>621</v>
      </c>
      <c r="E128" s="138" t="s">
        <v>622</v>
      </c>
      <c r="F128" s="138" t="str">
        <f>IF(AND(SUM('School Level ADM'!$F128:$J128)=0,SUM('School Level ADM'!$O128:$R128)=0,'School Level ADM'!$K128&gt;0,'School Level ADM'!$N128&gt;0),"T","F")</f>
        <v>F</v>
      </c>
      <c r="G128" s="138" t="str">
        <f>IF(AND(SUM('School Level ADM'!$M128:$R128)=0,'School Level ADM'!$L128&gt;0),"T","F")</f>
        <v>F</v>
      </c>
      <c r="H128" s="138" t="str">
        <f t="shared" si="14"/>
        <v>E</v>
      </c>
      <c r="I128" s="139">
        <f>IF($F128="T",SUM('School Level ADM'!$F128:$J128),IF($G128="T",SUM('School Level ADM'!$F128:$L128),SUM('School Level ADM'!$F128:$K128,0)))</f>
        <v>263.73066666666671</v>
      </c>
      <c r="J128" s="139">
        <f>'School Level ADM'!$S128-$I128-$K128</f>
        <v>0</v>
      </c>
      <c r="K128" s="139">
        <f>IF(SUM('School Level ADM'!$N128:$R128)='School Level ADM'!$S128,SUM('School Level ADM'!$N128:$R128),IF(OR(SUM('School Level ADM'!$F128:$O128)='School Level ADM'!$S128,SUM('School Level ADM'!$G128:$O128)='School Level ADM'!$S128,SUM('School Level ADM'!$H128:$O128)='School Level ADM'!$S128,SUM('School Level ADM'!$I128:$O128)='School Level ADM'!$S128,SUM('School Level ADM'!$J128:$O128)='School Level ADM'!$S128,SUM('School Level ADM'!$K128:$O128)='School Level ADM'!$S128,SUM('School Level ADM'!$L128:$O128)='School Level ADM'!$S128,SUM('School Level ADM'!$M128:$O128)='School Level ADM'!$S128,SUM('School Level ADM'!$N128:$O128)='School Level ADM'!$S128),0,SUM('School Level ADM'!$O128:$R128)))</f>
        <v>0</v>
      </c>
      <c r="L128" s="139">
        <f t="shared" si="15"/>
        <v>263.73066666666671</v>
      </c>
      <c r="M128" s="24">
        <f>'Student At-Risk and ELL Proxy'!S128</f>
        <v>149</v>
      </c>
      <c r="N128" s="24">
        <f>'Student At-Risk and ELL Proxy'!AH128</f>
        <v>5</v>
      </c>
      <c r="O128" s="136">
        <f t="shared" si="21"/>
        <v>1.0447538466282975</v>
      </c>
      <c r="P128" s="136" t="str">
        <f t="shared" si="22"/>
        <v/>
      </c>
      <c r="Q128" s="136" t="str">
        <f t="shared" si="23"/>
        <v/>
      </c>
      <c r="R128" s="136">
        <f t="shared" si="16"/>
        <v>1.0447538466282975</v>
      </c>
      <c r="S128" s="136">
        <f>IF(SUM(3515.4*((VLOOKUP($A128,'District Level ADM'!$A$4:$F$52,6,FALSE))^-0.327)/'Model Data Inputs'!$B$71)&lt;1,1,(3515.4*((VLOOKUP($A128,'District Level ADM'!$A$4:$F$52,6,FALSE))^-0.327)/'Model Data Inputs'!$B$71))</f>
        <v>1.6239345319729026</v>
      </c>
      <c r="T128" s="136">
        <f>VLOOKUP($A128,'Regional Cost Adjustment'!$A$4:$C$52,3,FALSE)</f>
        <v>0.91</v>
      </c>
      <c r="U128" s="123">
        <f>((($I128/$L128)*'Model Data Inputs'!$B$85)+((SUM(J128:K128)/$L128)*'Model Data Inputs'!$C$85))*$R128*$T128</f>
        <v>6053.8311835109653</v>
      </c>
      <c r="V128" s="140">
        <f>((($I128/$L128)*'Model Data Inputs'!$B$86)+((SUM(J128:K128)/$L128)*'Model Data Inputs'!$C$86))*$R128</f>
        <v>1768.3762098373952</v>
      </c>
      <c r="W128" s="140">
        <f t="shared" si="24"/>
        <v>7822.2073933483607</v>
      </c>
      <c r="X128" s="140">
        <f t="shared" si="17"/>
        <v>1596580.9339148027</v>
      </c>
      <c r="Y128" s="140">
        <f t="shared" si="18"/>
        <v>466375.03673788952</v>
      </c>
      <c r="Z128" s="123">
        <f>IF((SUM(X128:Y128))&lt;(AVERAGE('Elementary Size Adjustment'!$B$66,'Secondary Size Adjustment'!$B$66)),(AVERAGE('Elementary Size Adjustment'!$B$66,'Secondary Size Adjustment'!$B$66)),SUM(X128:Y128))</f>
        <v>2062955.9706526923</v>
      </c>
      <c r="AA128" s="137">
        <f>'Model Data Inputs'!$B$71*S128*L128</f>
        <v>81373.453980644656</v>
      </c>
      <c r="AB128" s="137">
        <f>L128*'Model Data Inputs'!$B$72</f>
        <v>6593.2666666666673</v>
      </c>
      <c r="AC128" s="137">
        <f>L128*'Model Data Inputs'!$B$73</f>
        <v>65932.666666666672</v>
      </c>
      <c r="AD128" s="137">
        <f>L128*'Model Data Inputs'!$B$74</f>
        <v>32966.333333333336</v>
      </c>
      <c r="AE128" s="137">
        <f>$I128*'Model Data Inputs'!$B$76</f>
        <v>6274.1525600000004</v>
      </c>
      <c r="AF128" s="137">
        <f>VLOOKUP($J128,'Student Activities MS&amp;HS Tables'!$M$7:$O$1267,3)</f>
        <v>0</v>
      </c>
      <c r="AG128" s="137">
        <f>VLOOKUP($K128,'Student Activities MS&amp;HS Tables'!$I$7:$K$3007,3)</f>
        <v>0</v>
      </c>
      <c r="AH128" s="137">
        <f t="shared" si="19"/>
        <v>6274.1525600000004</v>
      </c>
      <c r="AI128" s="123">
        <f t="shared" si="25"/>
        <v>2256095.8438600032</v>
      </c>
      <c r="AJ128" s="123">
        <f>(('Model Data Inputs'!$B$90*(('Model Data Inputs'!$B$87*('School Level Inst. Resources'!I128/'School Level Inst. Resources'!L128))+('Model Data Inputs'!$C$87*(SUM('School Level Inst. Resources'!J128:K128)/'School Level Inst. Resources'!L128))))*T128*M128)</f>
        <v>327865.26136846485</v>
      </c>
      <c r="AK128" s="123">
        <f>(('Model Data Inputs'!$B$91*(('Model Data Inputs'!$B$87*('School Level Inst. Resources'!I128/'School Level Inst. Resources'!L128))+('Model Data Inputs'!$C$87*(SUM('School Level Inst. Resources'!J128:K128)/'School Level Inst. Resources'!L128))))*T128*N128)</f>
        <v>11002.189978807546</v>
      </c>
      <c r="AL128" s="137">
        <f>(K128*'Model Data Inputs'!$B$94)*T128</f>
        <v>0</v>
      </c>
      <c r="AM128" s="137">
        <f>K128*'Model Data Inputs'!$B$95</f>
        <v>0</v>
      </c>
      <c r="AN128" s="137">
        <f t="shared" si="26"/>
        <v>0</v>
      </c>
      <c r="AO128" s="137">
        <f>('School Level Inst. Resources'!K128*'Model Data Inputs'!$B$96)+('School Level Inst. Resources'!J128*'Model Data Inputs'!$B$97)</f>
        <v>0</v>
      </c>
      <c r="AP128" s="137">
        <f>$L128*'Model Data Inputs'!$B$100</f>
        <v>10549.226666666669</v>
      </c>
      <c r="AQ128" s="137">
        <f t="shared" si="27"/>
        <v>2605512.5218739421</v>
      </c>
      <c r="AR128" s="141">
        <f t="shared" si="20"/>
        <v>9879.4446425416645</v>
      </c>
    </row>
    <row r="129" spans="1:44" s="40" customFormat="1" ht="12.75" customHeight="1" x14ac:dyDescent="0.2">
      <c r="A129" s="20" t="s">
        <v>52</v>
      </c>
      <c r="B129" s="20" t="s">
        <v>53</v>
      </c>
      <c r="C129" s="20" t="s">
        <v>623</v>
      </c>
      <c r="D129" s="20" t="s">
        <v>624</v>
      </c>
      <c r="E129" s="138" t="s">
        <v>625</v>
      </c>
      <c r="F129" s="138" t="str">
        <f>IF(AND(SUM('School Level ADM'!$F129:$J129)=0,SUM('School Level ADM'!$O129:$R129)=0,'School Level ADM'!$K129&gt;0,'School Level ADM'!$N129&gt;0),"T","F")</f>
        <v>F</v>
      </c>
      <c r="G129" s="138" t="str">
        <f>IF(AND(SUM('School Level ADM'!$M129:$R129)=0,'School Level ADM'!$L129&gt;0),"T","F")</f>
        <v>F</v>
      </c>
      <c r="H129" s="138" t="str">
        <f t="shared" si="14"/>
        <v>E</v>
      </c>
      <c r="I129" s="139">
        <f>IF($F129="T",SUM('School Level ADM'!$F129:$J129),IF($G129="T",SUM('School Level ADM'!$F129:$L129),SUM('School Level ADM'!$F129:$K129,0)))</f>
        <v>262.44499999999999</v>
      </c>
      <c r="J129" s="139">
        <f>'School Level ADM'!$S129-$I129-$K129</f>
        <v>0</v>
      </c>
      <c r="K129" s="139">
        <f>IF(SUM('School Level ADM'!$N129:$R129)='School Level ADM'!$S129,SUM('School Level ADM'!$N129:$R129),IF(OR(SUM('School Level ADM'!$F129:$O129)='School Level ADM'!$S129,SUM('School Level ADM'!$G129:$O129)='School Level ADM'!$S129,SUM('School Level ADM'!$H129:$O129)='School Level ADM'!$S129,SUM('School Level ADM'!$I129:$O129)='School Level ADM'!$S129,SUM('School Level ADM'!$J129:$O129)='School Level ADM'!$S129,SUM('School Level ADM'!$K129:$O129)='School Level ADM'!$S129,SUM('School Level ADM'!$L129:$O129)='School Level ADM'!$S129,SUM('School Level ADM'!$M129:$O129)='School Level ADM'!$S129,SUM('School Level ADM'!$N129:$O129)='School Level ADM'!$S129),0,SUM('School Level ADM'!$O129:$R129)))</f>
        <v>0</v>
      </c>
      <c r="L129" s="139">
        <f t="shared" si="15"/>
        <v>262.44499999999999</v>
      </c>
      <c r="M129" s="24">
        <f>'Student At-Risk and ELL Proxy'!S129</f>
        <v>141</v>
      </c>
      <c r="N129" s="24">
        <f>'Student At-Risk and ELL Proxy'!AH129</f>
        <v>8</v>
      </c>
      <c r="O129" s="136">
        <f t="shared" si="21"/>
        <v>1.0467878325706528</v>
      </c>
      <c r="P129" s="136" t="str">
        <f t="shared" si="22"/>
        <v/>
      </c>
      <c r="Q129" s="136" t="str">
        <f t="shared" si="23"/>
        <v/>
      </c>
      <c r="R129" s="136">
        <f t="shared" si="16"/>
        <v>1.0467878325706528</v>
      </c>
      <c r="S129" s="136">
        <f>IF(SUM(3515.4*((VLOOKUP($A129,'District Level ADM'!$A$4:$F$52,6,FALSE))^-0.327)/'Model Data Inputs'!$B$71)&lt;1,1,(3515.4*((VLOOKUP($A129,'District Level ADM'!$A$4:$F$52,6,FALSE))^-0.327)/'Model Data Inputs'!$B$71))</f>
        <v>1.6239345319729026</v>
      </c>
      <c r="T129" s="136">
        <f>VLOOKUP($A129,'Regional Cost Adjustment'!$A$4:$C$52,3,FALSE)</f>
        <v>0.91</v>
      </c>
      <c r="U129" s="123">
        <f>((($I129/$L129)*'Model Data Inputs'!$B$85)+((SUM(J129:K129)/$L129)*'Model Data Inputs'!$C$85))*$R129*$T129</f>
        <v>6065.6171248256514</v>
      </c>
      <c r="V129" s="140">
        <f>((($I129/$L129)*'Model Data Inputs'!$B$86)+((SUM(J129:K129)/$L129)*'Model Data Inputs'!$C$86))*$R129</f>
        <v>1771.8189847677893</v>
      </c>
      <c r="W129" s="140">
        <f t="shared" si="24"/>
        <v>7837.436109593441</v>
      </c>
      <c r="X129" s="140">
        <f t="shared" si="17"/>
        <v>1591890.8863248681</v>
      </c>
      <c r="Y129" s="140">
        <f t="shared" si="18"/>
        <v>465005.03345738247</v>
      </c>
      <c r="Z129" s="123">
        <f>IF((SUM(X129:Y129))&lt;(AVERAGE('Elementary Size Adjustment'!$B$66,'Secondary Size Adjustment'!$B$66)),(AVERAGE('Elementary Size Adjustment'!$B$66,'Secondary Size Adjustment'!$B$66)),SUM(X129:Y129))</f>
        <v>2056895.9197822507</v>
      </c>
      <c r="AA129" s="137">
        <f>'Model Data Inputs'!$B$71*S129*L129</f>
        <v>80976.764666289397</v>
      </c>
      <c r="AB129" s="137">
        <f>L129*'Model Data Inputs'!$B$72</f>
        <v>6561.125</v>
      </c>
      <c r="AC129" s="137">
        <f>L129*'Model Data Inputs'!$B$73</f>
        <v>65611.25</v>
      </c>
      <c r="AD129" s="137">
        <f>L129*'Model Data Inputs'!$B$74</f>
        <v>32805.625</v>
      </c>
      <c r="AE129" s="137">
        <f>$I129*'Model Data Inputs'!$B$76</f>
        <v>6243.5665499999996</v>
      </c>
      <c r="AF129" s="137">
        <f>VLOOKUP($J129,'Student Activities MS&amp;HS Tables'!$M$7:$O$1267,3)</f>
        <v>0</v>
      </c>
      <c r="AG129" s="137">
        <f>VLOOKUP($K129,'Student Activities MS&amp;HS Tables'!$I$7:$K$3007,3)</f>
        <v>0</v>
      </c>
      <c r="AH129" s="137">
        <f t="shared" si="19"/>
        <v>6243.5665499999996</v>
      </c>
      <c r="AI129" s="123">
        <f t="shared" si="25"/>
        <v>2249094.2509985403</v>
      </c>
      <c r="AJ129" s="123">
        <f>(('Model Data Inputs'!$B$90*(('Model Data Inputs'!$B$87*('School Level Inst. Resources'!I129/'School Level Inst. Resources'!L129))+('Model Data Inputs'!$C$87*(SUM('School Level Inst. Resources'!J129:K129)/'School Level Inst. Resources'!L129))))*T129*M129)</f>
        <v>310261.75740237278</v>
      </c>
      <c r="AK129" s="123">
        <f>(('Model Data Inputs'!$B$91*(('Model Data Inputs'!$B$87*('School Level Inst. Resources'!I129/'School Level Inst. Resources'!L129))+('Model Data Inputs'!$C$87*(SUM('School Level Inst. Resources'!J129:K129)/'School Level Inst. Resources'!L129))))*T129*N129)</f>
        <v>17603.503966092074</v>
      </c>
      <c r="AL129" s="137">
        <f>(K129*'Model Data Inputs'!$B$94)*T129</f>
        <v>0</v>
      </c>
      <c r="AM129" s="137">
        <f>K129*'Model Data Inputs'!$B$95</f>
        <v>0</v>
      </c>
      <c r="AN129" s="137">
        <f t="shared" si="26"/>
        <v>0</v>
      </c>
      <c r="AO129" s="137">
        <f>('School Level Inst. Resources'!K129*'Model Data Inputs'!$B$96)+('School Level Inst. Resources'!J129*'Model Data Inputs'!$B$97)</f>
        <v>0</v>
      </c>
      <c r="AP129" s="137">
        <f>$L129*'Model Data Inputs'!$B$100</f>
        <v>10497.8</v>
      </c>
      <c r="AQ129" s="137">
        <f t="shared" si="27"/>
        <v>2587457.3123670053</v>
      </c>
      <c r="AR129" s="141">
        <f t="shared" si="20"/>
        <v>9859.0459424527253</v>
      </c>
    </row>
    <row r="130" spans="1:44" s="40" customFormat="1" ht="12.75" customHeight="1" x14ac:dyDescent="0.2">
      <c r="A130" s="20" t="s">
        <v>52</v>
      </c>
      <c r="B130" s="20" t="s">
        <v>53</v>
      </c>
      <c r="C130" s="20" t="s">
        <v>626</v>
      </c>
      <c r="D130" s="20" t="s">
        <v>627</v>
      </c>
      <c r="E130" s="138" t="s">
        <v>383</v>
      </c>
      <c r="F130" s="138" t="str">
        <f>IF(AND(SUM('School Level ADM'!$F130:$J130)=0,SUM('School Level ADM'!$O130:$R130)=0,'School Level ADM'!$K130&gt;0,'School Level ADM'!$N130&gt;0),"T","F")</f>
        <v>F</v>
      </c>
      <c r="G130" s="138" t="str">
        <f>IF(AND(SUM('School Level ADM'!$M130:$R130)=0,'School Level ADM'!$L130&gt;0),"T","F")</f>
        <v>F</v>
      </c>
      <c r="H130" s="138" t="str">
        <f t="shared" si="14"/>
        <v>M</v>
      </c>
      <c r="I130" s="139">
        <f>IF($F130="T",SUM('School Level ADM'!$F130:$J130),IF($G130="T",SUM('School Level ADM'!$F130:$L130),SUM('School Level ADM'!$F130:$K130,0)))</f>
        <v>0</v>
      </c>
      <c r="J130" s="139">
        <f>'School Level ADM'!$S130-$I130-$K130</f>
        <v>51.119666666666674</v>
      </c>
      <c r="K130" s="139">
        <f>IF(SUM('School Level ADM'!$N130:$R130)='School Level ADM'!$S130,SUM('School Level ADM'!$N130:$R130),IF(OR(SUM('School Level ADM'!$F130:$O130)='School Level ADM'!$S130,SUM('School Level ADM'!$G130:$O130)='School Level ADM'!$S130,SUM('School Level ADM'!$H130:$O130)='School Level ADM'!$S130,SUM('School Level ADM'!$I130:$O130)='School Level ADM'!$S130,SUM('School Level ADM'!$J130:$O130)='School Level ADM'!$S130,SUM('School Level ADM'!$K130:$O130)='School Level ADM'!$S130,SUM('School Level ADM'!$L130:$O130)='School Level ADM'!$S130,SUM('School Level ADM'!$M130:$O130)='School Level ADM'!$S130,SUM('School Level ADM'!$N130:$O130)='School Level ADM'!$S130),0,SUM('School Level ADM'!$O130:$R130)))</f>
        <v>0</v>
      </c>
      <c r="L130" s="139">
        <f t="shared" si="15"/>
        <v>51.119666666666674</v>
      </c>
      <c r="M130" s="24">
        <f>'Student At-Risk and ELL Proxy'!S130</f>
        <v>25</v>
      </c>
      <c r="N130" s="24">
        <f>'Student At-Risk and ELL Proxy'!AH130</f>
        <v>0</v>
      </c>
      <c r="O130" s="136" t="str">
        <f t="shared" si="21"/>
        <v/>
      </c>
      <c r="P130" s="136">
        <f t="shared" si="22"/>
        <v>2.2939729981426731</v>
      </c>
      <c r="Q130" s="136" t="str">
        <f t="shared" si="23"/>
        <v/>
      </c>
      <c r="R130" s="136">
        <f t="shared" si="16"/>
        <v>2.2939729981426731</v>
      </c>
      <c r="S130" s="136">
        <f>IF(SUM(3515.4*((VLOOKUP($A130,'District Level ADM'!$A$4:$F$52,6,FALSE))^-0.327)/'Model Data Inputs'!$B$71)&lt;1,1,(3515.4*((VLOOKUP($A130,'District Level ADM'!$A$4:$F$52,6,FALSE))^-0.327)/'Model Data Inputs'!$B$71))</f>
        <v>1.6239345319729026</v>
      </c>
      <c r="T130" s="136">
        <f>VLOOKUP($A130,'Regional Cost Adjustment'!$A$4:$C$52,3,FALSE)</f>
        <v>0.91</v>
      </c>
      <c r="U130" s="123">
        <f>((($I130/$L130)*'Model Data Inputs'!$B$85)+((SUM(J130:K130)/$L130)*'Model Data Inputs'!$C$85))*$R130*$T130</f>
        <v>11236.656106539876</v>
      </c>
      <c r="V130" s="140">
        <f>((($I130/$L130)*'Model Data Inputs'!$B$86)+((SUM(J130:K130)/$L130)*'Model Data Inputs'!$C$86))*$R130</f>
        <v>3287.5105218954241</v>
      </c>
      <c r="W130" s="140">
        <f t="shared" si="24"/>
        <v>14524.166628435301</v>
      </c>
      <c r="X130" s="140">
        <f t="shared" si="17"/>
        <v>574414.11461428308</v>
      </c>
      <c r="Y130" s="140">
        <f t="shared" si="18"/>
        <v>168056.44204245348</v>
      </c>
      <c r="Z130" s="123">
        <f>IF((SUM(X130:Y130))&lt;(AVERAGE('Elementary Size Adjustment'!$B$66,'Secondary Size Adjustment'!$B$66)),(AVERAGE('Elementary Size Adjustment'!$B$66,'Secondary Size Adjustment'!$B$66)),SUM(X130:Y130))</f>
        <v>742470.55665673653</v>
      </c>
      <c r="AA130" s="137">
        <f>'Model Data Inputs'!$B$71*S130*L130</f>
        <v>15772.848472959386</v>
      </c>
      <c r="AB130" s="137">
        <f>L130*'Model Data Inputs'!$B$72</f>
        <v>1277.9916666666668</v>
      </c>
      <c r="AC130" s="137">
        <f>L130*'Model Data Inputs'!$B$73</f>
        <v>12779.916666666668</v>
      </c>
      <c r="AD130" s="137">
        <f>L130*'Model Data Inputs'!$B$74</f>
        <v>6389.9583333333339</v>
      </c>
      <c r="AE130" s="137">
        <f>$I130*'Model Data Inputs'!$B$76</f>
        <v>0</v>
      </c>
      <c r="AF130" s="137">
        <f>VLOOKUP($J130,'Student Activities MS&amp;HS Tables'!$M$7:$O$1267,3)</f>
        <v>33844.11</v>
      </c>
      <c r="AG130" s="137">
        <f>VLOOKUP($K130,'Student Activities MS&amp;HS Tables'!$I$7:$K$3007,3)</f>
        <v>0</v>
      </c>
      <c r="AH130" s="137">
        <f t="shared" si="19"/>
        <v>33844.11</v>
      </c>
      <c r="AI130" s="123">
        <f t="shared" si="25"/>
        <v>812535.38179636258</v>
      </c>
      <c r="AJ130" s="123">
        <f>(('Model Data Inputs'!$B$90*(('Model Data Inputs'!$B$87*('School Level Inst. Resources'!I130/'School Level Inst. Resources'!L130))+('Model Data Inputs'!$C$87*(SUM('School Level Inst. Resources'!J130:K130)/'School Level Inst. Resources'!L130))))*T130*M130)</f>
        <v>46518.49877805249</v>
      </c>
      <c r="AK130" s="123">
        <f>(('Model Data Inputs'!$B$91*(('Model Data Inputs'!$B$87*('School Level Inst. Resources'!I130/'School Level Inst. Resources'!L130))+('Model Data Inputs'!$C$87*(SUM('School Level Inst. Resources'!J130:K130)/'School Level Inst. Resources'!L130))))*T130*N130)</f>
        <v>0</v>
      </c>
      <c r="AL130" s="137">
        <f>(K130*'Model Data Inputs'!$B$94)*T130</f>
        <v>0</v>
      </c>
      <c r="AM130" s="137">
        <f>K130*'Model Data Inputs'!$B$95</f>
        <v>0</v>
      </c>
      <c r="AN130" s="137">
        <f t="shared" si="26"/>
        <v>0</v>
      </c>
      <c r="AO130" s="137">
        <f>('School Level Inst. Resources'!K130*'Model Data Inputs'!$B$96)+('School Level Inst. Resources'!J130*'Model Data Inputs'!$B$97)</f>
        <v>1277.9916666666668</v>
      </c>
      <c r="AP130" s="137">
        <f>$L130*'Model Data Inputs'!$B$100</f>
        <v>2044.7866666666669</v>
      </c>
      <c r="AQ130" s="137">
        <f t="shared" si="27"/>
        <v>862376.65890774841</v>
      </c>
      <c r="AR130" s="141">
        <f t="shared" si="20"/>
        <v>16869.762953092057</v>
      </c>
    </row>
    <row r="131" spans="1:44" s="40" customFormat="1" ht="12.75" customHeight="1" x14ac:dyDescent="0.2">
      <c r="A131" s="20" t="s">
        <v>52</v>
      </c>
      <c r="B131" s="20" t="s">
        <v>53</v>
      </c>
      <c r="C131" s="20" t="s">
        <v>628</v>
      </c>
      <c r="D131" s="20" t="s">
        <v>629</v>
      </c>
      <c r="E131" s="138" t="s">
        <v>386</v>
      </c>
      <c r="F131" s="138" t="str">
        <f>IF(AND(SUM('School Level ADM'!$F131:$J131)=0,SUM('School Level ADM'!$O131:$R131)=0,'School Level ADM'!$K131&gt;0,'School Level ADM'!$N131&gt;0),"T","F")</f>
        <v>F</v>
      </c>
      <c r="G131" s="138" t="str">
        <f>IF(AND(SUM('School Level ADM'!$M131:$R131)=0,'School Level ADM'!$L131&gt;0),"T","F")</f>
        <v>F</v>
      </c>
      <c r="H131" s="138" t="str">
        <f t="shared" si="14"/>
        <v>M</v>
      </c>
      <c r="I131" s="139">
        <f>IF($F131="T",SUM('School Level ADM'!$F131:$J131),IF($G131="T",SUM('School Level ADM'!$F131:$L131),SUM('School Level ADM'!$F131:$K131,0)))</f>
        <v>0</v>
      </c>
      <c r="J131" s="139">
        <f>'School Level ADM'!$S131-$I131-$K131</f>
        <v>43.51166666666667</v>
      </c>
      <c r="K131" s="139">
        <f>IF(SUM('School Level ADM'!$N131:$R131)='School Level ADM'!$S131,SUM('School Level ADM'!$N131:$R131),IF(OR(SUM('School Level ADM'!$F131:$O131)='School Level ADM'!$S131,SUM('School Level ADM'!$G131:$O131)='School Level ADM'!$S131,SUM('School Level ADM'!$H131:$O131)='School Level ADM'!$S131,SUM('School Level ADM'!$I131:$O131)='School Level ADM'!$S131,SUM('School Level ADM'!$J131:$O131)='School Level ADM'!$S131,SUM('School Level ADM'!$K131:$O131)='School Level ADM'!$S131,SUM('School Level ADM'!$L131:$O131)='School Level ADM'!$S131,SUM('School Level ADM'!$M131:$O131)='School Level ADM'!$S131,SUM('School Level ADM'!$N131:$O131)='School Level ADM'!$S131),0,SUM('School Level ADM'!$O131:$R131)))</f>
        <v>0</v>
      </c>
      <c r="L131" s="139">
        <f t="shared" si="15"/>
        <v>43.51166666666667</v>
      </c>
      <c r="M131" s="24">
        <f>'Student At-Risk and ELL Proxy'!S131</f>
        <v>14</v>
      </c>
      <c r="N131" s="24">
        <f>'Student At-Risk and ELL Proxy'!AH131</f>
        <v>0</v>
      </c>
      <c r="O131" s="136" t="str">
        <f t="shared" si="21"/>
        <v/>
      </c>
      <c r="P131" s="136">
        <f t="shared" si="22"/>
        <v>2.4274600262603041</v>
      </c>
      <c r="Q131" s="136" t="str">
        <f t="shared" si="23"/>
        <v/>
      </c>
      <c r="R131" s="136">
        <f t="shared" si="16"/>
        <v>2.4274600262603041</v>
      </c>
      <c r="S131" s="136">
        <f>IF(SUM(3515.4*((VLOOKUP($A131,'District Level ADM'!$A$4:$F$52,6,FALSE))^-0.327)/'Model Data Inputs'!$B$71)&lt;1,1,(3515.4*((VLOOKUP($A131,'District Level ADM'!$A$4:$F$52,6,FALSE))^-0.327)/'Model Data Inputs'!$B$71))</f>
        <v>1.6239345319729026</v>
      </c>
      <c r="T131" s="136">
        <f>VLOOKUP($A131,'Regional Cost Adjustment'!$A$4:$C$52,3,FALSE)</f>
        <v>0.91</v>
      </c>
      <c r="U131" s="123">
        <f>((($I131/$L131)*'Model Data Inputs'!$B$85)+((SUM(J131:K131)/$L131)*'Model Data Inputs'!$C$85))*$R131*$T131</f>
        <v>11890.520746993918</v>
      </c>
      <c r="V131" s="140">
        <f>((($I131/$L131)*'Model Data Inputs'!$B$86)+((SUM(J131:K131)/$L131)*'Model Data Inputs'!$C$86))*$R131</f>
        <v>3478.8118187409282</v>
      </c>
      <c r="W131" s="140">
        <f t="shared" si="24"/>
        <v>15369.332565734847</v>
      </c>
      <c r="X131" s="140">
        <f t="shared" si="17"/>
        <v>517376.37523628375</v>
      </c>
      <c r="Y131" s="140">
        <f t="shared" si="18"/>
        <v>151368.90025311569</v>
      </c>
      <c r="Z131" s="123">
        <f>IF((SUM(X131:Y131))&lt;(AVERAGE('Elementary Size Adjustment'!$B$66,'Secondary Size Adjustment'!$B$66)),(AVERAGE('Elementary Size Adjustment'!$B$66,'Secondary Size Adjustment'!$B$66)),SUM(X131:Y131))</f>
        <v>668745.27548939944</v>
      </c>
      <c r="AA131" s="137">
        <f>'Model Data Inputs'!$B$71*S131*L131</f>
        <v>13425.418628301915</v>
      </c>
      <c r="AB131" s="137">
        <f>L131*'Model Data Inputs'!$B$72</f>
        <v>1087.7916666666667</v>
      </c>
      <c r="AC131" s="137">
        <f>L131*'Model Data Inputs'!$B$73</f>
        <v>10877.916666666668</v>
      </c>
      <c r="AD131" s="137">
        <f>L131*'Model Data Inputs'!$B$74</f>
        <v>5438.9583333333339</v>
      </c>
      <c r="AE131" s="137">
        <f>$I131*'Model Data Inputs'!$B$76</f>
        <v>0</v>
      </c>
      <c r="AF131" s="137">
        <f>VLOOKUP($J131,'Student Activities MS&amp;HS Tables'!$M$7:$O$1267,3)</f>
        <v>29353.52</v>
      </c>
      <c r="AG131" s="137">
        <f>VLOOKUP($K131,'Student Activities MS&amp;HS Tables'!$I$7:$K$3007,3)</f>
        <v>0</v>
      </c>
      <c r="AH131" s="137">
        <f t="shared" si="19"/>
        <v>29353.52</v>
      </c>
      <c r="AI131" s="123">
        <f t="shared" si="25"/>
        <v>728928.88078436803</v>
      </c>
      <c r="AJ131" s="123">
        <f>(('Model Data Inputs'!$B$90*(('Model Data Inputs'!$B$87*('School Level Inst. Resources'!I131/'School Level Inst. Resources'!L131))+('Model Data Inputs'!$C$87*(SUM('School Level Inst. Resources'!J131:K131)/'School Level Inst. Resources'!L131))))*T131*M131)</f>
        <v>26050.359315709396</v>
      </c>
      <c r="AK131" s="123">
        <f>(('Model Data Inputs'!$B$91*(('Model Data Inputs'!$B$87*('School Level Inst. Resources'!I131/'School Level Inst. Resources'!L131))+('Model Data Inputs'!$C$87*(SUM('School Level Inst. Resources'!J131:K131)/'School Level Inst. Resources'!L131))))*T131*N131)</f>
        <v>0</v>
      </c>
      <c r="AL131" s="137">
        <f>(K131*'Model Data Inputs'!$B$94)*T131</f>
        <v>0</v>
      </c>
      <c r="AM131" s="137">
        <f>K131*'Model Data Inputs'!$B$95</f>
        <v>0</v>
      </c>
      <c r="AN131" s="137">
        <f t="shared" si="26"/>
        <v>0</v>
      </c>
      <c r="AO131" s="137">
        <f>('School Level Inst. Resources'!K131*'Model Data Inputs'!$B$96)+('School Level Inst. Resources'!J131*'Model Data Inputs'!$B$97)</f>
        <v>1087.7916666666667</v>
      </c>
      <c r="AP131" s="137">
        <f>$L131*'Model Data Inputs'!$B$100</f>
        <v>1740.4666666666667</v>
      </c>
      <c r="AQ131" s="137">
        <f t="shared" si="27"/>
        <v>757807.49843341077</v>
      </c>
      <c r="AR131" s="141">
        <f t="shared" si="20"/>
        <v>17416.191023865111</v>
      </c>
    </row>
    <row r="132" spans="1:44" s="40" customFormat="1" ht="12.75" customHeight="1" x14ac:dyDescent="0.2">
      <c r="A132" s="20" t="s">
        <v>52</v>
      </c>
      <c r="B132" s="20" t="s">
        <v>53</v>
      </c>
      <c r="C132" s="20" t="s">
        <v>630</v>
      </c>
      <c r="D132" s="20" t="s">
        <v>631</v>
      </c>
      <c r="E132" s="138" t="s">
        <v>383</v>
      </c>
      <c r="F132" s="138" t="str">
        <f>IF(AND(SUM('School Level ADM'!$F132:$J132)=0,SUM('School Level ADM'!$O132:$R132)=0,'School Level ADM'!$K132&gt;0,'School Level ADM'!$N132&gt;0),"T","F")</f>
        <v>F</v>
      </c>
      <c r="G132" s="138" t="str">
        <f>IF(AND(SUM('School Level ADM'!$M132:$R132)=0,'School Level ADM'!$L132&gt;0),"T","F")</f>
        <v>F</v>
      </c>
      <c r="H132" s="138" t="str">
        <f t="shared" si="14"/>
        <v>M</v>
      </c>
      <c r="I132" s="139">
        <f>IF($F132="T",SUM('School Level ADM'!$F132:$J132),IF($G132="T",SUM('School Level ADM'!$F132:$L132),SUM('School Level ADM'!$F132:$K132,0)))</f>
        <v>0</v>
      </c>
      <c r="J132" s="139">
        <f>'School Level ADM'!$S132-$I132-$K132</f>
        <v>266.27499999999998</v>
      </c>
      <c r="K132" s="139">
        <f>IF(SUM('School Level ADM'!$N132:$R132)='School Level ADM'!$S132,SUM('School Level ADM'!$N132:$R132),IF(OR(SUM('School Level ADM'!$F132:$O132)='School Level ADM'!$S132,SUM('School Level ADM'!$G132:$O132)='School Level ADM'!$S132,SUM('School Level ADM'!$H132:$O132)='School Level ADM'!$S132,SUM('School Level ADM'!$I132:$O132)='School Level ADM'!$S132,SUM('School Level ADM'!$J132:$O132)='School Level ADM'!$S132,SUM('School Level ADM'!$K132:$O132)='School Level ADM'!$S132,SUM('School Level ADM'!$L132:$O132)='School Level ADM'!$S132,SUM('School Level ADM'!$M132:$O132)='School Level ADM'!$S132,SUM('School Level ADM'!$N132:$O132)='School Level ADM'!$S132),0,SUM('School Level ADM'!$O132:$R132)))</f>
        <v>0</v>
      </c>
      <c r="L132" s="139">
        <f t="shared" si="15"/>
        <v>266.27499999999998</v>
      </c>
      <c r="M132" s="24">
        <f>'Student At-Risk and ELL Proxy'!S132</f>
        <v>132</v>
      </c>
      <c r="N132" s="24">
        <f>'Student At-Risk and ELL Proxy'!AH132</f>
        <v>0</v>
      </c>
      <c r="O132" s="136" t="str">
        <f t="shared" si="21"/>
        <v/>
      </c>
      <c r="P132" s="136">
        <f t="shared" si="22"/>
        <v>1.285321363894145</v>
      </c>
      <c r="Q132" s="136" t="str">
        <f t="shared" si="23"/>
        <v/>
      </c>
      <c r="R132" s="136">
        <f t="shared" si="16"/>
        <v>1.285321363894145</v>
      </c>
      <c r="S132" s="136">
        <f>IF(SUM(3515.4*((VLOOKUP($A132,'District Level ADM'!$A$4:$F$52,6,FALSE))^-0.327)/'Model Data Inputs'!$B$71)&lt;1,1,(3515.4*((VLOOKUP($A132,'District Level ADM'!$A$4:$F$52,6,FALSE))^-0.327)/'Model Data Inputs'!$B$71))</f>
        <v>1.6239345319729026</v>
      </c>
      <c r="T132" s="136">
        <f>VLOOKUP($A132,'Regional Cost Adjustment'!$A$4:$C$52,3,FALSE)</f>
        <v>0.91</v>
      </c>
      <c r="U132" s="123">
        <f>((($I132/$L132)*'Model Data Inputs'!$B$85)+((SUM(J132:K132)/$L132)*'Model Data Inputs'!$C$85))*$R132*$T132</f>
        <v>6295.9390385854258</v>
      </c>
      <c r="V132" s="140">
        <f>((($I132/$L132)*'Model Data Inputs'!$B$86)+((SUM(J132:K132)/$L132)*'Model Data Inputs'!$C$86))*$R132</f>
        <v>1842.0040302306011</v>
      </c>
      <c r="W132" s="140">
        <f t="shared" si="24"/>
        <v>8137.9430688160264</v>
      </c>
      <c r="X132" s="140">
        <f t="shared" si="17"/>
        <v>1676451.1674993341</v>
      </c>
      <c r="Y132" s="140">
        <f t="shared" si="18"/>
        <v>490479.62314965326</v>
      </c>
      <c r="Z132" s="123">
        <f>IF((SUM(X132:Y132))&lt;(AVERAGE('Elementary Size Adjustment'!$B$66,'Secondary Size Adjustment'!$B$66)),(AVERAGE('Elementary Size Adjustment'!$B$66,'Secondary Size Adjustment'!$B$66)),SUM(X132:Y132))</f>
        <v>2166930.7906489875</v>
      </c>
      <c r="AA132" s="137">
        <f>'Model Data Inputs'!$B$71*S132*L132</f>
        <v>82158.501825206084</v>
      </c>
      <c r="AB132" s="137">
        <f>L132*'Model Data Inputs'!$B$72</f>
        <v>6656.8749999999991</v>
      </c>
      <c r="AC132" s="137">
        <f>L132*'Model Data Inputs'!$B$73</f>
        <v>66568.75</v>
      </c>
      <c r="AD132" s="137">
        <f>L132*'Model Data Inputs'!$B$74</f>
        <v>33284.375</v>
      </c>
      <c r="AE132" s="137">
        <f>$I132*'Model Data Inputs'!$B$76</f>
        <v>0</v>
      </c>
      <c r="AF132" s="137">
        <f>VLOOKUP($J132,'Student Activities MS&amp;HS Tables'!$M$7:$O$1267,3)</f>
        <v>87944.92</v>
      </c>
      <c r="AG132" s="137">
        <f>VLOOKUP($K132,'Student Activities MS&amp;HS Tables'!$I$7:$K$3007,3)</f>
        <v>0</v>
      </c>
      <c r="AH132" s="137">
        <f t="shared" si="19"/>
        <v>87944.92</v>
      </c>
      <c r="AI132" s="123">
        <f t="shared" si="25"/>
        <v>2443544.2124741934</v>
      </c>
      <c r="AJ132" s="123">
        <f>(('Model Data Inputs'!$B$90*(('Model Data Inputs'!$B$87*('School Level Inst. Resources'!I132/'School Level Inst. Resources'!L132))+('Model Data Inputs'!$C$87*(SUM('School Level Inst. Resources'!J132:K132)/'School Level Inst. Resources'!L132))))*T132*M132)</f>
        <v>245617.67354811716</v>
      </c>
      <c r="AK132" s="123">
        <f>(('Model Data Inputs'!$B$91*(('Model Data Inputs'!$B$87*('School Level Inst. Resources'!I132/'School Level Inst. Resources'!L132))+('Model Data Inputs'!$C$87*(SUM('School Level Inst. Resources'!J132:K132)/'School Level Inst. Resources'!L132))))*T132*N132)</f>
        <v>0</v>
      </c>
      <c r="AL132" s="137">
        <f>(K132*'Model Data Inputs'!$B$94)*T132</f>
        <v>0</v>
      </c>
      <c r="AM132" s="137">
        <f>K132*'Model Data Inputs'!$B$95</f>
        <v>0</v>
      </c>
      <c r="AN132" s="137">
        <f t="shared" si="26"/>
        <v>0</v>
      </c>
      <c r="AO132" s="137">
        <f>('School Level Inst. Resources'!K132*'Model Data Inputs'!$B$96)+('School Level Inst. Resources'!J132*'Model Data Inputs'!$B$97)</f>
        <v>6656.8749999999991</v>
      </c>
      <c r="AP132" s="137">
        <f>$L132*'Model Data Inputs'!$B$100</f>
        <v>10651</v>
      </c>
      <c r="AQ132" s="137">
        <f t="shared" si="27"/>
        <v>2706469.7610223107</v>
      </c>
      <c r="AR132" s="141">
        <f t="shared" si="20"/>
        <v>10164.190258275508</v>
      </c>
    </row>
    <row r="133" spans="1:44" s="40" customFormat="1" ht="12.75" customHeight="1" x14ac:dyDescent="0.2">
      <c r="A133" s="20" t="s">
        <v>52</v>
      </c>
      <c r="B133" s="20" t="s">
        <v>53</v>
      </c>
      <c r="C133" s="20" t="s">
        <v>632</v>
      </c>
      <c r="D133" s="20" t="s">
        <v>633</v>
      </c>
      <c r="E133" s="138" t="s">
        <v>389</v>
      </c>
      <c r="F133" s="138" t="str">
        <f>IF(AND(SUM('School Level ADM'!$F133:$J133)=0,SUM('School Level ADM'!$O133:$R133)=0,'School Level ADM'!$K133&gt;0,'School Level ADM'!$N133&gt;0),"T","F")</f>
        <v>F</v>
      </c>
      <c r="G133" s="138" t="str">
        <f>IF(AND(SUM('School Level ADM'!$M133:$R133)=0,'School Level ADM'!$L133&gt;0),"T","F")</f>
        <v>F</v>
      </c>
      <c r="H133" s="138" t="str">
        <f t="shared" ref="H133:H196" si="28">IF($K133&gt;0,"H",IF($J133&gt;0,"M","E"))</f>
        <v>H</v>
      </c>
      <c r="I133" s="139">
        <f>IF($F133="T",SUM('School Level ADM'!$F133:$J133),IF($G133="T",SUM('School Level ADM'!$F133:$L133),SUM('School Level ADM'!$F133:$K133,0)))</f>
        <v>0</v>
      </c>
      <c r="J133" s="139">
        <f>'School Level ADM'!$S133-$I133-$K133</f>
        <v>0</v>
      </c>
      <c r="K133" s="139">
        <f>IF(SUM('School Level ADM'!$N133:$R133)='School Level ADM'!$S133,SUM('School Level ADM'!$N133:$R133),IF(OR(SUM('School Level ADM'!$F133:$O133)='School Level ADM'!$S133,SUM('School Level ADM'!$G133:$O133)='School Level ADM'!$S133,SUM('School Level ADM'!$H133:$O133)='School Level ADM'!$S133,SUM('School Level ADM'!$I133:$O133)='School Level ADM'!$S133,SUM('School Level ADM'!$J133:$O133)='School Level ADM'!$S133,SUM('School Level ADM'!$K133:$O133)='School Level ADM'!$S133,SUM('School Level ADM'!$L133:$O133)='School Level ADM'!$S133,SUM('School Level ADM'!$M133:$O133)='School Level ADM'!$S133,SUM('School Level ADM'!$N133:$O133)='School Level ADM'!$S133),0,SUM('School Level ADM'!$O133:$R133)))</f>
        <v>102.15933333333334</v>
      </c>
      <c r="L133" s="139">
        <f t="shared" ref="L133:L196" si="29">SUM($I133:$K133)</f>
        <v>102.15933333333334</v>
      </c>
      <c r="M133" s="24">
        <f>'Student At-Risk and ELL Proxy'!S133</f>
        <v>29</v>
      </c>
      <c r="N133" s="24">
        <f>'Student At-Risk and ELL Proxy'!AH133</f>
        <v>0</v>
      </c>
      <c r="O133" s="136" t="str">
        <f t="shared" si="21"/>
        <v/>
      </c>
      <c r="P133" s="136">
        <f t="shared" si="22"/>
        <v>1.7990618683803816</v>
      </c>
      <c r="Q133" s="136" t="str">
        <f t="shared" si="23"/>
        <v/>
      </c>
      <c r="R133" s="136">
        <f t="shared" ref="R133:R196" si="30">(IF(E133="K-12",Q133,IF(E133="p-12",Q133,IF(O133="",P133,IF(P133="",O133,(O133*(I133/L133))+(P133*(SUM(J133:K133)/L133)))))))</f>
        <v>1.7990618683803816</v>
      </c>
      <c r="S133" s="136">
        <f>IF(SUM(3515.4*((VLOOKUP($A133,'District Level ADM'!$A$4:$F$52,6,FALSE))^-0.327)/'Model Data Inputs'!$B$71)&lt;1,1,(3515.4*((VLOOKUP($A133,'District Level ADM'!$A$4:$F$52,6,FALSE))^-0.327)/'Model Data Inputs'!$B$71))</f>
        <v>1.6239345319729026</v>
      </c>
      <c r="T133" s="136">
        <f>VLOOKUP($A133,'Regional Cost Adjustment'!$A$4:$C$52,3,FALSE)</f>
        <v>0.91</v>
      </c>
      <c r="U133" s="123">
        <f>((($I133/$L133)*'Model Data Inputs'!$B$85)+((SUM(J133:K133)/$L133)*'Model Data Inputs'!$C$85))*$R133*$T133</f>
        <v>8812.4138975249443</v>
      </c>
      <c r="V133" s="140">
        <f>((($I133/$L133)*'Model Data Inputs'!$B$86)+((SUM(J133:K133)/$L133)*'Model Data Inputs'!$C$86))*$R133</f>
        <v>2578.2495376493089</v>
      </c>
      <c r="W133" s="140">
        <f t="shared" si="24"/>
        <v>11390.663435174254</v>
      </c>
      <c r="X133" s="140">
        <f t="shared" ref="X133:X196" si="31">U133*L133</f>
        <v>900270.32882854994</v>
      </c>
      <c r="Y133" s="140">
        <f t="shared" ref="Y133:Y196" si="32">V133*L133</f>
        <v>263392.25393322832</v>
      </c>
      <c r="Z133" s="123">
        <f>IF((SUM(X133:Y133))&lt;(AVERAGE('Elementary Size Adjustment'!$B$66,'Secondary Size Adjustment'!$B$66)),(AVERAGE('Elementary Size Adjustment'!$B$66,'Secondary Size Adjustment'!$B$66)),SUM(X133:Y133))</f>
        <v>1163662.5827617783</v>
      </c>
      <c r="AA133" s="137">
        <f>'Model Data Inputs'!$B$71*S133*L133</f>
        <v>31521.013141032781</v>
      </c>
      <c r="AB133" s="137">
        <f>L133*'Model Data Inputs'!$B$72</f>
        <v>2553.9833333333336</v>
      </c>
      <c r="AC133" s="137">
        <f>L133*'Model Data Inputs'!$B$73</f>
        <v>25539.833333333336</v>
      </c>
      <c r="AD133" s="137">
        <f>L133*'Model Data Inputs'!$B$74</f>
        <v>12769.916666666668</v>
      </c>
      <c r="AE133" s="137">
        <f>$I133*'Model Data Inputs'!$B$76</f>
        <v>0</v>
      </c>
      <c r="AF133" s="137">
        <f>VLOOKUP($J133,'Student Activities MS&amp;HS Tables'!$M$7:$O$1267,3)</f>
        <v>0</v>
      </c>
      <c r="AG133" s="137">
        <f>VLOOKUP($K133,'Student Activities MS&amp;HS Tables'!$I$7:$K$3007,3)</f>
        <v>159083.28</v>
      </c>
      <c r="AH133" s="137">
        <f t="shared" ref="AH133:AH196" si="33">SUM(AE133:AG133)</f>
        <v>159083.28</v>
      </c>
      <c r="AI133" s="123">
        <f t="shared" si="25"/>
        <v>1395130.6092361445</v>
      </c>
      <c r="AJ133" s="123">
        <f>(('Model Data Inputs'!$B$90*(('Model Data Inputs'!$B$87*('School Level Inst. Resources'!I133/'School Level Inst. Resources'!L133))+('Model Data Inputs'!$C$87*(SUM('School Level Inst. Resources'!J133:K133)/'School Level Inst. Resources'!L133))))*T133*M133)</f>
        <v>53961.458582540894</v>
      </c>
      <c r="AK133" s="123">
        <f>(('Model Data Inputs'!$B$91*(('Model Data Inputs'!$B$87*('School Level Inst. Resources'!I133/'School Level Inst. Resources'!L133))+('Model Data Inputs'!$C$87*(SUM('School Level Inst. Resources'!J133:K133)/'School Level Inst. Resources'!L133))))*T133*N133)</f>
        <v>0</v>
      </c>
      <c r="AL133" s="137">
        <f>(K133*'Model Data Inputs'!$B$94)*T133</f>
        <v>15345.2996271393</v>
      </c>
      <c r="AM133" s="137">
        <f>K133*'Model Data Inputs'!$B$95</f>
        <v>4281.4797821166667</v>
      </c>
      <c r="AN133" s="137">
        <f t="shared" si="26"/>
        <v>19626.779409255967</v>
      </c>
      <c r="AO133" s="137">
        <f>('School Level Inst. Resources'!K133*'Model Data Inputs'!$B$96)+('School Level Inst. Resources'!J133*'Model Data Inputs'!$B$97)</f>
        <v>10215.933333333334</v>
      </c>
      <c r="AP133" s="137">
        <f>$L133*'Model Data Inputs'!$B$100</f>
        <v>4086.3733333333334</v>
      </c>
      <c r="AQ133" s="137">
        <f t="shared" si="27"/>
        <v>1483021.1538946081</v>
      </c>
      <c r="AR133" s="141">
        <f t="shared" ref="AR133:AR196" si="34">AQ133/L133</f>
        <v>14516.74659089339</v>
      </c>
    </row>
    <row r="134" spans="1:44" s="40" customFormat="1" ht="12.75" customHeight="1" x14ac:dyDescent="0.2">
      <c r="A134" s="20" t="s">
        <v>52</v>
      </c>
      <c r="B134" s="20" t="s">
        <v>53</v>
      </c>
      <c r="C134" s="20" t="s">
        <v>634</v>
      </c>
      <c r="D134" s="20" t="s">
        <v>635</v>
      </c>
      <c r="E134" s="138" t="s">
        <v>389</v>
      </c>
      <c r="F134" s="138" t="str">
        <f>IF(AND(SUM('School Level ADM'!$F134:$J134)=0,SUM('School Level ADM'!$O134:$R134)=0,'School Level ADM'!$K134&gt;0,'School Level ADM'!$N134&gt;0),"T","F")</f>
        <v>F</v>
      </c>
      <c r="G134" s="138" t="str">
        <f>IF(AND(SUM('School Level ADM'!$M134:$R134)=0,'School Level ADM'!$L134&gt;0),"T","F")</f>
        <v>F</v>
      </c>
      <c r="H134" s="138" t="str">
        <f t="shared" si="28"/>
        <v>H</v>
      </c>
      <c r="I134" s="139">
        <f>IF($F134="T",SUM('School Level ADM'!$F134:$J134),IF($G134="T",SUM('School Level ADM'!$F134:$L134),SUM('School Level ADM'!$F134:$K134,0)))</f>
        <v>0</v>
      </c>
      <c r="J134" s="139">
        <f>'School Level ADM'!$S134-$I134-$K134</f>
        <v>0</v>
      </c>
      <c r="K134" s="139">
        <f>IF(SUM('School Level ADM'!$N134:$R134)='School Level ADM'!$S134,SUM('School Level ADM'!$N134:$R134),IF(OR(SUM('School Level ADM'!$F134:$O134)='School Level ADM'!$S134,SUM('School Level ADM'!$G134:$O134)='School Level ADM'!$S134,SUM('School Level ADM'!$H134:$O134)='School Level ADM'!$S134,SUM('School Level ADM'!$I134:$O134)='School Level ADM'!$S134,SUM('School Level ADM'!$J134:$O134)='School Level ADM'!$S134,SUM('School Level ADM'!$K134:$O134)='School Level ADM'!$S134,SUM('School Level ADM'!$L134:$O134)='School Level ADM'!$S134,SUM('School Level ADM'!$M134:$O134)='School Level ADM'!$S134,SUM('School Level ADM'!$N134:$O134)='School Level ADM'!$S134),0,SUM('School Level ADM'!$O134:$R134)))</f>
        <v>86.961333333333329</v>
      </c>
      <c r="L134" s="139">
        <f t="shared" si="29"/>
        <v>86.961333333333329</v>
      </c>
      <c r="M134" s="24">
        <f>'Student At-Risk and ELL Proxy'!S134</f>
        <v>32</v>
      </c>
      <c r="N134" s="24">
        <f>'Student At-Risk and ELL Proxy'!AH134</f>
        <v>0</v>
      </c>
      <c r="O134" s="136" t="str">
        <f t="shared" ref="O134:O197" si="35">IF(E134="K-12","",IF(E134="p-12","",IF(I134&lt;0.1,"",IF(SUM(77441*(L134^-0.398))/8060&lt;0.97,0.97,(77441*(L134^-0.398)/8060)))))</f>
        <v/>
      </c>
      <c r="P134" s="136">
        <f t="shared" ref="P134:P197" si="36">IF(E134="K-12","",IF(E134="p-12","",IF(SUM(J134:K134)&lt;0.1,"",IF(SUM(62206*(L134^-0.351)/6816)&lt;0.97,0.97,(62206*(L134^-0.351)/6816)))))</f>
        <v>1.9037030320024577</v>
      </c>
      <c r="Q134" s="136" t="str">
        <f t="shared" ref="Q134:Q197" si="37">IF(E134="K-12",((((77441*(I134^-0.398))/8060)*I134)+((62206*((J134)^-0.351))/6816)*J134+((62206*((K134)^-0.351))/6816)*K134)/L134,IF(E134="p-12",((((77441*(I134^-0.398))/8060)*I134)+((62206*((J134)^-0.351))/6816)*J134+((62206*((K134)^-0.351))/6816)*K134)/L134,""))</f>
        <v/>
      </c>
      <c r="R134" s="136">
        <f t="shared" si="30"/>
        <v>1.9037030320024577</v>
      </c>
      <c r="S134" s="136">
        <f>IF(SUM(3515.4*((VLOOKUP($A134,'District Level ADM'!$A$4:$F$52,6,FALSE))^-0.327)/'Model Data Inputs'!$B$71)&lt;1,1,(3515.4*((VLOOKUP($A134,'District Level ADM'!$A$4:$F$52,6,FALSE))^-0.327)/'Model Data Inputs'!$B$71))</f>
        <v>1.6239345319729026</v>
      </c>
      <c r="T134" s="136">
        <f>VLOOKUP($A134,'Regional Cost Adjustment'!$A$4:$C$52,3,FALSE)</f>
        <v>0.91</v>
      </c>
      <c r="U134" s="123">
        <f>((($I134/$L134)*'Model Data Inputs'!$B$85)+((SUM(J134:K134)/$L134)*'Model Data Inputs'!$C$85))*$R134*$T134</f>
        <v>9324.9817312184732</v>
      </c>
      <c r="V134" s="140">
        <f>((($I134/$L134)*'Model Data Inputs'!$B$86)+((SUM(J134:K134)/$L134)*'Model Data Inputs'!$C$86))*$R134</f>
        <v>2728.2116020282201</v>
      </c>
      <c r="W134" s="140">
        <f t="shared" ref="W134:W197" si="38">SUM(U134:V134)</f>
        <v>12053.193333246694</v>
      </c>
      <c r="X134" s="140">
        <f t="shared" si="31"/>
        <v>810912.84465573332</v>
      </c>
      <c r="Y134" s="140">
        <f t="shared" si="32"/>
        <v>237248.91852784337</v>
      </c>
      <c r="Z134" s="123">
        <f>IF((SUM(X134:Y134))&lt;(AVERAGE('Elementary Size Adjustment'!$B$66,'Secondary Size Adjustment'!$B$66)),(AVERAGE('Elementary Size Adjustment'!$B$66,'Secondary Size Adjustment'!$B$66)),SUM(X134:Y134))</f>
        <v>1048161.7631835768</v>
      </c>
      <c r="AA134" s="137">
        <f>'Model Data Inputs'!$B$71*S134*L134</f>
        <v>26831.707307817185</v>
      </c>
      <c r="AB134" s="137">
        <f>L134*'Model Data Inputs'!$B$72</f>
        <v>2174.0333333333333</v>
      </c>
      <c r="AC134" s="137">
        <f>L134*'Model Data Inputs'!$B$73</f>
        <v>21740.333333333332</v>
      </c>
      <c r="AD134" s="137">
        <f>L134*'Model Data Inputs'!$B$74</f>
        <v>10870.166666666666</v>
      </c>
      <c r="AE134" s="137">
        <f>$I134*'Model Data Inputs'!$B$76</f>
        <v>0</v>
      </c>
      <c r="AF134" s="137">
        <f>VLOOKUP($J134,'Student Activities MS&amp;HS Tables'!$M$7:$O$1267,3)</f>
        <v>0</v>
      </c>
      <c r="AG134" s="137">
        <f>VLOOKUP($K134,'Student Activities MS&amp;HS Tables'!$I$7:$K$3007,3)</f>
        <v>140363.18000000002</v>
      </c>
      <c r="AH134" s="137">
        <f t="shared" si="33"/>
        <v>140363.18000000002</v>
      </c>
      <c r="AI134" s="123">
        <f t="shared" ref="AI134:AI197" si="39">SUM(Z134:AD134)+AH134</f>
        <v>1250141.1838247273</v>
      </c>
      <c r="AJ134" s="123">
        <f>(('Model Data Inputs'!$B$90*(('Model Data Inputs'!$B$87*('School Level Inst. Resources'!I134/'School Level Inst. Resources'!L134))+('Model Data Inputs'!$C$87*(SUM('School Level Inst. Resources'!J134:K134)/'School Level Inst. Resources'!L134))))*T134*M134)</f>
        <v>59543.67843590719</v>
      </c>
      <c r="AK134" s="123">
        <f>(('Model Data Inputs'!$B$91*(('Model Data Inputs'!$B$87*('School Level Inst. Resources'!I134/'School Level Inst. Resources'!L134))+('Model Data Inputs'!$C$87*(SUM('School Level Inst. Resources'!J134:K134)/'School Level Inst. Resources'!L134))))*T134*N134)</f>
        <v>0</v>
      </c>
      <c r="AL134" s="137">
        <f>(K134*'Model Data Inputs'!$B$94)*T134</f>
        <v>13062.4160557254</v>
      </c>
      <c r="AM134" s="137">
        <f>K134*'Model Data Inputs'!$B$95</f>
        <v>3644.5342617666661</v>
      </c>
      <c r="AN134" s="137">
        <f t="shared" ref="AN134:AN197" si="40">SUM(AL134:AM134)</f>
        <v>16706.950317492065</v>
      </c>
      <c r="AO134" s="137">
        <f>('School Level Inst. Resources'!K134*'Model Data Inputs'!$B$96)+('School Level Inst. Resources'!J134*'Model Data Inputs'!$B$97)</f>
        <v>8696.1333333333332</v>
      </c>
      <c r="AP134" s="137">
        <f>$L134*'Model Data Inputs'!$B$100</f>
        <v>3478.4533333333329</v>
      </c>
      <c r="AQ134" s="137">
        <f t="shared" ref="AQ134:AQ197" si="41">SUM(AI134:AK134,AN134:AP134)</f>
        <v>1338566.3992447932</v>
      </c>
      <c r="AR134" s="141">
        <f t="shared" si="34"/>
        <v>15392.661864025313</v>
      </c>
    </row>
    <row r="135" spans="1:44" s="40" customFormat="1" ht="12.75" customHeight="1" x14ac:dyDescent="0.2">
      <c r="A135" s="20" t="s">
        <v>52</v>
      </c>
      <c r="B135" s="20" t="s">
        <v>53</v>
      </c>
      <c r="C135" s="20" t="s">
        <v>636</v>
      </c>
      <c r="D135" s="20" t="s">
        <v>637</v>
      </c>
      <c r="E135" s="138" t="s">
        <v>389</v>
      </c>
      <c r="F135" s="138" t="str">
        <f>IF(AND(SUM('School Level ADM'!$F135:$J135)=0,SUM('School Level ADM'!$O135:$R135)=0,'School Level ADM'!$K135&gt;0,'School Level ADM'!$N135&gt;0),"T","F")</f>
        <v>F</v>
      </c>
      <c r="G135" s="138" t="str">
        <f>IF(AND(SUM('School Level ADM'!$M135:$R135)=0,'School Level ADM'!$L135&gt;0),"T","F")</f>
        <v>F</v>
      </c>
      <c r="H135" s="138" t="str">
        <f t="shared" si="28"/>
        <v>H</v>
      </c>
      <c r="I135" s="139">
        <f>IF($F135="T",SUM('School Level ADM'!$F135:$J135),IF($G135="T",SUM('School Level ADM'!$F135:$L135),SUM('School Level ADM'!$F135:$K135,0)))</f>
        <v>0</v>
      </c>
      <c r="J135" s="139">
        <f>'School Level ADM'!$S135-$I135-$K135</f>
        <v>0</v>
      </c>
      <c r="K135" s="139">
        <f>IF(SUM('School Level ADM'!$N135:$R135)='School Level ADM'!$S135,SUM('School Level ADM'!$N135:$R135),IF(OR(SUM('School Level ADM'!$F135:$O135)='School Level ADM'!$S135,SUM('School Level ADM'!$G135:$O135)='School Level ADM'!$S135,SUM('School Level ADM'!$H135:$O135)='School Level ADM'!$S135,SUM('School Level ADM'!$I135:$O135)='School Level ADM'!$S135,SUM('School Level ADM'!$J135:$O135)='School Level ADM'!$S135,SUM('School Level ADM'!$K135:$O135)='School Level ADM'!$S135,SUM('School Level ADM'!$L135:$O135)='School Level ADM'!$S135,SUM('School Level ADM'!$M135:$O135)='School Level ADM'!$S135,SUM('School Level ADM'!$N135:$O135)='School Level ADM'!$S135),0,SUM('School Level ADM'!$O135:$R135)))</f>
        <v>356.23599999999999</v>
      </c>
      <c r="L135" s="139">
        <f t="shared" si="29"/>
        <v>356.23599999999999</v>
      </c>
      <c r="M135" s="24">
        <f>'Student At-Risk and ELL Proxy'!S135</f>
        <v>169</v>
      </c>
      <c r="N135" s="24">
        <f>'Student At-Risk and ELL Proxy'!AH135</f>
        <v>3</v>
      </c>
      <c r="O135" s="136" t="str">
        <f t="shared" si="35"/>
        <v/>
      </c>
      <c r="P135" s="136">
        <f t="shared" si="36"/>
        <v>1.1604935325813253</v>
      </c>
      <c r="Q135" s="136" t="str">
        <f t="shared" si="37"/>
        <v/>
      </c>
      <c r="R135" s="136">
        <f t="shared" si="30"/>
        <v>1.1604935325813253</v>
      </c>
      <c r="S135" s="136">
        <f>IF(SUM(3515.4*((VLOOKUP($A135,'District Level ADM'!$A$4:$F$52,6,FALSE))^-0.327)/'Model Data Inputs'!$B$71)&lt;1,1,(3515.4*((VLOOKUP($A135,'District Level ADM'!$A$4:$F$52,6,FALSE))^-0.327)/'Model Data Inputs'!$B$71))</f>
        <v>1.6239345319729026</v>
      </c>
      <c r="T135" s="136">
        <f>VLOOKUP($A135,'Regional Cost Adjustment'!$A$4:$C$52,3,FALSE)</f>
        <v>0.91</v>
      </c>
      <c r="U135" s="123">
        <f>((($I135/$L135)*'Model Data Inputs'!$B$85)+((SUM(J135:K135)/$L135)*'Model Data Inputs'!$C$85))*$R135*$T135</f>
        <v>5684.4900746599624</v>
      </c>
      <c r="V135" s="140">
        <f>((($I135/$L135)*'Model Data Inputs'!$B$86)+((SUM(J135:K135)/$L135)*'Model Data Inputs'!$C$86))*$R135</f>
        <v>1663.1122955857111</v>
      </c>
      <c r="W135" s="140">
        <f t="shared" si="38"/>
        <v>7347.6023702456732</v>
      </c>
      <c r="X135" s="140">
        <f t="shared" si="31"/>
        <v>2025020.0062365662</v>
      </c>
      <c r="Y135" s="140">
        <f t="shared" si="32"/>
        <v>592460.47173027135</v>
      </c>
      <c r="Z135" s="123">
        <f>IF((SUM(X135:Y135))&lt;(AVERAGE('Elementary Size Adjustment'!$B$66,'Secondary Size Adjustment'!$B$66)),(AVERAGE('Elementary Size Adjustment'!$B$66,'Secondary Size Adjustment'!$B$66)),SUM(X135:Y135))</f>
        <v>2617480.4779668376</v>
      </c>
      <c r="AA135" s="137">
        <f>'Model Data Inputs'!$B$71*S135*L135</f>
        <v>109915.74896706079</v>
      </c>
      <c r="AB135" s="137">
        <f>L135*'Model Data Inputs'!$B$72</f>
        <v>8905.9</v>
      </c>
      <c r="AC135" s="137">
        <f>L135*'Model Data Inputs'!$B$73</f>
        <v>89059</v>
      </c>
      <c r="AD135" s="137">
        <f>L135*'Model Data Inputs'!$B$74</f>
        <v>44529.5</v>
      </c>
      <c r="AE135" s="137">
        <f>$I135*'Model Data Inputs'!$B$76</f>
        <v>0</v>
      </c>
      <c r="AF135" s="137">
        <f>VLOOKUP($J135,'Student Activities MS&amp;HS Tables'!$M$7:$O$1267,3)</f>
        <v>0</v>
      </c>
      <c r="AG135" s="137">
        <f>VLOOKUP($K135,'Student Activities MS&amp;HS Tables'!$I$7:$K$3007,3)</f>
        <v>346096.07999999996</v>
      </c>
      <c r="AH135" s="137">
        <f t="shared" si="33"/>
        <v>346096.07999999996</v>
      </c>
      <c r="AI135" s="123">
        <f t="shared" si="39"/>
        <v>3215986.7069338984</v>
      </c>
      <c r="AJ135" s="123">
        <f>(('Model Data Inputs'!$B$90*(('Model Data Inputs'!$B$87*('School Level Inst. Resources'!I135/'School Level Inst. Resources'!L135))+('Model Data Inputs'!$C$87*(SUM('School Level Inst. Resources'!J135:K135)/'School Level Inst. Resources'!L135))))*T135*M135)</f>
        <v>314465.05173963483</v>
      </c>
      <c r="AK135" s="123">
        <f>(('Model Data Inputs'!$B$91*(('Model Data Inputs'!$B$87*('School Level Inst. Resources'!I135/'School Level Inst. Resources'!L135))+('Model Data Inputs'!$C$87*(SUM('School Level Inst. Resources'!J135:K135)/'School Level Inst. Resources'!L135))))*T135*N135)</f>
        <v>5582.2198533662995</v>
      </c>
      <c r="AL135" s="137">
        <f>(K135*'Model Data Inputs'!$B$94)*T135</f>
        <v>53510.021841439804</v>
      </c>
      <c r="AM135" s="137">
        <f>K135*'Model Data Inputs'!$B$95</f>
        <v>14929.788418699998</v>
      </c>
      <c r="AN135" s="137">
        <f t="shared" si="40"/>
        <v>68439.810260139799</v>
      </c>
      <c r="AO135" s="137">
        <f>('School Level Inst. Resources'!K135*'Model Data Inputs'!$B$96)+('School Level Inst. Resources'!J135*'Model Data Inputs'!$B$97)</f>
        <v>35623.599999999999</v>
      </c>
      <c r="AP135" s="137">
        <f>$L135*'Model Data Inputs'!$B$100</f>
        <v>14249.439999999999</v>
      </c>
      <c r="AQ135" s="137">
        <f t="shared" si="41"/>
        <v>3654346.8287870395</v>
      </c>
      <c r="AR135" s="141">
        <f t="shared" si="34"/>
        <v>10258.218789754656</v>
      </c>
    </row>
    <row r="136" spans="1:44" s="40" customFormat="1" ht="12.75" customHeight="1" x14ac:dyDescent="0.2">
      <c r="A136" s="20" t="s">
        <v>54</v>
      </c>
      <c r="B136" s="20" t="s">
        <v>55</v>
      </c>
      <c r="C136" s="20" t="s">
        <v>638</v>
      </c>
      <c r="D136" s="20" t="s">
        <v>639</v>
      </c>
      <c r="E136" s="138" t="s">
        <v>640</v>
      </c>
      <c r="F136" s="138" t="str">
        <f>IF(AND(SUM('School Level ADM'!$F136:$J136)=0,SUM('School Level ADM'!$O136:$R136)=0,'School Level ADM'!$K136&gt;0,'School Level ADM'!$N136&gt;0),"T","F")</f>
        <v>F</v>
      </c>
      <c r="G136" s="138" t="str">
        <f>IF(AND(SUM('School Level ADM'!$M136:$R136)=0,'School Level ADM'!$L136&gt;0),"T","F")</f>
        <v>F</v>
      </c>
      <c r="H136" s="138" t="str">
        <f t="shared" si="28"/>
        <v>E</v>
      </c>
      <c r="I136" s="139">
        <f>IF($F136="T",SUM('School Level ADM'!$F136:$J136),IF($G136="T",SUM('School Level ADM'!$F136:$L136),SUM('School Level ADM'!$F136:$K136,0)))</f>
        <v>247.23500000000001</v>
      </c>
      <c r="J136" s="139">
        <f>'School Level ADM'!$S136-$I136-$K136</f>
        <v>0</v>
      </c>
      <c r="K136" s="139">
        <f>IF(SUM('School Level ADM'!$N136:$R136)='School Level ADM'!$S136,SUM('School Level ADM'!$N136:$R136),IF(OR(SUM('School Level ADM'!$F136:$O136)='School Level ADM'!$S136,SUM('School Level ADM'!$G136:$O136)='School Level ADM'!$S136,SUM('School Level ADM'!$H136:$O136)='School Level ADM'!$S136,SUM('School Level ADM'!$I136:$O136)='School Level ADM'!$S136,SUM('School Level ADM'!$J136:$O136)='School Level ADM'!$S136,SUM('School Level ADM'!$K136:$O136)='School Level ADM'!$S136,SUM('School Level ADM'!$L136:$O136)='School Level ADM'!$S136,SUM('School Level ADM'!$M136:$O136)='School Level ADM'!$S136,SUM('School Level ADM'!$N136:$O136)='School Level ADM'!$S136),0,SUM('School Level ADM'!$O136:$R136)))</f>
        <v>0</v>
      </c>
      <c r="L136" s="139">
        <f t="shared" si="29"/>
        <v>247.23500000000001</v>
      </c>
      <c r="M136" s="24">
        <f>'Student At-Risk and ELL Proxy'!S136</f>
        <v>124</v>
      </c>
      <c r="N136" s="24">
        <f>'Student At-Risk and ELL Proxy'!AH136</f>
        <v>1</v>
      </c>
      <c r="O136" s="136">
        <f t="shared" si="35"/>
        <v>1.0719589378424088</v>
      </c>
      <c r="P136" s="136" t="str">
        <f t="shared" si="36"/>
        <v/>
      </c>
      <c r="Q136" s="136" t="str">
        <f t="shared" si="37"/>
        <v/>
      </c>
      <c r="R136" s="136">
        <f t="shared" si="30"/>
        <v>1.0719589378424088</v>
      </c>
      <c r="S136" s="136">
        <f>IF(SUM(3515.4*((VLOOKUP($A136,'District Level ADM'!$A$4:$F$52,6,FALSE))^-0.327)/'Model Data Inputs'!$B$71)&lt;1,1,(3515.4*((VLOOKUP($A136,'District Level ADM'!$A$4:$F$52,6,FALSE))^-0.327)/'Model Data Inputs'!$B$71))</f>
        <v>2.2110907822360599</v>
      </c>
      <c r="T136" s="136">
        <f>VLOOKUP($A136,'Regional Cost Adjustment'!$A$4:$C$52,3,FALSE)</f>
        <v>0.93</v>
      </c>
      <c r="U136" s="123">
        <f>((($I136/$L136)*'Model Data Inputs'!$B$85)+((SUM(J136:K136)/$L136)*'Model Data Inputs'!$C$85))*$R136*$T136</f>
        <v>6347.9870661348932</v>
      </c>
      <c r="V136" s="140">
        <f>((($I136/$L136)*'Model Data Inputs'!$B$86)+((SUM(J136:K136)/$L136)*'Model Data Inputs'!$C$86))*$R136</f>
        <v>1814.4242203278575</v>
      </c>
      <c r="W136" s="140">
        <f t="shared" si="38"/>
        <v>8162.4112864627505</v>
      </c>
      <c r="X136" s="140">
        <f t="shared" si="31"/>
        <v>1569444.5822958604</v>
      </c>
      <c r="Y136" s="140">
        <f t="shared" si="32"/>
        <v>448589.17211275786</v>
      </c>
      <c r="Z136" s="123">
        <f>IF((SUM(X136:Y136))&lt;(AVERAGE('Elementary Size Adjustment'!$B$66,'Secondary Size Adjustment'!$B$66)),(AVERAGE('Elementary Size Adjustment'!$B$66,'Secondary Size Adjustment'!$B$66)),SUM(X136:Y136))</f>
        <v>2018033.7544086182</v>
      </c>
      <c r="AA136" s="137">
        <f>'Model Data Inputs'!$B$71*S136*L136</f>
        <v>103865.21561376513</v>
      </c>
      <c r="AB136" s="137">
        <f>L136*'Model Data Inputs'!$B$72</f>
        <v>6180.875</v>
      </c>
      <c r="AC136" s="137">
        <f>L136*'Model Data Inputs'!$B$73</f>
        <v>61808.75</v>
      </c>
      <c r="AD136" s="137">
        <f>L136*'Model Data Inputs'!$B$74</f>
        <v>30904.375</v>
      </c>
      <c r="AE136" s="137">
        <f>$I136*'Model Data Inputs'!$B$76</f>
        <v>5881.7206500000002</v>
      </c>
      <c r="AF136" s="137">
        <f>VLOOKUP($J136,'Student Activities MS&amp;HS Tables'!$M$7:$O$1267,3)</f>
        <v>0</v>
      </c>
      <c r="AG136" s="137">
        <f>VLOOKUP($K136,'Student Activities MS&amp;HS Tables'!$I$7:$K$3007,3)</f>
        <v>0</v>
      </c>
      <c r="AH136" s="137">
        <f t="shared" si="33"/>
        <v>5881.7206500000002</v>
      </c>
      <c r="AI136" s="123">
        <f t="shared" si="39"/>
        <v>2226674.6906723832</v>
      </c>
      <c r="AJ136" s="123">
        <f>(('Model Data Inputs'!$B$90*(('Model Data Inputs'!$B$87*('School Level Inst. Resources'!I136/'School Level Inst. Resources'!L136))+('Model Data Inputs'!$C$87*(SUM('School Level Inst. Resources'!J136:K136)/'School Level Inst. Resources'!L136))))*T136*M136)</f>
        <v>278851.10952881019</v>
      </c>
      <c r="AK136" s="123">
        <f>(('Model Data Inputs'!$B$91*(('Model Data Inputs'!$B$87*('School Level Inst. Resources'!I136/'School Level Inst. Resources'!L136))+('Model Data Inputs'!$C$87*(SUM('School Level Inst. Resources'!J136:K136)/'School Level Inst. Resources'!L136))))*T136*N136)</f>
        <v>2248.7992703936306</v>
      </c>
      <c r="AL136" s="137">
        <f>(K136*'Model Data Inputs'!$B$94)*T136</f>
        <v>0</v>
      </c>
      <c r="AM136" s="137">
        <f>K136*'Model Data Inputs'!$B$95</f>
        <v>0</v>
      </c>
      <c r="AN136" s="137">
        <f t="shared" si="40"/>
        <v>0</v>
      </c>
      <c r="AO136" s="137">
        <f>('School Level Inst. Resources'!K136*'Model Data Inputs'!$B$96)+('School Level Inst. Resources'!J136*'Model Data Inputs'!$B$97)</f>
        <v>0</v>
      </c>
      <c r="AP136" s="137">
        <f>$L136*'Model Data Inputs'!$B$100</f>
        <v>9889.4000000000015</v>
      </c>
      <c r="AQ136" s="137">
        <f t="shared" si="41"/>
        <v>2517663.9994715871</v>
      </c>
      <c r="AR136" s="141">
        <f t="shared" si="34"/>
        <v>10183.283109072692</v>
      </c>
    </row>
    <row r="137" spans="1:44" s="40" customFormat="1" ht="12.75" customHeight="1" x14ac:dyDescent="0.2">
      <c r="A137" s="20" t="s">
        <v>54</v>
      </c>
      <c r="B137" s="20" t="s">
        <v>55</v>
      </c>
      <c r="C137" s="20" t="s">
        <v>641</v>
      </c>
      <c r="D137" s="20" t="s">
        <v>642</v>
      </c>
      <c r="E137" s="138" t="s">
        <v>643</v>
      </c>
      <c r="F137" s="138" t="str">
        <f>IF(AND(SUM('School Level ADM'!$F137:$J137)=0,SUM('School Level ADM'!$O137:$R137)=0,'School Level ADM'!$K137&gt;0,'School Level ADM'!$N137&gt;0),"T","F")</f>
        <v>T</v>
      </c>
      <c r="G137" s="138" t="str">
        <f>IF(AND(SUM('School Level ADM'!$M137:$R137)=0,'School Level ADM'!$L137&gt;0),"T","F")</f>
        <v>F</v>
      </c>
      <c r="H137" s="138" t="str">
        <f t="shared" si="28"/>
        <v>M</v>
      </c>
      <c r="I137" s="139">
        <f>IF($F137="T",SUM('School Level ADM'!$F137:$J137),IF($G137="T",SUM('School Level ADM'!$F137:$L137),SUM('School Level ADM'!$F137:$K137,0)))</f>
        <v>0</v>
      </c>
      <c r="J137" s="139">
        <f>'School Level ADM'!$S137-$I137-$K137</f>
        <v>213.745</v>
      </c>
      <c r="K137" s="139">
        <f>IF(SUM('School Level ADM'!$N137:$R137)='School Level ADM'!$S137,SUM('School Level ADM'!$N137:$R137),IF(OR(SUM('School Level ADM'!$F137:$O137)='School Level ADM'!$S137,SUM('School Level ADM'!$G137:$O137)='School Level ADM'!$S137,SUM('School Level ADM'!$H137:$O137)='School Level ADM'!$S137,SUM('School Level ADM'!$I137:$O137)='School Level ADM'!$S137,SUM('School Level ADM'!$J137:$O137)='School Level ADM'!$S137,SUM('School Level ADM'!$K137:$O137)='School Level ADM'!$S137,SUM('School Level ADM'!$L137:$O137)='School Level ADM'!$S137,SUM('School Level ADM'!$M137:$O137)='School Level ADM'!$S137,SUM('School Level ADM'!$N137:$O137)='School Level ADM'!$S137),0,SUM('School Level ADM'!$O137:$R137)))</f>
        <v>0</v>
      </c>
      <c r="L137" s="139">
        <f t="shared" si="29"/>
        <v>213.745</v>
      </c>
      <c r="M137" s="24">
        <f>'Student At-Risk and ELL Proxy'!S137</f>
        <v>103</v>
      </c>
      <c r="N137" s="24">
        <f>'Student At-Risk and ELL Proxy'!AH137</f>
        <v>1</v>
      </c>
      <c r="O137" s="136" t="str">
        <f t="shared" si="35"/>
        <v/>
      </c>
      <c r="P137" s="136">
        <f t="shared" si="36"/>
        <v>1.3883827552926029</v>
      </c>
      <c r="Q137" s="136" t="str">
        <f t="shared" si="37"/>
        <v/>
      </c>
      <c r="R137" s="136">
        <f t="shared" si="30"/>
        <v>1.3883827552926029</v>
      </c>
      <c r="S137" s="136">
        <f>IF(SUM(3515.4*((VLOOKUP($A137,'District Level ADM'!$A$4:$F$52,6,FALSE))^-0.327)/'Model Data Inputs'!$B$71)&lt;1,1,(3515.4*((VLOOKUP($A137,'District Level ADM'!$A$4:$F$52,6,FALSE))^-0.327)/'Model Data Inputs'!$B$71))</f>
        <v>2.2110907822360599</v>
      </c>
      <c r="T137" s="136">
        <f>VLOOKUP($A137,'Regional Cost Adjustment'!$A$4:$C$52,3,FALSE)</f>
        <v>0.93</v>
      </c>
      <c r="U137" s="123">
        <f>((($I137/$L137)*'Model Data Inputs'!$B$85)+((SUM(J137:K137)/$L137)*'Model Data Inputs'!$C$85))*$R137*$T137</f>
        <v>6950.2360553268909</v>
      </c>
      <c r="V137" s="140">
        <f>((($I137/$L137)*'Model Data Inputs'!$B$86)+((SUM(J137:K137)/$L137)*'Model Data Inputs'!$C$86))*$R137</f>
        <v>1989.7021107650871</v>
      </c>
      <c r="W137" s="140">
        <f t="shared" si="38"/>
        <v>8939.9381660919789</v>
      </c>
      <c r="X137" s="140">
        <f t="shared" si="31"/>
        <v>1485578.2056458464</v>
      </c>
      <c r="Y137" s="140">
        <f t="shared" si="32"/>
        <v>425288.87766548357</v>
      </c>
      <c r="Z137" s="123">
        <f>IF((SUM(X137:Y137))&lt;(AVERAGE('Elementary Size Adjustment'!$B$66,'Secondary Size Adjustment'!$B$66)),(AVERAGE('Elementary Size Adjustment'!$B$66,'Secondary Size Adjustment'!$B$66)),SUM(X137:Y137))</f>
        <v>1910867.0833113301</v>
      </c>
      <c r="AA137" s="137">
        <f>'Model Data Inputs'!$B$71*S137*L137</f>
        <v>89795.823857318857</v>
      </c>
      <c r="AB137" s="137">
        <f>L137*'Model Data Inputs'!$B$72</f>
        <v>5343.625</v>
      </c>
      <c r="AC137" s="137">
        <f>L137*'Model Data Inputs'!$B$73</f>
        <v>53436.25</v>
      </c>
      <c r="AD137" s="137">
        <f>L137*'Model Data Inputs'!$B$74</f>
        <v>26718.125</v>
      </c>
      <c r="AE137" s="137">
        <f>$I137*'Model Data Inputs'!$B$76</f>
        <v>0</v>
      </c>
      <c r="AF137" s="137">
        <f>VLOOKUP($J137,'Student Activities MS&amp;HS Tables'!$M$7:$O$1267,3)</f>
        <v>78094.319999999992</v>
      </c>
      <c r="AG137" s="137">
        <f>VLOOKUP($K137,'Student Activities MS&amp;HS Tables'!$I$7:$K$3007,3)</f>
        <v>0</v>
      </c>
      <c r="AH137" s="137">
        <f t="shared" si="33"/>
        <v>78094.319999999992</v>
      </c>
      <c r="AI137" s="123">
        <f t="shared" si="39"/>
        <v>2164255.227168649</v>
      </c>
      <c r="AJ137" s="123">
        <f>(('Model Data Inputs'!$B$90*(('Model Data Inputs'!$B$87*('School Level Inst. Resources'!I137/'School Level Inst. Resources'!L137))+('Model Data Inputs'!$C$87*(SUM('School Level Inst. Resources'!J137:K137)/'School Level Inst. Resources'!L137))))*T137*M137)</f>
        <v>195868.43947031422</v>
      </c>
      <c r="AK137" s="123">
        <f>(('Model Data Inputs'!$B$91*(('Model Data Inputs'!$B$87*('School Level Inst. Resources'!I137/'School Level Inst. Resources'!L137))+('Model Data Inputs'!$C$87*(SUM('School Level Inst. Resources'!J137:K137)/'School Level Inst. Resources'!L137))))*T137*N137)</f>
        <v>1901.6353346632447</v>
      </c>
      <c r="AL137" s="137">
        <f>(K137*'Model Data Inputs'!$B$94)*T137</f>
        <v>0</v>
      </c>
      <c r="AM137" s="137">
        <f>K137*'Model Data Inputs'!$B$95</f>
        <v>0</v>
      </c>
      <c r="AN137" s="137">
        <f t="shared" si="40"/>
        <v>0</v>
      </c>
      <c r="AO137" s="137">
        <f>('School Level Inst. Resources'!K137*'Model Data Inputs'!$B$96)+('School Level Inst. Resources'!J137*'Model Data Inputs'!$B$97)</f>
        <v>5343.625</v>
      </c>
      <c r="AP137" s="137">
        <f>$L137*'Model Data Inputs'!$B$100</f>
        <v>8549.7999999999993</v>
      </c>
      <c r="AQ137" s="137">
        <f t="shared" si="41"/>
        <v>2375918.7269736263</v>
      </c>
      <c r="AR137" s="141">
        <f t="shared" si="34"/>
        <v>11115.669264654734</v>
      </c>
    </row>
    <row r="138" spans="1:44" s="40" customFormat="1" ht="12.75" customHeight="1" x14ac:dyDescent="0.2">
      <c r="A138" s="20" t="s">
        <v>54</v>
      </c>
      <c r="B138" s="20" t="s">
        <v>55</v>
      </c>
      <c r="C138" s="20" t="s">
        <v>644</v>
      </c>
      <c r="D138" s="20" t="s">
        <v>645</v>
      </c>
      <c r="E138" s="138" t="s">
        <v>389</v>
      </c>
      <c r="F138" s="138" t="str">
        <f>IF(AND(SUM('School Level ADM'!$F138:$J138)=0,SUM('School Level ADM'!$O138:$R138)=0,'School Level ADM'!$K138&gt;0,'School Level ADM'!$N138&gt;0),"T","F")</f>
        <v>F</v>
      </c>
      <c r="G138" s="138" t="str">
        <f>IF(AND(SUM('School Level ADM'!$M138:$R138)=0,'School Level ADM'!$L138&gt;0),"T","F")</f>
        <v>F</v>
      </c>
      <c r="H138" s="138" t="str">
        <f t="shared" si="28"/>
        <v>H</v>
      </c>
      <c r="I138" s="139">
        <f>IF($F138="T",SUM('School Level ADM'!$F138:$J138),IF($G138="T",SUM('School Level ADM'!$F138:$L138),SUM('School Level ADM'!$F138:$K138,0)))</f>
        <v>0</v>
      </c>
      <c r="J138" s="139">
        <f>'School Level ADM'!$S138-$I138-$K138</f>
        <v>0</v>
      </c>
      <c r="K138" s="139">
        <f>IF(SUM('School Level ADM'!$N138:$R138)='School Level ADM'!$S138,SUM('School Level ADM'!$N138:$R138),IF(OR(SUM('School Level ADM'!$F138:$O138)='School Level ADM'!$S138,SUM('School Level ADM'!$G138:$O138)='School Level ADM'!$S138,SUM('School Level ADM'!$H138:$O138)='School Level ADM'!$S138,SUM('School Level ADM'!$I138:$O138)='School Level ADM'!$S138,SUM('School Level ADM'!$J138:$O138)='School Level ADM'!$S138,SUM('School Level ADM'!$K138:$O138)='School Level ADM'!$S138,SUM('School Level ADM'!$L138:$O138)='School Level ADM'!$S138,SUM('School Level ADM'!$M138:$O138)='School Level ADM'!$S138,SUM('School Level ADM'!$N138:$O138)='School Level ADM'!$S138),0,SUM('School Level ADM'!$O138:$R138)))</f>
        <v>201.92499999999998</v>
      </c>
      <c r="L138" s="139">
        <f t="shared" si="29"/>
        <v>201.92499999999998</v>
      </c>
      <c r="M138" s="24">
        <f>'Student At-Risk and ELL Proxy'!S138</f>
        <v>106</v>
      </c>
      <c r="N138" s="24">
        <f>'Student At-Risk and ELL Proxy'!AH138</f>
        <v>0</v>
      </c>
      <c r="O138" s="136" t="str">
        <f t="shared" si="35"/>
        <v/>
      </c>
      <c r="P138" s="136">
        <f t="shared" si="36"/>
        <v>1.4163838694579904</v>
      </c>
      <c r="Q138" s="136" t="str">
        <f t="shared" si="37"/>
        <v/>
      </c>
      <c r="R138" s="136">
        <f t="shared" si="30"/>
        <v>1.4163838694579904</v>
      </c>
      <c r="S138" s="136">
        <f>IF(SUM(3515.4*((VLOOKUP($A138,'District Level ADM'!$A$4:$F$52,6,FALSE))^-0.327)/'Model Data Inputs'!$B$71)&lt;1,1,(3515.4*((VLOOKUP($A138,'District Level ADM'!$A$4:$F$52,6,FALSE))^-0.327)/'Model Data Inputs'!$B$71))</f>
        <v>2.2110907822360599</v>
      </c>
      <c r="T138" s="136">
        <f>VLOOKUP($A138,'Regional Cost Adjustment'!$A$4:$C$52,3,FALSE)</f>
        <v>0.93</v>
      </c>
      <c r="U138" s="123">
        <f>((($I138/$L138)*'Model Data Inputs'!$B$85)+((SUM(J138:K138)/$L138)*'Model Data Inputs'!$C$85))*$R138*$T138</f>
        <v>7090.4094711372791</v>
      </c>
      <c r="V138" s="140">
        <f>((($I138/$L138)*'Model Data Inputs'!$B$86)+((SUM(J138:K138)/$L138)*'Model Data Inputs'!$C$86))*$R138</f>
        <v>2029.8307249719844</v>
      </c>
      <c r="W138" s="140">
        <f t="shared" si="38"/>
        <v>9120.2401961092637</v>
      </c>
      <c r="X138" s="140">
        <f t="shared" si="31"/>
        <v>1431730.9324593949</v>
      </c>
      <c r="Y138" s="140">
        <f t="shared" si="32"/>
        <v>409873.56913996791</v>
      </c>
      <c r="Z138" s="123">
        <f>IF((SUM(X138:Y138))&lt;(AVERAGE('Elementary Size Adjustment'!$B$66,'Secondary Size Adjustment'!$B$66)),(AVERAGE('Elementary Size Adjustment'!$B$66,'Secondary Size Adjustment'!$B$66)),SUM(X138:Y138))</f>
        <v>1841604.5015993628</v>
      </c>
      <c r="AA138" s="137">
        <f>'Model Data Inputs'!$B$71*S138*L138</f>
        <v>84830.156178573103</v>
      </c>
      <c r="AB138" s="137">
        <f>L138*'Model Data Inputs'!$B$72</f>
        <v>5048.125</v>
      </c>
      <c r="AC138" s="137">
        <f>L138*'Model Data Inputs'!$B$73</f>
        <v>50481.249999999993</v>
      </c>
      <c r="AD138" s="137">
        <f>L138*'Model Data Inputs'!$B$74</f>
        <v>25240.624999999996</v>
      </c>
      <c r="AE138" s="137">
        <f>$I138*'Model Data Inputs'!$B$76</f>
        <v>0</v>
      </c>
      <c r="AF138" s="137">
        <f>VLOOKUP($J138,'Student Activities MS&amp;HS Tables'!$M$7:$O$1267,3)</f>
        <v>0</v>
      </c>
      <c r="AG138" s="137">
        <f>VLOOKUP($K138,'Student Activities MS&amp;HS Tables'!$I$7:$K$3007,3)</f>
        <v>256118.22</v>
      </c>
      <c r="AH138" s="137">
        <f t="shared" si="33"/>
        <v>256118.22</v>
      </c>
      <c r="AI138" s="123">
        <f t="shared" si="39"/>
        <v>2263322.8777779359</v>
      </c>
      <c r="AJ138" s="123">
        <f>(('Model Data Inputs'!$B$90*(('Model Data Inputs'!$B$87*('School Level Inst. Resources'!I138/'School Level Inst. Resources'!L138))+('Model Data Inputs'!$C$87*(SUM('School Level Inst. Resources'!J138:K138)/'School Level Inst. Resources'!L138))))*T138*M138)</f>
        <v>201573.34547430393</v>
      </c>
      <c r="AK138" s="123">
        <f>(('Model Data Inputs'!$B$91*(('Model Data Inputs'!$B$87*('School Level Inst. Resources'!I138/'School Level Inst. Resources'!L138))+('Model Data Inputs'!$C$87*(SUM('School Level Inst. Resources'!J138:K138)/'School Level Inst. Resources'!L138))))*T138*N138)</f>
        <v>0</v>
      </c>
      <c r="AL138" s="137">
        <f>(K138*'Model Data Inputs'!$B$94)*T138</f>
        <v>30997.664281788748</v>
      </c>
      <c r="AM138" s="137">
        <f>K138*'Model Data Inputs'!$B$95</f>
        <v>8462.6414131249985</v>
      </c>
      <c r="AN138" s="137">
        <f t="shared" si="40"/>
        <v>39460.305694913746</v>
      </c>
      <c r="AO138" s="137">
        <f>('School Level Inst. Resources'!K138*'Model Data Inputs'!$B$96)+('School Level Inst. Resources'!J138*'Model Data Inputs'!$B$97)</f>
        <v>20192.5</v>
      </c>
      <c r="AP138" s="137">
        <f>$L138*'Model Data Inputs'!$B$100</f>
        <v>8076.9999999999991</v>
      </c>
      <c r="AQ138" s="137">
        <f t="shared" si="41"/>
        <v>2532626.0289471536</v>
      </c>
      <c r="AR138" s="141">
        <f t="shared" si="34"/>
        <v>12542.409453743488</v>
      </c>
    </row>
    <row r="139" spans="1:44" s="40" customFormat="1" ht="12.75" customHeight="1" x14ac:dyDescent="0.2">
      <c r="A139" s="20" t="s">
        <v>56</v>
      </c>
      <c r="B139" s="20" t="s">
        <v>57</v>
      </c>
      <c r="C139" s="20" t="s">
        <v>646</v>
      </c>
      <c r="D139" s="20" t="s">
        <v>647</v>
      </c>
      <c r="E139" s="138" t="s">
        <v>622</v>
      </c>
      <c r="F139" s="138" t="str">
        <f>IF(AND(SUM('School Level ADM'!$F139:$J139)=0,SUM('School Level ADM'!$O139:$R139)=0,'School Level ADM'!$K139&gt;0,'School Level ADM'!$N139&gt;0),"T","F")</f>
        <v>F</v>
      </c>
      <c r="G139" s="138" t="str">
        <f>IF(AND(SUM('School Level ADM'!$M139:$R139)=0,'School Level ADM'!$L139&gt;0),"T","F")</f>
        <v>F</v>
      </c>
      <c r="H139" s="138" t="str">
        <f t="shared" si="28"/>
        <v>E</v>
      </c>
      <c r="I139" s="139">
        <f>IF($F139="T",SUM('School Level ADM'!$F139:$J139),IF($G139="T",SUM('School Level ADM'!$F139:$L139),SUM('School Level ADM'!$F139:$K139,0)))</f>
        <v>279.74</v>
      </c>
      <c r="J139" s="139">
        <f>'School Level ADM'!$S139-$I139-$K139</f>
        <v>0</v>
      </c>
      <c r="K139" s="139">
        <f>IF(SUM('School Level ADM'!$N139:$R139)='School Level ADM'!$S139,SUM('School Level ADM'!$N139:$R139),IF(OR(SUM('School Level ADM'!$F139:$O139)='School Level ADM'!$S139,SUM('School Level ADM'!$G139:$O139)='School Level ADM'!$S139,SUM('School Level ADM'!$H139:$O139)='School Level ADM'!$S139,SUM('School Level ADM'!$I139:$O139)='School Level ADM'!$S139,SUM('School Level ADM'!$J139:$O139)='School Level ADM'!$S139,SUM('School Level ADM'!$K139:$O139)='School Level ADM'!$S139,SUM('School Level ADM'!$L139:$O139)='School Level ADM'!$S139,SUM('School Level ADM'!$M139:$O139)='School Level ADM'!$S139,SUM('School Level ADM'!$N139:$O139)='School Level ADM'!$S139),0,SUM('School Level ADM'!$O139:$R139)))</f>
        <v>0</v>
      </c>
      <c r="L139" s="139">
        <f t="shared" si="29"/>
        <v>279.74</v>
      </c>
      <c r="M139" s="24">
        <f>'Student At-Risk and ELL Proxy'!S139</f>
        <v>94</v>
      </c>
      <c r="N139" s="24">
        <f>'Student At-Risk and ELL Proxy'!AH139</f>
        <v>2</v>
      </c>
      <c r="O139" s="136">
        <f t="shared" si="35"/>
        <v>1.0205342662936414</v>
      </c>
      <c r="P139" s="136" t="str">
        <f t="shared" si="36"/>
        <v/>
      </c>
      <c r="Q139" s="136" t="str">
        <f t="shared" si="37"/>
        <v/>
      </c>
      <c r="R139" s="136">
        <f t="shared" si="30"/>
        <v>1.0205342662936414</v>
      </c>
      <c r="S139" s="136">
        <f>IF(SUM(3515.4*((VLOOKUP($A139,'District Level ADM'!$A$4:$F$52,6,FALSE))^-0.327)/'Model Data Inputs'!$B$71)&lt;1,1,(3515.4*((VLOOKUP($A139,'District Level ADM'!$A$4:$F$52,6,FALSE))^-0.327)/'Model Data Inputs'!$B$71))</f>
        <v>1.7877829704806463</v>
      </c>
      <c r="T139" s="136">
        <f>VLOOKUP($A139,'Regional Cost Adjustment'!$A$4:$C$52,3,FALSE)</f>
        <v>0.94</v>
      </c>
      <c r="U139" s="123">
        <f>((($I139/$L139)*'Model Data Inputs'!$B$85)+((SUM(J139:K139)/$L139)*'Model Data Inputs'!$C$85))*$R139*$T139</f>
        <v>6108.4409520564386</v>
      </c>
      <c r="V139" s="140">
        <f>((($I139/$L139)*'Model Data Inputs'!$B$86)+((SUM(J139:K139)/$L139)*'Model Data Inputs'!$C$86))*$R139</f>
        <v>1727.3815489282506</v>
      </c>
      <c r="W139" s="140">
        <f t="shared" si="38"/>
        <v>7835.8225009846892</v>
      </c>
      <c r="X139" s="140">
        <f t="shared" si="31"/>
        <v>1708775.2719282683</v>
      </c>
      <c r="Y139" s="140">
        <f t="shared" si="32"/>
        <v>483217.71449718886</v>
      </c>
      <c r="Z139" s="123">
        <f>IF((SUM(X139:Y139))&lt;(AVERAGE('Elementary Size Adjustment'!$B$66,'Secondary Size Adjustment'!$B$66)),(AVERAGE('Elementary Size Adjustment'!$B$66,'Secondary Size Adjustment'!$B$66)),SUM(X139:Y139))</f>
        <v>2191992.9864254571</v>
      </c>
      <c r="AA139" s="137">
        <f>'Model Data Inputs'!$B$71*S139*L139</f>
        <v>95021.737550828635</v>
      </c>
      <c r="AB139" s="137">
        <f>L139*'Model Data Inputs'!$B$72</f>
        <v>6993.5</v>
      </c>
      <c r="AC139" s="137">
        <f>L139*'Model Data Inputs'!$B$73</f>
        <v>69935</v>
      </c>
      <c r="AD139" s="137">
        <f>L139*'Model Data Inputs'!$B$74</f>
        <v>34967.5</v>
      </c>
      <c r="AE139" s="137">
        <f>$I139*'Model Data Inputs'!$B$76</f>
        <v>6655.0146000000004</v>
      </c>
      <c r="AF139" s="137">
        <f>VLOOKUP($J139,'Student Activities MS&amp;HS Tables'!$M$7:$O$1267,3)</f>
        <v>0</v>
      </c>
      <c r="AG139" s="137">
        <f>VLOOKUP($K139,'Student Activities MS&amp;HS Tables'!$I$7:$K$3007,3)</f>
        <v>0</v>
      </c>
      <c r="AH139" s="137">
        <f t="shared" si="33"/>
        <v>6655.0146000000004</v>
      </c>
      <c r="AI139" s="123">
        <f t="shared" si="39"/>
        <v>2405565.7385762855</v>
      </c>
      <c r="AJ139" s="123">
        <f>(('Model Data Inputs'!$B$90*(('Model Data Inputs'!$B$87*('School Level Inst. Resources'!I139/'School Level Inst. Resources'!L139))+('Model Data Inputs'!$C$87*(SUM('School Level Inst. Resources'!J139:K139)/'School Level Inst. Resources'!L139))))*T139*M139)</f>
        <v>213660.11132471095</v>
      </c>
      <c r="AK139" s="123">
        <f>(('Model Data Inputs'!$B$91*(('Model Data Inputs'!$B$87*('School Level Inst. Resources'!I139/'School Level Inst. Resources'!L139))+('Model Data Inputs'!$C$87*(SUM('School Level Inst. Resources'!J139:K139)/'School Level Inst. Resources'!L139))))*T139*N139)</f>
        <v>4545.9598154193818</v>
      </c>
      <c r="AL139" s="137">
        <f>(K139*'Model Data Inputs'!$B$94)*T139</f>
        <v>0</v>
      </c>
      <c r="AM139" s="137">
        <f>K139*'Model Data Inputs'!$B$95</f>
        <v>0</v>
      </c>
      <c r="AN139" s="137">
        <f t="shared" si="40"/>
        <v>0</v>
      </c>
      <c r="AO139" s="137">
        <f>('School Level Inst. Resources'!K139*'Model Data Inputs'!$B$96)+('School Level Inst. Resources'!J139*'Model Data Inputs'!$B$97)</f>
        <v>0</v>
      </c>
      <c r="AP139" s="137">
        <f>$L139*'Model Data Inputs'!$B$100</f>
        <v>11189.6</v>
      </c>
      <c r="AQ139" s="137">
        <f t="shared" si="41"/>
        <v>2634961.4097164157</v>
      </c>
      <c r="AR139" s="141">
        <f t="shared" si="34"/>
        <v>9419.3229774662741</v>
      </c>
    </row>
    <row r="140" spans="1:44" s="40" customFormat="1" ht="12.75" customHeight="1" x14ac:dyDescent="0.2">
      <c r="A140" s="20" t="s">
        <v>56</v>
      </c>
      <c r="B140" s="20" t="s">
        <v>57</v>
      </c>
      <c r="C140" s="20" t="s">
        <v>648</v>
      </c>
      <c r="D140" s="20" t="s">
        <v>432</v>
      </c>
      <c r="E140" s="138" t="s">
        <v>625</v>
      </c>
      <c r="F140" s="138" t="str">
        <f>IF(AND(SUM('School Level ADM'!$F140:$J140)=0,SUM('School Level ADM'!$O140:$R140)=0,'School Level ADM'!$K140&gt;0,'School Level ADM'!$N140&gt;0),"T","F")</f>
        <v>F</v>
      </c>
      <c r="G140" s="138" t="str">
        <f>IF(AND(SUM('School Level ADM'!$M140:$R140)=0,'School Level ADM'!$L140&gt;0),"T","F")</f>
        <v>F</v>
      </c>
      <c r="H140" s="138" t="str">
        <f t="shared" si="28"/>
        <v>E</v>
      </c>
      <c r="I140" s="139">
        <f>IF($F140="T",SUM('School Level ADM'!$F140:$J140),IF($G140="T",SUM('School Level ADM'!$F140:$L140),SUM('School Level ADM'!$F140:$K140,0)))</f>
        <v>261.02499999999998</v>
      </c>
      <c r="J140" s="139">
        <f>'School Level ADM'!$S140-$I140-$K140</f>
        <v>0</v>
      </c>
      <c r="K140" s="139">
        <f>IF(SUM('School Level ADM'!$N140:$R140)='School Level ADM'!$S140,SUM('School Level ADM'!$N140:$R140),IF(OR(SUM('School Level ADM'!$F140:$O140)='School Level ADM'!$S140,SUM('School Level ADM'!$G140:$O140)='School Level ADM'!$S140,SUM('School Level ADM'!$H140:$O140)='School Level ADM'!$S140,SUM('School Level ADM'!$I140:$O140)='School Level ADM'!$S140,SUM('School Level ADM'!$J140:$O140)='School Level ADM'!$S140,SUM('School Level ADM'!$K140:$O140)='School Level ADM'!$S140,SUM('School Level ADM'!$L140:$O140)='School Level ADM'!$S140,SUM('School Level ADM'!$M140:$O140)='School Level ADM'!$S140,SUM('School Level ADM'!$N140:$O140)='School Level ADM'!$S140),0,SUM('School Level ADM'!$O140:$R140)))</f>
        <v>0</v>
      </c>
      <c r="L140" s="139">
        <f t="shared" si="29"/>
        <v>261.02499999999998</v>
      </c>
      <c r="M140" s="24">
        <f>'Student At-Risk and ELL Proxy'!S140</f>
        <v>104</v>
      </c>
      <c r="N140" s="24">
        <f>'Student At-Risk and ELL Proxy'!AH140</f>
        <v>0</v>
      </c>
      <c r="O140" s="136">
        <f t="shared" si="35"/>
        <v>1.0490505916379937</v>
      </c>
      <c r="P140" s="136" t="str">
        <f t="shared" si="36"/>
        <v/>
      </c>
      <c r="Q140" s="136" t="str">
        <f t="shared" si="37"/>
        <v/>
      </c>
      <c r="R140" s="136">
        <f t="shared" si="30"/>
        <v>1.0490505916379937</v>
      </c>
      <c r="S140" s="136">
        <f>IF(SUM(3515.4*((VLOOKUP($A140,'District Level ADM'!$A$4:$F$52,6,FALSE))^-0.327)/'Model Data Inputs'!$B$71)&lt;1,1,(3515.4*((VLOOKUP($A140,'District Level ADM'!$A$4:$F$52,6,FALSE))^-0.327)/'Model Data Inputs'!$B$71))</f>
        <v>1.7877829704806463</v>
      </c>
      <c r="T140" s="136">
        <f>VLOOKUP($A140,'Regional Cost Adjustment'!$A$4:$C$52,3,FALSE)</f>
        <v>0.94</v>
      </c>
      <c r="U140" s="123">
        <f>((($I140/$L140)*'Model Data Inputs'!$B$85)+((SUM(J140:K140)/$L140)*'Model Data Inputs'!$C$85))*$R140*$T140</f>
        <v>6279.1263423356186</v>
      </c>
      <c r="V140" s="140">
        <f>((($I140/$L140)*'Model Data Inputs'!$B$86)+((SUM(J140:K140)/$L140)*'Model Data Inputs'!$C$86))*$R140</f>
        <v>1775.6489867497808</v>
      </c>
      <c r="W140" s="140">
        <f t="shared" si="38"/>
        <v>8054.7753290853998</v>
      </c>
      <c r="X140" s="140">
        <f t="shared" si="31"/>
        <v>1639008.9535081547</v>
      </c>
      <c r="Y140" s="140">
        <f t="shared" si="32"/>
        <v>463488.77676636149</v>
      </c>
      <c r="Z140" s="123">
        <f>IF((SUM(X140:Y140))&lt;(AVERAGE('Elementary Size Adjustment'!$B$66,'Secondary Size Adjustment'!$B$66)),(AVERAGE('Elementary Size Adjustment'!$B$66,'Secondary Size Adjustment'!$B$66)),SUM(X140:Y140))</f>
        <v>2102497.7302745162</v>
      </c>
      <c r="AA140" s="137">
        <f>'Model Data Inputs'!$B$71*S140*L140</f>
        <v>88664.649475245023</v>
      </c>
      <c r="AB140" s="137">
        <f>L140*'Model Data Inputs'!$B$72</f>
        <v>6525.6249999999991</v>
      </c>
      <c r="AC140" s="137">
        <f>L140*'Model Data Inputs'!$B$73</f>
        <v>65256.249999999993</v>
      </c>
      <c r="AD140" s="137">
        <f>L140*'Model Data Inputs'!$B$74</f>
        <v>32628.124999999996</v>
      </c>
      <c r="AE140" s="137">
        <f>$I140*'Model Data Inputs'!$B$76</f>
        <v>6209.7847499999989</v>
      </c>
      <c r="AF140" s="137">
        <f>VLOOKUP($J140,'Student Activities MS&amp;HS Tables'!$M$7:$O$1267,3)</f>
        <v>0</v>
      </c>
      <c r="AG140" s="137">
        <f>VLOOKUP($K140,'Student Activities MS&amp;HS Tables'!$I$7:$K$3007,3)</f>
        <v>0</v>
      </c>
      <c r="AH140" s="137">
        <f t="shared" si="33"/>
        <v>6209.7847499999989</v>
      </c>
      <c r="AI140" s="123">
        <f t="shared" si="39"/>
        <v>2301782.1644997611</v>
      </c>
      <c r="AJ140" s="123">
        <f>(('Model Data Inputs'!$B$90*(('Model Data Inputs'!$B$87*('School Level Inst. Resources'!I140/'School Level Inst. Resources'!L140))+('Model Data Inputs'!$C$87*(SUM('School Level Inst. Resources'!J140:K140)/'School Level Inst. Resources'!L140))))*T140*M140)</f>
        <v>236389.91040180787</v>
      </c>
      <c r="AK140" s="123">
        <f>(('Model Data Inputs'!$B$91*(('Model Data Inputs'!$B$87*('School Level Inst. Resources'!I140/'School Level Inst. Resources'!L140))+('Model Data Inputs'!$C$87*(SUM('School Level Inst. Resources'!J140:K140)/'School Level Inst. Resources'!L140))))*T140*N140)</f>
        <v>0</v>
      </c>
      <c r="AL140" s="137">
        <f>(K140*'Model Data Inputs'!$B$94)*T140</f>
        <v>0</v>
      </c>
      <c r="AM140" s="137">
        <f>K140*'Model Data Inputs'!$B$95</f>
        <v>0</v>
      </c>
      <c r="AN140" s="137">
        <f t="shared" si="40"/>
        <v>0</v>
      </c>
      <c r="AO140" s="137">
        <f>('School Level Inst. Resources'!K140*'Model Data Inputs'!$B$96)+('School Level Inst. Resources'!J140*'Model Data Inputs'!$B$97)</f>
        <v>0</v>
      </c>
      <c r="AP140" s="137">
        <f>$L140*'Model Data Inputs'!$B$100</f>
        <v>10441</v>
      </c>
      <c r="AQ140" s="137">
        <f t="shared" si="41"/>
        <v>2548613.0749015687</v>
      </c>
      <c r="AR140" s="141">
        <f t="shared" si="34"/>
        <v>9763.8658170733415</v>
      </c>
    </row>
    <row r="141" spans="1:44" s="40" customFormat="1" ht="12.75" customHeight="1" x14ac:dyDescent="0.2">
      <c r="A141" s="20" t="s">
        <v>56</v>
      </c>
      <c r="B141" s="20" t="s">
        <v>57</v>
      </c>
      <c r="C141" s="20" t="s">
        <v>649</v>
      </c>
      <c r="D141" s="20" t="s">
        <v>650</v>
      </c>
      <c r="E141" s="138" t="s">
        <v>474</v>
      </c>
      <c r="F141" s="138" t="str">
        <f>IF(AND(SUM('School Level ADM'!$F141:$J141)=0,SUM('School Level ADM'!$O141:$R141)=0,'School Level ADM'!$K141&gt;0,'School Level ADM'!$N141&gt;0),"T","F")</f>
        <v>F</v>
      </c>
      <c r="G141" s="138" t="str">
        <f>IF(AND(SUM('School Level ADM'!$M141:$R141)=0,'School Level ADM'!$L141&gt;0),"T","F")</f>
        <v>F</v>
      </c>
      <c r="H141" s="138" t="str">
        <f t="shared" si="28"/>
        <v>H</v>
      </c>
      <c r="I141" s="139">
        <f>IF($F141="T",SUM('School Level ADM'!$F141:$J141),IF($G141="T",SUM('School Level ADM'!$F141:$L141),SUM('School Level ADM'!$F141:$K141,0)))</f>
        <v>57.13</v>
      </c>
      <c r="J141" s="139">
        <f>'School Level ADM'!$S141-$I141-$K141</f>
        <v>41.369999999999969</v>
      </c>
      <c r="K141" s="139">
        <f>IF(SUM('School Level ADM'!$N141:$R141)='School Level ADM'!$S141,SUM('School Level ADM'!$N141:$R141),IF(OR(SUM('School Level ADM'!$F141:$O141)='School Level ADM'!$S141,SUM('School Level ADM'!$G141:$O141)='School Level ADM'!$S141,SUM('School Level ADM'!$H141:$O141)='School Level ADM'!$S141,SUM('School Level ADM'!$I141:$O141)='School Level ADM'!$S141,SUM('School Level ADM'!$J141:$O141)='School Level ADM'!$S141,SUM('School Level ADM'!$K141:$O141)='School Level ADM'!$S141,SUM('School Level ADM'!$L141:$O141)='School Level ADM'!$S141,SUM('School Level ADM'!$M141:$O141)='School Level ADM'!$S141,SUM('School Level ADM'!$N141:$O141)='School Level ADM'!$S141),0,SUM('School Level ADM'!$O141:$R141)))</f>
        <v>51.220000000000006</v>
      </c>
      <c r="L141" s="139">
        <f t="shared" si="29"/>
        <v>149.71999999999997</v>
      </c>
      <c r="M141" s="24">
        <f>'Student At-Risk and ELL Proxy'!S141</f>
        <v>58</v>
      </c>
      <c r="N141" s="24">
        <f>'Student At-Risk and ELL Proxy'!AH141</f>
        <v>4</v>
      </c>
      <c r="O141" s="136" t="str">
        <f t="shared" si="35"/>
        <v/>
      </c>
      <c r="P141" s="136" t="str">
        <f t="shared" si="36"/>
        <v/>
      </c>
      <c r="Q141" s="136">
        <f t="shared" si="37"/>
        <v>2.1997795798932538</v>
      </c>
      <c r="R141" s="136">
        <f t="shared" si="30"/>
        <v>2.1997795798932538</v>
      </c>
      <c r="S141" s="136">
        <f>IF(SUM(3515.4*((VLOOKUP($A141,'District Level ADM'!$A$4:$F$52,6,FALSE))^-0.327)/'Model Data Inputs'!$B$71)&lt;1,1,(3515.4*((VLOOKUP($A141,'District Level ADM'!$A$4:$F$52,6,FALSE))^-0.327)/'Model Data Inputs'!$B$71))</f>
        <v>1.7877829704806463</v>
      </c>
      <c r="T141" s="136">
        <f>VLOOKUP($A141,'Regional Cost Adjustment'!$A$4:$C$52,3,FALSE)</f>
        <v>0.94</v>
      </c>
      <c r="U141" s="123">
        <f>((($I141/$L141)*'Model Data Inputs'!$B$85)+((SUM(J141:K141)/$L141)*'Model Data Inputs'!$C$85))*$R141*$T141</f>
        <v>11907.524966971412</v>
      </c>
      <c r="V141" s="140">
        <f>((($I141/$L141)*'Model Data Inputs'!$B$86)+((SUM(J141:K141)/$L141)*'Model Data Inputs'!$C$86))*$R141</f>
        <v>3370.3570457441442</v>
      </c>
      <c r="W141" s="140">
        <f t="shared" si="38"/>
        <v>15277.882012715556</v>
      </c>
      <c r="X141" s="140">
        <f t="shared" si="31"/>
        <v>1782794.6380549595</v>
      </c>
      <c r="Y141" s="140">
        <f t="shared" si="32"/>
        <v>504609.8568888132</v>
      </c>
      <c r="Z141" s="123">
        <f>IF((SUM(X141:Y141))&lt;(AVERAGE('Elementary Size Adjustment'!$B$66,'Secondary Size Adjustment'!$B$66)),(AVERAGE('Elementary Size Adjustment'!$B$66,'Secondary Size Adjustment'!$B$66)),SUM(X141:Y141))</f>
        <v>2287404.4949437724</v>
      </c>
      <c r="AA141" s="137">
        <f>'Model Data Inputs'!$B$71*S141*L141</f>
        <v>50856.704604668834</v>
      </c>
      <c r="AB141" s="137">
        <f>L141*'Model Data Inputs'!$B$72</f>
        <v>3742.9999999999991</v>
      </c>
      <c r="AC141" s="137">
        <f>L141*'Model Data Inputs'!$B$73</f>
        <v>37429.999999999993</v>
      </c>
      <c r="AD141" s="137">
        <f>L141*'Model Data Inputs'!$B$74</f>
        <v>18714.999999999996</v>
      </c>
      <c r="AE141" s="137">
        <f>$I141*'Model Data Inputs'!$B$76</f>
        <v>1359.1227000000001</v>
      </c>
      <c r="AF141" s="137">
        <f>VLOOKUP($J141,'Student Activities MS&amp;HS Tables'!$M$7:$O$1267,3)</f>
        <v>28183.399999999998</v>
      </c>
      <c r="AG141" s="137">
        <f>VLOOKUP($K141,'Student Activities MS&amp;HS Tables'!$I$7:$K$3007,3)</f>
        <v>91325.7</v>
      </c>
      <c r="AH141" s="137">
        <f t="shared" si="33"/>
        <v>120868.2227</v>
      </c>
      <c r="AI141" s="123">
        <f t="shared" si="39"/>
        <v>2519017.4222484413</v>
      </c>
      <c r="AJ141" s="123">
        <f>(('Model Data Inputs'!$B$90*(('Model Data Inputs'!$B$87*('School Level Inst. Resources'!I141/'School Level Inst. Resources'!L141))+('Model Data Inputs'!$C$87*(SUM('School Level Inst. Resources'!J141:K141)/'School Level Inst. Resources'!L141))))*T141*M141)</f>
        <v>119246.71756350377</v>
      </c>
      <c r="AK141" s="123">
        <f>(('Model Data Inputs'!$B$91*(('Model Data Inputs'!$B$87*('School Level Inst. Resources'!I141/'School Level Inst. Resources'!L141))+('Model Data Inputs'!$C$87*(SUM('School Level Inst. Resources'!J141:K141)/'School Level Inst. Resources'!L141))))*T141*N141)</f>
        <v>8223.9115561037088</v>
      </c>
      <c r="AL141" s="137">
        <f>(K141*'Model Data Inputs'!$B$94)*T141</f>
        <v>7947.368634114001</v>
      </c>
      <c r="AM141" s="137">
        <f>K141*'Model Data Inputs'!$B$95</f>
        <v>2146.6212365000001</v>
      </c>
      <c r="AN141" s="137">
        <f t="shared" si="40"/>
        <v>10093.989870614001</v>
      </c>
      <c r="AO141" s="137">
        <f>('School Level Inst. Resources'!K141*'Model Data Inputs'!$B$96)+('School Level Inst. Resources'!J141*'Model Data Inputs'!$B$97)</f>
        <v>6156.25</v>
      </c>
      <c r="AP141" s="137">
        <f>$L141*'Model Data Inputs'!$B$100</f>
        <v>5988.7999999999993</v>
      </c>
      <c r="AQ141" s="137">
        <f t="shared" si="41"/>
        <v>2668727.0912386626</v>
      </c>
      <c r="AR141" s="141">
        <f t="shared" si="34"/>
        <v>17824.786877094997</v>
      </c>
    </row>
    <row r="142" spans="1:44" s="40" customFormat="1" ht="12.75" customHeight="1" x14ac:dyDescent="0.2">
      <c r="A142" s="20" t="s">
        <v>56</v>
      </c>
      <c r="B142" s="20" t="s">
        <v>57</v>
      </c>
      <c r="C142" s="20" t="s">
        <v>651</v>
      </c>
      <c r="D142" s="20" t="s">
        <v>652</v>
      </c>
      <c r="E142" s="138" t="s">
        <v>383</v>
      </c>
      <c r="F142" s="138" t="str">
        <f>IF(AND(SUM('School Level ADM'!$F142:$J142)=0,SUM('School Level ADM'!$O142:$R142)=0,'School Level ADM'!$K142&gt;0,'School Level ADM'!$N142&gt;0),"T","F")</f>
        <v>F</v>
      </c>
      <c r="G142" s="138" t="str">
        <f>IF(AND(SUM('School Level ADM'!$M142:$R142)=0,'School Level ADM'!$L142&gt;0),"T","F")</f>
        <v>F</v>
      </c>
      <c r="H142" s="138" t="str">
        <f t="shared" si="28"/>
        <v>M</v>
      </c>
      <c r="I142" s="139">
        <f>IF($F142="T",SUM('School Level ADM'!$F142:$J142),IF($G142="T",SUM('School Level ADM'!$F142:$L142),SUM('School Level ADM'!$F142:$K142,0)))</f>
        <v>0</v>
      </c>
      <c r="J142" s="139">
        <f>'School Level ADM'!$S142-$I142-$K142</f>
        <v>270.875</v>
      </c>
      <c r="K142" s="139">
        <f>IF(SUM('School Level ADM'!$N142:$R142)='School Level ADM'!$S142,SUM('School Level ADM'!$N142:$R142),IF(OR(SUM('School Level ADM'!$F142:$O142)='School Level ADM'!$S142,SUM('School Level ADM'!$G142:$O142)='School Level ADM'!$S142,SUM('School Level ADM'!$H142:$O142)='School Level ADM'!$S142,SUM('School Level ADM'!$I142:$O142)='School Level ADM'!$S142,SUM('School Level ADM'!$J142:$O142)='School Level ADM'!$S142,SUM('School Level ADM'!$K142:$O142)='School Level ADM'!$S142,SUM('School Level ADM'!$L142:$O142)='School Level ADM'!$S142,SUM('School Level ADM'!$M142:$O142)='School Level ADM'!$S142,SUM('School Level ADM'!$N142:$O142)='School Level ADM'!$S142),0,SUM('School Level ADM'!$O142:$R142)))</f>
        <v>0</v>
      </c>
      <c r="L142" s="139">
        <f t="shared" si="29"/>
        <v>270.875</v>
      </c>
      <c r="M142" s="24">
        <f>'Student At-Risk and ELL Proxy'!S142</f>
        <v>91</v>
      </c>
      <c r="N142" s="24">
        <f>'Student At-Risk and ELL Proxy'!AH142</f>
        <v>0</v>
      </c>
      <c r="O142" s="136" t="str">
        <f t="shared" si="35"/>
        <v/>
      </c>
      <c r="P142" s="136">
        <f t="shared" si="36"/>
        <v>1.2776173528133024</v>
      </c>
      <c r="Q142" s="136" t="str">
        <f t="shared" si="37"/>
        <v/>
      </c>
      <c r="R142" s="136">
        <f t="shared" si="30"/>
        <v>1.2776173528133024</v>
      </c>
      <c r="S142" s="136">
        <f>IF(SUM(3515.4*((VLOOKUP($A142,'District Level ADM'!$A$4:$F$52,6,FALSE))^-0.327)/'Model Data Inputs'!$B$71)&lt;1,1,(3515.4*((VLOOKUP($A142,'District Level ADM'!$A$4:$F$52,6,FALSE))^-0.327)/'Model Data Inputs'!$B$71))</f>
        <v>1.7877829704806463</v>
      </c>
      <c r="T142" s="136">
        <f>VLOOKUP($A142,'Regional Cost Adjustment'!$A$4:$C$52,3,FALSE)</f>
        <v>0.94</v>
      </c>
      <c r="U142" s="123">
        <f>((($I142/$L142)*'Model Data Inputs'!$B$85)+((SUM(J142:K142)/$L142)*'Model Data Inputs'!$C$85))*$R142*$T142</f>
        <v>6464.5165427487964</v>
      </c>
      <c r="V142" s="140">
        <f>((($I142/$L142)*'Model Data Inputs'!$B$86)+((SUM(J142:K142)/$L142)*'Model Data Inputs'!$C$86))*$R142</f>
        <v>1830.9633521103376</v>
      </c>
      <c r="W142" s="140">
        <f t="shared" si="38"/>
        <v>8295.4798948591342</v>
      </c>
      <c r="X142" s="140">
        <f t="shared" si="31"/>
        <v>1751075.9185170801</v>
      </c>
      <c r="Y142" s="140">
        <f t="shared" si="32"/>
        <v>495962.19800288772</v>
      </c>
      <c r="Z142" s="123">
        <f>IF((SUM(X142:Y142))&lt;(AVERAGE('Elementary Size Adjustment'!$B$66,'Secondary Size Adjustment'!$B$66)),(AVERAGE('Elementary Size Adjustment'!$B$66,'Secondary Size Adjustment'!$B$66)),SUM(X142:Y142))</f>
        <v>2247038.116519968</v>
      </c>
      <c r="AA142" s="137">
        <f>'Model Data Inputs'!$B$71*S142*L142</f>
        <v>92010.485304499554</v>
      </c>
      <c r="AB142" s="137">
        <f>L142*'Model Data Inputs'!$B$72</f>
        <v>6771.875</v>
      </c>
      <c r="AC142" s="137">
        <f>L142*'Model Data Inputs'!$B$73</f>
        <v>67718.75</v>
      </c>
      <c r="AD142" s="137">
        <f>L142*'Model Data Inputs'!$B$74</f>
        <v>33859.375</v>
      </c>
      <c r="AE142" s="137">
        <f>$I142*'Model Data Inputs'!$B$76</f>
        <v>0</v>
      </c>
      <c r="AF142" s="137">
        <f>VLOOKUP($J142,'Student Activities MS&amp;HS Tables'!$M$7:$O$1267,3)</f>
        <v>88533</v>
      </c>
      <c r="AG142" s="137">
        <f>VLOOKUP($K142,'Student Activities MS&amp;HS Tables'!$I$7:$K$3007,3)</f>
        <v>0</v>
      </c>
      <c r="AH142" s="137">
        <f t="shared" si="33"/>
        <v>88533</v>
      </c>
      <c r="AI142" s="123">
        <f t="shared" si="39"/>
        <v>2535931.6018244675</v>
      </c>
      <c r="AJ142" s="123">
        <f>(('Model Data Inputs'!$B$90*(('Model Data Inputs'!$B$87*('School Level Inst. Resources'!I142/'School Level Inst. Resources'!L142))+('Model Data Inputs'!$C$87*(SUM('School Level Inst. Resources'!J142:K142)/'School Level Inst. Resources'!L142))))*T142*M142)</f>
        <v>174909.55540547735</v>
      </c>
      <c r="AK142" s="123">
        <f>(('Model Data Inputs'!$B$91*(('Model Data Inputs'!$B$87*('School Level Inst. Resources'!I142/'School Level Inst. Resources'!L142))+('Model Data Inputs'!$C$87*(SUM('School Level Inst. Resources'!J142:K142)/'School Level Inst. Resources'!L142))))*T142*N142)</f>
        <v>0</v>
      </c>
      <c r="AL142" s="137">
        <f>(K142*'Model Data Inputs'!$B$94)*T142</f>
        <v>0</v>
      </c>
      <c r="AM142" s="137">
        <f>K142*'Model Data Inputs'!$B$95</f>
        <v>0</v>
      </c>
      <c r="AN142" s="137">
        <f t="shared" si="40"/>
        <v>0</v>
      </c>
      <c r="AO142" s="137">
        <f>('School Level Inst. Resources'!K142*'Model Data Inputs'!$B$96)+('School Level Inst. Resources'!J142*'Model Data Inputs'!$B$97)</f>
        <v>6771.875</v>
      </c>
      <c r="AP142" s="137">
        <f>$L142*'Model Data Inputs'!$B$100</f>
        <v>10835</v>
      </c>
      <c r="AQ142" s="137">
        <f t="shared" si="41"/>
        <v>2728448.0322299451</v>
      </c>
      <c r="AR142" s="141">
        <f t="shared" si="34"/>
        <v>10072.720008232376</v>
      </c>
    </row>
    <row r="143" spans="1:44" s="40" customFormat="1" ht="12.75" customHeight="1" x14ac:dyDescent="0.2">
      <c r="A143" s="20" t="s">
        <v>56</v>
      </c>
      <c r="B143" s="20" t="s">
        <v>57</v>
      </c>
      <c r="C143" s="20" t="s">
        <v>653</v>
      </c>
      <c r="D143" s="20" t="s">
        <v>654</v>
      </c>
      <c r="E143" s="138" t="s">
        <v>389</v>
      </c>
      <c r="F143" s="138" t="str">
        <f>IF(AND(SUM('School Level ADM'!$F143:$J143)=0,SUM('School Level ADM'!$O143:$R143)=0,'School Level ADM'!$K143&gt;0,'School Level ADM'!$N143&gt;0),"T","F")</f>
        <v>F</v>
      </c>
      <c r="G143" s="138" t="str">
        <f>IF(AND(SUM('School Level ADM'!$M143:$R143)=0,'School Level ADM'!$L143&gt;0),"T","F")</f>
        <v>F</v>
      </c>
      <c r="H143" s="138" t="str">
        <f t="shared" si="28"/>
        <v>H</v>
      </c>
      <c r="I143" s="139">
        <f>IF($F143="T",SUM('School Level ADM'!$F143:$J143),IF($G143="T",SUM('School Level ADM'!$F143:$L143),SUM('School Level ADM'!$F143:$K143,0)))</f>
        <v>0</v>
      </c>
      <c r="J143" s="139">
        <f>'School Level ADM'!$S143-$I143-$K143</f>
        <v>0</v>
      </c>
      <c r="K143" s="139">
        <f>IF(SUM('School Level ADM'!$N143:$R143)='School Level ADM'!$S143,SUM('School Level ADM'!$N143:$R143),IF(OR(SUM('School Level ADM'!$F143:$O143)='School Level ADM'!$S143,SUM('School Level ADM'!$G143:$O143)='School Level ADM'!$S143,SUM('School Level ADM'!$H143:$O143)='School Level ADM'!$S143,SUM('School Level ADM'!$I143:$O143)='School Level ADM'!$S143,SUM('School Level ADM'!$J143:$O143)='School Level ADM'!$S143,SUM('School Level ADM'!$K143:$O143)='School Level ADM'!$S143,SUM('School Level ADM'!$L143:$O143)='School Level ADM'!$S143,SUM('School Level ADM'!$M143:$O143)='School Level ADM'!$S143,SUM('School Level ADM'!$N143:$O143)='School Level ADM'!$S143),0,SUM('School Level ADM'!$O143:$R143)))</f>
        <v>308.30500000000001</v>
      </c>
      <c r="L143" s="139">
        <f t="shared" si="29"/>
        <v>308.30500000000001</v>
      </c>
      <c r="M143" s="24">
        <f>'Student At-Risk and ELL Proxy'!S143</f>
        <v>89</v>
      </c>
      <c r="N143" s="24">
        <f>'Student At-Risk and ELL Proxy'!AH143</f>
        <v>1</v>
      </c>
      <c r="O143" s="136" t="str">
        <f t="shared" si="35"/>
        <v/>
      </c>
      <c r="P143" s="136">
        <f t="shared" si="36"/>
        <v>1.2208730719891272</v>
      </c>
      <c r="Q143" s="136" t="str">
        <f t="shared" si="37"/>
        <v/>
      </c>
      <c r="R143" s="136">
        <f t="shared" si="30"/>
        <v>1.2208730719891272</v>
      </c>
      <c r="S143" s="136">
        <f>IF(SUM(3515.4*((VLOOKUP($A143,'District Level ADM'!$A$4:$F$52,6,FALSE))^-0.327)/'Model Data Inputs'!$B$71)&lt;1,1,(3515.4*((VLOOKUP($A143,'District Level ADM'!$A$4:$F$52,6,FALSE))^-0.327)/'Model Data Inputs'!$B$71))</f>
        <v>1.7877829704806463</v>
      </c>
      <c r="T143" s="136">
        <f>VLOOKUP($A143,'Regional Cost Adjustment'!$A$4:$C$52,3,FALSE)</f>
        <v>0.94</v>
      </c>
      <c r="U143" s="123">
        <f>((($I143/$L143)*'Model Data Inputs'!$B$85)+((SUM(J143:K143)/$L143)*'Model Data Inputs'!$C$85))*$R143*$T143</f>
        <v>6177.4005754472255</v>
      </c>
      <c r="V143" s="140">
        <f>((($I143/$L143)*'Model Data Inputs'!$B$86)+((SUM(J143:K143)/$L143)*'Model Data Inputs'!$C$86))*$R143</f>
        <v>1749.6426825044166</v>
      </c>
      <c r="W143" s="140">
        <f t="shared" si="38"/>
        <v>7927.0432579516419</v>
      </c>
      <c r="X143" s="140">
        <f t="shared" si="31"/>
        <v>1904523.4844132569</v>
      </c>
      <c r="Y143" s="140">
        <f t="shared" si="32"/>
        <v>539423.58722952416</v>
      </c>
      <c r="Z143" s="123">
        <f>IF((SUM(X143:Y143))&lt;(AVERAGE('Elementary Size Adjustment'!$B$66,'Secondary Size Adjustment'!$B$66)),(AVERAGE('Elementary Size Adjustment'!$B$66,'Secondary Size Adjustment'!$B$66)),SUM(X143:Y143))</f>
        <v>2443947.0716427811</v>
      </c>
      <c r="AA143" s="137">
        <f>'Model Data Inputs'!$B$71*S143*L143</f>
        <v>104724.66145566676</v>
      </c>
      <c r="AB143" s="137">
        <f>L143*'Model Data Inputs'!$B$72</f>
        <v>7707.625</v>
      </c>
      <c r="AC143" s="137">
        <f>L143*'Model Data Inputs'!$B$73</f>
        <v>77076.25</v>
      </c>
      <c r="AD143" s="137">
        <f>L143*'Model Data Inputs'!$B$74</f>
        <v>38538.125</v>
      </c>
      <c r="AE143" s="137">
        <f>$I143*'Model Data Inputs'!$B$76</f>
        <v>0</v>
      </c>
      <c r="AF143" s="137">
        <f>VLOOKUP($J143,'Student Activities MS&amp;HS Tables'!$M$7:$O$1267,3)</f>
        <v>0</v>
      </c>
      <c r="AG143" s="137">
        <f>VLOOKUP($K143,'Student Activities MS&amp;HS Tables'!$I$7:$K$3007,3)</f>
        <v>316232.84000000003</v>
      </c>
      <c r="AH143" s="137">
        <f t="shared" si="33"/>
        <v>316232.84000000003</v>
      </c>
      <c r="AI143" s="123">
        <f t="shared" si="39"/>
        <v>2988226.5730984476</v>
      </c>
      <c r="AJ143" s="123">
        <f>(('Model Data Inputs'!$B$90*(('Model Data Inputs'!$B$87*('School Level Inst. Resources'!I143/'School Level Inst. Resources'!L143))+('Model Data Inputs'!$C$87*(SUM('School Level Inst. Resources'!J143:K143)/'School Level Inst. Resources'!L143))))*T143*M143)</f>
        <v>171065.38935260972</v>
      </c>
      <c r="AK143" s="123">
        <f>(('Model Data Inputs'!$B$91*(('Model Data Inputs'!$B$87*('School Level Inst. Resources'!I143/'School Level Inst. Resources'!L143))+('Model Data Inputs'!$C$87*(SUM('School Level Inst. Resources'!J143:K143)/'School Level Inst. Resources'!L143))))*T143*N143)</f>
        <v>1922.0830264338172</v>
      </c>
      <c r="AL143" s="137">
        <f>(K143*'Model Data Inputs'!$B$94)*T143</f>
        <v>47837.045816878497</v>
      </c>
      <c r="AM143" s="137">
        <f>K143*'Model Data Inputs'!$B$95</f>
        <v>12921.008596624999</v>
      </c>
      <c r="AN143" s="137">
        <f t="shared" si="40"/>
        <v>60758.054413503494</v>
      </c>
      <c r="AO143" s="137">
        <f>('School Level Inst. Resources'!K143*'Model Data Inputs'!$B$96)+('School Level Inst. Resources'!J143*'Model Data Inputs'!$B$97)</f>
        <v>30830.5</v>
      </c>
      <c r="AP143" s="137">
        <f>$L143*'Model Data Inputs'!$B$100</f>
        <v>12332.2</v>
      </c>
      <c r="AQ143" s="137">
        <f t="shared" si="41"/>
        <v>3265134.799890995</v>
      </c>
      <c r="AR143" s="141">
        <f t="shared" si="34"/>
        <v>10590.599568255446</v>
      </c>
    </row>
    <row r="144" spans="1:44" s="40" customFormat="1" ht="12.75" customHeight="1" x14ac:dyDescent="0.2">
      <c r="A144" s="20" t="s">
        <v>58</v>
      </c>
      <c r="B144" s="20" t="s">
        <v>59</v>
      </c>
      <c r="C144" s="20" t="s">
        <v>655</v>
      </c>
      <c r="D144" s="20" t="s">
        <v>656</v>
      </c>
      <c r="E144" s="138" t="s">
        <v>362</v>
      </c>
      <c r="F144" s="138" t="str">
        <f>IF(AND(SUM('School Level ADM'!$F144:$J144)=0,SUM('School Level ADM'!$O144:$R144)=0,'School Level ADM'!$K144&gt;0,'School Level ADM'!$N144&gt;0),"T","F")</f>
        <v>F</v>
      </c>
      <c r="G144" s="138" t="str">
        <f>IF(AND(SUM('School Level ADM'!$M144:$R144)=0,'School Level ADM'!$L144&gt;0),"T","F")</f>
        <v>T</v>
      </c>
      <c r="H144" s="138" t="str">
        <f t="shared" si="28"/>
        <v>E</v>
      </c>
      <c r="I144" s="139">
        <f>IF($F144="T",SUM('School Level ADM'!$F144:$J144),IF($G144="T",SUM('School Level ADM'!$F144:$L144),SUM('School Level ADM'!$F144:$K144,0)))</f>
        <v>268.90500000000003</v>
      </c>
      <c r="J144" s="139">
        <f>'School Level ADM'!$S144-$I144-$K144</f>
        <v>0</v>
      </c>
      <c r="K144" s="139">
        <f>IF(SUM('School Level ADM'!$N144:$R144)='School Level ADM'!$S144,SUM('School Level ADM'!$N144:$R144),IF(OR(SUM('School Level ADM'!$F144:$O144)='School Level ADM'!$S144,SUM('School Level ADM'!$G144:$O144)='School Level ADM'!$S144,SUM('School Level ADM'!$H144:$O144)='School Level ADM'!$S144,SUM('School Level ADM'!$I144:$O144)='School Level ADM'!$S144,SUM('School Level ADM'!$J144:$O144)='School Level ADM'!$S144,SUM('School Level ADM'!$K144:$O144)='School Level ADM'!$S144,SUM('School Level ADM'!$L144:$O144)='School Level ADM'!$S144,SUM('School Level ADM'!$M144:$O144)='School Level ADM'!$S144,SUM('School Level ADM'!$N144:$O144)='School Level ADM'!$S144),0,SUM('School Level ADM'!$O144:$R144)))</f>
        <v>0</v>
      </c>
      <c r="L144" s="139">
        <f t="shared" si="29"/>
        <v>268.90500000000003</v>
      </c>
      <c r="M144" s="24">
        <f>'Student At-Risk and ELL Proxy'!S144</f>
        <v>188</v>
      </c>
      <c r="N144" s="24">
        <f>'Student At-Risk and ELL Proxy'!AH144</f>
        <v>7</v>
      </c>
      <c r="O144" s="136">
        <f t="shared" si="35"/>
        <v>1.0367058694050129</v>
      </c>
      <c r="P144" s="136" t="str">
        <f t="shared" si="36"/>
        <v/>
      </c>
      <c r="Q144" s="136" t="str">
        <f t="shared" si="37"/>
        <v/>
      </c>
      <c r="R144" s="136">
        <f t="shared" si="30"/>
        <v>1.0367058694050129</v>
      </c>
      <c r="S144" s="136">
        <f>IF(SUM(3515.4*((VLOOKUP($A144,'District Level ADM'!$A$4:$F$52,6,FALSE))^-0.327)/'Model Data Inputs'!$B$71)&lt;1,1,(3515.4*((VLOOKUP($A144,'District Level ADM'!$A$4:$F$52,6,FALSE))^-0.327)/'Model Data Inputs'!$B$71))</f>
        <v>1</v>
      </c>
      <c r="T144" s="136">
        <f>VLOOKUP($A144,'Regional Cost Adjustment'!$A$4:$C$52,3,FALSE)</f>
        <v>1</v>
      </c>
      <c r="U144" s="123">
        <f>((($I144/$L144)*'Model Data Inputs'!$B$85)+((SUM(J144:K144)/$L144)*'Model Data Inputs'!$C$85))*$R144*$T144</f>
        <v>6601.3155393696925</v>
      </c>
      <c r="V144" s="140">
        <f>((($I144/$L144)*'Model Data Inputs'!$B$86)+((SUM(J144:K144)/$L144)*'Model Data Inputs'!$C$86))*$R144</f>
        <v>1754.7540044682551</v>
      </c>
      <c r="W144" s="140">
        <f t="shared" si="38"/>
        <v>8356.069543837948</v>
      </c>
      <c r="X144" s="140">
        <f t="shared" si="31"/>
        <v>1775126.7551142073</v>
      </c>
      <c r="Y144" s="140">
        <f t="shared" si="32"/>
        <v>471862.12557153619</v>
      </c>
      <c r="Z144" s="123">
        <f>IF((SUM(X144:Y144))&lt;(AVERAGE('Elementary Size Adjustment'!$B$66,'Secondary Size Adjustment'!$B$66)),(AVERAGE('Elementary Size Adjustment'!$B$66,'Secondary Size Adjustment'!$B$66)),SUM(X144:Y144))</f>
        <v>2246988.8806857434</v>
      </c>
      <c r="AA144" s="137">
        <f>'Model Data Inputs'!$B$71*S144*L144</f>
        <v>51091.950000000004</v>
      </c>
      <c r="AB144" s="137">
        <f>L144*'Model Data Inputs'!$B$72</f>
        <v>6722.6250000000009</v>
      </c>
      <c r="AC144" s="137">
        <f>L144*'Model Data Inputs'!$B$73</f>
        <v>67226.250000000015</v>
      </c>
      <c r="AD144" s="137">
        <f>L144*'Model Data Inputs'!$B$74</f>
        <v>33613.125000000007</v>
      </c>
      <c r="AE144" s="137">
        <f>$I144*'Model Data Inputs'!$B$76</f>
        <v>6397.2499500000004</v>
      </c>
      <c r="AF144" s="137">
        <f>VLOOKUP($J144,'Student Activities MS&amp;HS Tables'!$M$7:$O$1267,3)</f>
        <v>0</v>
      </c>
      <c r="AG144" s="137">
        <f>VLOOKUP($K144,'Student Activities MS&amp;HS Tables'!$I$7:$K$3007,3)</f>
        <v>0</v>
      </c>
      <c r="AH144" s="137">
        <f t="shared" si="33"/>
        <v>6397.2499500000004</v>
      </c>
      <c r="AI144" s="123">
        <f t="shared" si="39"/>
        <v>2412040.0806357437</v>
      </c>
      <c r="AJ144" s="123">
        <f>(('Model Data Inputs'!$B$90*(('Model Data Inputs'!$B$87*('School Level Inst. Resources'!I144/'School Level Inst. Resources'!L144))+('Model Data Inputs'!$C$87*(SUM('School Level Inst. Resources'!J144:K144)/'School Level Inst. Resources'!L144))))*T144*M144)</f>
        <v>454595.98154193821</v>
      </c>
      <c r="AK144" s="123">
        <f>(('Model Data Inputs'!$B$91*(('Model Data Inputs'!$B$87*('School Level Inst. Resources'!I144/'School Level Inst. Resources'!L144))+('Model Data Inputs'!$C$87*(SUM('School Level Inst. Resources'!J144:K144)/'School Level Inst. Resources'!L144))))*T144*N144)</f>
        <v>16926.446121242381</v>
      </c>
      <c r="AL144" s="137">
        <f>(K144*'Model Data Inputs'!$B$94)*T144</f>
        <v>0</v>
      </c>
      <c r="AM144" s="137">
        <f>K144*'Model Data Inputs'!$B$95</f>
        <v>0</v>
      </c>
      <c r="AN144" s="137">
        <f t="shared" si="40"/>
        <v>0</v>
      </c>
      <c r="AO144" s="137">
        <f>('School Level Inst. Resources'!K144*'Model Data Inputs'!$B$96)+('School Level Inst. Resources'!J144*'Model Data Inputs'!$B$97)</f>
        <v>0</v>
      </c>
      <c r="AP144" s="137">
        <f>$L144*'Model Data Inputs'!$B$100</f>
        <v>10756.2</v>
      </c>
      <c r="AQ144" s="137">
        <f t="shared" si="41"/>
        <v>2894318.7082989244</v>
      </c>
      <c r="AR144" s="141">
        <f t="shared" si="34"/>
        <v>10763.350284669024</v>
      </c>
    </row>
    <row r="145" spans="1:44" s="40" customFormat="1" ht="12.75" customHeight="1" x14ac:dyDescent="0.2">
      <c r="A145" s="20" t="s">
        <v>58</v>
      </c>
      <c r="B145" s="20" t="s">
        <v>59</v>
      </c>
      <c r="C145" s="20" t="s">
        <v>657</v>
      </c>
      <c r="D145" s="20" t="s">
        <v>658</v>
      </c>
      <c r="E145" s="138" t="s">
        <v>362</v>
      </c>
      <c r="F145" s="138" t="str">
        <f>IF(AND(SUM('School Level ADM'!$F145:$J145)=0,SUM('School Level ADM'!$O145:$R145)=0,'School Level ADM'!$K145&gt;0,'School Level ADM'!$N145&gt;0),"T","F")</f>
        <v>F</v>
      </c>
      <c r="G145" s="138" t="str">
        <f>IF(AND(SUM('School Level ADM'!$M145:$R145)=0,'School Level ADM'!$L145&gt;0),"T","F")</f>
        <v>T</v>
      </c>
      <c r="H145" s="138" t="str">
        <f t="shared" si="28"/>
        <v>E</v>
      </c>
      <c r="I145" s="139">
        <f>IF($F145="T",SUM('School Level ADM'!$F145:$J145),IF($G145="T",SUM('School Level ADM'!$F145:$L145),SUM('School Level ADM'!$F145:$K145,0)))</f>
        <v>339.82500000000005</v>
      </c>
      <c r="J145" s="139">
        <f>'School Level ADM'!$S145-$I145-$K145</f>
        <v>0</v>
      </c>
      <c r="K145" s="139">
        <f>IF(SUM('School Level ADM'!$N145:$R145)='School Level ADM'!$S145,SUM('School Level ADM'!$N145:$R145),IF(OR(SUM('School Level ADM'!$F145:$O145)='School Level ADM'!$S145,SUM('School Level ADM'!$G145:$O145)='School Level ADM'!$S145,SUM('School Level ADM'!$H145:$O145)='School Level ADM'!$S145,SUM('School Level ADM'!$I145:$O145)='School Level ADM'!$S145,SUM('School Level ADM'!$J145:$O145)='School Level ADM'!$S145,SUM('School Level ADM'!$K145:$O145)='School Level ADM'!$S145,SUM('School Level ADM'!$L145:$O145)='School Level ADM'!$S145,SUM('School Level ADM'!$M145:$O145)='School Level ADM'!$S145,SUM('School Level ADM'!$N145:$O145)='School Level ADM'!$S145),0,SUM('School Level ADM'!$O145:$R145)))</f>
        <v>0</v>
      </c>
      <c r="L145" s="139">
        <f t="shared" si="29"/>
        <v>339.82500000000005</v>
      </c>
      <c r="M145" s="24">
        <f>'Student At-Risk and ELL Proxy'!S145</f>
        <v>292</v>
      </c>
      <c r="N145" s="24">
        <f>'Student At-Risk and ELL Proxy'!AH145</f>
        <v>46</v>
      </c>
      <c r="O145" s="136">
        <f t="shared" si="35"/>
        <v>0.97</v>
      </c>
      <c r="P145" s="136" t="str">
        <f t="shared" si="36"/>
        <v/>
      </c>
      <c r="Q145" s="136" t="str">
        <f t="shared" si="37"/>
        <v/>
      </c>
      <c r="R145" s="136">
        <f t="shared" si="30"/>
        <v>0.97</v>
      </c>
      <c r="S145" s="136">
        <f>IF(SUM(3515.4*((VLOOKUP($A145,'District Level ADM'!$A$4:$F$52,6,FALSE))^-0.327)/'Model Data Inputs'!$B$71)&lt;1,1,(3515.4*((VLOOKUP($A145,'District Level ADM'!$A$4:$F$52,6,FALSE))^-0.327)/'Model Data Inputs'!$B$71))</f>
        <v>1</v>
      </c>
      <c r="T145" s="136">
        <f>VLOOKUP($A145,'Regional Cost Adjustment'!$A$4:$C$52,3,FALSE)</f>
        <v>1</v>
      </c>
      <c r="U145" s="123">
        <f>((($I145/$L145)*'Model Data Inputs'!$B$85)+((SUM(J145:K145)/$L145)*'Model Data Inputs'!$C$85))*$R145*$T145</f>
        <v>6176.5600660325917</v>
      </c>
      <c r="V145" s="140">
        <f>((($I145/$L145)*'Model Data Inputs'!$B$86)+((SUM(J145:K145)/$L145)*'Model Data Inputs'!$C$86))*$R145</f>
        <v>1641.8459994936507</v>
      </c>
      <c r="W145" s="140">
        <f t="shared" si="38"/>
        <v>7818.4060655262419</v>
      </c>
      <c r="X145" s="140">
        <f t="shared" si="31"/>
        <v>2098949.5244395258</v>
      </c>
      <c r="Y145" s="140">
        <f t="shared" si="32"/>
        <v>557940.3167779299</v>
      </c>
      <c r="Z145" s="123">
        <f>IF((SUM(X145:Y145))&lt;(AVERAGE('Elementary Size Adjustment'!$B$66,'Secondary Size Adjustment'!$B$66)),(AVERAGE('Elementary Size Adjustment'!$B$66,'Secondary Size Adjustment'!$B$66)),SUM(X145:Y145))</f>
        <v>2656889.8412174555</v>
      </c>
      <c r="AA145" s="137">
        <f>'Model Data Inputs'!$B$71*S145*L145</f>
        <v>64566.750000000007</v>
      </c>
      <c r="AB145" s="137">
        <f>L145*'Model Data Inputs'!$B$72</f>
        <v>8495.6250000000018</v>
      </c>
      <c r="AC145" s="137">
        <f>L145*'Model Data Inputs'!$B$73</f>
        <v>84956.250000000015</v>
      </c>
      <c r="AD145" s="137">
        <f>L145*'Model Data Inputs'!$B$74</f>
        <v>42478.125000000007</v>
      </c>
      <c r="AE145" s="137">
        <f>$I145*'Model Data Inputs'!$B$76</f>
        <v>8084.4367500000008</v>
      </c>
      <c r="AF145" s="137">
        <f>VLOOKUP($J145,'Student Activities MS&amp;HS Tables'!$M$7:$O$1267,3)</f>
        <v>0</v>
      </c>
      <c r="AG145" s="137">
        <f>VLOOKUP($K145,'Student Activities MS&amp;HS Tables'!$I$7:$K$3007,3)</f>
        <v>0</v>
      </c>
      <c r="AH145" s="137">
        <f t="shared" si="33"/>
        <v>8084.4367500000008</v>
      </c>
      <c r="AI145" s="123">
        <f t="shared" si="39"/>
        <v>2865471.0279674553</v>
      </c>
      <c r="AJ145" s="123">
        <f>(('Model Data Inputs'!$B$90*(('Model Data Inputs'!$B$87*('School Level Inst. Resources'!I145/'School Level Inst. Resources'!L145))+('Model Data Inputs'!$C$87*(SUM('School Level Inst. Resources'!J145:K145)/'School Level Inst. Resources'!L145))))*T145*M145)</f>
        <v>706074.60962896782</v>
      </c>
      <c r="AK145" s="123">
        <f>(('Model Data Inputs'!$B$91*(('Model Data Inputs'!$B$87*('School Level Inst. Resources'!I145/'School Level Inst. Resources'!L145))+('Model Data Inputs'!$C$87*(SUM('School Level Inst. Resources'!J145:K145)/'School Level Inst. Resources'!L145))))*T145*N145)</f>
        <v>111230.93165387849</v>
      </c>
      <c r="AL145" s="137">
        <f>(K145*'Model Data Inputs'!$B$94)*T145</f>
        <v>0</v>
      </c>
      <c r="AM145" s="137">
        <f>K145*'Model Data Inputs'!$B$95</f>
        <v>0</v>
      </c>
      <c r="AN145" s="137">
        <f t="shared" si="40"/>
        <v>0</v>
      </c>
      <c r="AO145" s="137">
        <f>('School Level Inst. Resources'!K145*'Model Data Inputs'!$B$96)+('School Level Inst. Resources'!J145*'Model Data Inputs'!$B$97)</f>
        <v>0</v>
      </c>
      <c r="AP145" s="137">
        <f>$L145*'Model Data Inputs'!$B$100</f>
        <v>13593.000000000002</v>
      </c>
      <c r="AQ145" s="137">
        <f t="shared" si="41"/>
        <v>3696369.5692503019</v>
      </c>
      <c r="AR145" s="141">
        <f t="shared" si="34"/>
        <v>10877.273800486431</v>
      </c>
    </row>
    <row r="146" spans="1:44" s="40" customFormat="1" ht="12.75" customHeight="1" x14ac:dyDescent="0.2">
      <c r="A146" s="20" t="s">
        <v>58</v>
      </c>
      <c r="B146" s="20" t="s">
        <v>59</v>
      </c>
      <c r="C146" s="20" t="s">
        <v>659</v>
      </c>
      <c r="D146" s="20" t="s">
        <v>660</v>
      </c>
      <c r="E146" s="138" t="s">
        <v>357</v>
      </c>
      <c r="F146" s="138" t="str">
        <f>IF(AND(SUM('School Level ADM'!$F146:$J146)=0,SUM('School Level ADM'!$O146:$R146)=0,'School Level ADM'!$K146&gt;0,'School Level ADM'!$N146&gt;0),"T","F")</f>
        <v>F</v>
      </c>
      <c r="G146" s="138" t="str">
        <f>IF(AND(SUM('School Level ADM'!$M146:$R146)=0,'School Level ADM'!$L146&gt;0),"T","F")</f>
        <v>T</v>
      </c>
      <c r="H146" s="138" t="str">
        <f t="shared" si="28"/>
        <v>E</v>
      </c>
      <c r="I146" s="139">
        <f>IF($F146="T",SUM('School Level ADM'!$F146:$J146),IF($G146="T",SUM('School Level ADM'!$F146:$L146),SUM('School Level ADM'!$F146:$K146,0)))</f>
        <v>306.33499999999998</v>
      </c>
      <c r="J146" s="139">
        <f>'School Level ADM'!$S146-$I146-$K146</f>
        <v>0</v>
      </c>
      <c r="K146" s="139">
        <f>IF(SUM('School Level ADM'!$N146:$R146)='School Level ADM'!$S146,SUM('School Level ADM'!$N146:$R146),IF(OR(SUM('School Level ADM'!$F146:$O146)='School Level ADM'!$S146,SUM('School Level ADM'!$G146:$O146)='School Level ADM'!$S146,SUM('School Level ADM'!$H146:$O146)='School Level ADM'!$S146,SUM('School Level ADM'!$I146:$O146)='School Level ADM'!$S146,SUM('School Level ADM'!$J146:$O146)='School Level ADM'!$S146,SUM('School Level ADM'!$K146:$O146)='School Level ADM'!$S146,SUM('School Level ADM'!$L146:$O146)='School Level ADM'!$S146,SUM('School Level ADM'!$M146:$O146)='School Level ADM'!$S146,SUM('School Level ADM'!$N146:$O146)='School Level ADM'!$S146),0,SUM('School Level ADM'!$O146:$R146)))</f>
        <v>0</v>
      </c>
      <c r="L146" s="139">
        <f t="shared" si="29"/>
        <v>306.33499999999998</v>
      </c>
      <c r="M146" s="24">
        <f>'Student At-Risk and ELL Proxy'!S146</f>
        <v>231</v>
      </c>
      <c r="N146" s="24">
        <f>'Student At-Risk and ELL Proxy'!AH146</f>
        <v>21</v>
      </c>
      <c r="O146" s="136">
        <f t="shared" si="35"/>
        <v>0.98430492026970295</v>
      </c>
      <c r="P146" s="136" t="str">
        <f t="shared" si="36"/>
        <v/>
      </c>
      <c r="Q146" s="136" t="str">
        <f t="shared" si="37"/>
        <v/>
      </c>
      <c r="R146" s="136">
        <f t="shared" si="30"/>
        <v>0.98430492026970295</v>
      </c>
      <c r="S146" s="136">
        <f>IF(SUM(3515.4*((VLOOKUP($A146,'District Level ADM'!$A$4:$F$52,6,FALSE))^-0.327)/'Model Data Inputs'!$B$71)&lt;1,1,(3515.4*((VLOOKUP($A146,'District Level ADM'!$A$4:$F$52,6,FALSE))^-0.327)/'Model Data Inputs'!$B$71))</f>
        <v>1</v>
      </c>
      <c r="T146" s="136">
        <f>VLOOKUP($A146,'Regional Cost Adjustment'!$A$4:$C$52,3,FALSE)</f>
        <v>1</v>
      </c>
      <c r="U146" s="123">
        <f>((($I146/$L146)*'Model Data Inputs'!$B$85)+((SUM(J146:K146)/$L146)*'Model Data Inputs'!$C$85))*$R146*$T146</f>
        <v>6267.6479003476716</v>
      </c>
      <c r="V146" s="140">
        <f>((($I146/$L146)*'Model Data Inputs'!$B$86)+((SUM(J146:K146)/$L146)*'Model Data Inputs'!$C$86))*$R146</f>
        <v>1666.058861470854</v>
      </c>
      <c r="W146" s="140">
        <f t="shared" si="38"/>
        <v>7933.7067618185256</v>
      </c>
      <c r="X146" s="140">
        <f t="shared" si="31"/>
        <v>1919999.9195530037</v>
      </c>
      <c r="Y146" s="140">
        <f t="shared" si="32"/>
        <v>510372.14132867404</v>
      </c>
      <c r="Z146" s="123">
        <f>IF((SUM(X146:Y146))&lt;(AVERAGE('Elementary Size Adjustment'!$B$66,'Secondary Size Adjustment'!$B$66)),(AVERAGE('Elementary Size Adjustment'!$B$66,'Secondary Size Adjustment'!$B$66)),SUM(X146:Y146))</f>
        <v>2430372.060881678</v>
      </c>
      <c r="AA146" s="137">
        <f>'Model Data Inputs'!$B$71*S146*L146</f>
        <v>58203.649999999994</v>
      </c>
      <c r="AB146" s="137">
        <f>L146*'Model Data Inputs'!$B$72</f>
        <v>7658.3749999999991</v>
      </c>
      <c r="AC146" s="137">
        <f>L146*'Model Data Inputs'!$B$73</f>
        <v>76583.75</v>
      </c>
      <c r="AD146" s="137">
        <f>L146*'Model Data Inputs'!$B$74</f>
        <v>38291.875</v>
      </c>
      <c r="AE146" s="137">
        <f>$I146*'Model Data Inputs'!$B$76</f>
        <v>7287.7096499999989</v>
      </c>
      <c r="AF146" s="137">
        <f>VLOOKUP($J146,'Student Activities MS&amp;HS Tables'!$M$7:$O$1267,3)</f>
        <v>0</v>
      </c>
      <c r="AG146" s="137">
        <f>VLOOKUP($K146,'Student Activities MS&amp;HS Tables'!$I$7:$K$3007,3)</f>
        <v>0</v>
      </c>
      <c r="AH146" s="137">
        <f t="shared" si="33"/>
        <v>7287.7096499999989</v>
      </c>
      <c r="AI146" s="123">
        <f t="shared" si="39"/>
        <v>2618397.420531678</v>
      </c>
      <c r="AJ146" s="123">
        <f>(('Model Data Inputs'!$B$90*(('Model Data Inputs'!$B$87*('School Level Inst. Resources'!I146/'School Level Inst. Resources'!L146))+('Model Data Inputs'!$C$87*(SUM('School Level Inst. Resources'!J146:K146)/'School Level Inst. Resources'!L146))))*T146*M146)</f>
        <v>558572.72200099856</v>
      </c>
      <c r="AK146" s="123">
        <f>(('Model Data Inputs'!$B$91*(('Model Data Inputs'!$B$87*('School Level Inst. Resources'!I146/'School Level Inst. Resources'!L146))+('Model Data Inputs'!$C$87*(SUM('School Level Inst. Resources'!J146:K146)/'School Level Inst. Resources'!L146))))*T146*N146)</f>
        <v>50779.33836372714</v>
      </c>
      <c r="AL146" s="137">
        <f>(K146*'Model Data Inputs'!$B$94)*T146</f>
        <v>0</v>
      </c>
      <c r="AM146" s="137">
        <f>K146*'Model Data Inputs'!$B$95</f>
        <v>0</v>
      </c>
      <c r="AN146" s="137">
        <f t="shared" si="40"/>
        <v>0</v>
      </c>
      <c r="AO146" s="137">
        <f>('School Level Inst. Resources'!K146*'Model Data Inputs'!$B$96)+('School Level Inst. Resources'!J146*'Model Data Inputs'!$B$97)</f>
        <v>0</v>
      </c>
      <c r="AP146" s="137">
        <f>$L146*'Model Data Inputs'!$B$100</f>
        <v>12253.4</v>
      </c>
      <c r="AQ146" s="137">
        <f t="shared" si="41"/>
        <v>3240002.8808964035</v>
      </c>
      <c r="AR146" s="141">
        <f t="shared" si="34"/>
        <v>10576.665679391528</v>
      </c>
    </row>
    <row r="147" spans="1:44" s="40" customFormat="1" ht="12.75" customHeight="1" x14ac:dyDescent="0.2">
      <c r="A147" s="20" t="s">
        <v>58</v>
      </c>
      <c r="B147" s="20" t="s">
        <v>59</v>
      </c>
      <c r="C147" s="20" t="s">
        <v>661</v>
      </c>
      <c r="D147" s="20" t="s">
        <v>662</v>
      </c>
      <c r="E147" s="138" t="s">
        <v>357</v>
      </c>
      <c r="F147" s="138" t="str">
        <f>IF(AND(SUM('School Level ADM'!$F147:$J147)=0,SUM('School Level ADM'!$O147:$R147)=0,'School Level ADM'!$K147&gt;0,'School Level ADM'!$N147&gt;0),"T","F")</f>
        <v>F</v>
      </c>
      <c r="G147" s="138" t="str">
        <f>IF(AND(SUM('School Level ADM'!$M147:$R147)=0,'School Level ADM'!$L147&gt;0),"T","F")</f>
        <v>T</v>
      </c>
      <c r="H147" s="138" t="str">
        <f t="shared" si="28"/>
        <v>E</v>
      </c>
      <c r="I147" s="139">
        <f>IF($F147="T",SUM('School Level ADM'!$F147:$J147),IF($G147="T",SUM('School Level ADM'!$F147:$L147),SUM('School Level ADM'!$F147:$K147,0)))</f>
        <v>302.39499999999998</v>
      </c>
      <c r="J147" s="139">
        <f>'School Level ADM'!$S147-$I147-$K147</f>
        <v>0</v>
      </c>
      <c r="K147" s="139">
        <f>IF(SUM('School Level ADM'!$N147:$R147)='School Level ADM'!$S147,SUM('School Level ADM'!$N147:$R147),IF(OR(SUM('School Level ADM'!$F147:$O147)='School Level ADM'!$S147,SUM('School Level ADM'!$G147:$O147)='School Level ADM'!$S147,SUM('School Level ADM'!$H147:$O147)='School Level ADM'!$S147,SUM('School Level ADM'!$I147:$O147)='School Level ADM'!$S147,SUM('School Level ADM'!$J147:$O147)='School Level ADM'!$S147,SUM('School Level ADM'!$K147:$O147)='School Level ADM'!$S147,SUM('School Level ADM'!$L147:$O147)='School Level ADM'!$S147,SUM('School Level ADM'!$M147:$O147)='School Level ADM'!$S147,SUM('School Level ADM'!$N147:$O147)='School Level ADM'!$S147),0,SUM('School Level ADM'!$O147:$R147)))</f>
        <v>0</v>
      </c>
      <c r="L147" s="139">
        <f t="shared" si="29"/>
        <v>302.39499999999998</v>
      </c>
      <c r="M147" s="24">
        <f>'Student At-Risk and ELL Proxy'!S147</f>
        <v>149</v>
      </c>
      <c r="N147" s="24">
        <f>'Student At-Risk and ELL Proxy'!AH147</f>
        <v>3</v>
      </c>
      <c r="O147" s="136">
        <f t="shared" si="35"/>
        <v>0.98938931858111157</v>
      </c>
      <c r="P147" s="136" t="str">
        <f t="shared" si="36"/>
        <v/>
      </c>
      <c r="Q147" s="136" t="str">
        <f t="shared" si="37"/>
        <v/>
      </c>
      <c r="R147" s="136">
        <f t="shared" si="30"/>
        <v>0.98938931858111157</v>
      </c>
      <c r="S147" s="136">
        <f>IF(SUM(3515.4*((VLOOKUP($A147,'District Level ADM'!$A$4:$F$52,6,FALSE))^-0.327)/'Model Data Inputs'!$B$71)&lt;1,1,(3515.4*((VLOOKUP($A147,'District Level ADM'!$A$4:$F$52,6,FALSE))^-0.327)/'Model Data Inputs'!$B$71))</f>
        <v>1</v>
      </c>
      <c r="T147" s="136">
        <f>VLOOKUP($A147,'Regional Cost Adjustment'!$A$4:$C$52,3,FALSE)</f>
        <v>1</v>
      </c>
      <c r="U147" s="123">
        <f>((($I147/$L147)*'Model Data Inputs'!$B$85)+((SUM(J147:K147)/$L147)*'Model Data Inputs'!$C$85))*$R147*$T147</f>
        <v>6300.0232524817438</v>
      </c>
      <c r="V147" s="140">
        <f>((($I147/$L147)*'Model Data Inputs'!$B$86)+((SUM(J147:K147)/$L147)*'Model Data Inputs'!$C$86))*$R147</f>
        <v>1674.6648398496361</v>
      </c>
      <c r="W147" s="140">
        <f t="shared" si="38"/>
        <v>7974.6880923313802</v>
      </c>
      <c r="X147" s="140">
        <f t="shared" si="31"/>
        <v>1905095.5314342168</v>
      </c>
      <c r="Y147" s="140">
        <f t="shared" si="32"/>
        <v>506410.27424633066</v>
      </c>
      <c r="Z147" s="123">
        <f>IF((SUM(X147:Y147))&lt;(AVERAGE('Elementary Size Adjustment'!$B$66,'Secondary Size Adjustment'!$B$66)),(AVERAGE('Elementary Size Adjustment'!$B$66,'Secondary Size Adjustment'!$B$66)),SUM(X147:Y147))</f>
        <v>2411505.8056805474</v>
      </c>
      <c r="AA147" s="137">
        <f>'Model Data Inputs'!$B$71*S147*L147</f>
        <v>57455.049999999996</v>
      </c>
      <c r="AB147" s="137">
        <f>L147*'Model Data Inputs'!$B$72</f>
        <v>7559.875</v>
      </c>
      <c r="AC147" s="137">
        <f>L147*'Model Data Inputs'!$B$73</f>
        <v>75598.75</v>
      </c>
      <c r="AD147" s="137">
        <f>L147*'Model Data Inputs'!$B$74</f>
        <v>37799.375</v>
      </c>
      <c r="AE147" s="137">
        <f>$I147*'Model Data Inputs'!$B$76</f>
        <v>7193.9770499999995</v>
      </c>
      <c r="AF147" s="137">
        <f>VLOOKUP($J147,'Student Activities MS&amp;HS Tables'!$M$7:$O$1267,3)</f>
        <v>0</v>
      </c>
      <c r="AG147" s="137">
        <f>VLOOKUP($K147,'Student Activities MS&amp;HS Tables'!$I$7:$K$3007,3)</f>
        <v>0</v>
      </c>
      <c r="AH147" s="137">
        <f t="shared" si="33"/>
        <v>7193.9770499999995</v>
      </c>
      <c r="AI147" s="123">
        <f t="shared" si="39"/>
        <v>2597112.8327305471</v>
      </c>
      <c r="AJ147" s="123">
        <f>(('Model Data Inputs'!$B$90*(('Model Data Inputs'!$B$87*('School Level Inst. Resources'!I147/'School Level Inst. Resources'!L147))+('Model Data Inputs'!$C$87*(SUM('School Level Inst. Resources'!J147:K147)/'School Level Inst. Resources'!L147))))*T147*M147)</f>
        <v>360291.49600930209</v>
      </c>
      <c r="AK147" s="123">
        <f>(('Model Data Inputs'!$B$91*(('Model Data Inputs'!$B$87*('School Level Inst. Resources'!I147/'School Level Inst. Resources'!L147))+('Model Data Inputs'!$C$87*(SUM('School Level Inst. Resources'!J147:K147)/'School Level Inst. Resources'!L147))))*T147*N147)</f>
        <v>7254.1911948181623</v>
      </c>
      <c r="AL147" s="137">
        <f>(K147*'Model Data Inputs'!$B$94)*T147</f>
        <v>0</v>
      </c>
      <c r="AM147" s="137">
        <f>K147*'Model Data Inputs'!$B$95</f>
        <v>0</v>
      </c>
      <c r="AN147" s="137">
        <f t="shared" si="40"/>
        <v>0</v>
      </c>
      <c r="AO147" s="137">
        <f>('School Level Inst. Resources'!K147*'Model Data Inputs'!$B$96)+('School Level Inst. Resources'!J147*'Model Data Inputs'!$B$97)</f>
        <v>0</v>
      </c>
      <c r="AP147" s="137">
        <f>$L147*'Model Data Inputs'!$B$100</f>
        <v>12095.8</v>
      </c>
      <c r="AQ147" s="137">
        <f t="shared" si="41"/>
        <v>2976754.3199346671</v>
      </c>
      <c r="AR147" s="141">
        <f t="shared" si="34"/>
        <v>9843.927048842299</v>
      </c>
    </row>
    <row r="148" spans="1:44" s="40" customFormat="1" ht="12.75" customHeight="1" x14ac:dyDescent="0.2">
      <c r="A148" s="20" t="s">
        <v>58</v>
      </c>
      <c r="B148" s="20" t="s">
        <v>59</v>
      </c>
      <c r="C148" s="20" t="s">
        <v>663</v>
      </c>
      <c r="D148" s="20" t="s">
        <v>454</v>
      </c>
      <c r="E148" s="138" t="s">
        <v>522</v>
      </c>
      <c r="F148" s="138" t="str">
        <f>IF(AND(SUM('School Level ADM'!$F148:$J148)=0,SUM('School Level ADM'!$O148:$R148)=0,'School Level ADM'!$K148&gt;0,'School Level ADM'!$N148&gt;0),"T","F")</f>
        <v>F</v>
      </c>
      <c r="G148" s="138" t="str">
        <f>IF(AND(SUM('School Level ADM'!$M148:$R148)=0,'School Level ADM'!$L148&gt;0),"T","F")</f>
        <v>F</v>
      </c>
      <c r="H148" s="138" t="str">
        <f t="shared" si="28"/>
        <v>E</v>
      </c>
      <c r="I148" s="139">
        <f>IF($F148="T",SUM('School Level ADM'!$F148:$J148),IF($G148="T",SUM('School Level ADM'!$F148:$L148),SUM('School Level ADM'!$F148:$K148,0)))</f>
        <v>178.28500000000003</v>
      </c>
      <c r="J148" s="139">
        <f>'School Level ADM'!$S148-$I148-$K148</f>
        <v>0</v>
      </c>
      <c r="K148" s="139">
        <f>IF(SUM('School Level ADM'!$N148:$R148)='School Level ADM'!$S148,SUM('School Level ADM'!$N148:$R148),IF(OR(SUM('School Level ADM'!$F148:$O148)='School Level ADM'!$S148,SUM('School Level ADM'!$G148:$O148)='School Level ADM'!$S148,SUM('School Level ADM'!$H148:$O148)='School Level ADM'!$S148,SUM('School Level ADM'!$I148:$O148)='School Level ADM'!$S148,SUM('School Level ADM'!$J148:$O148)='School Level ADM'!$S148,SUM('School Level ADM'!$K148:$O148)='School Level ADM'!$S148,SUM('School Level ADM'!$L148:$O148)='School Level ADM'!$S148,SUM('School Level ADM'!$M148:$O148)='School Level ADM'!$S148,SUM('School Level ADM'!$N148:$O148)='School Level ADM'!$S148),0,SUM('School Level ADM'!$O148:$R148)))</f>
        <v>0</v>
      </c>
      <c r="L148" s="139">
        <f t="shared" si="29"/>
        <v>178.28500000000003</v>
      </c>
      <c r="M148" s="24">
        <f>'Student At-Risk and ELL Proxy'!S148</f>
        <v>74</v>
      </c>
      <c r="N148" s="24">
        <f>'Student At-Risk and ELL Proxy'!AH148</f>
        <v>2</v>
      </c>
      <c r="O148" s="136">
        <f t="shared" si="35"/>
        <v>1.2209340847091488</v>
      </c>
      <c r="P148" s="136" t="str">
        <f t="shared" si="36"/>
        <v/>
      </c>
      <c r="Q148" s="136" t="str">
        <f t="shared" si="37"/>
        <v/>
      </c>
      <c r="R148" s="136">
        <f t="shared" si="30"/>
        <v>1.2209340847091488</v>
      </c>
      <c r="S148" s="136">
        <f>IF(SUM(3515.4*((VLOOKUP($A148,'District Level ADM'!$A$4:$F$52,6,FALSE))^-0.327)/'Model Data Inputs'!$B$71)&lt;1,1,(3515.4*((VLOOKUP($A148,'District Level ADM'!$A$4:$F$52,6,FALSE))^-0.327)/'Model Data Inputs'!$B$71))</f>
        <v>1</v>
      </c>
      <c r="T148" s="136">
        <f>VLOOKUP($A148,'Regional Cost Adjustment'!$A$4:$C$52,3,FALSE)</f>
        <v>1</v>
      </c>
      <c r="U148" s="123">
        <f>((($I148/$L148)*'Model Data Inputs'!$B$85)+((SUM(J148:K148)/$L148)*'Model Data Inputs'!$C$85))*$R148*$T148</f>
        <v>7774.4048565696721</v>
      </c>
      <c r="V148" s="140">
        <f>((($I148/$L148)*'Model Data Inputs'!$B$86)+((SUM(J148:K148)/$L148)*'Model Data Inputs'!$C$86))*$R148</f>
        <v>2066.5832398197504</v>
      </c>
      <c r="W148" s="140">
        <f t="shared" si="38"/>
        <v>9840.9880963894229</v>
      </c>
      <c r="X148" s="140">
        <f t="shared" si="31"/>
        <v>1386059.7698535242</v>
      </c>
      <c r="Y148" s="140">
        <f t="shared" si="32"/>
        <v>368440.79291126423</v>
      </c>
      <c r="Z148" s="123">
        <f>IF((SUM(X148:Y148))&lt;(AVERAGE('Elementary Size Adjustment'!$B$66,'Secondary Size Adjustment'!$B$66)),(AVERAGE('Elementary Size Adjustment'!$B$66,'Secondary Size Adjustment'!$B$66)),SUM(X148:Y148))</f>
        <v>1754500.5627647885</v>
      </c>
      <c r="AA148" s="137">
        <f>'Model Data Inputs'!$B$71*S148*L148</f>
        <v>33874.15</v>
      </c>
      <c r="AB148" s="137">
        <f>L148*'Model Data Inputs'!$B$72</f>
        <v>4457.1250000000009</v>
      </c>
      <c r="AC148" s="137">
        <f>L148*'Model Data Inputs'!$B$73</f>
        <v>44571.250000000007</v>
      </c>
      <c r="AD148" s="137">
        <f>L148*'Model Data Inputs'!$B$74</f>
        <v>22285.625000000004</v>
      </c>
      <c r="AE148" s="137">
        <f>$I148*'Model Data Inputs'!$B$76</f>
        <v>4241.4001500000004</v>
      </c>
      <c r="AF148" s="137">
        <f>VLOOKUP($J148,'Student Activities MS&amp;HS Tables'!$M$7:$O$1267,3)</f>
        <v>0</v>
      </c>
      <c r="AG148" s="137">
        <f>VLOOKUP($K148,'Student Activities MS&amp;HS Tables'!$I$7:$K$3007,3)</f>
        <v>0</v>
      </c>
      <c r="AH148" s="137">
        <f t="shared" si="33"/>
        <v>4241.4001500000004</v>
      </c>
      <c r="AI148" s="123">
        <f t="shared" si="39"/>
        <v>1863930.1129147883</v>
      </c>
      <c r="AJ148" s="123">
        <f>(('Model Data Inputs'!$B$90*(('Model Data Inputs'!$B$87*('School Level Inst. Resources'!I148/'School Level Inst. Resources'!L148))+('Model Data Inputs'!$C$87*(SUM('School Level Inst. Resources'!J148:K148)/'School Level Inst. Resources'!L148))))*T148*M148)</f>
        <v>178936.71613884802</v>
      </c>
      <c r="AK148" s="123">
        <f>(('Model Data Inputs'!$B$91*(('Model Data Inputs'!$B$87*('School Level Inst. Resources'!I148/'School Level Inst. Resources'!L148))+('Model Data Inputs'!$C$87*(SUM('School Level Inst. Resources'!J148:K148)/'School Level Inst. Resources'!L148))))*T148*N148)</f>
        <v>4836.1274632121085</v>
      </c>
      <c r="AL148" s="137">
        <f>(K148*'Model Data Inputs'!$B$94)*T148</f>
        <v>0</v>
      </c>
      <c r="AM148" s="137">
        <f>K148*'Model Data Inputs'!$B$95</f>
        <v>0</v>
      </c>
      <c r="AN148" s="137">
        <f t="shared" si="40"/>
        <v>0</v>
      </c>
      <c r="AO148" s="137">
        <f>('School Level Inst. Resources'!K148*'Model Data Inputs'!$B$96)+('School Level Inst. Resources'!J148*'Model Data Inputs'!$B$97)</f>
        <v>0</v>
      </c>
      <c r="AP148" s="137">
        <f>$L148*'Model Data Inputs'!$B$100</f>
        <v>7131.4000000000015</v>
      </c>
      <c r="AQ148" s="137">
        <f t="shared" si="41"/>
        <v>2054834.3565168483</v>
      </c>
      <c r="AR148" s="141">
        <f t="shared" si="34"/>
        <v>11525.559393761943</v>
      </c>
    </row>
    <row r="149" spans="1:44" s="40" customFormat="1" ht="12.75" customHeight="1" x14ac:dyDescent="0.2">
      <c r="A149" s="20" t="s">
        <v>58</v>
      </c>
      <c r="B149" s="20" t="s">
        <v>59</v>
      </c>
      <c r="C149" s="20" t="s">
        <v>664</v>
      </c>
      <c r="D149" s="20" t="s">
        <v>665</v>
      </c>
      <c r="E149" s="138" t="s">
        <v>362</v>
      </c>
      <c r="F149" s="138" t="str">
        <f>IF(AND(SUM('School Level ADM'!$F149:$J149)=0,SUM('School Level ADM'!$O149:$R149)=0,'School Level ADM'!$K149&gt;0,'School Level ADM'!$N149&gt;0),"T","F")</f>
        <v>F</v>
      </c>
      <c r="G149" s="138" t="str">
        <f>IF(AND(SUM('School Level ADM'!$M149:$R149)=0,'School Level ADM'!$L149&gt;0),"T","F")</f>
        <v>T</v>
      </c>
      <c r="H149" s="138" t="str">
        <f t="shared" si="28"/>
        <v>E</v>
      </c>
      <c r="I149" s="139">
        <f>IF($F149="T",SUM('School Level ADM'!$F149:$J149),IF($G149="T",SUM('School Level ADM'!$F149:$L149),SUM('School Level ADM'!$F149:$K149,0)))</f>
        <v>200.94</v>
      </c>
      <c r="J149" s="139">
        <f>'School Level ADM'!$S149-$I149-$K149</f>
        <v>0</v>
      </c>
      <c r="K149" s="139">
        <f>IF(SUM('School Level ADM'!$N149:$R149)='School Level ADM'!$S149,SUM('School Level ADM'!$N149:$R149),IF(OR(SUM('School Level ADM'!$F149:$O149)='School Level ADM'!$S149,SUM('School Level ADM'!$G149:$O149)='School Level ADM'!$S149,SUM('School Level ADM'!$H149:$O149)='School Level ADM'!$S149,SUM('School Level ADM'!$I149:$O149)='School Level ADM'!$S149,SUM('School Level ADM'!$J149:$O149)='School Level ADM'!$S149,SUM('School Level ADM'!$K149:$O149)='School Level ADM'!$S149,SUM('School Level ADM'!$L149:$O149)='School Level ADM'!$S149,SUM('School Level ADM'!$M149:$O149)='School Level ADM'!$S149,SUM('School Level ADM'!$N149:$O149)='School Level ADM'!$S149),0,SUM('School Level ADM'!$O149:$R149)))</f>
        <v>0</v>
      </c>
      <c r="L149" s="139">
        <f t="shared" si="29"/>
        <v>200.94</v>
      </c>
      <c r="M149" s="24">
        <f>'Student At-Risk and ELL Proxy'!S149</f>
        <v>177</v>
      </c>
      <c r="N149" s="24">
        <f>'Student At-Risk and ELL Proxy'!AH149</f>
        <v>3</v>
      </c>
      <c r="O149" s="136">
        <f t="shared" si="35"/>
        <v>1.1641675356092345</v>
      </c>
      <c r="P149" s="136" t="str">
        <f t="shared" si="36"/>
        <v/>
      </c>
      <c r="Q149" s="136" t="str">
        <f t="shared" si="37"/>
        <v/>
      </c>
      <c r="R149" s="136">
        <f t="shared" si="30"/>
        <v>1.1641675356092345</v>
      </c>
      <c r="S149" s="136">
        <f>IF(SUM(3515.4*((VLOOKUP($A149,'District Level ADM'!$A$4:$F$52,6,FALSE))^-0.327)/'Model Data Inputs'!$B$71)&lt;1,1,(3515.4*((VLOOKUP($A149,'District Level ADM'!$A$4:$F$52,6,FALSE))^-0.327)/'Model Data Inputs'!$B$71))</f>
        <v>1</v>
      </c>
      <c r="T149" s="136">
        <f>VLOOKUP($A149,'Regional Cost Adjustment'!$A$4:$C$52,3,FALSE)</f>
        <v>1</v>
      </c>
      <c r="U149" s="123">
        <f>((($I149/$L149)*'Model Data Inputs'!$B$85)+((SUM(J149:K149)/$L149)*'Model Data Inputs'!$C$85))*$R149*$T149</f>
        <v>7412.938876923271</v>
      </c>
      <c r="V149" s="140">
        <f>((($I149/$L149)*'Model Data Inputs'!$B$86)+((SUM(J149:K149)/$L149)*'Model Data Inputs'!$C$86))*$R149</f>
        <v>1970.4987743096945</v>
      </c>
      <c r="W149" s="140">
        <f t="shared" si="38"/>
        <v>9383.4376512329654</v>
      </c>
      <c r="X149" s="140">
        <f t="shared" si="31"/>
        <v>1489555.9379289621</v>
      </c>
      <c r="Y149" s="140">
        <f t="shared" si="32"/>
        <v>395952.02370979002</v>
      </c>
      <c r="Z149" s="123">
        <f>IF((SUM(X149:Y149))&lt;(AVERAGE('Elementary Size Adjustment'!$B$66,'Secondary Size Adjustment'!$B$66)),(AVERAGE('Elementary Size Adjustment'!$B$66,'Secondary Size Adjustment'!$B$66)),SUM(X149:Y149))</f>
        <v>1885507.9616387521</v>
      </c>
      <c r="AA149" s="137">
        <f>'Model Data Inputs'!$B$71*S149*L149</f>
        <v>38178.6</v>
      </c>
      <c r="AB149" s="137">
        <f>L149*'Model Data Inputs'!$B$72</f>
        <v>5023.5</v>
      </c>
      <c r="AC149" s="137">
        <f>L149*'Model Data Inputs'!$B$73</f>
        <v>50235</v>
      </c>
      <c r="AD149" s="137">
        <f>L149*'Model Data Inputs'!$B$74</f>
        <v>25117.5</v>
      </c>
      <c r="AE149" s="137">
        <f>$I149*'Model Data Inputs'!$B$76</f>
        <v>4780.3625999999995</v>
      </c>
      <c r="AF149" s="137">
        <f>VLOOKUP($J149,'Student Activities MS&amp;HS Tables'!$M$7:$O$1267,3)</f>
        <v>0</v>
      </c>
      <c r="AG149" s="137">
        <f>VLOOKUP($K149,'Student Activities MS&amp;HS Tables'!$I$7:$K$3007,3)</f>
        <v>0</v>
      </c>
      <c r="AH149" s="137">
        <f t="shared" si="33"/>
        <v>4780.3625999999995</v>
      </c>
      <c r="AI149" s="123">
        <f t="shared" si="39"/>
        <v>2008842.9242387523</v>
      </c>
      <c r="AJ149" s="123">
        <f>(('Model Data Inputs'!$B$90*(('Model Data Inputs'!$B$87*('School Level Inst. Resources'!I149/'School Level Inst. Resources'!L149))+('Model Data Inputs'!$C$87*(SUM('School Level Inst. Resources'!J149:K149)/'School Level Inst. Resources'!L149))))*T149*M149)</f>
        <v>427997.2804942716</v>
      </c>
      <c r="AK149" s="123">
        <f>(('Model Data Inputs'!$B$91*(('Model Data Inputs'!$B$87*('School Level Inst. Resources'!I149/'School Level Inst. Resources'!L149))+('Model Data Inputs'!$C$87*(SUM('School Level Inst. Resources'!J149:K149)/'School Level Inst. Resources'!L149))))*T149*N149)</f>
        <v>7254.1911948181623</v>
      </c>
      <c r="AL149" s="137">
        <f>(K149*'Model Data Inputs'!$B$94)*T149</f>
        <v>0</v>
      </c>
      <c r="AM149" s="137">
        <f>K149*'Model Data Inputs'!$B$95</f>
        <v>0</v>
      </c>
      <c r="AN149" s="137">
        <f t="shared" si="40"/>
        <v>0</v>
      </c>
      <c r="AO149" s="137">
        <f>('School Level Inst. Resources'!K149*'Model Data Inputs'!$B$96)+('School Level Inst. Resources'!J149*'Model Data Inputs'!$B$97)</f>
        <v>0</v>
      </c>
      <c r="AP149" s="137">
        <f>$L149*'Model Data Inputs'!$B$100</f>
        <v>8037.6</v>
      </c>
      <c r="AQ149" s="137">
        <f t="shared" si="41"/>
        <v>2452131.9959278423</v>
      </c>
      <c r="AR149" s="141">
        <f t="shared" si="34"/>
        <v>12203.30444873018</v>
      </c>
    </row>
    <row r="150" spans="1:44" s="40" customFormat="1" ht="12.75" customHeight="1" x14ac:dyDescent="0.2">
      <c r="A150" s="20" t="s">
        <v>58</v>
      </c>
      <c r="B150" s="20" t="s">
        <v>59</v>
      </c>
      <c r="C150" s="20" t="s">
        <v>666</v>
      </c>
      <c r="D150" s="20" t="s">
        <v>667</v>
      </c>
      <c r="E150" s="138" t="s">
        <v>357</v>
      </c>
      <c r="F150" s="138" t="str">
        <f>IF(AND(SUM('School Level ADM'!$F150:$J150)=0,SUM('School Level ADM'!$O150:$R150)=0,'School Level ADM'!$K150&gt;0,'School Level ADM'!$N150&gt;0),"T","F")</f>
        <v>F</v>
      </c>
      <c r="G150" s="138" t="str">
        <f>IF(AND(SUM('School Level ADM'!$M150:$R150)=0,'School Level ADM'!$L150&gt;0),"T","F")</f>
        <v>T</v>
      </c>
      <c r="H150" s="138" t="str">
        <f t="shared" si="28"/>
        <v>E</v>
      </c>
      <c r="I150" s="139">
        <f>IF($F150="T",SUM('School Level ADM'!$F150:$J150),IF($G150="T",SUM('School Level ADM'!$F150:$L150),SUM('School Level ADM'!$F150:$K150,0)))</f>
        <v>353.61500000000001</v>
      </c>
      <c r="J150" s="139">
        <f>'School Level ADM'!$S150-$I150-$K150</f>
        <v>0</v>
      </c>
      <c r="K150" s="139">
        <f>IF(SUM('School Level ADM'!$N150:$R150)='School Level ADM'!$S150,SUM('School Level ADM'!$N150:$R150),IF(OR(SUM('School Level ADM'!$F150:$O150)='School Level ADM'!$S150,SUM('School Level ADM'!$G150:$O150)='School Level ADM'!$S150,SUM('School Level ADM'!$H150:$O150)='School Level ADM'!$S150,SUM('School Level ADM'!$I150:$O150)='School Level ADM'!$S150,SUM('School Level ADM'!$J150:$O150)='School Level ADM'!$S150,SUM('School Level ADM'!$K150:$O150)='School Level ADM'!$S150,SUM('School Level ADM'!$L150:$O150)='School Level ADM'!$S150,SUM('School Level ADM'!$M150:$O150)='School Level ADM'!$S150,SUM('School Level ADM'!$N150:$O150)='School Level ADM'!$S150),0,SUM('School Level ADM'!$O150:$R150)))</f>
        <v>0</v>
      </c>
      <c r="L150" s="139">
        <f t="shared" si="29"/>
        <v>353.61500000000001</v>
      </c>
      <c r="M150" s="24">
        <f>'Student At-Risk and ELL Proxy'!S150</f>
        <v>93</v>
      </c>
      <c r="N150" s="24">
        <f>'Student At-Risk and ELL Proxy'!AH150</f>
        <v>4</v>
      </c>
      <c r="O150" s="136">
        <f t="shared" si="35"/>
        <v>0.97</v>
      </c>
      <c r="P150" s="136" t="str">
        <f t="shared" si="36"/>
        <v/>
      </c>
      <c r="Q150" s="136" t="str">
        <f t="shared" si="37"/>
        <v/>
      </c>
      <c r="R150" s="136">
        <f t="shared" si="30"/>
        <v>0.97</v>
      </c>
      <c r="S150" s="136">
        <f>IF(SUM(3515.4*((VLOOKUP($A150,'District Level ADM'!$A$4:$F$52,6,FALSE))^-0.327)/'Model Data Inputs'!$B$71)&lt;1,1,(3515.4*((VLOOKUP($A150,'District Level ADM'!$A$4:$F$52,6,FALSE))^-0.327)/'Model Data Inputs'!$B$71))</f>
        <v>1</v>
      </c>
      <c r="T150" s="136">
        <f>VLOOKUP($A150,'Regional Cost Adjustment'!$A$4:$C$52,3,FALSE)</f>
        <v>1</v>
      </c>
      <c r="U150" s="123">
        <f>((($I150/$L150)*'Model Data Inputs'!$B$85)+((SUM(J150:K150)/$L150)*'Model Data Inputs'!$C$85))*$R150*$T150</f>
        <v>6176.5600660325917</v>
      </c>
      <c r="V150" s="140">
        <f>((($I150/$L150)*'Model Data Inputs'!$B$86)+((SUM(J150:K150)/$L150)*'Model Data Inputs'!$C$86))*$R150</f>
        <v>1641.8459994936507</v>
      </c>
      <c r="W150" s="140">
        <f t="shared" si="38"/>
        <v>7818.4060655262419</v>
      </c>
      <c r="X150" s="140">
        <f t="shared" si="31"/>
        <v>2184124.2877501152</v>
      </c>
      <c r="Y150" s="140">
        <f t="shared" si="32"/>
        <v>580581.37311094732</v>
      </c>
      <c r="Z150" s="123">
        <f>IF((SUM(X150:Y150))&lt;(AVERAGE('Elementary Size Adjustment'!$B$66,'Secondary Size Adjustment'!$B$66)),(AVERAGE('Elementary Size Adjustment'!$B$66,'Secondary Size Adjustment'!$B$66)),SUM(X150:Y150))</f>
        <v>2764705.6608610624</v>
      </c>
      <c r="AA150" s="137">
        <f>'Model Data Inputs'!$B$71*S150*L150</f>
        <v>67186.850000000006</v>
      </c>
      <c r="AB150" s="137">
        <f>L150*'Model Data Inputs'!$B$72</f>
        <v>8840.375</v>
      </c>
      <c r="AC150" s="137">
        <f>L150*'Model Data Inputs'!$B$73</f>
        <v>88403.75</v>
      </c>
      <c r="AD150" s="137">
        <f>L150*'Model Data Inputs'!$B$74</f>
        <v>44201.875</v>
      </c>
      <c r="AE150" s="137">
        <f>$I150*'Model Data Inputs'!$B$76</f>
        <v>8412.5008500000004</v>
      </c>
      <c r="AF150" s="137">
        <f>VLOOKUP($J150,'Student Activities MS&amp;HS Tables'!$M$7:$O$1267,3)</f>
        <v>0</v>
      </c>
      <c r="AG150" s="137">
        <f>VLOOKUP($K150,'Student Activities MS&amp;HS Tables'!$I$7:$K$3007,3)</f>
        <v>0</v>
      </c>
      <c r="AH150" s="137">
        <f t="shared" si="33"/>
        <v>8412.5008500000004</v>
      </c>
      <c r="AI150" s="123">
        <f t="shared" si="39"/>
        <v>2981751.0117110624</v>
      </c>
      <c r="AJ150" s="123">
        <f>(('Model Data Inputs'!$B$90*(('Model Data Inputs'!$B$87*('School Level Inst. Resources'!I150/'School Level Inst. Resources'!L150))+('Model Data Inputs'!$C$87*(SUM('School Level Inst. Resources'!J150:K150)/'School Level Inst. Resources'!L150))))*T150*M150)</f>
        <v>224879.92703936304</v>
      </c>
      <c r="AK150" s="123">
        <f>(('Model Data Inputs'!$B$91*(('Model Data Inputs'!$B$87*('School Level Inst. Resources'!I150/'School Level Inst. Resources'!L150))+('Model Data Inputs'!$C$87*(SUM('School Level Inst. Resources'!J150:K150)/'School Level Inst. Resources'!L150))))*T150*N150)</f>
        <v>9672.254926424217</v>
      </c>
      <c r="AL150" s="137">
        <f>(K150*'Model Data Inputs'!$B$94)*T150</f>
        <v>0</v>
      </c>
      <c r="AM150" s="137">
        <f>K150*'Model Data Inputs'!$B$95</f>
        <v>0</v>
      </c>
      <c r="AN150" s="137">
        <f t="shared" si="40"/>
        <v>0</v>
      </c>
      <c r="AO150" s="137">
        <f>('School Level Inst. Resources'!K150*'Model Data Inputs'!$B$96)+('School Level Inst. Resources'!J150*'Model Data Inputs'!$B$97)</f>
        <v>0</v>
      </c>
      <c r="AP150" s="137">
        <f>$L150*'Model Data Inputs'!$B$100</f>
        <v>14144.6</v>
      </c>
      <c r="AQ150" s="137">
        <f t="shared" si="41"/>
        <v>3230447.7936768495</v>
      </c>
      <c r="AR150" s="141">
        <f t="shared" si="34"/>
        <v>9135.494234342008</v>
      </c>
    </row>
    <row r="151" spans="1:44" s="40" customFormat="1" ht="12.75" customHeight="1" x14ac:dyDescent="0.2">
      <c r="A151" s="20" t="s">
        <v>58</v>
      </c>
      <c r="B151" s="20" t="s">
        <v>59</v>
      </c>
      <c r="C151" s="20" t="s">
        <v>668</v>
      </c>
      <c r="D151" s="20" t="s">
        <v>669</v>
      </c>
      <c r="E151" s="138" t="s">
        <v>545</v>
      </c>
      <c r="F151" s="138" t="str">
        <f>IF(AND(SUM('School Level ADM'!$F151:$J151)=0,SUM('School Level ADM'!$O151:$R151)=0,'School Level ADM'!$K151&gt;0,'School Level ADM'!$N151&gt;0),"T","F")</f>
        <v>F</v>
      </c>
      <c r="G151" s="138" t="str">
        <f>IF(AND(SUM('School Level ADM'!$M151:$R151)=0,'School Level ADM'!$L151&gt;0),"T","F")</f>
        <v>F</v>
      </c>
      <c r="H151" s="138" t="str">
        <f t="shared" si="28"/>
        <v>E</v>
      </c>
      <c r="I151" s="139">
        <f>IF($F151="T",SUM('School Level ADM'!$F151:$J151),IF($G151="T",SUM('School Level ADM'!$F151:$L151),SUM('School Level ADM'!$F151:$K151,0)))</f>
        <v>105.39500000000001</v>
      </c>
      <c r="J151" s="139">
        <f>'School Level ADM'!$S151-$I151-$K151</f>
        <v>0</v>
      </c>
      <c r="K151" s="139">
        <f>IF(SUM('School Level ADM'!$N151:$R151)='School Level ADM'!$S151,SUM('School Level ADM'!$N151:$R151),IF(OR(SUM('School Level ADM'!$F151:$O151)='School Level ADM'!$S151,SUM('School Level ADM'!$G151:$O151)='School Level ADM'!$S151,SUM('School Level ADM'!$H151:$O151)='School Level ADM'!$S151,SUM('School Level ADM'!$I151:$O151)='School Level ADM'!$S151,SUM('School Level ADM'!$J151:$O151)='School Level ADM'!$S151,SUM('School Level ADM'!$K151:$O151)='School Level ADM'!$S151,SUM('School Level ADM'!$L151:$O151)='School Level ADM'!$S151,SUM('School Level ADM'!$M151:$O151)='School Level ADM'!$S151,SUM('School Level ADM'!$N151:$O151)='School Level ADM'!$S151),0,SUM('School Level ADM'!$O151:$R151)))</f>
        <v>0</v>
      </c>
      <c r="L151" s="139">
        <f t="shared" si="29"/>
        <v>105.39500000000001</v>
      </c>
      <c r="M151" s="24">
        <f>'Student At-Risk and ELL Proxy'!S151</f>
        <v>37</v>
      </c>
      <c r="N151" s="24">
        <f>'Student At-Risk and ELL Proxy'!AH151</f>
        <v>4</v>
      </c>
      <c r="O151" s="136">
        <f t="shared" si="35"/>
        <v>1.5050590771069863</v>
      </c>
      <c r="P151" s="136" t="str">
        <f t="shared" si="36"/>
        <v/>
      </c>
      <c r="Q151" s="136" t="str">
        <f t="shared" si="37"/>
        <v/>
      </c>
      <c r="R151" s="136">
        <f t="shared" si="30"/>
        <v>1.5050590771069863</v>
      </c>
      <c r="S151" s="136">
        <f>IF(SUM(3515.4*((VLOOKUP($A151,'District Level ADM'!$A$4:$F$52,6,FALSE))^-0.327)/'Model Data Inputs'!$B$71)&lt;1,1,(3515.4*((VLOOKUP($A151,'District Level ADM'!$A$4:$F$52,6,FALSE))^-0.327)/'Model Data Inputs'!$B$71))</f>
        <v>1</v>
      </c>
      <c r="T151" s="136">
        <f>VLOOKUP($A151,'Regional Cost Adjustment'!$A$4:$C$52,3,FALSE)</f>
        <v>1</v>
      </c>
      <c r="U151" s="123">
        <f>((($I151/$L151)*'Model Data Inputs'!$B$85)+((SUM(J151:K151)/$L151)*'Model Data Inputs'!$C$85))*$R151*$T151</f>
        <v>9583.5956625555445</v>
      </c>
      <c r="V151" s="140">
        <f>((($I151/$L151)*'Model Data Inputs'!$B$86)+((SUM(J151:K151)/$L151)*'Model Data Inputs'!$C$86))*$R151</f>
        <v>2547.5002317007334</v>
      </c>
      <c r="W151" s="140">
        <f t="shared" si="38"/>
        <v>12131.095894256277</v>
      </c>
      <c r="X151" s="140">
        <f t="shared" si="31"/>
        <v>1010063.0648550417</v>
      </c>
      <c r="Y151" s="140">
        <f t="shared" si="32"/>
        <v>268493.78692009882</v>
      </c>
      <c r="Z151" s="123">
        <f>IF((SUM(X151:Y151))&lt;(AVERAGE('Elementary Size Adjustment'!$B$66,'Secondary Size Adjustment'!$B$66)),(AVERAGE('Elementary Size Adjustment'!$B$66,'Secondary Size Adjustment'!$B$66)),SUM(X151:Y151))</f>
        <v>1278556.8517751405</v>
      </c>
      <c r="AA151" s="137">
        <f>'Model Data Inputs'!$B$71*S151*L151</f>
        <v>20025.050000000003</v>
      </c>
      <c r="AB151" s="137">
        <f>L151*'Model Data Inputs'!$B$72</f>
        <v>2634.8750000000005</v>
      </c>
      <c r="AC151" s="137">
        <f>L151*'Model Data Inputs'!$B$73</f>
        <v>26348.750000000004</v>
      </c>
      <c r="AD151" s="137">
        <f>L151*'Model Data Inputs'!$B$74</f>
        <v>13174.375000000002</v>
      </c>
      <c r="AE151" s="137">
        <f>$I151*'Model Data Inputs'!$B$76</f>
        <v>2507.3470500000003</v>
      </c>
      <c r="AF151" s="137">
        <f>VLOOKUP($J151,'Student Activities MS&amp;HS Tables'!$M$7:$O$1267,3)</f>
        <v>0</v>
      </c>
      <c r="AG151" s="137">
        <f>VLOOKUP($K151,'Student Activities MS&amp;HS Tables'!$I$7:$K$3007,3)</f>
        <v>0</v>
      </c>
      <c r="AH151" s="137">
        <f t="shared" si="33"/>
        <v>2507.3470500000003</v>
      </c>
      <c r="AI151" s="123">
        <f t="shared" si="39"/>
        <v>1343247.2488251405</v>
      </c>
      <c r="AJ151" s="123">
        <f>(('Model Data Inputs'!$B$90*(('Model Data Inputs'!$B$87*('School Level Inst. Resources'!I151/'School Level Inst. Resources'!L151))+('Model Data Inputs'!$C$87*(SUM('School Level Inst. Resources'!J151:K151)/'School Level Inst. Resources'!L151))))*T151*M151)</f>
        <v>89468.358069424008</v>
      </c>
      <c r="AK151" s="123">
        <f>(('Model Data Inputs'!$B$91*(('Model Data Inputs'!$B$87*('School Level Inst. Resources'!I151/'School Level Inst. Resources'!L151))+('Model Data Inputs'!$C$87*(SUM('School Level Inst. Resources'!J151:K151)/'School Level Inst. Resources'!L151))))*T151*N151)</f>
        <v>9672.254926424217</v>
      </c>
      <c r="AL151" s="137">
        <f>(K151*'Model Data Inputs'!$B$94)*T151</f>
        <v>0</v>
      </c>
      <c r="AM151" s="137">
        <f>K151*'Model Data Inputs'!$B$95</f>
        <v>0</v>
      </c>
      <c r="AN151" s="137">
        <f t="shared" si="40"/>
        <v>0</v>
      </c>
      <c r="AO151" s="137">
        <f>('School Level Inst. Resources'!K151*'Model Data Inputs'!$B$96)+('School Level Inst. Resources'!J151*'Model Data Inputs'!$B$97)</f>
        <v>0</v>
      </c>
      <c r="AP151" s="137">
        <f>$L151*'Model Data Inputs'!$B$100</f>
        <v>4215.8</v>
      </c>
      <c r="AQ151" s="137">
        <f t="shared" si="41"/>
        <v>1446603.6618209889</v>
      </c>
      <c r="AR151" s="141">
        <f t="shared" si="34"/>
        <v>13725.543544010519</v>
      </c>
    </row>
    <row r="152" spans="1:44" s="40" customFormat="1" ht="12.75" customHeight="1" x14ac:dyDescent="0.2">
      <c r="A152" s="20" t="s">
        <v>58</v>
      </c>
      <c r="B152" s="20" t="s">
        <v>59</v>
      </c>
      <c r="C152" s="20" t="s">
        <v>670</v>
      </c>
      <c r="D152" s="20" t="s">
        <v>671</v>
      </c>
      <c r="E152" s="138" t="s">
        <v>522</v>
      </c>
      <c r="F152" s="138" t="str">
        <f>IF(AND(SUM('School Level ADM'!$F152:$J152)=0,SUM('School Level ADM'!$O152:$R152)=0,'School Level ADM'!$K152&gt;0,'School Level ADM'!$N152&gt;0),"T","F")</f>
        <v>F</v>
      </c>
      <c r="G152" s="138" t="str">
        <f>IF(AND(SUM('School Level ADM'!$M152:$R152)=0,'School Level ADM'!$L152&gt;0),"T","F")</f>
        <v>F</v>
      </c>
      <c r="H152" s="138" t="str">
        <f t="shared" si="28"/>
        <v>E</v>
      </c>
      <c r="I152" s="139">
        <f>IF($F152="T",SUM('School Level ADM'!$F152:$J152),IF($G152="T",SUM('School Level ADM'!$F152:$L152),SUM('School Level ADM'!$F152:$K152,0)))</f>
        <v>318.15500000000003</v>
      </c>
      <c r="J152" s="139">
        <f>'School Level ADM'!$S152-$I152-$K152</f>
        <v>0</v>
      </c>
      <c r="K152" s="139">
        <f>IF(SUM('School Level ADM'!$N152:$R152)='School Level ADM'!$S152,SUM('School Level ADM'!$N152:$R152),IF(OR(SUM('School Level ADM'!$F152:$O152)='School Level ADM'!$S152,SUM('School Level ADM'!$G152:$O152)='School Level ADM'!$S152,SUM('School Level ADM'!$H152:$O152)='School Level ADM'!$S152,SUM('School Level ADM'!$I152:$O152)='School Level ADM'!$S152,SUM('School Level ADM'!$J152:$O152)='School Level ADM'!$S152,SUM('School Level ADM'!$K152:$O152)='School Level ADM'!$S152,SUM('School Level ADM'!$L152:$O152)='School Level ADM'!$S152,SUM('School Level ADM'!$M152:$O152)='School Level ADM'!$S152,SUM('School Level ADM'!$N152:$O152)='School Level ADM'!$S152),0,SUM('School Level ADM'!$O152:$R152)))</f>
        <v>0</v>
      </c>
      <c r="L152" s="139">
        <f t="shared" si="29"/>
        <v>318.15500000000003</v>
      </c>
      <c r="M152" s="24">
        <f>'Student At-Risk and ELL Proxy'!S152</f>
        <v>145</v>
      </c>
      <c r="N152" s="24">
        <f>'Student At-Risk and ELL Proxy'!AH152</f>
        <v>6</v>
      </c>
      <c r="O152" s="136">
        <f t="shared" si="35"/>
        <v>0.97</v>
      </c>
      <c r="P152" s="136" t="str">
        <f t="shared" si="36"/>
        <v/>
      </c>
      <c r="Q152" s="136" t="str">
        <f t="shared" si="37"/>
        <v/>
      </c>
      <c r="R152" s="136">
        <f t="shared" si="30"/>
        <v>0.97</v>
      </c>
      <c r="S152" s="136">
        <f>IF(SUM(3515.4*((VLOOKUP($A152,'District Level ADM'!$A$4:$F$52,6,FALSE))^-0.327)/'Model Data Inputs'!$B$71)&lt;1,1,(3515.4*((VLOOKUP($A152,'District Level ADM'!$A$4:$F$52,6,FALSE))^-0.327)/'Model Data Inputs'!$B$71))</f>
        <v>1</v>
      </c>
      <c r="T152" s="136">
        <f>VLOOKUP($A152,'Regional Cost Adjustment'!$A$4:$C$52,3,FALSE)</f>
        <v>1</v>
      </c>
      <c r="U152" s="123">
        <f>((($I152/$L152)*'Model Data Inputs'!$B$85)+((SUM(J152:K152)/$L152)*'Model Data Inputs'!$C$85))*$R152*$T152</f>
        <v>6176.5600660325917</v>
      </c>
      <c r="V152" s="140">
        <f>((($I152/$L152)*'Model Data Inputs'!$B$86)+((SUM(J152:K152)/$L152)*'Model Data Inputs'!$C$86))*$R152</f>
        <v>1641.8459994936507</v>
      </c>
      <c r="W152" s="140">
        <f t="shared" si="38"/>
        <v>7818.4060655262419</v>
      </c>
      <c r="X152" s="140">
        <f t="shared" si="31"/>
        <v>1965103.4678085994</v>
      </c>
      <c r="Y152" s="140">
        <f t="shared" si="32"/>
        <v>522361.51396890247</v>
      </c>
      <c r="Z152" s="123">
        <f>IF((SUM(X152:Y152))&lt;(AVERAGE('Elementary Size Adjustment'!$B$66,'Secondary Size Adjustment'!$B$66)),(AVERAGE('Elementary Size Adjustment'!$B$66,'Secondary Size Adjustment'!$B$66)),SUM(X152:Y152))</f>
        <v>2487464.9817775018</v>
      </c>
      <c r="AA152" s="137">
        <f>'Model Data Inputs'!$B$71*S152*L152</f>
        <v>60449.450000000004</v>
      </c>
      <c r="AB152" s="137">
        <f>L152*'Model Data Inputs'!$B$72</f>
        <v>7953.8750000000009</v>
      </c>
      <c r="AC152" s="137">
        <f>L152*'Model Data Inputs'!$B$73</f>
        <v>79538.750000000015</v>
      </c>
      <c r="AD152" s="137">
        <f>L152*'Model Data Inputs'!$B$74</f>
        <v>39769.375000000007</v>
      </c>
      <c r="AE152" s="137">
        <f>$I152*'Model Data Inputs'!$B$76</f>
        <v>7568.9074500000006</v>
      </c>
      <c r="AF152" s="137">
        <f>VLOOKUP($J152,'Student Activities MS&amp;HS Tables'!$M$7:$O$1267,3)</f>
        <v>0</v>
      </c>
      <c r="AG152" s="137">
        <f>VLOOKUP($K152,'Student Activities MS&amp;HS Tables'!$I$7:$K$3007,3)</f>
        <v>0</v>
      </c>
      <c r="AH152" s="137">
        <f t="shared" si="33"/>
        <v>7568.9074500000006</v>
      </c>
      <c r="AI152" s="123">
        <f t="shared" si="39"/>
        <v>2682745.3392275018</v>
      </c>
      <c r="AJ152" s="123">
        <f>(('Model Data Inputs'!$B$90*(('Model Data Inputs'!$B$87*('School Level Inst. Resources'!I152/'School Level Inst. Resources'!L152))+('Model Data Inputs'!$C$87*(SUM('School Level Inst. Resources'!J152:K152)/'School Level Inst. Resources'!L152))))*T152*M152)</f>
        <v>350619.24108287785</v>
      </c>
      <c r="AK152" s="123">
        <f>(('Model Data Inputs'!$B$91*(('Model Data Inputs'!$B$87*('School Level Inst. Resources'!I152/'School Level Inst. Resources'!L152))+('Model Data Inputs'!$C$87*(SUM('School Level Inst. Resources'!J152:K152)/'School Level Inst. Resources'!L152))))*T152*N152)</f>
        <v>14508.382389636325</v>
      </c>
      <c r="AL152" s="137">
        <f>(K152*'Model Data Inputs'!$B$94)*T152</f>
        <v>0</v>
      </c>
      <c r="AM152" s="137">
        <f>K152*'Model Data Inputs'!$B$95</f>
        <v>0</v>
      </c>
      <c r="AN152" s="137">
        <f t="shared" si="40"/>
        <v>0</v>
      </c>
      <c r="AO152" s="137">
        <f>('School Level Inst. Resources'!K152*'Model Data Inputs'!$B$96)+('School Level Inst. Resources'!J152*'Model Data Inputs'!$B$97)</f>
        <v>0</v>
      </c>
      <c r="AP152" s="137">
        <f>$L152*'Model Data Inputs'!$B$100</f>
        <v>12726.2</v>
      </c>
      <c r="AQ152" s="137">
        <f t="shared" si="41"/>
        <v>3060599.1627000161</v>
      </c>
      <c r="AR152" s="141">
        <f t="shared" si="34"/>
        <v>9619.8367547265188</v>
      </c>
    </row>
    <row r="153" spans="1:44" s="40" customFormat="1" ht="12.75" customHeight="1" x14ac:dyDescent="0.2">
      <c r="A153" s="20" t="s">
        <v>58</v>
      </c>
      <c r="B153" s="20" t="s">
        <v>59</v>
      </c>
      <c r="C153" s="20" t="s">
        <v>672</v>
      </c>
      <c r="D153" s="20" t="s">
        <v>673</v>
      </c>
      <c r="E153" s="138" t="s">
        <v>674</v>
      </c>
      <c r="F153" s="138" t="str">
        <f>IF(AND(SUM('School Level ADM'!$F153:$J153)=0,SUM('School Level ADM'!$O153:$R153)=0,'School Level ADM'!$K153&gt;0,'School Level ADM'!$N153&gt;0),"T","F")</f>
        <v>F</v>
      </c>
      <c r="G153" s="138" t="str">
        <f>IF(AND(SUM('School Level ADM'!$M153:$R153)=0,'School Level ADM'!$L153&gt;0),"T","F")</f>
        <v>T</v>
      </c>
      <c r="H153" s="138" t="str">
        <f t="shared" si="28"/>
        <v>E</v>
      </c>
      <c r="I153" s="139">
        <f>IF($F153="T",SUM('School Level ADM'!$F153:$J153),IF($G153="T",SUM('School Level ADM'!$F153:$L153),SUM('School Level ADM'!$F153:$K153,0)))</f>
        <v>129.035</v>
      </c>
      <c r="J153" s="139">
        <f>'School Level ADM'!$S153-$I153-$K153</f>
        <v>0</v>
      </c>
      <c r="K153" s="139">
        <f>IF(SUM('School Level ADM'!$N153:$R153)='School Level ADM'!$S153,SUM('School Level ADM'!$N153:$R153),IF(OR(SUM('School Level ADM'!$F153:$O153)='School Level ADM'!$S153,SUM('School Level ADM'!$G153:$O153)='School Level ADM'!$S153,SUM('School Level ADM'!$H153:$O153)='School Level ADM'!$S153,SUM('School Level ADM'!$I153:$O153)='School Level ADM'!$S153,SUM('School Level ADM'!$J153:$O153)='School Level ADM'!$S153,SUM('School Level ADM'!$K153:$O153)='School Level ADM'!$S153,SUM('School Level ADM'!$L153:$O153)='School Level ADM'!$S153,SUM('School Level ADM'!$M153:$O153)='School Level ADM'!$S153,SUM('School Level ADM'!$N153:$O153)='School Level ADM'!$S153),0,SUM('School Level ADM'!$O153:$R153)))</f>
        <v>0</v>
      </c>
      <c r="L153" s="139">
        <f t="shared" si="29"/>
        <v>129.035</v>
      </c>
      <c r="M153" s="24">
        <f>'Student At-Risk and ELL Proxy'!S153</f>
        <v>84</v>
      </c>
      <c r="N153" s="24">
        <f>'Student At-Risk and ELL Proxy'!AH153</f>
        <v>0</v>
      </c>
      <c r="O153" s="136">
        <f t="shared" si="35"/>
        <v>1.388590901182285</v>
      </c>
      <c r="P153" s="136" t="str">
        <f t="shared" si="36"/>
        <v/>
      </c>
      <c r="Q153" s="136" t="str">
        <f t="shared" si="37"/>
        <v/>
      </c>
      <c r="R153" s="136">
        <f t="shared" si="30"/>
        <v>1.388590901182285</v>
      </c>
      <c r="S153" s="136">
        <f>IF(SUM(3515.4*((VLOOKUP($A153,'District Level ADM'!$A$4:$F$52,6,FALSE))^-0.327)/'Model Data Inputs'!$B$71)&lt;1,1,(3515.4*((VLOOKUP($A153,'District Level ADM'!$A$4:$F$52,6,FALSE))^-0.327)/'Model Data Inputs'!$B$71))</f>
        <v>1</v>
      </c>
      <c r="T153" s="136">
        <f>VLOOKUP($A153,'Regional Cost Adjustment'!$A$4:$C$52,3,FALSE)</f>
        <v>1</v>
      </c>
      <c r="U153" s="123">
        <f>((($I153/$L153)*'Model Data Inputs'!$B$85)+((SUM(J153:K153)/$L153)*'Model Data Inputs'!$C$85))*$R153*$T153</f>
        <v>8841.974338452279</v>
      </c>
      <c r="V153" s="140">
        <f>((($I153/$L153)*'Model Data Inputs'!$B$86)+((SUM(J153:K153)/$L153)*'Model Data Inputs'!$C$86))*$R153</f>
        <v>2350.3633155045545</v>
      </c>
      <c r="W153" s="140">
        <f t="shared" si="38"/>
        <v>11192.337653956834</v>
      </c>
      <c r="X153" s="140">
        <f t="shared" si="31"/>
        <v>1140924.1587621898</v>
      </c>
      <c r="Y153" s="140">
        <f t="shared" si="32"/>
        <v>303279.13041613018</v>
      </c>
      <c r="Z153" s="123">
        <f>IF((SUM(X153:Y153))&lt;(AVERAGE('Elementary Size Adjustment'!$B$66,'Secondary Size Adjustment'!$B$66)),(AVERAGE('Elementary Size Adjustment'!$B$66,'Secondary Size Adjustment'!$B$66)),SUM(X153:Y153))</f>
        <v>1444203.28917832</v>
      </c>
      <c r="AA153" s="137">
        <f>'Model Data Inputs'!$B$71*S153*L153</f>
        <v>24516.649999999998</v>
      </c>
      <c r="AB153" s="137">
        <f>L153*'Model Data Inputs'!$B$72</f>
        <v>3225.875</v>
      </c>
      <c r="AC153" s="137">
        <f>L153*'Model Data Inputs'!$B$73</f>
        <v>32258.75</v>
      </c>
      <c r="AD153" s="137">
        <f>L153*'Model Data Inputs'!$B$74</f>
        <v>16129.375</v>
      </c>
      <c r="AE153" s="137">
        <f>$I153*'Model Data Inputs'!$B$76</f>
        <v>3069.7426499999997</v>
      </c>
      <c r="AF153" s="137">
        <f>VLOOKUP($J153,'Student Activities MS&amp;HS Tables'!$M$7:$O$1267,3)</f>
        <v>0</v>
      </c>
      <c r="AG153" s="137">
        <f>VLOOKUP($K153,'Student Activities MS&amp;HS Tables'!$I$7:$K$3007,3)</f>
        <v>0</v>
      </c>
      <c r="AH153" s="137">
        <f t="shared" si="33"/>
        <v>3069.7426499999997</v>
      </c>
      <c r="AI153" s="123">
        <f t="shared" si="39"/>
        <v>1523403.6818283198</v>
      </c>
      <c r="AJ153" s="123">
        <f>(('Model Data Inputs'!$B$90*(('Model Data Inputs'!$B$87*('School Level Inst. Resources'!I153/'School Level Inst. Resources'!L153))+('Model Data Inputs'!$C$87*(SUM('School Level Inst. Resources'!J153:K153)/'School Level Inst. Resources'!L153))))*T153*M153)</f>
        <v>203117.35345490856</v>
      </c>
      <c r="AK153" s="123">
        <f>(('Model Data Inputs'!$B$91*(('Model Data Inputs'!$B$87*('School Level Inst. Resources'!I153/'School Level Inst. Resources'!L153))+('Model Data Inputs'!$C$87*(SUM('School Level Inst. Resources'!J153:K153)/'School Level Inst. Resources'!L153))))*T153*N153)</f>
        <v>0</v>
      </c>
      <c r="AL153" s="137">
        <f>(K153*'Model Data Inputs'!$B$94)*T153</f>
        <v>0</v>
      </c>
      <c r="AM153" s="137">
        <f>K153*'Model Data Inputs'!$B$95</f>
        <v>0</v>
      </c>
      <c r="AN153" s="137">
        <f t="shared" si="40"/>
        <v>0</v>
      </c>
      <c r="AO153" s="137">
        <f>('School Level Inst. Resources'!K153*'Model Data Inputs'!$B$96)+('School Level Inst. Resources'!J153*'Model Data Inputs'!$B$97)</f>
        <v>0</v>
      </c>
      <c r="AP153" s="137">
        <f>$L153*'Model Data Inputs'!$B$100</f>
        <v>5161.3999999999996</v>
      </c>
      <c r="AQ153" s="137">
        <f t="shared" si="41"/>
        <v>1731682.4352832283</v>
      </c>
      <c r="AR153" s="141">
        <f t="shared" si="34"/>
        <v>13420.253693054043</v>
      </c>
    </row>
    <row r="154" spans="1:44" s="40" customFormat="1" ht="12.75" customHeight="1" x14ac:dyDescent="0.2">
      <c r="A154" s="20" t="s">
        <v>58</v>
      </c>
      <c r="B154" s="20" t="s">
        <v>59</v>
      </c>
      <c r="C154" s="20" t="s">
        <v>675</v>
      </c>
      <c r="D154" s="20" t="s">
        <v>676</v>
      </c>
      <c r="E154" s="138" t="s">
        <v>357</v>
      </c>
      <c r="F154" s="138" t="str">
        <f>IF(AND(SUM('School Level ADM'!$F154:$J154)=0,SUM('School Level ADM'!$O154:$R154)=0,'School Level ADM'!$K154&gt;0,'School Level ADM'!$N154&gt;0),"T","F")</f>
        <v>F</v>
      </c>
      <c r="G154" s="138" t="str">
        <f>IF(AND(SUM('School Level ADM'!$M154:$R154)=0,'School Level ADM'!$L154&gt;0),"T","F")</f>
        <v>T</v>
      </c>
      <c r="H154" s="138" t="str">
        <f t="shared" si="28"/>
        <v>E</v>
      </c>
      <c r="I154" s="139">
        <f>IF($F154="T",SUM('School Level ADM'!$F154:$J154),IF($G154="T",SUM('School Level ADM'!$F154:$L154),SUM('School Level ADM'!$F154:$K154,0)))</f>
        <v>96.53</v>
      </c>
      <c r="J154" s="139">
        <f>'School Level ADM'!$S154-$I154-$K154</f>
        <v>0</v>
      </c>
      <c r="K154" s="139">
        <f>IF(SUM('School Level ADM'!$N154:$R154)='School Level ADM'!$S154,SUM('School Level ADM'!$N154:$R154),IF(OR(SUM('School Level ADM'!$F154:$O154)='School Level ADM'!$S154,SUM('School Level ADM'!$G154:$O154)='School Level ADM'!$S154,SUM('School Level ADM'!$H154:$O154)='School Level ADM'!$S154,SUM('School Level ADM'!$I154:$O154)='School Level ADM'!$S154,SUM('School Level ADM'!$J154:$O154)='School Level ADM'!$S154,SUM('School Level ADM'!$K154:$O154)='School Level ADM'!$S154,SUM('School Level ADM'!$L154:$O154)='School Level ADM'!$S154,SUM('School Level ADM'!$M154:$O154)='School Level ADM'!$S154,SUM('School Level ADM'!$N154:$O154)='School Level ADM'!$S154),0,SUM('School Level ADM'!$O154:$R154)))</f>
        <v>0</v>
      </c>
      <c r="L154" s="139">
        <f t="shared" si="29"/>
        <v>96.53</v>
      </c>
      <c r="M154" s="24">
        <f>'Student At-Risk and ELL Proxy'!S154</f>
        <v>29</v>
      </c>
      <c r="N154" s="24">
        <f>'Student At-Risk and ELL Proxy'!AH154</f>
        <v>0</v>
      </c>
      <c r="O154" s="136">
        <f t="shared" si="35"/>
        <v>1.5586202440071613</v>
      </c>
      <c r="P154" s="136" t="str">
        <f t="shared" si="36"/>
        <v/>
      </c>
      <c r="Q154" s="136" t="str">
        <f t="shared" si="37"/>
        <v/>
      </c>
      <c r="R154" s="136">
        <f t="shared" si="30"/>
        <v>1.5586202440071613</v>
      </c>
      <c r="S154" s="136">
        <f>IF(SUM(3515.4*((VLOOKUP($A154,'District Level ADM'!$A$4:$F$52,6,FALSE))^-0.327)/'Model Data Inputs'!$B$71)&lt;1,1,(3515.4*((VLOOKUP($A154,'District Level ADM'!$A$4:$F$52,6,FALSE))^-0.327)/'Model Data Inputs'!$B$71))</f>
        <v>1</v>
      </c>
      <c r="T154" s="136">
        <f>VLOOKUP($A154,'Regional Cost Adjustment'!$A$4:$C$52,3,FALSE)</f>
        <v>1</v>
      </c>
      <c r="U154" s="123">
        <f>((($I154/$L154)*'Model Data Inputs'!$B$85)+((SUM(J154:K154)/$L154)*'Model Data Inputs'!$C$85))*$R154*$T154</f>
        <v>9924.651089942894</v>
      </c>
      <c r="V154" s="140">
        <f>((($I154/$L154)*'Model Data Inputs'!$B$86)+((SUM(J154:K154)/$L154)*'Model Data Inputs'!$C$86))*$R154</f>
        <v>2638.1591879927578</v>
      </c>
      <c r="W154" s="140">
        <f t="shared" si="38"/>
        <v>12562.810277935652</v>
      </c>
      <c r="X154" s="140">
        <f t="shared" si="31"/>
        <v>958026.56971218763</v>
      </c>
      <c r="Y154" s="140">
        <f t="shared" si="32"/>
        <v>254661.50641694092</v>
      </c>
      <c r="Z154" s="123">
        <f>IF((SUM(X154:Y154))&lt;(AVERAGE('Elementary Size Adjustment'!$B$66,'Secondary Size Adjustment'!$B$66)),(AVERAGE('Elementary Size Adjustment'!$B$66,'Secondary Size Adjustment'!$B$66)),SUM(X154:Y154))</f>
        <v>1212688.0761291285</v>
      </c>
      <c r="AA154" s="137">
        <f>'Model Data Inputs'!$B$71*S154*L154</f>
        <v>18340.7</v>
      </c>
      <c r="AB154" s="137">
        <f>L154*'Model Data Inputs'!$B$72</f>
        <v>2413.25</v>
      </c>
      <c r="AC154" s="137">
        <f>L154*'Model Data Inputs'!$B$73</f>
        <v>24132.5</v>
      </c>
      <c r="AD154" s="137">
        <f>L154*'Model Data Inputs'!$B$74</f>
        <v>12066.25</v>
      </c>
      <c r="AE154" s="137">
        <f>$I154*'Model Data Inputs'!$B$76</f>
        <v>2296.4486999999999</v>
      </c>
      <c r="AF154" s="137">
        <f>VLOOKUP($J154,'Student Activities MS&amp;HS Tables'!$M$7:$O$1267,3)</f>
        <v>0</v>
      </c>
      <c r="AG154" s="137">
        <f>VLOOKUP($K154,'Student Activities MS&amp;HS Tables'!$I$7:$K$3007,3)</f>
        <v>0</v>
      </c>
      <c r="AH154" s="137">
        <f t="shared" si="33"/>
        <v>2296.4486999999999</v>
      </c>
      <c r="AI154" s="123">
        <f t="shared" si="39"/>
        <v>1271937.2248291285</v>
      </c>
      <c r="AJ154" s="123">
        <f>(('Model Data Inputs'!$B$90*(('Model Data Inputs'!$B$87*('School Level Inst. Resources'!I154/'School Level Inst. Resources'!L154))+('Model Data Inputs'!$C$87*(SUM('School Level Inst. Resources'!J154:K154)/'School Level Inst. Resources'!L154))))*T154*M154)</f>
        <v>70123.84821657557</v>
      </c>
      <c r="AK154" s="123">
        <f>(('Model Data Inputs'!$B$91*(('Model Data Inputs'!$B$87*('School Level Inst. Resources'!I154/'School Level Inst. Resources'!L154))+('Model Data Inputs'!$C$87*(SUM('School Level Inst. Resources'!J154:K154)/'School Level Inst. Resources'!L154))))*T154*N154)</f>
        <v>0</v>
      </c>
      <c r="AL154" s="137">
        <f>(K154*'Model Data Inputs'!$B$94)*T154</f>
        <v>0</v>
      </c>
      <c r="AM154" s="137">
        <f>K154*'Model Data Inputs'!$B$95</f>
        <v>0</v>
      </c>
      <c r="AN154" s="137">
        <f t="shared" si="40"/>
        <v>0</v>
      </c>
      <c r="AO154" s="137">
        <f>('School Level Inst. Resources'!K154*'Model Data Inputs'!$B$96)+('School Level Inst. Resources'!J154*'Model Data Inputs'!$B$97)</f>
        <v>0</v>
      </c>
      <c r="AP154" s="137">
        <f>$L154*'Model Data Inputs'!$B$100</f>
        <v>3861.2</v>
      </c>
      <c r="AQ154" s="137">
        <f t="shared" si="41"/>
        <v>1345922.273045704</v>
      </c>
      <c r="AR154" s="141">
        <f t="shared" si="34"/>
        <v>13943.04644199424</v>
      </c>
    </row>
    <row r="155" spans="1:44" s="40" customFormat="1" ht="12.75" customHeight="1" x14ac:dyDescent="0.2">
      <c r="A155" s="20" t="s">
        <v>58</v>
      </c>
      <c r="B155" s="20" t="s">
        <v>59</v>
      </c>
      <c r="C155" s="20" t="s">
        <v>677</v>
      </c>
      <c r="D155" s="20" t="s">
        <v>678</v>
      </c>
      <c r="E155" s="138" t="s">
        <v>362</v>
      </c>
      <c r="F155" s="138" t="str">
        <f>IF(AND(SUM('School Level ADM'!$F155:$J155)=0,SUM('School Level ADM'!$O155:$R155)=0,'School Level ADM'!$K155&gt;0,'School Level ADM'!$N155&gt;0),"T","F")</f>
        <v>F</v>
      </c>
      <c r="G155" s="138" t="str">
        <f>IF(AND(SUM('School Level ADM'!$M155:$R155)=0,'School Level ADM'!$L155&gt;0),"T","F")</f>
        <v>T</v>
      </c>
      <c r="H155" s="138" t="str">
        <f t="shared" si="28"/>
        <v>E</v>
      </c>
      <c r="I155" s="139">
        <f>IF($F155="T",SUM('School Level ADM'!$F155:$J155),IF($G155="T",SUM('School Level ADM'!$F155:$L155),SUM('School Level ADM'!$F155:$K155,0)))</f>
        <v>329.97500000000002</v>
      </c>
      <c r="J155" s="139">
        <f>'School Level ADM'!$S155-$I155-$K155</f>
        <v>0</v>
      </c>
      <c r="K155" s="139">
        <f>IF(SUM('School Level ADM'!$N155:$R155)='School Level ADM'!$S155,SUM('School Level ADM'!$N155:$R155),IF(OR(SUM('School Level ADM'!$F155:$O155)='School Level ADM'!$S155,SUM('School Level ADM'!$G155:$O155)='School Level ADM'!$S155,SUM('School Level ADM'!$H155:$O155)='School Level ADM'!$S155,SUM('School Level ADM'!$I155:$O155)='School Level ADM'!$S155,SUM('School Level ADM'!$J155:$O155)='School Level ADM'!$S155,SUM('School Level ADM'!$K155:$O155)='School Level ADM'!$S155,SUM('School Level ADM'!$L155:$O155)='School Level ADM'!$S155,SUM('School Level ADM'!$M155:$O155)='School Level ADM'!$S155,SUM('School Level ADM'!$N155:$O155)='School Level ADM'!$S155),0,SUM('School Level ADM'!$O155:$R155)))</f>
        <v>0</v>
      </c>
      <c r="L155" s="139">
        <f t="shared" si="29"/>
        <v>329.97500000000002</v>
      </c>
      <c r="M155" s="24">
        <f>'Student At-Risk and ELL Proxy'!S155</f>
        <v>246</v>
      </c>
      <c r="N155" s="24">
        <f>'Student At-Risk and ELL Proxy'!AH155</f>
        <v>5</v>
      </c>
      <c r="O155" s="136">
        <f t="shared" si="35"/>
        <v>0.97</v>
      </c>
      <c r="P155" s="136" t="str">
        <f t="shared" si="36"/>
        <v/>
      </c>
      <c r="Q155" s="136" t="str">
        <f t="shared" si="37"/>
        <v/>
      </c>
      <c r="R155" s="136">
        <f t="shared" si="30"/>
        <v>0.97</v>
      </c>
      <c r="S155" s="136">
        <f>IF(SUM(3515.4*((VLOOKUP($A155,'District Level ADM'!$A$4:$F$52,6,FALSE))^-0.327)/'Model Data Inputs'!$B$71)&lt;1,1,(3515.4*((VLOOKUP($A155,'District Level ADM'!$A$4:$F$52,6,FALSE))^-0.327)/'Model Data Inputs'!$B$71))</f>
        <v>1</v>
      </c>
      <c r="T155" s="136">
        <f>VLOOKUP($A155,'Regional Cost Adjustment'!$A$4:$C$52,3,FALSE)</f>
        <v>1</v>
      </c>
      <c r="U155" s="123">
        <f>((($I155/$L155)*'Model Data Inputs'!$B$85)+((SUM(J155:K155)/$L155)*'Model Data Inputs'!$C$85))*$R155*$T155</f>
        <v>6176.5600660325917</v>
      </c>
      <c r="V155" s="140">
        <f>((($I155/$L155)*'Model Data Inputs'!$B$86)+((SUM(J155:K155)/$L155)*'Model Data Inputs'!$C$86))*$R155</f>
        <v>1641.8459994936507</v>
      </c>
      <c r="W155" s="140">
        <f t="shared" si="38"/>
        <v>7818.4060655262419</v>
      </c>
      <c r="X155" s="140">
        <f t="shared" si="31"/>
        <v>2038110.4077891046</v>
      </c>
      <c r="Y155" s="140">
        <f t="shared" si="32"/>
        <v>541768.13368291745</v>
      </c>
      <c r="Z155" s="123">
        <f>IF((SUM(X155:Y155))&lt;(AVERAGE('Elementary Size Adjustment'!$B$66,'Secondary Size Adjustment'!$B$66)),(AVERAGE('Elementary Size Adjustment'!$B$66,'Secondary Size Adjustment'!$B$66)),SUM(X155:Y155))</f>
        <v>2579878.541472022</v>
      </c>
      <c r="AA155" s="137">
        <f>'Model Data Inputs'!$B$71*S155*L155</f>
        <v>62695.250000000007</v>
      </c>
      <c r="AB155" s="137">
        <f>L155*'Model Data Inputs'!$B$72</f>
        <v>8249.375</v>
      </c>
      <c r="AC155" s="137">
        <f>L155*'Model Data Inputs'!$B$73</f>
        <v>82493.75</v>
      </c>
      <c r="AD155" s="137">
        <f>L155*'Model Data Inputs'!$B$74</f>
        <v>41246.875</v>
      </c>
      <c r="AE155" s="137">
        <f>$I155*'Model Data Inputs'!$B$76</f>
        <v>7850.1052500000005</v>
      </c>
      <c r="AF155" s="137">
        <f>VLOOKUP($J155,'Student Activities MS&amp;HS Tables'!$M$7:$O$1267,3)</f>
        <v>0</v>
      </c>
      <c r="AG155" s="137">
        <f>VLOOKUP($K155,'Student Activities MS&amp;HS Tables'!$I$7:$K$3007,3)</f>
        <v>0</v>
      </c>
      <c r="AH155" s="137">
        <f t="shared" si="33"/>
        <v>7850.1052500000005</v>
      </c>
      <c r="AI155" s="123">
        <f t="shared" si="39"/>
        <v>2782413.896722022</v>
      </c>
      <c r="AJ155" s="123">
        <f>(('Model Data Inputs'!$B$90*(('Model Data Inputs'!$B$87*('School Level Inst. Resources'!I155/'School Level Inst. Resources'!L155))+('Model Data Inputs'!$C$87*(SUM('School Level Inst. Resources'!J155:K155)/'School Level Inst. Resources'!L155))))*T155*M155)</f>
        <v>594843.67797508941</v>
      </c>
      <c r="AK155" s="123">
        <f>(('Model Data Inputs'!$B$91*(('Model Data Inputs'!$B$87*('School Level Inst. Resources'!I155/'School Level Inst. Resources'!L155))+('Model Data Inputs'!$C$87*(SUM('School Level Inst. Resources'!J155:K155)/'School Level Inst. Resources'!L155))))*T155*N155)</f>
        <v>12090.318658030272</v>
      </c>
      <c r="AL155" s="137">
        <f>(K155*'Model Data Inputs'!$B$94)*T155</f>
        <v>0</v>
      </c>
      <c r="AM155" s="137">
        <f>K155*'Model Data Inputs'!$B$95</f>
        <v>0</v>
      </c>
      <c r="AN155" s="137">
        <f t="shared" si="40"/>
        <v>0</v>
      </c>
      <c r="AO155" s="137">
        <f>('School Level Inst. Resources'!K155*'Model Data Inputs'!$B$96)+('School Level Inst. Resources'!J155*'Model Data Inputs'!$B$97)</f>
        <v>0</v>
      </c>
      <c r="AP155" s="137">
        <f>$L155*'Model Data Inputs'!$B$100</f>
        <v>13199</v>
      </c>
      <c r="AQ155" s="137">
        <f t="shared" si="41"/>
        <v>3402546.8933551414</v>
      </c>
      <c r="AR155" s="141">
        <f t="shared" si="34"/>
        <v>10311.529338147257</v>
      </c>
    </row>
    <row r="156" spans="1:44" s="40" customFormat="1" ht="12.75" customHeight="1" x14ac:dyDescent="0.2">
      <c r="A156" s="20" t="s">
        <v>58</v>
      </c>
      <c r="B156" s="20" t="s">
        <v>59</v>
      </c>
      <c r="C156" s="20" t="s">
        <v>679</v>
      </c>
      <c r="D156" s="20" t="s">
        <v>680</v>
      </c>
      <c r="E156" s="138" t="s">
        <v>362</v>
      </c>
      <c r="F156" s="138" t="str">
        <f>IF(AND(SUM('School Level ADM'!$F156:$J156)=0,SUM('School Level ADM'!$O156:$R156)=0,'School Level ADM'!$K156&gt;0,'School Level ADM'!$N156&gt;0),"T","F")</f>
        <v>F</v>
      </c>
      <c r="G156" s="138" t="str">
        <f>IF(AND(SUM('School Level ADM'!$M156:$R156)=0,'School Level ADM'!$L156&gt;0),"T","F")</f>
        <v>T</v>
      </c>
      <c r="H156" s="138" t="str">
        <f t="shared" si="28"/>
        <v>E</v>
      </c>
      <c r="I156" s="139">
        <f>IF($F156="T",SUM('School Level ADM'!$F156:$J156),IF($G156="T",SUM('School Level ADM'!$F156:$L156),SUM('School Level ADM'!$F156:$K156,0)))</f>
        <v>141.84</v>
      </c>
      <c r="J156" s="139">
        <f>'School Level ADM'!$S156-$I156-$K156</f>
        <v>0</v>
      </c>
      <c r="K156" s="139">
        <f>IF(SUM('School Level ADM'!$N156:$R156)='School Level ADM'!$S156,SUM('School Level ADM'!$N156:$R156),IF(OR(SUM('School Level ADM'!$F156:$O156)='School Level ADM'!$S156,SUM('School Level ADM'!$G156:$O156)='School Level ADM'!$S156,SUM('School Level ADM'!$H156:$O156)='School Level ADM'!$S156,SUM('School Level ADM'!$I156:$O156)='School Level ADM'!$S156,SUM('School Level ADM'!$J156:$O156)='School Level ADM'!$S156,SUM('School Level ADM'!$K156:$O156)='School Level ADM'!$S156,SUM('School Level ADM'!$L156:$O156)='School Level ADM'!$S156,SUM('School Level ADM'!$M156:$O156)='School Level ADM'!$S156,SUM('School Level ADM'!$N156:$O156)='School Level ADM'!$S156),0,SUM('School Level ADM'!$O156:$R156)))</f>
        <v>0</v>
      </c>
      <c r="L156" s="139">
        <f t="shared" si="29"/>
        <v>141.84</v>
      </c>
      <c r="M156" s="24">
        <f>'Student At-Risk and ELL Proxy'!S156</f>
        <v>131.58094950000006</v>
      </c>
      <c r="N156" s="24">
        <f>'Student At-Risk and ELL Proxy'!AH156</f>
        <v>7</v>
      </c>
      <c r="O156" s="136">
        <f t="shared" si="35"/>
        <v>1.3372728240802108</v>
      </c>
      <c r="P156" s="136" t="str">
        <f t="shared" si="36"/>
        <v/>
      </c>
      <c r="Q156" s="136" t="str">
        <f t="shared" si="37"/>
        <v/>
      </c>
      <c r="R156" s="136">
        <f t="shared" si="30"/>
        <v>1.3372728240802108</v>
      </c>
      <c r="S156" s="136">
        <f>IF(SUM(3515.4*((VLOOKUP($A156,'District Level ADM'!$A$4:$F$52,6,FALSE))^-0.327)/'Model Data Inputs'!$B$71)&lt;1,1,(3515.4*((VLOOKUP($A156,'District Level ADM'!$A$4:$F$52,6,FALSE))^-0.327)/'Model Data Inputs'!$B$71))</f>
        <v>1</v>
      </c>
      <c r="T156" s="136">
        <f>VLOOKUP($A156,'Regional Cost Adjustment'!$A$4:$C$52,3,FALSE)</f>
        <v>1</v>
      </c>
      <c r="U156" s="123">
        <f>((($I156/$L156)*'Model Data Inputs'!$B$85)+((SUM(J156:K156)/$L156)*'Model Data Inputs'!$C$85))*$R156*$T156</f>
        <v>8515.20198206645</v>
      </c>
      <c r="V156" s="140">
        <f>((($I156/$L156)*'Model Data Inputs'!$B$86)+((SUM(J156:K156)/$L156)*'Model Data Inputs'!$C$86))*$R156</f>
        <v>2263.5010685027528</v>
      </c>
      <c r="W156" s="140">
        <f t="shared" si="38"/>
        <v>10778.703050569202</v>
      </c>
      <c r="X156" s="140">
        <f t="shared" si="31"/>
        <v>1207796.2491363052</v>
      </c>
      <c r="Y156" s="140">
        <f t="shared" si="32"/>
        <v>321054.99155643047</v>
      </c>
      <c r="Z156" s="123">
        <f>IF((SUM(X156:Y156))&lt;(AVERAGE('Elementary Size Adjustment'!$B$66,'Secondary Size Adjustment'!$B$66)),(AVERAGE('Elementary Size Adjustment'!$B$66,'Secondary Size Adjustment'!$B$66)),SUM(X156:Y156))</f>
        <v>1528851.2406927356</v>
      </c>
      <c r="AA156" s="137">
        <f>'Model Data Inputs'!$B$71*S156*L156</f>
        <v>26949.600000000002</v>
      </c>
      <c r="AB156" s="137">
        <f>L156*'Model Data Inputs'!$B$72</f>
        <v>3546</v>
      </c>
      <c r="AC156" s="137">
        <f>L156*'Model Data Inputs'!$B$73</f>
        <v>35460</v>
      </c>
      <c r="AD156" s="137">
        <f>L156*'Model Data Inputs'!$B$74</f>
        <v>17730</v>
      </c>
      <c r="AE156" s="137">
        <f>$I156*'Model Data Inputs'!$B$76</f>
        <v>3374.3735999999999</v>
      </c>
      <c r="AF156" s="137">
        <f>VLOOKUP($J156,'Student Activities MS&amp;HS Tables'!$M$7:$O$1267,3)</f>
        <v>0</v>
      </c>
      <c r="AG156" s="137">
        <f>VLOOKUP($K156,'Student Activities MS&amp;HS Tables'!$I$7:$K$3007,3)</f>
        <v>0</v>
      </c>
      <c r="AH156" s="137">
        <f t="shared" si="33"/>
        <v>3374.3735999999999</v>
      </c>
      <c r="AI156" s="123">
        <f t="shared" si="39"/>
        <v>1615911.2142927358</v>
      </c>
      <c r="AJ156" s="123">
        <f>(('Model Data Inputs'!$B$90*(('Model Data Inputs'!$B$87*('School Level Inst. Resources'!I156/'School Level Inst. Resources'!L156))+('Model Data Inputs'!$C$87*(SUM('School Level Inst. Resources'!J156:K156)/'School Level Inst. Resources'!L156))))*T156*M156)</f>
        <v>318171.12175623793</v>
      </c>
      <c r="AK156" s="123">
        <f>(('Model Data Inputs'!$B$91*(('Model Data Inputs'!$B$87*('School Level Inst. Resources'!I156/'School Level Inst. Resources'!L156))+('Model Data Inputs'!$C$87*(SUM('School Level Inst. Resources'!J156:K156)/'School Level Inst. Resources'!L156))))*T156*N156)</f>
        <v>16926.446121242381</v>
      </c>
      <c r="AL156" s="137">
        <f>(K156*'Model Data Inputs'!$B$94)*T156</f>
        <v>0</v>
      </c>
      <c r="AM156" s="137">
        <f>K156*'Model Data Inputs'!$B$95</f>
        <v>0</v>
      </c>
      <c r="AN156" s="137">
        <f t="shared" si="40"/>
        <v>0</v>
      </c>
      <c r="AO156" s="137">
        <f>('School Level Inst. Resources'!K156*'Model Data Inputs'!$B$96)+('School Level Inst. Resources'!J156*'Model Data Inputs'!$B$97)</f>
        <v>0</v>
      </c>
      <c r="AP156" s="137">
        <f>$L156*'Model Data Inputs'!$B$100</f>
        <v>5673.6</v>
      </c>
      <c r="AQ156" s="137">
        <f t="shared" si="41"/>
        <v>1956682.3821702162</v>
      </c>
      <c r="AR156" s="141">
        <f t="shared" si="34"/>
        <v>13794.997054217542</v>
      </c>
    </row>
    <row r="157" spans="1:44" s="40" customFormat="1" ht="12.75" customHeight="1" x14ac:dyDescent="0.2">
      <c r="A157" s="20" t="s">
        <v>58</v>
      </c>
      <c r="B157" s="20" t="s">
        <v>59</v>
      </c>
      <c r="C157" s="20" t="s">
        <v>681</v>
      </c>
      <c r="D157" s="20" t="s">
        <v>682</v>
      </c>
      <c r="E157" s="138" t="s">
        <v>357</v>
      </c>
      <c r="F157" s="138" t="str">
        <f>IF(AND(SUM('School Level ADM'!$F157:$J157)=0,SUM('School Level ADM'!$O157:$R157)=0,'School Level ADM'!$K157&gt;0,'School Level ADM'!$N157&gt;0),"T","F")</f>
        <v>F</v>
      </c>
      <c r="G157" s="138" t="str">
        <f>IF(AND(SUM('School Level ADM'!$M157:$R157)=0,'School Level ADM'!$L157&gt;0),"T","F")</f>
        <v>T</v>
      </c>
      <c r="H157" s="138" t="str">
        <f t="shared" si="28"/>
        <v>E</v>
      </c>
      <c r="I157" s="139">
        <f>IF($F157="T",SUM('School Level ADM'!$F157:$J157),IF($G157="T",SUM('School Level ADM'!$F157:$L157),SUM('School Level ADM'!$F157:$K157,0)))</f>
        <v>279.74</v>
      </c>
      <c r="J157" s="139">
        <f>'School Level ADM'!$S157-$I157-$K157</f>
        <v>0</v>
      </c>
      <c r="K157" s="139">
        <f>IF(SUM('School Level ADM'!$N157:$R157)='School Level ADM'!$S157,SUM('School Level ADM'!$N157:$R157),IF(OR(SUM('School Level ADM'!$F157:$O157)='School Level ADM'!$S157,SUM('School Level ADM'!$G157:$O157)='School Level ADM'!$S157,SUM('School Level ADM'!$H157:$O157)='School Level ADM'!$S157,SUM('School Level ADM'!$I157:$O157)='School Level ADM'!$S157,SUM('School Level ADM'!$J157:$O157)='School Level ADM'!$S157,SUM('School Level ADM'!$K157:$O157)='School Level ADM'!$S157,SUM('School Level ADM'!$L157:$O157)='School Level ADM'!$S157,SUM('School Level ADM'!$M157:$O157)='School Level ADM'!$S157,SUM('School Level ADM'!$N157:$O157)='School Level ADM'!$S157),0,SUM('School Level ADM'!$O157:$R157)))</f>
        <v>0</v>
      </c>
      <c r="L157" s="139">
        <f t="shared" si="29"/>
        <v>279.74</v>
      </c>
      <c r="M157" s="24">
        <f>'Student At-Risk and ELL Proxy'!S157</f>
        <v>137</v>
      </c>
      <c r="N157" s="24">
        <f>'Student At-Risk and ELL Proxy'!AH157</f>
        <v>0</v>
      </c>
      <c r="O157" s="136">
        <f t="shared" si="35"/>
        <v>1.0205342662936414</v>
      </c>
      <c r="P157" s="136" t="str">
        <f t="shared" si="36"/>
        <v/>
      </c>
      <c r="Q157" s="136" t="str">
        <f t="shared" si="37"/>
        <v/>
      </c>
      <c r="R157" s="136">
        <f t="shared" si="30"/>
        <v>1.0205342662936414</v>
      </c>
      <c r="S157" s="136">
        <f>IF(SUM(3515.4*((VLOOKUP($A157,'District Level ADM'!$A$4:$F$52,6,FALSE))^-0.327)/'Model Data Inputs'!$B$71)&lt;1,1,(3515.4*((VLOOKUP($A157,'District Level ADM'!$A$4:$F$52,6,FALSE))^-0.327)/'Model Data Inputs'!$B$71))</f>
        <v>1</v>
      </c>
      <c r="T157" s="136">
        <f>VLOOKUP($A157,'Regional Cost Adjustment'!$A$4:$C$52,3,FALSE)</f>
        <v>1</v>
      </c>
      <c r="U157" s="123">
        <f>((($I157/$L157)*'Model Data Inputs'!$B$85)+((SUM(J157:K157)/$L157)*'Model Data Inputs'!$C$85))*$R157*$T157</f>
        <v>6498.3414383579138</v>
      </c>
      <c r="V157" s="140">
        <f>((($I157/$L157)*'Model Data Inputs'!$B$86)+((SUM(J157:K157)/$L157)*'Model Data Inputs'!$C$86))*$R157</f>
        <v>1727.3815489282506</v>
      </c>
      <c r="W157" s="140">
        <f t="shared" si="38"/>
        <v>8225.7229872861644</v>
      </c>
      <c r="X157" s="140">
        <f t="shared" si="31"/>
        <v>1817846.0339662428</v>
      </c>
      <c r="Y157" s="140">
        <f t="shared" si="32"/>
        <v>483217.71449718886</v>
      </c>
      <c r="Z157" s="123">
        <f>IF((SUM(X157:Y157))&lt;(AVERAGE('Elementary Size Adjustment'!$B$66,'Secondary Size Adjustment'!$B$66)),(AVERAGE('Elementary Size Adjustment'!$B$66,'Secondary Size Adjustment'!$B$66)),SUM(X157:Y157))</f>
        <v>2301063.7484634318</v>
      </c>
      <c r="AA157" s="137">
        <f>'Model Data Inputs'!$B$71*S157*L157</f>
        <v>53150.6</v>
      </c>
      <c r="AB157" s="137">
        <f>L157*'Model Data Inputs'!$B$72</f>
        <v>6993.5</v>
      </c>
      <c r="AC157" s="137">
        <f>L157*'Model Data Inputs'!$B$73</f>
        <v>69935</v>
      </c>
      <c r="AD157" s="137">
        <f>L157*'Model Data Inputs'!$B$74</f>
        <v>34967.5</v>
      </c>
      <c r="AE157" s="137">
        <f>$I157*'Model Data Inputs'!$B$76</f>
        <v>6655.0146000000004</v>
      </c>
      <c r="AF157" s="137">
        <f>VLOOKUP($J157,'Student Activities MS&amp;HS Tables'!$M$7:$O$1267,3)</f>
        <v>0</v>
      </c>
      <c r="AG157" s="137">
        <f>VLOOKUP($K157,'Student Activities MS&amp;HS Tables'!$I$7:$K$3007,3)</f>
        <v>0</v>
      </c>
      <c r="AH157" s="137">
        <f t="shared" si="33"/>
        <v>6655.0146000000004</v>
      </c>
      <c r="AI157" s="123">
        <f t="shared" si="39"/>
        <v>2472765.3630634318</v>
      </c>
      <c r="AJ157" s="123">
        <f>(('Model Data Inputs'!$B$90*(('Model Data Inputs'!$B$87*('School Level Inst. Resources'!I157/'School Level Inst. Resources'!L157))+('Model Data Inputs'!$C$87*(SUM('School Level Inst. Resources'!J157:K157)/'School Level Inst. Resources'!L157))))*T157*M157)</f>
        <v>331274.73123002943</v>
      </c>
      <c r="AK157" s="123">
        <f>(('Model Data Inputs'!$B$91*(('Model Data Inputs'!$B$87*('School Level Inst. Resources'!I157/'School Level Inst. Resources'!L157))+('Model Data Inputs'!$C$87*(SUM('School Level Inst. Resources'!J157:K157)/'School Level Inst. Resources'!L157))))*T157*N157)</f>
        <v>0</v>
      </c>
      <c r="AL157" s="137">
        <f>(K157*'Model Data Inputs'!$B$94)*T157</f>
        <v>0</v>
      </c>
      <c r="AM157" s="137">
        <f>K157*'Model Data Inputs'!$B$95</f>
        <v>0</v>
      </c>
      <c r="AN157" s="137">
        <f t="shared" si="40"/>
        <v>0</v>
      </c>
      <c r="AO157" s="137">
        <f>('School Level Inst. Resources'!K157*'Model Data Inputs'!$B$96)+('School Level Inst. Resources'!J157*'Model Data Inputs'!$B$97)</f>
        <v>0</v>
      </c>
      <c r="AP157" s="137">
        <f>$L157*'Model Data Inputs'!$B$100</f>
        <v>11189.6</v>
      </c>
      <c r="AQ157" s="137">
        <f t="shared" si="41"/>
        <v>2815229.6942934613</v>
      </c>
      <c r="AR157" s="141">
        <f t="shared" si="34"/>
        <v>10063.736663664335</v>
      </c>
    </row>
    <row r="158" spans="1:44" s="40" customFormat="1" ht="12.75" customHeight="1" x14ac:dyDescent="0.2">
      <c r="A158" s="20" t="s">
        <v>58</v>
      </c>
      <c r="B158" s="20" t="s">
        <v>59</v>
      </c>
      <c r="C158" s="20" t="s">
        <v>683</v>
      </c>
      <c r="D158" s="20" t="s">
        <v>684</v>
      </c>
      <c r="E158" s="138" t="s">
        <v>357</v>
      </c>
      <c r="F158" s="138" t="str">
        <f>IF(AND(SUM('School Level ADM'!$F158:$J158)=0,SUM('School Level ADM'!$O158:$R158)=0,'School Level ADM'!$K158&gt;0,'School Level ADM'!$N158&gt;0),"T","F")</f>
        <v>F</v>
      </c>
      <c r="G158" s="138" t="str">
        <f>IF(AND(SUM('School Level ADM'!$M158:$R158)=0,'School Level ADM'!$L158&gt;0),"T","F")</f>
        <v>T</v>
      </c>
      <c r="H158" s="138" t="str">
        <f t="shared" si="28"/>
        <v>E</v>
      </c>
      <c r="I158" s="139">
        <f>IF($F158="T",SUM('School Level ADM'!$F158:$J158),IF($G158="T",SUM('School Level ADM'!$F158:$L158),SUM('School Level ADM'!$F158:$K158,0)))</f>
        <v>370.36</v>
      </c>
      <c r="J158" s="139">
        <f>'School Level ADM'!$S158-$I158-$K158</f>
        <v>0</v>
      </c>
      <c r="K158" s="139">
        <f>IF(SUM('School Level ADM'!$N158:$R158)='School Level ADM'!$S158,SUM('School Level ADM'!$N158:$R158),IF(OR(SUM('School Level ADM'!$F158:$O158)='School Level ADM'!$S158,SUM('School Level ADM'!$G158:$O158)='School Level ADM'!$S158,SUM('School Level ADM'!$H158:$O158)='School Level ADM'!$S158,SUM('School Level ADM'!$I158:$O158)='School Level ADM'!$S158,SUM('School Level ADM'!$J158:$O158)='School Level ADM'!$S158,SUM('School Level ADM'!$K158:$O158)='School Level ADM'!$S158,SUM('School Level ADM'!$L158:$O158)='School Level ADM'!$S158,SUM('School Level ADM'!$M158:$O158)='School Level ADM'!$S158,SUM('School Level ADM'!$N158:$O158)='School Level ADM'!$S158),0,SUM('School Level ADM'!$O158:$R158)))</f>
        <v>0</v>
      </c>
      <c r="L158" s="139">
        <f t="shared" si="29"/>
        <v>370.36</v>
      </c>
      <c r="M158" s="24">
        <f>'Student At-Risk and ELL Proxy'!S158</f>
        <v>119</v>
      </c>
      <c r="N158" s="24">
        <f>'Student At-Risk and ELL Proxy'!AH158</f>
        <v>7</v>
      </c>
      <c r="O158" s="136">
        <f t="shared" si="35"/>
        <v>0.97</v>
      </c>
      <c r="P158" s="136" t="str">
        <f t="shared" si="36"/>
        <v/>
      </c>
      <c r="Q158" s="136" t="str">
        <f t="shared" si="37"/>
        <v/>
      </c>
      <c r="R158" s="136">
        <f t="shared" si="30"/>
        <v>0.97</v>
      </c>
      <c r="S158" s="136">
        <f>IF(SUM(3515.4*((VLOOKUP($A158,'District Level ADM'!$A$4:$F$52,6,FALSE))^-0.327)/'Model Data Inputs'!$B$71)&lt;1,1,(3515.4*((VLOOKUP($A158,'District Level ADM'!$A$4:$F$52,6,FALSE))^-0.327)/'Model Data Inputs'!$B$71))</f>
        <v>1</v>
      </c>
      <c r="T158" s="136">
        <f>VLOOKUP($A158,'Regional Cost Adjustment'!$A$4:$C$52,3,FALSE)</f>
        <v>1</v>
      </c>
      <c r="U158" s="123">
        <f>((($I158/$L158)*'Model Data Inputs'!$B$85)+((SUM(J158:K158)/$L158)*'Model Data Inputs'!$C$85))*$R158*$T158</f>
        <v>6176.5600660325917</v>
      </c>
      <c r="V158" s="140">
        <f>((($I158/$L158)*'Model Data Inputs'!$B$86)+((SUM(J158:K158)/$L158)*'Model Data Inputs'!$C$86))*$R158</f>
        <v>1641.8459994936507</v>
      </c>
      <c r="W158" s="140">
        <f t="shared" si="38"/>
        <v>7818.4060655262419</v>
      </c>
      <c r="X158" s="140">
        <f t="shared" si="31"/>
        <v>2287550.7860558308</v>
      </c>
      <c r="Y158" s="140">
        <f t="shared" si="32"/>
        <v>608074.08437246853</v>
      </c>
      <c r="Z158" s="123">
        <f>IF((SUM(X158:Y158))&lt;(AVERAGE('Elementary Size Adjustment'!$B$66,'Secondary Size Adjustment'!$B$66)),(AVERAGE('Elementary Size Adjustment'!$B$66,'Secondary Size Adjustment'!$B$66)),SUM(X158:Y158))</f>
        <v>2895624.8704282995</v>
      </c>
      <c r="AA158" s="137">
        <f>'Model Data Inputs'!$B$71*S158*L158</f>
        <v>70368.400000000009</v>
      </c>
      <c r="AB158" s="137">
        <f>L158*'Model Data Inputs'!$B$72</f>
        <v>9259</v>
      </c>
      <c r="AC158" s="137">
        <f>L158*'Model Data Inputs'!$B$73</f>
        <v>92590</v>
      </c>
      <c r="AD158" s="137">
        <f>L158*'Model Data Inputs'!$B$74</f>
        <v>46295</v>
      </c>
      <c r="AE158" s="137">
        <f>$I158*'Model Data Inputs'!$B$76</f>
        <v>8810.8644000000004</v>
      </c>
      <c r="AF158" s="137">
        <f>VLOOKUP($J158,'Student Activities MS&amp;HS Tables'!$M$7:$O$1267,3)</f>
        <v>0</v>
      </c>
      <c r="AG158" s="137">
        <f>VLOOKUP($K158,'Student Activities MS&amp;HS Tables'!$I$7:$K$3007,3)</f>
        <v>0</v>
      </c>
      <c r="AH158" s="137">
        <f t="shared" si="33"/>
        <v>8810.8644000000004</v>
      </c>
      <c r="AI158" s="123">
        <f t="shared" si="39"/>
        <v>3122948.1348282993</v>
      </c>
      <c r="AJ158" s="123">
        <f>(('Model Data Inputs'!$B$90*(('Model Data Inputs'!$B$87*('School Level Inst. Resources'!I158/'School Level Inst. Resources'!L158))+('Model Data Inputs'!$C$87*(SUM('School Level Inst. Resources'!J158:K158)/'School Level Inst. Resources'!L158))))*T158*M158)</f>
        <v>287749.58406112046</v>
      </c>
      <c r="AK158" s="123">
        <f>(('Model Data Inputs'!$B$91*(('Model Data Inputs'!$B$87*('School Level Inst. Resources'!I158/'School Level Inst. Resources'!L158))+('Model Data Inputs'!$C$87*(SUM('School Level Inst. Resources'!J158:K158)/'School Level Inst. Resources'!L158))))*T158*N158)</f>
        <v>16926.446121242381</v>
      </c>
      <c r="AL158" s="137">
        <f>(K158*'Model Data Inputs'!$B$94)*T158</f>
        <v>0</v>
      </c>
      <c r="AM158" s="137">
        <f>K158*'Model Data Inputs'!$B$95</f>
        <v>0</v>
      </c>
      <c r="AN158" s="137">
        <f t="shared" si="40"/>
        <v>0</v>
      </c>
      <c r="AO158" s="137">
        <f>('School Level Inst. Resources'!K158*'Model Data Inputs'!$B$96)+('School Level Inst. Resources'!J158*'Model Data Inputs'!$B$97)</f>
        <v>0</v>
      </c>
      <c r="AP158" s="137">
        <f>$L158*'Model Data Inputs'!$B$100</f>
        <v>14814.400000000001</v>
      </c>
      <c r="AQ158" s="137">
        <f t="shared" si="41"/>
        <v>3442438.5650106622</v>
      </c>
      <c r="AR158" s="141">
        <f t="shared" si="34"/>
        <v>9294.8443811714606</v>
      </c>
    </row>
    <row r="159" spans="1:44" s="40" customFormat="1" ht="12.75" customHeight="1" x14ac:dyDescent="0.2">
      <c r="A159" s="20" t="s">
        <v>58</v>
      </c>
      <c r="B159" s="20" t="s">
        <v>59</v>
      </c>
      <c r="C159" s="20" t="s">
        <v>685</v>
      </c>
      <c r="D159" s="20" t="s">
        <v>686</v>
      </c>
      <c r="E159" s="138" t="s">
        <v>357</v>
      </c>
      <c r="F159" s="138" t="str">
        <f>IF(AND(SUM('School Level ADM'!$F159:$J159)=0,SUM('School Level ADM'!$O159:$R159)=0,'School Level ADM'!$K159&gt;0,'School Level ADM'!$N159&gt;0),"T","F")</f>
        <v>F</v>
      </c>
      <c r="G159" s="138" t="str">
        <f>IF(AND(SUM('School Level ADM'!$M159:$R159)=0,'School Level ADM'!$L159&gt;0),"T","F")</f>
        <v>F</v>
      </c>
      <c r="H159" s="138" t="str">
        <f t="shared" si="28"/>
        <v>E</v>
      </c>
      <c r="I159" s="139">
        <f>IF($F159="T",SUM('School Level ADM'!$F159:$J159),IF($G159="T",SUM('School Level ADM'!$F159:$L159),SUM('School Level ADM'!$F159:$K159,0)))</f>
        <v>10.834999999999999</v>
      </c>
      <c r="J159" s="139">
        <f>'School Level ADM'!$S159-$I159-$K159</f>
        <v>0</v>
      </c>
      <c r="K159" s="139">
        <f>IF(SUM('School Level ADM'!$N159:$R159)='School Level ADM'!$S159,SUM('School Level ADM'!$N159:$R159),IF(OR(SUM('School Level ADM'!$F159:$O159)='School Level ADM'!$S159,SUM('School Level ADM'!$G159:$O159)='School Level ADM'!$S159,SUM('School Level ADM'!$H159:$O159)='School Level ADM'!$S159,SUM('School Level ADM'!$I159:$O159)='School Level ADM'!$S159,SUM('School Level ADM'!$J159:$O159)='School Level ADM'!$S159,SUM('School Level ADM'!$K159:$O159)='School Level ADM'!$S159,SUM('School Level ADM'!$L159:$O159)='School Level ADM'!$S159,SUM('School Level ADM'!$M159:$O159)='School Level ADM'!$S159,SUM('School Level ADM'!$N159:$O159)='School Level ADM'!$S159),0,SUM('School Level ADM'!$O159:$R159)))</f>
        <v>0</v>
      </c>
      <c r="L159" s="139">
        <f t="shared" si="29"/>
        <v>10.834999999999999</v>
      </c>
      <c r="M159" s="24">
        <f>'Student At-Risk and ELL Proxy'!S159</f>
        <v>4</v>
      </c>
      <c r="N159" s="24">
        <f>'Student At-Risk and ELL Proxy'!AH159</f>
        <v>0</v>
      </c>
      <c r="O159" s="136">
        <f t="shared" si="35"/>
        <v>3.7219797175527471</v>
      </c>
      <c r="P159" s="136" t="str">
        <f t="shared" si="36"/>
        <v/>
      </c>
      <c r="Q159" s="136" t="str">
        <f t="shared" si="37"/>
        <v/>
      </c>
      <c r="R159" s="136">
        <f t="shared" si="30"/>
        <v>3.7219797175527471</v>
      </c>
      <c r="S159" s="136">
        <f>IF(SUM(3515.4*((VLOOKUP($A159,'District Level ADM'!$A$4:$F$52,6,FALSE))^-0.327)/'Model Data Inputs'!$B$71)&lt;1,1,(3515.4*((VLOOKUP($A159,'District Level ADM'!$A$4:$F$52,6,FALSE))^-0.327)/'Model Data Inputs'!$B$71))</f>
        <v>1</v>
      </c>
      <c r="T159" s="136">
        <f>VLOOKUP($A159,'Regional Cost Adjustment'!$A$4:$C$52,3,FALSE)</f>
        <v>1</v>
      </c>
      <c r="U159" s="123">
        <f>((($I159/$L159)*'Model Data Inputs'!$B$85)+((SUM(J159:K159)/$L159)*'Model Data Inputs'!$C$85))*$R159*$T159</f>
        <v>23700.032257752129</v>
      </c>
      <c r="V159" s="140">
        <f>((($I159/$L159)*'Model Data Inputs'!$B$86)+((SUM(J159:K159)/$L159)*'Model Data Inputs'!$C$86))*$R159</f>
        <v>6299.9149582066857</v>
      </c>
      <c r="W159" s="140">
        <f t="shared" si="38"/>
        <v>29999.947215958815</v>
      </c>
      <c r="X159" s="140">
        <f t="shared" si="31"/>
        <v>256789.84951274429</v>
      </c>
      <c r="Y159" s="140">
        <f t="shared" si="32"/>
        <v>68259.578572169426</v>
      </c>
      <c r="Z159" s="123">
        <f>IF((SUM(X159:Y159))&lt;(AVERAGE('Elementary Size Adjustment'!$B$66,'Secondary Size Adjustment'!$B$66)),(AVERAGE('Elementary Size Adjustment'!$B$66,'Secondary Size Adjustment'!$B$66)),SUM(X159:Y159))</f>
        <v>325049.4280849137</v>
      </c>
      <c r="AA159" s="137">
        <f>'Model Data Inputs'!$B$71*S159*L159</f>
        <v>2058.6499999999996</v>
      </c>
      <c r="AB159" s="137">
        <f>L159*'Model Data Inputs'!$B$72</f>
        <v>270.875</v>
      </c>
      <c r="AC159" s="137">
        <f>L159*'Model Data Inputs'!$B$73</f>
        <v>2708.7499999999995</v>
      </c>
      <c r="AD159" s="137">
        <f>L159*'Model Data Inputs'!$B$74</f>
        <v>1354.3749999999998</v>
      </c>
      <c r="AE159" s="137">
        <f>$I159*'Model Data Inputs'!$B$76</f>
        <v>257.76464999999996</v>
      </c>
      <c r="AF159" s="137">
        <f>VLOOKUP($J159,'Student Activities MS&amp;HS Tables'!$M$7:$O$1267,3)</f>
        <v>0</v>
      </c>
      <c r="AG159" s="137">
        <f>VLOOKUP($K159,'Student Activities MS&amp;HS Tables'!$I$7:$K$3007,3)</f>
        <v>0</v>
      </c>
      <c r="AH159" s="137">
        <f t="shared" si="33"/>
        <v>257.76464999999996</v>
      </c>
      <c r="AI159" s="123">
        <f t="shared" si="39"/>
        <v>331699.84273491375</v>
      </c>
      <c r="AJ159" s="123">
        <f>(('Model Data Inputs'!$B$90*(('Model Data Inputs'!$B$87*('School Level Inst. Resources'!I159/'School Level Inst. Resources'!L159))+('Model Data Inputs'!$C$87*(SUM('School Level Inst. Resources'!J159:K159)/'School Level Inst. Resources'!L159))))*T159*M159)</f>
        <v>9672.254926424217</v>
      </c>
      <c r="AK159" s="123">
        <f>(('Model Data Inputs'!$B$91*(('Model Data Inputs'!$B$87*('School Level Inst. Resources'!I159/'School Level Inst. Resources'!L159))+('Model Data Inputs'!$C$87*(SUM('School Level Inst. Resources'!J159:K159)/'School Level Inst. Resources'!L159))))*T159*N159)</f>
        <v>0</v>
      </c>
      <c r="AL159" s="137">
        <f>(K159*'Model Data Inputs'!$B$94)*T159</f>
        <v>0</v>
      </c>
      <c r="AM159" s="137">
        <f>K159*'Model Data Inputs'!$B$95</f>
        <v>0</v>
      </c>
      <c r="AN159" s="137">
        <f t="shared" si="40"/>
        <v>0</v>
      </c>
      <c r="AO159" s="137">
        <f>('School Level Inst. Resources'!K159*'Model Data Inputs'!$B$96)+('School Level Inst. Resources'!J159*'Model Data Inputs'!$B$97)</f>
        <v>0</v>
      </c>
      <c r="AP159" s="137">
        <f>$L159*'Model Data Inputs'!$B$100</f>
        <v>433.4</v>
      </c>
      <c r="AQ159" s="137">
        <f t="shared" si="41"/>
        <v>341805.49766133801</v>
      </c>
      <c r="AR159" s="141">
        <f t="shared" si="34"/>
        <v>31546.423411291005</v>
      </c>
    </row>
    <row r="160" spans="1:44" s="40" customFormat="1" ht="12.75" customHeight="1" x14ac:dyDescent="0.2">
      <c r="A160" s="20" t="s">
        <v>58</v>
      </c>
      <c r="B160" s="20" t="s">
        <v>59</v>
      </c>
      <c r="C160" s="20" t="s">
        <v>687</v>
      </c>
      <c r="D160" s="20" t="s">
        <v>688</v>
      </c>
      <c r="E160" s="138" t="s">
        <v>357</v>
      </c>
      <c r="F160" s="138" t="str">
        <f>IF(AND(SUM('School Level ADM'!$F160:$J160)=0,SUM('School Level ADM'!$O160:$R160)=0,'School Level ADM'!$K160&gt;0,'School Level ADM'!$N160&gt;0),"T","F")</f>
        <v>F</v>
      </c>
      <c r="G160" s="138" t="str">
        <f>IF(AND(SUM('School Level ADM'!$M160:$R160)=0,'School Level ADM'!$L160&gt;0),"T","F")</f>
        <v>T</v>
      </c>
      <c r="H160" s="138" t="str">
        <f t="shared" si="28"/>
        <v>E</v>
      </c>
      <c r="I160" s="139">
        <f>IF($F160="T",SUM('School Level ADM'!$F160:$J160),IF($G160="T",SUM('School Level ADM'!$F160:$L160),SUM('School Level ADM'!$F160:$K160,0)))</f>
        <v>273.83</v>
      </c>
      <c r="J160" s="139">
        <f>'School Level ADM'!$S160-$I160-$K160</f>
        <v>0</v>
      </c>
      <c r="K160" s="139">
        <f>IF(SUM('School Level ADM'!$N160:$R160)='School Level ADM'!$S160,SUM('School Level ADM'!$N160:$R160),IF(OR(SUM('School Level ADM'!$F160:$O160)='School Level ADM'!$S160,SUM('School Level ADM'!$G160:$O160)='School Level ADM'!$S160,SUM('School Level ADM'!$H160:$O160)='School Level ADM'!$S160,SUM('School Level ADM'!$I160:$O160)='School Level ADM'!$S160,SUM('School Level ADM'!$J160:$O160)='School Level ADM'!$S160,SUM('School Level ADM'!$K160:$O160)='School Level ADM'!$S160,SUM('School Level ADM'!$L160:$O160)='School Level ADM'!$S160,SUM('School Level ADM'!$M160:$O160)='School Level ADM'!$S160,SUM('School Level ADM'!$N160:$O160)='School Level ADM'!$S160),0,SUM('School Level ADM'!$O160:$R160)))</f>
        <v>0</v>
      </c>
      <c r="L160" s="139">
        <f t="shared" si="29"/>
        <v>273.83</v>
      </c>
      <c r="M160" s="24">
        <f>'Student At-Risk and ELL Proxy'!S160</f>
        <v>36</v>
      </c>
      <c r="N160" s="24">
        <f>'Student At-Risk and ELL Proxy'!AH160</f>
        <v>1</v>
      </c>
      <c r="O160" s="136">
        <f t="shared" si="35"/>
        <v>1.0292442799808383</v>
      </c>
      <c r="P160" s="136" t="str">
        <f t="shared" si="36"/>
        <v/>
      </c>
      <c r="Q160" s="136" t="str">
        <f t="shared" si="37"/>
        <v/>
      </c>
      <c r="R160" s="136">
        <f t="shared" si="30"/>
        <v>1.0292442799808383</v>
      </c>
      <c r="S160" s="136">
        <f>IF(SUM(3515.4*((VLOOKUP($A160,'District Level ADM'!$A$4:$F$52,6,FALSE))^-0.327)/'Model Data Inputs'!$B$71)&lt;1,1,(3515.4*((VLOOKUP($A160,'District Level ADM'!$A$4:$F$52,6,FALSE))^-0.327)/'Model Data Inputs'!$B$71))</f>
        <v>1</v>
      </c>
      <c r="T160" s="136">
        <f>VLOOKUP($A160,'Regional Cost Adjustment'!$A$4:$C$52,3,FALSE)</f>
        <v>1</v>
      </c>
      <c r="U160" s="123">
        <f>((($I160/$L160)*'Model Data Inputs'!$B$85)+((SUM(J160:K160)/$L160)*'Model Data Inputs'!$C$85))*$R160*$T160</f>
        <v>6553.8032143526952</v>
      </c>
      <c r="V160" s="140">
        <f>((($I160/$L160)*'Model Data Inputs'!$B$86)+((SUM(J160:K160)/$L160)*'Model Data Inputs'!$C$86))*$R160</f>
        <v>1742.1243335961467</v>
      </c>
      <c r="W160" s="140">
        <f t="shared" si="38"/>
        <v>8295.9275479488424</v>
      </c>
      <c r="X160" s="140">
        <f t="shared" si="31"/>
        <v>1794627.9341861985</v>
      </c>
      <c r="Y160" s="140">
        <f t="shared" si="32"/>
        <v>477045.9062686328</v>
      </c>
      <c r="Z160" s="123">
        <f>IF((SUM(X160:Y160))&lt;(AVERAGE('Elementary Size Adjustment'!$B$66,'Secondary Size Adjustment'!$B$66)),(AVERAGE('Elementary Size Adjustment'!$B$66,'Secondary Size Adjustment'!$B$66)),SUM(X160:Y160))</f>
        <v>2271673.8404548313</v>
      </c>
      <c r="AA160" s="137">
        <f>'Model Data Inputs'!$B$71*S160*L160</f>
        <v>52027.7</v>
      </c>
      <c r="AB160" s="137">
        <f>L160*'Model Data Inputs'!$B$72</f>
        <v>6845.75</v>
      </c>
      <c r="AC160" s="137">
        <f>L160*'Model Data Inputs'!$B$73</f>
        <v>68457.5</v>
      </c>
      <c r="AD160" s="137">
        <f>L160*'Model Data Inputs'!$B$74</f>
        <v>34228.75</v>
      </c>
      <c r="AE160" s="137">
        <f>$I160*'Model Data Inputs'!$B$76</f>
        <v>6514.4156999999996</v>
      </c>
      <c r="AF160" s="137">
        <f>VLOOKUP($J160,'Student Activities MS&amp;HS Tables'!$M$7:$O$1267,3)</f>
        <v>0</v>
      </c>
      <c r="AG160" s="137">
        <f>VLOOKUP($K160,'Student Activities MS&amp;HS Tables'!$I$7:$K$3007,3)</f>
        <v>0</v>
      </c>
      <c r="AH160" s="137">
        <f t="shared" si="33"/>
        <v>6514.4156999999996</v>
      </c>
      <c r="AI160" s="123">
        <f t="shared" si="39"/>
        <v>2439747.9561548312</v>
      </c>
      <c r="AJ160" s="123">
        <f>(('Model Data Inputs'!$B$90*(('Model Data Inputs'!$B$87*('School Level Inst. Resources'!I160/'School Level Inst. Resources'!L160))+('Model Data Inputs'!$C$87*(SUM('School Level Inst. Resources'!J160:K160)/'School Level Inst. Resources'!L160))))*T160*M160)</f>
        <v>87050.294337817948</v>
      </c>
      <c r="AK160" s="123">
        <f>(('Model Data Inputs'!$B$91*(('Model Data Inputs'!$B$87*('School Level Inst. Resources'!I160/'School Level Inst. Resources'!L160))+('Model Data Inputs'!$C$87*(SUM('School Level Inst. Resources'!J160:K160)/'School Level Inst. Resources'!L160))))*T160*N160)</f>
        <v>2418.0637316060543</v>
      </c>
      <c r="AL160" s="137">
        <f>(K160*'Model Data Inputs'!$B$94)*T160</f>
        <v>0</v>
      </c>
      <c r="AM160" s="137">
        <f>K160*'Model Data Inputs'!$B$95</f>
        <v>0</v>
      </c>
      <c r="AN160" s="137">
        <f t="shared" si="40"/>
        <v>0</v>
      </c>
      <c r="AO160" s="137">
        <f>('School Level Inst. Resources'!K160*'Model Data Inputs'!$B$96)+('School Level Inst. Resources'!J160*'Model Data Inputs'!$B$97)</f>
        <v>0</v>
      </c>
      <c r="AP160" s="137">
        <f>$L160*'Model Data Inputs'!$B$100</f>
        <v>10953.199999999999</v>
      </c>
      <c r="AQ160" s="137">
        <f t="shared" si="41"/>
        <v>2540169.5142242555</v>
      </c>
      <c r="AR160" s="141">
        <f t="shared" si="34"/>
        <v>9276.4471176432671</v>
      </c>
    </row>
    <row r="161" spans="1:44" s="40" customFormat="1" ht="12.75" customHeight="1" x14ac:dyDescent="0.2">
      <c r="A161" s="20" t="s">
        <v>58</v>
      </c>
      <c r="B161" s="20" t="s">
        <v>59</v>
      </c>
      <c r="C161" s="20" t="s">
        <v>689</v>
      </c>
      <c r="D161" s="20" t="s">
        <v>690</v>
      </c>
      <c r="E161" s="138" t="s">
        <v>625</v>
      </c>
      <c r="F161" s="138" t="str">
        <f>IF(AND(SUM('School Level ADM'!$F161:$J161)=0,SUM('School Level ADM'!$O161:$R161)=0,'School Level ADM'!$K161&gt;0,'School Level ADM'!$N161&gt;0),"T","F")</f>
        <v>F</v>
      </c>
      <c r="G161" s="138" t="str">
        <f>IF(AND(SUM('School Level ADM'!$M161:$R161)=0,'School Level ADM'!$L161&gt;0),"T","F")</f>
        <v>F</v>
      </c>
      <c r="H161" s="138" t="str">
        <f t="shared" si="28"/>
        <v>E</v>
      </c>
      <c r="I161" s="139">
        <f>IF($F161="T",SUM('School Level ADM'!$F161:$J161),IF($G161="T",SUM('School Level ADM'!$F161:$L161),SUM('School Level ADM'!$F161:$K161,0)))</f>
        <v>96.53</v>
      </c>
      <c r="J161" s="139">
        <f>'School Level ADM'!$S161-$I161-$K161</f>
        <v>0</v>
      </c>
      <c r="K161" s="139">
        <f>IF(SUM('School Level ADM'!$N161:$R161)='School Level ADM'!$S161,SUM('School Level ADM'!$N161:$R161),IF(OR(SUM('School Level ADM'!$F161:$O161)='School Level ADM'!$S161,SUM('School Level ADM'!$G161:$O161)='School Level ADM'!$S161,SUM('School Level ADM'!$H161:$O161)='School Level ADM'!$S161,SUM('School Level ADM'!$I161:$O161)='School Level ADM'!$S161,SUM('School Level ADM'!$J161:$O161)='School Level ADM'!$S161,SUM('School Level ADM'!$K161:$O161)='School Level ADM'!$S161,SUM('School Level ADM'!$L161:$O161)='School Level ADM'!$S161,SUM('School Level ADM'!$M161:$O161)='School Level ADM'!$S161,SUM('School Level ADM'!$N161:$O161)='School Level ADM'!$S161),0,SUM('School Level ADM'!$O161:$R161)))</f>
        <v>0</v>
      </c>
      <c r="L161" s="139">
        <f t="shared" si="29"/>
        <v>96.53</v>
      </c>
      <c r="M161" s="24">
        <f>'Student At-Risk and ELL Proxy'!S161</f>
        <v>58</v>
      </c>
      <c r="N161" s="24">
        <f>'Student At-Risk and ELL Proxy'!AH161</f>
        <v>1</v>
      </c>
      <c r="O161" s="136">
        <f t="shared" si="35"/>
        <v>1.5586202440071613</v>
      </c>
      <c r="P161" s="136" t="str">
        <f t="shared" si="36"/>
        <v/>
      </c>
      <c r="Q161" s="136" t="str">
        <f t="shared" si="37"/>
        <v/>
      </c>
      <c r="R161" s="136">
        <f t="shared" si="30"/>
        <v>1.5586202440071613</v>
      </c>
      <c r="S161" s="136">
        <f>IF(SUM(3515.4*((VLOOKUP($A161,'District Level ADM'!$A$4:$F$52,6,FALSE))^-0.327)/'Model Data Inputs'!$B$71)&lt;1,1,(3515.4*((VLOOKUP($A161,'District Level ADM'!$A$4:$F$52,6,FALSE))^-0.327)/'Model Data Inputs'!$B$71))</f>
        <v>1</v>
      </c>
      <c r="T161" s="136">
        <f>VLOOKUP($A161,'Regional Cost Adjustment'!$A$4:$C$52,3,FALSE)</f>
        <v>1</v>
      </c>
      <c r="U161" s="123">
        <f>((($I161/$L161)*'Model Data Inputs'!$B$85)+((SUM(J161:K161)/$L161)*'Model Data Inputs'!$C$85))*$R161*$T161</f>
        <v>9924.651089942894</v>
      </c>
      <c r="V161" s="140">
        <f>((($I161/$L161)*'Model Data Inputs'!$B$86)+((SUM(J161:K161)/$L161)*'Model Data Inputs'!$C$86))*$R161</f>
        <v>2638.1591879927578</v>
      </c>
      <c r="W161" s="140">
        <f t="shared" si="38"/>
        <v>12562.810277935652</v>
      </c>
      <c r="X161" s="140">
        <f t="shared" si="31"/>
        <v>958026.56971218763</v>
      </c>
      <c r="Y161" s="140">
        <f t="shared" si="32"/>
        <v>254661.50641694092</v>
      </c>
      <c r="Z161" s="123">
        <f>IF((SUM(X161:Y161))&lt;(AVERAGE('Elementary Size Adjustment'!$B$66,'Secondary Size Adjustment'!$B$66)),(AVERAGE('Elementary Size Adjustment'!$B$66,'Secondary Size Adjustment'!$B$66)),SUM(X161:Y161))</f>
        <v>1212688.0761291285</v>
      </c>
      <c r="AA161" s="137">
        <f>'Model Data Inputs'!$B$71*S161*L161</f>
        <v>18340.7</v>
      </c>
      <c r="AB161" s="137">
        <f>L161*'Model Data Inputs'!$B$72</f>
        <v>2413.25</v>
      </c>
      <c r="AC161" s="137">
        <f>L161*'Model Data Inputs'!$B$73</f>
        <v>24132.5</v>
      </c>
      <c r="AD161" s="137">
        <f>L161*'Model Data Inputs'!$B$74</f>
        <v>12066.25</v>
      </c>
      <c r="AE161" s="137">
        <f>$I161*'Model Data Inputs'!$B$76</f>
        <v>2296.4486999999999</v>
      </c>
      <c r="AF161" s="137">
        <f>VLOOKUP($J161,'Student Activities MS&amp;HS Tables'!$M$7:$O$1267,3)</f>
        <v>0</v>
      </c>
      <c r="AG161" s="137">
        <f>VLOOKUP($K161,'Student Activities MS&amp;HS Tables'!$I$7:$K$3007,3)</f>
        <v>0</v>
      </c>
      <c r="AH161" s="137">
        <f t="shared" si="33"/>
        <v>2296.4486999999999</v>
      </c>
      <c r="AI161" s="123">
        <f t="shared" si="39"/>
        <v>1271937.2248291285</v>
      </c>
      <c r="AJ161" s="123">
        <f>(('Model Data Inputs'!$B$90*(('Model Data Inputs'!$B$87*('School Level Inst. Resources'!I161/'School Level Inst. Resources'!L161))+('Model Data Inputs'!$C$87*(SUM('School Level Inst. Resources'!J161:K161)/'School Level Inst. Resources'!L161))))*T161*M161)</f>
        <v>140247.69643315114</v>
      </c>
      <c r="AK161" s="123">
        <f>(('Model Data Inputs'!$B$91*(('Model Data Inputs'!$B$87*('School Level Inst. Resources'!I161/'School Level Inst. Resources'!L161))+('Model Data Inputs'!$C$87*(SUM('School Level Inst. Resources'!J161:K161)/'School Level Inst. Resources'!L161))))*T161*N161)</f>
        <v>2418.0637316060543</v>
      </c>
      <c r="AL161" s="137">
        <f>(K161*'Model Data Inputs'!$B$94)*T161</f>
        <v>0</v>
      </c>
      <c r="AM161" s="137">
        <f>K161*'Model Data Inputs'!$B$95</f>
        <v>0</v>
      </c>
      <c r="AN161" s="137">
        <f t="shared" si="40"/>
        <v>0</v>
      </c>
      <c r="AO161" s="137">
        <f>('School Level Inst. Resources'!K161*'Model Data Inputs'!$B$96)+('School Level Inst. Resources'!J161*'Model Data Inputs'!$B$97)</f>
        <v>0</v>
      </c>
      <c r="AP161" s="137">
        <f>$L161*'Model Data Inputs'!$B$100</f>
        <v>3861.2</v>
      </c>
      <c r="AQ161" s="137">
        <f t="shared" si="41"/>
        <v>1418464.1849938857</v>
      </c>
      <c r="AR161" s="141">
        <f t="shared" si="34"/>
        <v>14694.542473778987</v>
      </c>
    </row>
    <row r="162" spans="1:44" s="40" customFormat="1" ht="12.75" customHeight="1" x14ac:dyDescent="0.2">
      <c r="A162" s="20" t="s">
        <v>58</v>
      </c>
      <c r="B162" s="20" t="s">
        <v>59</v>
      </c>
      <c r="C162" s="20" t="s">
        <v>691</v>
      </c>
      <c r="D162" s="20" t="s">
        <v>692</v>
      </c>
      <c r="E162" s="138" t="s">
        <v>693</v>
      </c>
      <c r="F162" s="138" t="str">
        <f>IF(AND(SUM('School Level ADM'!$F162:$J162)=0,SUM('School Level ADM'!$O162:$R162)=0,'School Level ADM'!$K162&gt;0,'School Level ADM'!$N162&gt;0),"T","F")</f>
        <v>F</v>
      </c>
      <c r="G162" s="138" t="str">
        <f>IF(AND(SUM('School Level ADM'!$M162:$R162)=0,'School Level ADM'!$L162&gt;0),"T","F")</f>
        <v>T</v>
      </c>
      <c r="H162" s="138" t="str">
        <f t="shared" si="28"/>
        <v>E</v>
      </c>
      <c r="I162" s="139">
        <f>IF($F162="T",SUM('School Level ADM'!$F162:$J162),IF($G162="T",SUM('School Level ADM'!$F162:$L162),SUM('School Level ADM'!$F162:$K162,0)))</f>
        <v>85.694999999999993</v>
      </c>
      <c r="J162" s="139">
        <f>'School Level ADM'!$S162-$I162-$K162</f>
        <v>0</v>
      </c>
      <c r="K162" s="139">
        <f>IF(SUM('School Level ADM'!$N162:$R162)='School Level ADM'!$S162,SUM('School Level ADM'!$N162:$R162),IF(OR(SUM('School Level ADM'!$F162:$O162)='School Level ADM'!$S162,SUM('School Level ADM'!$G162:$O162)='School Level ADM'!$S162,SUM('School Level ADM'!$H162:$O162)='School Level ADM'!$S162,SUM('School Level ADM'!$I162:$O162)='School Level ADM'!$S162,SUM('School Level ADM'!$J162:$O162)='School Level ADM'!$S162,SUM('School Level ADM'!$K162:$O162)='School Level ADM'!$S162,SUM('School Level ADM'!$L162:$O162)='School Level ADM'!$S162,SUM('School Level ADM'!$M162:$O162)='School Level ADM'!$S162,SUM('School Level ADM'!$N162:$O162)='School Level ADM'!$S162),0,SUM('School Level ADM'!$O162:$R162)))</f>
        <v>0</v>
      </c>
      <c r="L162" s="139">
        <f t="shared" si="29"/>
        <v>85.694999999999993</v>
      </c>
      <c r="M162" s="24">
        <f>'Student At-Risk and ELL Proxy'!S162</f>
        <v>25</v>
      </c>
      <c r="N162" s="24">
        <f>'Student At-Risk and ELL Proxy'!AH162</f>
        <v>1</v>
      </c>
      <c r="O162" s="136">
        <f t="shared" si="35"/>
        <v>1.6342542698150029</v>
      </c>
      <c r="P162" s="136" t="str">
        <f t="shared" si="36"/>
        <v/>
      </c>
      <c r="Q162" s="136" t="str">
        <f t="shared" si="37"/>
        <v/>
      </c>
      <c r="R162" s="136">
        <f t="shared" si="30"/>
        <v>1.6342542698150029</v>
      </c>
      <c r="S162" s="136">
        <f>IF(SUM(3515.4*((VLOOKUP($A162,'District Level ADM'!$A$4:$F$52,6,FALSE))^-0.327)/'Model Data Inputs'!$B$71)&lt;1,1,(3515.4*((VLOOKUP($A162,'District Level ADM'!$A$4:$F$52,6,FALSE))^-0.327)/'Model Data Inputs'!$B$71))</f>
        <v>1</v>
      </c>
      <c r="T162" s="136">
        <f>VLOOKUP($A162,'Regional Cost Adjustment'!$A$4:$C$52,3,FALSE)</f>
        <v>1</v>
      </c>
      <c r="U162" s="123">
        <f>((($I162/$L162)*'Model Data Inputs'!$B$85)+((SUM(J162:K162)/$L162)*'Model Data Inputs'!$C$85))*$R162*$T162</f>
        <v>10406.257382147011</v>
      </c>
      <c r="V162" s="140">
        <f>((($I162/$L162)*'Model Data Inputs'!$B$86)+((SUM(J162:K162)/$L162)*'Model Data Inputs'!$C$86))*$R162</f>
        <v>2766.1792113929687</v>
      </c>
      <c r="W162" s="140">
        <f t="shared" si="38"/>
        <v>13172.43659353998</v>
      </c>
      <c r="X162" s="140">
        <f t="shared" si="31"/>
        <v>891764.226363088</v>
      </c>
      <c r="Y162" s="140">
        <f t="shared" si="32"/>
        <v>237047.72752032042</v>
      </c>
      <c r="Z162" s="123">
        <f>IF((SUM(X162:Y162))&lt;(AVERAGE('Elementary Size Adjustment'!$B$66,'Secondary Size Adjustment'!$B$66)),(AVERAGE('Elementary Size Adjustment'!$B$66,'Secondary Size Adjustment'!$B$66)),SUM(X162:Y162))</f>
        <v>1128811.9538834083</v>
      </c>
      <c r="AA162" s="137">
        <f>'Model Data Inputs'!$B$71*S162*L162</f>
        <v>16282.05</v>
      </c>
      <c r="AB162" s="137">
        <f>L162*'Model Data Inputs'!$B$72</f>
        <v>2142.375</v>
      </c>
      <c r="AC162" s="137">
        <f>L162*'Model Data Inputs'!$B$73</f>
        <v>21423.75</v>
      </c>
      <c r="AD162" s="137">
        <f>L162*'Model Data Inputs'!$B$74</f>
        <v>10711.875</v>
      </c>
      <c r="AE162" s="137">
        <f>$I162*'Model Data Inputs'!$B$76</f>
        <v>2038.6840499999998</v>
      </c>
      <c r="AF162" s="137">
        <f>VLOOKUP($J162,'Student Activities MS&amp;HS Tables'!$M$7:$O$1267,3)</f>
        <v>0</v>
      </c>
      <c r="AG162" s="137">
        <f>VLOOKUP($K162,'Student Activities MS&amp;HS Tables'!$I$7:$K$3007,3)</f>
        <v>0</v>
      </c>
      <c r="AH162" s="137">
        <f t="shared" si="33"/>
        <v>2038.6840499999998</v>
      </c>
      <c r="AI162" s="123">
        <f t="shared" si="39"/>
        <v>1181410.6879334084</v>
      </c>
      <c r="AJ162" s="123">
        <f>(('Model Data Inputs'!$B$90*(('Model Data Inputs'!$B$87*('School Level Inst. Resources'!I162/'School Level Inst. Resources'!L162))+('Model Data Inputs'!$C$87*(SUM('School Level Inst. Resources'!J162:K162)/'School Level Inst. Resources'!L162))))*T162*M162)</f>
        <v>60451.593290151359</v>
      </c>
      <c r="AK162" s="123">
        <f>(('Model Data Inputs'!$B$91*(('Model Data Inputs'!$B$87*('School Level Inst. Resources'!I162/'School Level Inst. Resources'!L162))+('Model Data Inputs'!$C$87*(SUM('School Level Inst. Resources'!J162:K162)/'School Level Inst. Resources'!L162))))*T162*N162)</f>
        <v>2418.0637316060543</v>
      </c>
      <c r="AL162" s="137">
        <f>(K162*'Model Data Inputs'!$B$94)*T162</f>
        <v>0</v>
      </c>
      <c r="AM162" s="137">
        <f>K162*'Model Data Inputs'!$B$95</f>
        <v>0</v>
      </c>
      <c r="AN162" s="137">
        <f t="shared" si="40"/>
        <v>0</v>
      </c>
      <c r="AO162" s="137">
        <f>('School Level Inst. Resources'!K162*'Model Data Inputs'!$B$96)+('School Level Inst. Resources'!J162*'Model Data Inputs'!$B$97)</f>
        <v>0</v>
      </c>
      <c r="AP162" s="137">
        <f>$L162*'Model Data Inputs'!$B$100</f>
        <v>3427.7999999999997</v>
      </c>
      <c r="AQ162" s="137">
        <f t="shared" si="41"/>
        <v>1247708.1449551659</v>
      </c>
      <c r="AR162" s="141">
        <f t="shared" si="34"/>
        <v>14559.870995450914</v>
      </c>
    </row>
    <row r="163" spans="1:44" s="40" customFormat="1" ht="12.75" customHeight="1" x14ac:dyDescent="0.2">
      <c r="A163" s="20" t="s">
        <v>58</v>
      </c>
      <c r="B163" s="20" t="s">
        <v>59</v>
      </c>
      <c r="C163" s="20" t="s">
        <v>694</v>
      </c>
      <c r="D163" s="20" t="s">
        <v>695</v>
      </c>
      <c r="E163" s="138" t="s">
        <v>357</v>
      </c>
      <c r="F163" s="138" t="str">
        <f>IF(AND(SUM('School Level ADM'!$F163:$J163)=0,SUM('School Level ADM'!$O163:$R163)=0,'School Level ADM'!$K163&gt;0,'School Level ADM'!$N163&gt;0),"T","F")</f>
        <v>F</v>
      </c>
      <c r="G163" s="138" t="str">
        <f>IF(AND(SUM('School Level ADM'!$M163:$R163)=0,'School Level ADM'!$L163&gt;0),"T","F")</f>
        <v>T</v>
      </c>
      <c r="H163" s="138" t="str">
        <f t="shared" si="28"/>
        <v>E</v>
      </c>
      <c r="I163" s="139">
        <f>IF($F163="T",SUM('School Level ADM'!$F163:$J163),IF($G163="T",SUM('School Level ADM'!$F163:$L163),SUM('School Level ADM'!$F163:$K163,0)))</f>
        <v>339.82500000000005</v>
      </c>
      <c r="J163" s="139">
        <f>'School Level ADM'!$S163-$I163-$K163</f>
        <v>0</v>
      </c>
      <c r="K163" s="139">
        <f>IF(SUM('School Level ADM'!$N163:$R163)='School Level ADM'!$S163,SUM('School Level ADM'!$N163:$R163),IF(OR(SUM('School Level ADM'!$F163:$O163)='School Level ADM'!$S163,SUM('School Level ADM'!$G163:$O163)='School Level ADM'!$S163,SUM('School Level ADM'!$H163:$O163)='School Level ADM'!$S163,SUM('School Level ADM'!$I163:$O163)='School Level ADM'!$S163,SUM('School Level ADM'!$J163:$O163)='School Level ADM'!$S163,SUM('School Level ADM'!$K163:$O163)='School Level ADM'!$S163,SUM('School Level ADM'!$L163:$O163)='School Level ADM'!$S163,SUM('School Level ADM'!$M163:$O163)='School Level ADM'!$S163,SUM('School Level ADM'!$N163:$O163)='School Level ADM'!$S163),0,SUM('School Level ADM'!$O163:$R163)))</f>
        <v>0</v>
      </c>
      <c r="L163" s="139">
        <f t="shared" si="29"/>
        <v>339.82500000000005</v>
      </c>
      <c r="M163" s="24">
        <f>'Student At-Risk and ELL Proxy'!S163</f>
        <v>127</v>
      </c>
      <c r="N163" s="24">
        <f>'Student At-Risk and ELL Proxy'!AH163</f>
        <v>1</v>
      </c>
      <c r="O163" s="136">
        <f t="shared" si="35"/>
        <v>0.97</v>
      </c>
      <c r="P163" s="136" t="str">
        <f t="shared" si="36"/>
        <v/>
      </c>
      <c r="Q163" s="136" t="str">
        <f t="shared" si="37"/>
        <v/>
      </c>
      <c r="R163" s="136">
        <f t="shared" si="30"/>
        <v>0.97</v>
      </c>
      <c r="S163" s="136">
        <f>IF(SUM(3515.4*((VLOOKUP($A163,'District Level ADM'!$A$4:$F$52,6,FALSE))^-0.327)/'Model Data Inputs'!$B$71)&lt;1,1,(3515.4*((VLOOKUP($A163,'District Level ADM'!$A$4:$F$52,6,FALSE))^-0.327)/'Model Data Inputs'!$B$71))</f>
        <v>1</v>
      </c>
      <c r="T163" s="136">
        <f>VLOOKUP($A163,'Regional Cost Adjustment'!$A$4:$C$52,3,FALSE)</f>
        <v>1</v>
      </c>
      <c r="U163" s="123">
        <f>((($I163/$L163)*'Model Data Inputs'!$B$85)+((SUM(J163:K163)/$L163)*'Model Data Inputs'!$C$85))*$R163*$T163</f>
        <v>6176.5600660325917</v>
      </c>
      <c r="V163" s="140">
        <f>((($I163/$L163)*'Model Data Inputs'!$B$86)+((SUM(J163:K163)/$L163)*'Model Data Inputs'!$C$86))*$R163</f>
        <v>1641.8459994936507</v>
      </c>
      <c r="W163" s="140">
        <f t="shared" si="38"/>
        <v>7818.4060655262419</v>
      </c>
      <c r="X163" s="140">
        <f t="shared" si="31"/>
        <v>2098949.5244395258</v>
      </c>
      <c r="Y163" s="140">
        <f t="shared" si="32"/>
        <v>557940.3167779299</v>
      </c>
      <c r="Z163" s="123">
        <f>IF((SUM(X163:Y163))&lt;(AVERAGE('Elementary Size Adjustment'!$B$66,'Secondary Size Adjustment'!$B$66)),(AVERAGE('Elementary Size Adjustment'!$B$66,'Secondary Size Adjustment'!$B$66)),SUM(X163:Y163))</f>
        <v>2656889.8412174555</v>
      </c>
      <c r="AA163" s="137">
        <f>'Model Data Inputs'!$B$71*S163*L163</f>
        <v>64566.750000000007</v>
      </c>
      <c r="AB163" s="137">
        <f>L163*'Model Data Inputs'!$B$72</f>
        <v>8495.6250000000018</v>
      </c>
      <c r="AC163" s="137">
        <f>L163*'Model Data Inputs'!$B$73</f>
        <v>84956.250000000015</v>
      </c>
      <c r="AD163" s="137">
        <f>L163*'Model Data Inputs'!$B$74</f>
        <v>42478.125000000007</v>
      </c>
      <c r="AE163" s="137">
        <f>$I163*'Model Data Inputs'!$B$76</f>
        <v>8084.4367500000008</v>
      </c>
      <c r="AF163" s="137">
        <f>VLOOKUP($J163,'Student Activities MS&amp;HS Tables'!$M$7:$O$1267,3)</f>
        <v>0</v>
      </c>
      <c r="AG163" s="137">
        <f>VLOOKUP($K163,'Student Activities MS&amp;HS Tables'!$I$7:$K$3007,3)</f>
        <v>0</v>
      </c>
      <c r="AH163" s="137">
        <f t="shared" si="33"/>
        <v>8084.4367500000008</v>
      </c>
      <c r="AI163" s="123">
        <f t="shared" si="39"/>
        <v>2865471.0279674553</v>
      </c>
      <c r="AJ163" s="123">
        <f>(('Model Data Inputs'!$B$90*(('Model Data Inputs'!$B$87*('School Level Inst. Resources'!I163/'School Level Inst. Resources'!L163))+('Model Data Inputs'!$C$87*(SUM('School Level Inst. Resources'!J163:K163)/'School Level Inst. Resources'!L163))))*T163*M163)</f>
        <v>307094.09391396889</v>
      </c>
      <c r="AK163" s="123">
        <f>(('Model Data Inputs'!$B$91*(('Model Data Inputs'!$B$87*('School Level Inst. Resources'!I163/'School Level Inst. Resources'!L163))+('Model Data Inputs'!$C$87*(SUM('School Level Inst. Resources'!J163:K163)/'School Level Inst. Resources'!L163))))*T163*N163)</f>
        <v>2418.0637316060543</v>
      </c>
      <c r="AL163" s="137">
        <f>(K163*'Model Data Inputs'!$B$94)*T163</f>
        <v>0</v>
      </c>
      <c r="AM163" s="137">
        <f>K163*'Model Data Inputs'!$B$95</f>
        <v>0</v>
      </c>
      <c r="AN163" s="137">
        <f t="shared" si="40"/>
        <v>0</v>
      </c>
      <c r="AO163" s="137">
        <f>('School Level Inst. Resources'!K163*'Model Data Inputs'!$B$96)+('School Level Inst. Resources'!J163*'Model Data Inputs'!$B$97)</f>
        <v>0</v>
      </c>
      <c r="AP163" s="137">
        <f>$L163*'Model Data Inputs'!$B$100</f>
        <v>13593.000000000002</v>
      </c>
      <c r="AQ163" s="137">
        <f t="shared" si="41"/>
        <v>3188576.1856130306</v>
      </c>
      <c r="AR163" s="141">
        <f t="shared" si="34"/>
        <v>9382.9947343869062</v>
      </c>
    </row>
    <row r="164" spans="1:44" s="40" customFormat="1" ht="12.75" customHeight="1" x14ac:dyDescent="0.2">
      <c r="A164" s="20" t="s">
        <v>58</v>
      </c>
      <c r="B164" s="20" t="s">
        <v>59</v>
      </c>
      <c r="C164" s="20" t="s">
        <v>696</v>
      </c>
      <c r="D164" s="20" t="s">
        <v>697</v>
      </c>
      <c r="E164" s="138" t="s">
        <v>357</v>
      </c>
      <c r="F164" s="138" t="str">
        <f>IF(AND(SUM('School Level ADM'!$F164:$J164)=0,SUM('School Level ADM'!$O164:$R164)=0,'School Level ADM'!$K164&gt;0,'School Level ADM'!$N164&gt;0),"T","F")</f>
        <v>F</v>
      </c>
      <c r="G164" s="138" t="str">
        <f>IF(AND(SUM('School Level ADM'!$M164:$R164)=0,'School Level ADM'!$L164&gt;0),"T","F")</f>
        <v>T</v>
      </c>
      <c r="H164" s="138" t="str">
        <f t="shared" si="28"/>
        <v>E</v>
      </c>
      <c r="I164" s="139">
        <f>IF($F164="T",SUM('School Level ADM'!$F164:$J164),IF($G164="T",SUM('School Level ADM'!$F164:$L164),SUM('School Level ADM'!$F164:$K164,0)))</f>
        <v>356.56999999999994</v>
      </c>
      <c r="J164" s="139">
        <f>'School Level ADM'!$S164-$I164-$K164</f>
        <v>0</v>
      </c>
      <c r="K164" s="139">
        <f>IF(SUM('School Level ADM'!$N164:$R164)='School Level ADM'!$S164,SUM('School Level ADM'!$N164:$R164),IF(OR(SUM('School Level ADM'!$F164:$O164)='School Level ADM'!$S164,SUM('School Level ADM'!$G164:$O164)='School Level ADM'!$S164,SUM('School Level ADM'!$H164:$O164)='School Level ADM'!$S164,SUM('School Level ADM'!$I164:$O164)='School Level ADM'!$S164,SUM('School Level ADM'!$J164:$O164)='School Level ADM'!$S164,SUM('School Level ADM'!$K164:$O164)='School Level ADM'!$S164,SUM('School Level ADM'!$L164:$O164)='School Level ADM'!$S164,SUM('School Level ADM'!$M164:$O164)='School Level ADM'!$S164,SUM('School Level ADM'!$N164:$O164)='School Level ADM'!$S164),0,SUM('School Level ADM'!$O164:$R164)))</f>
        <v>0</v>
      </c>
      <c r="L164" s="139">
        <f t="shared" si="29"/>
        <v>356.56999999999994</v>
      </c>
      <c r="M164" s="24">
        <f>'Student At-Risk and ELL Proxy'!S164</f>
        <v>241</v>
      </c>
      <c r="N164" s="24">
        <f>'Student At-Risk and ELL Proxy'!AH164</f>
        <v>12</v>
      </c>
      <c r="O164" s="136">
        <f t="shared" si="35"/>
        <v>0.97</v>
      </c>
      <c r="P164" s="136" t="str">
        <f t="shared" si="36"/>
        <v/>
      </c>
      <c r="Q164" s="136" t="str">
        <f t="shared" si="37"/>
        <v/>
      </c>
      <c r="R164" s="136">
        <f t="shared" si="30"/>
        <v>0.97</v>
      </c>
      <c r="S164" s="136">
        <f>IF(SUM(3515.4*((VLOOKUP($A164,'District Level ADM'!$A$4:$F$52,6,FALSE))^-0.327)/'Model Data Inputs'!$B$71)&lt;1,1,(3515.4*((VLOOKUP($A164,'District Level ADM'!$A$4:$F$52,6,FALSE))^-0.327)/'Model Data Inputs'!$B$71))</f>
        <v>1</v>
      </c>
      <c r="T164" s="136">
        <f>VLOOKUP($A164,'Regional Cost Adjustment'!$A$4:$C$52,3,FALSE)</f>
        <v>1</v>
      </c>
      <c r="U164" s="123">
        <f>((($I164/$L164)*'Model Data Inputs'!$B$85)+((SUM(J164:K164)/$L164)*'Model Data Inputs'!$C$85))*$R164*$T164</f>
        <v>6176.5600660325917</v>
      </c>
      <c r="V164" s="140">
        <f>((($I164/$L164)*'Model Data Inputs'!$B$86)+((SUM(J164:K164)/$L164)*'Model Data Inputs'!$C$86))*$R164</f>
        <v>1641.8459994936507</v>
      </c>
      <c r="W164" s="140">
        <f t="shared" si="38"/>
        <v>7818.4060655262419</v>
      </c>
      <c r="X164" s="140">
        <f t="shared" si="31"/>
        <v>2202376.0227452409</v>
      </c>
      <c r="Y164" s="140">
        <f t="shared" si="32"/>
        <v>585433.02803945087</v>
      </c>
      <c r="Z164" s="123">
        <f>IF((SUM(X164:Y164))&lt;(AVERAGE('Elementary Size Adjustment'!$B$66,'Secondary Size Adjustment'!$B$66)),(AVERAGE('Elementary Size Adjustment'!$B$66,'Secondary Size Adjustment'!$B$66)),SUM(X164:Y164))</f>
        <v>2787809.0507846917</v>
      </c>
      <c r="AA164" s="137">
        <f>'Model Data Inputs'!$B$71*S164*L164</f>
        <v>67748.299999999988</v>
      </c>
      <c r="AB164" s="137">
        <f>L164*'Model Data Inputs'!$B$72</f>
        <v>8914.2499999999982</v>
      </c>
      <c r="AC164" s="137">
        <f>L164*'Model Data Inputs'!$B$73</f>
        <v>89142.499999999985</v>
      </c>
      <c r="AD164" s="137">
        <f>L164*'Model Data Inputs'!$B$74</f>
        <v>44571.249999999993</v>
      </c>
      <c r="AE164" s="137">
        <f>$I164*'Model Data Inputs'!$B$76</f>
        <v>8482.800299999999</v>
      </c>
      <c r="AF164" s="137">
        <f>VLOOKUP($J164,'Student Activities MS&amp;HS Tables'!$M$7:$O$1267,3)</f>
        <v>0</v>
      </c>
      <c r="AG164" s="137">
        <f>VLOOKUP($K164,'Student Activities MS&amp;HS Tables'!$I$7:$K$3007,3)</f>
        <v>0</v>
      </c>
      <c r="AH164" s="137">
        <f t="shared" si="33"/>
        <v>8482.800299999999</v>
      </c>
      <c r="AI164" s="123">
        <f t="shared" si="39"/>
        <v>3006668.1510846913</v>
      </c>
      <c r="AJ164" s="123">
        <f>(('Model Data Inputs'!$B$90*(('Model Data Inputs'!$B$87*('School Level Inst. Resources'!I164/'School Level Inst. Resources'!L164))+('Model Data Inputs'!$C$87*(SUM('School Level Inst. Resources'!J164:K164)/'School Level Inst. Resources'!L164))))*T164*M164)</f>
        <v>582753.35931705905</v>
      </c>
      <c r="AK164" s="123">
        <f>(('Model Data Inputs'!$B$91*(('Model Data Inputs'!$B$87*('School Level Inst. Resources'!I164/'School Level Inst. Resources'!L164))+('Model Data Inputs'!$C$87*(SUM('School Level Inst. Resources'!J164:K164)/'School Level Inst. Resources'!L164))))*T164*N164)</f>
        <v>29016.764779272649</v>
      </c>
      <c r="AL164" s="137">
        <f>(K164*'Model Data Inputs'!$B$94)*T164</f>
        <v>0</v>
      </c>
      <c r="AM164" s="137">
        <f>K164*'Model Data Inputs'!$B$95</f>
        <v>0</v>
      </c>
      <c r="AN164" s="137">
        <f t="shared" si="40"/>
        <v>0</v>
      </c>
      <c r="AO164" s="137">
        <f>('School Level Inst. Resources'!K164*'Model Data Inputs'!$B$96)+('School Level Inst. Resources'!J164*'Model Data Inputs'!$B$97)</f>
        <v>0</v>
      </c>
      <c r="AP164" s="137">
        <f>$L164*'Model Data Inputs'!$B$100</f>
        <v>14262.799999999997</v>
      </c>
      <c r="AQ164" s="137">
        <f t="shared" si="41"/>
        <v>3632701.0751810228</v>
      </c>
      <c r="AR164" s="141">
        <f t="shared" si="34"/>
        <v>10187.904409179189</v>
      </c>
    </row>
    <row r="165" spans="1:44" s="40" customFormat="1" ht="12.75" customHeight="1" x14ac:dyDescent="0.2">
      <c r="A165" s="20" t="s">
        <v>58</v>
      </c>
      <c r="B165" s="20" t="s">
        <v>59</v>
      </c>
      <c r="C165" s="20" t="s">
        <v>698</v>
      </c>
      <c r="D165" s="20" t="s">
        <v>699</v>
      </c>
      <c r="E165" s="138" t="s">
        <v>357</v>
      </c>
      <c r="F165" s="138" t="str">
        <f>IF(AND(SUM('School Level ADM'!$F165:$J165)=0,SUM('School Level ADM'!$O165:$R165)=0,'School Level ADM'!$K165&gt;0,'School Level ADM'!$N165&gt;0),"T","F")</f>
        <v>F</v>
      </c>
      <c r="G165" s="138" t="str">
        <f>IF(AND(SUM('School Level ADM'!$M165:$R165)=0,'School Level ADM'!$L165&gt;0),"T","F")</f>
        <v>T</v>
      </c>
      <c r="H165" s="138" t="str">
        <f t="shared" si="28"/>
        <v>E</v>
      </c>
      <c r="I165" s="139">
        <f>IF($F165="T",SUM('School Level ADM'!$F165:$J165),IF($G165="T",SUM('School Level ADM'!$F165:$L165),SUM('School Level ADM'!$F165:$K165,0)))</f>
        <v>1.97</v>
      </c>
      <c r="J165" s="139">
        <f>'School Level ADM'!$S165-$I165-$K165</f>
        <v>0</v>
      </c>
      <c r="K165" s="139">
        <f>IF(SUM('School Level ADM'!$N165:$R165)='School Level ADM'!$S165,SUM('School Level ADM'!$N165:$R165),IF(OR(SUM('School Level ADM'!$F165:$O165)='School Level ADM'!$S165,SUM('School Level ADM'!$G165:$O165)='School Level ADM'!$S165,SUM('School Level ADM'!$H165:$O165)='School Level ADM'!$S165,SUM('School Level ADM'!$I165:$O165)='School Level ADM'!$S165,SUM('School Level ADM'!$J165:$O165)='School Level ADM'!$S165,SUM('School Level ADM'!$K165:$O165)='School Level ADM'!$S165,SUM('School Level ADM'!$L165:$O165)='School Level ADM'!$S165,SUM('School Level ADM'!$M165:$O165)='School Level ADM'!$S165,SUM('School Level ADM'!$N165:$O165)='School Level ADM'!$S165),0,SUM('School Level ADM'!$O165:$R165)))</f>
        <v>0</v>
      </c>
      <c r="L165" s="139">
        <f t="shared" si="29"/>
        <v>1.97</v>
      </c>
      <c r="M165" s="24">
        <f>'Student At-Risk and ELL Proxy'!S165</f>
        <v>0</v>
      </c>
      <c r="N165" s="24">
        <f>'Student At-Risk and ELL Proxy'!AH165</f>
        <v>0</v>
      </c>
      <c r="O165" s="136">
        <f t="shared" si="35"/>
        <v>7.3356457870108462</v>
      </c>
      <c r="P165" s="136" t="str">
        <f t="shared" si="36"/>
        <v/>
      </c>
      <c r="Q165" s="136" t="str">
        <f t="shared" si="37"/>
        <v/>
      </c>
      <c r="R165" s="136">
        <f t="shared" si="30"/>
        <v>7.3356457870108462</v>
      </c>
      <c r="S165" s="136">
        <f>IF(SUM(3515.4*((VLOOKUP($A165,'District Level ADM'!$A$4:$F$52,6,FALSE))^-0.327)/'Model Data Inputs'!$B$71)&lt;1,1,(3515.4*((VLOOKUP($A165,'District Level ADM'!$A$4:$F$52,6,FALSE))^-0.327)/'Model Data Inputs'!$B$71))</f>
        <v>1</v>
      </c>
      <c r="T165" s="136">
        <f>VLOOKUP($A165,'Regional Cost Adjustment'!$A$4:$C$52,3,FALSE)</f>
        <v>1</v>
      </c>
      <c r="U165" s="123">
        <f>((($I165/$L165)*'Model Data Inputs'!$B$85)+((SUM(J165:K165)/$L165)*'Model Data Inputs'!$C$85))*$R165*$T165</f>
        <v>46710.367862485997</v>
      </c>
      <c r="V165" s="140">
        <f>((($I165/$L165)*'Model Data Inputs'!$B$86)+((SUM(J165:K165)/$L165)*'Model Data Inputs'!$C$86))*$R165</f>
        <v>12416.495555779598</v>
      </c>
      <c r="W165" s="140">
        <f t="shared" si="38"/>
        <v>59126.863418265595</v>
      </c>
      <c r="X165" s="140">
        <f t="shared" si="31"/>
        <v>92019.424689097417</v>
      </c>
      <c r="Y165" s="140">
        <f t="shared" si="32"/>
        <v>24460.49624488581</v>
      </c>
      <c r="Z165" s="123">
        <f>IF((SUM(X165:Y165))&lt;(AVERAGE('Elementary Size Adjustment'!$B$66,'Secondary Size Adjustment'!$B$66)),(AVERAGE('Elementary Size Adjustment'!$B$66,'Secondary Size Adjustment'!$B$66)),SUM(X165:Y165))</f>
        <v>143474.22151540525</v>
      </c>
      <c r="AA165" s="137">
        <f>'Model Data Inputs'!$B$71*S165*L165</f>
        <v>374.3</v>
      </c>
      <c r="AB165" s="137">
        <f>L165*'Model Data Inputs'!$B$72</f>
        <v>49.25</v>
      </c>
      <c r="AC165" s="137">
        <f>L165*'Model Data Inputs'!$B$73</f>
        <v>492.5</v>
      </c>
      <c r="AD165" s="137">
        <f>L165*'Model Data Inputs'!$B$74</f>
        <v>246.25</v>
      </c>
      <c r="AE165" s="137">
        <f>$I165*'Model Data Inputs'!$B$76</f>
        <v>46.866299999999995</v>
      </c>
      <c r="AF165" s="137">
        <f>VLOOKUP($J165,'Student Activities MS&amp;HS Tables'!$M$7:$O$1267,3)</f>
        <v>0</v>
      </c>
      <c r="AG165" s="137">
        <f>VLOOKUP($K165,'Student Activities MS&amp;HS Tables'!$I$7:$K$3007,3)</f>
        <v>0</v>
      </c>
      <c r="AH165" s="137">
        <f t="shared" si="33"/>
        <v>46.866299999999995</v>
      </c>
      <c r="AI165" s="123">
        <f t="shared" si="39"/>
        <v>144683.38781540524</v>
      </c>
      <c r="AJ165" s="123">
        <f>(('Model Data Inputs'!$B$90*(('Model Data Inputs'!$B$87*('School Level Inst. Resources'!I165/'School Level Inst. Resources'!L165))+('Model Data Inputs'!$C$87*(SUM('School Level Inst. Resources'!J165:K165)/'School Level Inst. Resources'!L165))))*T165*M165)</f>
        <v>0</v>
      </c>
      <c r="AK165" s="123">
        <f>(('Model Data Inputs'!$B$91*(('Model Data Inputs'!$B$87*('School Level Inst. Resources'!I165/'School Level Inst. Resources'!L165))+('Model Data Inputs'!$C$87*(SUM('School Level Inst. Resources'!J165:K165)/'School Level Inst. Resources'!L165))))*T165*N165)</f>
        <v>0</v>
      </c>
      <c r="AL165" s="137">
        <f>(K165*'Model Data Inputs'!$B$94)*T165</f>
        <v>0</v>
      </c>
      <c r="AM165" s="137">
        <f>K165*'Model Data Inputs'!$B$95</f>
        <v>0</v>
      </c>
      <c r="AN165" s="137">
        <f t="shared" si="40"/>
        <v>0</v>
      </c>
      <c r="AO165" s="137">
        <f>('School Level Inst. Resources'!K165*'Model Data Inputs'!$B$96)+('School Level Inst. Resources'!J165*'Model Data Inputs'!$B$97)</f>
        <v>0</v>
      </c>
      <c r="AP165" s="137">
        <f>$L165*'Model Data Inputs'!$B$100</f>
        <v>78.8</v>
      </c>
      <c r="AQ165" s="137">
        <f t="shared" si="41"/>
        <v>144762.18781540522</v>
      </c>
      <c r="AR165" s="141">
        <f t="shared" si="34"/>
        <v>73483.344068733611</v>
      </c>
    </row>
    <row r="166" spans="1:44" s="40" customFormat="1" ht="12.75" customHeight="1" x14ac:dyDescent="0.2">
      <c r="A166" s="20" t="s">
        <v>58</v>
      </c>
      <c r="B166" s="20" t="s">
        <v>59</v>
      </c>
      <c r="C166" s="20" t="s">
        <v>700</v>
      </c>
      <c r="D166" s="20" t="s">
        <v>701</v>
      </c>
      <c r="E166" s="138" t="s">
        <v>522</v>
      </c>
      <c r="F166" s="138" t="str">
        <f>IF(AND(SUM('School Level ADM'!$F166:$J166)=0,SUM('School Level ADM'!$O166:$R166)=0,'School Level ADM'!$K166&gt;0,'School Level ADM'!$N166&gt;0),"T","F")</f>
        <v>F</v>
      </c>
      <c r="G166" s="138" t="str">
        <f>IF(AND(SUM('School Level ADM'!$M166:$R166)=0,'School Level ADM'!$L166&gt;0),"T","F")</f>
        <v>F</v>
      </c>
      <c r="H166" s="138" t="str">
        <f t="shared" si="28"/>
        <v>E</v>
      </c>
      <c r="I166" s="139">
        <f>IF($F166="T",SUM('School Level ADM'!$F166:$J166),IF($G166="T",SUM('School Level ADM'!$F166:$L166),SUM('School Level ADM'!$F166:$K166,0)))</f>
        <v>328.99</v>
      </c>
      <c r="J166" s="139">
        <f>'School Level ADM'!$S166-$I166-$K166</f>
        <v>0</v>
      </c>
      <c r="K166" s="139">
        <f>IF(SUM('School Level ADM'!$N166:$R166)='School Level ADM'!$S166,SUM('School Level ADM'!$N166:$R166),IF(OR(SUM('School Level ADM'!$F166:$O166)='School Level ADM'!$S166,SUM('School Level ADM'!$G166:$O166)='School Level ADM'!$S166,SUM('School Level ADM'!$H166:$O166)='School Level ADM'!$S166,SUM('School Level ADM'!$I166:$O166)='School Level ADM'!$S166,SUM('School Level ADM'!$J166:$O166)='School Level ADM'!$S166,SUM('School Level ADM'!$K166:$O166)='School Level ADM'!$S166,SUM('School Level ADM'!$L166:$O166)='School Level ADM'!$S166,SUM('School Level ADM'!$M166:$O166)='School Level ADM'!$S166,SUM('School Level ADM'!$N166:$O166)='School Level ADM'!$S166),0,SUM('School Level ADM'!$O166:$R166)))</f>
        <v>0</v>
      </c>
      <c r="L166" s="139">
        <f t="shared" si="29"/>
        <v>328.99</v>
      </c>
      <c r="M166" s="24">
        <f>'Student At-Risk and ELL Proxy'!S166</f>
        <v>110</v>
      </c>
      <c r="N166" s="24">
        <f>'Student At-Risk and ELL Proxy'!AH166</f>
        <v>4</v>
      </c>
      <c r="O166" s="136">
        <f t="shared" si="35"/>
        <v>0.97</v>
      </c>
      <c r="P166" s="136" t="str">
        <f t="shared" si="36"/>
        <v/>
      </c>
      <c r="Q166" s="136" t="str">
        <f t="shared" si="37"/>
        <v/>
      </c>
      <c r="R166" s="136">
        <f t="shared" si="30"/>
        <v>0.97</v>
      </c>
      <c r="S166" s="136">
        <f>IF(SUM(3515.4*((VLOOKUP($A166,'District Level ADM'!$A$4:$F$52,6,FALSE))^-0.327)/'Model Data Inputs'!$B$71)&lt;1,1,(3515.4*((VLOOKUP($A166,'District Level ADM'!$A$4:$F$52,6,FALSE))^-0.327)/'Model Data Inputs'!$B$71))</f>
        <v>1</v>
      </c>
      <c r="T166" s="136">
        <f>VLOOKUP($A166,'Regional Cost Adjustment'!$A$4:$C$52,3,FALSE)</f>
        <v>1</v>
      </c>
      <c r="U166" s="123">
        <f>((($I166/$L166)*'Model Data Inputs'!$B$85)+((SUM(J166:K166)/$L166)*'Model Data Inputs'!$C$85))*$R166*$T166</f>
        <v>6176.5600660325917</v>
      </c>
      <c r="V166" s="140">
        <f>((($I166/$L166)*'Model Data Inputs'!$B$86)+((SUM(J166:K166)/$L166)*'Model Data Inputs'!$C$86))*$R166</f>
        <v>1641.8459994936507</v>
      </c>
      <c r="W166" s="140">
        <f t="shared" si="38"/>
        <v>7818.4060655262419</v>
      </c>
      <c r="X166" s="140">
        <f t="shared" si="31"/>
        <v>2032026.4961240625</v>
      </c>
      <c r="Y166" s="140">
        <f t="shared" si="32"/>
        <v>540150.91537341615</v>
      </c>
      <c r="Z166" s="123">
        <f>IF((SUM(X166:Y166))&lt;(AVERAGE('Elementary Size Adjustment'!$B$66,'Secondary Size Adjustment'!$B$66)),(AVERAGE('Elementary Size Adjustment'!$B$66,'Secondary Size Adjustment'!$B$66)),SUM(X166:Y166))</f>
        <v>2572177.4114974784</v>
      </c>
      <c r="AA166" s="137">
        <f>'Model Data Inputs'!$B$71*S166*L166</f>
        <v>62508.1</v>
      </c>
      <c r="AB166" s="137">
        <f>L166*'Model Data Inputs'!$B$72</f>
        <v>8224.75</v>
      </c>
      <c r="AC166" s="137">
        <f>L166*'Model Data Inputs'!$B$73</f>
        <v>82247.5</v>
      </c>
      <c r="AD166" s="137">
        <f>L166*'Model Data Inputs'!$B$74</f>
        <v>41123.75</v>
      </c>
      <c r="AE166" s="137">
        <f>$I166*'Model Data Inputs'!$B$76</f>
        <v>7826.6720999999998</v>
      </c>
      <c r="AF166" s="137">
        <f>VLOOKUP($J166,'Student Activities MS&amp;HS Tables'!$M$7:$O$1267,3)</f>
        <v>0</v>
      </c>
      <c r="AG166" s="137">
        <f>VLOOKUP($K166,'Student Activities MS&amp;HS Tables'!$I$7:$K$3007,3)</f>
        <v>0</v>
      </c>
      <c r="AH166" s="137">
        <f t="shared" si="33"/>
        <v>7826.6720999999998</v>
      </c>
      <c r="AI166" s="123">
        <f t="shared" si="39"/>
        <v>2774108.1835974785</v>
      </c>
      <c r="AJ166" s="123">
        <f>(('Model Data Inputs'!$B$90*(('Model Data Inputs'!$B$87*('School Level Inst. Resources'!I166/'School Level Inst. Resources'!L166))+('Model Data Inputs'!$C$87*(SUM('School Level Inst. Resources'!J166:K166)/'School Level Inst. Resources'!L166))))*T166*M166)</f>
        <v>265987.01047666598</v>
      </c>
      <c r="AK166" s="123">
        <f>(('Model Data Inputs'!$B$91*(('Model Data Inputs'!$B$87*('School Level Inst. Resources'!I166/'School Level Inst. Resources'!L166))+('Model Data Inputs'!$C$87*(SUM('School Level Inst. Resources'!J166:K166)/'School Level Inst. Resources'!L166))))*T166*N166)</f>
        <v>9672.254926424217</v>
      </c>
      <c r="AL166" s="137">
        <f>(K166*'Model Data Inputs'!$B$94)*T166</f>
        <v>0</v>
      </c>
      <c r="AM166" s="137">
        <f>K166*'Model Data Inputs'!$B$95</f>
        <v>0</v>
      </c>
      <c r="AN166" s="137">
        <f t="shared" si="40"/>
        <v>0</v>
      </c>
      <c r="AO166" s="137">
        <f>('School Level Inst. Resources'!K166*'Model Data Inputs'!$B$96)+('School Level Inst. Resources'!J166*'Model Data Inputs'!$B$97)</f>
        <v>0</v>
      </c>
      <c r="AP166" s="137">
        <f>$L166*'Model Data Inputs'!$B$100</f>
        <v>13159.6</v>
      </c>
      <c r="AQ166" s="137">
        <f t="shared" si="41"/>
        <v>3062927.0490005687</v>
      </c>
      <c r="AR166" s="141">
        <f t="shared" si="34"/>
        <v>9310.0916410850441</v>
      </c>
    </row>
    <row r="167" spans="1:44" s="40" customFormat="1" ht="12.75" customHeight="1" x14ac:dyDescent="0.2">
      <c r="A167" s="20" t="s">
        <v>58</v>
      </c>
      <c r="B167" s="20" t="s">
        <v>59</v>
      </c>
      <c r="C167" s="20" t="s">
        <v>702</v>
      </c>
      <c r="D167" s="20" t="s">
        <v>703</v>
      </c>
      <c r="E167" s="138" t="s">
        <v>357</v>
      </c>
      <c r="F167" s="138" t="str">
        <f>IF(AND(SUM('School Level ADM'!$F167:$J167)=0,SUM('School Level ADM'!$O167:$R167)=0,'School Level ADM'!$K167&gt;0,'School Level ADM'!$N167&gt;0),"T","F")</f>
        <v>F</v>
      </c>
      <c r="G167" s="138" t="str">
        <f>IF(AND(SUM('School Level ADM'!$M167:$R167)=0,'School Level ADM'!$L167&gt;0),"T","F")</f>
        <v>T</v>
      </c>
      <c r="H167" s="138" t="str">
        <f t="shared" si="28"/>
        <v>E</v>
      </c>
      <c r="I167" s="139">
        <f>IF($F167="T",SUM('School Level ADM'!$F167:$J167),IF($G167="T",SUM('School Level ADM'!$F167:$L167),SUM('School Level ADM'!$F167:$K167,0)))</f>
        <v>388.09000000000003</v>
      </c>
      <c r="J167" s="139">
        <f>'School Level ADM'!$S167-$I167-$K167</f>
        <v>0</v>
      </c>
      <c r="K167" s="139">
        <f>IF(SUM('School Level ADM'!$N167:$R167)='School Level ADM'!$S167,SUM('School Level ADM'!$N167:$R167),IF(OR(SUM('School Level ADM'!$F167:$O167)='School Level ADM'!$S167,SUM('School Level ADM'!$G167:$O167)='School Level ADM'!$S167,SUM('School Level ADM'!$H167:$O167)='School Level ADM'!$S167,SUM('School Level ADM'!$I167:$O167)='School Level ADM'!$S167,SUM('School Level ADM'!$J167:$O167)='School Level ADM'!$S167,SUM('School Level ADM'!$K167:$O167)='School Level ADM'!$S167,SUM('School Level ADM'!$L167:$O167)='School Level ADM'!$S167,SUM('School Level ADM'!$M167:$O167)='School Level ADM'!$S167,SUM('School Level ADM'!$N167:$O167)='School Level ADM'!$S167),0,SUM('School Level ADM'!$O167:$R167)))</f>
        <v>0</v>
      </c>
      <c r="L167" s="139">
        <f t="shared" si="29"/>
        <v>388.09000000000003</v>
      </c>
      <c r="M167" s="24">
        <f>'Student At-Risk and ELL Proxy'!S167</f>
        <v>364.6418967999997</v>
      </c>
      <c r="N167" s="24">
        <f>'Student At-Risk and ELL Proxy'!AH167</f>
        <v>45</v>
      </c>
      <c r="O167" s="136">
        <f t="shared" si="35"/>
        <v>0.97</v>
      </c>
      <c r="P167" s="136" t="str">
        <f t="shared" si="36"/>
        <v/>
      </c>
      <c r="Q167" s="136" t="str">
        <f t="shared" si="37"/>
        <v/>
      </c>
      <c r="R167" s="136">
        <f t="shared" si="30"/>
        <v>0.97</v>
      </c>
      <c r="S167" s="136">
        <f>IF(SUM(3515.4*((VLOOKUP($A167,'District Level ADM'!$A$4:$F$52,6,FALSE))^-0.327)/'Model Data Inputs'!$B$71)&lt;1,1,(3515.4*((VLOOKUP($A167,'District Level ADM'!$A$4:$F$52,6,FALSE))^-0.327)/'Model Data Inputs'!$B$71))</f>
        <v>1</v>
      </c>
      <c r="T167" s="136">
        <f>VLOOKUP($A167,'Regional Cost Adjustment'!$A$4:$C$52,3,FALSE)</f>
        <v>1</v>
      </c>
      <c r="U167" s="123">
        <f>((($I167/$L167)*'Model Data Inputs'!$B$85)+((SUM(J167:K167)/$L167)*'Model Data Inputs'!$C$85))*$R167*$T167</f>
        <v>6176.5600660325917</v>
      </c>
      <c r="V167" s="140">
        <f>((($I167/$L167)*'Model Data Inputs'!$B$86)+((SUM(J167:K167)/$L167)*'Model Data Inputs'!$C$86))*$R167</f>
        <v>1641.8459994936507</v>
      </c>
      <c r="W167" s="140">
        <f t="shared" si="38"/>
        <v>7818.4060655262419</v>
      </c>
      <c r="X167" s="140">
        <f t="shared" si="31"/>
        <v>2397061.1960265888</v>
      </c>
      <c r="Y167" s="140">
        <f t="shared" si="32"/>
        <v>637184.01394349092</v>
      </c>
      <c r="Z167" s="123">
        <f>IF((SUM(X167:Y167))&lt;(AVERAGE('Elementary Size Adjustment'!$B$66,'Secondary Size Adjustment'!$B$66)),(AVERAGE('Elementary Size Adjustment'!$B$66,'Secondary Size Adjustment'!$B$66)),SUM(X167:Y167))</f>
        <v>3034245.2099700798</v>
      </c>
      <c r="AA167" s="137">
        <f>'Model Data Inputs'!$B$71*S167*L167</f>
        <v>73737.100000000006</v>
      </c>
      <c r="AB167" s="137">
        <f>L167*'Model Data Inputs'!$B$72</f>
        <v>9702.25</v>
      </c>
      <c r="AC167" s="137">
        <f>L167*'Model Data Inputs'!$B$73</f>
        <v>97022.500000000015</v>
      </c>
      <c r="AD167" s="137">
        <f>L167*'Model Data Inputs'!$B$74</f>
        <v>48511.250000000007</v>
      </c>
      <c r="AE167" s="137">
        <f>$I167*'Model Data Inputs'!$B$76</f>
        <v>9232.6611000000012</v>
      </c>
      <c r="AF167" s="137">
        <f>VLOOKUP($J167,'Student Activities MS&amp;HS Tables'!$M$7:$O$1267,3)</f>
        <v>0</v>
      </c>
      <c r="AG167" s="137">
        <f>VLOOKUP($K167,'Student Activities MS&amp;HS Tables'!$I$7:$K$3007,3)</f>
        <v>0</v>
      </c>
      <c r="AH167" s="137">
        <f t="shared" si="33"/>
        <v>9232.6611000000012</v>
      </c>
      <c r="AI167" s="123">
        <f t="shared" si="39"/>
        <v>3272450.9710700801</v>
      </c>
      <c r="AJ167" s="123">
        <f>(('Model Data Inputs'!$B$90*(('Model Data Inputs'!$B$87*('School Level Inst. Resources'!I167/'School Level Inst. Resources'!L167))+('Model Data Inputs'!$C$87*(SUM('School Level Inst. Resources'!J167:K167)/'School Level Inst. Resources'!L167))))*T167*M167)</f>
        <v>881727.34567611699</v>
      </c>
      <c r="AK167" s="123">
        <f>(('Model Data Inputs'!$B$91*(('Model Data Inputs'!$B$87*('School Level Inst. Resources'!I167/'School Level Inst. Resources'!L167))+('Model Data Inputs'!$C$87*(SUM('School Level Inst. Resources'!J167:K167)/'School Level Inst. Resources'!L167))))*T167*N167)</f>
        <v>108812.86792227245</v>
      </c>
      <c r="AL167" s="137">
        <f>(K167*'Model Data Inputs'!$B$94)*T167</f>
        <v>0</v>
      </c>
      <c r="AM167" s="137">
        <f>K167*'Model Data Inputs'!$B$95</f>
        <v>0</v>
      </c>
      <c r="AN167" s="137">
        <f t="shared" si="40"/>
        <v>0</v>
      </c>
      <c r="AO167" s="137">
        <f>('School Level Inst. Resources'!K167*'Model Data Inputs'!$B$96)+('School Level Inst. Resources'!J167*'Model Data Inputs'!$B$97)</f>
        <v>0</v>
      </c>
      <c r="AP167" s="137">
        <f>$L167*'Model Data Inputs'!$B$100</f>
        <v>15523.600000000002</v>
      </c>
      <c r="AQ167" s="137">
        <f t="shared" si="41"/>
        <v>4278514.7846684689</v>
      </c>
      <c r="AR167" s="141">
        <f t="shared" si="34"/>
        <v>11024.542721194744</v>
      </c>
    </row>
    <row r="168" spans="1:44" s="40" customFormat="1" ht="12.75" customHeight="1" x14ac:dyDescent="0.2">
      <c r="A168" s="20" t="s">
        <v>58</v>
      </c>
      <c r="B168" s="20" t="s">
        <v>59</v>
      </c>
      <c r="C168" s="20" t="s">
        <v>704</v>
      </c>
      <c r="D168" s="20" t="s">
        <v>705</v>
      </c>
      <c r="E168" s="138" t="s">
        <v>357</v>
      </c>
      <c r="F168" s="138" t="str">
        <f>IF(AND(SUM('School Level ADM'!$F168:$J168)=0,SUM('School Level ADM'!$O168:$R168)=0,'School Level ADM'!$K168&gt;0,'School Level ADM'!$N168&gt;0),"T","F")</f>
        <v>F</v>
      </c>
      <c r="G168" s="138" t="str">
        <f>IF(AND(SUM('School Level ADM'!$M168:$R168)=0,'School Level ADM'!$L168&gt;0),"T","F")</f>
        <v>T</v>
      </c>
      <c r="H168" s="138" t="str">
        <f t="shared" si="28"/>
        <v>E</v>
      </c>
      <c r="I168" s="139">
        <f>IF($F168="T",SUM('School Level ADM'!$F168:$J168),IF($G168="T",SUM('School Level ADM'!$F168:$L168),SUM('School Level ADM'!$F168:$K168,0)))</f>
        <v>333.91499999999996</v>
      </c>
      <c r="J168" s="139">
        <f>'School Level ADM'!$S168-$I168-$K168</f>
        <v>0</v>
      </c>
      <c r="K168" s="139">
        <f>IF(SUM('School Level ADM'!$N168:$R168)='School Level ADM'!$S168,SUM('School Level ADM'!$N168:$R168),IF(OR(SUM('School Level ADM'!$F168:$O168)='School Level ADM'!$S168,SUM('School Level ADM'!$G168:$O168)='School Level ADM'!$S168,SUM('School Level ADM'!$H168:$O168)='School Level ADM'!$S168,SUM('School Level ADM'!$I168:$O168)='School Level ADM'!$S168,SUM('School Level ADM'!$J168:$O168)='School Level ADM'!$S168,SUM('School Level ADM'!$K168:$O168)='School Level ADM'!$S168,SUM('School Level ADM'!$L168:$O168)='School Level ADM'!$S168,SUM('School Level ADM'!$M168:$O168)='School Level ADM'!$S168,SUM('School Level ADM'!$N168:$O168)='School Level ADM'!$S168),0,SUM('School Level ADM'!$O168:$R168)))</f>
        <v>0</v>
      </c>
      <c r="L168" s="139">
        <f t="shared" si="29"/>
        <v>333.91499999999996</v>
      </c>
      <c r="M168" s="24">
        <f>'Student At-Risk and ELL Proxy'!S168</f>
        <v>84</v>
      </c>
      <c r="N168" s="24">
        <f>'Student At-Risk and ELL Proxy'!AH168</f>
        <v>3</v>
      </c>
      <c r="O168" s="136">
        <f t="shared" si="35"/>
        <v>0.97</v>
      </c>
      <c r="P168" s="136" t="str">
        <f t="shared" si="36"/>
        <v/>
      </c>
      <c r="Q168" s="136" t="str">
        <f t="shared" si="37"/>
        <v/>
      </c>
      <c r="R168" s="136">
        <f t="shared" si="30"/>
        <v>0.97</v>
      </c>
      <c r="S168" s="136">
        <f>IF(SUM(3515.4*((VLOOKUP($A168,'District Level ADM'!$A$4:$F$52,6,FALSE))^-0.327)/'Model Data Inputs'!$B$71)&lt;1,1,(3515.4*((VLOOKUP($A168,'District Level ADM'!$A$4:$F$52,6,FALSE))^-0.327)/'Model Data Inputs'!$B$71))</f>
        <v>1</v>
      </c>
      <c r="T168" s="136">
        <f>VLOOKUP($A168,'Regional Cost Adjustment'!$A$4:$C$52,3,FALSE)</f>
        <v>1</v>
      </c>
      <c r="U168" s="123">
        <f>((($I168/$L168)*'Model Data Inputs'!$B$85)+((SUM(J168:K168)/$L168)*'Model Data Inputs'!$C$85))*$R168*$T168</f>
        <v>6176.5600660325917</v>
      </c>
      <c r="V168" s="140">
        <f>((($I168/$L168)*'Model Data Inputs'!$B$86)+((SUM(J168:K168)/$L168)*'Model Data Inputs'!$C$86))*$R168</f>
        <v>1641.8459994936507</v>
      </c>
      <c r="W168" s="140">
        <f t="shared" si="38"/>
        <v>7818.4060655262419</v>
      </c>
      <c r="X168" s="140">
        <f t="shared" si="31"/>
        <v>2062446.0544492726</v>
      </c>
      <c r="Y168" s="140">
        <f t="shared" si="32"/>
        <v>548237.00692092231</v>
      </c>
      <c r="Z168" s="123">
        <f>IF((SUM(X168:Y168))&lt;(AVERAGE('Elementary Size Adjustment'!$B$66,'Secondary Size Adjustment'!$B$66)),(AVERAGE('Elementary Size Adjustment'!$B$66,'Secondary Size Adjustment'!$B$66)),SUM(X168:Y168))</f>
        <v>2610683.0613701949</v>
      </c>
      <c r="AA168" s="137">
        <f>'Model Data Inputs'!$B$71*S168*L168</f>
        <v>63443.849999999991</v>
      </c>
      <c r="AB168" s="137">
        <f>L168*'Model Data Inputs'!$B$72</f>
        <v>8347.875</v>
      </c>
      <c r="AC168" s="137">
        <f>L168*'Model Data Inputs'!$B$73</f>
        <v>83478.749999999985</v>
      </c>
      <c r="AD168" s="137">
        <f>L168*'Model Data Inputs'!$B$74</f>
        <v>41739.374999999993</v>
      </c>
      <c r="AE168" s="137">
        <f>$I168*'Model Data Inputs'!$B$76</f>
        <v>7943.837849999999</v>
      </c>
      <c r="AF168" s="137">
        <f>VLOOKUP($J168,'Student Activities MS&amp;HS Tables'!$M$7:$O$1267,3)</f>
        <v>0</v>
      </c>
      <c r="AG168" s="137">
        <f>VLOOKUP($K168,'Student Activities MS&amp;HS Tables'!$I$7:$K$3007,3)</f>
        <v>0</v>
      </c>
      <c r="AH168" s="137">
        <f t="shared" si="33"/>
        <v>7943.837849999999</v>
      </c>
      <c r="AI168" s="123">
        <f t="shared" si="39"/>
        <v>2815636.7492201948</v>
      </c>
      <c r="AJ168" s="123">
        <f>(('Model Data Inputs'!$B$90*(('Model Data Inputs'!$B$87*('School Level Inst. Resources'!I168/'School Level Inst. Resources'!L168))+('Model Data Inputs'!$C$87*(SUM('School Level Inst. Resources'!J168:K168)/'School Level Inst. Resources'!L168))))*T168*M168)</f>
        <v>203117.35345490856</v>
      </c>
      <c r="AK168" s="123">
        <f>(('Model Data Inputs'!$B$91*(('Model Data Inputs'!$B$87*('School Level Inst. Resources'!I168/'School Level Inst. Resources'!L168))+('Model Data Inputs'!$C$87*(SUM('School Level Inst. Resources'!J168:K168)/'School Level Inst. Resources'!L168))))*T168*N168)</f>
        <v>7254.1911948181623</v>
      </c>
      <c r="AL168" s="137">
        <f>(K168*'Model Data Inputs'!$B$94)*T168</f>
        <v>0</v>
      </c>
      <c r="AM168" s="137">
        <f>K168*'Model Data Inputs'!$B$95</f>
        <v>0</v>
      </c>
      <c r="AN168" s="137">
        <f t="shared" si="40"/>
        <v>0</v>
      </c>
      <c r="AO168" s="137">
        <f>('School Level Inst. Resources'!K168*'Model Data Inputs'!$B$96)+('School Level Inst. Resources'!J168*'Model Data Inputs'!$B$97)</f>
        <v>0</v>
      </c>
      <c r="AP168" s="137">
        <f>$L168*'Model Data Inputs'!$B$100</f>
        <v>13356.599999999999</v>
      </c>
      <c r="AQ168" s="137">
        <f t="shared" si="41"/>
        <v>3039364.8938699216</v>
      </c>
      <c r="AR168" s="141">
        <f t="shared" si="34"/>
        <v>9102.2113228513899</v>
      </c>
    </row>
    <row r="169" spans="1:44" s="40" customFormat="1" ht="12.75" customHeight="1" x14ac:dyDescent="0.2">
      <c r="A169" s="20" t="s">
        <v>58</v>
      </c>
      <c r="B169" s="20" t="s">
        <v>59</v>
      </c>
      <c r="C169" s="20" t="s">
        <v>706</v>
      </c>
      <c r="D169" s="20" t="s">
        <v>707</v>
      </c>
      <c r="E169" s="138" t="s">
        <v>357</v>
      </c>
      <c r="F169" s="138" t="str">
        <f>IF(AND(SUM('School Level ADM'!$F169:$J169)=0,SUM('School Level ADM'!$O169:$R169)=0,'School Level ADM'!$K169&gt;0,'School Level ADM'!$N169&gt;0),"T","F")</f>
        <v>F</v>
      </c>
      <c r="G169" s="138" t="str">
        <f>IF(AND(SUM('School Level ADM'!$M169:$R169)=0,'School Level ADM'!$L169&gt;0),"T","F")</f>
        <v>T</v>
      </c>
      <c r="H169" s="138" t="str">
        <f t="shared" si="28"/>
        <v>E</v>
      </c>
      <c r="I169" s="139">
        <f>IF($F169="T",SUM('School Level ADM'!$F169:$J169),IF($G169="T",SUM('School Level ADM'!$F169:$L169),SUM('School Level ADM'!$F169:$K169,0)))</f>
        <v>353.61500000000001</v>
      </c>
      <c r="J169" s="139">
        <f>'School Level ADM'!$S169-$I169-$K169</f>
        <v>0</v>
      </c>
      <c r="K169" s="139">
        <f>IF(SUM('School Level ADM'!$N169:$R169)='School Level ADM'!$S169,SUM('School Level ADM'!$N169:$R169),IF(OR(SUM('School Level ADM'!$F169:$O169)='School Level ADM'!$S169,SUM('School Level ADM'!$G169:$O169)='School Level ADM'!$S169,SUM('School Level ADM'!$H169:$O169)='School Level ADM'!$S169,SUM('School Level ADM'!$I169:$O169)='School Level ADM'!$S169,SUM('School Level ADM'!$J169:$O169)='School Level ADM'!$S169,SUM('School Level ADM'!$K169:$O169)='School Level ADM'!$S169,SUM('School Level ADM'!$L169:$O169)='School Level ADM'!$S169,SUM('School Level ADM'!$M169:$O169)='School Level ADM'!$S169,SUM('School Level ADM'!$N169:$O169)='School Level ADM'!$S169),0,SUM('School Level ADM'!$O169:$R169)))</f>
        <v>0</v>
      </c>
      <c r="L169" s="139">
        <f t="shared" si="29"/>
        <v>353.61500000000001</v>
      </c>
      <c r="M169" s="24">
        <f>'Student At-Risk and ELL Proxy'!S169</f>
        <v>179</v>
      </c>
      <c r="N169" s="24">
        <f>'Student At-Risk and ELL Proxy'!AH169</f>
        <v>11</v>
      </c>
      <c r="O169" s="136">
        <f t="shared" si="35"/>
        <v>0.97</v>
      </c>
      <c r="P169" s="136" t="str">
        <f t="shared" si="36"/>
        <v/>
      </c>
      <c r="Q169" s="136" t="str">
        <f t="shared" si="37"/>
        <v/>
      </c>
      <c r="R169" s="136">
        <f t="shared" si="30"/>
        <v>0.97</v>
      </c>
      <c r="S169" s="136">
        <f>IF(SUM(3515.4*((VLOOKUP($A169,'District Level ADM'!$A$4:$F$52,6,FALSE))^-0.327)/'Model Data Inputs'!$B$71)&lt;1,1,(3515.4*((VLOOKUP($A169,'District Level ADM'!$A$4:$F$52,6,FALSE))^-0.327)/'Model Data Inputs'!$B$71))</f>
        <v>1</v>
      </c>
      <c r="T169" s="136">
        <f>VLOOKUP($A169,'Regional Cost Adjustment'!$A$4:$C$52,3,FALSE)</f>
        <v>1</v>
      </c>
      <c r="U169" s="123">
        <f>((($I169/$L169)*'Model Data Inputs'!$B$85)+((SUM(J169:K169)/$L169)*'Model Data Inputs'!$C$85))*$R169*$T169</f>
        <v>6176.5600660325917</v>
      </c>
      <c r="V169" s="140">
        <f>((($I169/$L169)*'Model Data Inputs'!$B$86)+((SUM(J169:K169)/$L169)*'Model Data Inputs'!$C$86))*$R169</f>
        <v>1641.8459994936507</v>
      </c>
      <c r="W169" s="140">
        <f t="shared" si="38"/>
        <v>7818.4060655262419</v>
      </c>
      <c r="X169" s="140">
        <f t="shared" si="31"/>
        <v>2184124.2877501152</v>
      </c>
      <c r="Y169" s="140">
        <f t="shared" si="32"/>
        <v>580581.37311094732</v>
      </c>
      <c r="Z169" s="123">
        <f>IF((SUM(X169:Y169))&lt;(AVERAGE('Elementary Size Adjustment'!$B$66,'Secondary Size Adjustment'!$B$66)),(AVERAGE('Elementary Size Adjustment'!$B$66,'Secondary Size Adjustment'!$B$66)),SUM(X169:Y169))</f>
        <v>2764705.6608610624</v>
      </c>
      <c r="AA169" s="137">
        <f>'Model Data Inputs'!$B$71*S169*L169</f>
        <v>67186.850000000006</v>
      </c>
      <c r="AB169" s="137">
        <f>L169*'Model Data Inputs'!$B$72</f>
        <v>8840.375</v>
      </c>
      <c r="AC169" s="137">
        <f>L169*'Model Data Inputs'!$B$73</f>
        <v>88403.75</v>
      </c>
      <c r="AD169" s="137">
        <f>L169*'Model Data Inputs'!$B$74</f>
        <v>44201.875</v>
      </c>
      <c r="AE169" s="137">
        <f>$I169*'Model Data Inputs'!$B$76</f>
        <v>8412.5008500000004</v>
      </c>
      <c r="AF169" s="137">
        <f>VLOOKUP($J169,'Student Activities MS&amp;HS Tables'!$M$7:$O$1267,3)</f>
        <v>0</v>
      </c>
      <c r="AG169" s="137">
        <f>VLOOKUP($K169,'Student Activities MS&amp;HS Tables'!$I$7:$K$3007,3)</f>
        <v>0</v>
      </c>
      <c r="AH169" s="137">
        <f t="shared" si="33"/>
        <v>8412.5008500000004</v>
      </c>
      <c r="AI169" s="123">
        <f t="shared" si="39"/>
        <v>2981751.0117110624</v>
      </c>
      <c r="AJ169" s="123">
        <f>(('Model Data Inputs'!$B$90*(('Model Data Inputs'!$B$87*('School Level Inst. Resources'!I169/'School Level Inst. Resources'!L169))+('Model Data Inputs'!$C$87*(SUM('School Level Inst. Resources'!J169:K169)/'School Level Inst. Resources'!L169))))*T169*M169)</f>
        <v>432833.40795748372</v>
      </c>
      <c r="AK169" s="123">
        <f>(('Model Data Inputs'!$B$91*(('Model Data Inputs'!$B$87*('School Level Inst. Resources'!I169/'School Level Inst. Resources'!L169))+('Model Data Inputs'!$C$87*(SUM('School Level Inst. Resources'!J169:K169)/'School Level Inst. Resources'!L169))))*T169*N169)</f>
        <v>26598.701047666596</v>
      </c>
      <c r="AL169" s="137">
        <f>(K169*'Model Data Inputs'!$B$94)*T169</f>
        <v>0</v>
      </c>
      <c r="AM169" s="137">
        <f>K169*'Model Data Inputs'!$B$95</f>
        <v>0</v>
      </c>
      <c r="AN169" s="137">
        <f t="shared" si="40"/>
        <v>0</v>
      </c>
      <c r="AO169" s="137">
        <f>('School Level Inst. Resources'!K169*'Model Data Inputs'!$B$96)+('School Level Inst. Resources'!J169*'Model Data Inputs'!$B$97)</f>
        <v>0</v>
      </c>
      <c r="AP169" s="137">
        <f>$L169*'Model Data Inputs'!$B$100</f>
        <v>14144.6</v>
      </c>
      <c r="AQ169" s="137">
        <f t="shared" si="41"/>
        <v>3455327.7207162124</v>
      </c>
      <c r="AR169" s="141">
        <f t="shared" si="34"/>
        <v>9771.4399013509392</v>
      </c>
    </row>
    <row r="170" spans="1:44" s="40" customFormat="1" ht="12.75" customHeight="1" x14ac:dyDescent="0.2">
      <c r="A170" s="20" t="s">
        <v>58</v>
      </c>
      <c r="B170" s="20" t="s">
        <v>59</v>
      </c>
      <c r="C170" s="20" t="s">
        <v>708</v>
      </c>
      <c r="D170" s="20" t="s">
        <v>709</v>
      </c>
      <c r="E170" s="138" t="s">
        <v>357</v>
      </c>
      <c r="F170" s="138" t="str">
        <f>IF(AND(SUM('School Level ADM'!$F170:$J170)=0,SUM('School Level ADM'!$O170:$R170)=0,'School Level ADM'!$K170&gt;0,'School Level ADM'!$N170&gt;0),"T","F")</f>
        <v>F</v>
      </c>
      <c r="G170" s="138" t="str">
        <f>IF(AND(SUM('School Level ADM'!$M170:$R170)=0,'School Level ADM'!$L170&gt;0),"T","F")</f>
        <v>F</v>
      </c>
      <c r="H170" s="138" t="str">
        <f t="shared" si="28"/>
        <v>E</v>
      </c>
      <c r="I170" s="139">
        <f>IF($F170="T",SUM('School Level ADM'!$F170:$J170),IF($G170="T",SUM('School Level ADM'!$F170:$L170),SUM('School Level ADM'!$F170:$K170,0)))</f>
        <v>361.495</v>
      </c>
      <c r="J170" s="139">
        <f>'School Level ADM'!$S170-$I170-$K170</f>
        <v>0</v>
      </c>
      <c r="K170" s="139">
        <f>IF(SUM('School Level ADM'!$N170:$R170)='School Level ADM'!$S170,SUM('School Level ADM'!$N170:$R170),IF(OR(SUM('School Level ADM'!$F170:$O170)='School Level ADM'!$S170,SUM('School Level ADM'!$G170:$O170)='School Level ADM'!$S170,SUM('School Level ADM'!$H170:$O170)='School Level ADM'!$S170,SUM('School Level ADM'!$I170:$O170)='School Level ADM'!$S170,SUM('School Level ADM'!$J170:$O170)='School Level ADM'!$S170,SUM('School Level ADM'!$K170:$O170)='School Level ADM'!$S170,SUM('School Level ADM'!$L170:$O170)='School Level ADM'!$S170,SUM('School Level ADM'!$M170:$O170)='School Level ADM'!$S170,SUM('School Level ADM'!$N170:$O170)='School Level ADM'!$S170),0,SUM('School Level ADM'!$O170:$R170)))</f>
        <v>0</v>
      </c>
      <c r="L170" s="139">
        <f t="shared" si="29"/>
        <v>361.495</v>
      </c>
      <c r="M170" s="24">
        <f>'Student At-Risk and ELL Proxy'!S170</f>
        <v>65</v>
      </c>
      <c r="N170" s="24">
        <f>'Student At-Risk and ELL Proxy'!AH170</f>
        <v>3</v>
      </c>
      <c r="O170" s="136">
        <f t="shared" si="35"/>
        <v>0.97</v>
      </c>
      <c r="P170" s="136" t="str">
        <f t="shared" si="36"/>
        <v/>
      </c>
      <c r="Q170" s="136" t="str">
        <f t="shared" si="37"/>
        <v/>
      </c>
      <c r="R170" s="136">
        <f t="shared" si="30"/>
        <v>0.97</v>
      </c>
      <c r="S170" s="136">
        <f>IF(SUM(3515.4*((VLOOKUP($A170,'District Level ADM'!$A$4:$F$52,6,FALSE))^-0.327)/'Model Data Inputs'!$B$71)&lt;1,1,(3515.4*((VLOOKUP($A170,'District Level ADM'!$A$4:$F$52,6,FALSE))^-0.327)/'Model Data Inputs'!$B$71))</f>
        <v>1</v>
      </c>
      <c r="T170" s="136">
        <f>VLOOKUP($A170,'Regional Cost Adjustment'!$A$4:$C$52,3,FALSE)</f>
        <v>1</v>
      </c>
      <c r="U170" s="123">
        <f>((($I170/$L170)*'Model Data Inputs'!$B$85)+((SUM(J170:K170)/$L170)*'Model Data Inputs'!$C$85))*$R170*$T170</f>
        <v>6176.5600660325917</v>
      </c>
      <c r="V170" s="140">
        <f>((($I170/$L170)*'Model Data Inputs'!$B$86)+((SUM(J170:K170)/$L170)*'Model Data Inputs'!$C$86))*$R170</f>
        <v>1641.8459994936507</v>
      </c>
      <c r="W170" s="140">
        <f t="shared" si="38"/>
        <v>7818.4060655262419</v>
      </c>
      <c r="X170" s="140">
        <f t="shared" si="31"/>
        <v>2232795.581070452</v>
      </c>
      <c r="Y170" s="140">
        <f t="shared" si="32"/>
        <v>593519.11958695727</v>
      </c>
      <c r="Z170" s="123">
        <f>IF((SUM(X170:Y170))&lt;(AVERAGE('Elementary Size Adjustment'!$B$66,'Secondary Size Adjustment'!$B$66)),(AVERAGE('Elementary Size Adjustment'!$B$66,'Secondary Size Adjustment'!$B$66)),SUM(X170:Y170))</f>
        <v>2826314.7006574092</v>
      </c>
      <c r="AA170" s="137">
        <f>'Model Data Inputs'!$B$71*S170*L170</f>
        <v>68684.05</v>
      </c>
      <c r="AB170" s="137">
        <f>L170*'Model Data Inputs'!$B$72</f>
        <v>9037.375</v>
      </c>
      <c r="AC170" s="137">
        <f>L170*'Model Data Inputs'!$B$73</f>
        <v>90373.75</v>
      </c>
      <c r="AD170" s="137">
        <f>L170*'Model Data Inputs'!$B$74</f>
        <v>45186.875</v>
      </c>
      <c r="AE170" s="137">
        <f>$I170*'Model Data Inputs'!$B$76</f>
        <v>8599.9660499999991</v>
      </c>
      <c r="AF170" s="137">
        <f>VLOOKUP($J170,'Student Activities MS&amp;HS Tables'!$M$7:$O$1267,3)</f>
        <v>0</v>
      </c>
      <c r="AG170" s="137">
        <f>VLOOKUP($K170,'Student Activities MS&amp;HS Tables'!$I$7:$K$3007,3)</f>
        <v>0</v>
      </c>
      <c r="AH170" s="137">
        <f t="shared" si="33"/>
        <v>8599.9660499999991</v>
      </c>
      <c r="AI170" s="123">
        <f t="shared" si="39"/>
        <v>3048196.7167074089</v>
      </c>
      <c r="AJ170" s="123">
        <f>(('Model Data Inputs'!$B$90*(('Model Data Inputs'!$B$87*('School Level Inst. Resources'!I170/'School Level Inst. Resources'!L170))+('Model Data Inputs'!$C$87*(SUM('School Level Inst. Resources'!J170:K170)/'School Level Inst. Resources'!L170))))*T170*M170)</f>
        <v>157174.14255439353</v>
      </c>
      <c r="AK170" s="123">
        <f>(('Model Data Inputs'!$B$91*(('Model Data Inputs'!$B$87*('School Level Inst. Resources'!I170/'School Level Inst. Resources'!L170))+('Model Data Inputs'!$C$87*(SUM('School Level Inst. Resources'!J170:K170)/'School Level Inst. Resources'!L170))))*T170*N170)</f>
        <v>7254.1911948181623</v>
      </c>
      <c r="AL170" s="137">
        <f>(K170*'Model Data Inputs'!$B$94)*T170</f>
        <v>0</v>
      </c>
      <c r="AM170" s="137">
        <f>K170*'Model Data Inputs'!$B$95</f>
        <v>0</v>
      </c>
      <c r="AN170" s="137">
        <f t="shared" si="40"/>
        <v>0</v>
      </c>
      <c r="AO170" s="137">
        <f>('School Level Inst. Resources'!K170*'Model Data Inputs'!$B$96)+('School Level Inst. Resources'!J170*'Model Data Inputs'!$B$97)</f>
        <v>0</v>
      </c>
      <c r="AP170" s="137">
        <f>$L170*'Model Data Inputs'!$B$100</f>
        <v>14459.8</v>
      </c>
      <c r="AQ170" s="137">
        <f t="shared" si="41"/>
        <v>3227084.8504566206</v>
      </c>
      <c r="AR170" s="141">
        <f t="shared" si="34"/>
        <v>8927.0525192786081</v>
      </c>
    </row>
    <row r="171" spans="1:44" s="40" customFormat="1" ht="12.75" customHeight="1" x14ac:dyDescent="0.2">
      <c r="A171" s="20" t="s">
        <v>58</v>
      </c>
      <c r="B171" s="20" t="s">
        <v>59</v>
      </c>
      <c r="C171" s="20" t="s">
        <v>710</v>
      </c>
      <c r="D171" s="20" t="s">
        <v>442</v>
      </c>
      <c r="E171" s="138" t="s">
        <v>357</v>
      </c>
      <c r="F171" s="138" t="str">
        <f>IF(AND(SUM('School Level ADM'!$F171:$J171)=0,SUM('School Level ADM'!$O171:$R171)=0,'School Level ADM'!$K171&gt;0,'School Level ADM'!$N171&gt;0),"T","F")</f>
        <v>F</v>
      </c>
      <c r="G171" s="138" t="str">
        <f>IF(AND(SUM('School Level ADM'!$M171:$R171)=0,'School Level ADM'!$L171&gt;0),"T","F")</f>
        <v>T</v>
      </c>
      <c r="H171" s="138" t="str">
        <f t="shared" si="28"/>
        <v>E</v>
      </c>
      <c r="I171" s="139">
        <f>IF($F171="T",SUM('School Level ADM'!$F171:$J171),IF($G171="T",SUM('School Level ADM'!$F171:$L171),SUM('School Level ADM'!$F171:$K171,0)))</f>
        <v>450.14499999999998</v>
      </c>
      <c r="J171" s="139">
        <f>'School Level ADM'!$S171-$I171-$K171</f>
        <v>0</v>
      </c>
      <c r="K171" s="139">
        <f>IF(SUM('School Level ADM'!$N171:$R171)='School Level ADM'!$S171,SUM('School Level ADM'!$N171:$R171),IF(OR(SUM('School Level ADM'!$F171:$O171)='School Level ADM'!$S171,SUM('School Level ADM'!$G171:$O171)='School Level ADM'!$S171,SUM('School Level ADM'!$H171:$O171)='School Level ADM'!$S171,SUM('School Level ADM'!$I171:$O171)='School Level ADM'!$S171,SUM('School Level ADM'!$J171:$O171)='School Level ADM'!$S171,SUM('School Level ADM'!$K171:$O171)='School Level ADM'!$S171,SUM('School Level ADM'!$L171:$O171)='School Level ADM'!$S171,SUM('School Level ADM'!$M171:$O171)='School Level ADM'!$S171,SUM('School Level ADM'!$N171:$O171)='School Level ADM'!$S171),0,SUM('School Level ADM'!$O171:$R171)))</f>
        <v>0</v>
      </c>
      <c r="L171" s="139">
        <f t="shared" si="29"/>
        <v>450.14499999999998</v>
      </c>
      <c r="M171" s="24">
        <f>'Student At-Risk and ELL Proxy'!S171</f>
        <v>61</v>
      </c>
      <c r="N171" s="24">
        <f>'Student At-Risk and ELL Proxy'!AH171</f>
        <v>2</v>
      </c>
      <c r="O171" s="136">
        <f t="shared" si="35"/>
        <v>0.97</v>
      </c>
      <c r="P171" s="136" t="str">
        <f t="shared" si="36"/>
        <v/>
      </c>
      <c r="Q171" s="136" t="str">
        <f t="shared" si="37"/>
        <v/>
      </c>
      <c r="R171" s="136">
        <f t="shared" si="30"/>
        <v>0.97</v>
      </c>
      <c r="S171" s="136">
        <f>IF(SUM(3515.4*((VLOOKUP($A171,'District Level ADM'!$A$4:$F$52,6,FALSE))^-0.327)/'Model Data Inputs'!$B$71)&lt;1,1,(3515.4*((VLOOKUP($A171,'District Level ADM'!$A$4:$F$52,6,FALSE))^-0.327)/'Model Data Inputs'!$B$71))</f>
        <v>1</v>
      </c>
      <c r="T171" s="136">
        <f>VLOOKUP($A171,'Regional Cost Adjustment'!$A$4:$C$52,3,FALSE)</f>
        <v>1</v>
      </c>
      <c r="U171" s="123">
        <f>((($I171/$L171)*'Model Data Inputs'!$B$85)+((SUM(J171:K171)/$L171)*'Model Data Inputs'!$C$85))*$R171*$T171</f>
        <v>6176.5600660325917</v>
      </c>
      <c r="V171" s="140">
        <f>((($I171/$L171)*'Model Data Inputs'!$B$86)+((SUM(J171:K171)/$L171)*'Model Data Inputs'!$C$86))*$R171</f>
        <v>1641.8459994936507</v>
      </c>
      <c r="W171" s="140">
        <f t="shared" si="38"/>
        <v>7818.4060655262419</v>
      </c>
      <c r="X171" s="140">
        <f t="shared" si="31"/>
        <v>2780347.6309242407</v>
      </c>
      <c r="Y171" s="140">
        <f t="shared" si="32"/>
        <v>739068.76744206937</v>
      </c>
      <c r="Z171" s="123">
        <f>IF((SUM(X171:Y171))&lt;(AVERAGE('Elementary Size Adjustment'!$B$66,'Secondary Size Adjustment'!$B$66)),(AVERAGE('Elementary Size Adjustment'!$B$66,'Secondary Size Adjustment'!$B$66)),SUM(X171:Y171))</f>
        <v>3519416.3983663102</v>
      </c>
      <c r="AA171" s="137">
        <f>'Model Data Inputs'!$B$71*S171*L171</f>
        <v>85527.55</v>
      </c>
      <c r="AB171" s="137">
        <f>L171*'Model Data Inputs'!$B$72</f>
        <v>11253.625</v>
      </c>
      <c r="AC171" s="137">
        <f>L171*'Model Data Inputs'!$B$73</f>
        <v>112536.25</v>
      </c>
      <c r="AD171" s="137">
        <f>L171*'Model Data Inputs'!$B$74</f>
        <v>56268.125</v>
      </c>
      <c r="AE171" s="137">
        <f>$I171*'Model Data Inputs'!$B$76</f>
        <v>10708.949549999999</v>
      </c>
      <c r="AF171" s="137">
        <f>VLOOKUP($J171,'Student Activities MS&amp;HS Tables'!$M$7:$O$1267,3)</f>
        <v>0</v>
      </c>
      <c r="AG171" s="137">
        <f>VLOOKUP($K171,'Student Activities MS&amp;HS Tables'!$I$7:$K$3007,3)</f>
        <v>0</v>
      </c>
      <c r="AH171" s="137">
        <f t="shared" si="33"/>
        <v>10708.949549999999</v>
      </c>
      <c r="AI171" s="123">
        <f t="shared" si="39"/>
        <v>3795710.89791631</v>
      </c>
      <c r="AJ171" s="123">
        <f>(('Model Data Inputs'!$B$90*(('Model Data Inputs'!$B$87*('School Level Inst. Resources'!I171/'School Level Inst. Resources'!L171))+('Model Data Inputs'!$C$87*(SUM('School Level Inst. Resources'!J171:K171)/'School Level Inst. Resources'!L171))))*T171*M171)</f>
        <v>147501.88762796932</v>
      </c>
      <c r="AK171" s="123">
        <f>(('Model Data Inputs'!$B$91*(('Model Data Inputs'!$B$87*('School Level Inst. Resources'!I171/'School Level Inst. Resources'!L171))+('Model Data Inputs'!$C$87*(SUM('School Level Inst. Resources'!J171:K171)/'School Level Inst. Resources'!L171))))*T171*N171)</f>
        <v>4836.1274632121085</v>
      </c>
      <c r="AL171" s="137">
        <f>(K171*'Model Data Inputs'!$B$94)*T171</f>
        <v>0</v>
      </c>
      <c r="AM171" s="137">
        <f>K171*'Model Data Inputs'!$B$95</f>
        <v>0</v>
      </c>
      <c r="AN171" s="137">
        <f t="shared" si="40"/>
        <v>0</v>
      </c>
      <c r="AO171" s="137">
        <f>('School Level Inst. Resources'!K171*'Model Data Inputs'!$B$96)+('School Level Inst. Resources'!J171*'Model Data Inputs'!$B$97)</f>
        <v>0</v>
      </c>
      <c r="AP171" s="137">
        <f>$L171*'Model Data Inputs'!$B$100</f>
        <v>18005.8</v>
      </c>
      <c r="AQ171" s="137">
        <f t="shared" si="41"/>
        <v>3966054.7130074915</v>
      </c>
      <c r="AR171" s="141">
        <f t="shared" si="34"/>
        <v>8810.6159415465936</v>
      </c>
    </row>
    <row r="172" spans="1:44" s="40" customFormat="1" ht="12.75" customHeight="1" x14ac:dyDescent="0.2">
      <c r="A172" s="20" t="s">
        <v>58</v>
      </c>
      <c r="B172" s="20" t="s">
        <v>59</v>
      </c>
      <c r="C172" s="20" t="s">
        <v>711</v>
      </c>
      <c r="D172" s="20" t="s">
        <v>432</v>
      </c>
      <c r="E172" s="138" t="s">
        <v>525</v>
      </c>
      <c r="F172" s="138" t="str">
        <f>IF(AND(SUM('School Level ADM'!$F172:$J172)=0,SUM('School Level ADM'!$O172:$R172)=0,'School Level ADM'!$K172&gt;0,'School Level ADM'!$N172&gt;0),"T","F")</f>
        <v>F</v>
      </c>
      <c r="G172" s="138" t="str">
        <f>IF(AND(SUM('School Level ADM'!$M172:$R172)=0,'School Level ADM'!$L172&gt;0),"T","F")</f>
        <v>T</v>
      </c>
      <c r="H172" s="138" t="str">
        <f t="shared" si="28"/>
        <v>E</v>
      </c>
      <c r="I172" s="139">
        <f>IF($F172="T",SUM('School Level ADM'!$F172:$J172),IF($G172="T",SUM('School Level ADM'!$F172:$L172),SUM('School Level ADM'!$F172:$K172,0)))</f>
        <v>521.06500000000005</v>
      </c>
      <c r="J172" s="139">
        <f>'School Level ADM'!$S172-$I172-$K172</f>
        <v>0</v>
      </c>
      <c r="K172" s="139">
        <f>IF(SUM('School Level ADM'!$N172:$R172)='School Level ADM'!$S172,SUM('School Level ADM'!$N172:$R172),IF(OR(SUM('School Level ADM'!$F172:$O172)='School Level ADM'!$S172,SUM('School Level ADM'!$G172:$O172)='School Level ADM'!$S172,SUM('School Level ADM'!$H172:$O172)='School Level ADM'!$S172,SUM('School Level ADM'!$I172:$O172)='School Level ADM'!$S172,SUM('School Level ADM'!$J172:$O172)='School Level ADM'!$S172,SUM('School Level ADM'!$K172:$O172)='School Level ADM'!$S172,SUM('School Level ADM'!$L172:$O172)='School Level ADM'!$S172,SUM('School Level ADM'!$M172:$O172)='School Level ADM'!$S172,SUM('School Level ADM'!$N172:$O172)='School Level ADM'!$S172),0,SUM('School Level ADM'!$O172:$R172)))</f>
        <v>0</v>
      </c>
      <c r="L172" s="139">
        <f t="shared" si="29"/>
        <v>521.06500000000005</v>
      </c>
      <c r="M172" s="24">
        <f>'Student At-Risk and ELL Proxy'!S172</f>
        <v>144</v>
      </c>
      <c r="N172" s="24">
        <f>'Student At-Risk and ELL Proxy'!AH172</f>
        <v>7</v>
      </c>
      <c r="O172" s="136">
        <f t="shared" si="35"/>
        <v>0.97</v>
      </c>
      <c r="P172" s="136" t="str">
        <f t="shared" si="36"/>
        <v/>
      </c>
      <c r="Q172" s="136" t="str">
        <f t="shared" si="37"/>
        <v/>
      </c>
      <c r="R172" s="136">
        <f t="shared" si="30"/>
        <v>0.97</v>
      </c>
      <c r="S172" s="136">
        <f>IF(SUM(3515.4*((VLOOKUP($A172,'District Level ADM'!$A$4:$F$52,6,FALSE))^-0.327)/'Model Data Inputs'!$B$71)&lt;1,1,(3515.4*((VLOOKUP($A172,'District Level ADM'!$A$4:$F$52,6,FALSE))^-0.327)/'Model Data Inputs'!$B$71))</f>
        <v>1</v>
      </c>
      <c r="T172" s="136">
        <f>VLOOKUP($A172,'Regional Cost Adjustment'!$A$4:$C$52,3,FALSE)</f>
        <v>1</v>
      </c>
      <c r="U172" s="123">
        <f>((($I172/$L172)*'Model Data Inputs'!$B$85)+((SUM(J172:K172)/$L172)*'Model Data Inputs'!$C$85))*$R172*$T172</f>
        <v>6176.5600660325917</v>
      </c>
      <c r="V172" s="140">
        <f>((($I172/$L172)*'Model Data Inputs'!$B$86)+((SUM(J172:K172)/$L172)*'Model Data Inputs'!$C$86))*$R172</f>
        <v>1641.8459994936507</v>
      </c>
      <c r="W172" s="140">
        <f t="shared" si="38"/>
        <v>7818.4060655262419</v>
      </c>
      <c r="X172" s="140">
        <f t="shared" si="31"/>
        <v>3218389.2708072728</v>
      </c>
      <c r="Y172" s="140">
        <f t="shared" si="32"/>
        <v>855508.48572615918</v>
      </c>
      <c r="Z172" s="123">
        <f>IF((SUM(X172:Y172))&lt;(AVERAGE('Elementary Size Adjustment'!$B$66,'Secondary Size Adjustment'!$B$66)),(AVERAGE('Elementary Size Adjustment'!$B$66,'Secondary Size Adjustment'!$B$66)),SUM(X172:Y172))</f>
        <v>4073897.7565334318</v>
      </c>
      <c r="AA172" s="137">
        <f>'Model Data Inputs'!$B$71*S172*L172</f>
        <v>99002.35</v>
      </c>
      <c r="AB172" s="137">
        <f>L172*'Model Data Inputs'!$B$72</f>
        <v>13026.625000000002</v>
      </c>
      <c r="AC172" s="137">
        <f>L172*'Model Data Inputs'!$B$73</f>
        <v>130266.25000000001</v>
      </c>
      <c r="AD172" s="137">
        <f>L172*'Model Data Inputs'!$B$74</f>
        <v>65133.125000000007</v>
      </c>
      <c r="AE172" s="137">
        <f>$I172*'Model Data Inputs'!$B$76</f>
        <v>12396.136350000001</v>
      </c>
      <c r="AF172" s="137">
        <f>VLOOKUP($J172,'Student Activities MS&amp;HS Tables'!$M$7:$O$1267,3)</f>
        <v>0</v>
      </c>
      <c r="AG172" s="137">
        <f>VLOOKUP($K172,'Student Activities MS&amp;HS Tables'!$I$7:$K$3007,3)</f>
        <v>0</v>
      </c>
      <c r="AH172" s="137">
        <f t="shared" si="33"/>
        <v>12396.136350000001</v>
      </c>
      <c r="AI172" s="123">
        <f t="shared" si="39"/>
        <v>4393722.2428834327</v>
      </c>
      <c r="AJ172" s="123">
        <f>(('Model Data Inputs'!$B$90*(('Model Data Inputs'!$B$87*('School Level Inst. Resources'!I172/'School Level Inst. Resources'!L172))+('Model Data Inputs'!$C$87*(SUM('School Level Inst. Resources'!J172:K172)/'School Level Inst. Resources'!L172))))*T172*M172)</f>
        <v>348201.17735127179</v>
      </c>
      <c r="AK172" s="123">
        <f>(('Model Data Inputs'!$B$91*(('Model Data Inputs'!$B$87*('School Level Inst. Resources'!I172/'School Level Inst. Resources'!L172))+('Model Data Inputs'!$C$87*(SUM('School Level Inst. Resources'!J172:K172)/'School Level Inst. Resources'!L172))))*T172*N172)</f>
        <v>16926.446121242381</v>
      </c>
      <c r="AL172" s="137">
        <f>(K172*'Model Data Inputs'!$B$94)*T172</f>
        <v>0</v>
      </c>
      <c r="AM172" s="137">
        <f>K172*'Model Data Inputs'!$B$95</f>
        <v>0</v>
      </c>
      <c r="AN172" s="137">
        <f t="shared" si="40"/>
        <v>0</v>
      </c>
      <c r="AO172" s="137">
        <f>('School Level Inst. Resources'!K172*'Model Data Inputs'!$B$96)+('School Level Inst. Resources'!J172*'Model Data Inputs'!$B$97)</f>
        <v>0</v>
      </c>
      <c r="AP172" s="137">
        <f>$L172*'Model Data Inputs'!$B$100</f>
        <v>20842.600000000002</v>
      </c>
      <c r="AQ172" s="137">
        <f t="shared" si="41"/>
        <v>4779692.4663559468</v>
      </c>
      <c r="AR172" s="141">
        <f t="shared" si="34"/>
        <v>9172.9294163990035</v>
      </c>
    </row>
    <row r="173" spans="1:44" s="40" customFormat="1" ht="12.75" customHeight="1" x14ac:dyDescent="0.2">
      <c r="A173" s="20" t="s">
        <v>58</v>
      </c>
      <c r="B173" s="20" t="s">
        <v>59</v>
      </c>
      <c r="C173" s="20" t="s">
        <v>712</v>
      </c>
      <c r="D173" s="20" t="s">
        <v>713</v>
      </c>
      <c r="E173" s="138" t="s">
        <v>354</v>
      </c>
      <c r="F173" s="138" t="str">
        <f>IF(AND(SUM('School Level ADM'!$F173:$J173)=0,SUM('School Level ADM'!$O173:$R173)=0,'School Level ADM'!$K173&gt;0,'School Level ADM'!$N173&gt;0),"T","F")</f>
        <v>F</v>
      </c>
      <c r="G173" s="138" t="str">
        <f>IF(AND(SUM('School Level ADM'!$M173:$R173)=0,'School Level ADM'!$L173&gt;0),"T","F")</f>
        <v>F</v>
      </c>
      <c r="H173" s="138" t="str">
        <f t="shared" si="28"/>
        <v>E</v>
      </c>
      <c r="I173" s="139">
        <f>IF($F173="T",SUM('School Level ADM'!$F173:$J173),IF($G173="T",SUM('School Level ADM'!$F173:$L173),SUM('School Level ADM'!$F173:$K173,0)))</f>
        <v>171.39</v>
      </c>
      <c r="J173" s="139">
        <f>'School Level ADM'!$S173-$I173-$K173</f>
        <v>0</v>
      </c>
      <c r="K173" s="139">
        <f>IF(SUM('School Level ADM'!$N173:$R173)='School Level ADM'!$S173,SUM('School Level ADM'!$N173:$R173),IF(OR(SUM('School Level ADM'!$F173:$O173)='School Level ADM'!$S173,SUM('School Level ADM'!$G173:$O173)='School Level ADM'!$S173,SUM('School Level ADM'!$H173:$O173)='School Level ADM'!$S173,SUM('School Level ADM'!$I173:$O173)='School Level ADM'!$S173,SUM('School Level ADM'!$J173:$O173)='School Level ADM'!$S173,SUM('School Level ADM'!$K173:$O173)='School Level ADM'!$S173,SUM('School Level ADM'!$L173:$O173)='School Level ADM'!$S173,SUM('School Level ADM'!$M173:$O173)='School Level ADM'!$S173,SUM('School Level ADM'!$N173:$O173)='School Level ADM'!$S173),0,SUM('School Level ADM'!$O173:$R173)))</f>
        <v>0</v>
      </c>
      <c r="L173" s="139">
        <f t="shared" si="29"/>
        <v>171.39</v>
      </c>
      <c r="M173" s="24">
        <f>'Student At-Risk and ELL Proxy'!S173</f>
        <v>105</v>
      </c>
      <c r="N173" s="24">
        <f>'Student At-Risk and ELL Proxy'!AH173</f>
        <v>12</v>
      </c>
      <c r="O173" s="136">
        <f t="shared" si="35"/>
        <v>1.2402512974901334</v>
      </c>
      <c r="P173" s="136" t="str">
        <f t="shared" si="36"/>
        <v/>
      </c>
      <c r="Q173" s="136" t="str">
        <f t="shared" si="37"/>
        <v/>
      </c>
      <c r="R173" s="136">
        <f t="shared" si="30"/>
        <v>1.2402512974901334</v>
      </c>
      <c r="S173" s="136">
        <f>IF(SUM(3515.4*((VLOOKUP($A173,'District Level ADM'!$A$4:$F$52,6,FALSE))^-0.327)/'Model Data Inputs'!$B$71)&lt;1,1,(3515.4*((VLOOKUP($A173,'District Level ADM'!$A$4:$F$52,6,FALSE))^-0.327)/'Model Data Inputs'!$B$71))</f>
        <v>1</v>
      </c>
      <c r="T173" s="136">
        <f>VLOOKUP($A173,'Regional Cost Adjustment'!$A$4:$C$52,3,FALSE)</f>
        <v>1</v>
      </c>
      <c r="U173" s="123">
        <f>((($I173/$L173)*'Model Data Inputs'!$B$85)+((SUM(J173:K173)/$L173)*'Model Data Inputs'!$C$85))*$R173*$T173</f>
        <v>7897.4089030130581</v>
      </c>
      <c r="V173" s="140">
        <f>((($I173/$L173)*'Model Data Inputs'!$B$86)+((SUM(J173:K173)/$L173)*'Model Data Inputs'!$C$86))*$R173</f>
        <v>2099.2800321144177</v>
      </c>
      <c r="W173" s="140">
        <f t="shared" si="38"/>
        <v>9996.6889351274767</v>
      </c>
      <c r="X173" s="140">
        <f t="shared" si="31"/>
        <v>1353536.911887408</v>
      </c>
      <c r="Y173" s="140">
        <f t="shared" si="32"/>
        <v>359795.60470409004</v>
      </c>
      <c r="Z173" s="123">
        <f>IF((SUM(X173:Y173))&lt;(AVERAGE('Elementary Size Adjustment'!$B$66,'Secondary Size Adjustment'!$B$66)),(AVERAGE('Elementary Size Adjustment'!$B$66,'Secondary Size Adjustment'!$B$66)),SUM(X173:Y173))</f>
        <v>1713332.5165914982</v>
      </c>
      <c r="AA173" s="137">
        <f>'Model Data Inputs'!$B$71*S173*L173</f>
        <v>32564.1</v>
      </c>
      <c r="AB173" s="137">
        <f>L173*'Model Data Inputs'!$B$72</f>
        <v>4284.75</v>
      </c>
      <c r="AC173" s="137">
        <f>L173*'Model Data Inputs'!$B$73</f>
        <v>42847.5</v>
      </c>
      <c r="AD173" s="137">
        <f>L173*'Model Data Inputs'!$B$74</f>
        <v>21423.75</v>
      </c>
      <c r="AE173" s="137">
        <f>$I173*'Model Data Inputs'!$B$76</f>
        <v>4077.3680999999997</v>
      </c>
      <c r="AF173" s="137">
        <f>VLOOKUP($J173,'Student Activities MS&amp;HS Tables'!$M$7:$O$1267,3)</f>
        <v>0</v>
      </c>
      <c r="AG173" s="137">
        <f>VLOOKUP($K173,'Student Activities MS&amp;HS Tables'!$I$7:$K$3007,3)</f>
        <v>0</v>
      </c>
      <c r="AH173" s="137">
        <f t="shared" si="33"/>
        <v>4077.3680999999997</v>
      </c>
      <c r="AI173" s="123">
        <f t="shared" si="39"/>
        <v>1818529.9846914983</v>
      </c>
      <c r="AJ173" s="123">
        <f>(('Model Data Inputs'!$B$90*(('Model Data Inputs'!$B$87*('School Level Inst. Resources'!I173/'School Level Inst. Resources'!L173))+('Model Data Inputs'!$C$87*(SUM('School Level Inst. Resources'!J173:K173)/'School Level Inst. Resources'!L173))))*T173*M173)</f>
        <v>253896.69181863571</v>
      </c>
      <c r="AK173" s="123">
        <f>(('Model Data Inputs'!$B$91*(('Model Data Inputs'!$B$87*('School Level Inst. Resources'!I173/'School Level Inst. Resources'!L173))+('Model Data Inputs'!$C$87*(SUM('School Level Inst. Resources'!J173:K173)/'School Level Inst. Resources'!L173))))*T173*N173)</f>
        <v>29016.764779272649</v>
      </c>
      <c r="AL173" s="137">
        <f>(K173*'Model Data Inputs'!$B$94)*T173</f>
        <v>0</v>
      </c>
      <c r="AM173" s="137">
        <f>K173*'Model Data Inputs'!$B$95</f>
        <v>0</v>
      </c>
      <c r="AN173" s="137">
        <f t="shared" si="40"/>
        <v>0</v>
      </c>
      <c r="AO173" s="137">
        <f>('School Level Inst. Resources'!K173*'Model Data Inputs'!$B$96)+('School Level Inst. Resources'!J173*'Model Data Inputs'!$B$97)</f>
        <v>0</v>
      </c>
      <c r="AP173" s="137">
        <f>$L173*'Model Data Inputs'!$B$100</f>
        <v>6855.5999999999995</v>
      </c>
      <c r="AQ173" s="137">
        <f t="shared" si="41"/>
        <v>2108299.0412894068</v>
      </c>
      <c r="AR173" s="141">
        <f t="shared" si="34"/>
        <v>12301.178839427079</v>
      </c>
    </row>
    <row r="174" spans="1:44" s="40" customFormat="1" ht="12.75" customHeight="1" x14ac:dyDescent="0.2">
      <c r="A174" s="20" t="s">
        <v>58</v>
      </c>
      <c r="B174" s="20" t="s">
        <v>59</v>
      </c>
      <c r="C174" s="20" t="s">
        <v>714</v>
      </c>
      <c r="D174" s="20" t="s">
        <v>715</v>
      </c>
      <c r="E174" s="138" t="s">
        <v>716</v>
      </c>
      <c r="F174" s="138" t="str">
        <f>IF(AND(SUM('School Level ADM'!$F174:$J174)=0,SUM('School Level ADM'!$O174:$R174)=0,'School Level ADM'!$K174&gt;0,'School Level ADM'!$N174&gt;0),"T","F")</f>
        <v>F</v>
      </c>
      <c r="G174" s="138" t="str">
        <f>IF(AND(SUM('School Level ADM'!$M174:$R174)=0,'School Level ADM'!$L174&gt;0),"T","F")</f>
        <v>F</v>
      </c>
      <c r="H174" s="138" t="str">
        <f t="shared" si="28"/>
        <v>M</v>
      </c>
      <c r="I174" s="139">
        <f>IF($F174="T",SUM('School Level ADM'!$F174:$J174),IF($G174="T",SUM('School Level ADM'!$F174:$L174),SUM('School Level ADM'!$F174:$K174,0)))</f>
        <v>0</v>
      </c>
      <c r="J174" s="139">
        <f>'School Level ADM'!$S174-$I174-$K174</f>
        <v>73.875</v>
      </c>
      <c r="K174" s="139">
        <f>IF(SUM('School Level ADM'!$N174:$R174)='School Level ADM'!$S174,SUM('School Level ADM'!$N174:$R174),IF(OR(SUM('School Level ADM'!$F174:$O174)='School Level ADM'!$S174,SUM('School Level ADM'!$G174:$O174)='School Level ADM'!$S174,SUM('School Level ADM'!$H174:$O174)='School Level ADM'!$S174,SUM('School Level ADM'!$I174:$O174)='School Level ADM'!$S174,SUM('School Level ADM'!$J174:$O174)='School Level ADM'!$S174,SUM('School Level ADM'!$K174:$O174)='School Level ADM'!$S174,SUM('School Level ADM'!$L174:$O174)='School Level ADM'!$S174,SUM('School Level ADM'!$M174:$O174)='School Level ADM'!$S174,SUM('School Level ADM'!$N174:$O174)='School Level ADM'!$S174),0,SUM('School Level ADM'!$O174:$R174)))</f>
        <v>0</v>
      </c>
      <c r="L174" s="139">
        <f t="shared" si="29"/>
        <v>73.875</v>
      </c>
      <c r="M174" s="24">
        <f>'Student At-Risk and ELL Proxy'!S174</f>
        <v>24</v>
      </c>
      <c r="N174" s="24">
        <f>'Student At-Risk and ELL Proxy'!AH174</f>
        <v>0</v>
      </c>
      <c r="O174" s="136" t="str">
        <f t="shared" si="35"/>
        <v/>
      </c>
      <c r="P174" s="136">
        <f t="shared" si="36"/>
        <v>2.0158586377934475</v>
      </c>
      <c r="Q174" s="136" t="str">
        <f t="shared" si="37"/>
        <v/>
      </c>
      <c r="R174" s="136">
        <f t="shared" si="30"/>
        <v>2.0158586377934475</v>
      </c>
      <c r="S174" s="136">
        <f>IF(SUM(3515.4*((VLOOKUP($A174,'District Level ADM'!$A$4:$F$52,6,FALSE))^-0.327)/'Model Data Inputs'!$B$71)&lt;1,1,(3515.4*((VLOOKUP($A174,'District Level ADM'!$A$4:$F$52,6,FALSE))^-0.327)/'Model Data Inputs'!$B$71))</f>
        <v>1</v>
      </c>
      <c r="T174" s="136">
        <f>VLOOKUP($A174,'Regional Cost Adjustment'!$A$4:$C$52,3,FALSE)</f>
        <v>1</v>
      </c>
      <c r="U174" s="123">
        <f>((($I174/$L174)*'Model Data Inputs'!$B$85)+((SUM(J174:K174)/$L174)*'Model Data Inputs'!$C$85))*$R174*$T174</f>
        <v>10850.942687701623</v>
      </c>
      <c r="V174" s="140">
        <f>((($I174/$L174)*'Model Data Inputs'!$B$86)+((SUM(J174:K174)/$L174)*'Model Data Inputs'!$C$86))*$R174</f>
        <v>2888.9426718472478</v>
      </c>
      <c r="W174" s="140">
        <f t="shared" si="38"/>
        <v>13739.885359548871</v>
      </c>
      <c r="X174" s="140">
        <f t="shared" si="31"/>
        <v>801613.3910539574</v>
      </c>
      <c r="Y174" s="140">
        <f t="shared" si="32"/>
        <v>213420.63988271542</v>
      </c>
      <c r="Z174" s="123">
        <f>IF((SUM(X174:Y174))&lt;(AVERAGE('Elementary Size Adjustment'!$B$66,'Secondary Size Adjustment'!$B$66)),(AVERAGE('Elementary Size Adjustment'!$B$66,'Secondary Size Adjustment'!$B$66)),SUM(X174:Y174))</f>
        <v>1015034.0309366728</v>
      </c>
      <c r="AA174" s="137">
        <f>'Model Data Inputs'!$B$71*S174*L174</f>
        <v>14036.25</v>
      </c>
      <c r="AB174" s="137">
        <f>L174*'Model Data Inputs'!$B$72</f>
        <v>1846.875</v>
      </c>
      <c r="AC174" s="137">
        <f>L174*'Model Data Inputs'!$B$73</f>
        <v>18468.75</v>
      </c>
      <c r="AD174" s="137">
        <f>L174*'Model Data Inputs'!$B$74</f>
        <v>9234.375</v>
      </c>
      <c r="AE174" s="137">
        <f>$I174*'Model Data Inputs'!$B$76</f>
        <v>0</v>
      </c>
      <c r="AF174" s="137">
        <f>VLOOKUP($J174,'Student Activities MS&amp;HS Tables'!$M$7:$O$1267,3)</f>
        <v>44623.439999999995</v>
      </c>
      <c r="AG174" s="137">
        <f>VLOOKUP($K174,'Student Activities MS&amp;HS Tables'!$I$7:$K$3007,3)</f>
        <v>0</v>
      </c>
      <c r="AH174" s="137">
        <f t="shared" si="33"/>
        <v>44623.439999999995</v>
      </c>
      <c r="AI174" s="123">
        <f t="shared" si="39"/>
        <v>1103243.7209366728</v>
      </c>
      <c r="AJ174" s="123">
        <f>(('Model Data Inputs'!$B$90*(('Model Data Inputs'!$B$87*('School Level Inst. Resources'!I174/'School Level Inst. Resources'!L174))+('Model Data Inputs'!$C$87*(SUM('School Level Inst. Resources'!J174:K174)/'School Level Inst. Resources'!L174))))*T174*M174)</f>
        <v>49074.460249374053</v>
      </c>
      <c r="AK174" s="123">
        <f>(('Model Data Inputs'!$B$91*(('Model Data Inputs'!$B$87*('School Level Inst. Resources'!I174/'School Level Inst. Resources'!L174))+('Model Data Inputs'!$C$87*(SUM('School Level Inst. Resources'!J174:K174)/'School Level Inst. Resources'!L174))))*T174*N174)</f>
        <v>0</v>
      </c>
      <c r="AL174" s="137">
        <f>(K174*'Model Data Inputs'!$B$94)*T174</f>
        <v>0</v>
      </c>
      <c r="AM174" s="137">
        <f>K174*'Model Data Inputs'!$B$95</f>
        <v>0</v>
      </c>
      <c r="AN174" s="137">
        <f t="shared" si="40"/>
        <v>0</v>
      </c>
      <c r="AO174" s="137">
        <f>('School Level Inst. Resources'!K174*'Model Data Inputs'!$B$96)+('School Level Inst. Resources'!J174*'Model Data Inputs'!$B$97)</f>
        <v>1846.875</v>
      </c>
      <c r="AP174" s="137">
        <f>$L174*'Model Data Inputs'!$B$100</f>
        <v>2955</v>
      </c>
      <c r="AQ174" s="137">
        <f t="shared" si="41"/>
        <v>1157120.0561860469</v>
      </c>
      <c r="AR174" s="141">
        <f t="shared" si="34"/>
        <v>15663.215650572547</v>
      </c>
    </row>
    <row r="175" spans="1:44" s="40" customFormat="1" ht="12.75" customHeight="1" x14ac:dyDescent="0.2">
      <c r="A175" s="20" t="s">
        <v>58</v>
      </c>
      <c r="B175" s="20" t="s">
        <v>59</v>
      </c>
      <c r="C175" s="20" t="s">
        <v>717</v>
      </c>
      <c r="D175" s="20" t="s">
        <v>718</v>
      </c>
      <c r="E175" s="138" t="s">
        <v>386</v>
      </c>
      <c r="F175" s="138" t="str">
        <f>IF(AND(SUM('School Level ADM'!$F175:$J175)=0,SUM('School Level ADM'!$O175:$R175)=0,'School Level ADM'!$K175&gt;0,'School Level ADM'!$N175&gt;0),"T","F")</f>
        <v>F</v>
      </c>
      <c r="G175" s="138" t="str">
        <f>IF(AND(SUM('School Level ADM'!$M175:$R175)=0,'School Level ADM'!$L175&gt;0),"T","F")</f>
        <v>F</v>
      </c>
      <c r="H175" s="138" t="str">
        <f t="shared" si="28"/>
        <v>M</v>
      </c>
      <c r="I175" s="139">
        <f>IF($F175="T",SUM('School Level ADM'!$F175:$J175),IF($G175="T",SUM('School Level ADM'!$F175:$L175),SUM('School Level ADM'!$F175:$K175,0)))</f>
        <v>0</v>
      </c>
      <c r="J175" s="139">
        <f>'School Level ADM'!$S175-$I175-$K175</f>
        <v>711.17</v>
      </c>
      <c r="K175" s="139">
        <f>IF(SUM('School Level ADM'!$N175:$R175)='School Level ADM'!$S175,SUM('School Level ADM'!$N175:$R175),IF(OR(SUM('School Level ADM'!$F175:$O175)='School Level ADM'!$S175,SUM('School Level ADM'!$G175:$O175)='School Level ADM'!$S175,SUM('School Level ADM'!$H175:$O175)='School Level ADM'!$S175,SUM('School Level ADM'!$I175:$O175)='School Level ADM'!$S175,SUM('School Level ADM'!$J175:$O175)='School Level ADM'!$S175,SUM('School Level ADM'!$K175:$O175)='School Level ADM'!$S175,SUM('School Level ADM'!$L175:$O175)='School Level ADM'!$S175,SUM('School Level ADM'!$M175:$O175)='School Level ADM'!$S175,SUM('School Level ADM'!$N175:$O175)='School Level ADM'!$S175),0,SUM('School Level ADM'!$O175:$R175)))</f>
        <v>0</v>
      </c>
      <c r="L175" s="139">
        <f t="shared" si="29"/>
        <v>711.17</v>
      </c>
      <c r="M175" s="24">
        <f>'Student At-Risk and ELL Proxy'!S175</f>
        <v>320</v>
      </c>
      <c r="N175" s="24">
        <f>'Student At-Risk and ELL Proxy'!AH175</f>
        <v>9</v>
      </c>
      <c r="O175" s="136" t="str">
        <f t="shared" si="35"/>
        <v/>
      </c>
      <c r="P175" s="136">
        <f t="shared" si="36"/>
        <v>0.97</v>
      </c>
      <c r="Q175" s="136" t="str">
        <f t="shared" si="37"/>
        <v/>
      </c>
      <c r="R175" s="136">
        <f t="shared" si="30"/>
        <v>0.97</v>
      </c>
      <c r="S175" s="136">
        <f>IF(SUM(3515.4*((VLOOKUP($A175,'District Level ADM'!$A$4:$F$52,6,FALSE))^-0.327)/'Model Data Inputs'!$B$71)&lt;1,1,(3515.4*((VLOOKUP($A175,'District Level ADM'!$A$4:$F$52,6,FALSE))^-0.327)/'Model Data Inputs'!$B$71))</f>
        <v>1</v>
      </c>
      <c r="T175" s="136">
        <f>VLOOKUP($A175,'Regional Cost Adjustment'!$A$4:$C$52,3,FALSE)</f>
        <v>1</v>
      </c>
      <c r="U175" s="123">
        <f>((($I175/$L175)*'Model Data Inputs'!$B$85)+((SUM(J175:K175)/$L175)*'Model Data Inputs'!$C$85))*$R175*$T175</f>
        <v>5221.3058047520926</v>
      </c>
      <c r="V175" s="140">
        <f>((($I175/$L175)*'Model Data Inputs'!$B$86)+((SUM(J175:K175)/$L175)*'Model Data Inputs'!$C$86))*$R175</f>
        <v>1390.1145343996893</v>
      </c>
      <c r="W175" s="140">
        <f t="shared" si="38"/>
        <v>6611.4203391517822</v>
      </c>
      <c r="X175" s="140">
        <f t="shared" si="31"/>
        <v>3713236.0491655455</v>
      </c>
      <c r="Y175" s="140">
        <f t="shared" si="32"/>
        <v>988607.75342902704</v>
      </c>
      <c r="Z175" s="123">
        <f>IF((SUM(X175:Y175))&lt;(AVERAGE('Elementary Size Adjustment'!$B$66,'Secondary Size Adjustment'!$B$66)),(AVERAGE('Elementary Size Adjustment'!$B$66,'Secondary Size Adjustment'!$B$66)),SUM(X175:Y175))</f>
        <v>4701843.8025945723</v>
      </c>
      <c r="AA175" s="137">
        <f>'Model Data Inputs'!$B$71*S175*L175</f>
        <v>135122.29999999999</v>
      </c>
      <c r="AB175" s="137">
        <f>L175*'Model Data Inputs'!$B$72</f>
        <v>17779.25</v>
      </c>
      <c r="AC175" s="137">
        <f>L175*'Model Data Inputs'!$B$73</f>
        <v>177792.5</v>
      </c>
      <c r="AD175" s="137">
        <f>L175*'Model Data Inputs'!$B$74</f>
        <v>88896.25</v>
      </c>
      <c r="AE175" s="137">
        <f>$I175*'Model Data Inputs'!$B$76</f>
        <v>0</v>
      </c>
      <c r="AF175" s="137">
        <f>VLOOKUP($J175,'Student Activities MS&amp;HS Tables'!$M$7:$O$1267,3)</f>
        <v>180594</v>
      </c>
      <c r="AG175" s="137">
        <f>VLOOKUP($K175,'Student Activities MS&amp;HS Tables'!$I$7:$K$3007,3)</f>
        <v>0</v>
      </c>
      <c r="AH175" s="137">
        <f t="shared" si="33"/>
        <v>180594</v>
      </c>
      <c r="AI175" s="123">
        <f t="shared" si="39"/>
        <v>5302028.1025945721</v>
      </c>
      <c r="AJ175" s="123">
        <f>(('Model Data Inputs'!$B$90*(('Model Data Inputs'!$B$87*('School Level Inst. Resources'!I175/'School Level Inst. Resources'!L175))+('Model Data Inputs'!$C$87*(SUM('School Level Inst. Resources'!J175:K175)/'School Level Inst. Resources'!L175))))*T175*M175)</f>
        <v>654326.13665832079</v>
      </c>
      <c r="AK175" s="123">
        <f>(('Model Data Inputs'!$B$91*(('Model Data Inputs'!$B$87*('School Level Inst. Resources'!I175/'School Level Inst. Resources'!L175))+('Model Data Inputs'!$C$87*(SUM('School Level Inst. Resources'!J175:K175)/'School Level Inst. Resources'!L175))))*T175*N175)</f>
        <v>18402.922593515272</v>
      </c>
      <c r="AL175" s="137">
        <f>(K175*'Model Data Inputs'!$B$94)*T175</f>
        <v>0</v>
      </c>
      <c r="AM175" s="137">
        <f>K175*'Model Data Inputs'!$B$95</f>
        <v>0</v>
      </c>
      <c r="AN175" s="137">
        <f t="shared" si="40"/>
        <v>0</v>
      </c>
      <c r="AO175" s="137">
        <f>('School Level Inst. Resources'!K175*'Model Data Inputs'!$B$96)+('School Level Inst. Resources'!J175*'Model Data Inputs'!$B$97)</f>
        <v>17779.25</v>
      </c>
      <c r="AP175" s="137">
        <f>$L175*'Model Data Inputs'!$B$100</f>
        <v>28446.799999999999</v>
      </c>
      <c r="AQ175" s="137">
        <f t="shared" si="41"/>
        <v>6020983.2118464084</v>
      </c>
      <c r="AR175" s="141">
        <f t="shared" si="34"/>
        <v>8466.3065256498576</v>
      </c>
    </row>
    <row r="176" spans="1:44" s="40" customFormat="1" ht="12.75" customHeight="1" x14ac:dyDescent="0.2">
      <c r="A176" s="20" t="s">
        <v>58</v>
      </c>
      <c r="B176" s="20" t="s">
        <v>59</v>
      </c>
      <c r="C176" s="20" t="s">
        <v>719</v>
      </c>
      <c r="D176" s="20" t="s">
        <v>720</v>
      </c>
      <c r="E176" s="138" t="s">
        <v>386</v>
      </c>
      <c r="F176" s="138" t="str">
        <f>IF(AND(SUM('School Level ADM'!$F176:$J176)=0,SUM('School Level ADM'!$O176:$R176)=0,'School Level ADM'!$K176&gt;0,'School Level ADM'!$N176&gt;0),"T","F")</f>
        <v>F</v>
      </c>
      <c r="G176" s="138" t="str">
        <f>IF(AND(SUM('School Level ADM'!$M176:$R176)=0,'School Level ADM'!$L176&gt;0),"T","F")</f>
        <v>F</v>
      </c>
      <c r="H176" s="138" t="str">
        <f t="shared" si="28"/>
        <v>M</v>
      </c>
      <c r="I176" s="139">
        <f>IF($F176="T",SUM('School Level ADM'!$F176:$J176),IF($G176="T",SUM('School Level ADM'!$F176:$L176),SUM('School Level ADM'!$F176:$K176,0)))</f>
        <v>0</v>
      </c>
      <c r="J176" s="139">
        <f>'School Level ADM'!$S176-$I176-$K176</f>
        <v>688.51499999999999</v>
      </c>
      <c r="K176" s="139">
        <f>IF(SUM('School Level ADM'!$N176:$R176)='School Level ADM'!$S176,SUM('School Level ADM'!$N176:$R176),IF(OR(SUM('School Level ADM'!$F176:$O176)='School Level ADM'!$S176,SUM('School Level ADM'!$G176:$O176)='School Level ADM'!$S176,SUM('School Level ADM'!$H176:$O176)='School Level ADM'!$S176,SUM('School Level ADM'!$I176:$O176)='School Level ADM'!$S176,SUM('School Level ADM'!$J176:$O176)='School Level ADM'!$S176,SUM('School Level ADM'!$K176:$O176)='School Level ADM'!$S176,SUM('School Level ADM'!$L176:$O176)='School Level ADM'!$S176,SUM('School Level ADM'!$M176:$O176)='School Level ADM'!$S176,SUM('School Level ADM'!$N176:$O176)='School Level ADM'!$S176),0,SUM('School Level ADM'!$O176:$R176)))</f>
        <v>0</v>
      </c>
      <c r="L176" s="139">
        <f t="shared" si="29"/>
        <v>688.51499999999999</v>
      </c>
      <c r="M176" s="24">
        <f>'Student At-Risk and ELL Proxy'!S176</f>
        <v>499</v>
      </c>
      <c r="N176" s="24">
        <f>'Student At-Risk and ELL Proxy'!AH176</f>
        <v>18</v>
      </c>
      <c r="O176" s="136" t="str">
        <f t="shared" si="35"/>
        <v/>
      </c>
      <c r="P176" s="136">
        <f t="shared" si="36"/>
        <v>0.97</v>
      </c>
      <c r="Q176" s="136" t="str">
        <f t="shared" si="37"/>
        <v/>
      </c>
      <c r="R176" s="136">
        <f t="shared" si="30"/>
        <v>0.97</v>
      </c>
      <c r="S176" s="136">
        <f>IF(SUM(3515.4*((VLOOKUP($A176,'District Level ADM'!$A$4:$F$52,6,FALSE))^-0.327)/'Model Data Inputs'!$B$71)&lt;1,1,(3515.4*((VLOOKUP($A176,'District Level ADM'!$A$4:$F$52,6,FALSE))^-0.327)/'Model Data Inputs'!$B$71))</f>
        <v>1</v>
      </c>
      <c r="T176" s="136">
        <f>VLOOKUP($A176,'Regional Cost Adjustment'!$A$4:$C$52,3,FALSE)</f>
        <v>1</v>
      </c>
      <c r="U176" s="123">
        <f>((($I176/$L176)*'Model Data Inputs'!$B$85)+((SUM(J176:K176)/$L176)*'Model Data Inputs'!$C$85))*$R176*$T176</f>
        <v>5221.3058047520926</v>
      </c>
      <c r="V176" s="140">
        <f>((($I176/$L176)*'Model Data Inputs'!$B$86)+((SUM(J176:K176)/$L176)*'Model Data Inputs'!$C$86))*$R176</f>
        <v>1390.1145343996893</v>
      </c>
      <c r="W176" s="140">
        <f t="shared" si="38"/>
        <v>6611.4203391517822</v>
      </c>
      <c r="X176" s="140">
        <f t="shared" si="31"/>
        <v>3594947.3661588868</v>
      </c>
      <c r="Y176" s="140">
        <f t="shared" si="32"/>
        <v>957114.70865220204</v>
      </c>
      <c r="Z176" s="123">
        <f>IF((SUM(X176:Y176))&lt;(AVERAGE('Elementary Size Adjustment'!$B$66,'Secondary Size Adjustment'!$B$66)),(AVERAGE('Elementary Size Adjustment'!$B$66,'Secondary Size Adjustment'!$B$66)),SUM(X176:Y176))</f>
        <v>4552062.0748110889</v>
      </c>
      <c r="AA176" s="137">
        <f>'Model Data Inputs'!$B$71*S176*L176</f>
        <v>130817.84999999999</v>
      </c>
      <c r="AB176" s="137">
        <f>L176*'Model Data Inputs'!$B$72</f>
        <v>17212.875</v>
      </c>
      <c r="AC176" s="137">
        <f>L176*'Model Data Inputs'!$B$73</f>
        <v>172128.75</v>
      </c>
      <c r="AD176" s="137">
        <f>L176*'Model Data Inputs'!$B$74</f>
        <v>86064.375</v>
      </c>
      <c r="AE176" s="137">
        <f>$I176*'Model Data Inputs'!$B$76</f>
        <v>0</v>
      </c>
      <c r="AF176" s="137">
        <f>VLOOKUP($J176,'Student Activities MS&amp;HS Tables'!$M$7:$O$1267,3)</f>
        <v>176244.96000000002</v>
      </c>
      <c r="AG176" s="137">
        <f>VLOOKUP($K176,'Student Activities MS&amp;HS Tables'!$I$7:$K$3007,3)</f>
        <v>0</v>
      </c>
      <c r="AH176" s="137">
        <f t="shared" si="33"/>
        <v>176244.96000000002</v>
      </c>
      <c r="AI176" s="123">
        <f t="shared" si="39"/>
        <v>5134530.8848110884</v>
      </c>
      <c r="AJ176" s="123">
        <f>(('Model Data Inputs'!$B$90*(('Model Data Inputs'!$B$87*('School Level Inst. Resources'!I176/'School Level Inst. Resources'!L176))+('Model Data Inputs'!$C$87*(SUM('School Level Inst. Resources'!J176:K176)/'School Level Inst. Resources'!L176))))*T176*M176)</f>
        <v>1020339.8193515689</v>
      </c>
      <c r="AK176" s="123">
        <f>(('Model Data Inputs'!$B$91*(('Model Data Inputs'!$B$87*('School Level Inst. Resources'!I176/'School Level Inst. Resources'!L176))+('Model Data Inputs'!$C$87*(SUM('School Level Inst. Resources'!J176:K176)/'School Level Inst. Resources'!L176))))*T176*N176)</f>
        <v>36805.845187030543</v>
      </c>
      <c r="AL176" s="137">
        <f>(K176*'Model Data Inputs'!$B$94)*T176</f>
        <v>0</v>
      </c>
      <c r="AM176" s="137">
        <f>K176*'Model Data Inputs'!$B$95</f>
        <v>0</v>
      </c>
      <c r="AN176" s="137">
        <f t="shared" si="40"/>
        <v>0</v>
      </c>
      <c r="AO176" s="137">
        <f>('School Level Inst. Resources'!K176*'Model Data Inputs'!$B$96)+('School Level Inst. Resources'!J176*'Model Data Inputs'!$B$97)</f>
        <v>17212.875</v>
      </c>
      <c r="AP176" s="137">
        <f>$L176*'Model Data Inputs'!$B$100</f>
        <v>27540.6</v>
      </c>
      <c r="AQ176" s="137">
        <f t="shared" si="41"/>
        <v>6236430.0243496876</v>
      </c>
      <c r="AR176" s="141">
        <f t="shared" si="34"/>
        <v>9057.7983404133356</v>
      </c>
    </row>
    <row r="177" spans="1:44" s="40" customFormat="1" ht="12.75" customHeight="1" x14ac:dyDescent="0.2">
      <c r="A177" s="20" t="s">
        <v>58</v>
      </c>
      <c r="B177" s="20" t="s">
        <v>59</v>
      </c>
      <c r="C177" s="20" t="s">
        <v>721</v>
      </c>
      <c r="D177" s="20" t="s">
        <v>722</v>
      </c>
      <c r="E177" s="138" t="s">
        <v>386</v>
      </c>
      <c r="F177" s="138" t="str">
        <f>IF(AND(SUM('School Level ADM'!$F177:$J177)=0,SUM('School Level ADM'!$O177:$R177)=0,'School Level ADM'!$K177&gt;0,'School Level ADM'!$N177&gt;0),"T","F")</f>
        <v>F</v>
      </c>
      <c r="G177" s="138" t="str">
        <f>IF(AND(SUM('School Level ADM'!$M177:$R177)=0,'School Level ADM'!$L177&gt;0),"T","F")</f>
        <v>F</v>
      </c>
      <c r="H177" s="138" t="str">
        <f t="shared" si="28"/>
        <v>M</v>
      </c>
      <c r="I177" s="139">
        <f>IF($F177="T",SUM('School Level ADM'!$F177:$J177),IF($G177="T",SUM('School Level ADM'!$F177:$L177),SUM('School Level ADM'!$F177:$K177,0)))</f>
        <v>0</v>
      </c>
      <c r="J177" s="139">
        <f>'School Level ADM'!$S177-$I177-$K177</f>
        <v>685.56</v>
      </c>
      <c r="K177" s="139">
        <f>IF(SUM('School Level ADM'!$N177:$R177)='School Level ADM'!$S177,SUM('School Level ADM'!$N177:$R177),IF(OR(SUM('School Level ADM'!$F177:$O177)='School Level ADM'!$S177,SUM('School Level ADM'!$G177:$O177)='School Level ADM'!$S177,SUM('School Level ADM'!$H177:$O177)='School Level ADM'!$S177,SUM('School Level ADM'!$I177:$O177)='School Level ADM'!$S177,SUM('School Level ADM'!$J177:$O177)='School Level ADM'!$S177,SUM('School Level ADM'!$K177:$O177)='School Level ADM'!$S177,SUM('School Level ADM'!$L177:$O177)='School Level ADM'!$S177,SUM('School Level ADM'!$M177:$O177)='School Level ADM'!$S177,SUM('School Level ADM'!$N177:$O177)='School Level ADM'!$S177),0,SUM('School Level ADM'!$O177:$R177)))</f>
        <v>0</v>
      </c>
      <c r="L177" s="139">
        <f t="shared" si="29"/>
        <v>685.56</v>
      </c>
      <c r="M177" s="24">
        <f>'Student At-Risk and ELL Proxy'!S177</f>
        <v>188</v>
      </c>
      <c r="N177" s="24">
        <f>'Student At-Risk and ELL Proxy'!AH177</f>
        <v>3</v>
      </c>
      <c r="O177" s="136" t="str">
        <f t="shared" si="35"/>
        <v/>
      </c>
      <c r="P177" s="136">
        <f t="shared" si="36"/>
        <v>0.97</v>
      </c>
      <c r="Q177" s="136" t="str">
        <f t="shared" si="37"/>
        <v/>
      </c>
      <c r="R177" s="136">
        <f t="shared" si="30"/>
        <v>0.97</v>
      </c>
      <c r="S177" s="136">
        <f>IF(SUM(3515.4*((VLOOKUP($A177,'District Level ADM'!$A$4:$F$52,6,FALSE))^-0.327)/'Model Data Inputs'!$B$71)&lt;1,1,(3515.4*((VLOOKUP($A177,'District Level ADM'!$A$4:$F$52,6,FALSE))^-0.327)/'Model Data Inputs'!$B$71))</f>
        <v>1</v>
      </c>
      <c r="T177" s="136">
        <f>VLOOKUP($A177,'Regional Cost Adjustment'!$A$4:$C$52,3,FALSE)</f>
        <v>1</v>
      </c>
      <c r="U177" s="123">
        <f>((($I177/$L177)*'Model Data Inputs'!$B$85)+((SUM(J177:K177)/$L177)*'Model Data Inputs'!$C$85))*$R177*$T177</f>
        <v>5221.3058047520926</v>
      </c>
      <c r="V177" s="140">
        <f>((($I177/$L177)*'Model Data Inputs'!$B$86)+((SUM(J177:K177)/$L177)*'Model Data Inputs'!$C$86))*$R177</f>
        <v>1390.1145343996893</v>
      </c>
      <c r="W177" s="140">
        <f t="shared" si="38"/>
        <v>6611.4203391517822</v>
      </c>
      <c r="X177" s="140">
        <f t="shared" si="31"/>
        <v>3579518.4075058443</v>
      </c>
      <c r="Y177" s="140">
        <f t="shared" si="32"/>
        <v>953006.92020305095</v>
      </c>
      <c r="Z177" s="123">
        <f>IF((SUM(X177:Y177))&lt;(AVERAGE('Elementary Size Adjustment'!$B$66,'Secondary Size Adjustment'!$B$66)),(AVERAGE('Elementary Size Adjustment'!$B$66,'Secondary Size Adjustment'!$B$66)),SUM(X177:Y177))</f>
        <v>4532525.3277088953</v>
      </c>
      <c r="AA177" s="137">
        <f>'Model Data Inputs'!$B$71*S177*L177</f>
        <v>130256.4</v>
      </c>
      <c r="AB177" s="137">
        <f>L177*'Model Data Inputs'!$B$72</f>
        <v>17139</v>
      </c>
      <c r="AC177" s="137">
        <f>L177*'Model Data Inputs'!$B$73</f>
        <v>171390</v>
      </c>
      <c r="AD177" s="137">
        <f>L177*'Model Data Inputs'!$B$74</f>
        <v>85695</v>
      </c>
      <c r="AE177" s="137">
        <f>$I177*'Model Data Inputs'!$B$76</f>
        <v>0</v>
      </c>
      <c r="AF177" s="137">
        <f>VLOOKUP($J177,'Student Activities MS&amp;HS Tables'!$M$7:$O$1267,3)</f>
        <v>175668.25</v>
      </c>
      <c r="AG177" s="137">
        <f>VLOOKUP($K177,'Student Activities MS&amp;HS Tables'!$I$7:$K$3007,3)</f>
        <v>0</v>
      </c>
      <c r="AH177" s="137">
        <f t="shared" si="33"/>
        <v>175668.25</v>
      </c>
      <c r="AI177" s="123">
        <f t="shared" si="39"/>
        <v>5112673.9777088957</v>
      </c>
      <c r="AJ177" s="123">
        <f>(('Model Data Inputs'!$B$90*(('Model Data Inputs'!$B$87*('School Level Inst. Resources'!I177/'School Level Inst. Resources'!L177))+('Model Data Inputs'!$C$87*(SUM('School Level Inst. Resources'!J177:K177)/'School Level Inst. Resources'!L177))))*T177*M177)</f>
        <v>384416.60528676346</v>
      </c>
      <c r="AK177" s="123">
        <f>(('Model Data Inputs'!$B$91*(('Model Data Inputs'!$B$87*('School Level Inst. Resources'!I177/'School Level Inst. Resources'!L177))+('Model Data Inputs'!$C$87*(SUM('School Level Inst. Resources'!J177:K177)/'School Level Inst. Resources'!L177))))*T177*N177)</f>
        <v>6134.3075311717566</v>
      </c>
      <c r="AL177" s="137">
        <f>(K177*'Model Data Inputs'!$B$94)*T177</f>
        <v>0</v>
      </c>
      <c r="AM177" s="137">
        <f>K177*'Model Data Inputs'!$B$95</f>
        <v>0</v>
      </c>
      <c r="AN177" s="137">
        <f t="shared" si="40"/>
        <v>0</v>
      </c>
      <c r="AO177" s="137">
        <f>('School Level Inst. Resources'!K177*'Model Data Inputs'!$B$96)+('School Level Inst. Resources'!J177*'Model Data Inputs'!$B$97)</f>
        <v>17139</v>
      </c>
      <c r="AP177" s="137">
        <f>$L177*'Model Data Inputs'!$B$100</f>
        <v>27422.399999999998</v>
      </c>
      <c r="AQ177" s="137">
        <f t="shared" si="41"/>
        <v>5547786.2905268306</v>
      </c>
      <c r="AR177" s="141">
        <f t="shared" si="34"/>
        <v>8092.3424507363779</v>
      </c>
    </row>
    <row r="178" spans="1:44" s="40" customFormat="1" ht="12.75" customHeight="1" x14ac:dyDescent="0.2">
      <c r="A178" s="20" t="s">
        <v>58</v>
      </c>
      <c r="B178" s="20" t="s">
        <v>59</v>
      </c>
      <c r="C178" s="20" t="s">
        <v>723</v>
      </c>
      <c r="D178" s="20" t="s">
        <v>724</v>
      </c>
      <c r="E178" s="138" t="s">
        <v>389</v>
      </c>
      <c r="F178" s="138" t="str">
        <f>IF(AND(SUM('School Level ADM'!$F178:$J178)=0,SUM('School Level ADM'!$O178:$R178)=0,'School Level ADM'!$K178&gt;0,'School Level ADM'!$N178&gt;0),"T","F")</f>
        <v>F</v>
      </c>
      <c r="G178" s="138" t="str">
        <f>IF(AND(SUM('School Level ADM'!$M178:$R178)=0,'School Level ADM'!$L178&gt;0),"T","F")</f>
        <v>F</v>
      </c>
      <c r="H178" s="138" t="str">
        <f t="shared" si="28"/>
        <v>H</v>
      </c>
      <c r="I178" s="139">
        <f>IF($F178="T",SUM('School Level ADM'!$F178:$J178),IF($G178="T",SUM('School Level ADM'!$F178:$L178),SUM('School Level ADM'!$F178:$K178,0)))</f>
        <v>0</v>
      </c>
      <c r="J178" s="139">
        <f>'School Level ADM'!$S178-$I178-$K178</f>
        <v>0</v>
      </c>
      <c r="K178" s="139">
        <f>IF(SUM('School Level ADM'!$N178:$R178)='School Level ADM'!$S178,SUM('School Level ADM'!$N178:$R178),IF(OR(SUM('School Level ADM'!$F178:$O178)='School Level ADM'!$S178,SUM('School Level ADM'!$G178:$O178)='School Level ADM'!$S178,SUM('School Level ADM'!$H178:$O178)='School Level ADM'!$S178,SUM('School Level ADM'!$I178:$O178)='School Level ADM'!$S178,SUM('School Level ADM'!$J178:$O178)='School Level ADM'!$S178,SUM('School Level ADM'!$K178:$O178)='School Level ADM'!$S178,SUM('School Level ADM'!$L178:$O178)='School Level ADM'!$S178,SUM('School Level ADM'!$M178:$O178)='School Level ADM'!$S178,SUM('School Level ADM'!$N178:$O178)='School Level ADM'!$S178),0,SUM('School Level ADM'!$O178:$R178)))</f>
        <v>1156.3900000000001</v>
      </c>
      <c r="L178" s="139">
        <f t="shared" si="29"/>
        <v>1156.3900000000001</v>
      </c>
      <c r="M178" s="24">
        <f>'Student At-Risk and ELL Proxy'!S178</f>
        <v>240</v>
      </c>
      <c r="N178" s="24">
        <f>'Student At-Risk and ELL Proxy'!AH178</f>
        <v>8</v>
      </c>
      <c r="O178" s="136" t="str">
        <f t="shared" si="35"/>
        <v/>
      </c>
      <c r="P178" s="136">
        <f t="shared" si="36"/>
        <v>0.97</v>
      </c>
      <c r="Q178" s="136" t="str">
        <f t="shared" si="37"/>
        <v/>
      </c>
      <c r="R178" s="136">
        <f t="shared" si="30"/>
        <v>0.97</v>
      </c>
      <c r="S178" s="136">
        <f>IF(SUM(3515.4*((VLOOKUP($A178,'District Level ADM'!$A$4:$F$52,6,FALSE))^-0.327)/'Model Data Inputs'!$B$71)&lt;1,1,(3515.4*((VLOOKUP($A178,'District Level ADM'!$A$4:$F$52,6,FALSE))^-0.327)/'Model Data Inputs'!$B$71))</f>
        <v>1</v>
      </c>
      <c r="T178" s="136">
        <f>VLOOKUP($A178,'Regional Cost Adjustment'!$A$4:$C$52,3,FALSE)</f>
        <v>1</v>
      </c>
      <c r="U178" s="123">
        <f>((($I178/$L178)*'Model Data Inputs'!$B$85)+((SUM(J178:K178)/$L178)*'Model Data Inputs'!$C$85))*$R178*$T178</f>
        <v>5221.3058047520926</v>
      </c>
      <c r="V178" s="140">
        <f>((($I178/$L178)*'Model Data Inputs'!$B$86)+((SUM(J178:K178)/$L178)*'Model Data Inputs'!$C$86))*$R178</f>
        <v>1390.1145343996893</v>
      </c>
      <c r="W178" s="140">
        <f t="shared" si="38"/>
        <v>6611.4203391517822</v>
      </c>
      <c r="X178" s="140">
        <f t="shared" si="31"/>
        <v>6037865.8195572728</v>
      </c>
      <c r="Y178" s="140">
        <f t="shared" si="32"/>
        <v>1607514.5464344569</v>
      </c>
      <c r="Z178" s="123">
        <f>IF((SUM(X178:Y178))&lt;(AVERAGE('Elementary Size Adjustment'!$B$66,'Secondary Size Adjustment'!$B$66)),(AVERAGE('Elementary Size Adjustment'!$B$66,'Secondary Size Adjustment'!$B$66)),SUM(X178:Y178))</f>
        <v>7645380.3659917302</v>
      </c>
      <c r="AA178" s="137">
        <f>'Model Data Inputs'!$B$71*S178*L178</f>
        <v>219714.1</v>
      </c>
      <c r="AB178" s="137">
        <f>L178*'Model Data Inputs'!$B$72</f>
        <v>28909.750000000004</v>
      </c>
      <c r="AC178" s="137">
        <f>L178*'Model Data Inputs'!$B$73</f>
        <v>289097.5</v>
      </c>
      <c r="AD178" s="137">
        <f>L178*'Model Data Inputs'!$B$74</f>
        <v>144548.75</v>
      </c>
      <c r="AE178" s="137">
        <f>$I178*'Model Data Inputs'!$B$76</f>
        <v>0</v>
      </c>
      <c r="AF178" s="137">
        <f>VLOOKUP($J178,'Student Activities MS&amp;HS Tables'!$M$7:$O$1267,3)</f>
        <v>0</v>
      </c>
      <c r="AG178" s="137">
        <f>VLOOKUP($K178,'Student Activities MS&amp;HS Tables'!$I$7:$K$3007,3)</f>
        <v>710038.32000000007</v>
      </c>
      <c r="AH178" s="137">
        <f t="shared" si="33"/>
        <v>710038.32000000007</v>
      </c>
      <c r="AI178" s="123">
        <f t="shared" si="39"/>
        <v>9037688.7859917302</v>
      </c>
      <c r="AJ178" s="123">
        <f>(('Model Data Inputs'!$B$90*(('Model Data Inputs'!$B$87*('School Level Inst. Resources'!I178/'School Level Inst. Resources'!L178))+('Model Data Inputs'!$C$87*(SUM('School Level Inst. Resources'!J178:K178)/'School Level Inst. Resources'!L178))))*T178*M178)</f>
        <v>490744.60249374056</v>
      </c>
      <c r="AK178" s="123">
        <f>(('Model Data Inputs'!$B$91*(('Model Data Inputs'!$B$87*('School Level Inst. Resources'!I178/'School Level Inst. Resources'!L178))+('Model Data Inputs'!$C$87*(SUM('School Level Inst. Resources'!J178:K178)/'School Level Inst. Resources'!L178))))*T178*N178)</f>
        <v>16358.153416458019</v>
      </c>
      <c r="AL178" s="137">
        <f>(K178*'Model Data Inputs'!$B$94)*T178</f>
        <v>190879.92586845002</v>
      </c>
      <c r="AM178" s="137">
        <f>K178*'Model Data Inputs'!$B$95</f>
        <v>48464.102531750003</v>
      </c>
      <c r="AN178" s="137">
        <f t="shared" si="40"/>
        <v>239344.02840020001</v>
      </c>
      <c r="AO178" s="137">
        <f>('School Level Inst. Resources'!K178*'Model Data Inputs'!$B$96)+('School Level Inst. Resources'!J178*'Model Data Inputs'!$B$97)</f>
        <v>115639.00000000001</v>
      </c>
      <c r="AP178" s="137">
        <f>$L178*'Model Data Inputs'!$B$100</f>
        <v>46255.600000000006</v>
      </c>
      <c r="AQ178" s="137">
        <f t="shared" si="41"/>
        <v>9946030.1703021284</v>
      </c>
      <c r="AR178" s="141">
        <f t="shared" si="34"/>
        <v>8600.9306292013316</v>
      </c>
    </row>
    <row r="179" spans="1:44" s="40" customFormat="1" ht="12.75" customHeight="1" x14ac:dyDescent="0.2">
      <c r="A179" s="20" t="s">
        <v>58</v>
      </c>
      <c r="B179" s="20" t="s">
        <v>59</v>
      </c>
      <c r="C179" s="20" t="s">
        <v>725</v>
      </c>
      <c r="D179" s="20" t="s">
        <v>726</v>
      </c>
      <c r="E179" s="138" t="s">
        <v>389</v>
      </c>
      <c r="F179" s="138" t="str">
        <f>IF(AND(SUM('School Level ADM'!$F179:$J179)=0,SUM('School Level ADM'!$O179:$R179)=0,'School Level ADM'!$K179&gt;0,'School Level ADM'!$N179&gt;0),"T","F")</f>
        <v>F</v>
      </c>
      <c r="G179" s="138" t="str">
        <f>IF(AND(SUM('School Level ADM'!$M179:$R179)=0,'School Level ADM'!$L179&gt;0),"T","F")</f>
        <v>F</v>
      </c>
      <c r="H179" s="138" t="str">
        <f t="shared" si="28"/>
        <v>H</v>
      </c>
      <c r="I179" s="139">
        <f>IF($F179="T",SUM('School Level ADM'!$F179:$J179),IF($G179="T",SUM('School Level ADM'!$F179:$L179),SUM('School Level ADM'!$F179:$K179,0)))</f>
        <v>0</v>
      </c>
      <c r="J179" s="139">
        <f>'School Level ADM'!$S179-$I179-$K179</f>
        <v>0</v>
      </c>
      <c r="K179" s="139">
        <f>IF(SUM('School Level ADM'!$N179:$R179)='School Level ADM'!$S179,SUM('School Level ADM'!$N179:$R179),IF(OR(SUM('School Level ADM'!$F179:$O179)='School Level ADM'!$S179,SUM('School Level ADM'!$G179:$O179)='School Level ADM'!$S179,SUM('School Level ADM'!$H179:$O179)='School Level ADM'!$S179,SUM('School Level ADM'!$I179:$O179)='School Level ADM'!$S179,SUM('School Level ADM'!$J179:$O179)='School Level ADM'!$S179,SUM('School Level ADM'!$K179:$O179)='School Level ADM'!$S179,SUM('School Level ADM'!$L179:$O179)='School Level ADM'!$S179,SUM('School Level ADM'!$M179:$O179)='School Level ADM'!$S179,SUM('School Level ADM'!$N179:$O179)='School Level ADM'!$S179),0,SUM('School Level ADM'!$O179:$R179)))</f>
        <v>1422.34</v>
      </c>
      <c r="L179" s="139">
        <f t="shared" si="29"/>
        <v>1422.34</v>
      </c>
      <c r="M179" s="24">
        <f>'Student At-Risk and ELL Proxy'!S179</f>
        <v>454</v>
      </c>
      <c r="N179" s="24">
        <f>'Student At-Risk and ELL Proxy'!AH179</f>
        <v>10</v>
      </c>
      <c r="O179" s="136" t="str">
        <f t="shared" si="35"/>
        <v/>
      </c>
      <c r="P179" s="136">
        <f t="shared" si="36"/>
        <v>0.97</v>
      </c>
      <c r="Q179" s="136" t="str">
        <f t="shared" si="37"/>
        <v/>
      </c>
      <c r="R179" s="136">
        <f t="shared" si="30"/>
        <v>0.97</v>
      </c>
      <c r="S179" s="136">
        <f>IF(SUM(3515.4*((VLOOKUP($A179,'District Level ADM'!$A$4:$F$52,6,FALSE))^-0.327)/'Model Data Inputs'!$B$71)&lt;1,1,(3515.4*((VLOOKUP($A179,'District Level ADM'!$A$4:$F$52,6,FALSE))^-0.327)/'Model Data Inputs'!$B$71))</f>
        <v>1</v>
      </c>
      <c r="T179" s="136">
        <f>VLOOKUP($A179,'Regional Cost Adjustment'!$A$4:$C$52,3,FALSE)</f>
        <v>1</v>
      </c>
      <c r="U179" s="123">
        <f>((($I179/$L179)*'Model Data Inputs'!$B$85)+((SUM(J179:K179)/$L179)*'Model Data Inputs'!$C$85))*$R179*$T179</f>
        <v>5221.3058047520926</v>
      </c>
      <c r="V179" s="140">
        <f>((($I179/$L179)*'Model Data Inputs'!$B$86)+((SUM(J179:K179)/$L179)*'Model Data Inputs'!$C$86))*$R179</f>
        <v>1390.1145343996893</v>
      </c>
      <c r="W179" s="140">
        <f t="shared" si="38"/>
        <v>6611.4203391517822</v>
      </c>
      <c r="X179" s="140">
        <f t="shared" si="31"/>
        <v>7426472.098331091</v>
      </c>
      <c r="Y179" s="140">
        <f t="shared" si="32"/>
        <v>1977215.5068580541</v>
      </c>
      <c r="Z179" s="123">
        <f>IF((SUM(X179:Y179))&lt;(AVERAGE('Elementary Size Adjustment'!$B$66,'Secondary Size Adjustment'!$B$66)),(AVERAGE('Elementary Size Adjustment'!$B$66,'Secondary Size Adjustment'!$B$66)),SUM(X179:Y179))</f>
        <v>9403687.6051891446</v>
      </c>
      <c r="AA179" s="137">
        <f>'Model Data Inputs'!$B$71*S179*L179</f>
        <v>270244.59999999998</v>
      </c>
      <c r="AB179" s="137">
        <f>L179*'Model Data Inputs'!$B$72</f>
        <v>35558.5</v>
      </c>
      <c r="AC179" s="137">
        <f>L179*'Model Data Inputs'!$B$73</f>
        <v>355585</v>
      </c>
      <c r="AD179" s="137">
        <f>L179*'Model Data Inputs'!$B$74</f>
        <v>177792.5</v>
      </c>
      <c r="AE179" s="137">
        <f>$I179*'Model Data Inputs'!$B$76</f>
        <v>0</v>
      </c>
      <c r="AF179" s="137">
        <f>VLOOKUP($J179,'Student Activities MS&amp;HS Tables'!$M$7:$O$1267,3)</f>
        <v>0</v>
      </c>
      <c r="AG179" s="137">
        <f>VLOOKUP($K179,'Student Activities MS&amp;HS Tables'!$I$7:$K$3007,3)</f>
        <v>845563.86</v>
      </c>
      <c r="AH179" s="137">
        <f t="shared" si="33"/>
        <v>845563.86</v>
      </c>
      <c r="AI179" s="123">
        <f t="shared" si="39"/>
        <v>11088432.065189144</v>
      </c>
      <c r="AJ179" s="123">
        <f>(('Model Data Inputs'!$B$90*(('Model Data Inputs'!$B$87*('School Level Inst. Resources'!I179/'School Level Inst. Resources'!L179))+('Model Data Inputs'!$C$87*(SUM('School Level Inst. Resources'!J179:K179)/'School Level Inst. Resources'!L179))))*T179*M179)</f>
        <v>928325.20638399257</v>
      </c>
      <c r="AK179" s="123">
        <f>(('Model Data Inputs'!$B$91*(('Model Data Inputs'!$B$87*('School Level Inst. Resources'!I179/'School Level Inst. Resources'!L179))+('Model Data Inputs'!$C$87*(SUM('School Level Inst. Resources'!J179:K179)/'School Level Inst. Resources'!L179))))*T179*N179)</f>
        <v>20447.691770572525</v>
      </c>
      <c r="AL179" s="137">
        <f>(K179*'Model Data Inputs'!$B$94)*T179</f>
        <v>234779.0570307</v>
      </c>
      <c r="AM179" s="137">
        <f>K179*'Model Data Inputs'!$B$95</f>
        <v>59610.020490499992</v>
      </c>
      <c r="AN179" s="137">
        <f t="shared" si="40"/>
        <v>294389.0775212</v>
      </c>
      <c r="AO179" s="137">
        <f>('School Level Inst. Resources'!K179*'Model Data Inputs'!$B$96)+('School Level Inst. Resources'!J179*'Model Data Inputs'!$B$97)</f>
        <v>142234</v>
      </c>
      <c r="AP179" s="137">
        <f>$L179*'Model Data Inputs'!$B$100</f>
        <v>56893.599999999999</v>
      </c>
      <c r="AQ179" s="137">
        <f t="shared" si="41"/>
        <v>12530721.640864907</v>
      </c>
      <c r="AR179" s="141">
        <f t="shared" si="34"/>
        <v>8809.9340810670492</v>
      </c>
    </row>
    <row r="180" spans="1:44" s="40" customFormat="1" ht="12.75" customHeight="1" x14ac:dyDescent="0.2">
      <c r="A180" s="20" t="s">
        <v>58</v>
      </c>
      <c r="B180" s="20" t="s">
        <v>59</v>
      </c>
      <c r="C180" s="20" t="s">
        <v>727</v>
      </c>
      <c r="D180" s="20" t="s">
        <v>728</v>
      </c>
      <c r="E180" s="138" t="s">
        <v>389</v>
      </c>
      <c r="F180" s="138" t="str">
        <f>IF(AND(SUM('School Level ADM'!$F180:$J180)=0,SUM('School Level ADM'!$O180:$R180)=0,'School Level ADM'!$K180&gt;0,'School Level ADM'!$N180&gt;0),"T","F")</f>
        <v>F</v>
      </c>
      <c r="G180" s="138" t="str">
        <f>IF(AND(SUM('School Level ADM'!$M180:$R180)=0,'School Level ADM'!$L180&gt;0),"T","F")</f>
        <v>F</v>
      </c>
      <c r="H180" s="138" t="str">
        <f t="shared" si="28"/>
        <v>H</v>
      </c>
      <c r="I180" s="139">
        <f>IF($F180="T",SUM('School Level ADM'!$F180:$J180),IF($G180="T",SUM('School Level ADM'!$F180:$L180),SUM('School Level ADM'!$F180:$K180,0)))</f>
        <v>0</v>
      </c>
      <c r="J180" s="139">
        <f>'School Level ADM'!$S180-$I180-$K180</f>
        <v>0</v>
      </c>
      <c r="K180" s="139">
        <f>IF(SUM('School Level ADM'!$N180:$R180)='School Level ADM'!$S180,SUM('School Level ADM'!$N180:$R180),IF(OR(SUM('School Level ADM'!$F180:$O180)='School Level ADM'!$S180,SUM('School Level ADM'!$G180:$O180)='School Level ADM'!$S180,SUM('School Level ADM'!$H180:$O180)='School Level ADM'!$S180,SUM('School Level ADM'!$I180:$O180)='School Level ADM'!$S180,SUM('School Level ADM'!$J180:$O180)='School Level ADM'!$S180,SUM('School Level ADM'!$K180:$O180)='School Level ADM'!$S180,SUM('School Level ADM'!$L180:$O180)='School Level ADM'!$S180,SUM('School Level ADM'!$M180:$O180)='School Level ADM'!$S180,SUM('School Level ADM'!$N180:$O180)='School Level ADM'!$S180),0,SUM('School Level ADM'!$O180:$R180)))</f>
        <v>202.91000000000003</v>
      </c>
      <c r="L180" s="139">
        <f t="shared" si="29"/>
        <v>202.91000000000003</v>
      </c>
      <c r="M180" s="24">
        <f>'Student At-Risk and ELL Proxy'!S180</f>
        <v>171</v>
      </c>
      <c r="N180" s="24">
        <f>'Student At-Risk and ELL Proxy'!AH180</f>
        <v>4</v>
      </c>
      <c r="O180" s="136" t="str">
        <f t="shared" si="35"/>
        <v/>
      </c>
      <c r="P180" s="136">
        <f t="shared" si="36"/>
        <v>1.4139667045666127</v>
      </c>
      <c r="Q180" s="136" t="str">
        <f t="shared" si="37"/>
        <v/>
      </c>
      <c r="R180" s="136">
        <f t="shared" si="30"/>
        <v>1.4139667045666127</v>
      </c>
      <c r="S180" s="136">
        <f>IF(SUM(3515.4*((VLOOKUP($A180,'District Level ADM'!$A$4:$F$52,6,FALSE))^-0.327)/'Model Data Inputs'!$B$71)&lt;1,1,(3515.4*((VLOOKUP($A180,'District Level ADM'!$A$4:$F$52,6,FALSE))^-0.327)/'Model Data Inputs'!$B$71))</f>
        <v>1</v>
      </c>
      <c r="T180" s="136">
        <f>VLOOKUP($A180,'Regional Cost Adjustment'!$A$4:$C$52,3,FALSE)</f>
        <v>1</v>
      </c>
      <c r="U180" s="123">
        <f>((($I180/$L180)*'Model Data Inputs'!$B$85)+((SUM(J180:K180)/$L180)*'Model Data Inputs'!$C$85))*$R180*$T180</f>
        <v>7611.0851157524148</v>
      </c>
      <c r="V180" s="140">
        <f>((($I180/$L180)*'Model Data Inputs'!$B$86)+((SUM(J180:K180)/$L180)*'Model Data Inputs'!$C$86))*$R180</f>
        <v>2026.3666671910103</v>
      </c>
      <c r="W180" s="140">
        <f t="shared" si="38"/>
        <v>9637.4517829434244</v>
      </c>
      <c r="X180" s="140">
        <f t="shared" si="31"/>
        <v>1544365.2808373226</v>
      </c>
      <c r="Y180" s="140">
        <f t="shared" si="32"/>
        <v>411170.06043972797</v>
      </c>
      <c r="Z180" s="123">
        <f>IF((SUM(X180:Y180))&lt;(AVERAGE('Elementary Size Adjustment'!$B$66,'Secondary Size Adjustment'!$B$66)),(AVERAGE('Elementary Size Adjustment'!$B$66,'Secondary Size Adjustment'!$B$66)),SUM(X180:Y180))</f>
        <v>1955535.3412770506</v>
      </c>
      <c r="AA180" s="137">
        <f>'Model Data Inputs'!$B$71*S180*L180</f>
        <v>38552.9</v>
      </c>
      <c r="AB180" s="137">
        <f>L180*'Model Data Inputs'!$B$72</f>
        <v>5072.7500000000009</v>
      </c>
      <c r="AC180" s="137">
        <f>L180*'Model Data Inputs'!$B$73</f>
        <v>50727.500000000007</v>
      </c>
      <c r="AD180" s="137">
        <f>L180*'Model Data Inputs'!$B$74</f>
        <v>25363.750000000004</v>
      </c>
      <c r="AE180" s="137">
        <f>$I180*'Model Data Inputs'!$B$76</f>
        <v>0</v>
      </c>
      <c r="AF180" s="137">
        <f>VLOOKUP($J180,'Student Activities MS&amp;HS Tables'!$M$7:$O$1267,3)</f>
        <v>0</v>
      </c>
      <c r="AG180" s="137">
        <f>VLOOKUP($K180,'Student Activities MS&amp;HS Tables'!$I$7:$K$3007,3)</f>
        <v>256818.76</v>
      </c>
      <c r="AH180" s="137">
        <f t="shared" si="33"/>
        <v>256818.76</v>
      </c>
      <c r="AI180" s="123">
        <f t="shared" si="39"/>
        <v>2332071.0012770505</v>
      </c>
      <c r="AJ180" s="123">
        <f>(('Model Data Inputs'!$B$90*(('Model Data Inputs'!$B$87*('School Level Inst. Resources'!I180/'School Level Inst. Resources'!L180))+('Model Data Inputs'!$C$87*(SUM('School Level Inst. Resources'!J180:K180)/'School Level Inst. Resources'!L180))))*T180*M180)</f>
        <v>349655.52927679016</v>
      </c>
      <c r="AK180" s="123">
        <f>(('Model Data Inputs'!$B$91*(('Model Data Inputs'!$B$87*('School Level Inst. Resources'!I180/'School Level Inst. Resources'!L180))+('Model Data Inputs'!$C$87*(SUM('School Level Inst. Resources'!J180:K180)/'School Level Inst. Resources'!L180))))*T180*N180)</f>
        <v>8179.0767082290095</v>
      </c>
      <c r="AL180" s="137">
        <f>(K180*'Model Data Inputs'!$B$94)*T180</f>
        <v>33493.411183050004</v>
      </c>
      <c r="AM180" s="137">
        <f>K180*'Model Data Inputs'!$B$95</f>
        <v>8503.9225907500004</v>
      </c>
      <c r="AN180" s="137">
        <f t="shared" si="40"/>
        <v>41997.333773800005</v>
      </c>
      <c r="AO180" s="137">
        <f>('School Level Inst. Resources'!K180*'Model Data Inputs'!$B$96)+('School Level Inst. Resources'!J180*'Model Data Inputs'!$B$97)</f>
        <v>20291.000000000004</v>
      </c>
      <c r="AP180" s="137">
        <f>$L180*'Model Data Inputs'!$B$100</f>
        <v>8116.4000000000015</v>
      </c>
      <c r="AQ180" s="137">
        <f t="shared" si="41"/>
        <v>2760310.3410358694</v>
      </c>
      <c r="AR180" s="141">
        <f t="shared" si="34"/>
        <v>13603.619048030501</v>
      </c>
    </row>
    <row r="181" spans="1:44" s="40" customFormat="1" ht="12.75" customHeight="1" x14ac:dyDescent="0.2">
      <c r="A181" s="20" t="s">
        <v>58</v>
      </c>
      <c r="B181" s="20" t="s">
        <v>59</v>
      </c>
      <c r="C181" s="20" t="s">
        <v>729</v>
      </c>
      <c r="D181" s="20" t="s">
        <v>730</v>
      </c>
      <c r="E181" s="138" t="s">
        <v>389</v>
      </c>
      <c r="F181" s="138" t="str">
        <f>IF(AND(SUM('School Level ADM'!$F181:$J181)=0,SUM('School Level ADM'!$O181:$R181)=0,'School Level ADM'!$K181&gt;0,'School Level ADM'!$N181&gt;0),"T","F")</f>
        <v>F</v>
      </c>
      <c r="G181" s="138" t="str">
        <f>IF(AND(SUM('School Level ADM'!$M181:$R181)=0,'School Level ADM'!$L181&gt;0),"T","F")</f>
        <v>F</v>
      </c>
      <c r="H181" s="138" t="str">
        <f t="shared" si="28"/>
        <v>H</v>
      </c>
      <c r="I181" s="139">
        <f>IF($F181="T",SUM('School Level ADM'!$F181:$J181),IF($G181="T",SUM('School Level ADM'!$F181:$L181),SUM('School Level ADM'!$F181:$K181,0)))</f>
        <v>0</v>
      </c>
      <c r="J181" s="139">
        <f>'School Level ADM'!$S181-$I181-$K181</f>
        <v>0</v>
      </c>
      <c r="K181" s="139">
        <f>IF(SUM('School Level ADM'!$N181:$R181)='School Level ADM'!$S181,SUM('School Level ADM'!$N181:$R181),IF(OR(SUM('School Level ADM'!$F181:$O181)='School Level ADM'!$S181,SUM('School Level ADM'!$G181:$O181)='School Level ADM'!$S181,SUM('School Level ADM'!$H181:$O181)='School Level ADM'!$S181,SUM('School Level ADM'!$I181:$O181)='School Level ADM'!$S181,SUM('School Level ADM'!$J181:$O181)='School Level ADM'!$S181,SUM('School Level ADM'!$K181:$O181)='School Level ADM'!$S181,SUM('School Level ADM'!$L181:$O181)='School Level ADM'!$S181,SUM('School Level ADM'!$M181:$O181)='School Level ADM'!$S181,SUM('School Level ADM'!$N181:$O181)='School Level ADM'!$S181),0,SUM('School Level ADM'!$O181:$R181)))</f>
        <v>1123.885</v>
      </c>
      <c r="L181" s="139">
        <f t="shared" si="29"/>
        <v>1123.885</v>
      </c>
      <c r="M181" s="24">
        <f>'Student At-Risk and ELL Proxy'!S181</f>
        <v>667</v>
      </c>
      <c r="N181" s="24">
        <f>'Student At-Risk and ELL Proxy'!AH181</f>
        <v>33</v>
      </c>
      <c r="O181" s="136" t="str">
        <f t="shared" si="35"/>
        <v/>
      </c>
      <c r="P181" s="136">
        <f t="shared" si="36"/>
        <v>0.97</v>
      </c>
      <c r="Q181" s="136" t="str">
        <f t="shared" si="37"/>
        <v/>
      </c>
      <c r="R181" s="136">
        <f t="shared" si="30"/>
        <v>0.97</v>
      </c>
      <c r="S181" s="136">
        <f>IF(SUM(3515.4*((VLOOKUP($A181,'District Level ADM'!$A$4:$F$52,6,FALSE))^-0.327)/'Model Data Inputs'!$B$71)&lt;1,1,(3515.4*((VLOOKUP($A181,'District Level ADM'!$A$4:$F$52,6,FALSE))^-0.327)/'Model Data Inputs'!$B$71))</f>
        <v>1</v>
      </c>
      <c r="T181" s="136">
        <f>VLOOKUP($A181,'Regional Cost Adjustment'!$A$4:$C$52,3,FALSE)</f>
        <v>1</v>
      </c>
      <c r="U181" s="123">
        <f>((($I181/$L181)*'Model Data Inputs'!$B$85)+((SUM(J181:K181)/$L181)*'Model Data Inputs'!$C$85))*$R181*$T181</f>
        <v>5221.3058047520926</v>
      </c>
      <c r="V181" s="140">
        <f>((($I181/$L181)*'Model Data Inputs'!$B$86)+((SUM(J181:K181)/$L181)*'Model Data Inputs'!$C$86))*$R181</f>
        <v>1390.1145343996893</v>
      </c>
      <c r="W181" s="140">
        <f t="shared" si="38"/>
        <v>6611.4203391517822</v>
      </c>
      <c r="X181" s="140">
        <f t="shared" si="31"/>
        <v>5868147.2743738052</v>
      </c>
      <c r="Y181" s="140">
        <f t="shared" si="32"/>
        <v>1562328.8734937948</v>
      </c>
      <c r="Z181" s="123">
        <f>IF((SUM(X181:Y181))&lt;(AVERAGE('Elementary Size Adjustment'!$B$66,'Secondary Size Adjustment'!$B$66)),(AVERAGE('Elementary Size Adjustment'!$B$66,'Secondary Size Adjustment'!$B$66)),SUM(X181:Y181))</f>
        <v>7430476.1478675995</v>
      </c>
      <c r="AA181" s="137">
        <f>'Model Data Inputs'!$B$71*S181*L181</f>
        <v>213538.15</v>
      </c>
      <c r="AB181" s="137">
        <f>L181*'Model Data Inputs'!$B$72</f>
        <v>28097.125</v>
      </c>
      <c r="AC181" s="137">
        <f>L181*'Model Data Inputs'!$B$73</f>
        <v>280971.25</v>
      </c>
      <c r="AD181" s="137">
        <f>L181*'Model Data Inputs'!$B$74</f>
        <v>140485.625</v>
      </c>
      <c r="AE181" s="137">
        <f>$I181*'Model Data Inputs'!$B$76</f>
        <v>0</v>
      </c>
      <c r="AF181" s="137">
        <f>VLOOKUP($J181,'Student Activities MS&amp;HS Tables'!$M$7:$O$1267,3)</f>
        <v>0</v>
      </c>
      <c r="AG181" s="137">
        <f>VLOOKUP($K181,'Student Activities MS&amp;HS Tables'!$I$7:$K$3007,3)</f>
        <v>696765.35000000009</v>
      </c>
      <c r="AH181" s="137">
        <f t="shared" si="33"/>
        <v>696765.35000000009</v>
      </c>
      <c r="AI181" s="123">
        <f t="shared" si="39"/>
        <v>8790333.6478675995</v>
      </c>
      <c r="AJ181" s="123">
        <f>(('Model Data Inputs'!$B$90*(('Model Data Inputs'!$B$87*('School Level Inst. Resources'!I181/'School Level Inst. Resources'!L181))+('Model Data Inputs'!$C$87*(SUM('School Level Inst. Resources'!J181:K181)/'School Level Inst. Resources'!L181))))*T181*M181)</f>
        <v>1363861.0410971874</v>
      </c>
      <c r="AK181" s="123">
        <f>(('Model Data Inputs'!$B$91*(('Model Data Inputs'!$B$87*('School Level Inst. Resources'!I181/'School Level Inst. Resources'!L181))+('Model Data Inputs'!$C$87*(SUM('School Level Inst. Resources'!J181:K181)/'School Level Inst. Resources'!L181))))*T181*N181)</f>
        <v>67477.382842889332</v>
      </c>
      <c r="AL181" s="137">
        <f>(K181*'Model Data Inputs'!$B$94)*T181</f>
        <v>185514.47650417502</v>
      </c>
      <c r="AM181" s="137">
        <f>K181*'Model Data Inputs'!$B$95</f>
        <v>47101.823670124999</v>
      </c>
      <c r="AN181" s="137">
        <f t="shared" si="40"/>
        <v>232616.30017430003</v>
      </c>
      <c r="AO181" s="137">
        <f>('School Level Inst. Resources'!K181*'Model Data Inputs'!$B$96)+('School Level Inst. Resources'!J181*'Model Data Inputs'!$B$97)</f>
        <v>112388.5</v>
      </c>
      <c r="AP181" s="137">
        <f>$L181*'Model Data Inputs'!$B$100</f>
        <v>44955.4</v>
      </c>
      <c r="AQ181" s="137">
        <f t="shared" si="41"/>
        <v>10611632.271981977</v>
      </c>
      <c r="AR181" s="141">
        <f t="shared" si="34"/>
        <v>9441.9200113730294</v>
      </c>
    </row>
    <row r="182" spans="1:44" s="40" customFormat="1" ht="12.75" customHeight="1" x14ac:dyDescent="0.2">
      <c r="A182" s="20" t="s">
        <v>60</v>
      </c>
      <c r="B182" s="20" t="s">
        <v>61</v>
      </c>
      <c r="C182" s="20" t="s">
        <v>731</v>
      </c>
      <c r="D182" s="20" t="s">
        <v>732</v>
      </c>
      <c r="E182" s="138" t="s">
        <v>357</v>
      </c>
      <c r="F182" s="138" t="str">
        <f>IF(AND(SUM('School Level ADM'!$F182:$J182)=0,SUM('School Level ADM'!$O182:$R182)=0,'School Level ADM'!$K182&gt;0,'School Level ADM'!$N182&gt;0),"T","F")</f>
        <v>F</v>
      </c>
      <c r="G182" s="138" t="str">
        <f>IF(AND(SUM('School Level ADM'!$M182:$R182)=0,'School Level ADM'!$L182&gt;0),"T","F")</f>
        <v>T</v>
      </c>
      <c r="H182" s="138" t="str">
        <f t="shared" si="28"/>
        <v>E</v>
      </c>
      <c r="I182" s="139">
        <f>IF($F182="T",SUM('School Level ADM'!$F182:$J182),IF($G182="T",SUM('School Level ADM'!$F182:$L182),SUM('School Level ADM'!$F182:$K182,0)))</f>
        <v>48.265000000000001</v>
      </c>
      <c r="J182" s="139">
        <f>'School Level ADM'!$S182-$I182-$K182</f>
        <v>0</v>
      </c>
      <c r="K182" s="139">
        <f>IF(SUM('School Level ADM'!$N182:$R182)='School Level ADM'!$S182,SUM('School Level ADM'!$N182:$R182),IF(OR(SUM('School Level ADM'!$F182:$O182)='School Level ADM'!$S182,SUM('School Level ADM'!$G182:$O182)='School Level ADM'!$S182,SUM('School Level ADM'!$H182:$O182)='School Level ADM'!$S182,SUM('School Level ADM'!$I182:$O182)='School Level ADM'!$S182,SUM('School Level ADM'!$J182:$O182)='School Level ADM'!$S182,SUM('School Level ADM'!$K182:$O182)='School Level ADM'!$S182,SUM('School Level ADM'!$L182:$O182)='School Level ADM'!$S182,SUM('School Level ADM'!$M182:$O182)='School Level ADM'!$S182,SUM('School Level ADM'!$N182:$O182)='School Level ADM'!$S182),0,SUM('School Level ADM'!$O182:$R182)))</f>
        <v>0</v>
      </c>
      <c r="L182" s="139">
        <f t="shared" si="29"/>
        <v>48.265000000000001</v>
      </c>
      <c r="M182" s="24">
        <f>'Student At-Risk and ELL Proxy'!S182</f>
        <v>24</v>
      </c>
      <c r="N182" s="24">
        <f>'Student At-Risk and ELL Proxy'!AH182</f>
        <v>15</v>
      </c>
      <c r="O182" s="136">
        <f t="shared" si="35"/>
        <v>2.0537626478952098</v>
      </c>
      <c r="P182" s="136" t="str">
        <f t="shared" si="36"/>
        <v/>
      </c>
      <c r="Q182" s="136" t="str">
        <f t="shared" si="37"/>
        <v/>
      </c>
      <c r="R182" s="136">
        <f t="shared" si="30"/>
        <v>2.0537626478952098</v>
      </c>
      <c r="S182" s="136">
        <f>IF(SUM(3515.4*((VLOOKUP($A182,'District Level ADM'!$A$4:$F$52,6,FALSE))^-0.327)/'Model Data Inputs'!$B$71)&lt;1,1,(3515.4*((VLOOKUP($A182,'District Level ADM'!$A$4:$F$52,6,FALSE))^-0.327)/'Model Data Inputs'!$B$71))</f>
        <v>1.9111880089317743</v>
      </c>
      <c r="T182" s="136">
        <f>VLOOKUP($A182,'Regional Cost Adjustment'!$A$4:$C$52,3,FALSE)</f>
        <v>1</v>
      </c>
      <c r="U182" s="123">
        <f>((($I182/$L182)*'Model Data Inputs'!$B$85)+((SUM(J182:K182)/$L182)*'Model Data Inputs'!$C$85))*$R182*$T182</f>
        <v>13077.513769174131</v>
      </c>
      <c r="V182" s="140">
        <f>((($I182/$L182)*'Model Data Inputs'!$B$86)+((SUM(J182:K182)/$L182)*'Model Data Inputs'!$C$86))*$R182</f>
        <v>3476.2494715012754</v>
      </c>
      <c r="W182" s="140">
        <f t="shared" si="38"/>
        <v>16553.763240675406</v>
      </c>
      <c r="X182" s="140">
        <f t="shared" si="31"/>
        <v>631186.2020691894</v>
      </c>
      <c r="Y182" s="140">
        <f t="shared" si="32"/>
        <v>167781.18074200905</v>
      </c>
      <c r="Z182" s="123">
        <f>IF((SUM(X182:Y182))&lt;(AVERAGE('Elementary Size Adjustment'!$B$66,'Secondary Size Adjustment'!$B$66)),(AVERAGE('Elementary Size Adjustment'!$B$66,'Secondary Size Adjustment'!$B$66)),SUM(X182:Y182))</f>
        <v>798967.38281119848</v>
      </c>
      <c r="AA182" s="137">
        <f>'Model Data Inputs'!$B$71*S182*L182</f>
        <v>17526.262957707499</v>
      </c>
      <c r="AB182" s="137">
        <f>L182*'Model Data Inputs'!$B$72</f>
        <v>1206.625</v>
      </c>
      <c r="AC182" s="137">
        <f>L182*'Model Data Inputs'!$B$73</f>
        <v>12066.25</v>
      </c>
      <c r="AD182" s="137">
        <f>L182*'Model Data Inputs'!$B$74</f>
        <v>6033.125</v>
      </c>
      <c r="AE182" s="137">
        <f>$I182*'Model Data Inputs'!$B$76</f>
        <v>1148.22435</v>
      </c>
      <c r="AF182" s="137">
        <f>VLOOKUP($J182,'Student Activities MS&amp;HS Tables'!$M$7:$O$1267,3)</f>
        <v>0</v>
      </c>
      <c r="AG182" s="137">
        <f>VLOOKUP($K182,'Student Activities MS&amp;HS Tables'!$I$7:$K$3007,3)</f>
        <v>0</v>
      </c>
      <c r="AH182" s="137">
        <f t="shared" si="33"/>
        <v>1148.22435</v>
      </c>
      <c r="AI182" s="123">
        <f t="shared" si="39"/>
        <v>836947.87011890602</v>
      </c>
      <c r="AJ182" s="123">
        <f>(('Model Data Inputs'!$B$90*(('Model Data Inputs'!$B$87*('School Level Inst. Resources'!I182/'School Level Inst. Resources'!L182))+('Model Data Inputs'!$C$87*(SUM('School Level Inst. Resources'!J182:K182)/'School Level Inst. Resources'!L182))))*T182*M182)</f>
        <v>58033.529558545299</v>
      </c>
      <c r="AK182" s="123">
        <f>(('Model Data Inputs'!$B$91*(('Model Data Inputs'!$B$87*('School Level Inst. Resources'!I182/'School Level Inst. Resources'!L182))+('Model Data Inputs'!$C$87*(SUM('School Level Inst. Resources'!J182:K182)/'School Level Inst. Resources'!L182))))*T182*N182)</f>
        <v>36270.955974090815</v>
      </c>
      <c r="AL182" s="137">
        <f>(K182*'Model Data Inputs'!$B$94)*T182</f>
        <v>0</v>
      </c>
      <c r="AM182" s="137">
        <f>K182*'Model Data Inputs'!$B$95</f>
        <v>0</v>
      </c>
      <c r="AN182" s="137">
        <f t="shared" si="40"/>
        <v>0</v>
      </c>
      <c r="AO182" s="137">
        <f>('School Level Inst. Resources'!K182*'Model Data Inputs'!$B$96)+('School Level Inst. Resources'!J182*'Model Data Inputs'!$B$97)</f>
        <v>0</v>
      </c>
      <c r="AP182" s="137">
        <f>$L182*'Model Data Inputs'!$B$100</f>
        <v>1930.6</v>
      </c>
      <c r="AQ182" s="137">
        <f t="shared" si="41"/>
        <v>933182.95565154217</v>
      </c>
      <c r="AR182" s="141">
        <f t="shared" si="34"/>
        <v>19334.568645012787</v>
      </c>
    </row>
    <row r="183" spans="1:44" s="40" customFormat="1" ht="12.75" customHeight="1" x14ac:dyDescent="0.2">
      <c r="A183" s="20" t="s">
        <v>60</v>
      </c>
      <c r="B183" s="20" t="s">
        <v>61</v>
      </c>
      <c r="C183" s="20" t="s">
        <v>733</v>
      </c>
      <c r="D183" s="20" t="s">
        <v>734</v>
      </c>
      <c r="E183" s="138" t="s">
        <v>357</v>
      </c>
      <c r="F183" s="138" t="str">
        <f>IF(AND(SUM('School Level ADM'!$F183:$J183)=0,SUM('School Level ADM'!$O183:$R183)=0,'School Level ADM'!$K183&gt;0,'School Level ADM'!$N183&gt;0),"T","F")</f>
        <v>F</v>
      </c>
      <c r="G183" s="138" t="str">
        <f>IF(AND(SUM('School Level ADM'!$M183:$R183)=0,'School Level ADM'!$L183&gt;0),"T","F")</f>
        <v>T</v>
      </c>
      <c r="H183" s="138" t="str">
        <f t="shared" si="28"/>
        <v>E</v>
      </c>
      <c r="I183" s="139">
        <f>IF($F183="T",SUM('School Level ADM'!$F183:$J183),IF($G183="T",SUM('School Level ADM'!$F183:$L183),SUM('School Level ADM'!$F183:$K183,0)))</f>
        <v>105.39500000000001</v>
      </c>
      <c r="J183" s="139">
        <f>'School Level ADM'!$S183-$I183-$K183</f>
        <v>0</v>
      </c>
      <c r="K183" s="139">
        <f>IF(SUM('School Level ADM'!$N183:$R183)='School Level ADM'!$S183,SUM('School Level ADM'!$N183:$R183),IF(OR(SUM('School Level ADM'!$F183:$O183)='School Level ADM'!$S183,SUM('School Level ADM'!$G183:$O183)='School Level ADM'!$S183,SUM('School Level ADM'!$H183:$O183)='School Level ADM'!$S183,SUM('School Level ADM'!$I183:$O183)='School Level ADM'!$S183,SUM('School Level ADM'!$J183:$O183)='School Level ADM'!$S183,SUM('School Level ADM'!$K183:$O183)='School Level ADM'!$S183,SUM('School Level ADM'!$L183:$O183)='School Level ADM'!$S183,SUM('School Level ADM'!$M183:$O183)='School Level ADM'!$S183,SUM('School Level ADM'!$N183:$O183)='School Level ADM'!$S183),0,SUM('School Level ADM'!$O183:$R183)))</f>
        <v>0</v>
      </c>
      <c r="L183" s="139">
        <f t="shared" si="29"/>
        <v>105.39500000000001</v>
      </c>
      <c r="M183" s="24">
        <f>'Student At-Risk and ELL Proxy'!S183</f>
        <v>40</v>
      </c>
      <c r="N183" s="24">
        <f>'Student At-Risk and ELL Proxy'!AH183</f>
        <v>10</v>
      </c>
      <c r="O183" s="136">
        <f t="shared" si="35"/>
        <v>1.5050590771069863</v>
      </c>
      <c r="P183" s="136" t="str">
        <f t="shared" si="36"/>
        <v/>
      </c>
      <c r="Q183" s="136" t="str">
        <f t="shared" si="37"/>
        <v/>
      </c>
      <c r="R183" s="136">
        <f t="shared" si="30"/>
        <v>1.5050590771069863</v>
      </c>
      <c r="S183" s="136">
        <f>IF(SUM(3515.4*((VLOOKUP($A183,'District Level ADM'!$A$4:$F$52,6,FALSE))^-0.327)/'Model Data Inputs'!$B$71)&lt;1,1,(3515.4*((VLOOKUP($A183,'District Level ADM'!$A$4:$F$52,6,FALSE))^-0.327)/'Model Data Inputs'!$B$71))</f>
        <v>1.9111880089317743</v>
      </c>
      <c r="T183" s="136">
        <f>VLOOKUP($A183,'Regional Cost Adjustment'!$A$4:$C$52,3,FALSE)</f>
        <v>1</v>
      </c>
      <c r="U183" s="123">
        <f>((($I183/$L183)*'Model Data Inputs'!$B$85)+((SUM(J183:K183)/$L183)*'Model Data Inputs'!$C$85))*$R183*$T183</f>
        <v>9583.5956625555445</v>
      </c>
      <c r="V183" s="140">
        <f>((($I183/$L183)*'Model Data Inputs'!$B$86)+((SUM(J183:K183)/$L183)*'Model Data Inputs'!$C$86))*$R183</f>
        <v>2547.5002317007334</v>
      </c>
      <c r="W183" s="140">
        <f t="shared" si="38"/>
        <v>12131.095894256277</v>
      </c>
      <c r="X183" s="140">
        <f t="shared" si="31"/>
        <v>1010063.0648550417</v>
      </c>
      <c r="Y183" s="140">
        <f t="shared" si="32"/>
        <v>268493.78692009882</v>
      </c>
      <c r="Z183" s="123">
        <f>IF((SUM(X183:Y183))&lt;(AVERAGE('Elementary Size Adjustment'!$B$66,'Secondary Size Adjustment'!$B$66)),(AVERAGE('Elementary Size Adjustment'!$B$66,'Secondary Size Adjustment'!$B$66)),SUM(X183:Y183))</f>
        <v>1278556.8517751405</v>
      </c>
      <c r="AA183" s="137">
        <f>'Model Data Inputs'!$B$71*S183*L183</f>
        <v>38271.635438259233</v>
      </c>
      <c r="AB183" s="137">
        <f>L183*'Model Data Inputs'!$B$72</f>
        <v>2634.8750000000005</v>
      </c>
      <c r="AC183" s="137">
        <f>L183*'Model Data Inputs'!$B$73</f>
        <v>26348.750000000004</v>
      </c>
      <c r="AD183" s="137">
        <f>L183*'Model Data Inputs'!$B$74</f>
        <v>13174.375000000002</v>
      </c>
      <c r="AE183" s="137">
        <f>$I183*'Model Data Inputs'!$B$76</f>
        <v>2507.3470500000003</v>
      </c>
      <c r="AF183" s="137">
        <f>VLOOKUP($J183,'Student Activities MS&amp;HS Tables'!$M$7:$O$1267,3)</f>
        <v>0</v>
      </c>
      <c r="AG183" s="137">
        <f>VLOOKUP($K183,'Student Activities MS&amp;HS Tables'!$I$7:$K$3007,3)</f>
        <v>0</v>
      </c>
      <c r="AH183" s="137">
        <f t="shared" si="33"/>
        <v>2507.3470500000003</v>
      </c>
      <c r="AI183" s="123">
        <f t="shared" si="39"/>
        <v>1361493.8342633997</v>
      </c>
      <c r="AJ183" s="123">
        <f>(('Model Data Inputs'!$B$90*(('Model Data Inputs'!$B$87*('School Level Inst. Resources'!I183/'School Level Inst. Resources'!L183))+('Model Data Inputs'!$C$87*(SUM('School Level Inst. Resources'!J183:K183)/'School Level Inst. Resources'!L183))))*T183*M183)</f>
        <v>96722.549264242174</v>
      </c>
      <c r="AK183" s="123">
        <f>(('Model Data Inputs'!$B$91*(('Model Data Inputs'!$B$87*('School Level Inst. Resources'!I183/'School Level Inst. Resources'!L183))+('Model Data Inputs'!$C$87*(SUM('School Level Inst. Resources'!J183:K183)/'School Level Inst. Resources'!L183))))*T183*N183)</f>
        <v>24180.637316060544</v>
      </c>
      <c r="AL183" s="137">
        <f>(K183*'Model Data Inputs'!$B$94)*T183</f>
        <v>0</v>
      </c>
      <c r="AM183" s="137">
        <f>K183*'Model Data Inputs'!$B$95</f>
        <v>0</v>
      </c>
      <c r="AN183" s="137">
        <f t="shared" si="40"/>
        <v>0</v>
      </c>
      <c r="AO183" s="137">
        <f>('School Level Inst. Resources'!K183*'Model Data Inputs'!$B$96)+('School Level Inst. Resources'!J183*'Model Data Inputs'!$B$97)</f>
        <v>0</v>
      </c>
      <c r="AP183" s="137">
        <f>$L183*'Model Data Inputs'!$B$100</f>
        <v>4215.8</v>
      </c>
      <c r="AQ183" s="137">
        <f t="shared" si="41"/>
        <v>1486612.8208437024</v>
      </c>
      <c r="AR183" s="141">
        <f t="shared" si="34"/>
        <v>14105.155091263365</v>
      </c>
    </row>
    <row r="184" spans="1:44" s="40" customFormat="1" ht="12.75" customHeight="1" x14ac:dyDescent="0.2">
      <c r="A184" s="20" t="s">
        <v>60</v>
      </c>
      <c r="B184" s="20" t="s">
        <v>61</v>
      </c>
      <c r="C184" s="20" t="s">
        <v>735</v>
      </c>
      <c r="D184" s="20" t="s">
        <v>736</v>
      </c>
      <c r="E184" s="138" t="s">
        <v>357</v>
      </c>
      <c r="F184" s="138" t="str">
        <f>IF(AND(SUM('School Level ADM'!$F184:$J184)=0,SUM('School Level ADM'!$O184:$R184)=0,'School Level ADM'!$K184&gt;0,'School Level ADM'!$N184&gt;0),"T","F")</f>
        <v>F</v>
      </c>
      <c r="G184" s="138" t="str">
        <f>IF(AND(SUM('School Level ADM'!$M184:$R184)=0,'School Level ADM'!$L184&gt;0),"T","F")</f>
        <v>T</v>
      </c>
      <c r="H184" s="138" t="str">
        <f t="shared" si="28"/>
        <v>E</v>
      </c>
      <c r="I184" s="139">
        <f>IF($F184="T",SUM('School Level ADM'!$F184:$J184),IF($G184="T",SUM('School Level ADM'!$F184:$L184),SUM('School Level ADM'!$F184:$K184,0)))</f>
        <v>150.70500000000001</v>
      </c>
      <c r="J184" s="139">
        <f>'School Level ADM'!$S184-$I184-$K184</f>
        <v>0</v>
      </c>
      <c r="K184" s="139">
        <f>IF(SUM('School Level ADM'!$N184:$R184)='School Level ADM'!$S184,SUM('School Level ADM'!$N184:$R184),IF(OR(SUM('School Level ADM'!$F184:$O184)='School Level ADM'!$S184,SUM('School Level ADM'!$G184:$O184)='School Level ADM'!$S184,SUM('School Level ADM'!$H184:$O184)='School Level ADM'!$S184,SUM('School Level ADM'!$I184:$O184)='School Level ADM'!$S184,SUM('School Level ADM'!$J184:$O184)='School Level ADM'!$S184,SUM('School Level ADM'!$K184:$O184)='School Level ADM'!$S184,SUM('School Level ADM'!$L184:$O184)='School Level ADM'!$S184,SUM('School Level ADM'!$M184:$O184)='School Level ADM'!$S184,SUM('School Level ADM'!$N184:$O184)='School Level ADM'!$S184),0,SUM('School Level ADM'!$O184:$R184)))</f>
        <v>0</v>
      </c>
      <c r="L184" s="139">
        <f t="shared" si="29"/>
        <v>150.70500000000001</v>
      </c>
      <c r="M184" s="24">
        <f>'Student At-Risk and ELL Proxy'!S184</f>
        <v>67</v>
      </c>
      <c r="N184" s="24">
        <f>'Student At-Risk and ELL Proxy'!AH184</f>
        <v>11</v>
      </c>
      <c r="O184" s="136">
        <f t="shared" si="35"/>
        <v>1.3053924646064885</v>
      </c>
      <c r="P184" s="136" t="str">
        <f t="shared" si="36"/>
        <v/>
      </c>
      <c r="Q184" s="136" t="str">
        <f t="shared" si="37"/>
        <v/>
      </c>
      <c r="R184" s="136">
        <f t="shared" si="30"/>
        <v>1.3053924646064885</v>
      </c>
      <c r="S184" s="136">
        <f>IF(SUM(3515.4*((VLOOKUP($A184,'District Level ADM'!$A$4:$F$52,6,FALSE))^-0.327)/'Model Data Inputs'!$B$71)&lt;1,1,(3515.4*((VLOOKUP($A184,'District Level ADM'!$A$4:$F$52,6,FALSE))^-0.327)/'Model Data Inputs'!$B$71))</f>
        <v>1.9111880089317743</v>
      </c>
      <c r="T184" s="136">
        <f>VLOOKUP($A184,'Regional Cost Adjustment'!$A$4:$C$52,3,FALSE)</f>
        <v>1</v>
      </c>
      <c r="U184" s="123">
        <f>((($I184/$L184)*'Model Data Inputs'!$B$85)+((SUM(J184:K184)/$L184)*'Model Data Inputs'!$C$85))*$R184*$T184</f>
        <v>8312.2009973075255</v>
      </c>
      <c r="V184" s="140">
        <f>((($I184/$L184)*'Model Data Inputs'!$B$86)+((SUM(J184:K184)/$L184)*'Model Data Inputs'!$C$86))*$R184</f>
        <v>2209.539583281773</v>
      </c>
      <c r="W184" s="140">
        <f t="shared" si="38"/>
        <v>10521.740580589299</v>
      </c>
      <c r="X184" s="140">
        <f t="shared" si="31"/>
        <v>1252690.2512992308</v>
      </c>
      <c r="Y184" s="140">
        <f t="shared" si="32"/>
        <v>332988.66289847961</v>
      </c>
      <c r="Z184" s="123">
        <f>IF((SUM(X184:Y184))&lt;(AVERAGE('Elementary Size Adjustment'!$B$66,'Secondary Size Adjustment'!$B$66)),(AVERAGE('Elementary Size Adjustment'!$B$66,'Secondary Size Adjustment'!$B$66)),SUM(X184:Y184))</f>
        <v>1585678.9141977103</v>
      </c>
      <c r="AA184" s="137">
        <f>'Model Data Inputs'!$B$71*S184*L184</f>
        <v>54724.861888351988</v>
      </c>
      <c r="AB184" s="137">
        <f>L184*'Model Data Inputs'!$B$72</f>
        <v>3767.6250000000005</v>
      </c>
      <c r="AC184" s="137">
        <f>L184*'Model Data Inputs'!$B$73</f>
        <v>37676.25</v>
      </c>
      <c r="AD184" s="137">
        <f>L184*'Model Data Inputs'!$B$74</f>
        <v>18838.125</v>
      </c>
      <c r="AE184" s="137">
        <f>$I184*'Model Data Inputs'!$B$76</f>
        <v>3585.2719500000003</v>
      </c>
      <c r="AF184" s="137">
        <f>VLOOKUP($J184,'Student Activities MS&amp;HS Tables'!$M$7:$O$1267,3)</f>
        <v>0</v>
      </c>
      <c r="AG184" s="137">
        <f>VLOOKUP($K184,'Student Activities MS&amp;HS Tables'!$I$7:$K$3007,3)</f>
        <v>0</v>
      </c>
      <c r="AH184" s="137">
        <f t="shared" si="33"/>
        <v>3585.2719500000003</v>
      </c>
      <c r="AI184" s="123">
        <f t="shared" si="39"/>
        <v>1704271.0480360624</v>
      </c>
      <c r="AJ184" s="123">
        <f>(('Model Data Inputs'!$B$90*(('Model Data Inputs'!$B$87*('School Level Inst. Resources'!I184/'School Level Inst. Resources'!L184))+('Model Data Inputs'!$C$87*(SUM('School Level Inst. Resources'!J184:K184)/'School Level Inst. Resources'!L184))))*T184*M184)</f>
        <v>162010.27001760562</v>
      </c>
      <c r="AK184" s="123">
        <f>(('Model Data Inputs'!$B$91*(('Model Data Inputs'!$B$87*('School Level Inst. Resources'!I184/'School Level Inst. Resources'!L184))+('Model Data Inputs'!$C$87*(SUM('School Level Inst. Resources'!J184:K184)/'School Level Inst. Resources'!L184))))*T184*N184)</f>
        <v>26598.701047666596</v>
      </c>
      <c r="AL184" s="137">
        <f>(K184*'Model Data Inputs'!$B$94)*T184</f>
        <v>0</v>
      </c>
      <c r="AM184" s="137">
        <f>K184*'Model Data Inputs'!$B$95</f>
        <v>0</v>
      </c>
      <c r="AN184" s="137">
        <f t="shared" si="40"/>
        <v>0</v>
      </c>
      <c r="AO184" s="137">
        <f>('School Level Inst. Resources'!K184*'Model Data Inputs'!$B$96)+('School Level Inst. Resources'!J184*'Model Data Inputs'!$B$97)</f>
        <v>0</v>
      </c>
      <c r="AP184" s="137">
        <f>$L184*'Model Data Inputs'!$B$100</f>
        <v>6028.2000000000007</v>
      </c>
      <c r="AQ184" s="137">
        <f t="shared" si="41"/>
        <v>1898908.2191013345</v>
      </c>
      <c r="AR184" s="141">
        <f t="shared" si="34"/>
        <v>12600.167340840278</v>
      </c>
    </row>
    <row r="185" spans="1:44" s="40" customFormat="1" ht="12.75" customHeight="1" x14ac:dyDescent="0.2">
      <c r="A185" s="20" t="s">
        <v>60</v>
      </c>
      <c r="B185" s="20" t="s">
        <v>61</v>
      </c>
      <c r="C185" s="20" t="s">
        <v>737</v>
      </c>
      <c r="D185" s="20" t="s">
        <v>738</v>
      </c>
      <c r="E185" s="138" t="s">
        <v>357</v>
      </c>
      <c r="F185" s="138" t="str">
        <f>IF(AND(SUM('School Level ADM'!$F185:$J185)=0,SUM('School Level ADM'!$O185:$R185)=0,'School Level ADM'!$K185&gt;0,'School Level ADM'!$N185&gt;0),"T","F")</f>
        <v>F</v>
      </c>
      <c r="G185" s="138" t="str">
        <f>IF(AND(SUM('School Level ADM'!$M185:$R185)=0,'School Level ADM'!$L185&gt;0),"T","F")</f>
        <v>T</v>
      </c>
      <c r="H185" s="138" t="str">
        <f t="shared" si="28"/>
        <v>E</v>
      </c>
      <c r="I185" s="139">
        <f>IF($F185="T",SUM('School Level ADM'!$F185:$J185),IF($G185="T",SUM('School Level ADM'!$F185:$L185),SUM('School Level ADM'!$F185:$K185,0)))</f>
        <v>261.02499999999998</v>
      </c>
      <c r="J185" s="139">
        <f>'School Level ADM'!$S185-$I185-$K185</f>
        <v>0</v>
      </c>
      <c r="K185" s="139">
        <f>IF(SUM('School Level ADM'!$N185:$R185)='School Level ADM'!$S185,SUM('School Level ADM'!$N185:$R185),IF(OR(SUM('School Level ADM'!$F185:$O185)='School Level ADM'!$S185,SUM('School Level ADM'!$G185:$O185)='School Level ADM'!$S185,SUM('School Level ADM'!$H185:$O185)='School Level ADM'!$S185,SUM('School Level ADM'!$I185:$O185)='School Level ADM'!$S185,SUM('School Level ADM'!$J185:$O185)='School Level ADM'!$S185,SUM('School Level ADM'!$K185:$O185)='School Level ADM'!$S185,SUM('School Level ADM'!$L185:$O185)='School Level ADM'!$S185,SUM('School Level ADM'!$M185:$O185)='School Level ADM'!$S185,SUM('School Level ADM'!$N185:$O185)='School Level ADM'!$S185),0,SUM('School Level ADM'!$O185:$R185)))</f>
        <v>0</v>
      </c>
      <c r="L185" s="139">
        <f t="shared" si="29"/>
        <v>261.02499999999998</v>
      </c>
      <c r="M185" s="24">
        <f>'Student At-Risk and ELL Proxy'!S185</f>
        <v>108</v>
      </c>
      <c r="N185" s="24">
        <f>'Student At-Risk and ELL Proxy'!AH185</f>
        <v>6</v>
      </c>
      <c r="O185" s="136">
        <f t="shared" si="35"/>
        <v>1.0490505916379937</v>
      </c>
      <c r="P185" s="136" t="str">
        <f t="shared" si="36"/>
        <v/>
      </c>
      <c r="Q185" s="136" t="str">
        <f t="shared" si="37"/>
        <v/>
      </c>
      <c r="R185" s="136">
        <f t="shared" si="30"/>
        <v>1.0490505916379937</v>
      </c>
      <c r="S185" s="136">
        <f>IF(SUM(3515.4*((VLOOKUP($A185,'District Level ADM'!$A$4:$F$52,6,FALSE))^-0.327)/'Model Data Inputs'!$B$71)&lt;1,1,(3515.4*((VLOOKUP($A185,'District Level ADM'!$A$4:$F$52,6,FALSE))^-0.327)/'Model Data Inputs'!$B$71))</f>
        <v>1.9111880089317743</v>
      </c>
      <c r="T185" s="136">
        <f>VLOOKUP($A185,'Regional Cost Adjustment'!$A$4:$C$52,3,FALSE)</f>
        <v>1</v>
      </c>
      <c r="U185" s="123">
        <f>((($I185/$L185)*'Model Data Inputs'!$B$85)+((SUM(J185:K185)/$L185)*'Model Data Inputs'!$C$85))*$R185*$T185</f>
        <v>6679.9216407825734</v>
      </c>
      <c r="V185" s="140">
        <f>((($I185/$L185)*'Model Data Inputs'!$B$86)+((SUM(J185:K185)/$L185)*'Model Data Inputs'!$C$86))*$R185</f>
        <v>1775.6489867497808</v>
      </c>
      <c r="W185" s="140">
        <f t="shared" si="38"/>
        <v>8455.5706275323537</v>
      </c>
      <c r="X185" s="140">
        <f t="shared" si="31"/>
        <v>1743626.5462852712</v>
      </c>
      <c r="Y185" s="140">
        <f t="shared" si="32"/>
        <v>463488.77676636149</v>
      </c>
      <c r="Z185" s="123">
        <f>IF((SUM(X185:Y185))&lt;(AVERAGE('Elementary Size Adjustment'!$B$66,'Secondary Size Adjustment'!$B$66)),(AVERAGE('Elementary Size Adjustment'!$B$66,'Secondary Size Adjustment'!$B$66)),SUM(X185:Y185))</f>
        <v>2207115.3230516328</v>
      </c>
      <c r="AA185" s="137">
        <f>'Model Data Inputs'!$B$71*S185*L185</f>
        <v>94784.891505969106</v>
      </c>
      <c r="AB185" s="137">
        <f>L185*'Model Data Inputs'!$B$72</f>
        <v>6525.6249999999991</v>
      </c>
      <c r="AC185" s="137">
        <f>L185*'Model Data Inputs'!$B$73</f>
        <v>65256.249999999993</v>
      </c>
      <c r="AD185" s="137">
        <f>L185*'Model Data Inputs'!$B$74</f>
        <v>32628.124999999996</v>
      </c>
      <c r="AE185" s="137">
        <f>$I185*'Model Data Inputs'!$B$76</f>
        <v>6209.7847499999989</v>
      </c>
      <c r="AF185" s="137">
        <f>VLOOKUP($J185,'Student Activities MS&amp;HS Tables'!$M$7:$O$1267,3)</f>
        <v>0</v>
      </c>
      <c r="AG185" s="137">
        <f>VLOOKUP($K185,'Student Activities MS&amp;HS Tables'!$I$7:$K$3007,3)</f>
        <v>0</v>
      </c>
      <c r="AH185" s="137">
        <f t="shared" si="33"/>
        <v>6209.7847499999989</v>
      </c>
      <c r="AI185" s="123">
        <f t="shared" si="39"/>
        <v>2412519.9993076022</v>
      </c>
      <c r="AJ185" s="123">
        <f>(('Model Data Inputs'!$B$90*(('Model Data Inputs'!$B$87*('School Level Inst. Resources'!I185/'School Level Inst. Resources'!L185))+('Model Data Inputs'!$C$87*(SUM('School Level Inst. Resources'!J185:K185)/'School Level Inst. Resources'!L185))))*T185*M185)</f>
        <v>261150.88301345386</v>
      </c>
      <c r="AK185" s="123">
        <f>(('Model Data Inputs'!$B$91*(('Model Data Inputs'!$B$87*('School Level Inst. Resources'!I185/'School Level Inst. Resources'!L185))+('Model Data Inputs'!$C$87*(SUM('School Level Inst. Resources'!J185:K185)/'School Level Inst. Resources'!L185))))*T185*N185)</f>
        <v>14508.382389636325</v>
      </c>
      <c r="AL185" s="137">
        <f>(K185*'Model Data Inputs'!$B$94)*T185</f>
        <v>0</v>
      </c>
      <c r="AM185" s="137">
        <f>K185*'Model Data Inputs'!$B$95</f>
        <v>0</v>
      </c>
      <c r="AN185" s="137">
        <f t="shared" si="40"/>
        <v>0</v>
      </c>
      <c r="AO185" s="137">
        <f>('School Level Inst. Resources'!K185*'Model Data Inputs'!$B$96)+('School Level Inst. Resources'!J185*'Model Data Inputs'!$B$97)</f>
        <v>0</v>
      </c>
      <c r="AP185" s="137">
        <f>$L185*'Model Data Inputs'!$B$100</f>
        <v>10441</v>
      </c>
      <c r="AQ185" s="137">
        <f t="shared" si="41"/>
        <v>2698620.2647106922</v>
      </c>
      <c r="AR185" s="141">
        <f t="shared" si="34"/>
        <v>10338.550961443128</v>
      </c>
    </row>
    <row r="186" spans="1:44" s="40" customFormat="1" ht="12.75" customHeight="1" x14ac:dyDescent="0.2">
      <c r="A186" s="20" t="s">
        <v>60</v>
      </c>
      <c r="B186" s="20" t="s">
        <v>61</v>
      </c>
      <c r="C186" s="20" t="s">
        <v>739</v>
      </c>
      <c r="D186" s="20" t="s">
        <v>740</v>
      </c>
      <c r="E186" s="138" t="s">
        <v>465</v>
      </c>
      <c r="F186" s="138" t="str">
        <f>IF(AND(SUM('School Level ADM'!$F186:$J186)=0,SUM('School Level ADM'!$O186:$R186)=0,'School Level ADM'!$K186&gt;0,'School Level ADM'!$N186&gt;0),"T","F")</f>
        <v>F</v>
      </c>
      <c r="G186" s="138" t="str">
        <f>IF(AND(SUM('School Level ADM'!$M186:$R186)=0,'School Level ADM'!$L186&gt;0),"T","F")</f>
        <v>F</v>
      </c>
      <c r="H186" s="138" t="str">
        <f t="shared" si="28"/>
        <v>H</v>
      </c>
      <c r="I186" s="139">
        <f>IF($F186="T",SUM('School Level ADM'!$F186:$J186),IF($G186="T",SUM('School Level ADM'!$F186:$L186),SUM('School Level ADM'!$F186:$K186,0)))</f>
        <v>0</v>
      </c>
      <c r="J186" s="139">
        <f>'School Level ADM'!$S186-$I186-$K186</f>
        <v>119.185</v>
      </c>
      <c r="K186" s="139">
        <f>IF(SUM('School Level ADM'!$N186:$R186)='School Level ADM'!$S186,SUM('School Level ADM'!$N186:$R186),IF(OR(SUM('School Level ADM'!$F186:$O186)='School Level ADM'!$S186,SUM('School Level ADM'!$G186:$O186)='School Level ADM'!$S186,SUM('School Level ADM'!$H186:$O186)='School Level ADM'!$S186,SUM('School Level ADM'!$I186:$O186)='School Level ADM'!$S186,SUM('School Level ADM'!$J186:$O186)='School Level ADM'!$S186,SUM('School Level ADM'!$K186:$O186)='School Level ADM'!$S186,SUM('School Level ADM'!$L186:$O186)='School Level ADM'!$S186,SUM('School Level ADM'!$M186:$O186)='School Level ADM'!$S186,SUM('School Level ADM'!$N186:$O186)='School Level ADM'!$S186),0,SUM('School Level ADM'!$O186:$R186)))</f>
        <v>172.375</v>
      </c>
      <c r="L186" s="139">
        <f t="shared" si="29"/>
        <v>291.56</v>
      </c>
      <c r="M186" s="24">
        <f>'Student At-Risk and ELL Proxy'!S186</f>
        <v>109</v>
      </c>
      <c r="N186" s="24">
        <f>'Student At-Risk and ELL Proxy'!AH186</f>
        <v>9</v>
      </c>
      <c r="O186" s="136" t="str">
        <f t="shared" si="35"/>
        <v/>
      </c>
      <c r="P186" s="136">
        <f t="shared" si="36"/>
        <v>1.2450396626904887</v>
      </c>
      <c r="Q186" s="136" t="str">
        <f t="shared" si="37"/>
        <v/>
      </c>
      <c r="R186" s="136">
        <f t="shared" si="30"/>
        <v>1.2450396626904887</v>
      </c>
      <c r="S186" s="136">
        <f>IF(SUM(3515.4*((VLOOKUP($A186,'District Level ADM'!$A$4:$F$52,6,FALSE))^-0.327)/'Model Data Inputs'!$B$71)&lt;1,1,(3515.4*((VLOOKUP($A186,'District Level ADM'!$A$4:$F$52,6,FALSE))^-0.327)/'Model Data Inputs'!$B$71))</f>
        <v>1.9111880089317743</v>
      </c>
      <c r="T186" s="136">
        <f>VLOOKUP($A186,'Regional Cost Adjustment'!$A$4:$C$52,3,FALSE)</f>
        <v>1</v>
      </c>
      <c r="U186" s="123">
        <f>((($I186/$L186)*'Model Data Inputs'!$B$85)+((SUM(J186:K186)/$L186)*'Model Data Inputs'!$C$85))*$R186*$T186</f>
        <v>6701.7864102602443</v>
      </c>
      <c r="V186" s="140">
        <f>((($I186/$L186)*'Model Data Inputs'!$B$86)+((SUM(J186:K186)/$L186)*'Model Data Inputs'!$C$86))*$R186</f>
        <v>1784.2760113506547</v>
      </c>
      <c r="W186" s="140">
        <f t="shared" si="38"/>
        <v>8486.062421610899</v>
      </c>
      <c r="X186" s="140">
        <f t="shared" si="31"/>
        <v>1953972.8457754769</v>
      </c>
      <c r="Y186" s="140">
        <f t="shared" si="32"/>
        <v>520223.51386939688</v>
      </c>
      <c r="Z186" s="123">
        <f>IF((SUM(X186:Y186))&lt;(AVERAGE('Elementary Size Adjustment'!$B$66,'Secondary Size Adjustment'!$B$66)),(AVERAGE('Elementary Size Adjustment'!$B$66,'Secondary Size Adjustment'!$B$66)),SUM(X186:Y186))</f>
        <v>2474196.359644874</v>
      </c>
      <c r="AA186" s="137">
        <f>'Model Data Inputs'!$B$71*S186*L186</f>
        <v>105872.93541798815</v>
      </c>
      <c r="AB186" s="137">
        <f>L186*'Model Data Inputs'!$B$72</f>
        <v>7289</v>
      </c>
      <c r="AC186" s="137">
        <f>L186*'Model Data Inputs'!$B$73</f>
        <v>72890</v>
      </c>
      <c r="AD186" s="137">
        <f>L186*'Model Data Inputs'!$B$74</f>
        <v>36445</v>
      </c>
      <c r="AE186" s="137">
        <f>$I186*'Model Data Inputs'!$B$76</f>
        <v>0</v>
      </c>
      <c r="AF186" s="137">
        <f>VLOOKUP($J186,'Student Activities MS&amp;HS Tables'!$M$7:$O$1267,3)</f>
        <v>61043.43</v>
      </c>
      <c r="AG186" s="137">
        <f>VLOOKUP($K186,'Student Activities MS&amp;HS Tables'!$I$7:$K$3007,3)</f>
        <v>233288.75999999998</v>
      </c>
      <c r="AH186" s="137">
        <f t="shared" si="33"/>
        <v>294332.19</v>
      </c>
      <c r="AI186" s="123">
        <f t="shared" si="39"/>
        <v>2991025.4850628623</v>
      </c>
      <c r="AJ186" s="123">
        <f>(('Model Data Inputs'!$B$90*(('Model Data Inputs'!$B$87*('School Level Inst. Resources'!I186/'School Level Inst. Resources'!L186))+('Model Data Inputs'!$C$87*(SUM('School Level Inst. Resources'!J186:K186)/'School Level Inst. Resources'!L186))))*T186*M186)</f>
        <v>222879.84029924052</v>
      </c>
      <c r="AK186" s="123">
        <f>(('Model Data Inputs'!$B$91*(('Model Data Inputs'!$B$87*('School Level Inst. Resources'!I186/'School Level Inst. Resources'!L186))+('Model Data Inputs'!$C$87*(SUM('School Level Inst. Resources'!J186:K186)/'School Level Inst. Resources'!L186))))*T186*N186)</f>
        <v>18402.922593515272</v>
      </c>
      <c r="AL186" s="137">
        <f>(K186*'Model Data Inputs'!$B$94)*T186</f>
        <v>28453.140568125003</v>
      </c>
      <c r="AM186" s="137">
        <f>K186*'Model Data Inputs'!$B$95</f>
        <v>7224.2060843749996</v>
      </c>
      <c r="AN186" s="137">
        <f t="shared" si="40"/>
        <v>35677.346652500004</v>
      </c>
      <c r="AO186" s="137">
        <f>('School Level Inst. Resources'!K186*'Model Data Inputs'!$B$96)+('School Level Inst. Resources'!J186*'Model Data Inputs'!$B$97)</f>
        <v>20217.125</v>
      </c>
      <c r="AP186" s="137">
        <f>$L186*'Model Data Inputs'!$B$100</f>
        <v>11662.4</v>
      </c>
      <c r="AQ186" s="137">
        <f t="shared" si="41"/>
        <v>3299865.1196081177</v>
      </c>
      <c r="AR186" s="141">
        <f t="shared" si="34"/>
        <v>11317.96240776553</v>
      </c>
    </row>
    <row r="187" spans="1:44" s="40" customFormat="1" ht="12.75" customHeight="1" x14ac:dyDescent="0.2">
      <c r="A187" s="20" t="s">
        <v>60</v>
      </c>
      <c r="B187" s="20" t="s">
        <v>61</v>
      </c>
      <c r="C187" s="20" t="s">
        <v>741</v>
      </c>
      <c r="D187" s="20" t="s">
        <v>742</v>
      </c>
      <c r="E187" s="138" t="s">
        <v>465</v>
      </c>
      <c r="F187" s="138" t="str">
        <f>IF(AND(SUM('School Level ADM'!$F187:$J187)=0,SUM('School Level ADM'!$O187:$R187)=0,'School Level ADM'!$K187&gt;0,'School Level ADM'!$N187&gt;0),"T","F")</f>
        <v>F</v>
      </c>
      <c r="G187" s="138" t="str">
        <f>IF(AND(SUM('School Level ADM'!$M187:$R187)=0,'School Level ADM'!$L187&gt;0),"T","F")</f>
        <v>F</v>
      </c>
      <c r="H187" s="138" t="str">
        <f t="shared" si="28"/>
        <v>H</v>
      </c>
      <c r="I187" s="139">
        <f>IF($F187="T",SUM('School Level ADM'!$F187:$J187),IF($G187="T",SUM('School Level ADM'!$F187:$L187),SUM('School Level ADM'!$F187:$K187,0)))</f>
        <v>0</v>
      </c>
      <c r="J187" s="139">
        <f>'School Level ADM'!$S187-$I187-$K187</f>
        <v>56.144999999999996</v>
      </c>
      <c r="K187" s="139">
        <f>IF(SUM('School Level ADM'!$N187:$R187)='School Level ADM'!$S187,SUM('School Level ADM'!$N187:$R187),IF(OR(SUM('School Level ADM'!$F187:$O187)='School Level ADM'!$S187,SUM('School Level ADM'!$G187:$O187)='School Level ADM'!$S187,SUM('School Level ADM'!$H187:$O187)='School Level ADM'!$S187,SUM('School Level ADM'!$I187:$O187)='School Level ADM'!$S187,SUM('School Level ADM'!$J187:$O187)='School Level ADM'!$S187,SUM('School Level ADM'!$K187:$O187)='School Level ADM'!$S187,SUM('School Level ADM'!$L187:$O187)='School Level ADM'!$S187,SUM('School Level ADM'!$M187:$O187)='School Level ADM'!$S187,SUM('School Level ADM'!$N187:$O187)='School Level ADM'!$S187),0,SUM('School Level ADM'!$O187:$R187)))</f>
        <v>122.14</v>
      </c>
      <c r="L187" s="139">
        <f t="shared" si="29"/>
        <v>178.285</v>
      </c>
      <c r="M187" s="24">
        <f>'Student At-Risk and ELL Proxy'!S187</f>
        <v>63</v>
      </c>
      <c r="N187" s="24">
        <f>'Student At-Risk and ELL Proxy'!AH187</f>
        <v>6</v>
      </c>
      <c r="O187" s="136" t="str">
        <f t="shared" si="35"/>
        <v/>
      </c>
      <c r="P187" s="136">
        <f t="shared" si="36"/>
        <v>1.4796581738506447</v>
      </c>
      <c r="Q187" s="136" t="str">
        <f t="shared" si="37"/>
        <v/>
      </c>
      <c r="R187" s="136">
        <f t="shared" si="30"/>
        <v>1.4796581738506447</v>
      </c>
      <c r="S187" s="136">
        <f>IF(SUM(3515.4*((VLOOKUP($A187,'District Level ADM'!$A$4:$F$52,6,FALSE))^-0.327)/'Model Data Inputs'!$B$71)&lt;1,1,(3515.4*((VLOOKUP($A187,'District Level ADM'!$A$4:$F$52,6,FALSE))^-0.327)/'Model Data Inputs'!$B$71))</f>
        <v>1.9111880089317743</v>
      </c>
      <c r="T187" s="136">
        <f>VLOOKUP($A187,'Regional Cost Adjustment'!$A$4:$C$52,3,FALSE)</f>
        <v>1</v>
      </c>
      <c r="U187" s="123">
        <f>((($I187/$L187)*'Model Data Inputs'!$B$85)+((SUM(J187:K187)/$L187)*'Model Data Inputs'!$C$85))*$R187*$T187</f>
        <v>7964.6884661600543</v>
      </c>
      <c r="V187" s="140">
        <f>((($I187/$L187)*'Model Data Inputs'!$B$86)+((SUM(J187:K187)/$L187)*'Model Data Inputs'!$C$86))*$R187</f>
        <v>2120.5096220753439</v>
      </c>
      <c r="W187" s="140">
        <f t="shared" si="38"/>
        <v>10085.198088235398</v>
      </c>
      <c r="X187" s="140">
        <f t="shared" si="31"/>
        <v>1419984.4831893453</v>
      </c>
      <c r="Y187" s="140">
        <f t="shared" si="32"/>
        <v>378055.05797170271</v>
      </c>
      <c r="Z187" s="123">
        <f>IF((SUM(X187:Y187))&lt;(AVERAGE('Elementary Size Adjustment'!$B$66,'Secondary Size Adjustment'!$B$66)),(AVERAGE('Elementary Size Adjustment'!$B$66,'Secondary Size Adjustment'!$B$66)),SUM(X187:Y187))</f>
        <v>1798039.541161048</v>
      </c>
      <c r="AA187" s="137">
        <f>'Model Data Inputs'!$B$71*S187*L187</f>
        <v>64739.869292756266</v>
      </c>
      <c r="AB187" s="137">
        <f>L187*'Model Data Inputs'!$B$72</f>
        <v>4457.125</v>
      </c>
      <c r="AC187" s="137">
        <f>L187*'Model Data Inputs'!$B$73</f>
        <v>44571.25</v>
      </c>
      <c r="AD187" s="137">
        <f>L187*'Model Data Inputs'!$B$74</f>
        <v>22285.625</v>
      </c>
      <c r="AE187" s="137">
        <f>$I187*'Model Data Inputs'!$B$76</f>
        <v>0</v>
      </c>
      <c r="AF187" s="137">
        <f>VLOOKUP($J187,'Student Activities MS&amp;HS Tables'!$M$7:$O$1267,3)</f>
        <v>36496.32</v>
      </c>
      <c r="AG187" s="137">
        <f>VLOOKUP($K187,'Student Activities MS&amp;HS Tables'!$I$7:$K$3007,3)</f>
        <v>182745.02000000002</v>
      </c>
      <c r="AH187" s="137">
        <f t="shared" si="33"/>
        <v>219241.34000000003</v>
      </c>
      <c r="AI187" s="123">
        <f t="shared" si="39"/>
        <v>2153334.7504538042</v>
      </c>
      <c r="AJ187" s="123">
        <f>(('Model Data Inputs'!$B$90*(('Model Data Inputs'!$B$87*('School Level Inst. Resources'!I187/'School Level Inst. Resources'!L187))+('Model Data Inputs'!$C$87*(SUM('School Level Inst. Resources'!J187:K187)/'School Level Inst. Resources'!L187))))*T187*M187)</f>
        <v>128820.45815460689</v>
      </c>
      <c r="AK187" s="123">
        <f>(('Model Data Inputs'!$B$91*(('Model Data Inputs'!$B$87*('School Level Inst. Resources'!I187/'School Level Inst. Resources'!L187))+('Model Data Inputs'!$C$87*(SUM('School Level Inst. Resources'!J187:K187)/'School Level Inst. Resources'!L187))))*T187*N187)</f>
        <v>12268.615062343513</v>
      </c>
      <c r="AL187" s="137">
        <f>(K187*'Model Data Inputs'!$B$94)*T187</f>
        <v>20161.082459700003</v>
      </c>
      <c r="AM187" s="137">
        <f>K187*'Model Data Inputs'!$B$95</f>
        <v>5118.8660254999995</v>
      </c>
      <c r="AN187" s="137">
        <f t="shared" si="40"/>
        <v>25279.948485200002</v>
      </c>
      <c r="AO187" s="137">
        <f>('School Level Inst. Resources'!K187*'Model Data Inputs'!$B$96)+('School Level Inst. Resources'!J187*'Model Data Inputs'!$B$97)</f>
        <v>13617.625</v>
      </c>
      <c r="AP187" s="137">
        <f>$L187*'Model Data Inputs'!$B$100</f>
        <v>7131.4</v>
      </c>
      <c r="AQ187" s="137">
        <f t="shared" si="41"/>
        <v>2340452.7971559544</v>
      </c>
      <c r="AR187" s="141">
        <f t="shared" si="34"/>
        <v>13127.592322158087</v>
      </c>
    </row>
    <row r="188" spans="1:44" s="40" customFormat="1" ht="12.75" customHeight="1" x14ac:dyDescent="0.2">
      <c r="A188" s="20" t="s">
        <v>62</v>
      </c>
      <c r="B188" s="20" t="s">
        <v>63</v>
      </c>
      <c r="C188" s="20" t="s">
        <v>743</v>
      </c>
      <c r="D188" s="20" t="s">
        <v>744</v>
      </c>
      <c r="E188" s="138" t="s">
        <v>625</v>
      </c>
      <c r="F188" s="138" t="str">
        <f>IF(AND(SUM('School Level ADM'!$F188:$J188)=0,SUM('School Level ADM'!$O188:$R188)=0,'School Level ADM'!$K188&gt;0,'School Level ADM'!$N188&gt;0),"T","F")</f>
        <v>F</v>
      </c>
      <c r="G188" s="138" t="str">
        <f>IF(AND(SUM('School Level ADM'!$M188:$R188)=0,'School Level ADM'!$L188&gt;0),"T","F")</f>
        <v>F</v>
      </c>
      <c r="H188" s="138" t="str">
        <f t="shared" si="28"/>
        <v>E</v>
      </c>
      <c r="I188" s="139">
        <f>IF($F188="T",SUM('School Level ADM'!$F188:$J188),IF($G188="T",SUM('School Level ADM'!$F188:$L188),SUM('School Level ADM'!$F188:$K188,0)))</f>
        <v>145.78</v>
      </c>
      <c r="J188" s="139">
        <f>'School Level ADM'!$S188-$I188-$K188</f>
        <v>0</v>
      </c>
      <c r="K188" s="139">
        <f>IF(SUM('School Level ADM'!$N188:$R188)='School Level ADM'!$S188,SUM('School Level ADM'!$N188:$R188),IF(OR(SUM('School Level ADM'!$F188:$O188)='School Level ADM'!$S188,SUM('School Level ADM'!$G188:$O188)='School Level ADM'!$S188,SUM('School Level ADM'!$H188:$O188)='School Level ADM'!$S188,SUM('School Level ADM'!$I188:$O188)='School Level ADM'!$S188,SUM('School Level ADM'!$J188:$O188)='School Level ADM'!$S188,SUM('School Level ADM'!$K188:$O188)='School Level ADM'!$S188,SUM('School Level ADM'!$L188:$O188)='School Level ADM'!$S188,SUM('School Level ADM'!$M188:$O188)='School Level ADM'!$S188,SUM('School Level ADM'!$N188:$O188)='School Level ADM'!$S188),0,SUM('School Level ADM'!$O188:$R188)))</f>
        <v>0</v>
      </c>
      <c r="L188" s="139">
        <f t="shared" si="29"/>
        <v>145.78</v>
      </c>
      <c r="M188" s="24">
        <f>'Student At-Risk and ELL Proxy'!S188</f>
        <v>46</v>
      </c>
      <c r="N188" s="24">
        <f>'Student At-Risk and ELL Proxy'!AH188</f>
        <v>3</v>
      </c>
      <c r="O188" s="136">
        <f t="shared" si="35"/>
        <v>1.3227693647754604</v>
      </c>
      <c r="P188" s="136" t="str">
        <f t="shared" si="36"/>
        <v/>
      </c>
      <c r="Q188" s="136" t="str">
        <f t="shared" si="37"/>
        <v/>
      </c>
      <c r="R188" s="136">
        <f t="shared" si="30"/>
        <v>1.3227693647754604</v>
      </c>
      <c r="S188" s="136">
        <f>IF(SUM(3515.4*((VLOOKUP($A188,'District Level ADM'!$A$4:$F$52,6,FALSE))^-0.327)/'Model Data Inputs'!$B$71)&lt;1,1,(3515.4*((VLOOKUP($A188,'District Level ADM'!$A$4:$F$52,6,FALSE))^-0.327)/'Model Data Inputs'!$B$71))</f>
        <v>2.2796486931233386</v>
      </c>
      <c r="T188" s="136">
        <f>VLOOKUP($A188,'Regional Cost Adjustment'!$A$4:$C$52,3,FALSE)</f>
        <v>1.01</v>
      </c>
      <c r="U188" s="123">
        <f>((($I188/$L188)*'Model Data Inputs'!$B$85)+((SUM(J188:K188)/$L188)*'Model Data Inputs'!$C$85))*$R188*$T188</f>
        <v>8507.078432364784</v>
      </c>
      <c r="V188" s="140">
        <f>((($I188/$L188)*'Model Data Inputs'!$B$86)+((SUM(J188:K188)/$L188)*'Model Data Inputs'!$C$86))*$R188</f>
        <v>2238.9521544426257</v>
      </c>
      <c r="W188" s="140">
        <f t="shared" si="38"/>
        <v>10746.03058680741</v>
      </c>
      <c r="X188" s="140">
        <f t="shared" si="31"/>
        <v>1240161.8938701383</v>
      </c>
      <c r="Y188" s="140">
        <f t="shared" si="32"/>
        <v>326394.44507464598</v>
      </c>
      <c r="Z188" s="123">
        <f>IF((SUM(X188:Y188))&lt;(AVERAGE('Elementary Size Adjustment'!$B$66,'Secondary Size Adjustment'!$B$66)),(AVERAGE('Elementary Size Adjustment'!$B$66,'Secondary Size Adjustment'!$B$66)),SUM(X188:Y188))</f>
        <v>1566556.3389447844</v>
      </c>
      <c r="AA188" s="137">
        <f>'Model Data Inputs'!$B$71*S188*L188</f>
        <v>63142.165431868852</v>
      </c>
      <c r="AB188" s="137">
        <f>L188*'Model Data Inputs'!$B$72</f>
        <v>3644.5</v>
      </c>
      <c r="AC188" s="137">
        <f>L188*'Model Data Inputs'!$B$73</f>
        <v>36445</v>
      </c>
      <c r="AD188" s="137">
        <f>L188*'Model Data Inputs'!$B$74</f>
        <v>18222.5</v>
      </c>
      <c r="AE188" s="137">
        <f>$I188*'Model Data Inputs'!$B$76</f>
        <v>3468.1061999999997</v>
      </c>
      <c r="AF188" s="137">
        <f>VLOOKUP($J188,'Student Activities MS&amp;HS Tables'!$M$7:$O$1267,3)</f>
        <v>0</v>
      </c>
      <c r="AG188" s="137">
        <f>VLOOKUP($K188,'Student Activities MS&amp;HS Tables'!$I$7:$K$3007,3)</f>
        <v>0</v>
      </c>
      <c r="AH188" s="137">
        <f t="shared" si="33"/>
        <v>3468.1061999999997</v>
      </c>
      <c r="AI188" s="123">
        <f t="shared" si="39"/>
        <v>1691478.6105766532</v>
      </c>
      <c r="AJ188" s="123">
        <f>(('Model Data Inputs'!$B$90*(('Model Data Inputs'!$B$87*('School Level Inst. Resources'!I188/'School Level Inst. Resources'!L188))+('Model Data Inputs'!$C$87*(SUM('School Level Inst. Resources'!J188:K188)/'School Level Inst. Resources'!L188))))*T188*M188)</f>
        <v>112343.24097041729</v>
      </c>
      <c r="AK188" s="123">
        <f>(('Model Data Inputs'!$B$91*(('Model Data Inputs'!$B$87*('School Level Inst. Resources'!I188/'School Level Inst. Resources'!L188))+('Model Data Inputs'!$C$87*(SUM('School Level Inst. Resources'!J188:K188)/'School Level Inst. Resources'!L188))))*T188*N188)</f>
        <v>7326.7331067663454</v>
      </c>
      <c r="AL188" s="137">
        <f>(K188*'Model Data Inputs'!$B$94)*T188</f>
        <v>0</v>
      </c>
      <c r="AM188" s="137">
        <f>K188*'Model Data Inputs'!$B$95</f>
        <v>0</v>
      </c>
      <c r="AN188" s="137">
        <f t="shared" si="40"/>
        <v>0</v>
      </c>
      <c r="AO188" s="137">
        <f>('School Level Inst. Resources'!K188*'Model Data Inputs'!$B$96)+('School Level Inst. Resources'!J188*'Model Data Inputs'!$B$97)</f>
        <v>0</v>
      </c>
      <c r="AP188" s="137">
        <f>$L188*'Model Data Inputs'!$B$100</f>
        <v>5831.2</v>
      </c>
      <c r="AQ188" s="137">
        <f t="shared" si="41"/>
        <v>1816979.7846538369</v>
      </c>
      <c r="AR188" s="141">
        <f t="shared" si="34"/>
        <v>12463.848159238831</v>
      </c>
    </row>
    <row r="189" spans="1:44" s="40" customFormat="1" ht="12.75" customHeight="1" x14ac:dyDescent="0.2">
      <c r="A189" s="20" t="s">
        <v>62</v>
      </c>
      <c r="B189" s="20" t="s">
        <v>63</v>
      </c>
      <c r="C189" s="20" t="s">
        <v>745</v>
      </c>
      <c r="D189" s="20" t="s">
        <v>746</v>
      </c>
      <c r="E189" s="138" t="s">
        <v>674</v>
      </c>
      <c r="F189" s="138" t="str">
        <f>IF(AND(SUM('School Level ADM'!$F189:$J189)=0,SUM('School Level ADM'!$O189:$R189)=0,'School Level ADM'!$K189&gt;0,'School Level ADM'!$N189&gt;0),"T","F")</f>
        <v>F</v>
      </c>
      <c r="G189" s="138" t="str">
        <f>IF(AND(SUM('School Level ADM'!$M189:$R189)=0,'School Level ADM'!$L189&gt;0),"T","F")</f>
        <v>T</v>
      </c>
      <c r="H189" s="138" t="str">
        <f t="shared" si="28"/>
        <v>E</v>
      </c>
      <c r="I189" s="139">
        <f>IF($F189="T",SUM('School Level ADM'!$F189:$J189),IF($G189="T",SUM('School Level ADM'!$F189:$L189),SUM('School Level ADM'!$F189:$K189,0)))</f>
        <v>197</v>
      </c>
      <c r="J189" s="139">
        <f>'School Level ADM'!$S189-$I189-$K189</f>
        <v>0</v>
      </c>
      <c r="K189" s="139">
        <f>IF(SUM('School Level ADM'!$N189:$R189)='School Level ADM'!$S189,SUM('School Level ADM'!$N189:$R189),IF(OR(SUM('School Level ADM'!$F189:$O189)='School Level ADM'!$S189,SUM('School Level ADM'!$G189:$O189)='School Level ADM'!$S189,SUM('School Level ADM'!$H189:$O189)='School Level ADM'!$S189,SUM('School Level ADM'!$I189:$O189)='School Level ADM'!$S189,SUM('School Level ADM'!$J189:$O189)='School Level ADM'!$S189,SUM('School Level ADM'!$K189:$O189)='School Level ADM'!$S189,SUM('School Level ADM'!$L189:$O189)='School Level ADM'!$S189,SUM('School Level ADM'!$M189:$O189)='School Level ADM'!$S189,SUM('School Level ADM'!$N189:$O189)='School Level ADM'!$S189),0,SUM('School Level ADM'!$O189:$R189)))</f>
        <v>0</v>
      </c>
      <c r="L189" s="139">
        <f t="shared" si="29"/>
        <v>197</v>
      </c>
      <c r="M189" s="24">
        <f>'Student At-Risk and ELL Proxy'!S189</f>
        <v>55</v>
      </c>
      <c r="N189" s="24">
        <f>'Student At-Risk and ELL Proxy'!AH189</f>
        <v>5</v>
      </c>
      <c r="O189" s="136">
        <f t="shared" si="35"/>
        <v>1.1733791113686571</v>
      </c>
      <c r="P189" s="136" t="str">
        <f t="shared" si="36"/>
        <v/>
      </c>
      <c r="Q189" s="136" t="str">
        <f t="shared" si="37"/>
        <v/>
      </c>
      <c r="R189" s="136">
        <f t="shared" si="30"/>
        <v>1.1733791113686571</v>
      </c>
      <c r="S189" s="136">
        <f>IF(SUM(3515.4*((VLOOKUP($A189,'District Level ADM'!$A$4:$F$52,6,FALSE))^-0.327)/'Model Data Inputs'!$B$71)&lt;1,1,(3515.4*((VLOOKUP($A189,'District Level ADM'!$A$4:$F$52,6,FALSE))^-0.327)/'Model Data Inputs'!$B$71))</f>
        <v>2.2796486931233386</v>
      </c>
      <c r="T189" s="136">
        <f>VLOOKUP($A189,'Regional Cost Adjustment'!$A$4:$C$52,3,FALSE)</f>
        <v>1.01</v>
      </c>
      <c r="U189" s="123">
        <f>((($I189/$L189)*'Model Data Inputs'!$B$85)+((SUM(J189:K189)/$L189)*'Model Data Inputs'!$C$85))*$R189*$T189</f>
        <v>7546.3103373323929</v>
      </c>
      <c r="V189" s="140">
        <f>((($I189/$L189)*'Model Data Inputs'!$B$86)+((SUM(J189:K189)/$L189)*'Model Data Inputs'!$C$86))*$R189</f>
        <v>1986.0905153505612</v>
      </c>
      <c r="W189" s="140">
        <f t="shared" si="38"/>
        <v>9532.4008526829548</v>
      </c>
      <c r="X189" s="140">
        <f t="shared" si="31"/>
        <v>1486623.1364544814</v>
      </c>
      <c r="Y189" s="140">
        <f t="shared" si="32"/>
        <v>391259.83152406057</v>
      </c>
      <c r="Z189" s="123">
        <f>IF((SUM(X189:Y189))&lt;(AVERAGE('Elementary Size Adjustment'!$B$66,'Secondary Size Adjustment'!$B$66)),(AVERAGE('Elementary Size Adjustment'!$B$66,'Secondary Size Adjustment'!$B$66)),SUM(X189:Y189))</f>
        <v>1877882.967978542</v>
      </c>
      <c r="AA189" s="137">
        <f>'Model Data Inputs'!$B$71*S189*L189</f>
        <v>85327.250583606554</v>
      </c>
      <c r="AB189" s="137">
        <f>L189*'Model Data Inputs'!$B$72</f>
        <v>4925</v>
      </c>
      <c r="AC189" s="137">
        <f>L189*'Model Data Inputs'!$B$73</f>
        <v>49250</v>
      </c>
      <c r="AD189" s="137">
        <f>L189*'Model Data Inputs'!$B$74</f>
        <v>24625</v>
      </c>
      <c r="AE189" s="137">
        <f>$I189*'Model Data Inputs'!$B$76</f>
        <v>4686.63</v>
      </c>
      <c r="AF189" s="137">
        <f>VLOOKUP($J189,'Student Activities MS&amp;HS Tables'!$M$7:$O$1267,3)</f>
        <v>0</v>
      </c>
      <c r="AG189" s="137">
        <f>VLOOKUP($K189,'Student Activities MS&amp;HS Tables'!$I$7:$K$3007,3)</f>
        <v>0</v>
      </c>
      <c r="AH189" s="137">
        <f t="shared" si="33"/>
        <v>4686.63</v>
      </c>
      <c r="AI189" s="123">
        <f t="shared" si="39"/>
        <v>2046696.8485621484</v>
      </c>
      <c r="AJ189" s="123">
        <f>(('Model Data Inputs'!$B$90*(('Model Data Inputs'!$B$87*('School Level Inst. Resources'!I189/'School Level Inst. Resources'!L189))+('Model Data Inputs'!$C$87*(SUM('School Level Inst. Resources'!J189:K189)/'School Level Inst. Resources'!L189))))*T189*M189)</f>
        <v>134323.44029071633</v>
      </c>
      <c r="AK189" s="123">
        <f>(('Model Data Inputs'!$B$91*(('Model Data Inputs'!$B$87*('School Level Inst. Resources'!I189/'School Level Inst. Resources'!L189))+('Model Data Inputs'!$C$87*(SUM('School Level Inst. Resources'!J189:K189)/'School Level Inst. Resources'!L189))))*T189*N189)</f>
        <v>12211.221844610574</v>
      </c>
      <c r="AL189" s="137">
        <f>(K189*'Model Data Inputs'!$B$94)*T189</f>
        <v>0</v>
      </c>
      <c r="AM189" s="137">
        <f>K189*'Model Data Inputs'!$B$95</f>
        <v>0</v>
      </c>
      <c r="AN189" s="137">
        <f t="shared" si="40"/>
        <v>0</v>
      </c>
      <c r="AO189" s="137">
        <f>('School Level Inst. Resources'!K189*'Model Data Inputs'!$B$96)+('School Level Inst. Resources'!J189*'Model Data Inputs'!$B$97)</f>
        <v>0</v>
      </c>
      <c r="AP189" s="137">
        <f>$L189*'Model Data Inputs'!$B$100</f>
        <v>7880</v>
      </c>
      <c r="AQ189" s="137">
        <f t="shared" si="41"/>
        <v>2201111.5106974756</v>
      </c>
      <c r="AR189" s="141">
        <f t="shared" si="34"/>
        <v>11173.154876636932</v>
      </c>
    </row>
    <row r="190" spans="1:44" s="40" customFormat="1" ht="12.75" customHeight="1" x14ac:dyDescent="0.2">
      <c r="A190" s="20" t="s">
        <v>62</v>
      </c>
      <c r="B190" s="20" t="s">
        <v>63</v>
      </c>
      <c r="C190" s="20" t="s">
        <v>747</v>
      </c>
      <c r="D190" s="20" t="s">
        <v>748</v>
      </c>
      <c r="E190" s="138" t="s">
        <v>465</v>
      </c>
      <c r="F190" s="138" t="str">
        <f>IF(AND(SUM('School Level ADM'!$F190:$J190)=0,SUM('School Level ADM'!$O190:$R190)=0,'School Level ADM'!$K190&gt;0,'School Level ADM'!$N190&gt;0),"T","F")</f>
        <v>F</v>
      </c>
      <c r="G190" s="138" t="str">
        <f>IF(AND(SUM('School Level ADM'!$M190:$R190)=0,'School Level ADM'!$L190&gt;0),"T","F")</f>
        <v>F</v>
      </c>
      <c r="H190" s="138" t="str">
        <f t="shared" si="28"/>
        <v>H</v>
      </c>
      <c r="I190" s="139">
        <f>IF($F190="T",SUM('School Level ADM'!$F190:$J190),IF($G190="T",SUM('School Level ADM'!$F190:$L190),SUM('School Level ADM'!$F190:$K190,0)))</f>
        <v>0</v>
      </c>
      <c r="J190" s="139">
        <f>'School Level ADM'!$S190-$I190-$K190</f>
        <v>0</v>
      </c>
      <c r="K190" s="139">
        <f>IF(SUM('School Level ADM'!$N190:$R190)='School Level ADM'!$S190,SUM('School Level ADM'!$N190:$R190),IF(OR(SUM('School Level ADM'!$F190:$O190)='School Level ADM'!$S190,SUM('School Level ADM'!$G190:$O190)='School Level ADM'!$S190,SUM('School Level ADM'!$H190:$O190)='School Level ADM'!$S190,SUM('School Level ADM'!$I190:$O190)='School Level ADM'!$S190,SUM('School Level ADM'!$J190:$O190)='School Level ADM'!$S190,SUM('School Level ADM'!$K190:$O190)='School Level ADM'!$S190,SUM('School Level ADM'!$L190:$O190)='School Level ADM'!$S190,SUM('School Level ADM'!$M190:$O190)='School Level ADM'!$S190,SUM('School Level ADM'!$N190:$O190)='School Level ADM'!$S190),0,SUM('School Level ADM'!$O190:$R190)))</f>
        <v>16.745000000000001</v>
      </c>
      <c r="L190" s="139">
        <f t="shared" si="29"/>
        <v>16.745000000000001</v>
      </c>
      <c r="M190" s="24">
        <f>'Student At-Risk and ELL Proxy'!S190</f>
        <v>5</v>
      </c>
      <c r="N190" s="24">
        <f>'Student At-Risk and ELL Proxy'!AH190</f>
        <v>0</v>
      </c>
      <c r="O190" s="136" t="str">
        <f t="shared" si="35"/>
        <v/>
      </c>
      <c r="P190" s="136">
        <f t="shared" si="36"/>
        <v>3.3940560180383414</v>
      </c>
      <c r="Q190" s="136" t="str">
        <f t="shared" si="37"/>
        <v/>
      </c>
      <c r="R190" s="136">
        <f t="shared" si="30"/>
        <v>3.3940560180383414</v>
      </c>
      <c r="S190" s="136">
        <f>IF(SUM(3515.4*((VLOOKUP($A190,'District Level ADM'!$A$4:$F$52,6,FALSE))^-0.327)/'Model Data Inputs'!$B$71)&lt;1,1,(3515.4*((VLOOKUP($A190,'District Level ADM'!$A$4:$F$52,6,FALSE))^-0.327)/'Model Data Inputs'!$B$71))</f>
        <v>2.2796486931233386</v>
      </c>
      <c r="T190" s="136">
        <f>VLOOKUP($A190,'Regional Cost Adjustment'!$A$4:$C$52,3,FALSE)</f>
        <v>1.01</v>
      </c>
      <c r="U190" s="123">
        <f>((($I190/$L190)*'Model Data Inputs'!$B$85)+((SUM(J190:K190)/$L190)*'Model Data Inputs'!$C$85))*$R190*$T190</f>
        <v>18452.183951055405</v>
      </c>
      <c r="V190" s="140">
        <f>((($I190/$L190)*'Model Data Inputs'!$B$86)+((SUM(J190:K190)/$L190)*'Model Data Inputs'!$C$86))*$R190</f>
        <v>4864.0480425173537</v>
      </c>
      <c r="W190" s="140">
        <f t="shared" si="38"/>
        <v>23316.231993572757</v>
      </c>
      <c r="X190" s="140">
        <f t="shared" si="31"/>
        <v>308981.82026042277</v>
      </c>
      <c r="Y190" s="140">
        <f t="shared" si="32"/>
        <v>81448.484471953096</v>
      </c>
      <c r="Z190" s="123">
        <f>IF((SUM(X190:Y190))&lt;(AVERAGE('Elementary Size Adjustment'!$B$66,'Secondary Size Adjustment'!$B$66)),(AVERAGE('Elementary Size Adjustment'!$B$66,'Secondary Size Adjustment'!$B$66)),SUM(X190:Y190))</f>
        <v>390430.30473237589</v>
      </c>
      <c r="AA190" s="137">
        <f>'Model Data Inputs'!$B$71*S190*L190</f>
        <v>7252.8162996065585</v>
      </c>
      <c r="AB190" s="137">
        <f>L190*'Model Data Inputs'!$B$72</f>
        <v>418.625</v>
      </c>
      <c r="AC190" s="137">
        <f>L190*'Model Data Inputs'!$B$73</f>
        <v>4186.25</v>
      </c>
      <c r="AD190" s="137">
        <f>L190*'Model Data Inputs'!$B$74</f>
        <v>2093.125</v>
      </c>
      <c r="AE190" s="137">
        <f>$I190*'Model Data Inputs'!$B$76</f>
        <v>0</v>
      </c>
      <c r="AF190" s="137">
        <f>VLOOKUP($J190,'Student Activities MS&amp;HS Tables'!$M$7:$O$1267,3)</f>
        <v>0</v>
      </c>
      <c r="AG190" s="137">
        <f>VLOOKUP($K190,'Student Activities MS&amp;HS Tables'!$I$7:$K$3007,3)</f>
        <v>31188.32</v>
      </c>
      <c r="AH190" s="137">
        <f t="shared" si="33"/>
        <v>31188.32</v>
      </c>
      <c r="AI190" s="123">
        <f t="shared" si="39"/>
        <v>435569.44103198248</v>
      </c>
      <c r="AJ190" s="123">
        <f>(('Model Data Inputs'!$B$90*(('Model Data Inputs'!$B$87*('School Level Inst. Resources'!I190/'School Level Inst. Resources'!L190))+('Model Data Inputs'!$C$87*(SUM('School Level Inst. Resources'!J190:K190)/'School Level Inst. Resources'!L190))))*T190*M190)</f>
        <v>10326.084344139124</v>
      </c>
      <c r="AK190" s="123">
        <f>(('Model Data Inputs'!$B$91*(('Model Data Inputs'!$B$87*('School Level Inst. Resources'!I190/'School Level Inst. Resources'!L190))+('Model Data Inputs'!$C$87*(SUM('School Level Inst. Resources'!J190:K190)/'School Level Inst. Resources'!L190))))*T190*N190)</f>
        <v>0</v>
      </c>
      <c r="AL190" s="137">
        <f>(K190*'Model Data Inputs'!$B$94)*T190</f>
        <v>2791.6595631697505</v>
      </c>
      <c r="AM190" s="137">
        <f>K190*'Model Data Inputs'!$B$95</f>
        <v>701.78001962500002</v>
      </c>
      <c r="AN190" s="137">
        <f t="shared" si="40"/>
        <v>3493.4395827947505</v>
      </c>
      <c r="AO190" s="137">
        <f>('School Level Inst. Resources'!K190*'Model Data Inputs'!$B$96)+('School Level Inst. Resources'!J190*'Model Data Inputs'!$B$97)</f>
        <v>1674.5</v>
      </c>
      <c r="AP190" s="137">
        <f>$L190*'Model Data Inputs'!$B$100</f>
        <v>669.80000000000007</v>
      </c>
      <c r="AQ190" s="137">
        <f t="shared" si="41"/>
        <v>451733.26495891635</v>
      </c>
      <c r="AR190" s="141">
        <f t="shared" si="34"/>
        <v>26977.203043231792</v>
      </c>
    </row>
    <row r="191" spans="1:44" s="40" customFormat="1" ht="12.75" customHeight="1" x14ac:dyDescent="0.2">
      <c r="A191" s="20" t="s">
        <v>62</v>
      </c>
      <c r="B191" s="20" t="s">
        <v>63</v>
      </c>
      <c r="C191" s="20" t="s">
        <v>749</v>
      </c>
      <c r="D191" s="20" t="s">
        <v>750</v>
      </c>
      <c r="E191" s="138" t="s">
        <v>465</v>
      </c>
      <c r="F191" s="138" t="str">
        <f>IF(AND(SUM('School Level ADM'!$F191:$J191)=0,SUM('School Level ADM'!$O191:$R191)=0,'School Level ADM'!$K191&gt;0,'School Level ADM'!$N191&gt;0),"T","F")</f>
        <v>F</v>
      </c>
      <c r="G191" s="138" t="str">
        <f>IF(AND(SUM('School Level ADM'!$M191:$R191)=0,'School Level ADM'!$L191&gt;0),"T","F")</f>
        <v>F</v>
      </c>
      <c r="H191" s="138" t="str">
        <f t="shared" si="28"/>
        <v>H</v>
      </c>
      <c r="I191" s="139">
        <f>IF($F191="T",SUM('School Level ADM'!$F191:$J191),IF($G191="T",SUM('School Level ADM'!$F191:$L191),SUM('School Level ADM'!$F191:$K191,0)))</f>
        <v>0</v>
      </c>
      <c r="J191" s="139">
        <f>'School Level ADM'!$S191-$I191-$K191</f>
        <v>103.42500000000001</v>
      </c>
      <c r="K191" s="139">
        <f>IF(SUM('School Level ADM'!$N191:$R191)='School Level ADM'!$S191,SUM('School Level ADM'!$N191:$R191),IF(OR(SUM('School Level ADM'!$F191:$O191)='School Level ADM'!$S191,SUM('School Level ADM'!$G191:$O191)='School Level ADM'!$S191,SUM('School Level ADM'!$H191:$O191)='School Level ADM'!$S191,SUM('School Level ADM'!$I191:$O191)='School Level ADM'!$S191,SUM('School Level ADM'!$J191:$O191)='School Level ADM'!$S191,SUM('School Level ADM'!$K191:$O191)='School Level ADM'!$S191,SUM('School Level ADM'!$L191:$O191)='School Level ADM'!$S191,SUM('School Level ADM'!$M191:$O191)='School Level ADM'!$S191,SUM('School Level ADM'!$N191:$O191)='School Level ADM'!$S191),0,SUM('School Level ADM'!$O191:$R191)))</f>
        <v>140.85499999999999</v>
      </c>
      <c r="L191" s="139">
        <f t="shared" si="29"/>
        <v>244.28</v>
      </c>
      <c r="M191" s="24">
        <f>'Student At-Risk and ELL Proxy'!S191</f>
        <v>24</v>
      </c>
      <c r="N191" s="24">
        <f>'Student At-Risk and ELL Proxy'!AH191</f>
        <v>1</v>
      </c>
      <c r="O191" s="136" t="str">
        <f t="shared" si="35"/>
        <v/>
      </c>
      <c r="P191" s="136">
        <f t="shared" si="36"/>
        <v>1.3248113415380469</v>
      </c>
      <c r="Q191" s="136" t="str">
        <f t="shared" si="37"/>
        <v/>
      </c>
      <c r="R191" s="136">
        <f t="shared" si="30"/>
        <v>1.3248113415380469</v>
      </c>
      <c r="S191" s="136">
        <f>IF(SUM(3515.4*((VLOOKUP($A191,'District Level ADM'!$A$4:$F$52,6,FALSE))^-0.327)/'Model Data Inputs'!$B$71)&lt;1,1,(3515.4*((VLOOKUP($A191,'District Level ADM'!$A$4:$F$52,6,FALSE))^-0.327)/'Model Data Inputs'!$B$71))</f>
        <v>2.2796486931233386</v>
      </c>
      <c r="T191" s="136">
        <f>VLOOKUP($A191,'Regional Cost Adjustment'!$A$4:$C$52,3,FALSE)</f>
        <v>1.01</v>
      </c>
      <c r="U191" s="123">
        <f>((($I191/$L191)*'Model Data Inputs'!$B$85)+((SUM(J191:K191)/$L191)*'Model Data Inputs'!$C$85))*$R191*$T191</f>
        <v>7202.4923703626309</v>
      </c>
      <c r="V191" s="140">
        <f>((($I191/$L191)*'Model Data Inputs'!$B$86)+((SUM(J191:K191)/$L191)*'Model Data Inputs'!$C$86))*$R191</f>
        <v>1898.5974239274124</v>
      </c>
      <c r="W191" s="140">
        <f t="shared" si="38"/>
        <v>9101.0897942900428</v>
      </c>
      <c r="X191" s="140">
        <f t="shared" si="31"/>
        <v>1759424.8362321835</v>
      </c>
      <c r="Y191" s="140">
        <f t="shared" si="32"/>
        <v>463789.37871698831</v>
      </c>
      <c r="Z191" s="123">
        <f>IF((SUM(X191:Y191))&lt;(AVERAGE('Elementary Size Adjustment'!$B$66,'Secondary Size Adjustment'!$B$66)),(AVERAGE('Elementary Size Adjustment'!$B$66,'Secondary Size Adjustment'!$B$66)),SUM(X191:Y191))</f>
        <v>2223214.214949172</v>
      </c>
      <c r="AA191" s="137">
        <f>'Model Data Inputs'!$B$71*S191*L191</f>
        <v>105805.79072367214</v>
      </c>
      <c r="AB191" s="137">
        <f>L191*'Model Data Inputs'!$B$72</f>
        <v>6107</v>
      </c>
      <c r="AC191" s="137">
        <f>L191*'Model Data Inputs'!$B$73</f>
        <v>61070</v>
      </c>
      <c r="AD191" s="137">
        <f>L191*'Model Data Inputs'!$B$74</f>
        <v>30535</v>
      </c>
      <c r="AE191" s="137">
        <f>$I191*'Model Data Inputs'!$B$76</f>
        <v>0</v>
      </c>
      <c r="AF191" s="137">
        <f>VLOOKUP($J191,'Student Activities MS&amp;HS Tables'!$M$7:$O$1267,3)</f>
        <v>55612.789999999994</v>
      </c>
      <c r="AG191" s="137">
        <f>VLOOKUP($K191,'Student Activities MS&amp;HS Tables'!$I$7:$K$3007,3)</f>
        <v>202571.6</v>
      </c>
      <c r="AH191" s="137">
        <f t="shared" si="33"/>
        <v>258184.39</v>
      </c>
      <c r="AI191" s="123">
        <f t="shared" si="39"/>
        <v>2684916.3956728443</v>
      </c>
      <c r="AJ191" s="123">
        <f>(('Model Data Inputs'!$B$90*(('Model Data Inputs'!$B$87*('School Level Inst. Resources'!I191/'School Level Inst. Resources'!L191))+('Model Data Inputs'!$C$87*(SUM('School Level Inst. Resources'!J191:K191)/'School Level Inst. Resources'!L191))))*T191*M191)</f>
        <v>49565.204851867791</v>
      </c>
      <c r="AK191" s="123">
        <f>(('Model Data Inputs'!$B$91*(('Model Data Inputs'!$B$87*('School Level Inst. Resources'!I191/'School Level Inst. Resources'!L191))+('Model Data Inputs'!$C$87*(SUM('School Level Inst. Resources'!J191:K191)/'School Level Inst. Resources'!L191))))*T191*N191)</f>
        <v>2065.2168688278248</v>
      </c>
      <c r="AL191" s="137">
        <f>(K191*'Model Data Inputs'!$B$94)*T191</f>
        <v>23482.783384310249</v>
      </c>
      <c r="AM191" s="137">
        <f>K191*'Model Data Inputs'!$B$95</f>
        <v>5903.2084003749997</v>
      </c>
      <c r="AN191" s="137">
        <f t="shared" si="40"/>
        <v>29385.991784685248</v>
      </c>
      <c r="AO191" s="137">
        <f>('School Level Inst. Resources'!K191*'Model Data Inputs'!$B$96)+('School Level Inst. Resources'!J191*'Model Data Inputs'!$B$97)</f>
        <v>16671.125</v>
      </c>
      <c r="AP191" s="137">
        <f>$L191*'Model Data Inputs'!$B$100</f>
        <v>9771.2000000000007</v>
      </c>
      <c r="AQ191" s="137">
        <f t="shared" si="41"/>
        <v>2792375.1341782254</v>
      </c>
      <c r="AR191" s="141">
        <f t="shared" si="34"/>
        <v>11431.042795882699</v>
      </c>
    </row>
    <row r="192" spans="1:44" s="40" customFormat="1" ht="12.75" customHeight="1" x14ac:dyDescent="0.2">
      <c r="A192" s="20" t="s">
        <v>64</v>
      </c>
      <c r="B192" s="20" t="s">
        <v>65</v>
      </c>
      <c r="C192" s="20" t="s">
        <v>751</v>
      </c>
      <c r="D192" s="20" t="s">
        <v>752</v>
      </c>
      <c r="E192" s="138" t="s">
        <v>545</v>
      </c>
      <c r="F192" s="138" t="str">
        <f>IF(AND(SUM('School Level ADM'!$F192:$J192)=0,SUM('School Level ADM'!$O192:$R192)=0,'School Level ADM'!$K192&gt;0,'School Level ADM'!$N192&gt;0),"T","F")</f>
        <v>F</v>
      </c>
      <c r="G192" s="138" t="str">
        <f>IF(AND(SUM('School Level ADM'!$M192:$R192)=0,'School Level ADM'!$L192&gt;0),"T","F")</f>
        <v>F</v>
      </c>
      <c r="H192" s="138" t="str">
        <f t="shared" si="28"/>
        <v>E</v>
      </c>
      <c r="I192" s="139">
        <f>IF($F192="T",SUM('School Level ADM'!$F192:$J192),IF($G192="T",SUM('School Level ADM'!$F192:$L192),SUM('School Level ADM'!$F192:$K192,0)))</f>
        <v>452.11500000000001</v>
      </c>
      <c r="J192" s="139">
        <f>'School Level ADM'!$S192-$I192-$K192</f>
        <v>0</v>
      </c>
      <c r="K192" s="139">
        <f>IF(SUM('School Level ADM'!$N192:$R192)='School Level ADM'!$S192,SUM('School Level ADM'!$N192:$R192),IF(OR(SUM('School Level ADM'!$F192:$O192)='School Level ADM'!$S192,SUM('School Level ADM'!$G192:$O192)='School Level ADM'!$S192,SUM('School Level ADM'!$H192:$O192)='School Level ADM'!$S192,SUM('School Level ADM'!$I192:$O192)='School Level ADM'!$S192,SUM('School Level ADM'!$J192:$O192)='School Level ADM'!$S192,SUM('School Level ADM'!$K192:$O192)='School Level ADM'!$S192,SUM('School Level ADM'!$L192:$O192)='School Level ADM'!$S192,SUM('School Level ADM'!$M192:$O192)='School Level ADM'!$S192,SUM('School Level ADM'!$N192:$O192)='School Level ADM'!$S192),0,SUM('School Level ADM'!$O192:$R192)))</f>
        <v>0</v>
      </c>
      <c r="L192" s="139">
        <f t="shared" si="29"/>
        <v>452.11500000000001</v>
      </c>
      <c r="M192" s="24">
        <f>'Student At-Risk and ELL Proxy'!S192</f>
        <v>163</v>
      </c>
      <c r="N192" s="24">
        <f>'Student At-Risk and ELL Proxy'!AH192</f>
        <v>9</v>
      </c>
      <c r="O192" s="136">
        <f t="shared" si="35"/>
        <v>0.97</v>
      </c>
      <c r="P192" s="136" t="str">
        <f t="shared" si="36"/>
        <v/>
      </c>
      <c r="Q192" s="136" t="str">
        <f t="shared" si="37"/>
        <v/>
      </c>
      <c r="R192" s="136">
        <f t="shared" si="30"/>
        <v>0.97</v>
      </c>
      <c r="S192" s="136">
        <f>IF(SUM(3515.4*((VLOOKUP($A192,'District Level ADM'!$A$4:$F$52,6,FALSE))^-0.327)/'Model Data Inputs'!$B$71)&lt;1,1,(3515.4*((VLOOKUP($A192,'District Level ADM'!$A$4:$F$52,6,FALSE))^-0.327)/'Model Data Inputs'!$B$71))</f>
        <v>1.3740366028229178</v>
      </c>
      <c r="T192" s="136">
        <f>VLOOKUP($A192,'Regional Cost Adjustment'!$A$4:$C$52,3,FALSE)</f>
        <v>1.01</v>
      </c>
      <c r="U192" s="123">
        <f>((($I192/$L192)*'Model Data Inputs'!$B$85)+((SUM(J192:K192)/$L192)*'Model Data Inputs'!$C$85))*$R192*$T192</f>
        <v>6238.3256666929174</v>
      </c>
      <c r="V192" s="140">
        <f>((($I192/$L192)*'Model Data Inputs'!$B$86)+((SUM(J192:K192)/$L192)*'Model Data Inputs'!$C$86))*$R192</f>
        <v>1641.8459994936507</v>
      </c>
      <c r="W192" s="140">
        <f t="shared" si="38"/>
        <v>7880.1716661865685</v>
      </c>
      <c r="X192" s="140">
        <f t="shared" si="31"/>
        <v>2820440.6087968685</v>
      </c>
      <c r="Y192" s="140">
        <f t="shared" si="32"/>
        <v>742303.20406107185</v>
      </c>
      <c r="Z192" s="123">
        <f>IF((SUM(X192:Y192))&lt;(AVERAGE('Elementary Size Adjustment'!$B$66,'Secondary Size Adjustment'!$B$66)),(AVERAGE('Elementary Size Adjustment'!$B$66,'Secondary Size Adjustment'!$B$66)),SUM(X192:Y192))</f>
        <v>3562743.8128579403</v>
      </c>
      <c r="AA192" s="137">
        <f>'Model Data Inputs'!$B$71*S192*L192</f>
        <v>118032.28615020387</v>
      </c>
      <c r="AB192" s="137">
        <f>L192*'Model Data Inputs'!$B$72</f>
        <v>11302.875</v>
      </c>
      <c r="AC192" s="137">
        <f>L192*'Model Data Inputs'!$B$73</f>
        <v>113028.75</v>
      </c>
      <c r="AD192" s="137">
        <f>L192*'Model Data Inputs'!$B$74</f>
        <v>56514.375</v>
      </c>
      <c r="AE192" s="137">
        <f>$I192*'Model Data Inputs'!$B$76</f>
        <v>10755.815849999999</v>
      </c>
      <c r="AF192" s="137">
        <f>VLOOKUP($J192,'Student Activities MS&amp;HS Tables'!$M$7:$O$1267,3)</f>
        <v>0</v>
      </c>
      <c r="AG192" s="137">
        <f>VLOOKUP($K192,'Student Activities MS&amp;HS Tables'!$I$7:$K$3007,3)</f>
        <v>0</v>
      </c>
      <c r="AH192" s="137">
        <f t="shared" si="33"/>
        <v>10755.815849999999</v>
      </c>
      <c r="AI192" s="123">
        <f t="shared" si="39"/>
        <v>3872377.9148581442</v>
      </c>
      <c r="AJ192" s="123">
        <f>(('Model Data Inputs'!$B$90*(('Model Data Inputs'!$B$87*('School Level Inst. Resources'!I192/'School Level Inst. Resources'!L192))+('Model Data Inputs'!$C$87*(SUM('School Level Inst. Resources'!J192:K192)/'School Level Inst. Resources'!L192))))*T192*M192)</f>
        <v>398085.83213430474</v>
      </c>
      <c r="AK192" s="123">
        <f>(('Model Data Inputs'!$B$91*(('Model Data Inputs'!$B$87*('School Level Inst. Resources'!I192/'School Level Inst. Resources'!L192))+('Model Data Inputs'!$C$87*(SUM('School Level Inst. Resources'!J192:K192)/'School Level Inst. Resources'!L192))))*T192*N192)</f>
        <v>21980.199320299034</v>
      </c>
      <c r="AL192" s="137">
        <f>(K192*'Model Data Inputs'!$B$94)*T192</f>
        <v>0</v>
      </c>
      <c r="AM192" s="137">
        <f>K192*'Model Data Inputs'!$B$95</f>
        <v>0</v>
      </c>
      <c r="AN192" s="137">
        <f t="shared" si="40"/>
        <v>0</v>
      </c>
      <c r="AO192" s="137">
        <f>('School Level Inst. Resources'!K192*'Model Data Inputs'!$B$96)+('School Level Inst. Resources'!J192*'Model Data Inputs'!$B$97)</f>
        <v>0</v>
      </c>
      <c r="AP192" s="137">
        <f>$L192*'Model Data Inputs'!$B$100</f>
        <v>18084.599999999999</v>
      </c>
      <c r="AQ192" s="137">
        <f t="shared" si="41"/>
        <v>4310528.5463127475</v>
      </c>
      <c r="AR192" s="141">
        <f t="shared" si="34"/>
        <v>9534.1418584049352</v>
      </c>
    </row>
    <row r="193" spans="1:44" s="40" customFormat="1" ht="12.75" customHeight="1" x14ac:dyDescent="0.2">
      <c r="A193" s="20" t="s">
        <v>64</v>
      </c>
      <c r="B193" s="20" t="s">
        <v>65</v>
      </c>
      <c r="C193" s="20" t="s">
        <v>753</v>
      </c>
      <c r="D193" s="20" t="s">
        <v>754</v>
      </c>
      <c r="E193" s="138" t="s">
        <v>357</v>
      </c>
      <c r="F193" s="138" t="str">
        <f>IF(AND(SUM('School Level ADM'!$F193:$J193)=0,SUM('School Level ADM'!$O193:$R193)=0,'School Level ADM'!$K193&gt;0,'School Level ADM'!$N193&gt;0),"T","F")</f>
        <v>F</v>
      </c>
      <c r="G193" s="138" t="str">
        <f>IF(AND(SUM('School Level ADM'!$M193:$R193)=0,'School Level ADM'!$L193&gt;0),"T","F")</f>
        <v>T</v>
      </c>
      <c r="H193" s="138" t="str">
        <f t="shared" si="28"/>
        <v>E</v>
      </c>
      <c r="I193" s="139">
        <f>IF($F193="T",SUM('School Level ADM'!$F193:$J193),IF($G193="T",SUM('School Level ADM'!$F193:$L193),SUM('School Level ADM'!$F193:$K193,0)))</f>
        <v>127.06500000000001</v>
      </c>
      <c r="J193" s="139">
        <f>'School Level ADM'!$S193-$I193-$K193</f>
        <v>0</v>
      </c>
      <c r="K193" s="139">
        <f>IF(SUM('School Level ADM'!$N193:$R193)='School Level ADM'!$S193,SUM('School Level ADM'!$N193:$R193),IF(OR(SUM('School Level ADM'!$F193:$O193)='School Level ADM'!$S193,SUM('School Level ADM'!$G193:$O193)='School Level ADM'!$S193,SUM('School Level ADM'!$H193:$O193)='School Level ADM'!$S193,SUM('School Level ADM'!$I193:$O193)='School Level ADM'!$S193,SUM('School Level ADM'!$J193:$O193)='School Level ADM'!$S193,SUM('School Level ADM'!$K193:$O193)='School Level ADM'!$S193,SUM('School Level ADM'!$L193:$O193)='School Level ADM'!$S193,SUM('School Level ADM'!$M193:$O193)='School Level ADM'!$S193,SUM('School Level ADM'!$N193:$O193)='School Level ADM'!$S193),0,SUM('School Level ADM'!$O193:$R193)))</f>
        <v>0</v>
      </c>
      <c r="L193" s="139">
        <f t="shared" si="29"/>
        <v>127.06500000000001</v>
      </c>
      <c r="M193" s="24">
        <f>'Student At-Risk and ELL Proxy'!S193</f>
        <v>44</v>
      </c>
      <c r="N193" s="24">
        <f>'Student At-Risk and ELL Proxy'!AH193</f>
        <v>0</v>
      </c>
      <c r="O193" s="136">
        <f t="shared" si="35"/>
        <v>1.3971196026068993</v>
      </c>
      <c r="P193" s="136" t="str">
        <f t="shared" si="36"/>
        <v/>
      </c>
      <c r="Q193" s="136" t="str">
        <f t="shared" si="37"/>
        <v/>
      </c>
      <c r="R193" s="136">
        <f t="shared" si="30"/>
        <v>1.3971196026068993</v>
      </c>
      <c r="S193" s="136">
        <f>IF(SUM(3515.4*((VLOOKUP($A193,'District Level ADM'!$A$4:$F$52,6,FALSE))^-0.327)/'Model Data Inputs'!$B$71)&lt;1,1,(3515.4*((VLOOKUP($A193,'District Level ADM'!$A$4:$F$52,6,FALSE))^-0.327)/'Model Data Inputs'!$B$71))</f>
        <v>1.3740366028229178</v>
      </c>
      <c r="T193" s="136">
        <f>VLOOKUP($A193,'Regional Cost Adjustment'!$A$4:$C$52,3,FALSE)</f>
        <v>1.01</v>
      </c>
      <c r="U193" s="123">
        <f>((($I193/$L193)*'Model Data Inputs'!$B$85)+((SUM(J193:K193)/$L193)*'Model Data Inputs'!$C$85))*$R193*$T193</f>
        <v>8985.2444086416799</v>
      </c>
      <c r="V193" s="140">
        <f>((($I193/$L193)*'Model Data Inputs'!$B$86)+((SUM(J193:K193)/$L193)*'Model Data Inputs'!$C$86))*$R193</f>
        <v>2364.7992065508211</v>
      </c>
      <c r="W193" s="140">
        <f t="shared" si="38"/>
        <v>11350.043615192501</v>
      </c>
      <c r="X193" s="140">
        <f t="shared" si="31"/>
        <v>1141710.0807840552</v>
      </c>
      <c r="Y193" s="140">
        <f t="shared" si="32"/>
        <v>300483.21118038008</v>
      </c>
      <c r="Z193" s="123">
        <f>IF((SUM(X193:Y193))&lt;(AVERAGE('Elementary Size Adjustment'!$B$66,'Secondary Size Adjustment'!$B$66)),(AVERAGE('Elementary Size Adjustment'!$B$66,'Secondary Size Adjustment'!$B$66)),SUM(X193:Y193))</f>
        <v>1442193.2919644353</v>
      </c>
      <c r="AA193" s="137">
        <f>'Model Data Inputs'!$B$71*S193*L193</f>
        <v>33172.472578161876</v>
      </c>
      <c r="AB193" s="137">
        <f>L193*'Model Data Inputs'!$B$72</f>
        <v>3176.6250000000005</v>
      </c>
      <c r="AC193" s="137">
        <f>L193*'Model Data Inputs'!$B$73</f>
        <v>31766.250000000004</v>
      </c>
      <c r="AD193" s="137">
        <f>L193*'Model Data Inputs'!$B$74</f>
        <v>15883.125000000002</v>
      </c>
      <c r="AE193" s="137">
        <f>$I193*'Model Data Inputs'!$B$76</f>
        <v>3022.87635</v>
      </c>
      <c r="AF193" s="137">
        <f>VLOOKUP($J193,'Student Activities MS&amp;HS Tables'!$M$7:$O$1267,3)</f>
        <v>0</v>
      </c>
      <c r="AG193" s="137">
        <f>VLOOKUP($K193,'Student Activities MS&amp;HS Tables'!$I$7:$K$3007,3)</f>
        <v>0</v>
      </c>
      <c r="AH193" s="137">
        <f t="shared" si="33"/>
        <v>3022.87635</v>
      </c>
      <c r="AI193" s="123">
        <f t="shared" si="39"/>
        <v>1529214.6408925971</v>
      </c>
      <c r="AJ193" s="123">
        <f>(('Model Data Inputs'!$B$90*(('Model Data Inputs'!$B$87*('School Level Inst. Resources'!I193/'School Level Inst. Resources'!L193))+('Model Data Inputs'!$C$87*(SUM('School Level Inst. Resources'!J193:K193)/'School Level Inst. Resources'!L193))))*T193*M193)</f>
        <v>107458.75223257305</v>
      </c>
      <c r="AK193" s="123">
        <f>(('Model Data Inputs'!$B$91*(('Model Data Inputs'!$B$87*('School Level Inst. Resources'!I193/'School Level Inst. Resources'!L193))+('Model Data Inputs'!$C$87*(SUM('School Level Inst. Resources'!J193:K193)/'School Level Inst. Resources'!L193))))*T193*N193)</f>
        <v>0</v>
      </c>
      <c r="AL193" s="137">
        <f>(K193*'Model Data Inputs'!$B$94)*T193</f>
        <v>0</v>
      </c>
      <c r="AM193" s="137">
        <f>K193*'Model Data Inputs'!$B$95</f>
        <v>0</v>
      </c>
      <c r="AN193" s="137">
        <f t="shared" si="40"/>
        <v>0</v>
      </c>
      <c r="AO193" s="137">
        <f>('School Level Inst. Resources'!K193*'Model Data Inputs'!$B$96)+('School Level Inst. Resources'!J193*'Model Data Inputs'!$B$97)</f>
        <v>0</v>
      </c>
      <c r="AP193" s="137">
        <f>$L193*'Model Data Inputs'!$B$100</f>
        <v>5082.6000000000004</v>
      </c>
      <c r="AQ193" s="137">
        <f t="shared" si="41"/>
        <v>1641755.9931251702</v>
      </c>
      <c r="AR193" s="141">
        <f t="shared" si="34"/>
        <v>12920.599638965648</v>
      </c>
    </row>
    <row r="194" spans="1:44" s="40" customFormat="1" ht="12.75" customHeight="1" x14ac:dyDescent="0.2">
      <c r="A194" s="20" t="s">
        <v>64</v>
      </c>
      <c r="B194" s="20" t="s">
        <v>65</v>
      </c>
      <c r="C194" s="20" t="s">
        <v>755</v>
      </c>
      <c r="D194" s="20" t="s">
        <v>756</v>
      </c>
      <c r="E194" s="138" t="s">
        <v>545</v>
      </c>
      <c r="F194" s="138" t="str">
        <f>IF(AND(SUM('School Level ADM'!$F194:$J194)=0,SUM('School Level ADM'!$O194:$R194)=0,'School Level ADM'!$K194&gt;0,'School Level ADM'!$N194&gt;0),"T","F")</f>
        <v>F</v>
      </c>
      <c r="G194" s="138" t="str">
        <f>IF(AND(SUM('School Level ADM'!$M194:$R194)=0,'School Level ADM'!$L194&gt;0),"T","F")</f>
        <v>F</v>
      </c>
      <c r="H194" s="138" t="str">
        <f t="shared" si="28"/>
        <v>E</v>
      </c>
      <c r="I194" s="139">
        <f>IF($F194="T",SUM('School Level ADM'!$F194:$J194),IF($G194="T",SUM('School Level ADM'!$F194:$L194),SUM('School Level ADM'!$F194:$K194,0)))</f>
        <v>365.435</v>
      </c>
      <c r="J194" s="139">
        <f>'School Level ADM'!$S194-$I194-$K194</f>
        <v>0</v>
      </c>
      <c r="K194" s="139">
        <f>IF(SUM('School Level ADM'!$N194:$R194)='School Level ADM'!$S194,SUM('School Level ADM'!$N194:$R194),IF(OR(SUM('School Level ADM'!$F194:$O194)='School Level ADM'!$S194,SUM('School Level ADM'!$G194:$O194)='School Level ADM'!$S194,SUM('School Level ADM'!$H194:$O194)='School Level ADM'!$S194,SUM('School Level ADM'!$I194:$O194)='School Level ADM'!$S194,SUM('School Level ADM'!$J194:$O194)='School Level ADM'!$S194,SUM('School Level ADM'!$K194:$O194)='School Level ADM'!$S194,SUM('School Level ADM'!$L194:$O194)='School Level ADM'!$S194,SUM('School Level ADM'!$M194:$O194)='School Level ADM'!$S194,SUM('School Level ADM'!$N194:$O194)='School Level ADM'!$S194),0,SUM('School Level ADM'!$O194:$R194)))</f>
        <v>0</v>
      </c>
      <c r="L194" s="139">
        <f t="shared" si="29"/>
        <v>365.435</v>
      </c>
      <c r="M194" s="24">
        <f>'Student At-Risk and ELL Proxy'!S194</f>
        <v>146</v>
      </c>
      <c r="N194" s="24">
        <f>'Student At-Risk and ELL Proxy'!AH194</f>
        <v>4</v>
      </c>
      <c r="O194" s="136">
        <f t="shared" si="35"/>
        <v>0.97</v>
      </c>
      <c r="P194" s="136" t="str">
        <f t="shared" si="36"/>
        <v/>
      </c>
      <c r="Q194" s="136" t="str">
        <f t="shared" si="37"/>
        <v/>
      </c>
      <c r="R194" s="136">
        <f t="shared" si="30"/>
        <v>0.97</v>
      </c>
      <c r="S194" s="136">
        <f>IF(SUM(3515.4*((VLOOKUP($A194,'District Level ADM'!$A$4:$F$52,6,FALSE))^-0.327)/'Model Data Inputs'!$B$71)&lt;1,1,(3515.4*((VLOOKUP($A194,'District Level ADM'!$A$4:$F$52,6,FALSE))^-0.327)/'Model Data Inputs'!$B$71))</f>
        <v>1.3740366028229178</v>
      </c>
      <c r="T194" s="136">
        <f>VLOOKUP($A194,'Regional Cost Adjustment'!$A$4:$C$52,3,FALSE)</f>
        <v>1.01</v>
      </c>
      <c r="U194" s="123">
        <f>((($I194/$L194)*'Model Data Inputs'!$B$85)+((SUM(J194:K194)/$L194)*'Model Data Inputs'!$C$85))*$R194*$T194</f>
        <v>6238.3256666929174</v>
      </c>
      <c r="V194" s="140">
        <f>((($I194/$L194)*'Model Data Inputs'!$B$86)+((SUM(J194:K194)/$L194)*'Model Data Inputs'!$C$86))*$R194</f>
        <v>1641.8459994936507</v>
      </c>
      <c r="W194" s="140">
        <f t="shared" si="38"/>
        <v>7880.1716661865685</v>
      </c>
      <c r="X194" s="140">
        <f t="shared" si="31"/>
        <v>2279702.5400079261</v>
      </c>
      <c r="Y194" s="140">
        <f t="shared" si="32"/>
        <v>599987.99282496225</v>
      </c>
      <c r="Z194" s="123">
        <f>IF((SUM(X194:Y194))&lt;(AVERAGE('Elementary Size Adjustment'!$B$66,'Secondary Size Adjustment'!$B$66)),(AVERAGE('Elementary Size Adjustment'!$B$66,'Secondary Size Adjustment'!$B$66)),SUM(X194:Y194))</f>
        <v>2879690.5328328884</v>
      </c>
      <c r="AA194" s="137">
        <f>'Model Data Inputs'!$B$71*S194*L194</f>
        <v>95403.002530992671</v>
      </c>
      <c r="AB194" s="137">
        <f>L194*'Model Data Inputs'!$B$72</f>
        <v>9135.875</v>
      </c>
      <c r="AC194" s="137">
        <f>L194*'Model Data Inputs'!$B$73</f>
        <v>91358.75</v>
      </c>
      <c r="AD194" s="137">
        <f>L194*'Model Data Inputs'!$B$74</f>
        <v>45679.375</v>
      </c>
      <c r="AE194" s="137">
        <f>$I194*'Model Data Inputs'!$B$76</f>
        <v>8693.6986500000003</v>
      </c>
      <c r="AF194" s="137">
        <f>VLOOKUP($J194,'Student Activities MS&amp;HS Tables'!$M$7:$O$1267,3)</f>
        <v>0</v>
      </c>
      <c r="AG194" s="137">
        <f>VLOOKUP($K194,'Student Activities MS&amp;HS Tables'!$I$7:$K$3007,3)</f>
        <v>0</v>
      </c>
      <c r="AH194" s="137">
        <f t="shared" si="33"/>
        <v>8693.6986500000003</v>
      </c>
      <c r="AI194" s="123">
        <f t="shared" si="39"/>
        <v>3129961.2340138811</v>
      </c>
      <c r="AJ194" s="123">
        <f>(('Model Data Inputs'!$B$90*(('Model Data Inputs'!$B$87*('School Level Inst. Resources'!I194/'School Level Inst. Resources'!L194))+('Model Data Inputs'!$C$87*(SUM('School Level Inst. Resources'!J194:K194)/'School Level Inst. Resources'!L194))))*T194*M194)</f>
        <v>356567.67786262877</v>
      </c>
      <c r="AK194" s="123">
        <f>(('Model Data Inputs'!$B$91*(('Model Data Inputs'!$B$87*('School Level Inst. Resources'!I194/'School Level Inst. Resources'!L194))+('Model Data Inputs'!$C$87*(SUM('School Level Inst. Resources'!J194:K194)/'School Level Inst. Resources'!L194))))*T194*N194)</f>
        <v>9768.9774756884599</v>
      </c>
      <c r="AL194" s="137">
        <f>(K194*'Model Data Inputs'!$B$94)*T194</f>
        <v>0</v>
      </c>
      <c r="AM194" s="137">
        <f>K194*'Model Data Inputs'!$B$95</f>
        <v>0</v>
      </c>
      <c r="AN194" s="137">
        <f t="shared" si="40"/>
        <v>0</v>
      </c>
      <c r="AO194" s="137">
        <f>('School Level Inst. Resources'!K194*'Model Data Inputs'!$B$96)+('School Level Inst. Resources'!J194*'Model Data Inputs'!$B$97)</f>
        <v>0</v>
      </c>
      <c r="AP194" s="137">
        <f>$L194*'Model Data Inputs'!$B$100</f>
        <v>14617.4</v>
      </c>
      <c r="AQ194" s="137">
        <f t="shared" si="41"/>
        <v>3510915.2893521981</v>
      </c>
      <c r="AR194" s="141">
        <f t="shared" si="34"/>
        <v>9607.4959687829523</v>
      </c>
    </row>
    <row r="195" spans="1:44" s="40" customFormat="1" ht="12.75" customHeight="1" x14ac:dyDescent="0.2">
      <c r="A195" s="20" t="s">
        <v>64</v>
      </c>
      <c r="B195" s="20" t="s">
        <v>65</v>
      </c>
      <c r="C195" s="20" t="s">
        <v>757</v>
      </c>
      <c r="D195" s="20" t="s">
        <v>758</v>
      </c>
      <c r="E195" s="138" t="s">
        <v>693</v>
      </c>
      <c r="F195" s="138" t="str">
        <f>IF(AND(SUM('School Level ADM'!$F195:$J195)=0,SUM('School Level ADM'!$O195:$R195)=0,'School Level ADM'!$K195&gt;0,'School Level ADM'!$N195&gt;0),"T","F")</f>
        <v>F</v>
      </c>
      <c r="G195" s="138" t="str">
        <f>IF(AND(SUM('School Level ADM'!$M195:$R195)=0,'School Level ADM'!$L195&gt;0),"T","F")</f>
        <v>T</v>
      </c>
      <c r="H195" s="138" t="str">
        <f t="shared" si="28"/>
        <v>E</v>
      </c>
      <c r="I195" s="139">
        <f>IF($F195="T",SUM('School Level ADM'!$F195:$J195),IF($G195="T",SUM('School Level ADM'!$F195:$L195),SUM('School Level ADM'!$F195:$K195,0)))</f>
        <v>267.92</v>
      </c>
      <c r="J195" s="139">
        <f>'School Level ADM'!$S195-$I195-$K195</f>
        <v>0</v>
      </c>
      <c r="K195" s="139">
        <f>IF(SUM('School Level ADM'!$N195:$R195)='School Level ADM'!$S195,SUM('School Level ADM'!$N195:$R195),IF(OR(SUM('School Level ADM'!$F195:$O195)='School Level ADM'!$S195,SUM('School Level ADM'!$G195:$O195)='School Level ADM'!$S195,SUM('School Level ADM'!$H195:$O195)='School Level ADM'!$S195,SUM('School Level ADM'!$I195:$O195)='School Level ADM'!$S195,SUM('School Level ADM'!$J195:$O195)='School Level ADM'!$S195,SUM('School Level ADM'!$K195:$O195)='School Level ADM'!$S195,SUM('School Level ADM'!$L195:$O195)='School Level ADM'!$S195,SUM('School Level ADM'!$M195:$O195)='School Level ADM'!$S195,SUM('School Level ADM'!$N195:$O195)='School Level ADM'!$S195),0,SUM('School Level ADM'!$O195:$R195)))</f>
        <v>0</v>
      </c>
      <c r="L195" s="139">
        <f t="shared" si="29"/>
        <v>267.92</v>
      </c>
      <c r="M195" s="24">
        <f>'Student At-Risk and ELL Proxy'!S195</f>
        <v>111</v>
      </c>
      <c r="N195" s="24">
        <f>'Student At-Risk and ELL Proxy'!AH195</f>
        <v>7</v>
      </c>
      <c r="O195" s="136">
        <f t="shared" si="35"/>
        <v>1.0382211386328402</v>
      </c>
      <c r="P195" s="136" t="str">
        <f t="shared" si="36"/>
        <v/>
      </c>
      <c r="Q195" s="136" t="str">
        <f t="shared" si="37"/>
        <v/>
      </c>
      <c r="R195" s="136">
        <f t="shared" si="30"/>
        <v>1.0382211386328402</v>
      </c>
      <c r="S195" s="136">
        <f>IF(SUM(3515.4*((VLOOKUP($A195,'District Level ADM'!$A$4:$F$52,6,FALSE))^-0.327)/'Model Data Inputs'!$B$71)&lt;1,1,(3515.4*((VLOOKUP($A195,'District Level ADM'!$A$4:$F$52,6,FALSE))^-0.327)/'Model Data Inputs'!$B$71))</f>
        <v>1.3740366028229178</v>
      </c>
      <c r="T195" s="136">
        <f>VLOOKUP($A195,'Regional Cost Adjustment'!$A$4:$C$52,3,FALSE)</f>
        <v>1.01</v>
      </c>
      <c r="U195" s="123">
        <f>((($I195/$L195)*'Model Data Inputs'!$B$85)+((SUM(J195:K195)/$L195)*'Model Data Inputs'!$C$85))*$R195*$T195</f>
        <v>6677.0737905529822</v>
      </c>
      <c r="V195" s="140">
        <f>((($I195/$L195)*'Model Data Inputs'!$B$86)+((SUM(J195:K195)/$L195)*'Model Data Inputs'!$C$86))*$R195</f>
        <v>1757.3187866536819</v>
      </c>
      <c r="W195" s="140">
        <f t="shared" si="38"/>
        <v>8434.392577206665</v>
      </c>
      <c r="X195" s="140">
        <f t="shared" si="31"/>
        <v>1788921.6099649551</v>
      </c>
      <c r="Y195" s="140">
        <f t="shared" si="32"/>
        <v>470820.84932025446</v>
      </c>
      <c r="Z195" s="123">
        <f>IF((SUM(X195:Y195))&lt;(AVERAGE('Elementary Size Adjustment'!$B$66,'Secondary Size Adjustment'!$B$66)),(AVERAGE('Elementary Size Adjustment'!$B$66,'Secondary Size Adjustment'!$B$66)),SUM(X195:Y195))</f>
        <v>2259742.4592852094</v>
      </c>
      <c r="AA195" s="137">
        <f>'Model Data Inputs'!$B$71*S195*L195</f>
        <v>69945.058459380074</v>
      </c>
      <c r="AB195" s="137">
        <f>L195*'Model Data Inputs'!$B$72</f>
        <v>6698</v>
      </c>
      <c r="AC195" s="137">
        <f>L195*'Model Data Inputs'!$B$73</f>
        <v>66980</v>
      </c>
      <c r="AD195" s="137">
        <f>L195*'Model Data Inputs'!$B$74</f>
        <v>33490</v>
      </c>
      <c r="AE195" s="137">
        <f>$I195*'Model Data Inputs'!$B$76</f>
        <v>6373.8168000000005</v>
      </c>
      <c r="AF195" s="137">
        <f>VLOOKUP($J195,'Student Activities MS&amp;HS Tables'!$M$7:$O$1267,3)</f>
        <v>0</v>
      </c>
      <c r="AG195" s="137">
        <f>VLOOKUP($K195,'Student Activities MS&amp;HS Tables'!$I$7:$K$3007,3)</f>
        <v>0</v>
      </c>
      <c r="AH195" s="137">
        <f t="shared" si="33"/>
        <v>6373.8168000000005</v>
      </c>
      <c r="AI195" s="123">
        <f t="shared" si="39"/>
        <v>2443229.3345445897</v>
      </c>
      <c r="AJ195" s="123">
        <f>(('Model Data Inputs'!$B$90*(('Model Data Inputs'!$B$87*('School Level Inst. Resources'!I195/'School Level Inst. Resources'!L195))+('Model Data Inputs'!$C$87*(SUM('School Level Inst. Resources'!J195:K195)/'School Level Inst. Resources'!L195))))*T195*M195)</f>
        <v>271089.12495035474</v>
      </c>
      <c r="AK195" s="123">
        <f>(('Model Data Inputs'!$B$91*(('Model Data Inputs'!$B$87*('School Level Inst. Resources'!I195/'School Level Inst. Resources'!L195))+('Model Data Inputs'!$C$87*(SUM('School Level Inst. Resources'!J195:K195)/'School Level Inst. Resources'!L195))))*T195*N195)</f>
        <v>17095.710582454805</v>
      </c>
      <c r="AL195" s="137">
        <f>(K195*'Model Data Inputs'!$B$94)*T195</f>
        <v>0</v>
      </c>
      <c r="AM195" s="137">
        <f>K195*'Model Data Inputs'!$B$95</f>
        <v>0</v>
      </c>
      <c r="AN195" s="137">
        <f t="shared" si="40"/>
        <v>0</v>
      </c>
      <c r="AO195" s="137">
        <f>('School Level Inst. Resources'!K195*'Model Data Inputs'!$B$96)+('School Level Inst. Resources'!J195*'Model Data Inputs'!$B$97)</f>
        <v>0</v>
      </c>
      <c r="AP195" s="137">
        <f>$L195*'Model Data Inputs'!$B$100</f>
        <v>10716.800000000001</v>
      </c>
      <c r="AQ195" s="137">
        <f t="shared" si="41"/>
        <v>2742130.9700773992</v>
      </c>
      <c r="AR195" s="141">
        <f t="shared" si="34"/>
        <v>10234.887168100175</v>
      </c>
    </row>
    <row r="196" spans="1:44" s="40" customFormat="1" ht="12.75" customHeight="1" x14ac:dyDescent="0.2">
      <c r="A196" s="20" t="s">
        <v>64</v>
      </c>
      <c r="B196" s="20" t="s">
        <v>65</v>
      </c>
      <c r="C196" s="20" t="s">
        <v>759</v>
      </c>
      <c r="D196" s="20" t="s">
        <v>760</v>
      </c>
      <c r="E196" s="138" t="s">
        <v>693</v>
      </c>
      <c r="F196" s="138" t="str">
        <f>IF(AND(SUM('School Level ADM'!$F196:$J196)=0,SUM('School Level ADM'!$O196:$R196)=0,'School Level ADM'!$K196&gt;0,'School Level ADM'!$N196&gt;0),"T","F")</f>
        <v>F</v>
      </c>
      <c r="G196" s="138" t="str">
        <f>IF(AND(SUM('School Level ADM'!$M196:$R196)=0,'School Level ADM'!$L196&gt;0),"T","F")</f>
        <v>T</v>
      </c>
      <c r="H196" s="138" t="str">
        <f t="shared" si="28"/>
        <v>E</v>
      </c>
      <c r="I196" s="139">
        <f>IF($F196="T",SUM('School Level ADM'!$F196:$J196),IF($G196="T",SUM('School Level ADM'!$F196:$L196),SUM('School Level ADM'!$F196:$K196,0)))</f>
        <v>354.6</v>
      </c>
      <c r="J196" s="139">
        <f>'School Level ADM'!$S196-$I196-$K196</f>
        <v>0</v>
      </c>
      <c r="K196" s="139">
        <f>IF(SUM('School Level ADM'!$N196:$R196)='School Level ADM'!$S196,SUM('School Level ADM'!$N196:$R196),IF(OR(SUM('School Level ADM'!$F196:$O196)='School Level ADM'!$S196,SUM('School Level ADM'!$G196:$O196)='School Level ADM'!$S196,SUM('School Level ADM'!$H196:$O196)='School Level ADM'!$S196,SUM('School Level ADM'!$I196:$O196)='School Level ADM'!$S196,SUM('School Level ADM'!$J196:$O196)='School Level ADM'!$S196,SUM('School Level ADM'!$K196:$O196)='School Level ADM'!$S196,SUM('School Level ADM'!$L196:$O196)='School Level ADM'!$S196,SUM('School Level ADM'!$M196:$O196)='School Level ADM'!$S196,SUM('School Level ADM'!$N196:$O196)='School Level ADM'!$S196),0,SUM('School Level ADM'!$O196:$R196)))</f>
        <v>0</v>
      </c>
      <c r="L196" s="139">
        <f t="shared" si="29"/>
        <v>354.6</v>
      </c>
      <c r="M196" s="24">
        <f>'Student At-Risk and ELL Proxy'!S196</f>
        <v>138</v>
      </c>
      <c r="N196" s="24">
        <f>'Student At-Risk and ELL Proxy'!AH196</f>
        <v>1</v>
      </c>
      <c r="O196" s="136">
        <f t="shared" si="35"/>
        <v>0.97</v>
      </c>
      <c r="P196" s="136" t="str">
        <f t="shared" si="36"/>
        <v/>
      </c>
      <c r="Q196" s="136" t="str">
        <f t="shared" si="37"/>
        <v/>
      </c>
      <c r="R196" s="136">
        <f t="shared" si="30"/>
        <v>0.97</v>
      </c>
      <c r="S196" s="136">
        <f>IF(SUM(3515.4*((VLOOKUP($A196,'District Level ADM'!$A$4:$F$52,6,FALSE))^-0.327)/'Model Data Inputs'!$B$71)&lt;1,1,(3515.4*((VLOOKUP($A196,'District Level ADM'!$A$4:$F$52,6,FALSE))^-0.327)/'Model Data Inputs'!$B$71))</f>
        <v>1.3740366028229178</v>
      </c>
      <c r="T196" s="136">
        <f>VLOOKUP($A196,'Regional Cost Adjustment'!$A$4:$C$52,3,FALSE)</f>
        <v>1.01</v>
      </c>
      <c r="U196" s="123">
        <f>((($I196/$L196)*'Model Data Inputs'!$B$85)+((SUM(J196:K196)/$L196)*'Model Data Inputs'!$C$85))*$R196*$T196</f>
        <v>6238.3256666929174</v>
      </c>
      <c r="V196" s="140">
        <f>((($I196/$L196)*'Model Data Inputs'!$B$86)+((SUM(J196:K196)/$L196)*'Model Data Inputs'!$C$86))*$R196</f>
        <v>1641.8459994936507</v>
      </c>
      <c r="W196" s="140">
        <f t="shared" si="38"/>
        <v>7880.1716661865685</v>
      </c>
      <c r="X196" s="140">
        <f t="shared" si="31"/>
        <v>2212110.2814093088</v>
      </c>
      <c r="Y196" s="140">
        <f t="shared" si="32"/>
        <v>582198.5914204485</v>
      </c>
      <c r="Z196" s="123">
        <f>IF((SUM(X196:Y196))&lt;(AVERAGE('Elementary Size Adjustment'!$B$66,'Secondary Size Adjustment'!$B$66)),(AVERAGE('Elementary Size Adjustment'!$B$66,'Secondary Size Adjustment'!$B$66)),SUM(X196:Y196))</f>
        <v>2794308.8728297572</v>
      </c>
      <c r="AA196" s="137">
        <f>'Model Data Inputs'!$B$71*S196*L196</f>
        <v>92574.342078591275</v>
      </c>
      <c r="AB196" s="137">
        <f>L196*'Model Data Inputs'!$B$72</f>
        <v>8865</v>
      </c>
      <c r="AC196" s="137">
        <f>L196*'Model Data Inputs'!$B$73</f>
        <v>88650</v>
      </c>
      <c r="AD196" s="137">
        <f>L196*'Model Data Inputs'!$B$74</f>
        <v>44325</v>
      </c>
      <c r="AE196" s="137">
        <f>$I196*'Model Data Inputs'!$B$76</f>
        <v>8435.9340000000011</v>
      </c>
      <c r="AF196" s="137">
        <f>VLOOKUP($J196,'Student Activities MS&amp;HS Tables'!$M$7:$O$1267,3)</f>
        <v>0</v>
      </c>
      <c r="AG196" s="137">
        <f>VLOOKUP($K196,'Student Activities MS&amp;HS Tables'!$I$7:$K$3007,3)</f>
        <v>0</v>
      </c>
      <c r="AH196" s="137">
        <f t="shared" si="33"/>
        <v>8435.9340000000011</v>
      </c>
      <c r="AI196" s="123">
        <f t="shared" si="39"/>
        <v>3037159.1489083483</v>
      </c>
      <c r="AJ196" s="123">
        <f>(('Model Data Inputs'!$B$90*(('Model Data Inputs'!$B$87*('School Level Inst. Resources'!I196/'School Level Inst. Resources'!L196))+('Model Data Inputs'!$C$87*(SUM('School Level Inst. Resources'!J196:K196)/'School Level Inst. Resources'!L196))))*T196*M196)</f>
        <v>337029.72291125188</v>
      </c>
      <c r="AK196" s="123">
        <f>(('Model Data Inputs'!$B$91*(('Model Data Inputs'!$B$87*('School Level Inst. Resources'!I196/'School Level Inst. Resources'!L196))+('Model Data Inputs'!$C$87*(SUM('School Level Inst. Resources'!J196:K196)/'School Level Inst. Resources'!L196))))*T196*N196)</f>
        <v>2442.244368922115</v>
      </c>
      <c r="AL196" s="137">
        <f>(K196*'Model Data Inputs'!$B$94)*T196</f>
        <v>0</v>
      </c>
      <c r="AM196" s="137">
        <f>K196*'Model Data Inputs'!$B$95</f>
        <v>0</v>
      </c>
      <c r="AN196" s="137">
        <f t="shared" si="40"/>
        <v>0</v>
      </c>
      <c r="AO196" s="137">
        <f>('School Level Inst. Resources'!K196*'Model Data Inputs'!$B$96)+('School Level Inst. Resources'!J196*'Model Data Inputs'!$B$97)</f>
        <v>0</v>
      </c>
      <c r="AP196" s="137">
        <f>$L196*'Model Data Inputs'!$B$100</f>
        <v>14184</v>
      </c>
      <c r="AQ196" s="137">
        <f t="shared" si="41"/>
        <v>3390815.116188522</v>
      </c>
      <c r="AR196" s="141">
        <f t="shared" si="34"/>
        <v>9562.3663739101012</v>
      </c>
    </row>
    <row r="197" spans="1:44" s="40" customFormat="1" ht="12.75" customHeight="1" x14ac:dyDescent="0.2">
      <c r="A197" s="20" t="s">
        <v>64</v>
      </c>
      <c r="B197" s="20" t="s">
        <v>65</v>
      </c>
      <c r="C197" s="20" t="s">
        <v>761</v>
      </c>
      <c r="D197" s="20" t="s">
        <v>762</v>
      </c>
      <c r="E197" s="138" t="s">
        <v>386</v>
      </c>
      <c r="F197" s="138" t="str">
        <f>IF(AND(SUM('School Level ADM'!$F197:$J197)=0,SUM('School Level ADM'!$O197:$R197)=0,'School Level ADM'!$K197&gt;0,'School Level ADM'!$N197&gt;0),"T","F")</f>
        <v>F</v>
      </c>
      <c r="G197" s="138" t="str">
        <f>IF(AND(SUM('School Level ADM'!$M197:$R197)=0,'School Level ADM'!$L197&gt;0),"T","F")</f>
        <v>F</v>
      </c>
      <c r="H197" s="138" t="str">
        <f t="shared" ref="H197:H260" si="42">IF($K197&gt;0,"H",IF($J197&gt;0,"M","E"))</f>
        <v>M</v>
      </c>
      <c r="I197" s="139">
        <f>IF($F197="T",SUM('School Level ADM'!$F197:$J197),IF($G197="T",SUM('School Level ADM'!$F197:$L197),SUM('School Level ADM'!$F197:$K197,0)))</f>
        <v>0</v>
      </c>
      <c r="J197" s="139">
        <f>'School Level ADM'!$S197-$I197-$K197</f>
        <v>397.94</v>
      </c>
      <c r="K197" s="139">
        <f>IF(SUM('School Level ADM'!$N197:$R197)='School Level ADM'!$S197,SUM('School Level ADM'!$N197:$R197),IF(OR(SUM('School Level ADM'!$F197:$O197)='School Level ADM'!$S197,SUM('School Level ADM'!$G197:$O197)='School Level ADM'!$S197,SUM('School Level ADM'!$H197:$O197)='School Level ADM'!$S197,SUM('School Level ADM'!$I197:$O197)='School Level ADM'!$S197,SUM('School Level ADM'!$J197:$O197)='School Level ADM'!$S197,SUM('School Level ADM'!$K197:$O197)='School Level ADM'!$S197,SUM('School Level ADM'!$L197:$O197)='School Level ADM'!$S197,SUM('School Level ADM'!$M197:$O197)='School Level ADM'!$S197,SUM('School Level ADM'!$N197:$O197)='School Level ADM'!$S197),0,SUM('School Level ADM'!$O197:$R197)))</f>
        <v>0</v>
      </c>
      <c r="L197" s="139">
        <f t="shared" ref="L197:L260" si="43">SUM($I197:$K197)</f>
        <v>397.94</v>
      </c>
      <c r="M197" s="24">
        <f>'Student At-Risk and ELL Proxy'!S197</f>
        <v>162</v>
      </c>
      <c r="N197" s="24">
        <f>'Student At-Risk and ELL Proxy'!AH197</f>
        <v>7</v>
      </c>
      <c r="O197" s="136" t="str">
        <f t="shared" si="35"/>
        <v/>
      </c>
      <c r="P197" s="136">
        <f t="shared" si="36"/>
        <v>1.116263484478293</v>
      </c>
      <c r="Q197" s="136" t="str">
        <f t="shared" si="37"/>
        <v/>
      </c>
      <c r="R197" s="136">
        <f t="shared" ref="R197:R260" si="44">(IF(E197="K-12",Q197,IF(E197="p-12",Q197,IF(O197="",P197,IF(P197="",O197,(O197*(I197/L197))+(P197*(SUM(J197:K197)/L197)))))))</f>
        <v>1.116263484478293</v>
      </c>
      <c r="S197" s="136">
        <f>IF(SUM(3515.4*((VLOOKUP($A197,'District Level ADM'!$A$4:$F$52,6,FALSE))^-0.327)/'Model Data Inputs'!$B$71)&lt;1,1,(3515.4*((VLOOKUP($A197,'District Level ADM'!$A$4:$F$52,6,FALSE))^-0.327)/'Model Data Inputs'!$B$71))</f>
        <v>1.3740366028229178</v>
      </c>
      <c r="T197" s="136">
        <f>VLOOKUP($A197,'Regional Cost Adjustment'!$A$4:$C$52,3,FALSE)</f>
        <v>1.01</v>
      </c>
      <c r="U197" s="123">
        <f>((($I197/$L197)*'Model Data Inputs'!$B$85)+((SUM(J197:K197)/$L197)*'Model Data Inputs'!$C$85))*$R197*$T197</f>
        <v>6068.6974652069093</v>
      </c>
      <c r="V197" s="140">
        <f>((($I197/$L197)*'Model Data Inputs'!$B$86)+((SUM(J197:K197)/$L197)*'Model Data Inputs'!$C$86))*$R197</f>
        <v>1599.7258700957909</v>
      </c>
      <c r="W197" s="140">
        <f t="shared" si="38"/>
        <v>7668.4233353027003</v>
      </c>
      <c r="X197" s="140">
        <f t="shared" ref="X197:X260" si="45">U197*L197</f>
        <v>2414977.4693044373</v>
      </c>
      <c r="Y197" s="140">
        <f t="shared" ref="Y197:Y260" si="46">V197*L197</f>
        <v>636594.91274591908</v>
      </c>
      <c r="Z197" s="123">
        <f>IF((SUM(X197:Y197))&lt;(AVERAGE('Elementary Size Adjustment'!$B$66,'Secondary Size Adjustment'!$B$66)),(AVERAGE('Elementary Size Adjustment'!$B$66,'Secondary Size Adjustment'!$B$66)),SUM(X197:Y197))</f>
        <v>3051572.3820503564</v>
      </c>
      <c r="AA197" s="137">
        <f>'Model Data Inputs'!$B$71*S197*L197</f>
        <v>103888.98388819686</v>
      </c>
      <c r="AB197" s="137">
        <f>L197*'Model Data Inputs'!$B$72</f>
        <v>9948.5</v>
      </c>
      <c r="AC197" s="137">
        <f>L197*'Model Data Inputs'!$B$73</f>
        <v>99485</v>
      </c>
      <c r="AD197" s="137">
        <f>L197*'Model Data Inputs'!$B$74</f>
        <v>49742.5</v>
      </c>
      <c r="AE197" s="137">
        <f>$I197*'Model Data Inputs'!$B$76</f>
        <v>0</v>
      </c>
      <c r="AF197" s="137">
        <f>VLOOKUP($J197,'Student Activities MS&amp;HS Tables'!$M$7:$O$1267,3)</f>
        <v>114347.90999999999</v>
      </c>
      <c r="AG197" s="137">
        <f>VLOOKUP($K197,'Student Activities MS&amp;HS Tables'!$I$7:$K$3007,3)</f>
        <v>0</v>
      </c>
      <c r="AH197" s="137">
        <f t="shared" ref="AH197:AH260" si="47">SUM(AE197:AG197)</f>
        <v>114347.90999999999</v>
      </c>
      <c r="AI197" s="123">
        <f t="shared" si="39"/>
        <v>3428985.2759385533</v>
      </c>
      <c r="AJ197" s="123">
        <f>(('Model Data Inputs'!$B$90*(('Model Data Inputs'!$B$87*('School Level Inst. Resources'!I197/'School Level Inst. Resources'!L197))+('Model Data Inputs'!$C$87*(SUM('School Level Inst. Resources'!J197:K197)/'School Level Inst. Resources'!L197))))*T197*M197)</f>
        <v>334565.13275010762</v>
      </c>
      <c r="AK197" s="123">
        <f>(('Model Data Inputs'!$B$91*(('Model Data Inputs'!$B$87*('School Level Inst. Resources'!I197/'School Level Inst. Resources'!L197))+('Model Data Inputs'!$C$87*(SUM('School Level Inst. Resources'!J197:K197)/'School Level Inst. Resources'!L197))))*T197*N197)</f>
        <v>14456.518081794773</v>
      </c>
      <c r="AL197" s="137">
        <f>(K197*'Model Data Inputs'!$B$94)*T197</f>
        <v>0</v>
      </c>
      <c r="AM197" s="137">
        <f>K197*'Model Data Inputs'!$B$95</f>
        <v>0</v>
      </c>
      <c r="AN197" s="137">
        <f t="shared" si="40"/>
        <v>0</v>
      </c>
      <c r="AO197" s="137">
        <f>('School Level Inst. Resources'!K197*'Model Data Inputs'!$B$96)+('School Level Inst. Resources'!J197*'Model Data Inputs'!$B$97)</f>
        <v>9948.5</v>
      </c>
      <c r="AP197" s="137">
        <f>$L197*'Model Data Inputs'!$B$100</f>
        <v>15917.6</v>
      </c>
      <c r="AQ197" s="137">
        <f t="shared" si="41"/>
        <v>3803873.0267704558</v>
      </c>
      <c r="AR197" s="141">
        <f t="shared" ref="AR197:AR260" si="48">AQ197/L197</f>
        <v>9558.9109583617028</v>
      </c>
    </row>
    <row r="198" spans="1:44" s="40" customFormat="1" ht="12.75" customHeight="1" x14ac:dyDescent="0.2">
      <c r="A198" s="20" t="s">
        <v>64</v>
      </c>
      <c r="B198" s="20" t="s">
        <v>65</v>
      </c>
      <c r="C198" s="20" t="s">
        <v>763</v>
      </c>
      <c r="D198" s="20" t="s">
        <v>764</v>
      </c>
      <c r="E198" s="138" t="s">
        <v>465</v>
      </c>
      <c r="F198" s="138" t="str">
        <f>IF(AND(SUM('School Level ADM'!$F198:$J198)=0,SUM('School Level ADM'!$O198:$R198)=0,'School Level ADM'!$K198&gt;0,'School Level ADM'!$N198&gt;0),"T","F")</f>
        <v>F</v>
      </c>
      <c r="G198" s="138" t="str">
        <f>IF(AND(SUM('School Level ADM'!$M198:$R198)=0,'School Level ADM'!$L198&gt;0),"T","F")</f>
        <v>F</v>
      </c>
      <c r="H198" s="138" t="str">
        <f t="shared" si="42"/>
        <v>H</v>
      </c>
      <c r="I198" s="139">
        <f>IF($F198="T",SUM('School Level ADM'!$F198:$J198),IF($G198="T",SUM('School Level ADM'!$F198:$L198),SUM('School Level ADM'!$F198:$K198,0)))</f>
        <v>0</v>
      </c>
      <c r="J198" s="139">
        <f>'School Level ADM'!$S198-$I198-$K198</f>
        <v>37.429999999999993</v>
      </c>
      <c r="K198" s="139">
        <f>IF(SUM('School Level ADM'!$N198:$R198)='School Level ADM'!$S198,SUM('School Level ADM'!$N198:$R198),IF(OR(SUM('School Level ADM'!$F198:$O198)='School Level ADM'!$S198,SUM('School Level ADM'!$G198:$O198)='School Level ADM'!$S198,SUM('School Level ADM'!$H198:$O198)='School Level ADM'!$S198,SUM('School Level ADM'!$I198:$O198)='School Level ADM'!$S198,SUM('School Level ADM'!$J198:$O198)='School Level ADM'!$S198,SUM('School Level ADM'!$K198:$O198)='School Level ADM'!$S198,SUM('School Level ADM'!$L198:$O198)='School Level ADM'!$S198,SUM('School Level ADM'!$M198:$O198)='School Level ADM'!$S198,SUM('School Level ADM'!$N198:$O198)='School Level ADM'!$S198),0,SUM('School Level ADM'!$O198:$R198)))</f>
        <v>78.800000000000011</v>
      </c>
      <c r="L198" s="139">
        <f t="shared" si="43"/>
        <v>116.23</v>
      </c>
      <c r="M198" s="24">
        <f>'Student At-Risk and ELL Proxy'!S198</f>
        <v>35</v>
      </c>
      <c r="N198" s="24">
        <f>'Student At-Risk and ELL Proxy'!AH198</f>
        <v>1</v>
      </c>
      <c r="O198" s="136" t="str">
        <f t="shared" ref="O198:O261" si="49">IF(E198="K-12","",IF(E198="p-12","",IF(I198&lt;0.1,"",IF(SUM(77441*(L198^-0.398))/8060&lt;0.97,0.97,(77441*(L198^-0.398)/8060)))))</f>
        <v/>
      </c>
      <c r="P198" s="136">
        <f t="shared" ref="P198:P261" si="50">IF(E198="K-12","",IF(E198="p-12","",IF(SUM(J198:K198)&lt;0.1,"",IF(SUM(62206*(L198^-0.351)/6816)&lt;0.97,0.97,(62206*(L198^-0.351)/6816)))))</f>
        <v>1.7193963196523812</v>
      </c>
      <c r="Q198" s="136" t="str">
        <f t="shared" ref="Q198:Q261" si="51">IF(E198="K-12",((((77441*(I198^-0.398))/8060)*I198)+((62206*((J198)^-0.351))/6816)*J198+((62206*((K198)^-0.351))/6816)*K198)/L198,IF(E198="p-12",((((77441*(I198^-0.398))/8060)*I198)+((62206*((J198)^-0.351))/6816)*J198+((62206*((K198)^-0.351))/6816)*K198)/L198,""))</f>
        <v/>
      </c>
      <c r="R198" s="136">
        <f t="shared" si="44"/>
        <v>1.7193963196523812</v>
      </c>
      <c r="S198" s="136">
        <f>IF(SUM(3515.4*((VLOOKUP($A198,'District Level ADM'!$A$4:$F$52,6,FALSE))^-0.327)/'Model Data Inputs'!$B$71)&lt;1,1,(3515.4*((VLOOKUP($A198,'District Level ADM'!$A$4:$F$52,6,FALSE))^-0.327)/'Model Data Inputs'!$B$71))</f>
        <v>1.3740366028229178</v>
      </c>
      <c r="T198" s="136">
        <f>VLOOKUP($A198,'Regional Cost Adjustment'!$A$4:$C$52,3,FALSE)</f>
        <v>1.01</v>
      </c>
      <c r="U198" s="123">
        <f>((($I198/$L198)*'Model Data Inputs'!$B$85)+((SUM(J198:K198)/$L198)*'Model Data Inputs'!$C$85))*$R198*$T198</f>
        <v>9347.6999219742956</v>
      </c>
      <c r="V198" s="140">
        <f>((($I198/$L198)*'Model Data Inputs'!$B$86)+((SUM(J198:K198)/$L198)*'Model Data Inputs'!$C$86))*$R198</f>
        <v>2464.0802209712469</v>
      </c>
      <c r="W198" s="140">
        <f t="shared" ref="W198:W261" si="52">SUM(U198:V198)</f>
        <v>11811.780142945543</v>
      </c>
      <c r="X198" s="140">
        <f t="shared" si="45"/>
        <v>1086483.1619310724</v>
      </c>
      <c r="Y198" s="140">
        <f t="shared" si="46"/>
        <v>286400.04408348806</v>
      </c>
      <c r="Z198" s="123">
        <f>IF((SUM(X198:Y198))&lt;(AVERAGE('Elementary Size Adjustment'!$B$66,'Secondary Size Adjustment'!$B$66)),(AVERAGE('Elementary Size Adjustment'!$B$66,'Secondary Size Adjustment'!$B$66)),SUM(X198:Y198))</f>
        <v>1372883.2060145605</v>
      </c>
      <c r="AA198" s="137">
        <f>'Model Data Inputs'!$B$71*S198*L198</f>
        <v>30343.812125760473</v>
      </c>
      <c r="AB198" s="137">
        <f>L198*'Model Data Inputs'!$B$72</f>
        <v>2905.75</v>
      </c>
      <c r="AC198" s="137">
        <f>L198*'Model Data Inputs'!$B$73</f>
        <v>29057.5</v>
      </c>
      <c r="AD198" s="137">
        <f>L198*'Model Data Inputs'!$B$74</f>
        <v>14528.75</v>
      </c>
      <c r="AE198" s="137">
        <f>$I198*'Model Data Inputs'!$B$76</f>
        <v>0</v>
      </c>
      <c r="AF198" s="137">
        <f>VLOOKUP($J198,'Student Activities MS&amp;HS Tables'!$M$7:$O$1267,3)</f>
        <v>25785.67</v>
      </c>
      <c r="AG198" s="137">
        <f>VLOOKUP($K198,'Student Activities MS&amp;HS Tables'!$I$7:$K$3007,3)</f>
        <v>130132.85999999999</v>
      </c>
      <c r="AH198" s="137">
        <f t="shared" si="47"/>
        <v>155918.52999999997</v>
      </c>
      <c r="AI198" s="123">
        <f t="shared" ref="AI198:AI261" si="53">SUM(Z198:AD198)+AH198</f>
        <v>1605637.5481403209</v>
      </c>
      <c r="AJ198" s="123">
        <f>(('Model Data Inputs'!$B$90*(('Model Data Inputs'!$B$87*('School Level Inst. Resources'!I198/'School Level Inst. Resources'!L198))+('Model Data Inputs'!$C$87*(SUM('School Level Inst. Resources'!J198:K198)/'School Level Inst. Resources'!L198))))*T198*M198)</f>
        <v>72282.590408973861</v>
      </c>
      <c r="AK198" s="123">
        <f>(('Model Data Inputs'!$B$91*(('Model Data Inputs'!$B$87*('School Level Inst. Resources'!I198/'School Level Inst. Resources'!L198))+('Model Data Inputs'!$C$87*(SUM('School Level Inst. Resources'!J198:K198)/'School Level Inst. Resources'!L198))))*T198*N198)</f>
        <v>2065.2168688278248</v>
      </c>
      <c r="AL198" s="137">
        <f>(K198*'Model Data Inputs'!$B$94)*T198</f>
        <v>13137.221473740005</v>
      </c>
      <c r="AM198" s="137">
        <f>K198*'Model Data Inputs'!$B$95</f>
        <v>3302.4942100000003</v>
      </c>
      <c r="AN198" s="137">
        <f t="shared" ref="AN198:AN261" si="54">SUM(AL198:AM198)</f>
        <v>16439.715683740003</v>
      </c>
      <c r="AO198" s="137">
        <f>('School Level Inst. Resources'!K198*'Model Data Inputs'!$B$96)+('School Level Inst. Resources'!J198*'Model Data Inputs'!$B$97)</f>
        <v>8815.75</v>
      </c>
      <c r="AP198" s="137">
        <f>$L198*'Model Data Inputs'!$B$100</f>
        <v>4649.2</v>
      </c>
      <c r="AQ198" s="137">
        <f t="shared" ref="AQ198:AQ261" si="55">SUM(AI198:AK198,AN198:AP198)</f>
        <v>1709890.0211018627</v>
      </c>
      <c r="AR198" s="141">
        <f t="shared" si="48"/>
        <v>14711.262334181043</v>
      </c>
    </row>
    <row r="199" spans="1:44" s="40" customFormat="1" ht="12.75" customHeight="1" x14ac:dyDescent="0.2">
      <c r="A199" s="20" t="s">
        <v>64</v>
      </c>
      <c r="B199" s="20" t="s">
        <v>65</v>
      </c>
      <c r="C199" s="20" t="s">
        <v>765</v>
      </c>
      <c r="D199" s="20" t="s">
        <v>766</v>
      </c>
      <c r="E199" s="138" t="s">
        <v>389</v>
      </c>
      <c r="F199" s="138" t="str">
        <f>IF(AND(SUM('School Level ADM'!$F199:$J199)=0,SUM('School Level ADM'!$O199:$R199)=0,'School Level ADM'!$K199&gt;0,'School Level ADM'!$N199&gt;0),"T","F")</f>
        <v>F</v>
      </c>
      <c r="G199" s="138" t="str">
        <f>IF(AND(SUM('School Level ADM'!$M199:$R199)=0,'School Level ADM'!$L199&gt;0),"T","F")</f>
        <v>F</v>
      </c>
      <c r="H199" s="138" t="str">
        <f t="shared" si="42"/>
        <v>H</v>
      </c>
      <c r="I199" s="139">
        <f>IF($F199="T",SUM('School Level ADM'!$F199:$J199),IF($G199="T",SUM('School Level ADM'!$F199:$L199),SUM('School Level ADM'!$F199:$K199,0)))</f>
        <v>0</v>
      </c>
      <c r="J199" s="139">
        <f>'School Level ADM'!$S199-$I199-$K199</f>
        <v>0</v>
      </c>
      <c r="K199" s="139">
        <f>IF(SUM('School Level ADM'!$N199:$R199)='School Level ADM'!$S199,SUM('School Level ADM'!$N199:$R199),IF(OR(SUM('School Level ADM'!$F199:$O199)='School Level ADM'!$S199,SUM('School Level ADM'!$G199:$O199)='School Level ADM'!$S199,SUM('School Level ADM'!$H199:$O199)='School Level ADM'!$S199,SUM('School Level ADM'!$I199:$O199)='School Level ADM'!$S199,SUM('School Level ADM'!$J199:$O199)='School Level ADM'!$S199,SUM('School Level ADM'!$K199:$O199)='School Level ADM'!$S199,SUM('School Level ADM'!$L199:$O199)='School Level ADM'!$S199,SUM('School Level ADM'!$M199:$O199)='School Level ADM'!$S199,SUM('School Level ADM'!$N199:$O199)='School Level ADM'!$S199),0,SUM('School Level ADM'!$O199:$R199)))</f>
        <v>716.09500000000003</v>
      </c>
      <c r="L199" s="139">
        <f t="shared" si="43"/>
        <v>716.09500000000003</v>
      </c>
      <c r="M199" s="24">
        <f>'Student At-Risk and ELL Proxy'!S199</f>
        <v>229</v>
      </c>
      <c r="N199" s="24">
        <f>'Student At-Risk and ELL Proxy'!AH199</f>
        <v>9</v>
      </c>
      <c r="O199" s="136" t="str">
        <f t="shared" si="49"/>
        <v/>
      </c>
      <c r="P199" s="136">
        <f t="shared" si="50"/>
        <v>0.97</v>
      </c>
      <c r="Q199" s="136" t="str">
        <f t="shared" si="51"/>
        <v/>
      </c>
      <c r="R199" s="136">
        <f t="shared" si="44"/>
        <v>0.97</v>
      </c>
      <c r="S199" s="136">
        <f>IF(SUM(3515.4*((VLOOKUP($A199,'District Level ADM'!$A$4:$F$52,6,FALSE))^-0.327)/'Model Data Inputs'!$B$71)&lt;1,1,(3515.4*((VLOOKUP($A199,'District Level ADM'!$A$4:$F$52,6,FALSE))^-0.327)/'Model Data Inputs'!$B$71))</f>
        <v>1.3740366028229178</v>
      </c>
      <c r="T199" s="136">
        <f>VLOOKUP($A199,'Regional Cost Adjustment'!$A$4:$C$52,3,FALSE)</f>
        <v>1.01</v>
      </c>
      <c r="U199" s="123">
        <f>((($I199/$L199)*'Model Data Inputs'!$B$85)+((SUM(J199:K199)/$L199)*'Model Data Inputs'!$C$85))*$R199*$T199</f>
        <v>5273.518862799614</v>
      </c>
      <c r="V199" s="140">
        <f>((($I199/$L199)*'Model Data Inputs'!$B$86)+((SUM(J199:K199)/$L199)*'Model Data Inputs'!$C$86))*$R199</f>
        <v>1390.1145343996893</v>
      </c>
      <c r="W199" s="140">
        <f t="shared" si="52"/>
        <v>6663.6333971993035</v>
      </c>
      <c r="X199" s="140">
        <f t="shared" si="45"/>
        <v>3776340.4900564896</v>
      </c>
      <c r="Y199" s="140">
        <f t="shared" si="46"/>
        <v>995454.06751094561</v>
      </c>
      <c r="Z199" s="123">
        <f>IF((SUM(X199:Y199))&lt;(AVERAGE('Elementary Size Adjustment'!$B$66,'Secondary Size Adjustment'!$B$66)),(AVERAGE('Elementary Size Adjustment'!$B$66,'Secondary Size Adjustment'!$B$66)),SUM(X199:Y199))</f>
        <v>4771794.5575674353</v>
      </c>
      <c r="AA199" s="137">
        <f>'Model Data Inputs'!$B$71*S199*L199</f>
        <v>186948.74080871069</v>
      </c>
      <c r="AB199" s="137">
        <f>L199*'Model Data Inputs'!$B$72</f>
        <v>17902.375</v>
      </c>
      <c r="AC199" s="137">
        <f>L199*'Model Data Inputs'!$B$73</f>
        <v>179023.75</v>
      </c>
      <c r="AD199" s="137">
        <f>L199*'Model Data Inputs'!$B$74</f>
        <v>89511.875</v>
      </c>
      <c r="AE199" s="137">
        <f>$I199*'Model Data Inputs'!$B$76</f>
        <v>0</v>
      </c>
      <c r="AF199" s="137">
        <f>VLOOKUP($J199,'Student Activities MS&amp;HS Tables'!$M$7:$O$1267,3)</f>
        <v>0</v>
      </c>
      <c r="AG199" s="137">
        <f>VLOOKUP($K199,'Student Activities MS&amp;HS Tables'!$I$7:$K$3007,3)</f>
        <v>499281.12000000005</v>
      </c>
      <c r="AH199" s="137">
        <f t="shared" si="47"/>
        <v>499281.12000000005</v>
      </c>
      <c r="AI199" s="123">
        <f t="shared" si="53"/>
        <v>5744462.4183761459</v>
      </c>
      <c r="AJ199" s="123">
        <f>(('Model Data Inputs'!$B$90*(('Model Data Inputs'!$B$87*('School Level Inst. Resources'!I199/'School Level Inst. Resources'!L199))+('Model Data Inputs'!$C$87*(SUM('School Level Inst. Resources'!J199:K199)/'School Level Inst. Resources'!L199))))*T199*M199)</f>
        <v>472934.66296157188</v>
      </c>
      <c r="AK199" s="123">
        <f>(('Model Data Inputs'!$B$91*(('Model Data Inputs'!$B$87*('School Level Inst. Resources'!I199/'School Level Inst. Resources'!L199))+('Model Data Inputs'!$C$87*(SUM('School Level Inst. Resources'!J199:K199)/'School Level Inst. Resources'!L199))))*T199*N199)</f>
        <v>18586.951819450423</v>
      </c>
      <c r="AL199" s="137">
        <f>(K199*'Model Data Inputs'!$B$94)*T199</f>
        <v>119384.50014261226</v>
      </c>
      <c r="AM199" s="137">
        <f>K199*'Model Data Inputs'!$B$95</f>
        <v>30011.416133374998</v>
      </c>
      <c r="AN199" s="137">
        <f t="shared" si="54"/>
        <v>149395.91627598726</v>
      </c>
      <c r="AO199" s="137">
        <f>('School Level Inst. Resources'!K199*'Model Data Inputs'!$B$96)+('School Level Inst. Resources'!J199*'Model Data Inputs'!$B$97)</f>
        <v>71609.5</v>
      </c>
      <c r="AP199" s="137">
        <f>$L199*'Model Data Inputs'!$B$100</f>
        <v>28643.800000000003</v>
      </c>
      <c r="AQ199" s="137">
        <f t="shared" si="55"/>
        <v>6485633.2494331552</v>
      </c>
      <c r="AR199" s="141">
        <f t="shared" si="48"/>
        <v>9056.9453067444338</v>
      </c>
    </row>
    <row r="200" spans="1:44" s="40" customFormat="1" ht="12.75" customHeight="1" x14ac:dyDescent="0.2">
      <c r="A200" s="20" t="s">
        <v>64</v>
      </c>
      <c r="B200" s="20" t="s">
        <v>65</v>
      </c>
      <c r="C200" s="20" t="s">
        <v>767</v>
      </c>
      <c r="D200" s="20" t="s">
        <v>768</v>
      </c>
      <c r="E200" s="138" t="s">
        <v>389</v>
      </c>
      <c r="F200" s="138" t="str">
        <f>IF(AND(SUM('School Level ADM'!$F200:$J200)=0,SUM('School Level ADM'!$O200:$R200)=0,'School Level ADM'!$K200&gt;0,'School Level ADM'!$N200&gt;0),"T","F")</f>
        <v>F</v>
      </c>
      <c r="G200" s="138" t="str">
        <f>IF(AND(SUM('School Level ADM'!$M200:$R200)=0,'School Level ADM'!$L200&gt;0),"T","F")</f>
        <v>F</v>
      </c>
      <c r="H200" s="138" t="str">
        <f t="shared" si="42"/>
        <v>H</v>
      </c>
      <c r="I200" s="139">
        <f>IF($F200="T",SUM('School Level ADM'!$F200:$J200),IF($G200="T",SUM('School Level ADM'!$F200:$L200),SUM('School Level ADM'!$F200:$K200,0)))</f>
        <v>0</v>
      </c>
      <c r="J200" s="139">
        <f>'School Level ADM'!$S200-$I200-$K200</f>
        <v>0</v>
      </c>
      <c r="K200" s="139">
        <f>IF(SUM('School Level ADM'!$N200:$R200)='School Level ADM'!$S200,SUM('School Level ADM'!$N200:$R200),IF(OR(SUM('School Level ADM'!$F200:$O200)='School Level ADM'!$S200,SUM('School Level ADM'!$G200:$O200)='School Level ADM'!$S200,SUM('School Level ADM'!$H200:$O200)='School Level ADM'!$S200,SUM('School Level ADM'!$I200:$O200)='School Level ADM'!$S200,SUM('School Level ADM'!$J200:$O200)='School Level ADM'!$S200,SUM('School Level ADM'!$K200:$O200)='School Level ADM'!$S200,SUM('School Level ADM'!$L200:$O200)='School Level ADM'!$S200,SUM('School Level ADM'!$M200:$O200)='School Level ADM'!$S200,SUM('School Level ADM'!$N200:$O200)='School Level ADM'!$S200),0,SUM('School Level ADM'!$O200:$R200)))</f>
        <v>42.354999999999997</v>
      </c>
      <c r="L200" s="139">
        <f t="shared" si="43"/>
        <v>42.354999999999997</v>
      </c>
      <c r="M200" s="24">
        <f>'Student At-Risk and ELL Proxy'!S200</f>
        <v>43</v>
      </c>
      <c r="N200" s="24">
        <f>'Student At-Risk and ELL Proxy'!AH200</f>
        <v>1</v>
      </c>
      <c r="O200" s="136" t="str">
        <f t="shared" si="49"/>
        <v/>
      </c>
      <c r="P200" s="136">
        <f t="shared" si="50"/>
        <v>2.4505250674782428</v>
      </c>
      <c r="Q200" s="136" t="str">
        <f t="shared" si="51"/>
        <v/>
      </c>
      <c r="R200" s="136">
        <f t="shared" si="44"/>
        <v>2.4505250674782428</v>
      </c>
      <c r="S200" s="136">
        <f>IF(SUM(3515.4*((VLOOKUP($A200,'District Level ADM'!$A$4:$F$52,6,FALSE))^-0.327)/'Model Data Inputs'!$B$71)&lt;1,1,(3515.4*((VLOOKUP($A200,'District Level ADM'!$A$4:$F$52,6,FALSE))^-0.327)/'Model Data Inputs'!$B$71))</f>
        <v>1.3740366028229178</v>
      </c>
      <c r="T200" s="136">
        <f>VLOOKUP($A200,'Regional Cost Adjustment'!$A$4:$C$52,3,FALSE)</f>
        <v>1.01</v>
      </c>
      <c r="U200" s="123">
        <f>((($I200/$L200)*'Model Data Inputs'!$B$85)+((SUM(J200:K200)/$L200)*'Model Data Inputs'!$C$85))*$R200*$T200</f>
        <v>13322.567182587432</v>
      </c>
      <c r="V200" s="140">
        <f>((($I200/$L200)*'Model Data Inputs'!$B$86)+((SUM(J200:K200)/$L200)*'Model Data Inputs'!$C$86))*$R200</f>
        <v>3511.866508466273</v>
      </c>
      <c r="W200" s="140">
        <f t="shared" si="52"/>
        <v>16834.433691053706</v>
      </c>
      <c r="X200" s="140">
        <f t="shared" si="45"/>
        <v>564277.3330184907</v>
      </c>
      <c r="Y200" s="140">
        <f t="shared" si="46"/>
        <v>148745.10596608897</v>
      </c>
      <c r="Z200" s="123">
        <f>IF((SUM(X200:Y200))&lt;(AVERAGE('Elementary Size Adjustment'!$B$66,'Secondary Size Adjustment'!$B$66)),(AVERAGE('Elementary Size Adjustment'!$B$66,'Secondary Size Adjustment'!$B$66)),SUM(X200:Y200))</f>
        <v>713022.43898457964</v>
      </c>
      <c r="AA200" s="137">
        <f>'Model Data Inputs'!$B$71*S200*L200</f>
        <v>11057.49085938729</v>
      </c>
      <c r="AB200" s="137">
        <f>L200*'Model Data Inputs'!$B$72</f>
        <v>1058.875</v>
      </c>
      <c r="AC200" s="137">
        <f>L200*'Model Data Inputs'!$B$73</f>
        <v>10588.75</v>
      </c>
      <c r="AD200" s="137">
        <f>L200*'Model Data Inputs'!$B$74</f>
        <v>5294.375</v>
      </c>
      <c r="AE200" s="137">
        <f>$I200*'Model Data Inputs'!$B$76</f>
        <v>0</v>
      </c>
      <c r="AF200" s="137">
        <f>VLOOKUP($J200,'Student Activities MS&amp;HS Tables'!$M$7:$O$1267,3)</f>
        <v>0</v>
      </c>
      <c r="AG200" s="137">
        <f>VLOOKUP($K200,'Student Activities MS&amp;HS Tables'!$I$7:$K$3007,3)</f>
        <v>76921.740000000005</v>
      </c>
      <c r="AH200" s="137">
        <f t="shared" si="47"/>
        <v>76921.740000000005</v>
      </c>
      <c r="AI200" s="123">
        <f t="shared" si="53"/>
        <v>817943.66984396696</v>
      </c>
      <c r="AJ200" s="123">
        <f>(('Model Data Inputs'!$B$90*(('Model Data Inputs'!$B$87*('School Level Inst. Resources'!I200/'School Level Inst. Resources'!L200))+('Model Data Inputs'!$C$87*(SUM('School Level Inst. Resources'!J200:K200)/'School Level Inst. Resources'!L200))))*T200*M200)</f>
        <v>88804.325359596463</v>
      </c>
      <c r="AK200" s="123">
        <f>(('Model Data Inputs'!$B$91*(('Model Data Inputs'!$B$87*('School Level Inst. Resources'!I200/'School Level Inst. Resources'!L200))+('Model Data Inputs'!$C$87*(SUM('School Level Inst. Resources'!J200:K200)/'School Level Inst. Resources'!L200))))*T200*N200)</f>
        <v>2065.2168688278248</v>
      </c>
      <c r="AL200" s="137">
        <f>(K200*'Model Data Inputs'!$B$94)*T200</f>
        <v>7061.2565421352501</v>
      </c>
      <c r="AM200" s="137">
        <f>K200*'Model Data Inputs'!$B$95</f>
        <v>1775.0906378749999</v>
      </c>
      <c r="AN200" s="137">
        <f t="shared" si="54"/>
        <v>8836.3471800102507</v>
      </c>
      <c r="AO200" s="137">
        <f>('School Level Inst. Resources'!K200*'Model Data Inputs'!$B$96)+('School Level Inst. Resources'!J200*'Model Data Inputs'!$B$97)</f>
        <v>4235.5</v>
      </c>
      <c r="AP200" s="137">
        <f>$L200*'Model Data Inputs'!$B$100</f>
        <v>1694.1999999999998</v>
      </c>
      <c r="AQ200" s="137">
        <f t="shared" si="55"/>
        <v>923579.25925240153</v>
      </c>
      <c r="AR200" s="141">
        <f t="shared" si="48"/>
        <v>21805.672512156809</v>
      </c>
    </row>
    <row r="201" spans="1:44" s="40" customFormat="1" ht="12.75" customHeight="1" x14ac:dyDescent="0.2">
      <c r="A201" s="20" t="s">
        <v>66</v>
      </c>
      <c r="B201" s="20" t="s">
        <v>67</v>
      </c>
      <c r="C201" s="20" t="s">
        <v>769</v>
      </c>
      <c r="D201" s="20" t="s">
        <v>770</v>
      </c>
      <c r="E201" s="138" t="s">
        <v>357</v>
      </c>
      <c r="F201" s="138" t="str">
        <f>IF(AND(SUM('School Level ADM'!$F201:$J201)=0,SUM('School Level ADM'!$O201:$R201)=0,'School Level ADM'!$K201&gt;0,'School Level ADM'!$N201&gt;0),"T","F")</f>
        <v>F</v>
      </c>
      <c r="G201" s="138" t="str">
        <f>IF(AND(SUM('School Level ADM'!$M201:$R201)=0,'School Level ADM'!$L201&gt;0),"T","F")</f>
        <v>F</v>
      </c>
      <c r="H201" s="138" t="str">
        <f t="shared" si="42"/>
        <v>E</v>
      </c>
      <c r="I201" s="139">
        <f>IF($F201="T",SUM('School Level ADM'!$F201:$J201),IF($G201="T",SUM('School Level ADM'!$F201:$L201),SUM('School Level ADM'!$F201:$K201,0)))</f>
        <v>4.1306666666666665</v>
      </c>
      <c r="J201" s="139">
        <f>'School Level ADM'!$S201-$I201-$K201</f>
        <v>0</v>
      </c>
      <c r="K201" s="139">
        <f>IF(SUM('School Level ADM'!$N201:$R201)='School Level ADM'!$S201,SUM('School Level ADM'!$N201:$R201),IF(OR(SUM('School Level ADM'!$F201:$O201)='School Level ADM'!$S201,SUM('School Level ADM'!$G201:$O201)='School Level ADM'!$S201,SUM('School Level ADM'!$H201:$O201)='School Level ADM'!$S201,SUM('School Level ADM'!$I201:$O201)='School Level ADM'!$S201,SUM('School Level ADM'!$J201:$O201)='School Level ADM'!$S201,SUM('School Level ADM'!$K201:$O201)='School Level ADM'!$S201,SUM('School Level ADM'!$L201:$O201)='School Level ADM'!$S201,SUM('School Level ADM'!$M201:$O201)='School Level ADM'!$S201,SUM('School Level ADM'!$N201:$O201)='School Level ADM'!$S201),0,SUM('School Level ADM'!$O201:$R201)))</f>
        <v>0</v>
      </c>
      <c r="L201" s="139">
        <f t="shared" si="43"/>
        <v>4.1306666666666665</v>
      </c>
      <c r="M201" s="24">
        <f>'Student At-Risk and ELL Proxy'!S201</f>
        <v>1</v>
      </c>
      <c r="N201" s="24">
        <f>'Student At-Risk and ELL Proxy'!AH201</f>
        <v>0</v>
      </c>
      <c r="O201" s="136">
        <f t="shared" si="49"/>
        <v>5.463360908770615</v>
      </c>
      <c r="P201" s="136" t="str">
        <f t="shared" si="50"/>
        <v/>
      </c>
      <c r="Q201" s="136" t="str">
        <f t="shared" si="51"/>
        <v/>
      </c>
      <c r="R201" s="136">
        <f t="shared" si="44"/>
        <v>5.463360908770615</v>
      </c>
      <c r="S201" s="136">
        <f>IF(SUM(3515.4*((VLOOKUP($A201,'District Level ADM'!$A$4:$F$52,6,FALSE))^-0.327)/'Model Data Inputs'!$B$71)&lt;1,1,(3515.4*((VLOOKUP($A201,'District Level ADM'!$A$4:$F$52,6,FALSE))^-0.327)/'Model Data Inputs'!$B$71))</f>
        <v>1</v>
      </c>
      <c r="T201" s="136">
        <f>VLOOKUP($A201,'Regional Cost Adjustment'!$A$4:$C$52,3,FALSE)</f>
        <v>1.03</v>
      </c>
      <c r="U201" s="123">
        <f>((($I201/$L201)*'Model Data Inputs'!$B$85)+((SUM(J201:K201)/$L201)*'Model Data Inputs'!$C$85))*$R201*$T201</f>
        <v>35832.082597834218</v>
      </c>
      <c r="V201" s="140">
        <f>((($I201/$L201)*'Model Data Inputs'!$B$86)+((SUM(J201:K201)/$L201)*'Model Data Inputs'!$C$86))*$R201</f>
        <v>9247.419847273226</v>
      </c>
      <c r="W201" s="140">
        <f t="shared" si="52"/>
        <v>45079.502445107442</v>
      </c>
      <c r="X201" s="140">
        <f t="shared" si="45"/>
        <v>148010.38918412055</v>
      </c>
      <c r="Y201" s="140">
        <f t="shared" si="46"/>
        <v>38198.008915803272</v>
      </c>
      <c r="Z201" s="123">
        <f>IF((SUM(X201:Y201))&lt;(AVERAGE('Elementary Size Adjustment'!$B$66,'Secondary Size Adjustment'!$B$66)),(AVERAGE('Elementary Size Adjustment'!$B$66,'Secondary Size Adjustment'!$B$66)),SUM(X201:Y201))</f>
        <v>186208.39809992383</v>
      </c>
      <c r="AA201" s="137">
        <f>'Model Data Inputs'!$B$71*S201*L201</f>
        <v>784.8266666666666</v>
      </c>
      <c r="AB201" s="137">
        <f>L201*'Model Data Inputs'!$B$72</f>
        <v>103.26666666666667</v>
      </c>
      <c r="AC201" s="137">
        <f>L201*'Model Data Inputs'!$B$73</f>
        <v>1032.6666666666665</v>
      </c>
      <c r="AD201" s="137">
        <f>L201*'Model Data Inputs'!$B$74</f>
        <v>516.33333333333326</v>
      </c>
      <c r="AE201" s="137">
        <f>$I201*'Model Data Inputs'!$B$76</f>
        <v>98.268559999999994</v>
      </c>
      <c r="AF201" s="137">
        <f>VLOOKUP($J201,'Student Activities MS&amp;HS Tables'!$M$7:$O$1267,3)</f>
        <v>0</v>
      </c>
      <c r="AG201" s="137">
        <f>VLOOKUP($K201,'Student Activities MS&amp;HS Tables'!$I$7:$K$3007,3)</f>
        <v>0</v>
      </c>
      <c r="AH201" s="137">
        <f t="shared" si="47"/>
        <v>98.268559999999994</v>
      </c>
      <c r="AI201" s="123">
        <f t="shared" si="53"/>
        <v>188743.75999325715</v>
      </c>
      <c r="AJ201" s="123">
        <f>(('Model Data Inputs'!$B$90*(('Model Data Inputs'!$B$87*('School Level Inst. Resources'!I201/'School Level Inst. Resources'!L201))+('Model Data Inputs'!$C$87*(SUM('School Level Inst. Resources'!J201:K201)/'School Level Inst. Resources'!L201))))*T201*M201)</f>
        <v>2490.6056435542359</v>
      </c>
      <c r="AK201" s="123">
        <f>(('Model Data Inputs'!$B$91*(('Model Data Inputs'!$B$87*('School Level Inst. Resources'!I201/'School Level Inst. Resources'!L201))+('Model Data Inputs'!$C$87*(SUM('School Level Inst. Resources'!J201:K201)/'School Level Inst. Resources'!L201))))*T201*N201)</f>
        <v>0</v>
      </c>
      <c r="AL201" s="137">
        <f>(K201*'Model Data Inputs'!$B$94)*T201</f>
        <v>0</v>
      </c>
      <c r="AM201" s="137">
        <f>K201*'Model Data Inputs'!$B$95</f>
        <v>0</v>
      </c>
      <c r="AN201" s="137">
        <f t="shared" si="54"/>
        <v>0</v>
      </c>
      <c r="AO201" s="137">
        <f>('School Level Inst. Resources'!K201*'Model Data Inputs'!$B$96)+('School Level Inst. Resources'!J201*'Model Data Inputs'!$B$97)</f>
        <v>0</v>
      </c>
      <c r="AP201" s="137">
        <f>$L201*'Model Data Inputs'!$B$100</f>
        <v>165.22666666666666</v>
      </c>
      <c r="AQ201" s="137">
        <f t="shared" si="55"/>
        <v>191399.59230347804</v>
      </c>
      <c r="AR201" s="141">
        <f t="shared" si="48"/>
        <v>46336.247329763894</v>
      </c>
    </row>
    <row r="202" spans="1:44" s="40" customFormat="1" ht="12.75" customHeight="1" x14ac:dyDescent="0.2">
      <c r="A202" s="20" t="s">
        <v>66</v>
      </c>
      <c r="B202" s="20" t="s">
        <v>67</v>
      </c>
      <c r="C202" s="20" t="s">
        <v>771</v>
      </c>
      <c r="D202" s="20" t="s">
        <v>772</v>
      </c>
      <c r="E202" s="138" t="s">
        <v>354</v>
      </c>
      <c r="F202" s="138" t="str">
        <f>IF(AND(SUM('School Level ADM'!$F202:$J202)=0,SUM('School Level ADM'!$O202:$R202)=0,'School Level ADM'!$K202&gt;0,'School Level ADM'!$N202&gt;0),"T","F")</f>
        <v>F</v>
      </c>
      <c r="G202" s="138" t="str">
        <f>IF(AND(SUM('School Level ADM'!$M202:$R202)=0,'School Level ADM'!$L202&gt;0),"T","F")</f>
        <v>F</v>
      </c>
      <c r="H202" s="138" t="str">
        <f t="shared" si="42"/>
        <v>E</v>
      </c>
      <c r="I202" s="139">
        <f>IF($F202="T",SUM('School Level ADM'!$F202:$J202),IF($G202="T",SUM('School Level ADM'!$F202:$L202),SUM('School Level ADM'!$F202:$K202,0)))</f>
        <v>334.51854385964913</v>
      </c>
      <c r="J202" s="139">
        <f>'School Level ADM'!$S202-$I202-$K202</f>
        <v>0</v>
      </c>
      <c r="K202" s="139">
        <f>IF(SUM('School Level ADM'!$N202:$R202)='School Level ADM'!$S202,SUM('School Level ADM'!$N202:$R202),IF(OR(SUM('School Level ADM'!$F202:$O202)='School Level ADM'!$S202,SUM('School Level ADM'!$G202:$O202)='School Level ADM'!$S202,SUM('School Level ADM'!$H202:$O202)='School Level ADM'!$S202,SUM('School Level ADM'!$I202:$O202)='School Level ADM'!$S202,SUM('School Level ADM'!$J202:$O202)='School Level ADM'!$S202,SUM('School Level ADM'!$K202:$O202)='School Level ADM'!$S202,SUM('School Level ADM'!$L202:$O202)='School Level ADM'!$S202,SUM('School Level ADM'!$M202:$O202)='School Level ADM'!$S202,SUM('School Level ADM'!$N202:$O202)='School Level ADM'!$S202),0,SUM('School Level ADM'!$O202:$R202)))</f>
        <v>0</v>
      </c>
      <c r="L202" s="139">
        <f t="shared" si="43"/>
        <v>334.51854385964913</v>
      </c>
      <c r="M202" s="24">
        <f>'Student At-Risk and ELL Proxy'!S202</f>
        <v>117.63157894736842</v>
      </c>
      <c r="N202" s="24">
        <f>'Student At-Risk and ELL Proxy'!AH202</f>
        <v>1</v>
      </c>
      <c r="O202" s="136">
        <f t="shared" si="49"/>
        <v>0.97</v>
      </c>
      <c r="P202" s="136" t="str">
        <f t="shared" si="50"/>
        <v/>
      </c>
      <c r="Q202" s="136" t="str">
        <f t="shared" si="51"/>
        <v/>
      </c>
      <c r="R202" s="136">
        <f t="shared" si="44"/>
        <v>0.97</v>
      </c>
      <c r="S202" s="136">
        <f>IF(SUM(3515.4*((VLOOKUP($A202,'District Level ADM'!$A$4:$F$52,6,FALSE))^-0.327)/'Model Data Inputs'!$B$71)&lt;1,1,(3515.4*((VLOOKUP($A202,'District Level ADM'!$A$4:$F$52,6,FALSE))^-0.327)/'Model Data Inputs'!$B$71))</f>
        <v>1</v>
      </c>
      <c r="T202" s="136">
        <f>VLOOKUP($A202,'Regional Cost Adjustment'!$A$4:$C$52,3,FALSE)</f>
        <v>1.03</v>
      </c>
      <c r="U202" s="123">
        <f>((($I202/$L202)*'Model Data Inputs'!$B$85)+((SUM(J202:K202)/$L202)*'Model Data Inputs'!$C$85))*$R202*$T202</f>
        <v>6361.8568680135695</v>
      </c>
      <c r="V202" s="140">
        <f>((($I202/$L202)*'Model Data Inputs'!$B$86)+((SUM(J202:K202)/$L202)*'Model Data Inputs'!$C$86))*$R202</f>
        <v>1641.8459994936507</v>
      </c>
      <c r="W202" s="140">
        <f t="shared" si="52"/>
        <v>8003.7028675072197</v>
      </c>
      <c r="X202" s="140">
        <f t="shared" si="45"/>
        <v>2128159.0957314074</v>
      </c>
      <c r="Y202" s="140">
        <f t="shared" si="46"/>
        <v>549227.93299240619</v>
      </c>
      <c r="Z202" s="123">
        <f>IF((SUM(X202:Y202))&lt;(AVERAGE('Elementary Size Adjustment'!$B$66,'Secondary Size Adjustment'!$B$66)),(AVERAGE('Elementary Size Adjustment'!$B$66,'Secondary Size Adjustment'!$B$66)),SUM(X202:Y202))</f>
        <v>2677387.0287238136</v>
      </c>
      <c r="AA202" s="137">
        <f>'Model Data Inputs'!$B$71*S202*L202</f>
        <v>63558.523333333331</v>
      </c>
      <c r="AB202" s="137">
        <f>L202*'Model Data Inputs'!$B$72</f>
        <v>8362.9635964912286</v>
      </c>
      <c r="AC202" s="137">
        <f>L202*'Model Data Inputs'!$B$73</f>
        <v>83629.635964912275</v>
      </c>
      <c r="AD202" s="137">
        <f>L202*'Model Data Inputs'!$B$74</f>
        <v>41814.817982456138</v>
      </c>
      <c r="AE202" s="137">
        <f>$I202*'Model Data Inputs'!$B$76</f>
        <v>7958.1961584210521</v>
      </c>
      <c r="AF202" s="137">
        <f>VLOOKUP($J202,'Student Activities MS&amp;HS Tables'!$M$7:$O$1267,3)</f>
        <v>0</v>
      </c>
      <c r="AG202" s="137">
        <f>VLOOKUP($K202,'Student Activities MS&amp;HS Tables'!$I$7:$K$3007,3)</f>
        <v>0</v>
      </c>
      <c r="AH202" s="137">
        <f t="shared" si="47"/>
        <v>7958.1961584210521</v>
      </c>
      <c r="AI202" s="123">
        <f t="shared" si="53"/>
        <v>2882711.1657594279</v>
      </c>
      <c r="AJ202" s="123">
        <f>(('Model Data Inputs'!$B$90*(('Model Data Inputs'!$B$87*('School Level Inst. Resources'!I202/'School Level Inst. Resources'!L202))+('Model Data Inputs'!$C$87*(SUM('School Level Inst. Resources'!J202:K202)/'School Level Inst. Resources'!L202))))*T202*M202)</f>
        <v>292973.87438651145</v>
      </c>
      <c r="AK202" s="123">
        <f>(('Model Data Inputs'!$B$91*(('Model Data Inputs'!$B$87*('School Level Inst. Resources'!I202/'School Level Inst. Resources'!L202))+('Model Data Inputs'!$C$87*(SUM('School Level Inst. Resources'!J202:K202)/'School Level Inst. Resources'!L202))))*T202*N202)</f>
        <v>2490.6056435542359</v>
      </c>
      <c r="AL202" s="137">
        <f>(K202*'Model Data Inputs'!$B$94)*T202</f>
        <v>0</v>
      </c>
      <c r="AM202" s="137">
        <f>K202*'Model Data Inputs'!$B$95</f>
        <v>0</v>
      </c>
      <c r="AN202" s="137">
        <f t="shared" si="54"/>
        <v>0</v>
      </c>
      <c r="AO202" s="137">
        <f>('School Level Inst. Resources'!K202*'Model Data Inputs'!$B$96)+('School Level Inst. Resources'!J202*'Model Data Inputs'!$B$97)</f>
        <v>0</v>
      </c>
      <c r="AP202" s="137">
        <f>$L202*'Model Data Inputs'!$B$100</f>
        <v>13380.741754385965</v>
      </c>
      <c r="AQ202" s="137">
        <f t="shared" si="55"/>
        <v>3191556.3875438794</v>
      </c>
      <c r="AR202" s="141">
        <f t="shared" si="48"/>
        <v>9540.7457856295441</v>
      </c>
    </row>
    <row r="203" spans="1:44" s="40" customFormat="1" ht="12.75" customHeight="1" x14ac:dyDescent="0.2">
      <c r="A203" s="20" t="s">
        <v>66</v>
      </c>
      <c r="B203" s="20" t="s">
        <v>67</v>
      </c>
      <c r="C203" s="20" t="s">
        <v>773</v>
      </c>
      <c r="D203" s="20" t="s">
        <v>774</v>
      </c>
      <c r="E203" s="138" t="s">
        <v>365</v>
      </c>
      <c r="F203" s="138" t="str">
        <f>IF(AND(SUM('School Level ADM'!$F203:$J203)=0,SUM('School Level ADM'!$O203:$R203)=0,'School Level ADM'!$K203&gt;0,'School Level ADM'!$N203&gt;0),"T","F")</f>
        <v>F</v>
      </c>
      <c r="G203" s="138" t="str">
        <f>IF(AND(SUM('School Level ADM'!$M203:$R203)=0,'School Level ADM'!$L203&gt;0),"T","F")</f>
        <v>F</v>
      </c>
      <c r="H203" s="138" t="str">
        <f t="shared" si="42"/>
        <v>E</v>
      </c>
      <c r="I203" s="139">
        <f>IF($F203="T",SUM('School Level ADM'!$F203:$J203),IF($G203="T",SUM('School Level ADM'!$F203:$L203),SUM('School Level ADM'!$F203:$K203,0)))</f>
        <v>279.23787719298247</v>
      </c>
      <c r="J203" s="139">
        <f>'School Level ADM'!$S203-$I203-$K203</f>
        <v>0</v>
      </c>
      <c r="K203" s="139">
        <f>IF(SUM('School Level ADM'!$N203:$R203)='School Level ADM'!$S203,SUM('School Level ADM'!$N203:$R203),IF(OR(SUM('School Level ADM'!$F203:$O203)='School Level ADM'!$S203,SUM('School Level ADM'!$G203:$O203)='School Level ADM'!$S203,SUM('School Level ADM'!$H203:$O203)='School Level ADM'!$S203,SUM('School Level ADM'!$I203:$O203)='School Level ADM'!$S203,SUM('School Level ADM'!$J203:$O203)='School Level ADM'!$S203,SUM('School Level ADM'!$K203:$O203)='School Level ADM'!$S203,SUM('School Level ADM'!$L203:$O203)='School Level ADM'!$S203,SUM('School Level ADM'!$M203:$O203)='School Level ADM'!$S203,SUM('School Level ADM'!$N203:$O203)='School Level ADM'!$S203),0,SUM('School Level ADM'!$O203:$R203)))</f>
        <v>0</v>
      </c>
      <c r="L203" s="139">
        <f t="shared" si="43"/>
        <v>279.23787719298247</v>
      </c>
      <c r="M203" s="24">
        <f>'Student At-Risk and ELL Proxy'!S203</f>
        <v>217.63157894736844</v>
      </c>
      <c r="N203" s="24">
        <f>'Student At-Risk and ELL Proxy'!AH203</f>
        <v>32</v>
      </c>
      <c r="O203" s="136">
        <f t="shared" si="49"/>
        <v>1.0212642469997806</v>
      </c>
      <c r="P203" s="136" t="str">
        <f t="shared" si="50"/>
        <v/>
      </c>
      <c r="Q203" s="136" t="str">
        <f t="shared" si="51"/>
        <v/>
      </c>
      <c r="R203" s="136">
        <f t="shared" si="44"/>
        <v>1.0212642469997806</v>
      </c>
      <c r="S203" s="136">
        <f>IF(SUM(3515.4*((VLOOKUP($A203,'District Level ADM'!$A$4:$F$52,6,FALSE))^-0.327)/'Model Data Inputs'!$B$71)&lt;1,1,(3515.4*((VLOOKUP($A203,'District Level ADM'!$A$4:$F$52,6,FALSE))^-0.327)/'Model Data Inputs'!$B$71))</f>
        <v>1</v>
      </c>
      <c r="T203" s="136">
        <f>VLOOKUP($A203,'Regional Cost Adjustment'!$A$4:$C$52,3,FALSE)</f>
        <v>1.03</v>
      </c>
      <c r="U203" s="123">
        <f>((($I203/$L203)*'Model Data Inputs'!$B$85)+((SUM(J203:K203)/$L203)*'Model Data Inputs'!$C$85))*$R203*$T203</f>
        <v>6698.0793441569695</v>
      </c>
      <c r="V203" s="140">
        <f>((($I203/$L203)*'Model Data Inputs'!$B$86)+((SUM(J203:K203)/$L203)*'Model Data Inputs'!$C$86))*$R203</f>
        <v>1728.6171323324591</v>
      </c>
      <c r="W203" s="140">
        <f t="shared" si="52"/>
        <v>8426.6964764894292</v>
      </c>
      <c r="X203" s="140">
        <f t="shared" si="45"/>
        <v>1870357.4573325564</v>
      </c>
      <c r="Y203" s="140">
        <f t="shared" si="46"/>
        <v>482695.37851193669</v>
      </c>
      <c r="Z203" s="123">
        <f>IF((SUM(X203:Y203))&lt;(AVERAGE('Elementary Size Adjustment'!$B$66,'Secondary Size Adjustment'!$B$66)),(AVERAGE('Elementary Size Adjustment'!$B$66,'Secondary Size Adjustment'!$B$66)),SUM(X203:Y203))</f>
        <v>2353052.835844493</v>
      </c>
      <c r="AA203" s="137">
        <f>'Model Data Inputs'!$B$71*S203*L203</f>
        <v>53055.19666666667</v>
      </c>
      <c r="AB203" s="137">
        <f>L203*'Model Data Inputs'!$B$72</f>
        <v>6980.9469298245613</v>
      </c>
      <c r="AC203" s="137">
        <f>L203*'Model Data Inputs'!$B$73</f>
        <v>69809.469298245618</v>
      </c>
      <c r="AD203" s="137">
        <f>L203*'Model Data Inputs'!$B$74</f>
        <v>34904.734649122809</v>
      </c>
      <c r="AE203" s="137">
        <f>$I203*'Model Data Inputs'!$B$76</f>
        <v>6643.0690984210523</v>
      </c>
      <c r="AF203" s="137">
        <f>VLOOKUP($J203,'Student Activities MS&amp;HS Tables'!$M$7:$O$1267,3)</f>
        <v>0</v>
      </c>
      <c r="AG203" s="137">
        <f>VLOOKUP($K203,'Student Activities MS&amp;HS Tables'!$I$7:$K$3007,3)</f>
        <v>0</v>
      </c>
      <c r="AH203" s="137">
        <f t="shared" si="47"/>
        <v>6643.0690984210523</v>
      </c>
      <c r="AI203" s="123">
        <f t="shared" si="53"/>
        <v>2524446.2524867733</v>
      </c>
      <c r="AJ203" s="123">
        <f>(('Model Data Inputs'!$B$90*(('Model Data Inputs'!$B$87*('School Level Inst. Resources'!I203/'School Level Inst. Resources'!L203))+('Model Data Inputs'!$C$87*(SUM('School Level Inst. Resources'!J203:K203)/'School Level Inst. Resources'!L203))))*T203*M203)</f>
        <v>542034.43874193507</v>
      </c>
      <c r="AK203" s="123">
        <f>(('Model Data Inputs'!$B$91*(('Model Data Inputs'!$B$87*('School Level Inst. Resources'!I203/'School Level Inst. Resources'!L203))+('Model Data Inputs'!$C$87*(SUM('School Level Inst. Resources'!J203:K203)/'School Level Inst. Resources'!L203))))*T203*N203)</f>
        <v>79699.38059373555</v>
      </c>
      <c r="AL203" s="137">
        <f>(K203*'Model Data Inputs'!$B$94)*T203</f>
        <v>0</v>
      </c>
      <c r="AM203" s="137">
        <f>K203*'Model Data Inputs'!$B$95</f>
        <v>0</v>
      </c>
      <c r="AN203" s="137">
        <f t="shared" si="54"/>
        <v>0</v>
      </c>
      <c r="AO203" s="137">
        <f>('School Level Inst. Resources'!K203*'Model Data Inputs'!$B$96)+('School Level Inst. Resources'!J203*'Model Data Inputs'!$B$97)</f>
        <v>0</v>
      </c>
      <c r="AP203" s="137">
        <f>$L203*'Model Data Inputs'!$B$100</f>
        <v>11169.515087719299</v>
      </c>
      <c r="AQ203" s="137">
        <f t="shared" si="55"/>
        <v>3157349.5869101631</v>
      </c>
      <c r="AR203" s="141">
        <f t="shared" si="48"/>
        <v>11307.024744096967</v>
      </c>
    </row>
    <row r="204" spans="1:44" s="40" customFormat="1" ht="12.75" customHeight="1" x14ac:dyDescent="0.2">
      <c r="A204" s="20" t="s">
        <v>66</v>
      </c>
      <c r="B204" s="20" t="s">
        <v>67</v>
      </c>
      <c r="C204" s="20" t="s">
        <v>775</v>
      </c>
      <c r="D204" s="20" t="s">
        <v>426</v>
      </c>
      <c r="E204" s="138" t="s">
        <v>365</v>
      </c>
      <c r="F204" s="138" t="str">
        <f>IF(AND(SUM('School Level ADM'!$F204:$J204)=0,SUM('School Level ADM'!$O204:$R204)=0,'School Level ADM'!$K204&gt;0,'School Level ADM'!$N204&gt;0),"T","F")</f>
        <v>F</v>
      </c>
      <c r="G204" s="138" t="str">
        <f>IF(AND(SUM('School Level ADM'!$M204:$R204)=0,'School Level ADM'!$L204&gt;0),"T","F")</f>
        <v>F</v>
      </c>
      <c r="H204" s="138" t="str">
        <f t="shared" si="42"/>
        <v>E</v>
      </c>
      <c r="I204" s="139">
        <f>IF($F204="T",SUM('School Level ADM'!$F204:$J204),IF($G204="T",SUM('School Level ADM'!$F204:$L204),SUM('School Level ADM'!$F204:$K204,0)))</f>
        <v>322.65621052631582</v>
      </c>
      <c r="J204" s="139">
        <f>'School Level ADM'!$S204-$I204-$K204</f>
        <v>0</v>
      </c>
      <c r="K204" s="139">
        <f>IF(SUM('School Level ADM'!$N204:$R204)='School Level ADM'!$S204,SUM('School Level ADM'!$N204:$R204),IF(OR(SUM('School Level ADM'!$F204:$O204)='School Level ADM'!$S204,SUM('School Level ADM'!$G204:$O204)='School Level ADM'!$S204,SUM('School Level ADM'!$H204:$O204)='School Level ADM'!$S204,SUM('School Level ADM'!$I204:$O204)='School Level ADM'!$S204,SUM('School Level ADM'!$J204:$O204)='School Level ADM'!$S204,SUM('School Level ADM'!$K204:$O204)='School Level ADM'!$S204,SUM('School Level ADM'!$L204:$O204)='School Level ADM'!$S204,SUM('School Level ADM'!$M204:$O204)='School Level ADM'!$S204,SUM('School Level ADM'!$N204:$O204)='School Level ADM'!$S204),0,SUM('School Level ADM'!$O204:$R204)))</f>
        <v>0</v>
      </c>
      <c r="L204" s="139">
        <f t="shared" si="43"/>
        <v>322.65621052631582</v>
      </c>
      <c r="M204" s="24">
        <f>'Student At-Risk and ELL Proxy'!S204</f>
        <v>201.63157894736844</v>
      </c>
      <c r="N204" s="24">
        <f>'Student At-Risk and ELL Proxy'!AH204</f>
        <v>6</v>
      </c>
      <c r="O204" s="136">
        <f t="shared" si="49"/>
        <v>0.97</v>
      </c>
      <c r="P204" s="136" t="str">
        <f t="shared" si="50"/>
        <v/>
      </c>
      <c r="Q204" s="136" t="str">
        <f t="shared" si="51"/>
        <v/>
      </c>
      <c r="R204" s="136">
        <f t="shared" si="44"/>
        <v>0.97</v>
      </c>
      <c r="S204" s="136">
        <f>IF(SUM(3515.4*((VLOOKUP($A204,'District Level ADM'!$A$4:$F$52,6,FALSE))^-0.327)/'Model Data Inputs'!$B$71)&lt;1,1,(3515.4*((VLOOKUP($A204,'District Level ADM'!$A$4:$F$52,6,FALSE))^-0.327)/'Model Data Inputs'!$B$71))</f>
        <v>1</v>
      </c>
      <c r="T204" s="136">
        <f>VLOOKUP($A204,'Regional Cost Adjustment'!$A$4:$C$52,3,FALSE)</f>
        <v>1.03</v>
      </c>
      <c r="U204" s="123">
        <f>((($I204/$L204)*'Model Data Inputs'!$B$85)+((SUM(J204:K204)/$L204)*'Model Data Inputs'!$C$85))*$R204*$T204</f>
        <v>6361.8568680135695</v>
      </c>
      <c r="V204" s="140">
        <f>((($I204/$L204)*'Model Data Inputs'!$B$86)+((SUM(J204:K204)/$L204)*'Model Data Inputs'!$C$86))*$R204</f>
        <v>1641.8459994936507</v>
      </c>
      <c r="W204" s="140">
        <f t="shared" si="52"/>
        <v>8003.7028675072197</v>
      </c>
      <c r="X204" s="140">
        <f t="shared" si="45"/>
        <v>2052692.6289440745</v>
      </c>
      <c r="Y204" s="140">
        <f t="shared" si="46"/>
        <v>529751.80846441281</v>
      </c>
      <c r="Z204" s="123">
        <f>IF((SUM(X204:Y204))&lt;(AVERAGE('Elementary Size Adjustment'!$B$66,'Secondary Size Adjustment'!$B$66)),(AVERAGE('Elementary Size Adjustment'!$B$66,'Secondary Size Adjustment'!$B$66)),SUM(X204:Y204))</f>
        <v>2582444.4374084873</v>
      </c>
      <c r="AA204" s="137">
        <f>'Model Data Inputs'!$B$71*S204*L204</f>
        <v>61304.680000000008</v>
      </c>
      <c r="AB204" s="137">
        <f>L204*'Model Data Inputs'!$B$72</f>
        <v>8066.4052631578952</v>
      </c>
      <c r="AC204" s="137">
        <f>L204*'Model Data Inputs'!$B$73</f>
        <v>80664.052631578961</v>
      </c>
      <c r="AD204" s="137">
        <f>L204*'Model Data Inputs'!$B$74</f>
        <v>40332.026315789481</v>
      </c>
      <c r="AE204" s="137">
        <f>$I204*'Model Data Inputs'!$B$76</f>
        <v>7675.9912484210527</v>
      </c>
      <c r="AF204" s="137">
        <f>VLOOKUP($J204,'Student Activities MS&amp;HS Tables'!$M$7:$O$1267,3)</f>
        <v>0</v>
      </c>
      <c r="AG204" s="137">
        <f>VLOOKUP($K204,'Student Activities MS&amp;HS Tables'!$I$7:$K$3007,3)</f>
        <v>0</v>
      </c>
      <c r="AH204" s="137">
        <f t="shared" si="47"/>
        <v>7675.9912484210527</v>
      </c>
      <c r="AI204" s="123">
        <f t="shared" si="53"/>
        <v>2780487.592867435</v>
      </c>
      <c r="AJ204" s="123">
        <f>(('Model Data Inputs'!$B$90*(('Model Data Inputs'!$B$87*('School Level Inst. Resources'!I204/'School Level Inst. Resources'!L204))+('Model Data Inputs'!$C$87*(SUM('School Level Inst. Resources'!J204:K204)/'School Level Inst. Resources'!L204))))*T204*M204)</f>
        <v>502184.74844506732</v>
      </c>
      <c r="AK204" s="123">
        <f>(('Model Data Inputs'!$B$91*(('Model Data Inputs'!$B$87*('School Level Inst. Resources'!I204/'School Level Inst. Resources'!L204))+('Model Data Inputs'!$C$87*(SUM('School Level Inst. Resources'!J204:K204)/'School Level Inst. Resources'!L204))))*T204*N204)</f>
        <v>14943.633861325416</v>
      </c>
      <c r="AL204" s="137">
        <f>(K204*'Model Data Inputs'!$B$94)*T204</f>
        <v>0</v>
      </c>
      <c r="AM204" s="137">
        <f>K204*'Model Data Inputs'!$B$95</f>
        <v>0</v>
      </c>
      <c r="AN204" s="137">
        <f t="shared" si="54"/>
        <v>0</v>
      </c>
      <c r="AO204" s="137">
        <f>('School Level Inst. Resources'!K204*'Model Data Inputs'!$B$96)+('School Level Inst. Resources'!J204*'Model Data Inputs'!$B$97)</f>
        <v>0</v>
      </c>
      <c r="AP204" s="137">
        <f>$L204*'Model Data Inputs'!$B$100</f>
        <v>12906.248421052633</v>
      </c>
      <c r="AQ204" s="137">
        <f t="shared" si="55"/>
        <v>3310522.2235948802</v>
      </c>
      <c r="AR204" s="141">
        <f t="shared" si="48"/>
        <v>10260.215410683608</v>
      </c>
    </row>
    <row r="205" spans="1:44" s="40" customFormat="1" ht="12.75" customHeight="1" x14ac:dyDescent="0.2">
      <c r="A205" s="20" t="s">
        <v>66</v>
      </c>
      <c r="B205" s="20" t="s">
        <v>67</v>
      </c>
      <c r="C205" s="20" t="s">
        <v>776</v>
      </c>
      <c r="D205" s="20" t="s">
        <v>777</v>
      </c>
      <c r="E205" s="138" t="s">
        <v>357</v>
      </c>
      <c r="F205" s="138" t="str">
        <f>IF(AND(SUM('School Level ADM'!$F205:$J205)=0,SUM('School Level ADM'!$O205:$R205)=0,'School Level ADM'!$K205&gt;0,'School Level ADM'!$N205&gt;0),"T","F")</f>
        <v>F</v>
      </c>
      <c r="G205" s="138" t="str">
        <f>IF(AND(SUM('School Level ADM'!$M205:$R205)=0,'School Level ADM'!$L205&gt;0),"T","F")</f>
        <v>F</v>
      </c>
      <c r="H205" s="138" t="str">
        <f t="shared" si="42"/>
        <v>E</v>
      </c>
      <c r="I205" s="139">
        <f>IF($F205="T",SUM('School Level ADM'!$F205:$J205),IF($G205="T",SUM('School Level ADM'!$F205:$L205),SUM('School Level ADM'!$F205:$K205,0)))</f>
        <v>435.82887719298242</v>
      </c>
      <c r="J205" s="139">
        <f>'School Level ADM'!$S205-$I205-$K205</f>
        <v>0</v>
      </c>
      <c r="K205" s="139">
        <f>IF(SUM('School Level ADM'!$N205:$R205)='School Level ADM'!$S205,SUM('School Level ADM'!$N205:$R205),IF(OR(SUM('School Level ADM'!$F205:$O205)='School Level ADM'!$S205,SUM('School Level ADM'!$G205:$O205)='School Level ADM'!$S205,SUM('School Level ADM'!$H205:$O205)='School Level ADM'!$S205,SUM('School Level ADM'!$I205:$O205)='School Level ADM'!$S205,SUM('School Level ADM'!$J205:$O205)='School Level ADM'!$S205,SUM('School Level ADM'!$K205:$O205)='School Level ADM'!$S205,SUM('School Level ADM'!$L205:$O205)='School Level ADM'!$S205,SUM('School Level ADM'!$M205:$O205)='School Level ADM'!$S205,SUM('School Level ADM'!$N205:$O205)='School Level ADM'!$S205),0,SUM('School Level ADM'!$O205:$R205)))</f>
        <v>0</v>
      </c>
      <c r="L205" s="139">
        <f t="shared" si="43"/>
        <v>435.82887719298242</v>
      </c>
      <c r="M205" s="24">
        <f>'Student At-Risk and ELL Proxy'!S205</f>
        <v>119.63157894736844</v>
      </c>
      <c r="N205" s="24">
        <f>'Student At-Risk and ELL Proxy'!AH205</f>
        <v>16</v>
      </c>
      <c r="O205" s="136">
        <f t="shared" si="49"/>
        <v>0.97</v>
      </c>
      <c r="P205" s="136" t="str">
        <f t="shared" si="50"/>
        <v/>
      </c>
      <c r="Q205" s="136" t="str">
        <f t="shared" si="51"/>
        <v/>
      </c>
      <c r="R205" s="136">
        <f t="shared" si="44"/>
        <v>0.97</v>
      </c>
      <c r="S205" s="136">
        <f>IF(SUM(3515.4*((VLOOKUP($A205,'District Level ADM'!$A$4:$F$52,6,FALSE))^-0.327)/'Model Data Inputs'!$B$71)&lt;1,1,(3515.4*((VLOOKUP($A205,'District Level ADM'!$A$4:$F$52,6,FALSE))^-0.327)/'Model Data Inputs'!$B$71))</f>
        <v>1</v>
      </c>
      <c r="T205" s="136">
        <f>VLOOKUP($A205,'Regional Cost Adjustment'!$A$4:$C$52,3,FALSE)</f>
        <v>1.03</v>
      </c>
      <c r="U205" s="123">
        <f>((($I205/$L205)*'Model Data Inputs'!$B$85)+((SUM(J205:K205)/$L205)*'Model Data Inputs'!$C$85))*$R205*$T205</f>
        <v>6361.8568680135695</v>
      </c>
      <c r="V205" s="140">
        <f>((($I205/$L205)*'Model Data Inputs'!$B$86)+((SUM(J205:K205)/$L205)*'Model Data Inputs'!$C$86))*$R205</f>
        <v>1641.8459994936507</v>
      </c>
      <c r="W205" s="140">
        <f t="shared" si="52"/>
        <v>8003.7028675072197</v>
      </c>
      <c r="X205" s="140">
        <f t="shared" si="45"/>
        <v>2772680.9356488176</v>
      </c>
      <c r="Y205" s="140">
        <f t="shared" si="46"/>
        <v>715563.8984831078</v>
      </c>
      <c r="Z205" s="123">
        <f>IF((SUM(X205:Y205))&lt;(AVERAGE('Elementary Size Adjustment'!$B$66,'Secondary Size Adjustment'!$B$66)),(AVERAGE('Elementary Size Adjustment'!$B$66,'Secondary Size Adjustment'!$B$66)),SUM(X205:Y205))</f>
        <v>3488244.8341319254</v>
      </c>
      <c r="AA205" s="137">
        <f>'Model Data Inputs'!$B$71*S205*L205</f>
        <v>82807.486666666664</v>
      </c>
      <c r="AB205" s="137">
        <f>L205*'Model Data Inputs'!$B$72</f>
        <v>10895.72192982456</v>
      </c>
      <c r="AC205" s="137">
        <f>L205*'Model Data Inputs'!$B$73</f>
        <v>108957.2192982456</v>
      </c>
      <c r="AD205" s="137">
        <f>L205*'Model Data Inputs'!$B$74</f>
        <v>54478.609649122802</v>
      </c>
      <c r="AE205" s="137">
        <f>$I205*'Model Data Inputs'!$B$76</f>
        <v>10368.368988421051</v>
      </c>
      <c r="AF205" s="137">
        <f>VLOOKUP($J205,'Student Activities MS&amp;HS Tables'!$M$7:$O$1267,3)</f>
        <v>0</v>
      </c>
      <c r="AG205" s="137">
        <f>VLOOKUP($K205,'Student Activities MS&amp;HS Tables'!$I$7:$K$3007,3)</f>
        <v>0</v>
      </c>
      <c r="AH205" s="137">
        <f t="shared" si="47"/>
        <v>10368.368988421051</v>
      </c>
      <c r="AI205" s="123">
        <f t="shared" si="53"/>
        <v>3755752.240664206</v>
      </c>
      <c r="AJ205" s="123">
        <f>(('Model Data Inputs'!$B$90*(('Model Data Inputs'!$B$87*('School Level Inst. Resources'!I205/'School Level Inst. Resources'!L205))+('Model Data Inputs'!$C$87*(SUM('School Level Inst. Resources'!J205:K205)/'School Level Inst. Resources'!L205))))*T205*M205)</f>
        <v>297955.08567361993</v>
      </c>
      <c r="AK205" s="123">
        <f>(('Model Data Inputs'!$B$91*(('Model Data Inputs'!$B$87*('School Level Inst. Resources'!I205/'School Level Inst. Resources'!L205))+('Model Data Inputs'!$C$87*(SUM('School Level Inst. Resources'!J205:K205)/'School Level Inst. Resources'!L205))))*T205*N205)</f>
        <v>39849.690296867775</v>
      </c>
      <c r="AL205" s="137">
        <f>(K205*'Model Data Inputs'!$B$94)*T205</f>
        <v>0</v>
      </c>
      <c r="AM205" s="137">
        <f>K205*'Model Data Inputs'!$B$95</f>
        <v>0</v>
      </c>
      <c r="AN205" s="137">
        <f t="shared" si="54"/>
        <v>0</v>
      </c>
      <c r="AO205" s="137">
        <f>('School Level Inst. Resources'!K205*'Model Data Inputs'!$B$96)+('School Level Inst. Resources'!J205*'Model Data Inputs'!$B$97)</f>
        <v>0</v>
      </c>
      <c r="AP205" s="137">
        <f>$L205*'Model Data Inputs'!$B$100</f>
        <v>17433.155087719297</v>
      </c>
      <c r="AQ205" s="137">
        <f t="shared" si="55"/>
        <v>4110990.171722413</v>
      </c>
      <c r="AR205" s="141">
        <f t="shared" si="48"/>
        <v>9432.5786721610257</v>
      </c>
    </row>
    <row r="206" spans="1:44" s="40" customFormat="1" ht="12.75" customHeight="1" x14ac:dyDescent="0.2">
      <c r="A206" s="20" t="s">
        <v>66</v>
      </c>
      <c r="B206" s="20" t="s">
        <v>67</v>
      </c>
      <c r="C206" s="20" t="s">
        <v>778</v>
      </c>
      <c r="D206" s="20" t="s">
        <v>779</v>
      </c>
      <c r="E206" s="138" t="s">
        <v>354</v>
      </c>
      <c r="F206" s="138" t="str">
        <f>IF(AND(SUM('School Level ADM'!$F206:$J206)=0,SUM('School Level ADM'!$O206:$R206)=0,'School Level ADM'!$K206&gt;0,'School Level ADM'!$N206&gt;0),"T","F")</f>
        <v>F</v>
      </c>
      <c r="G206" s="138" t="str">
        <f>IF(AND(SUM('School Level ADM'!$M206:$R206)=0,'School Level ADM'!$L206&gt;0),"T","F")</f>
        <v>F</v>
      </c>
      <c r="H206" s="138" t="str">
        <f t="shared" si="42"/>
        <v>E</v>
      </c>
      <c r="I206" s="139">
        <f>IF($F206="T",SUM('School Level ADM'!$F206:$J206),IF($G206="T",SUM('School Level ADM'!$F206:$L206),SUM('School Level ADM'!$F206:$K206,0)))</f>
        <v>311.96321052631578</v>
      </c>
      <c r="J206" s="139">
        <f>'School Level ADM'!$S206-$I206-$K206</f>
        <v>0</v>
      </c>
      <c r="K206" s="139">
        <f>IF(SUM('School Level ADM'!$N206:$R206)='School Level ADM'!$S206,SUM('School Level ADM'!$N206:$R206),IF(OR(SUM('School Level ADM'!$F206:$O206)='School Level ADM'!$S206,SUM('School Level ADM'!$G206:$O206)='School Level ADM'!$S206,SUM('School Level ADM'!$H206:$O206)='School Level ADM'!$S206,SUM('School Level ADM'!$I206:$O206)='School Level ADM'!$S206,SUM('School Level ADM'!$J206:$O206)='School Level ADM'!$S206,SUM('School Level ADM'!$K206:$O206)='School Level ADM'!$S206,SUM('School Level ADM'!$L206:$O206)='School Level ADM'!$S206,SUM('School Level ADM'!$M206:$O206)='School Level ADM'!$S206,SUM('School Level ADM'!$N206:$O206)='School Level ADM'!$S206),0,SUM('School Level ADM'!$O206:$R206)))</f>
        <v>0</v>
      </c>
      <c r="L206" s="139">
        <f t="shared" si="43"/>
        <v>311.96321052631578</v>
      </c>
      <c r="M206" s="24">
        <f>'Student At-Risk and ELL Proxy'!S206</f>
        <v>153.63157894736841</v>
      </c>
      <c r="N206" s="24">
        <f>'Student At-Risk and ELL Proxy'!AH206</f>
        <v>4</v>
      </c>
      <c r="O206" s="136">
        <f t="shared" si="49"/>
        <v>0.97719843977340592</v>
      </c>
      <c r="P206" s="136" t="str">
        <f t="shared" si="50"/>
        <v/>
      </c>
      <c r="Q206" s="136" t="str">
        <f t="shared" si="51"/>
        <v/>
      </c>
      <c r="R206" s="136">
        <f t="shared" si="44"/>
        <v>0.97719843977340592</v>
      </c>
      <c r="S206" s="136">
        <f>IF(SUM(3515.4*((VLOOKUP($A206,'District Level ADM'!$A$4:$F$52,6,FALSE))^-0.327)/'Model Data Inputs'!$B$71)&lt;1,1,(3515.4*((VLOOKUP($A206,'District Level ADM'!$A$4:$F$52,6,FALSE))^-0.327)/'Model Data Inputs'!$B$71))</f>
        <v>1</v>
      </c>
      <c r="T206" s="136">
        <f>VLOOKUP($A206,'Regional Cost Adjustment'!$A$4:$C$52,3,FALSE)</f>
        <v>1.03</v>
      </c>
      <c r="U206" s="123">
        <f>((($I206/$L206)*'Model Data Inputs'!$B$85)+((SUM(J206:K206)/$L206)*'Model Data Inputs'!$C$85))*$R206*$T206</f>
        <v>6409.0686654480287</v>
      </c>
      <c r="V206" s="140">
        <f>((($I206/$L206)*'Model Data Inputs'!$B$86)+((SUM(J206:K206)/$L206)*'Model Data Inputs'!$C$86))*$R206</f>
        <v>1654.0302567560861</v>
      </c>
      <c r="W206" s="140">
        <f t="shared" si="52"/>
        <v>8063.0989222041153</v>
      </c>
      <c r="X206" s="140">
        <f t="shared" si="45"/>
        <v>1999393.637356777</v>
      </c>
      <c r="Y206" s="140">
        <f t="shared" si="46"/>
        <v>515996.58920529502</v>
      </c>
      <c r="Z206" s="123">
        <f>IF((SUM(X206:Y206))&lt;(AVERAGE('Elementary Size Adjustment'!$B$66,'Secondary Size Adjustment'!$B$66)),(AVERAGE('Elementary Size Adjustment'!$B$66,'Secondary Size Adjustment'!$B$66)),SUM(X206:Y206))</f>
        <v>2515390.2265620721</v>
      </c>
      <c r="AA206" s="137">
        <f>'Model Data Inputs'!$B$71*S206*L206</f>
        <v>59273.009999999995</v>
      </c>
      <c r="AB206" s="137">
        <f>L206*'Model Data Inputs'!$B$72</f>
        <v>7799.0802631578945</v>
      </c>
      <c r="AC206" s="137">
        <f>L206*'Model Data Inputs'!$B$73</f>
        <v>77990.802631578947</v>
      </c>
      <c r="AD206" s="137">
        <f>L206*'Model Data Inputs'!$B$74</f>
        <v>38995.401315789473</v>
      </c>
      <c r="AE206" s="137">
        <f>$I206*'Model Data Inputs'!$B$76</f>
        <v>7421.6047784210523</v>
      </c>
      <c r="AF206" s="137">
        <f>VLOOKUP($J206,'Student Activities MS&amp;HS Tables'!$M$7:$O$1267,3)</f>
        <v>0</v>
      </c>
      <c r="AG206" s="137">
        <f>VLOOKUP($K206,'Student Activities MS&amp;HS Tables'!$I$7:$K$3007,3)</f>
        <v>0</v>
      </c>
      <c r="AH206" s="137">
        <f t="shared" si="47"/>
        <v>7421.6047784210523</v>
      </c>
      <c r="AI206" s="123">
        <f t="shared" si="53"/>
        <v>2706870.1255510193</v>
      </c>
      <c r="AJ206" s="123">
        <f>(('Model Data Inputs'!$B$90*(('Model Data Inputs'!$B$87*('School Level Inst. Resources'!I206/'School Level Inst. Resources'!L206))+('Model Data Inputs'!$C$87*(SUM('School Level Inst. Resources'!J206:K206)/'School Level Inst. Resources'!L206))))*T206*M206)</f>
        <v>382635.67755446391</v>
      </c>
      <c r="AK206" s="123">
        <f>(('Model Data Inputs'!$B$91*(('Model Data Inputs'!$B$87*('School Level Inst. Resources'!I206/'School Level Inst. Resources'!L206))+('Model Data Inputs'!$C$87*(SUM('School Level Inst. Resources'!J206:K206)/'School Level Inst. Resources'!L206))))*T206*N206)</f>
        <v>9962.4225742169438</v>
      </c>
      <c r="AL206" s="137">
        <f>(K206*'Model Data Inputs'!$B$94)*T206</f>
        <v>0</v>
      </c>
      <c r="AM206" s="137">
        <f>K206*'Model Data Inputs'!$B$95</f>
        <v>0</v>
      </c>
      <c r="AN206" s="137">
        <f t="shared" si="54"/>
        <v>0</v>
      </c>
      <c r="AO206" s="137">
        <f>('School Level Inst. Resources'!K206*'Model Data Inputs'!$B$96)+('School Level Inst. Resources'!J206*'Model Data Inputs'!$B$97)</f>
        <v>0</v>
      </c>
      <c r="AP206" s="137">
        <f>$L206*'Model Data Inputs'!$B$100</f>
        <v>12478.528421052632</v>
      </c>
      <c r="AQ206" s="137">
        <f t="shared" si="55"/>
        <v>3111946.754100753</v>
      </c>
      <c r="AR206" s="141">
        <f t="shared" si="48"/>
        <v>9975.3645593355741</v>
      </c>
    </row>
    <row r="207" spans="1:44" s="40" customFormat="1" ht="12.75" customHeight="1" x14ac:dyDescent="0.2">
      <c r="A207" s="20" t="s">
        <v>66</v>
      </c>
      <c r="B207" s="20" t="s">
        <v>67</v>
      </c>
      <c r="C207" s="20" t="s">
        <v>780</v>
      </c>
      <c r="D207" s="20" t="s">
        <v>781</v>
      </c>
      <c r="E207" s="138" t="s">
        <v>357</v>
      </c>
      <c r="F207" s="138" t="str">
        <f>IF(AND(SUM('School Level ADM'!$F207:$J207)=0,SUM('School Level ADM'!$O207:$R207)=0,'School Level ADM'!$K207&gt;0,'School Level ADM'!$N207&gt;0),"T","F")</f>
        <v>F</v>
      </c>
      <c r="G207" s="138" t="str">
        <f>IF(AND(SUM('School Level ADM'!$M207:$R207)=0,'School Level ADM'!$L207&gt;0),"T","F")</f>
        <v>F</v>
      </c>
      <c r="H207" s="138" t="str">
        <f t="shared" si="42"/>
        <v>E</v>
      </c>
      <c r="I207" s="139">
        <f>IF($F207="T",SUM('School Level ADM'!$F207:$J207),IF($G207="T",SUM('School Level ADM'!$F207:$L207),SUM('School Level ADM'!$F207:$K207,0)))</f>
        <v>317.44854385964913</v>
      </c>
      <c r="J207" s="139">
        <f>'School Level ADM'!$S207-$I207-$K207</f>
        <v>0</v>
      </c>
      <c r="K207" s="139">
        <f>IF(SUM('School Level ADM'!$N207:$R207)='School Level ADM'!$S207,SUM('School Level ADM'!$N207:$R207),IF(OR(SUM('School Level ADM'!$F207:$O207)='School Level ADM'!$S207,SUM('School Level ADM'!$G207:$O207)='School Level ADM'!$S207,SUM('School Level ADM'!$H207:$O207)='School Level ADM'!$S207,SUM('School Level ADM'!$I207:$O207)='School Level ADM'!$S207,SUM('School Level ADM'!$J207:$O207)='School Level ADM'!$S207,SUM('School Level ADM'!$K207:$O207)='School Level ADM'!$S207,SUM('School Level ADM'!$L207:$O207)='School Level ADM'!$S207,SUM('School Level ADM'!$M207:$O207)='School Level ADM'!$S207,SUM('School Level ADM'!$N207:$O207)='School Level ADM'!$S207),0,SUM('School Level ADM'!$O207:$R207)))</f>
        <v>0</v>
      </c>
      <c r="L207" s="139">
        <f t="shared" si="43"/>
        <v>317.44854385964913</v>
      </c>
      <c r="M207" s="24">
        <f>'Student At-Risk and ELL Proxy'!S207</f>
        <v>137.63157894736844</v>
      </c>
      <c r="N207" s="24">
        <f>'Student At-Risk and ELL Proxy'!AH207</f>
        <v>3</v>
      </c>
      <c r="O207" s="136">
        <f t="shared" si="49"/>
        <v>0.97044275382856315</v>
      </c>
      <c r="P207" s="136" t="str">
        <f t="shared" si="50"/>
        <v/>
      </c>
      <c r="Q207" s="136" t="str">
        <f t="shared" si="51"/>
        <v/>
      </c>
      <c r="R207" s="136">
        <f t="shared" si="44"/>
        <v>0.97044275382856315</v>
      </c>
      <c r="S207" s="136">
        <f>IF(SUM(3515.4*((VLOOKUP($A207,'District Level ADM'!$A$4:$F$52,6,FALSE))^-0.327)/'Model Data Inputs'!$B$71)&lt;1,1,(3515.4*((VLOOKUP($A207,'District Level ADM'!$A$4:$F$52,6,FALSE))^-0.327)/'Model Data Inputs'!$B$71))</f>
        <v>1</v>
      </c>
      <c r="T207" s="136">
        <f>VLOOKUP($A207,'Regional Cost Adjustment'!$A$4:$C$52,3,FALSE)</f>
        <v>1.03</v>
      </c>
      <c r="U207" s="123">
        <f>((($I207/$L207)*'Model Data Inputs'!$B$85)+((SUM(J207:K207)/$L207)*'Model Data Inputs'!$C$85))*$R207*$T207</f>
        <v>6364.7607200600478</v>
      </c>
      <c r="V207" s="140">
        <f>((($I207/$L207)*'Model Data Inputs'!$B$86)+((SUM(J207:K207)/$L207)*'Model Data Inputs'!$C$86))*$R207</f>
        <v>1642.5954155783793</v>
      </c>
      <c r="W207" s="140">
        <f t="shared" si="52"/>
        <v>8007.3561356384271</v>
      </c>
      <c r="X207" s="140">
        <f t="shared" si="45"/>
        <v>2020484.0225981541</v>
      </c>
      <c r="Y207" s="140">
        <f t="shared" si="46"/>
        <v>521439.52282589173</v>
      </c>
      <c r="Z207" s="123">
        <f>IF((SUM(X207:Y207))&lt;(AVERAGE('Elementary Size Adjustment'!$B$66,'Secondary Size Adjustment'!$B$66)),(AVERAGE('Elementary Size Adjustment'!$B$66,'Secondary Size Adjustment'!$B$66)),SUM(X207:Y207))</f>
        <v>2541923.545424046</v>
      </c>
      <c r="AA207" s="137">
        <f>'Model Data Inputs'!$B$71*S207*L207</f>
        <v>60315.223333333335</v>
      </c>
      <c r="AB207" s="137">
        <f>L207*'Model Data Inputs'!$B$72</f>
        <v>7936.2135964912286</v>
      </c>
      <c r="AC207" s="137">
        <f>L207*'Model Data Inputs'!$B$73</f>
        <v>79362.13596491229</v>
      </c>
      <c r="AD207" s="137">
        <f>L207*'Model Data Inputs'!$B$74</f>
        <v>39681.067982456145</v>
      </c>
      <c r="AE207" s="137">
        <f>$I207*'Model Data Inputs'!$B$76</f>
        <v>7552.1008584210531</v>
      </c>
      <c r="AF207" s="137">
        <f>VLOOKUP($J207,'Student Activities MS&amp;HS Tables'!$M$7:$O$1267,3)</f>
        <v>0</v>
      </c>
      <c r="AG207" s="137">
        <f>VLOOKUP($K207,'Student Activities MS&amp;HS Tables'!$I$7:$K$3007,3)</f>
        <v>0</v>
      </c>
      <c r="AH207" s="137">
        <f t="shared" si="47"/>
        <v>7552.1008584210531</v>
      </c>
      <c r="AI207" s="123">
        <f t="shared" si="53"/>
        <v>2736770.2871596599</v>
      </c>
      <c r="AJ207" s="123">
        <f>(('Model Data Inputs'!$B$90*(('Model Data Inputs'!$B$87*('School Level Inst. Resources'!I207/'School Level Inst. Resources'!L207))+('Model Data Inputs'!$C$87*(SUM('School Level Inst. Resources'!J207:K207)/'School Level Inst. Resources'!L207))))*T207*M207)</f>
        <v>342785.98725759622</v>
      </c>
      <c r="AK207" s="123">
        <f>(('Model Data Inputs'!$B$91*(('Model Data Inputs'!$B$87*('School Level Inst. Resources'!I207/'School Level Inst. Resources'!L207))+('Model Data Inputs'!$C$87*(SUM('School Level Inst. Resources'!J207:K207)/'School Level Inst. Resources'!L207))))*T207*N207)</f>
        <v>7471.8169306627078</v>
      </c>
      <c r="AL207" s="137">
        <f>(K207*'Model Data Inputs'!$B$94)*T207</f>
        <v>0</v>
      </c>
      <c r="AM207" s="137">
        <f>K207*'Model Data Inputs'!$B$95</f>
        <v>0</v>
      </c>
      <c r="AN207" s="137">
        <f t="shared" si="54"/>
        <v>0</v>
      </c>
      <c r="AO207" s="137">
        <f>('School Level Inst. Resources'!K207*'Model Data Inputs'!$B$96)+('School Level Inst. Resources'!J207*'Model Data Inputs'!$B$97)</f>
        <v>0</v>
      </c>
      <c r="AP207" s="137">
        <f>$L207*'Model Data Inputs'!$B$100</f>
        <v>12697.941754385965</v>
      </c>
      <c r="AQ207" s="137">
        <f t="shared" si="55"/>
        <v>3099726.0331023047</v>
      </c>
      <c r="AR207" s="141">
        <f t="shared" si="48"/>
        <v>9764.4991387100545</v>
      </c>
    </row>
    <row r="208" spans="1:44" s="40" customFormat="1" ht="12.75" customHeight="1" x14ac:dyDescent="0.2">
      <c r="A208" s="20" t="s">
        <v>66</v>
      </c>
      <c r="B208" s="20" t="s">
        <v>67</v>
      </c>
      <c r="C208" s="20" t="s">
        <v>782</v>
      </c>
      <c r="D208" s="20" t="s">
        <v>783</v>
      </c>
      <c r="E208" s="138" t="s">
        <v>365</v>
      </c>
      <c r="F208" s="138" t="str">
        <f>IF(AND(SUM('School Level ADM'!$F208:$J208)=0,SUM('School Level ADM'!$O208:$R208)=0,'School Level ADM'!$K208&gt;0,'School Level ADM'!$N208&gt;0),"T","F")</f>
        <v>F</v>
      </c>
      <c r="G208" s="138" t="str">
        <f>IF(AND(SUM('School Level ADM'!$M208:$R208)=0,'School Level ADM'!$L208&gt;0),"T","F")</f>
        <v>F</v>
      </c>
      <c r="H208" s="138" t="str">
        <f t="shared" si="42"/>
        <v>E</v>
      </c>
      <c r="I208" s="139">
        <f>IF($F208="T",SUM('School Level ADM'!$F208:$J208),IF($G208="T",SUM('School Level ADM'!$F208:$L208),SUM('School Level ADM'!$F208:$K208,0)))</f>
        <v>222.67387719298245</v>
      </c>
      <c r="J208" s="139">
        <f>'School Level ADM'!$S208-$I208-$K208</f>
        <v>0</v>
      </c>
      <c r="K208" s="139">
        <f>IF(SUM('School Level ADM'!$N208:$R208)='School Level ADM'!$S208,SUM('School Level ADM'!$N208:$R208),IF(OR(SUM('School Level ADM'!$F208:$O208)='School Level ADM'!$S208,SUM('School Level ADM'!$G208:$O208)='School Level ADM'!$S208,SUM('School Level ADM'!$H208:$O208)='School Level ADM'!$S208,SUM('School Level ADM'!$I208:$O208)='School Level ADM'!$S208,SUM('School Level ADM'!$J208:$O208)='School Level ADM'!$S208,SUM('School Level ADM'!$K208:$O208)='School Level ADM'!$S208,SUM('School Level ADM'!$L208:$O208)='School Level ADM'!$S208,SUM('School Level ADM'!$M208:$O208)='School Level ADM'!$S208,SUM('School Level ADM'!$N208:$O208)='School Level ADM'!$S208),0,SUM('School Level ADM'!$O208:$R208)))</f>
        <v>0</v>
      </c>
      <c r="L208" s="139">
        <f t="shared" si="43"/>
        <v>222.67387719298245</v>
      </c>
      <c r="M208" s="24">
        <f>'Student At-Risk and ELL Proxy'!S208</f>
        <v>136.63157894736844</v>
      </c>
      <c r="N208" s="24">
        <f>'Student At-Risk and ELL Proxy'!AH208</f>
        <v>6</v>
      </c>
      <c r="O208" s="136">
        <f t="shared" si="49"/>
        <v>1.1175411938641846</v>
      </c>
      <c r="P208" s="136" t="str">
        <f t="shared" si="50"/>
        <v/>
      </c>
      <c r="Q208" s="136" t="str">
        <f t="shared" si="51"/>
        <v/>
      </c>
      <c r="R208" s="136">
        <f t="shared" si="44"/>
        <v>1.1175411938641846</v>
      </c>
      <c r="S208" s="136">
        <f>IF(SUM(3515.4*((VLOOKUP($A208,'District Level ADM'!$A$4:$F$52,6,FALSE))^-0.327)/'Model Data Inputs'!$B$71)&lt;1,1,(3515.4*((VLOOKUP($A208,'District Level ADM'!$A$4:$F$52,6,FALSE))^-0.327)/'Model Data Inputs'!$B$71))</f>
        <v>1</v>
      </c>
      <c r="T208" s="136">
        <f>VLOOKUP($A208,'Regional Cost Adjustment'!$A$4:$C$52,3,FALSE)</f>
        <v>1.03</v>
      </c>
      <c r="U208" s="123">
        <f>((($I208/$L208)*'Model Data Inputs'!$B$85)+((SUM(J208:K208)/$L208)*'Model Data Inputs'!$C$85))*$R208*$T208</f>
        <v>7329.5228035803575</v>
      </c>
      <c r="V208" s="140">
        <f>((($I208/$L208)*'Model Data Inputs'!$B$86)+((SUM(J208:K208)/$L208)*'Model Data Inputs'!$C$86))*$R208</f>
        <v>1891.5778746549172</v>
      </c>
      <c r="W208" s="140">
        <f t="shared" si="52"/>
        <v>9221.1006782352742</v>
      </c>
      <c r="X208" s="140">
        <f t="shared" si="45"/>
        <v>1632093.2606476168</v>
      </c>
      <c r="Y208" s="140">
        <f t="shared" si="46"/>
        <v>421204.97936187178</v>
      </c>
      <c r="Z208" s="123">
        <f>IF((SUM(X208:Y208))&lt;(AVERAGE('Elementary Size Adjustment'!$B$66,'Secondary Size Adjustment'!$B$66)),(AVERAGE('Elementary Size Adjustment'!$B$66,'Secondary Size Adjustment'!$B$66)),SUM(X208:Y208))</f>
        <v>2053298.2400094885</v>
      </c>
      <c r="AA208" s="137">
        <f>'Model Data Inputs'!$B$71*S208*L208</f>
        <v>42308.036666666667</v>
      </c>
      <c r="AB208" s="137">
        <f>L208*'Model Data Inputs'!$B$72</f>
        <v>5566.8469298245609</v>
      </c>
      <c r="AC208" s="137">
        <f>L208*'Model Data Inputs'!$B$73</f>
        <v>55668.469298245611</v>
      </c>
      <c r="AD208" s="137">
        <f>L208*'Model Data Inputs'!$B$74</f>
        <v>27834.234649122805</v>
      </c>
      <c r="AE208" s="137">
        <f>$I208*'Model Data Inputs'!$B$76</f>
        <v>5297.4115384210518</v>
      </c>
      <c r="AF208" s="137">
        <f>VLOOKUP($J208,'Student Activities MS&amp;HS Tables'!$M$7:$O$1267,3)</f>
        <v>0</v>
      </c>
      <c r="AG208" s="137">
        <f>VLOOKUP($K208,'Student Activities MS&amp;HS Tables'!$I$7:$K$3007,3)</f>
        <v>0</v>
      </c>
      <c r="AH208" s="137">
        <f t="shared" si="47"/>
        <v>5297.4115384210518</v>
      </c>
      <c r="AI208" s="123">
        <f t="shared" si="53"/>
        <v>2189973.2390917689</v>
      </c>
      <c r="AJ208" s="123">
        <f>(('Model Data Inputs'!$B$90*(('Model Data Inputs'!$B$87*('School Level Inst. Resources'!I208/'School Level Inst. Resources'!L208))+('Model Data Inputs'!$C$87*(SUM('School Level Inst. Resources'!J208:K208)/'School Level Inst. Resources'!L208))))*T208*M208)</f>
        <v>340295.38161404198</v>
      </c>
      <c r="AK208" s="123">
        <f>(('Model Data Inputs'!$B$91*(('Model Data Inputs'!$B$87*('School Level Inst. Resources'!I208/'School Level Inst. Resources'!L208))+('Model Data Inputs'!$C$87*(SUM('School Level Inst. Resources'!J208:K208)/'School Level Inst. Resources'!L208))))*T208*N208)</f>
        <v>14943.633861325416</v>
      </c>
      <c r="AL208" s="137">
        <f>(K208*'Model Data Inputs'!$B$94)*T208</f>
        <v>0</v>
      </c>
      <c r="AM208" s="137">
        <f>K208*'Model Data Inputs'!$B$95</f>
        <v>0</v>
      </c>
      <c r="AN208" s="137">
        <f t="shared" si="54"/>
        <v>0</v>
      </c>
      <c r="AO208" s="137">
        <f>('School Level Inst. Resources'!K208*'Model Data Inputs'!$B$96)+('School Level Inst. Resources'!J208*'Model Data Inputs'!$B$97)</f>
        <v>0</v>
      </c>
      <c r="AP208" s="137">
        <f>$L208*'Model Data Inputs'!$B$100</f>
        <v>8906.9550877192978</v>
      </c>
      <c r="AQ208" s="137">
        <f t="shared" si="55"/>
        <v>2554119.2096548555</v>
      </c>
      <c r="AR208" s="141">
        <f t="shared" si="48"/>
        <v>11470.223817234311</v>
      </c>
    </row>
    <row r="209" spans="1:44" s="40" customFormat="1" ht="12.75" customHeight="1" x14ac:dyDescent="0.2">
      <c r="A209" s="20" t="s">
        <v>66</v>
      </c>
      <c r="B209" s="20" t="s">
        <v>67</v>
      </c>
      <c r="C209" s="20" t="s">
        <v>784</v>
      </c>
      <c r="D209" s="20" t="s">
        <v>785</v>
      </c>
      <c r="E209" s="138" t="s">
        <v>365</v>
      </c>
      <c r="F209" s="138" t="str">
        <f>IF(AND(SUM('School Level ADM'!$F209:$J209)=0,SUM('School Level ADM'!$O209:$R209)=0,'School Level ADM'!$K209&gt;0,'School Level ADM'!$N209&gt;0),"T","F")</f>
        <v>F</v>
      </c>
      <c r="G209" s="138" t="str">
        <f>IF(AND(SUM('School Level ADM'!$M209:$R209)=0,'School Level ADM'!$L209&gt;0),"T","F")</f>
        <v>F</v>
      </c>
      <c r="H209" s="138" t="str">
        <f t="shared" si="42"/>
        <v>E</v>
      </c>
      <c r="I209" s="139">
        <f>IF($F209="T",SUM('School Level ADM'!$F209:$J209),IF($G209="T",SUM('School Level ADM'!$F209:$L209),SUM('School Level ADM'!$F209:$K209,0)))</f>
        <v>170.60321052631579</v>
      </c>
      <c r="J209" s="139">
        <f>'School Level ADM'!$S209-$I209-$K209</f>
        <v>0</v>
      </c>
      <c r="K209" s="139">
        <f>IF(SUM('School Level ADM'!$N209:$R209)='School Level ADM'!$S209,SUM('School Level ADM'!$N209:$R209),IF(OR(SUM('School Level ADM'!$F209:$O209)='School Level ADM'!$S209,SUM('School Level ADM'!$G209:$O209)='School Level ADM'!$S209,SUM('School Level ADM'!$H209:$O209)='School Level ADM'!$S209,SUM('School Level ADM'!$I209:$O209)='School Level ADM'!$S209,SUM('School Level ADM'!$J209:$O209)='School Level ADM'!$S209,SUM('School Level ADM'!$K209:$O209)='School Level ADM'!$S209,SUM('School Level ADM'!$L209:$O209)='School Level ADM'!$S209,SUM('School Level ADM'!$M209:$O209)='School Level ADM'!$S209,SUM('School Level ADM'!$N209:$O209)='School Level ADM'!$S209),0,SUM('School Level ADM'!$O209:$R209)))</f>
        <v>0</v>
      </c>
      <c r="L209" s="139">
        <f t="shared" si="43"/>
        <v>170.60321052631579</v>
      </c>
      <c r="M209" s="24">
        <f>'Student At-Risk and ELL Proxy'!S209</f>
        <v>147.63157894736844</v>
      </c>
      <c r="N209" s="24">
        <f>'Student At-Risk and ELL Proxy'!AH209</f>
        <v>7</v>
      </c>
      <c r="O209" s="136">
        <f t="shared" si="49"/>
        <v>1.2425246265257035</v>
      </c>
      <c r="P209" s="136" t="str">
        <f t="shared" si="50"/>
        <v/>
      </c>
      <c r="Q209" s="136" t="str">
        <f t="shared" si="51"/>
        <v/>
      </c>
      <c r="R209" s="136">
        <f t="shared" si="44"/>
        <v>1.2425246265257035</v>
      </c>
      <c r="S209" s="136">
        <f>IF(SUM(3515.4*((VLOOKUP($A209,'District Level ADM'!$A$4:$F$52,6,FALSE))^-0.327)/'Model Data Inputs'!$B$71)&lt;1,1,(3515.4*((VLOOKUP($A209,'District Level ADM'!$A$4:$F$52,6,FALSE))^-0.327)/'Model Data Inputs'!$B$71))</f>
        <v>1</v>
      </c>
      <c r="T209" s="136">
        <f>VLOOKUP($A209,'Regional Cost Adjustment'!$A$4:$C$52,3,FALSE)</f>
        <v>1.03</v>
      </c>
      <c r="U209" s="123">
        <f>((($I209/$L209)*'Model Data Inputs'!$B$85)+((SUM(J209:K209)/$L209)*'Model Data Inputs'!$C$85))*$R209*$T209</f>
        <v>8149.2410607613847</v>
      </c>
      <c r="V209" s="140">
        <f>((($I209/$L209)*'Model Data Inputs'!$B$86)+((SUM(J209:K209)/$L209)*'Model Data Inputs'!$C$86))*$R209</f>
        <v>2103.127925086153</v>
      </c>
      <c r="W209" s="140">
        <f t="shared" si="52"/>
        <v>10252.368985847537</v>
      </c>
      <c r="X209" s="140">
        <f t="shared" si="45"/>
        <v>1390286.6883187715</v>
      </c>
      <c r="Y209" s="140">
        <f t="shared" si="46"/>
        <v>358800.37616724666</v>
      </c>
      <c r="Z209" s="123">
        <f>IF((SUM(X209:Y209))&lt;(AVERAGE('Elementary Size Adjustment'!$B$66,'Secondary Size Adjustment'!$B$66)),(AVERAGE('Elementary Size Adjustment'!$B$66,'Secondary Size Adjustment'!$B$66)),SUM(X209:Y209))</f>
        <v>1749087.0644860181</v>
      </c>
      <c r="AA209" s="137">
        <f>'Model Data Inputs'!$B$71*S209*L209</f>
        <v>32414.61</v>
      </c>
      <c r="AB209" s="137">
        <f>L209*'Model Data Inputs'!$B$72</f>
        <v>4265.0802631578945</v>
      </c>
      <c r="AC209" s="137">
        <f>L209*'Model Data Inputs'!$B$73</f>
        <v>42650.802631578947</v>
      </c>
      <c r="AD209" s="137">
        <f>L209*'Model Data Inputs'!$B$74</f>
        <v>21325.401315789473</v>
      </c>
      <c r="AE209" s="137">
        <f>$I209*'Model Data Inputs'!$B$76</f>
        <v>4058.6503784210527</v>
      </c>
      <c r="AF209" s="137">
        <f>VLOOKUP($J209,'Student Activities MS&amp;HS Tables'!$M$7:$O$1267,3)</f>
        <v>0</v>
      </c>
      <c r="AG209" s="137">
        <f>VLOOKUP($K209,'Student Activities MS&amp;HS Tables'!$I$7:$K$3007,3)</f>
        <v>0</v>
      </c>
      <c r="AH209" s="137">
        <f t="shared" si="47"/>
        <v>4058.6503784210527</v>
      </c>
      <c r="AI209" s="123">
        <f t="shared" si="53"/>
        <v>1853801.6090749654</v>
      </c>
      <c r="AJ209" s="123">
        <f>(('Model Data Inputs'!$B$90*(('Model Data Inputs'!$B$87*('School Level Inst. Resources'!I209/'School Level Inst. Resources'!L209))+('Model Data Inputs'!$C$87*(SUM('School Level Inst. Resources'!J209:K209)/'School Level Inst. Resources'!L209))))*T209*M209)</f>
        <v>367692.04369313858</v>
      </c>
      <c r="AK209" s="123">
        <f>(('Model Data Inputs'!$B$91*(('Model Data Inputs'!$B$87*('School Level Inst. Resources'!I209/'School Level Inst. Resources'!L209))+('Model Data Inputs'!$C$87*(SUM('School Level Inst. Resources'!J209:K209)/'School Level Inst. Resources'!L209))))*T209*N209)</f>
        <v>17434.239504879653</v>
      </c>
      <c r="AL209" s="137">
        <f>(K209*'Model Data Inputs'!$B$94)*T209</f>
        <v>0</v>
      </c>
      <c r="AM209" s="137">
        <f>K209*'Model Data Inputs'!$B$95</f>
        <v>0</v>
      </c>
      <c r="AN209" s="137">
        <f t="shared" si="54"/>
        <v>0</v>
      </c>
      <c r="AO209" s="137">
        <f>('School Level Inst. Resources'!K209*'Model Data Inputs'!$B$96)+('School Level Inst. Resources'!J209*'Model Data Inputs'!$B$97)</f>
        <v>0</v>
      </c>
      <c r="AP209" s="137">
        <f>$L209*'Model Data Inputs'!$B$100</f>
        <v>6824.1284210526319</v>
      </c>
      <c r="AQ209" s="137">
        <f t="shared" si="55"/>
        <v>2245752.0206940365</v>
      </c>
      <c r="AR209" s="141">
        <f t="shared" si="48"/>
        <v>13163.597647229657</v>
      </c>
    </row>
    <row r="210" spans="1:44" s="40" customFormat="1" ht="12.75" customHeight="1" x14ac:dyDescent="0.2">
      <c r="A210" s="20" t="s">
        <v>66</v>
      </c>
      <c r="B210" s="20" t="s">
        <v>67</v>
      </c>
      <c r="C210" s="20" t="s">
        <v>786</v>
      </c>
      <c r="D210" s="20" t="s">
        <v>787</v>
      </c>
      <c r="E210" s="138" t="s">
        <v>365</v>
      </c>
      <c r="F210" s="138" t="str">
        <f>IF(AND(SUM('School Level ADM'!$F210:$J210)=0,SUM('School Level ADM'!$O210:$R210)=0,'School Level ADM'!$K210&gt;0,'School Level ADM'!$N210&gt;0),"T","F")</f>
        <v>F</v>
      </c>
      <c r="G210" s="138" t="str">
        <f>IF(AND(SUM('School Level ADM'!$M210:$R210)=0,'School Level ADM'!$L210&gt;0),"T","F")</f>
        <v>F</v>
      </c>
      <c r="H210" s="138" t="str">
        <f t="shared" si="42"/>
        <v>E</v>
      </c>
      <c r="I210" s="139">
        <f>IF($F210="T",SUM('School Level ADM'!$F210:$J210),IF($G210="T",SUM('School Level ADM'!$F210:$L210),SUM('School Level ADM'!$F210:$K210,0)))</f>
        <v>305.54554385964911</v>
      </c>
      <c r="J210" s="139">
        <f>'School Level ADM'!$S210-$I210-$K210</f>
        <v>0</v>
      </c>
      <c r="K210" s="139">
        <f>IF(SUM('School Level ADM'!$N210:$R210)='School Level ADM'!$S210,SUM('School Level ADM'!$N210:$R210),IF(OR(SUM('School Level ADM'!$F210:$O210)='School Level ADM'!$S210,SUM('School Level ADM'!$G210:$O210)='School Level ADM'!$S210,SUM('School Level ADM'!$H210:$O210)='School Level ADM'!$S210,SUM('School Level ADM'!$I210:$O210)='School Level ADM'!$S210,SUM('School Level ADM'!$J210:$O210)='School Level ADM'!$S210,SUM('School Level ADM'!$K210:$O210)='School Level ADM'!$S210,SUM('School Level ADM'!$L210:$O210)='School Level ADM'!$S210,SUM('School Level ADM'!$M210:$O210)='School Level ADM'!$S210,SUM('School Level ADM'!$N210:$O210)='School Level ADM'!$S210),0,SUM('School Level ADM'!$O210:$R210)))</f>
        <v>0</v>
      </c>
      <c r="L210" s="139">
        <f t="shared" si="43"/>
        <v>305.54554385964911</v>
      </c>
      <c r="M210" s="24">
        <f>'Student At-Risk and ELL Proxy'!S210</f>
        <v>246.63157894736844</v>
      </c>
      <c r="N210" s="24">
        <f>'Student At-Risk and ELL Proxy'!AH210</f>
        <v>76</v>
      </c>
      <c r="O210" s="136">
        <f t="shared" si="49"/>
        <v>0.98531633053969281</v>
      </c>
      <c r="P210" s="136" t="str">
        <f t="shared" si="50"/>
        <v/>
      </c>
      <c r="Q210" s="136" t="str">
        <f t="shared" si="51"/>
        <v/>
      </c>
      <c r="R210" s="136">
        <f t="shared" si="44"/>
        <v>0.98531633053969281</v>
      </c>
      <c r="S210" s="136">
        <f>IF(SUM(3515.4*((VLOOKUP($A210,'District Level ADM'!$A$4:$F$52,6,FALSE))^-0.327)/'Model Data Inputs'!$B$71)&lt;1,1,(3515.4*((VLOOKUP($A210,'District Level ADM'!$A$4:$F$52,6,FALSE))^-0.327)/'Model Data Inputs'!$B$71))</f>
        <v>1</v>
      </c>
      <c r="T210" s="136">
        <f>VLOOKUP($A210,'Regional Cost Adjustment'!$A$4:$C$52,3,FALSE)</f>
        <v>1.03</v>
      </c>
      <c r="U210" s="123">
        <f>((($I210/$L210)*'Model Data Inputs'!$B$85)+((SUM(J210:K210)/$L210)*'Model Data Inputs'!$C$85))*$R210*$T210</f>
        <v>6462.3107882576014</v>
      </c>
      <c r="V210" s="140">
        <f>((($I210/$L210)*'Model Data Inputs'!$B$86)+((SUM(J210:K210)/$L210)*'Model Data Inputs'!$C$86))*$R210</f>
        <v>1667.7707995178951</v>
      </c>
      <c r="W210" s="140">
        <f t="shared" si="52"/>
        <v>8130.0815877754967</v>
      </c>
      <c r="X210" s="140">
        <f t="shared" si="45"/>
        <v>1974530.2643882467</v>
      </c>
      <c r="Y210" s="140">
        <f t="shared" si="46"/>
        <v>509579.93597193708</v>
      </c>
      <c r="Z210" s="123">
        <f>IF((SUM(X210:Y210))&lt;(AVERAGE('Elementary Size Adjustment'!$B$66,'Secondary Size Adjustment'!$B$66)),(AVERAGE('Elementary Size Adjustment'!$B$66,'Secondary Size Adjustment'!$B$66)),SUM(X210:Y210))</f>
        <v>2484110.2003601836</v>
      </c>
      <c r="AA210" s="137">
        <f>'Model Data Inputs'!$B$71*S210*L210</f>
        <v>58053.653333333335</v>
      </c>
      <c r="AB210" s="137">
        <f>L210*'Model Data Inputs'!$B$72</f>
        <v>7638.6385964912279</v>
      </c>
      <c r="AC210" s="137">
        <f>L210*'Model Data Inputs'!$B$73</f>
        <v>76386.385964912275</v>
      </c>
      <c r="AD210" s="137">
        <f>L210*'Model Data Inputs'!$B$74</f>
        <v>38193.192982456138</v>
      </c>
      <c r="AE210" s="137">
        <f>$I210*'Model Data Inputs'!$B$76</f>
        <v>7268.928488421052</v>
      </c>
      <c r="AF210" s="137">
        <f>VLOOKUP($J210,'Student Activities MS&amp;HS Tables'!$M$7:$O$1267,3)</f>
        <v>0</v>
      </c>
      <c r="AG210" s="137">
        <f>VLOOKUP($K210,'Student Activities MS&amp;HS Tables'!$I$7:$K$3007,3)</f>
        <v>0</v>
      </c>
      <c r="AH210" s="137">
        <f t="shared" si="47"/>
        <v>7268.928488421052</v>
      </c>
      <c r="AI210" s="123">
        <f t="shared" si="53"/>
        <v>2671650.9997257981</v>
      </c>
      <c r="AJ210" s="123">
        <f>(('Model Data Inputs'!$B$90*(('Model Data Inputs'!$B$87*('School Level Inst. Resources'!I210/'School Level Inst. Resources'!L210))+('Model Data Inputs'!$C$87*(SUM('School Level Inst. Resources'!J210:K210)/'School Level Inst. Resources'!L210))))*T210*M210)</f>
        <v>614262.00240500795</v>
      </c>
      <c r="AK210" s="123">
        <f>(('Model Data Inputs'!$B$91*(('Model Data Inputs'!$B$87*('School Level Inst. Resources'!I210/'School Level Inst. Resources'!L210))+('Model Data Inputs'!$C$87*(SUM('School Level Inst. Resources'!J210:K210)/'School Level Inst. Resources'!L210))))*T210*N210)</f>
        <v>189286.02891012194</v>
      </c>
      <c r="AL210" s="137">
        <f>(K210*'Model Data Inputs'!$B$94)*T210</f>
        <v>0</v>
      </c>
      <c r="AM210" s="137">
        <f>K210*'Model Data Inputs'!$B$95</f>
        <v>0</v>
      </c>
      <c r="AN210" s="137">
        <f t="shared" si="54"/>
        <v>0</v>
      </c>
      <c r="AO210" s="137">
        <f>('School Level Inst. Resources'!K210*'Model Data Inputs'!$B$96)+('School Level Inst. Resources'!J210*'Model Data Inputs'!$B$97)</f>
        <v>0</v>
      </c>
      <c r="AP210" s="137">
        <f>$L210*'Model Data Inputs'!$B$100</f>
        <v>12221.821754385965</v>
      </c>
      <c r="AQ210" s="137">
        <f t="shared" si="55"/>
        <v>3487420.852795314</v>
      </c>
      <c r="AR210" s="141">
        <f t="shared" si="48"/>
        <v>11413.751314263134</v>
      </c>
    </row>
    <row r="211" spans="1:44" s="40" customFormat="1" ht="12.75" customHeight="1" x14ac:dyDescent="0.2">
      <c r="A211" s="20" t="s">
        <v>66</v>
      </c>
      <c r="B211" s="20" t="s">
        <v>67</v>
      </c>
      <c r="C211" s="20" t="s">
        <v>788</v>
      </c>
      <c r="D211" s="20" t="s">
        <v>789</v>
      </c>
      <c r="E211" s="138" t="s">
        <v>362</v>
      </c>
      <c r="F211" s="138" t="str">
        <f>IF(AND(SUM('School Level ADM'!$F211:$J211)=0,SUM('School Level ADM'!$O211:$R211)=0,'School Level ADM'!$K211&gt;0,'School Level ADM'!$N211&gt;0),"T","F")</f>
        <v>F</v>
      </c>
      <c r="G211" s="138" t="str">
        <f>IF(AND(SUM('School Level ADM'!$M211:$R211)=0,'School Level ADM'!$L211&gt;0),"T","F")</f>
        <v>F</v>
      </c>
      <c r="H211" s="138" t="str">
        <f t="shared" si="42"/>
        <v>E</v>
      </c>
      <c r="I211" s="139">
        <f>IF($F211="T",SUM('School Level ADM'!$F211:$J211),IF($G211="T",SUM('School Level ADM'!$F211:$L211),SUM('School Level ADM'!$F211:$K211,0)))</f>
        <v>414.83521052631579</v>
      </c>
      <c r="J211" s="139">
        <f>'School Level ADM'!$S211-$I211-$K211</f>
        <v>0</v>
      </c>
      <c r="K211" s="139">
        <f>IF(SUM('School Level ADM'!$N211:$R211)='School Level ADM'!$S211,SUM('School Level ADM'!$N211:$R211),IF(OR(SUM('School Level ADM'!$F211:$O211)='School Level ADM'!$S211,SUM('School Level ADM'!$G211:$O211)='School Level ADM'!$S211,SUM('School Level ADM'!$H211:$O211)='School Level ADM'!$S211,SUM('School Level ADM'!$I211:$O211)='School Level ADM'!$S211,SUM('School Level ADM'!$J211:$O211)='School Level ADM'!$S211,SUM('School Level ADM'!$K211:$O211)='School Level ADM'!$S211,SUM('School Level ADM'!$L211:$O211)='School Level ADM'!$S211,SUM('School Level ADM'!$M211:$O211)='School Level ADM'!$S211,SUM('School Level ADM'!$N211:$O211)='School Level ADM'!$S211),0,SUM('School Level ADM'!$O211:$R211)))</f>
        <v>0</v>
      </c>
      <c r="L211" s="139">
        <f t="shared" si="43"/>
        <v>414.83521052631579</v>
      </c>
      <c r="M211" s="24">
        <f>'Student At-Risk and ELL Proxy'!S211</f>
        <v>175.63157894736841</v>
      </c>
      <c r="N211" s="24">
        <f>'Student At-Risk and ELL Proxy'!AH211</f>
        <v>11</v>
      </c>
      <c r="O211" s="136">
        <f t="shared" si="49"/>
        <v>0.97</v>
      </c>
      <c r="P211" s="136" t="str">
        <f t="shared" si="50"/>
        <v/>
      </c>
      <c r="Q211" s="136" t="str">
        <f t="shared" si="51"/>
        <v/>
      </c>
      <c r="R211" s="136">
        <f t="shared" si="44"/>
        <v>0.97</v>
      </c>
      <c r="S211" s="136">
        <f>IF(SUM(3515.4*((VLOOKUP($A211,'District Level ADM'!$A$4:$F$52,6,FALSE))^-0.327)/'Model Data Inputs'!$B$71)&lt;1,1,(3515.4*((VLOOKUP($A211,'District Level ADM'!$A$4:$F$52,6,FALSE))^-0.327)/'Model Data Inputs'!$B$71))</f>
        <v>1</v>
      </c>
      <c r="T211" s="136">
        <f>VLOOKUP($A211,'Regional Cost Adjustment'!$A$4:$C$52,3,FALSE)</f>
        <v>1.03</v>
      </c>
      <c r="U211" s="123">
        <f>((($I211/$L211)*'Model Data Inputs'!$B$85)+((SUM(J211:K211)/$L211)*'Model Data Inputs'!$C$85))*$R211*$T211</f>
        <v>6361.8568680135695</v>
      </c>
      <c r="V211" s="140">
        <f>((($I211/$L211)*'Model Data Inputs'!$B$86)+((SUM(J211:K211)/$L211)*'Model Data Inputs'!$C$86))*$R211</f>
        <v>1641.8459994936507</v>
      </c>
      <c r="W211" s="140">
        <f t="shared" si="52"/>
        <v>8003.7028675072197</v>
      </c>
      <c r="X211" s="140">
        <f t="shared" si="45"/>
        <v>2639122.2331806971</v>
      </c>
      <c r="Y211" s="140">
        <f t="shared" si="46"/>
        <v>681095.53085173795</v>
      </c>
      <c r="Z211" s="123">
        <f>IF((SUM(X211:Y211))&lt;(AVERAGE('Elementary Size Adjustment'!$B$66,'Secondary Size Adjustment'!$B$66)),(AVERAGE('Elementary Size Adjustment'!$B$66,'Secondary Size Adjustment'!$B$66)),SUM(X211:Y211))</f>
        <v>3320217.7640324351</v>
      </c>
      <c r="AA211" s="137">
        <f>'Model Data Inputs'!$B$71*S211*L211</f>
        <v>78818.69</v>
      </c>
      <c r="AB211" s="137">
        <f>L211*'Model Data Inputs'!$B$72</f>
        <v>10370.880263157895</v>
      </c>
      <c r="AC211" s="137">
        <f>L211*'Model Data Inputs'!$B$73</f>
        <v>103708.80263157895</v>
      </c>
      <c r="AD211" s="137">
        <f>L211*'Model Data Inputs'!$B$74</f>
        <v>51854.401315789473</v>
      </c>
      <c r="AE211" s="137">
        <f>$I211*'Model Data Inputs'!$B$76</f>
        <v>9868.9296584210515</v>
      </c>
      <c r="AF211" s="137">
        <f>VLOOKUP($J211,'Student Activities MS&amp;HS Tables'!$M$7:$O$1267,3)</f>
        <v>0</v>
      </c>
      <c r="AG211" s="137">
        <f>VLOOKUP($K211,'Student Activities MS&amp;HS Tables'!$I$7:$K$3007,3)</f>
        <v>0</v>
      </c>
      <c r="AH211" s="137">
        <f t="shared" si="47"/>
        <v>9868.9296584210515</v>
      </c>
      <c r="AI211" s="123">
        <f t="shared" si="53"/>
        <v>3574839.4679013826</v>
      </c>
      <c r="AJ211" s="123">
        <f>(('Model Data Inputs'!$B$90*(('Model Data Inputs'!$B$87*('School Level Inst. Resources'!I211/'School Level Inst. Resources'!L211))+('Model Data Inputs'!$C$87*(SUM('School Level Inst. Resources'!J211:K211)/'School Level Inst. Resources'!L211))))*T211*M211)</f>
        <v>437429.0017126571</v>
      </c>
      <c r="AK211" s="123">
        <f>(('Model Data Inputs'!$B$91*(('Model Data Inputs'!$B$87*('School Level Inst. Resources'!I211/'School Level Inst. Resources'!L211))+('Model Data Inputs'!$C$87*(SUM('School Level Inst. Resources'!J211:K211)/'School Level Inst. Resources'!L211))))*T211*N211)</f>
        <v>27396.662079096597</v>
      </c>
      <c r="AL211" s="137">
        <f>(K211*'Model Data Inputs'!$B$94)*T211</f>
        <v>0</v>
      </c>
      <c r="AM211" s="137">
        <f>K211*'Model Data Inputs'!$B$95</f>
        <v>0</v>
      </c>
      <c r="AN211" s="137">
        <f t="shared" si="54"/>
        <v>0</v>
      </c>
      <c r="AO211" s="137">
        <f>('School Level Inst. Resources'!K211*'Model Data Inputs'!$B$96)+('School Level Inst. Resources'!J211*'Model Data Inputs'!$B$97)</f>
        <v>0</v>
      </c>
      <c r="AP211" s="137">
        <f>$L211*'Model Data Inputs'!$B$100</f>
        <v>16593.408421052631</v>
      </c>
      <c r="AQ211" s="137">
        <f t="shared" si="55"/>
        <v>4056258.540114189</v>
      </c>
      <c r="AR211" s="141">
        <f t="shared" si="48"/>
        <v>9777.9996422383556</v>
      </c>
    </row>
    <row r="212" spans="1:44" s="40" customFormat="1" ht="12.75" customHeight="1" x14ac:dyDescent="0.2">
      <c r="A212" s="20" t="s">
        <v>66</v>
      </c>
      <c r="B212" s="20" t="s">
        <v>67</v>
      </c>
      <c r="C212" s="20" t="s">
        <v>790</v>
      </c>
      <c r="D212" s="20" t="s">
        <v>791</v>
      </c>
      <c r="E212" s="138" t="s">
        <v>357</v>
      </c>
      <c r="F212" s="138" t="str">
        <f>IF(AND(SUM('School Level ADM'!$F212:$J212)=0,SUM('School Level ADM'!$O212:$R212)=0,'School Level ADM'!$K212&gt;0,'School Level ADM'!$N212&gt;0),"T","F")</f>
        <v>F</v>
      </c>
      <c r="G212" s="138" t="str">
        <f>IF(AND(SUM('School Level ADM'!$M212:$R212)=0,'School Level ADM'!$L212&gt;0),"T","F")</f>
        <v>F</v>
      </c>
      <c r="H212" s="138" t="str">
        <f t="shared" si="42"/>
        <v>E</v>
      </c>
      <c r="I212" s="139">
        <f>IF($F212="T",SUM('School Level ADM'!$F212:$J212),IF($G212="T",SUM('School Level ADM'!$F212:$L212),SUM('School Level ADM'!$F212:$K212,0)))</f>
        <v>323.44854385964913</v>
      </c>
      <c r="J212" s="139">
        <f>'School Level ADM'!$S212-$I212-$K212</f>
        <v>0</v>
      </c>
      <c r="K212" s="139">
        <f>IF(SUM('School Level ADM'!$N212:$R212)='School Level ADM'!$S212,SUM('School Level ADM'!$N212:$R212),IF(OR(SUM('School Level ADM'!$F212:$O212)='School Level ADM'!$S212,SUM('School Level ADM'!$G212:$O212)='School Level ADM'!$S212,SUM('School Level ADM'!$H212:$O212)='School Level ADM'!$S212,SUM('School Level ADM'!$I212:$O212)='School Level ADM'!$S212,SUM('School Level ADM'!$J212:$O212)='School Level ADM'!$S212,SUM('School Level ADM'!$K212:$O212)='School Level ADM'!$S212,SUM('School Level ADM'!$L212:$O212)='School Level ADM'!$S212,SUM('School Level ADM'!$M212:$O212)='School Level ADM'!$S212,SUM('School Level ADM'!$N212:$O212)='School Level ADM'!$S212),0,SUM('School Level ADM'!$O212:$R212)))</f>
        <v>0</v>
      </c>
      <c r="L212" s="139">
        <f t="shared" si="43"/>
        <v>323.44854385964913</v>
      </c>
      <c r="M212" s="24">
        <f>'Student At-Risk and ELL Proxy'!S212</f>
        <v>93.631578947368425</v>
      </c>
      <c r="N212" s="24">
        <f>'Student At-Risk and ELL Proxy'!AH212</f>
        <v>1</v>
      </c>
      <c r="O212" s="136">
        <f t="shared" si="49"/>
        <v>0.97</v>
      </c>
      <c r="P212" s="136" t="str">
        <f t="shared" si="50"/>
        <v/>
      </c>
      <c r="Q212" s="136" t="str">
        <f t="shared" si="51"/>
        <v/>
      </c>
      <c r="R212" s="136">
        <f t="shared" si="44"/>
        <v>0.97</v>
      </c>
      <c r="S212" s="136">
        <f>IF(SUM(3515.4*((VLOOKUP($A212,'District Level ADM'!$A$4:$F$52,6,FALSE))^-0.327)/'Model Data Inputs'!$B$71)&lt;1,1,(3515.4*((VLOOKUP($A212,'District Level ADM'!$A$4:$F$52,6,FALSE))^-0.327)/'Model Data Inputs'!$B$71))</f>
        <v>1</v>
      </c>
      <c r="T212" s="136">
        <f>VLOOKUP($A212,'Regional Cost Adjustment'!$A$4:$C$52,3,FALSE)</f>
        <v>1.03</v>
      </c>
      <c r="U212" s="123">
        <f>((($I212/$L212)*'Model Data Inputs'!$B$85)+((SUM(J212:K212)/$L212)*'Model Data Inputs'!$C$85))*$R212*$T212</f>
        <v>6361.8568680135695</v>
      </c>
      <c r="V212" s="140">
        <f>((($I212/$L212)*'Model Data Inputs'!$B$86)+((SUM(J212:K212)/$L212)*'Model Data Inputs'!$C$86))*$R212</f>
        <v>1641.8459994936507</v>
      </c>
      <c r="W212" s="140">
        <f t="shared" si="52"/>
        <v>8003.7028675072197</v>
      </c>
      <c r="X212" s="140">
        <f t="shared" si="45"/>
        <v>2057733.3402024971</v>
      </c>
      <c r="Y212" s="140">
        <f t="shared" si="46"/>
        <v>531052.69777801156</v>
      </c>
      <c r="Z212" s="123">
        <f>IF((SUM(X212:Y212))&lt;(AVERAGE('Elementary Size Adjustment'!$B$66,'Secondary Size Adjustment'!$B$66)),(AVERAGE('Elementary Size Adjustment'!$B$66,'Secondary Size Adjustment'!$B$66)),SUM(X212:Y212))</f>
        <v>2588786.0379805085</v>
      </c>
      <c r="AA212" s="137">
        <f>'Model Data Inputs'!$B$71*S212*L212</f>
        <v>61455.223333333335</v>
      </c>
      <c r="AB212" s="137">
        <f>L212*'Model Data Inputs'!$B$72</f>
        <v>8086.2135964912286</v>
      </c>
      <c r="AC212" s="137">
        <f>L212*'Model Data Inputs'!$B$73</f>
        <v>80862.13596491229</v>
      </c>
      <c r="AD212" s="137">
        <f>L212*'Model Data Inputs'!$B$74</f>
        <v>40431.067982456145</v>
      </c>
      <c r="AE212" s="137">
        <f>$I212*'Model Data Inputs'!$B$76</f>
        <v>7694.8408584210529</v>
      </c>
      <c r="AF212" s="137">
        <f>VLOOKUP($J212,'Student Activities MS&amp;HS Tables'!$M$7:$O$1267,3)</f>
        <v>0</v>
      </c>
      <c r="AG212" s="137">
        <f>VLOOKUP($K212,'Student Activities MS&amp;HS Tables'!$I$7:$K$3007,3)</f>
        <v>0</v>
      </c>
      <c r="AH212" s="137">
        <f t="shared" si="47"/>
        <v>7694.8408584210529</v>
      </c>
      <c r="AI212" s="123">
        <f t="shared" si="53"/>
        <v>2787315.5197161222</v>
      </c>
      <c r="AJ212" s="123">
        <f>(('Model Data Inputs'!$B$90*(('Model Data Inputs'!$B$87*('School Level Inst. Resources'!I212/'School Level Inst. Resources'!L212))+('Model Data Inputs'!$C$87*(SUM('School Level Inst. Resources'!J212:K212)/'School Level Inst. Resources'!L212))))*T212*M212)</f>
        <v>233199.33894120977</v>
      </c>
      <c r="AK212" s="123">
        <f>(('Model Data Inputs'!$B$91*(('Model Data Inputs'!$B$87*('School Level Inst. Resources'!I212/'School Level Inst. Resources'!L212))+('Model Data Inputs'!$C$87*(SUM('School Level Inst. Resources'!J212:K212)/'School Level Inst. Resources'!L212))))*T212*N212)</f>
        <v>2490.6056435542359</v>
      </c>
      <c r="AL212" s="137">
        <f>(K212*'Model Data Inputs'!$B$94)*T212</f>
        <v>0</v>
      </c>
      <c r="AM212" s="137">
        <f>K212*'Model Data Inputs'!$B$95</f>
        <v>0</v>
      </c>
      <c r="AN212" s="137">
        <f t="shared" si="54"/>
        <v>0</v>
      </c>
      <c r="AO212" s="137">
        <f>('School Level Inst. Resources'!K212*'Model Data Inputs'!$B$96)+('School Level Inst. Resources'!J212*'Model Data Inputs'!$B$97)</f>
        <v>0</v>
      </c>
      <c r="AP212" s="137">
        <f>$L212*'Model Data Inputs'!$B$100</f>
        <v>12937.941754385965</v>
      </c>
      <c r="AQ212" s="137">
        <f t="shared" si="55"/>
        <v>3035943.4060552721</v>
      </c>
      <c r="AR212" s="141">
        <f t="shared" si="48"/>
        <v>9386.1711969018143</v>
      </c>
    </row>
    <row r="213" spans="1:44" s="40" customFormat="1" ht="12.75" customHeight="1" x14ac:dyDescent="0.2">
      <c r="A213" s="20" t="s">
        <v>66</v>
      </c>
      <c r="B213" s="20" t="s">
        <v>67</v>
      </c>
      <c r="C213" s="20" t="s">
        <v>792</v>
      </c>
      <c r="D213" s="20" t="s">
        <v>793</v>
      </c>
      <c r="E213" s="138" t="s">
        <v>362</v>
      </c>
      <c r="F213" s="138" t="str">
        <f>IF(AND(SUM('School Level ADM'!$F213:$J213)=0,SUM('School Level ADM'!$O213:$R213)=0,'School Level ADM'!$K213&gt;0,'School Level ADM'!$N213&gt;0),"T","F")</f>
        <v>F</v>
      </c>
      <c r="G213" s="138" t="str">
        <f>IF(AND(SUM('School Level ADM'!$M213:$R213)=0,'School Level ADM'!$L213&gt;0),"T","F")</f>
        <v>F</v>
      </c>
      <c r="H213" s="138" t="str">
        <f t="shared" si="42"/>
        <v>E</v>
      </c>
      <c r="I213" s="139">
        <f>IF($F213="T",SUM('School Level ADM'!$F213:$J213),IF($G213="T",SUM('School Level ADM'!$F213:$L213),SUM('School Level ADM'!$F213:$K213,0)))</f>
        <v>272.34887719298246</v>
      </c>
      <c r="J213" s="139">
        <f>'School Level ADM'!$S213-$I213-$K213</f>
        <v>0</v>
      </c>
      <c r="K213" s="139">
        <f>IF(SUM('School Level ADM'!$N213:$R213)='School Level ADM'!$S213,SUM('School Level ADM'!$N213:$R213),IF(OR(SUM('School Level ADM'!$F213:$O213)='School Level ADM'!$S213,SUM('School Level ADM'!$G213:$O213)='School Level ADM'!$S213,SUM('School Level ADM'!$H213:$O213)='School Level ADM'!$S213,SUM('School Level ADM'!$I213:$O213)='School Level ADM'!$S213,SUM('School Level ADM'!$J213:$O213)='School Level ADM'!$S213,SUM('School Level ADM'!$K213:$O213)='School Level ADM'!$S213,SUM('School Level ADM'!$L213:$O213)='School Level ADM'!$S213,SUM('School Level ADM'!$M213:$O213)='School Level ADM'!$S213,SUM('School Level ADM'!$N213:$O213)='School Level ADM'!$S213),0,SUM('School Level ADM'!$O213:$R213)))</f>
        <v>0</v>
      </c>
      <c r="L213" s="139">
        <f t="shared" si="43"/>
        <v>272.34887719298246</v>
      </c>
      <c r="M213" s="24">
        <f>'Student At-Risk and ELL Proxy'!S213</f>
        <v>151.63157894736841</v>
      </c>
      <c r="N213" s="24">
        <f>'Student At-Risk and ELL Proxy'!AH213</f>
        <v>4</v>
      </c>
      <c r="O213" s="136">
        <f t="shared" si="49"/>
        <v>1.0314683967260103</v>
      </c>
      <c r="P213" s="136" t="str">
        <f t="shared" si="50"/>
        <v/>
      </c>
      <c r="Q213" s="136" t="str">
        <f t="shared" si="51"/>
        <v/>
      </c>
      <c r="R213" s="136">
        <f t="shared" si="44"/>
        <v>1.0314683967260103</v>
      </c>
      <c r="S213" s="136">
        <f>IF(SUM(3515.4*((VLOOKUP($A213,'District Level ADM'!$A$4:$F$52,6,FALSE))^-0.327)/'Model Data Inputs'!$B$71)&lt;1,1,(3515.4*((VLOOKUP($A213,'District Level ADM'!$A$4:$F$52,6,FALSE))^-0.327)/'Model Data Inputs'!$B$71))</f>
        <v>1</v>
      </c>
      <c r="T213" s="136">
        <f>VLOOKUP($A213,'Regional Cost Adjustment'!$A$4:$C$52,3,FALSE)</f>
        <v>1.03</v>
      </c>
      <c r="U213" s="123">
        <f>((($I213/$L213)*'Model Data Inputs'!$B$85)+((SUM(J213:K213)/$L213)*'Model Data Inputs'!$C$85))*$R213*$T213</f>
        <v>6765.0044369590869</v>
      </c>
      <c r="V213" s="140">
        <f>((($I213/$L213)*'Model Data Inputs'!$B$86)+((SUM(J213:K213)/$L213)*'Model Data Inputs'!$C$86))*$R213</f>
        <v>1745.8889286275564</v>
      </c>
      <c r="W213" s="140">
        <f t="shared" si="52"/>
        <v>8510.893365586644</v>
      </c>
      <c r="X213" s="140">
        <f t="shared" si="45"/>
        <v>1842441.3626113518</v>
      </c>
      <c r="Y213" s="140">
        <f t="shared" si="46"/>
        <v>475490.88941537408</v>
      </c>
      <c r="Z213" s="123">
        <f>IF((SUM(X213:Y213))&lt;(AVERAGE('Elementary Size Adjustment'!$B$66,'Secondary Size Adjustment'!$B$66)),(AVERAGE('Elementary Size Adjustment'!$B$66,'Secondary Size Adjustment'!$B$66)),SUM(X213:Y213))</f>
        <v>2317932.252026726</v>
      </c>
      <c r="AA213" s="137">
        <f>'Model Data Inputs'!$B$71*S213*L213</f>
        <v>51746.286666666667</v>
      </c>
      <c r="AB213" s="137">
        <f>L213*'Model Data Inputs'!$B$72</f>
        <v>6808.7219298245618</v>
      </c>
      <c r="AC213" s="137">
        <f>L213*'Model Data Inputs'!$B$73</f>
        <v>68087.219298245618</v>
      </c>
      <c r="AD213" s="137">
        <f>L213*'Model Data Inputs'!$B$74</f>
        <v>34043.609649122809</v>
      </c>
      <c r="AE213" s="137">
        <f>$I213*'Model Data Inputs'!$B$76</f>
        <v>6479.1797884210528</v>
      </c>
      <c r="AF213" s="137">
        <f>VLOOKUP($J213,'Student Activities MS&amp;HS Tables'!$M$7:$O$1267,3)</f>
        <v>0</v>
      </c>
      <c r="AG213" s="137">
        <f>VLOOKUP($K213,'Student Activities MS&amp;HS Tables'!$I$7:$K$3007,3)</f>
        <v>0</v>
      </c>
      <c r="AH213" s="137">
        <f t="shared" si="47"/>
        <v>6479.1797884210528</v>
      </c>
      <c r="AI213" s="123">
        <f t="shared" si="53"/>
        <v>2485097.2693590065</v>
      </c>
      <c r="AJ213" s="123">
        <f>(('Model Data Inputs'!$B$90*(('Model Data Inputs'!$B$87*('School Level Inst. Resources'!I213/'School Level Inst. Resources'!L213))+('Model Data Inputs'!$C$87*(SUM('School Level Inst. Resources'!J213:K213)/'School Level Inst. Resources'!L213))))*T213*M213)</f>
        <v>377654.46626735543</v>
      </c>
      <c r="AK213" s="123">
        <f>(('Model Data Inputs'!$B$91*(('Model Data Inputs'!$B$87*('School Level Inst. Resources'!I213/'School Level Inst. Resources'!L213))+('Model Data Inputs'!$C$87*(SUM('School Level Inst. Resources'!J213:K213)/'School Level Inst. Resources'!L213))))*T213*N213)</f>
        <v>9962.4225742169438</v>
      </c>
      <c r="AL213" s="137">
        <f>(K213*'Model Data Inputs'!$B$94)*T213</f>
        <v>0</v>
      </c>
      <c r="AM213" s="137">
        <f>K213*'Model Data Inputs'!$B$95</f>
        <v>0</v>
      </c>
      <c r="AN213" s="137">
        <f t="shared" si="54"/>
        <v>0</v>
      </c>
      <c r="AO213" s="137">
        <f>('School Level Inst. Resources'!K213*'Model Data Inputs'!$B$96)+('School Level Inst. Resources'!J213*'Model Data Inputs'!$B$97)</f>
        <v>0</v>
      </c>
      <c r="AP213" s="137">
        <f>$L213*'Model Data Inputs'!$B$100</f>
        <v>10893.955087719298</v>
      </c>
      <c r="AQ213" s="137">
        <f t="shared" si="55"/>
        <v>2883608.1132882982</v>
      </c>
      <c r="AR213" s="141">
        <f t="shared" si="48"/>
        <v>10587.919961370046</v>
      </c>
    </row>
    <row r="214" spans="1:44" s="40" customFormat="1" ht="12.75" customHeight="1" x14ac:dyDescent="0.2">
      <c r="A214" s="20" t="s">
        <v>66</v>
      </c>
      <c r="B214" s="20" t="s">
        <v>67</v>
      </c>
      <c r="C214" s="20" t="s">
        <v>794</v>
      </c>
      <c r="D214" s="20" t="s">
        <v>795</v>
      </c>
      <c r="E214" s="138" t="s">
        <v>376</v>
      </c>
      <c r="F214" s="138" t="str">
        <f>IF(AND(SUM('School Level ADM'!$F214:$J214)=0,SUM('School Level ADM'!$O214:$R214)=0,'School Level ADM'!$K214&gt;0,'School Level ADM'!$N214&gt;0),"T","F")</f>
        <v>F</v>
      </c>
      <c r="G214" s="138" t="str">
        <f>IF(AND(SUM('School Level ADM'!$M214:$R214)=0,'School Level ADM'!$L214&gt;0),"T","F")</f>
        <v>F</v>
      </c>
      <c r="H214" s="138" t="str">
        <f t="shared" si="42"/>
        <v>M</v>
      </c>
      <c r="I214" s="139">
        <f>IF($F214="T",SUM('School Level ADM'!$F214:$J214),IF($G214="T",SUM('School Level ADM'!$F214:$L214),SUM('School Level ADM'!$F214:$K214,0)))</f>
        <v>110.73899999999999</v>
      </c>
      <c r="J214" s="139">
        <f>'School Level ADM'!$S214-$I214-$K214</f>
        <v>61.590999999999994</v>
      </c>
      <c r="K214" s="139">
        <f>IF(SUM('School Level ADM'!$N214:$R214)='School Level ADM'!$S214,SUM('School Level ADM'!$N214:$R214),IF(OR(SUM('School Level ADM'!$F214:$O214)='School Level ADM'!$S214,SUM('School Level ADM'!$G214:$O214)='School Level ADM'!$S214,SUM('School Level ADM'!$H214:$O214)='School Level ADM'!$S214,SUM('School Level ADM'!$I214:$O214)='School Level ADM'!$S214,SUM('School Level ADM'!$J214:$O214)='School Level ADM'!$S214,SUM('School Level ADM'!$K214:$O214)='School Level ADM'!$S214,SUM('School Level ADM'!$L214:$O214)='School Level ADM'!$S214,SUM('School Level ADM'!$M214:$O214)='School Level ADM'!$S214,SUM('School Level ADM'!$N214:$O214)='School Level ADM'!$S214),0,SUM('School Level ADM'!$O214:$R214)))</f>
        <v>0</v>
      </c>
      <c r="L214" s="139">
        <f t="shared" si="43"/>
        <v>172.32999999999998</v>
      </c>
      <c r="M214" s="24">
        <f>'Student At-Risk and ELL Proxy'!S214</f>
        <v>77</v>
      </c>
      <c r="N214" s="24">
        <f>'Student At-Risk and ELL Proxy'!AH214</f>
        <v>0</v>
      </c>
      <c r="O214" s="136">
        <f t="shared" si="49"/>
        <v>1.2375543389493016</v>
      </c>
      <c r="P214" s="136">
        <f t="shared" si="50"/>
        <v>1.4974075639523834</v>
      </c>
      <c r="Q214" s="136" t="str">
        <f t="shared" si="51"/>
        <v/>
      </c>
      <c r="R214" s="136">
        <f t="shared" si="44"/>
        <v>1.330426270598839</v>
      </c>
      <c r="S214" s="136">
        <f>IF(SUM(3515.4*((VLOOKUP($A214,'District Level ADM'!$A$4:$F$52,6,FALSE))^-0.327)/'Model Data Inputs'!$B$71)&lt;1,1,(3515.4*((VLOOKUP($A214,'District Level ADM'!$A$4:$F$52,6,FALSE))^-0.327)/'Model Data Inputs'!$B$71))</f>
        <v>1</v>
      </c>
      <c r="T214" s="136">
        <f>VLOOKUP($A214,'Regional Cost Adjustment'!$A$4:$C$52,3,FALSE)</f>
        <v>1.03</v>
      </c>
      <c r="U214" s="123">
        <f>((($I214/$L214)*'Model Data Inputs'!$B$85)+((SUM(J214:K214)/$L214)*'Model Data Inputs'!$C$85))*$R214*$T214</f>
        <v>8243.4381483725938</v>
      </c>
      <c r="V214" s="140">
        <f>((($I214/$L214)*'Model Data Inputs'!$B$86)+((SUM(J214:K214)/$L214)*'Model Data Inputs'!$C$86))*$R214</f>
        <v>2128.5130509843857</v>
      </c>
      <c r="W214" s="140">
        <f t="shared" si="52"/>
        <v>10371.951199356979</v>
      </c>
      <c r="X214" s="140">
        <f t="shared" si="45"/>
        <v>1420591.696109049</v>
      </c>
      <c r="Y214" s="140">
        <f t="shared" si="46"/>
        <v>366806.65407613915</v>
      </c>
      <c r="Z214" s="123">
        <f>IF((SUM(X214:Y214))&lt;(AVERAGE('Elementary Size Adjustment'!$B$66,'Secondary Size Adjustment'!$B$66)),(AVERAGE('Elementary Size Adjustment'!$B$66,'Secondary Size Adjustment'!$B$66)),SUM(X214:Y214))</f>
        <v>1787398.3501851882</v>
      </c>
      <c r="AA214" s="137">
        <f>'Model Data Inputs'!$B$71*S214*L214</f>
        <v>32742.699999999997</v>
      </c>
      <c r="AB214" s="137">
        <f>L214*'Model Data Inputs'!$B$72</f>
        <v>4308.25</v>
      </c>
      <c r="AC214" s="137">
        <f>L214*'Model Data Inputs'!$B$73</f>
        <v>43082.499999999993</v>
      </c>
      <c r="AD214" s="137">
        <f>L214*'Model Data Inputs'!$B$74</f>
        <v>21541.249999999996</v>
      </c>
      <c r="AE214" s="137">
        <f>$I214*'Model Data Inputs'!$B$76</f>
        <v>2634.4808099999996</v>
      </c>
      <c r="AF214" s="137">
        <f>VLOOKUP($J214,'Student Activities MS&amp;HS Tables'!$M$7:$O$1267,3)</f>
        <v>39029.630000000005</v>
      </c>
      <c r="AG214" s="137">
        <f>VLOOKUP($K214,'Student Activities MS&amp;HS Tables'!$I$7:$K$3007,3)</f>
        <v>0</v>
      </c>
      <c r="AH214" s="137">
        <f t="shared" si="47"/>
        <v>41664.110810000006</v>
      </c>
      <c r="AI214" s="123">
        <f t="shared" si="53"/>
        <v>1930737.1609951882</v>
      </c>
      <c r="AJ214" s="123">
        <f>(('Model Data Inputs'!$B$90*(('Model Data Inputs'!$B$87*('School Level Inst. Resources'!I214/'School Level Inst. Resources'!L214))+('Model Data Inputs'!$C$87*(SUM('School Level Inst. Resources'!J214:K214)/'School Level Inst. Resources'!L214))))*T214*M214)</f>
        <v>181195.40900298936</v>
      </c>
      <c r="AK214" s="123">
        <f>(('Model Data Inputs'!$B$91*(('Model Data Inputs'!$B$87*('School Level Inst. Resources'!I214/'School Level Inst. Resources'!L214))+('Model Data Inputs'!$C$87*(SUM('School Level Inst. Resources'!J214:K214)/'School Level Inst. Resources'!L214))))*T214*N214)</f>
        <v>0</v>
      </c>
      <c r="AL214" s="137">
        <f>(K214*'Model Data Inputs'!$B$94)*T214</f>
        <v>0</v>
      </c>
      <c r="AM214" s="137">
        <f>K214*'Model Data Inputs'!$B$95</f>
        <v>0</v>
      </c>
      <c r="AN214" s="137">
        <f t="shared" si="54"/>
        <v>0</v>
      </c>
      <c r="AO214" s="137">
        <f>('School Level Inst. Resources'!K214*'Model Data Inputs'!$B$96)+('School Level Inst. Resources'!J214*'Model Data Inputs'!$B$97)</f>
        <v>1539.7749999999999</v>
      </c>
      <c r="AP214" s="137">
        <f>$L214*'Model Data Inputs'!$B$100</f>
        <v>6893.1999999999989</v>
      </c>
      <c r="AQ214" s="137">
        <f t="shared" si="55"/>
        <v>2120365.5449981778</v>
      </c>
      <c r="AR214" s="141">
        <f t="shared" si="48"/>
        <v>12304.099953566865</v>
      </c>
    </row>
    <row r="215" spans="1:44" s="40" customFormat="1" ht="12.75" customHeight="1" x14ac:dyDescent="0.2">
      <c r="A215" s="20" t="s">
        <v>66</v>
      </c>
      <c r="B215" s="20" t="s">
        <v>67</v>
      </c>
      <c r="C215" s="20" t="s">
        <v>796</v>
      </c>
      <c r="D215" s="20" t="s">
        <v>797</v>
      </c>
      <c r="E215" s="138" t="s">
        <v>357</v>
      </c>
      <c r="F215" s="138" t="str">
        <f>IF(AND(SUM('School Level ADM'!$F215:$J215)=0,SUM('School Level ADM'!$O215:$R215)=0,'School Level ADM'!$K215&gt;0,'School Level ADM'!$N215&gt;0),"T","F")</f>
        <v>F</v>
      </c>
      <c r="G215" s="138" t="str">
        <f>IF(AND(SUM('School Level ADM'!$M215:$R215)=0,'School Level ADM'!$L215&gt;0),"T","F")</f>
        <v>F</v>
      </c>
      <c r="H215" s="138" t="str">
        <f t="shared" si="42"/>
        <v>E</v>
      </c>
      <c r="I215" s="139">
        <f>IF($F215="T",SUM('School Level ADM'!$F215:$J215),IF($G215="T",SUM('School Level ADM'!$F215:$L215),SUM('School Level ADM'!$F215:$K215,0)))</f>
        <v>3.8506666666666667</v>
      </c>
      <c r="J215" s="139">
        <f>'School Level ADM'!$S215-$I215-$K215</f>
        <v>0</v>
      </c>
      <c r="K215" s="139">
        <f>IF(SUM('School Level ADM'!$N215:$R215)='School Level ADM'!$S215,SUM('School Level ADM'!$N215:$R215),IF(OR(SUM('School Level ADM'!$F215:$O215)='School Level ADM'!$S215,SUM('School Level ADM'!$G215:$O215)='School Level ADM'!$S215,SUM('School Level ADM'!$H215:$O215)='School Level ADM'!$S215,SUM('School Level ADM'!$I215:$O215)='School Level ADM'!$S215,SUM('School Level ADM'!$J215:$O215)='School Level ADM'!$S215,SUM('School Level ADM'!$K215:$O215)='School Level ADM'!$S215,SUM('School Level ADM'!$L215:$O215)='School Level ADM'!$S215,SUM('School Level ADM'!$M215:$O215)='School Level ADM'!$S215,SUM('School Level ADM'!$N215:$O215)='School Level ADM'!$S215),0,SUM('School Level ADM'!$O215:$R215)))</f>
        <v>0</v>
      </c>
      <c r="L215" s="139">
        <f t="shared" si="43"/>
        <v>3.8506666666666667</v>
      </c>
      <c r="M215" s="24">
        <f>'Student At-Risk and ELL Proxy'!S215</f>
        <v>2</v>
      </c>
      <c r="N215" s="24">
        <f>'Student At-Risk and ELL Proxy'!AH215</f>
        <v>0</v>
      </c>
      <c r="O215" s="136">
        <f t="shared" si="49"/>
        <v>5.6181407107604535</v>
      </c>
      <c r="P215" s="136" t="str">
        <f t="shared" si="50"/>
        <v/>
      </c>
      <c r="Q215" s="136" t="str">
        <f t="shared" si="51"/>
        <v/>
      </c>
      <c r="R215" s="136">
        <f t="shared" si="44"/>
        <v>5.6181407107604535</v>
      </c>
      <c r="S215" s="136">
        <f>IF(SUM(3515.4*((VLOOKUP($A215,'District Level ADM'!$A$4:$F$52,6,FALSE))^-0.327)/'Model Data Inputs'!$B$71)&lt;1,1,(3515.4*((VLOOKUP($A215,'District Level ADM'!$A$4:$F$52,6,FALSE))^-0.327)/'Model Data Inputs'!$B$71))</f>
        <v>1</v>
      </c>
      <c r="T215" s="136">
        <f>VLOOKUP($A215,'Regional Cost Adjustment'!$A$4:$C$52,3,FALSE)</f>
        <v>1.03</v>
      </c>
      <c r="U215" s="123">
        <f>((($I215/$L215)*'Model Data Inputs'!$B$85)+((SUM(J215:K215)/$L215)*'Model Data Inputs'!$C$85))*$R215*$T215</f>
        <v>36847.223779606218</v>
      </c>
      <c r="V215" s="140">
        <f>((($I215/$L215)*'Model Data Inputs'!$B$86)+((SUM(J215:K215)/$L215)*'Model Data Inputs'!$C$86))*$R215</f>
        <v>9509.4039696437794</v>
      </c>
      <c r="W215" s="140">
        <f t="shared" si="52"/>
        <v>46356.627749249994</v>
      </c>
      <c r="X215" s="140">
        <f t="shared" si="45"/>
        <v>141886.37636733701</v>
      </c>
      <c r="Y215" s="140">
        <f t="shared" si="46"/>
        <v>36617.54488577498</v>
      </c>
      <c r="Z215" s="123">
        <f>IF((SUM(X215:Y215))&lt;(AVERAGE('Elementary Size Adjustment'!$B$66,'Secondary Size Adjustment'!$B$66)),(AVERAGE('Elementary Size Adjustment'!$B$66,'Secondary Size Adjustment'!$B$66)),SUM(X215:Y215))</f>
        <v>178503.921253112</v>
      </c>
      <c r="AA215" s="137">
        <f>'Model Data Inputs'!$B$71*S215*L215</f>
        <v>731.62666666666667</v>
      </c>
      <c r="AB215" s="137">
        <f>L215*'Model Data Inputs'!$B$72</f>
        <v>96.266666666666666</v>
      </c>
      <c r="AC215" s="137">
        <f>L215*'Model Data Inputs'!$B$73</f>
        <v>962.66666666666663</v>
      </c>
      <c r="AD215" s="137">
        <f>L215*'Model Data Inputs'!$B$74</f>
        <v>481.33333333333331</v>
      </c>
      <c r="AE215" s="137">
        <f>$I215*'Model Data Inputs'!$B$76</f>
        <v>91.60736</v>
      </c>
      <c r="AF215" s="137">
        <f>VLOOKUP($J215,'Student Activities MS&amp;HS Tables'!$M$7:$O$1267,3)</f>
        <v>0</v>
      </c>
      <c r="AG215" s="137">
        <f>VLOOKUP($K215,'Student Activities MS&amp;HS Tables'!$I$7:$K$3007,3)</f>
        <v>0</v>
      </c>
      <c r="AH215" s="137">
        <f t="shared" si="47"/>
        <v>91.60736</v>
      </c>
      <c r="AI215" s="123">
        <f t="shared" si="53"/>
        <v>180867.42194644533</v>
      </c>
      <c r="AJ215" s="123">
        <f>(('Model Data Inputs'!$B$90*(('Model Data Inputs'!$B$87*('School Level Inst. Resources'!I215/'School Level Inst. Resources'!L215))+('Model Data Inputs'!$C$87*(SUM('School Level Inst. Resources'!J215:K215)/'School Level Inst. Resources'!L215))))*T215*M215)</f>
        <v>4981.2112871084719</v>
      </c>
      <c r="AK215" s="123">
        <f>(('Model Data Inputs'!$B$91*(('Model Data Inputs'!$B$87*('School Level Inst. Resources'!I215/'School Level Inst. Resources'!L215))+('Model Data Inputs'!$C$87*(SUM('School Level Inst. Resources'!J215:K215)/'School Level Inst. Resources'!L215))))*T215*N215)</f>
        <v>0</v>
      </c>
      <c r="AL215" s="137">
        <f>(K215*'Model Data Inputs'!$B$94)*T215</f>
        <v>0</v>
      </c>
      <c r="AM215" s="137">
        <f>K215*'Model Data Inputs'!$B$95</f>
        <v>0</v>
      </c>
      <c r="AN215" s="137">
        <f t="shared" si="54"/>
        <v>0</v>
      </c>
      <c r="AO215" s="137">
        <f>('School Level Inst. Resources'!K215*'Model Data Inputs'!$B$96)+('School Level Inst. Resources'!J215*'Model Data Inputs'!$B$97)</f>
        <v>0</v>
      </c>
      <c r="AP215" s="137">
        <f>$L215*'Model Data Inputs'!$B$100</f>
        <v>154.02666666666667</v>
      </c>
      <c r="AQ215" s="137">
        <f t="shared" si="55"/>
        <v>186002.65990022049</v>
      </c>
      <c r="AR215" s="141">
        <f t="shared" si="48"/>
        <v>48304.014863284407</v>
      </c>
    </row>
    <row r="216" spans="1:44" s="40" customFormat="1" ht="12.75" customHeight="1" x14ac:dyDescent="0.2">
      <c r="A216" s="20" t="s">
        <v>66</v>
      </c>
      <c r="B216" s="20" t="s">
        <v>67</v>
      </c>
      <c r="C216" s="20" t="s">
        <v>798</v>
      </c>
      <c r="D216" s="20" t="s">
        <v>799</v>
      </c>
      <c r="E216" s="138" t="s">
        <v>357</v>
      </c>
      <c r="F216" s="138" t="str">
        <f>IF(AND(SUM('School Level ADM'!$F216:$J216)=0,SUM('School Level ADM'!$O216:$R216)=0,'School Level ADM'!$K216&gt;0,'School Level ADM'!$N216&gt;0),"T","F")</f>
        <v>F</v>
      </c>
      <c r="G216" s="138" t="str">
        <f>IF(AND(SUM('School Level ADM'!$M216:$R216)=0,'School Level ADM'!$L216&gt;0),"T","F")</f>
        <v>F</v>
      </c>
      <c r="H216" s="138" t="str">
        <f t="shared" si="42"/>
        <v>E</v>
      </c>
      <c r="I216" s="139">
        <f>IF($F216="T",SUM('School Level ADM'!$F216:$J216),IF($G216="T",SUM('School Level ADM'!$F216:$L216),SUM('School Level ADM'!$F216:$K216,0)))</f>
        <v>9.2846666666666664</v>
      </c>
      <c r="J216" s="139">
        <f>'School Level ADM'!$S216-$I216-$K216</f>
        <v>0</v>
      </c>
      <c r="K216" s="139">
        <f>IF(SUM('School Level ADM'!$N216:$R216)='School Level ADM'!$S216,SUM('School Level ADM'!$N216:$R216),IF(OR(SUM('School Level ADM'!$F216:$O216)='School Level ADM'!$S216,SUM('School Level ADM'!$G216:$O216)='School Level ADM'!$S216,SUM('School Level ADM'!$H216:$O216)='School Level ADM'!$S216,SUM('School Level ADM'!$I216:$O216)='School Level ADM'!$S216,SUM('School Level ADM'!$J216:$O216)='School Level ADM'!$S216,SUM('School Level ADM'!$K216:$O216)='School Level ADM'!$S216,SUM('School Level ADM'!$L216:$O216)='School Level ADM'!$S216,SUM('School Level ADM'!$M216:$O216)='School Level ADM'!$S216,SUM('School Level ADM'!$N216:$O216)='School Level ADM'!$S216),0,SUM('School Level ADM'!$O216:$R216)))</f>
        <v>0</v>
      </c>
      <c r="L216" s="139">
        <f t="shared" si="43"/>
        <v>9.2846666666666664</v>
      </c>
      <c r="M216" s="24">
        <f>'Student At-Risk and ELL Proxy'!S216</f>
        <v>0</v>
      </c>
      <c r="N216" s="24">
        <f>'Student At-Risk and ELL Proxy'!AH216</f>
        <v>0</v>
      </c>
      <c r="O216" s="136">
        <f t="shared" si="49"/>
        <v>3.9579009064251265</v>
      </c>
      <c r="P216" s="136" t="str">
        <f t="shared" si="50"/>
        <v/>
      </c>
      <c r="Q216" s="136" t="str">
        <f t="shared" si="51"/>
        <v/>
      </c>
      <c r="R216" s="136">
        <f t="shared" si="44"/>
        <v>3.9579009064251265</v>
      </c>
      <c r="S216" s="136">
        <f>IF(SUM(3515.4*((VLOOKUP($A216,'District Level ADM'!$A$4:$F$52,6,FALSE))^-0.327)/'Model Data Inputs'!$B$71)&lt;1,1,(3515.4*((VLOOKUP($A216,'District Level ADM'!$A$4:$F$52,6,FALSE))^-0.327)/'Model Data Inputs'!$B$71))</f>
        <v>1</v>
      </c>
      <c r="T216" s="136">
        <f>VLOOKUP($A216,'Regional Cost Adjustment'!$A$4:$C$52,3,FALSE)</f>
        <v>1.03</v>
      </c>
      <c r="U216" s="123">
        <f>((($I216/$L216)*'Model Data Inputs'!$B$85)+((SUM(J216:K216)/$L216)*'Model Data Inputs'!$C$85))*$R216*$T216</f>
        <v>25958.349550987445</v>
      </c>
      <c r="V216" s="140">
        <f>((($I216/$L216)*'Model Data Inputs'!$B$86)+((SUM(J216:K216)/$L216)*'Model Data Inputs'!$C$86))*$R216</f>
        <v>6699.2409995942135</v>
      </c>
      <c r="W216" s="140">
        <f t="shared" si="52"/>
        <v>32657.590550581659</v>
      </c>
      <c r="X216" s="140">
        <f t="shared" si="45"/>
        <v>241014.62279773474</v>
      </c>
      <c r="Y216" s="140">
        <f t="shared" si="46"/>
        <v>62200.219600899072</v>
      </c>
      <c r="Z216" s="123">
        <f>IF((SUM(X216:Y216))&lt;(AVERAGE('Elementary Size Adjustment'!$B$66,'Secondary Size Adjustment'!$B$66)),(AVERAGE('Elementary Size Adjustment'!$B$66,'Secondary Size Adjustment'!$B$66)),SUM(X216:Y216))</f>
        <v>303214.84239863383</v>
      </c>
      <c r="AA216" s="137">
        <f>'Model Data Inputs'!$B$71*S216*L216</f>
        <v>1764.0866666666666</v>
      </c>
      <c r="AB216" s="137">
        <f>L216*'Model Data Inputs'!$B$72</f>
        <v>232.11666666666667</v>
      </c>
      <c r="AC216" s="137">
        <f>L216*'Model Data Inputs'!$B$73</f>
        <v>2321.1666666666665</v>
      </c>
      <c r="AD216" s="137">
        <f>L216*'Model Data Inputs'!$B$74</f>
        <v>1160.5833333333333</v>
      </c>
      <c r="AE216" s="137">
        <f>$I216*'Model Data Inputs'!$B$76</f>
        <v>220.88221999999999</v>
      </c>
      <c r="AF216" s="137">
        <f>VLOOKUP($J216,'Student Activities MS&amp;HS Tables'!$M$7:$O$1267,3)</f>
        <v>0</v>
      </c>
      <c r="AG216" s="137">
        <f>VLOOKUP($K216,'Student Activities MS&amp;HS Tables'!$I$7:$K$3007,3)</f>
        <v>0</v>
      </c>
      <c r="AH216" s="137">
        <f t="shared" si="47"/>
        <v>220.88221999999999</v>
      </c>
      <c r="AI216" s="123">
        <f t="shared" si="53"/>
        <v>308913.67795196717</v>
      </c>
      <c r="AJ216" s="123">
        <f>(('Model Data Inputs'!$B$90*(('Model Data Inputs'!$B$87*('School Level Inst. Resources'!I216/'School Level Inst. Resources'!L216))+('Model Data Inputs'!$C$87*(SUM('School Level Inst. Resources'!J216:K216)/'School Level Inst. Resources'!L216))))*T216*M216)</f>
        <v>0</v>
      </c>
      <c r="AK216" s="123">
        <f>(('Model Data Inputs'!$B$91*(('Model Data Inputs'!$B$87*('School Level Inst. Resources'!I216/'School Level Inst. Resources'!L216))+('Model Data Inputs'!$C$87*(SUM('School Level Inst. Resources'!J216:K216)/'School Level Inst. Resources'!L216))))*T216*N216)</f>
        <v>0</v>
      </c>
      <c r="AL216" s="137">
        <f>(K216*'Model Data Inputs'!$B$94)*T216</f>
        <v>0</v>
      </c>
      <c r="AM216" s="137">
        <f>K216*'Model Data Inputs'!$B$95</f>
        <v>0</v>
      </c>
      <c r="AN216" s="137">
        <f t="shared" si="54"/>
        <v>0</v>
      </c>
      <c r="AO216" s="137">
        <f>('School Level Inst. Resources'!K216*'Model Data Inputs'!$B$96)+('School Level Inst. Resources'!J216*'Model Data Inputs'!$B$97)</f>
        <v>0</v>
      </c>
      <c r="AP216" s="137">
        <f>$L216*'Model Data Inputs'!$B$100</f>
        <v>371.38666666666666</v>
      </c>
      <c r="AQ216" s="137">
        <f t="shared" si="55"/>
        <v>309285.06461863383</v>
      </c>
      <c r="AR216" s="141">
        <f t="shared" si="48"/>
        <v>33311.380550581656</v>
      </c>
    </row>
    <row r="217" spans="1:44" s="40" customFormat="1" ht="12.75" customHeight="1" x14ac:dyDescent="0.2">
      <c r="A217" s="20" t="s">
        <v>66</v>
      </c>
      <c r="B217" s="20" t="s">
        <v>67</v>
      </c>
      <c r="C217" s="20" t="s">
        <v>800</v>
      </c>
      <c r="D217" s="20" t="s">
        <v>801</v>
      </c>
      <c r="E217" s="138" t="s">
        <v>354</v>
      </c>
      <c r="F217" s="138" t="str">
        <f>IF(AND(SUM('School Level ADM'!$F217:$J217)=0,SUM('School Level ADM'!$O217:$R217)=0,'School Level ADM'!$K217&gt;0,'School Level ADM'!$N217&gt;0),"T","F")</f>
        <v>F</v>
      </c>
      <c r="G217" s="138" t="str">
        <f>IF(AND(SUM('School Level ADM'!$M217:$R217)=0,'School Level ADM'!$L217&gt;0),"T","F")</f>
        <v>F</v>
      </c>
      <c r="H217" s="138" t="str">
        <f t="shared" si="42"/>
        <v>E</v>
      </c>
      <c r="I217" s="139">
        <f>IF($F217="T",SUM('School Level ADM'!$F217:$J217),IF($G217="T",SUM('School Level ADM'!$F217:$L217),SUM('School Level ADM'!$F217:$K217,0)))</f>
        <v>323.82287719298245</v>
      </c>
      <c r="J217" s="139">
        <f>'School Level ADM'!$S217-$I217-$K217</f>
        <v>0</v>
      </c>
      <c r="K217" s="139">
        <f>IF(SUM('School Level ADM'!$N217:$R217)='School Level ADM'!$S217,SUM('School Level ADM'!$N217:$R217),IF(OR(SUM('School Level ADM'!$F217:$O217)='School Level ADM'!$S217,SUM('School Level ADM'!$G217:$O217)='School Level ADM'!$S217,SUM('School Level ADM'!$H217:$O217)='School Level ADM'!$S217,SUM('School Level ADM'!$I217:$O217)='School Level ADM'!$S217,SUM('School Level ADM'!$J217:$O217)='School Level ADM'!$S217,SUM('School Level ADM'!$K217:$O217)='School Level ADM'!$S217,SUM('School Level ADM'!$L217:$O217)='School Level ADM'!$S217,SUM('School Level ADM'!$M217:$O217)='School Level ADM'!$S217,SUM('School Level ADM'!$N217:$O217)='School Level ADM'!$S217),0,SUM('School Level ADM'!$O217:$R217)))</f>
        <v>0</v>
      </c>
      <c r="L217" s="139">
        <f t="shared" si="43"/>
        <v>323.82287719298245</v>
      </c>
      <c r="M217" s="24">
        <f>'Student At-Risk and ELL Proxy'!S217</f>
        <v>90.631578947368439</v>
      </c>
      <c r="N217" s="24">
        <f>'Student At-Risk and ELL Proxy'!AH217</f>
        <v>3</v>
      </c>
      <c r="O217" s="136">
        <f t="shared" si="49"/>
        <v>0.97</v>
      </c>
      <c r="P217" s="136" t="str">
        <f t="shared" si="50"/>
        <v/>
      </c>
      <c r="Q217" s="136" t="str">
        <f t="shared" si="51"/>
        <v/>
      </c>
      <c r="R217" s="136">
        <f t="shared" si="44"/>
        <v>0.97</v>
      </c>
      <c r="S217" s="136">
        <f>IF(SUM(3515.4*((VLOOKUP($A217,'District Level ADM'!$A$4:$F$52,6,FALSE))^-0.327)/'Model Data Inputs'!$B$71)&lt;1,1,(3515.4*((VLOOKUP($A217,'District Level ADM'!$A$4:$F$52,6,FALSE))^-0.327)/'Model Data Inputs'!$B$71))</f>
        <v>1</v>
      </c>
      <c r="T217" s="136">
        <f>VLOOKUP($A217,'Regional Cost Adjustment'!$A$4:$C$52,3,FALSE)</f>
        <v>1.03</v>
      </c>
      <c r="U217" s="123">
        <f>((($I217/$L217)*'Model Data Inputs'!$B$85)+((SUM(J217:K217)/$L217)*'Model Data Inputs'!$C$85))*$R217*$T217</f>
        <v>6361.8568680135695</v>
      </c>
      <c r="V217" s="140">
        <f>((($I217/$L217)*'Model Data Inputs'!$B$86)+((SUM(J217:K217)/$L217)*'Model Data Inputs'!$C$86))*$R217</f>
        <v>1641.8459994936507</v>
      </c>
      <c r="W217" s="140">
        <f t="shared" si="52"/>
        <v>8003.7028675072197</v>
      </c>
      <c r="X217" s="140">
        <f t="shared" si="45"/>
        <v>2060114.7952900901</v>
      </c>
      <c r="Y217" s="140">
        <f t="shared" si="46"/>
        <v>531667.29546382197</v>
      </c>
      <c r="Z217" s="123">
        <f>IF((SUM(X217:Y217))&lt;(AVERAGE('Elementary Size Adjustment'!$B$66,'Secondary Size Adjustment'!$B$66)),(AVERAGE('Elementary Size Adjustment'!$B$66,'Secondary Size Adjustment'!$B$66)),SUM(X217:Y217))</f>
        <v>2591782.090753912</v>
      </c>
      <c r="AA217" s="137">
        <f>'Model Data Inputs'!$B$71*S217*L217</f>
        <v>61526.346666666665</v>
      </c>
      <c r="AB217" s="137">
        <f>L217*'Model Data Inputs'!$B$72</f>
        <v>8095.5719298245613</v>
      </c>
      <c r="AC217" s="137">
        <f>L217*'Model Data Inputs'!$B$73</f>
        <v>80955.719298245618</v>
      </c>
      <c r="AD217" s="137">
        <f>L217*'Model Data Inputs'!$B$74</f>
        <v>40477.859649122809</v>
      </c>
      <c r="AE217" s="137">
        <f>$I217*'Model Data Inputs'!$B$76</f>
        <v>7703.7462484210519</v>
      </c>
      <c r="AF217" s="137">
        <f>VLOOKUP($J217,'Student Activities MS&amp;HS Tables'!$M$7:$O$1267,3)</f>
        <v>0</v>
      </c>
      <c r="AG217" s="137">
        <f>VLOOKUP($K217,'Student Activities MS&amp;HS Tables'!$I$7:$K$3007,3)</f>
        <v>0</v>
      </c>
      <c r="AH217" s="137">
        <f t="shared" si="47"/>
        <v>7703.7462484210519</v>
      </c>
      <c r="AI217" s="123">
        <f t="shared" si="53"/>
        <v>2790541.3345461925</v>
      </c>
      <c r="AJ217" s="123">
        <f>(('Model Data Inputs'!$B$90*(('Model Data Inputs'!$B$87*('School Level Inst. Resources'!I217/'School Level Inst. Resources'!L217))+('Model Data Inputs'!$C$87*(SUM('School Level Inst. Resources'!J217:K217)/'School Level Inst. Resources'!L217))))*T217*M217)</f>
        <v>225727.52201054711</v>
      </c>
      <c r="AK217" s="123">
        <f>(('Model Data Inputs'!$B$91*(('Model Data Inputs'!$B$87*('School Level Inst. Resources'!I217/'School Level Inst. Resources'!L217))+('Model Data Inputs'!$C$87*(SUM('School Level Inst. Resources'!J217:K217)/'School Level Inst. Resources'!L217))))*T217*N217)</f>
        <v>7471.8169306627078</v>
      </c>
      <c r="AL217" s="137">
        <f>(K217*'Model Data Inputs'!$B$94)*T217</f>
        <v>0</v>
      </c>
      <c r="AM217" s="137">
        <f>K217*'Model Data Inputs'!$B$95</f>
        <v>0</v>
      </c>
      <c r="AN217" s="137">
        <f t="shared" si="54"/>
        <v>0</v>
      </c>
      <c r="AO217" s="137">
        <f>('School Level Inst. Resources'!K217*'Model Data Inputs'!$B$96)+('School Level Inst. Resources'!J217*'Model Data Inputs'!$B$97)</f>
        <v>0</v>
      </c>
      <c r="AP217" s="137">
        <f>$L217*'Model Data Inputs'!$B$100</f>
        <v>12952.915087719299</v>
      </c>
      <c r="AQ217" s="137">
        <f t="shared" si="55"/>
        <v>3036693.5885751219</v>
      </c>
      <c r="AR217" s="141">
        <f t="shared" si="48"/>
        <v>9377.6375989810094</v>
      </c>
    </row>
    <row r="218" spans="1:44" s="40" customFormat="1" ht="12.75" customHeight="1" x14ac:dyDescent="0.2">
      <c r="A218" s="20" t="s">
        <v>66</v>
      </c>
      <c r="B218" s="20" t="s">
        <v>67</v>
      </c>
      <c r="C218" s="20" t="s">
        <v>802</v>
      </c>
      <c r="D218" s="20" t="s">
        <v>803</v>
      </c>
      <c r="E218" s="138" t="s">
        <v>365</v>
      </c>
      <c r="F218" s="138" t="str">
        <f>IF(AND(SUM('School Level ADM'!$F218:$J218)=0,SUM('School Level ADM'!$O218:$R218)=0,'School Level ADM'!$K218&gt;0,'School Level ADM'!$N218&gt;0),"T","F")</f>
        <v>F</v>
      </c>
      <c r="G218" s="138" t="str">
        <f>IF(AND(SUM('School Level ADM'!$M218:$R218)=0,'School Level ADM'!$L218&gt;0),"T","F")</f>
        <v>F</v>
      </c>
      <c r="H218" s="138" t="str">
        <f t="shared" si="42"/>
        <v>E</v>
      </c>
      <c r="I218" s="139">
        <f>IF($F218="T",SUM('School Level ADM'!$F218:$J218),IF($G218="T",SUM('School Level ADM'!$F218:$L218),SUM('School Level ADM'!$F218:$K218,0)))</f>
        <v>211.72887719298245</v>
      </c>
      <c r="J218" s="139">
        <f>'School Level ADM'!$S218-$I218-$K218</f>
        <v>0</v>
      </c>
      <c r="K218" s="139">
        <f>IF(SUM('School Level ADM'!$N218:$R218)='School Level ADM'!$S218,SUM('School Level ADM'!$N218:$R218),IF(OR(SUM('School Level ADM'!$F218:$O218)='School Level ADM'!$S218,SUM('School Level ADM'!$G218:$O218)='School Level ADM'!$S218,SUM('School Level ADM'!$H218:$O218)='School Level ADM'!$S218,SUM('School Level ADM'!$I218:$O218)='School Level ADM'!$S218,SUM('School Level ADM'!$J218:$O218)='School Level ADM'!$S218,SUM('School Level ADM'!$K218:$O218)='School Level ADM'!$S218,SUM('School Level ADM'!$L218:$O218)='School Level ADM'!$S218,SUM('School Level ADM'!$M218:$O218)='School Level ADM'!$S218,SUM('School Level ADM'!$N218:$O218)='School Level ADM'!$S218),0,SUM('School Level ADM'!$O218:$R218)))</f>
        <v>0</v>
      </c>
      <c r="L218" s="139">
        <f t="shared" si="43"/>
        <v>211.72887719298245</v>
      </c>
      <c r="M218" s="24">
        <f>'Student At-Risk and ELL Proxy'!S218</f>
        <v>134.63157894736844</v>
      </c>
      <c r="N218" s="24">
        <f>'Student At-Risk and ELL Proxy'!AH218</f>
        <v>11</v>
      </c>
      <c r="O218" s="136">
        <f t="shared" si="49"/>
        <v>1.1401852882175851</v>
      </c>
      <c r="P218" s="136" t="str">
        <f t="shared" si="50"/>
        <v/>
      </c>
      <c r="Q218" s="136" t="str">
        <f t="shared" si="51"/>
        <v/>
      </c>
      <c r="R218" s="136">
        <f t="shared" si="44"/>
        <v>1.1401852882175851</v>
      </c>
      <c r="S218" s="136">
        <f>IF(SUM(3515.4*((VLOOKUP($A218,'District Level ADM'!$A$4:$F$52,6,FALSE))^-0.327)/'Model Data Inputs'!$B$71)&lt;1,1,(3515.4*((VLOOKUP($A218,'District Level ADM'!$A$4:$F$52,6,FALSE))^-0.327)/'Model Data Inputs'!$B$71))</f>
        <v>1</v>
      </c>
      <c r="T218" s="136">
        <f>VLOOKUP($A218,'Regional Cost Adjustment'!$A$4:$C$52,3,FALSE)</f>
        <v>1.03</v>
      </c>
      <c r="U218" s="123">
        <f>((($I218/$L218)*'Model Data Inputs'!$B$85)+((SUM(J218:K218)/$L218)*'Model Data Inputs'!$C$85))*$R218*$T218</f>
        <v>7478.0367078918298</v>
      </c>
      <c r="V218" s="140">
        <f>((($I218/$L218)*'Model Data Inputs'!$B$86)+((SUM(J218:K218)/$L218)*'Model Data Inputs'!$C$86))*$R218</f>
        <v>1929.9058290119146</v>
      </c>
      <c r="W218" s="140">
        <f t="shared" si="52"/>
        <v>9407.9425369037453</v>
      </c>
      <c r="X218" s="140">
        <f t="shared" si="45"/>
        <v>1583316.315769844</v>
      </c>
      <c r="Y218" s="140">
        <f t="shared" si="46"/>
        <v>408616.79426488467</v>
      </c>
      <c r="Z218" s="123">
        <f>IF((SUM(X218:Y218))&lt;(AVERAGE('Elementary Size Adjustment'!$B$66,'Secondary Size Adjustment'!$B$66)),(AVERAGE('Elementary Size Adjustment'!$B$66,'Secondary Size Adjustment'!$B$66)),SUM(X218:Y218))</f>
        <v>1991933.1100347287</v>
      </c>
      <c r="AA218" s="137">
        <f>'Model Data Inputs'!$B$71*S218*L218</f>
        <v>40228.486666666664</v>
      </c>
      <c r="AB218" s="137">
        <f>L218*'Model Data Inputs'!$B$72</f>
        <v>5293.2219298245609</v>
      </c>
      <c r="AC218" s="137">
        <f>L218*'Model Data Inputs'!$B$73</f>
        <v>52932.219298245611</v>
      </c>
      <c r="AD218" s="137">
        <f>L218*'Model Data Inputs'!$B$74</f>
        <v>26466.109649122805</v>
      </c>
      <c r="AE218" s="137">
        <f>$I218*'Model Data Inputs'!$B$76</f>
        <v>5037.0299884210526</v>
      </c>
      <c r="AF218" s="137">
        <f>VLOOKUP($J218,'Student Activities MS&amp;HS Tables'!$M$7:$O$1267,3)</f>
        <v>0</v>
      </c>
      <c r="AG218" s="137">
        <f>VLOOKUP($K218,'Student Activities MS&amp;HS Tables'!$I$7:$K$3007,3)</f>
        <v>0</v>
      </c>
      <c r="AH218" s="137">
        <f t="shared" si="47"/>
        <v>5037.0299884210526</v>
      </c>
      <c r="AI218" s="123">
        <f t="shared" si="53"/>
        <v>2121890.1775670093</v>
      </c>
      <c r="AJ218" s="123">
        <f>(('Model Data Inputs'!$B$90*(('Model Data Inputs'!$B$87*('School Level Inst. Resources'!I218/'School Level Inst. Resources'!L218))+('Model Data Inputs'!$C$87*(SUM('School Level Inst. Resources'!J218:K218)/'School Level Inst. Resources'!L218))))*T218*M218)</f>
        <v>335314.1703269335</v>
      </c>
      <c r="AK218" s="123">
        <f>(('Model Data Inputs'!$B$91*(('Model Data Inputs'!$B$87*('School Level Inst. Resources'!I218/'School Level Inst. Resources'!L218))+('Model Data Inputs'!$C$87*(SUM('School Level Inst. Resources'!J218:K218)/'School Level Inst. Resources'!L218))))*T218*N218)</f>
        <v>27396.662079096597</v>
      </c>
      <c r="AL218" s="137">
        <f>(K218*'Model Data Inputs'!$B$94)*T218</f>
        <v>0</v>
      </c>
      <c r="AM218" s="137">
        <f>K218*'Model Data Inputs'!$B$95</f>
        <v>0</v>
      </c>
      <c r="AN218" s="137">
        <f t="shared" si="54"/>
        <v>0</v>
      </c>
      <c r="AO218" s="137">
        <f>('School Level Inst. Resources'!K218*'Model Data Inputs'!$B$96)+('School Level Inst. Resources'!J218*'Model Data Inputs'!$B$97)</f>
        <v>0</v>
      </c>
      <c r="AP218" s="137">
        <f>$L218*'Model Data Inputs'!$B$100</f>
        <v>8469.1550877192985</v>
      </c>
      <c r="AQ218" s="137">
        <f t="shared" si="55"/>
        <v>2493070.1650607591</v>
      </c>
      <c r="AR218" s="141">
        <f t="shared" si="48"/>
        <v>11774.823529567129</v>
      </c>
    </row>
    <row r="219" spans="1:44" s="40" customFormat="1" ht="12.75" customHeight="1" x14ac:dyDescent="0.2">
      <c r="A219" s="20" t="s">
        <v>66</v>
      </c>
      <c r="B219" s="20" t="s">
        <v>67</v>
      </c>
      <c r="C219" s="20" t="s">
        <v>804</v>
      </c>
      <c r="D219" s="20" t="s">
        <v>805</v>
      </c>
      <c r="E219" s="138" t="s">
        <v>354</v>
      </c>
      <c r="F219" s="138" t="str">
        <f>IF(AND(SUM('School Level ADM'!$F219:$J219)=0,SUM('School Level ADM'!$O219:$R219)=0,'School Level ADM'!$K219&gt;0,'School Level ADM'!$N219&gt;0),"T","F")</f>
        <v>F</v>
      </c>
      <c r="G219" s="138" t="str">
        <f>IF(AND(SUM('School Level ADM'!$M219:$R219)=0,'School Level ADM'!$L219&gt;0),"T","F")</f>
        <v>F</v>
      </c>
      <c r="H219" s="138" t="str">
        <f t="shared" si="42"/>
        <v>E</v>
      </c>
      <c r="I219" s="139">
        <f>IF($F219="T",SUM('School Level ADM'!$F219:$J219),IF($G219="T",SUM('School Level ADM'!$F219:$L219),SUM('School Level ADM'!$F219:$K219,0)))</f>
        <v>435.38821052631579</v>
      </c>
      <c r="J219" s="139">
        <f>'School Level ADM'!$S219-$I219-$K219</f>
        <v>0</v>
      </c>
      <c r="K219" s="139">
        <f>IF(SUM('School Level ADM'!$N219:$R219)='School Level ADM'!$S219,SUM('School Level ADM'!$N219:$R219),IF(OR(SUM('School Level ADM'!$F219:$O219)='School Level ADM'!$S219,SUM('School Level ADM'!$G219:$O219)='School Level ADM'!$S219,SUM('School Level ADM'!$H219:$O219)='School Level ADM'!$S219,SUM('School Level ADM'!$I219:$O219)='School Level ADM'!$S219,SUM('School Level ADM'!$J219:$O219)='School Level ADM'!$S219,SUM('School Level ADM'!$K219:$O219)='School Level ADM'!$S219,SUM('School Level ADM'!$L219:$O219)='School Level ADM'!$S219,SUM('School Level ADM'!$M219:$O219)='School Level ADM'!$S219,SUM('School Level ADM'!$N219:$O219)='School Level ADM'!$S219),0,SUM('School Level ADM'!$O219:$R219)))</f>
        <v>0</v>
      </c>
      <c r="L219" s="139">
        <f t="shared" si="43"/>
        <v>435.38821052631579</v>
      </c>
      <c r="M219" s="24">
        <f>'Student At-Risk and ELL Proxy'!S219</f>
        <v>122.63157894736844</v>
      </c>
      <c r="N219" s="24">
        <f>'Student At-Risk and ELL Proxy'!AH219</f>
        <v>7</v>
      </c>
      <c r="O219" s="136">
        <f t="shared" si="49"/>
        <v>0.97</v>
      </c>
      <c r="P219" s="136" t="str">
        <f t="shared" si="50"/>
        <v/>
      </c>
      <c r="Q219" s="136" t="str">
        <f t="shared" si="51"/>
        <v/>
      </c>
      <c r="R219" s="136">
        <f t="shared" si="44"/>
        <v>0.97</v>
      </c>
      <c r="S219" s="136">
        <f>IF(SUM(3515.4*((VLOOKUP($A219,'District Level ADM'!$A$4:$F$52,6,FALSE))^-0.327)/'Model Data Inputs'!$B$71)&lt;1,1,(3515.4*((VLOOKUP($A219,'District Level ADM'!$A$4:$F$52,6,FALSE))^-0.327)/'Model Data Inputs'!$B$71))</f>
        <v>1</v>
      </c>
      <c r="T219" s="136">
        <f>VLOOKUP($A219,'Regional Cost Adjustment'!$A$4:$C$52,3,FALSE)</f>
        <v>1.03</v>
      </c>
      <c r="U219" s="123">
        <f>((($I219/$L219)*'Model Data Inputs'!$B$85)+((SUM(J219:K219)/$L219)*'Model Data Inputs'!$C$85))*$R219*$T219</f>
        <v>6361.8568680135695</v>
      </c>
      <c r="V219" s="140">
        <f>((($I219/$L219)*'Model Data Inputs'!$B$86)+((SUM(J219:K219)/$L219)*'Model Data Inputs'!$C$86))*$R219</f>
        <v>1641.8459994936507</v>
      </c>
      <c r="W219" s="140">
        <f t="shared" si="52"/>
        <v>8003.7028675072197</v>
      </c>
      <c r="X219" s="140">
        <f t="shared" si="45"/>
        <v>2769877.4773889799</v>
      </c>
      <c r="Y219" s="140">
        <f t="shared" si="46"/>
        <v>714840.39167933096</v>
      </c>
      <c r="Z219" s="123">
        <f>IF((SUM(X219:Y219))&lt;(AVERAGE('Elementary Size Adjustment'!$B$66,'Secondary Size Adjustment'!$B$66)),(AVERAGE('Elementary Size Adjustment'!$B$66,'Secondary Size Adjustment'!$B$66)),SUM(X219:Y219))</f>
        <v>3484717.8690683106</v>
      </c>
      <c r="AA219" s="137">
        <f>'Model Data Inputs'!$B$71*S219*L219</f>
        <v>82723.759999999995</v>
      </c>
      <c r="AB219" s="137">
        <f>L219*'Model Data Inputs'!$B$72</f>
        <v>10884.705263157895</v>
      </c>
      <c r="AC219" s="137">
        <f>L219*'Model Data Inputs'!$B$73</f>
        <v>108847.05263157895</v>
      </c>
      <c r="AD219" s="137">
        <f>L219*'Model Data Inputs'!$B$74</f>
        <v>54423.526315789473</v>
      </c>
      <c r="AE219" s="137">
        <f>$I219*'Model Data Inputs'!$B$76</f>
        <v>10357.885528421053</v>
      </c>
      <c r="AF219" s="137">
        <f>VLOOKUP($J219,'Student Activities MS&amp;HS Tables'!$M$7:$O$1267,3)</f>
        <v>0</v>
      </c>
      <c r="AG219" s="137">
        <f>VLOOKUP($K219,'Student Activities MS&amp;HS Tables'!$I$7:$K$3007,3)</f>
        <v>0</v>
      </c>
      <c r="AH219" s="137">
        <f t="shared" si="47"/>
        <v>10357.885528421053</v>
      </c>
      <c r="AI219" s="123">
        <f t="shared" si="53"/>
        <v>3751954.7988072578</v>
      </c>
      <c r="AJ219" s="123">
        <f>(('Model Data Inputs'!$B$90*(('Model Data Inputs'!$B$87*('School Level Inst. Resources'!I219/'School Level Inst. Resources'!L219))+('Model Data Inputs'!$C$87*(SUM('School Level Inst. Resources'!J219:K219)/'School Level Inst. Resources'!L219))))*T219*M219)</f>
        <v>305426.90260428266</v>
      </c>
      <c r="AK219" s="123">
        <f>(('Model Data Inputs'!$B$91*(('Model Data Inputs'!$B$87*('School Level Inst. Resources'!I219/'School Level Inst. Resources'!L219))+('Model Data Inputs'!$C$87*(SUM('School Level Inst. Resources'!J219:K219)/'School Level Inst. Resources'!L219))))*T219*N219)</f>
        <v>17434.239504879653</v>
      </c>
      <c r="AL219" s="137">
        <f>(K219*'Model Data Inputs'!$B$94)*T219</f>
        <v>0</v>
      </c>
      <c r="AM219" s="137">
        <f>K219*'Model Data Inputs'!$B$95</f>
        <v>0</v>
      </c>
      <c r="AN219" s="137">
        <f t="shared" si="54"/>
        <v>0</v>
      </c>
      <c r="AO219" s="137">
        <f>('School Level Inst. Resources'!K219*'Model Data Inputs'!$B$96)+('School Level Inst. Resources'!J219*'Model Data Inputs'!$B$97)</f>
        <v>0</v>
      </c>
      <c r="AP219" s="137">
        <f>$L219*'Model Data Inputs'!$B$100</f>
        <v>17415.52842105263</v>
      </c>
      <c r="AQ219" s="137">
        <f t="shared" si="55"/>
        <v>4092231.4693374732</v>
      </c>
      <c r="AR219" s="141">
        <f t="shared" si="48"/>
        <v>9399.0406042244686</v>
      </c>
    </row>
    <row r="220" spans="1:44" s="40" customFormat="1" ht="12.75" customHeight="1" x14ac:dyDescent="0.2">
      <c r="A220" s="20" t="s">
        <v>66</v>
      </c>
      <c r="B220" s="20" t="s">
        <v>67</v>
      </c>
      <c r="C220" s="20" t="s">
        <v>806</v>
      </c>
      <c r="D220" s="20" t="s">
        <v>807</v>
      </c>
      <c r="E220" s="138" t="s">
        <v>365</v>
      </c>
      <c r="F220" s="138" t="str">
        <f>IF(AND(SUM('School Level ADM'!$F220:$J220)=0,SUM('School Level ADM'!$O220:$R220)=0,'School Level ADM'!$K220&gt;0,'School Level ADM'!$N220&gt;0),"T","F")</f>
        <v>F</v>
      </c>
      <c r="G220" s="138" t="str">
        <f>IF(AND(SUM('School Level ADM'!$M220:$R220)=0,'School Level ADM'!$L220&gt;0),"T","F")</f>
        <v>F</v>
      </c>
      <c r="H220" s="138" t="str">
        <f t="shared" si="42"/>
        <v>E</v>
      </c>
      <c r="I220" s="139">
        <f>IF($F220="T",SUM('School Level ADM'!$F220:$J220),IF($G220="T",SUM('School Level ADM'!$F220:$L220),SUM('School Level ADM'!$F220:$K220,0)))</f>
        <v>227.35354385964911</v>
      </c>
      <c r="J220" s="139">
        <f>'School Level ADM'!$S220-$I220-$K220</f>
        <v>0</v>
      </c>
      <c r="K220" s="139">
        <f>IF(SUM('School Level ADM'!$N220:$R220)='School Level ADM'!$S220,SUM('School Level ADM'!$N220:$R220),IF(OR(SUM('School Level ADM'!$F220:$O220)='School Level ADM'!$S220,SUM('School Level ADM'!$G220:$O220)='School Level ADM'!$S220,SUM('School Level ADM'!$H220:$O220)='School Level ADM'!$S220,SUM('School Level ADM'!$I220:$O220)='School Level ADM'!$S220,SUM('School Level ADM'!$J220:$O220)='School Level ADM'!$S220,SUM('School Level ADM'!$K220:$O220)='School Level ADM'!$S220,SUM('School Level ADM'!$L220:$O220)='School Level ADM'!$S220,SUM('School Level ADM'!$M220:$O220)='School Level ADM'!$S220,SUM('School Level ADM'!$N220:$O220)='School Level ADM'!$S220),0,SUM('School Level ADM'!$O220:$R220)))</f>
        <v>0</v>
      </c>
      <c r="L220" s="139">
        <f t="shared" si="43"/>
        <v>227.35354385964911</v>
      </c>
      <c r="M220" s="24">
        <f>'Student At-Risk and ELL Proxy'!S220</f>
        <v>141.63157894736844</v>
      </c>
      <c r="N220" s="24">
        <f>'Student At-Risk and ELL Proxy'!AH220</f>
        <v>4</v>
      </c>
      <c r="O220" s="136">
        <f t="shared" si="49"/>
        <v>1.1083288108467317</v>
      </c>
      <c r="P220" s="136" t="str">
        <f t="shared" si="50"/>
        <v/>
      </c>
      <c r="Q220" s="136" t="str">
        <f t="shared" si="51"/>
        <v/>
      </c>
      <c r="R220" s="136">
        <f t="shared" si="44"/>
        <v>1.1083288108467317</v>
      </c>
      <c r="S220" s="136">
        <f>IF(SUM(3515.4*((VLOOKUP($A220,'District Level ADM'!$A$4:$F$52,6,FALSE))^-0.327)/'Model Data Inputs'!$B$71)&lt;1,1,(3515.4*((VLOOKUP($A220,'District Level ADM'!$A$4:$F$52,6,FALSE))^-0.327)/'Model Data Inputs'!$B$71))</f>
        <v>1</v>
      </c>
      <c r="T220" s="136">
        <f>VLOOKUP($A220,'Regional Cost Adjustment'!$A$4:$C$52,3,FALSE)</f>
        <v>1.03</v>
      </c>
      <c r="U220" s="123">
        <f>((($I220/$L220)*'Model Data Inputs'!$B$85)+((SUM(J220:K220)/$L220)*'Model Data Inputs'!$C$85))*$R220*$T220</f>
        <v>7269.1023271160757</v>
      </c>
      <c r="V220" s="140">
        <f>((($I220/$L220)*'Model Data Inputs'!$B$86)+((SUM(J220:K220)/$L220)*'Model Data Inputs'!$C$86))*$R220</f>
        <v>1875.9847672291355</v>
      </c>
      <c r="W220" s="140">
        <f t="shared" si="52"/>
        <v>9145.0870943452119</v>
      </c>
      <c r="X220" s="140">
        <f t="shared" si="45"/>
        <v>1652656.1747482622</v>
      </c>
      <c r="Y220" s="140">
        <f t="shared" si="46"/>
        <v>426511.78505626286</v>
      </c>
      <c r="Z220" s="123">
        <f>IF((SUM(X220:Y220))&lt;(AVERAGE('Elementary Size Adjustment'!$B$66,'Secondary Size Adjustment'!$B$66)),(AVERAGE('Elementary Size Adjustment'!$B$66,'Secondary Size Adjustment'!$B$66)),SUM(X220:Y220))</f>
        <v>2079167.9598045251</v>
      </c>
      <c r="AA220" s="137">
        <f>'Model Data Inputs'!$B$71*S220*L220</f>
        <v>43197.173333333332</v>
      </c>
      <c r="AB220" s="137">
        <f>L220*'Model Data Inputs'!$B$72</f>
        <v>5683.8385964912277</v>
      </c>
      <c r="AC220" s="137">
        <f>L220*'Model Data Inputs'!$B$73</f>
        <v>56838.385964912275</v>
      </c>
      <c r="AD220" s="137">
        <f>L220*'Model Data Inputs'!$B$74</f>
        <v>28419.192982456138</v>
      </c>
      <c r="AE220" s="137">
        <f>$I220*'Model Data Inputs'!$B$76</f>
        <v>5408.740808421052</v>
      </c>
      <c r="AF220" s="137">
        <f>VLOOKUP($J220,'Student Activities MS&amp;HS Tables'!$M$7:$O$1267,3)</f>
        <v>0</v>
      </c>
      <c r="AG220" s="137">
        <f>VLOOKUP($K220,'Student Activities MS&amp;HS Tables'!$I$7:$K$3007,3)</f>
        <v>0</v>
      </c>
      <c r="AH220" s="137">
        <f t="shared" si="47"/>
        <v>5408.740808421052</v>
      </c>
      <c r="AI220" s="123">
        <f t="shared" si="53"/>
        <v>2218715.2914901394</v>
      </c>
      <c r="AJ220" s="123">
        <f>(('Model Data Inputs'!$B$90*(('Model Data Inputs'!$B$87*('School Level Inst. Resources'!I220/'School Level Inst. Resources'!L220))+('Model Data Inputs'!$C$87*(SUM('School Level Inst. Resources'!J220:K220)/'School Level Inst. Resources'!L220))))*T220*M220)</f>
        <v>352748.40983181313</v>
      </c>
      <c r="AK220" s="123">
        <f>(('Model Data Inputs'!$B$91*(('Model Data Inputs'!$B$87*('School Level Inst. Resources'!I220/'School Level Inst. Resources'!L220))+('Model Data Inputs'!$C$87*(SUM('School Level Inst. Resources'!J220:K220)/'School Level Inst. Resources'!L220))))*T220*N220)</f>
        <v>9962.4225742169438</v>
      </c>
      <c r="AL220" s="137">
        <f>(K220*'Model Data Inputs'!$B$94)*T220</f>
        <v>0</v>
      </c>
      <c r="AM220" s="137">
        <f>K220*'Model Data Inputs'!$B$95</f>
        <v>0</v>
      </c>
      <c r="AN220" s="137">
        <f t="shared" si="54"/>
        <v>0</v>
      </c>
      <c r="AO220" s="137">
        <f>('School Level Inst. Resources'!K220*'Model Data Inputs'!$B$96)+('School Level Inst. Resources'!J220*'Model Data Inputs'!$B$97)</f>
        <v>0</v>
      </c>
      <c r="AP220" s="137">
        <f>$L220*'Model Data Inputs'!$B$100</f>
        <v>9094.1417543859643</v>
      </c>
      <c r="AQ220" s="137">
        <f t="shared" si="55"/>
        <v>2590520.2656505555</v>
      </c>
      <c r="AR220" s="141">
        <f t="shared" si="48"/>
        <v>11394.237457981948</v>
      </c>
    </row>
    <row r="221" spans="1:44" s="40" customFormat="1" ht="12.75" customHeight="1" x14ac:dyDescent="0.2">
      <c r="A221" s="20" t="s">
        <v>66</v>
      </c>
      <c r="B221" s="20" t="s">
        <v>67</v>
      </c>
      <c r="C221" s="20" t="s">
        <v>808</v>
      </c>
      <c r="D221" s="20" t="s">
        <v>809</v>
      </c>
      <c r="E221" s="138" t="s">
        <v>376</v>
      </c>
      <c r="F221" s="138" t="str">
        <f>IF(AND(SUM('School Level ADM'!$F221:$J221)=0,SUM('School Level ADM'!$O221:$R221)=0,'School Level ADM'!$K221&gt;0,'School Level ADM'!$N221&gt;0),"T","F")</f>
        <v>F</v>
      </c>
      <c r="G221" s="138" t="str">
        <f>IF(AND(SUM('School Level ADM'!$M221:$R221)=0,'School Level ADM'!$L221&gt;0),"T","F")</f>
        <v>F</v>
      </c>
      <c r="H221" s="138" t="str">
        <f t="shared" si="42"/>
        <v>M</v>
      </c>
      <c r="I221" s="139">
        <f>IF($F221="T",SUM('School Level ADM'!$F221:$J221),IF($G221="T",SUM('School Level ADM'!$F221:$L221),SUM('School Level ADM'!$F221:$K221,0)))</f>
        <v>112.7932105263158</v>
      </c>
      <c r="J221" s="139">
        <f>'School Level ADM'!$S221-$I221-$K221</f>
        <v>51.753999999999976</v>
      </c>
      <c r="K221" s="139">
        <f>IF(SUM('School Level ADM'!$N221:$R221)='School Level ADM'!$S221,SUM('School Level ADM'!$N221:$R221),IF(OR(SUM('School Level ADM'!$F221:$O221)='School Level ADM'!$S221,SUM('School Level ADM'!$G221:$O221)='School Level ADM'!$S221,SUM('School Level ADM'!$H221:$O221)='School Level ADM'!$S221,SUM('School Level ADM'!$I221:$O221)='School Level ADM'!$S221,SUM('School Level ADM'!$J221:$O221)='School Level ADM'!$S221,SUM('School Level ADM'!$K221:$O221)='School Level ADM'!$S221,SUM('School Level ADM'!$L221:$O221)='School Level ADM'!$S221,SUM('School Level ADM'!$M221:$O221)='School Level ADM'!$S221,SUM('School Level ADM'!$N221:$O221)='School Level ADM'!$S221),0,SUM('School Level ADM'!$O221:$R221)))</f>
        <v>0</v>
      </c>
      <c r="L221" s="139">
        <f t="shared" si="43"/>
        <v>164.54721052631578</v>
      </c>
      <c r="M221" s="24">
        <f>'Student At-Risk and ELL Proxy'!S221</f>
        <v>40.631578947368425</v>
      </c>
      <c r="N221" s="24">
        <f>'Student At-Risk and ELL Proxy'!AH221</f>
        <v>5</v>
      </c>
      <c r="O221" s="136">
        <f t="shared" si="49"/>
        <v>1.2605273755152868</v>
      </c>
      <c r="P221" s="136">
        <f t="shared" si="50"/>
        <v>1.5218951051477376</v>
      </c>
      <c r="Q221" s="136" t="str">
        <f t="shared" si="51"/>
        <v/>
      </c>
      <c r="R221" s="136">
        <f t="shared" si="44"/>
        <v>1.3427337249035951</v>
      </c>
      <c r="S221" s="136">
        <f>IF(SUM(3515.4*((VLOOKUP($A221,'District Level ADM'!$A$4:$F$52,6,FALSE))^-0.327)/'Model Data Inputs'!$B$71)&lt;1,1,(3515.4*((VLOOKUP($A221,'District Level ADM'!$A$4:$F$52,6,FALSE))^-0.327)/'Model Data Inputs'!$B$71))</f>
        <v>1</v>
      </c>
      <c r="T221" s="136">
        <f>VLOOKUP($A221,'Regional Cost Adjustment'!$A$4:$C$52,3,FALSE)</f>
        <v>1.03</v>
      </c>
      <c r="U221" s="123">
        <f>((($I221/$L221)*'Model Data Inputs'!$B$85)+((SUM(J221:K221)/$L221)*'Model Data Inputs'!$C$85))*$R221*$T221</f>
        <v>8378.0953882239355</v>
      </c>
      <c r="V221" s="140">
        <f>((($I221/$L221)*'Model Data Inputs'!$B$86)+((SUM(J221:K221)/$L221)*'Model Data Inputs'!$C$86))*$R221</f>
        <v>2163.1447005666605</v>
      </c>
      <c r="W221" s="140">
        <f t="shared" si="52"/>
        <v>10541.240088790597</v>
      </c>
      <c r="X221" s="140">
        <f t="shared" si="45"/>
        <v>1378592.2256556393</v>
      </c>
      <c r="Y221" s="140">
        <f t="shared" si="46"/>
        <v>355939.42644302658</v>
      </c>
      <c r="Z221" s="123">
        <f>IF((SUM(X221:Y221))&lt;(AVERAGE('Elementary Size Adjustment'!$B$66,'Secondary Size Adjustment'!$B$66)),(AVERAGE('Elementary Size Adjustment'!$B$66,'Secondary Size Adjustment'!$B$66)),SUM(X221:Y221))</f>
        <v>1734531.6520986659</v>
      </c>
      <c r="AA221" s="137">
        <f>'Model Data Inputs'!$B$71*S221*L221</f>
        <v>31263.969999999998</v>
      </c>
      <c r="AB221" s="137">
        <f>L221*'Model Data Inputs'!$B$72</f>
        <v>4113.6802631578948</v>
      </c>
      <c r="AC221" s="137">
        <f>L221*'Model Data Inputs'!$B$73</f>
        <v>41136.802631578947</v>
      </c>
      <c r="AD221" s="137">
        <f>L221*'Model Data Inputs'!$B$74</f>
        <v>20568.401315789473</v>
      </c>
      <c r="AE221" s="137">
        <f>$I221*'Model Data Inputs'!$B$76</f>
        <v>2683.3504784210527</v>
      </c>
      <c r="AF221" s="137">
        <f>VLOOKUP($J221,'Student Activities MS&amp;HS Tables'!$M$7:$O$1267,3)</f>
        <v>33844.11</v>
      </c>
      <c r="AG221" s="137">
        <f>VLOOKUP($K221,'Student Activities MS&amp;HS Tables'!$I$7:$K$3007,3)</f>
        <v>0</v>
      </c>
      <c r="AH221" s="137">
        <f t="shared" si="47"/>
        <v>36527.460478421053</v>
      </c>
      <c r="AI221" s="123">
        <f t="shared" si="53"/>
        <v>1868141.9667876132</v>
      </c>
      <c r="AJ221" s="123">
        <f>(('Model Data Inputs'!$B$90*(('Model Data Inputs'!$B$87*('School Level Inst. Resources'!I221/'School Level Inst. Resources'!L221))+('Model Data Inputs'!$C$87*(SUM('School Level Inst. Resources'!J221:K221)/'School Level Inst. Resources'!L221))))*T221*M221)</f>
        <v>96283.569948033532</v>
      </c>
      <c r="AK221" s="123">
        <f>(('Model Data Inputs'!$B$91*(('Model Data Inputs'!$B$87*('School Level Inst. Resources'!I221/'School Level Inst. Resources'!L221))+('Model Data Inputs'!$C$87*(SUM('School Level Inst. Resources'!J221:K221)/'School Level Inst. Resources'!L221))))*T221*N221)</f>
        <v>11848.366768216561</v>
      </c>
      <c r="AL221" s="137">
        <f>(K221*'Model Data Inputs'!$B$94)*T221</f>
        <v>0</v>
      </c>
      <c r="AM221" s="137">
        <f>K221*'Model Data Inputs'!$B$95</f>
        <v>0</v>
      </c>
      <c r="AN221" s="137">
        <f t="shared" si="54"/>
        <v>0</v>
      </c>
      <c r="AO221" s="137">
        <f>('School Level Inst. Resources'!K221*'Model Data Inputs'!$B$96)+('School Level Inst. Resources'!J221*'Model Data Inputs'!$B$97)</f>
        <v>1293.8499999999995</v>
      </c>
      <c r="AP221" s="137">
        <f>$L221*'Model Data Inputs'!$B$100</f>
        <v>6581.8884210526312</v>
      </c>
      <c r="AQ221" s="137">
        <f t="shared" si="55"/>
        <v>1984149.6419249158</v>
      </c>
      <c r="AR221" s="141">
        <f t="shared" si="48"/>
        <v>12058.239307603419</v>
      </c>
    </row>
    <row r="222" spans="1:44" s="40" customFormat="1" ht="12.75" customHeight="1" x14ac:dyDescent="0.2">
      <c r="A222" s="20" t="s">
        <v>66</v>
      </c>
      <c r="B222" s="20" t="s">
        <v>67</v>
      </c>
      <c r="C222" s="20" t="s">
        <v>810</v>
      </c>
      <c r="D222" s="20" t="s">
        <v>811</v>
      </c>
      <c r="E222" s="138" t="s">
        <v>354</v>
      </c>
      <c r="F222" s="138" t="str">
        <f>IF(AND(SUM('School Level ADM'!$F222:$J222)=0,SUM('School Level ADM'!$O222:$R222)=0,'School Level ADM'!$K222&gt;0,'School Level ADM'!$N222&gt;0),"T","F")</f>
        <v>F</v>
      </c>
      <c r="G222" s="138" t="str">
        <f>IF(AND(SUM('School Level ADM'!$M222:$R222)=0,'School Level ADM'!$L222&gt;0),"T","F")</f>
        <v>F</v>
      </c>
      <c r="H222" s="138" t="str">
        <f t="shared" si="42"/>
        <v>E</v>
      </c>
      <c r="I222" s="139">
        <f>IF($F222="T",SUM('School Level ADM'!$F222:$J222),IF($G222="T",SUM('School Level ADM'!$F222:$L222),SUM('School Level ADM'!$F222:$K222,0)))</f>
        <v>355.35821052631582</v>
      </c>
      <c r="J222" s="139">
        <f>'School Level ADM'!$S222-$I222-$K222</f>
        <v>0</v>
      </c>
      <c r="K222" s="139">
        <f>IF(SUM('School Level ADM'!$N222:$R222)='School Level ADM'!$S222,SUM('School Level ADM'!$N222:$R222),IF(OR(SUM('School Level ADM'!$F222:$O222)='School Level ADM'!$S222,SUM('School Level ADM'!$G222:$O222)='School Level ADM'!$S222,SUM('School Level ADM'!$H222:$O222)='School Level ADM'!$S222,SUM('School Level ADM'!$I222:$O222)='School Level ADM'!$S222,SUM('School Level ADM'!$J222:$O222)='School Level ADM'!$S222,SUM('School Level ADM'!$K222:$O222)='School Level ADM'!$S222,SUM('School Level ADM'!$L222:$O222)='School Level ADM'!$S222,SUM('School Level ADM'!$M222:$O222)='School Level ADM'!$S222,SUM('School Level ADM'!$N222:$O222)='School Level ADM'!$S222),0,SUM('School Level ADM'!$O222:$R222)))</f>
        <v>0</v>
      </c>
      <c r="L222" s="139">
        <f t="shared" si="43"/>
        <v>355.35821052631582</v>
      </c>
      <c r="M222" s="24">
        <f>'Student At-Risk and ELL Proxy'!S222</f>
        <v>124.63157894736844</v>
      </c>
      <c r="N222" s="24">
        <f>'Student At-Risk and ELL Proxy'!AH222</f>
        <v>4</v>
      </c>
      <c r="O222" s="136">
        <f t="shared" si="49"/>
        <v>0.97</v>
      </c>
      <c r="P222" s="136" t="str">
        <f t="shared" si="50"/>
        <v/>
      </c>
      <c r="Q222" s="136" t="str">
        <f t="shared" si="51"/>
        <v/>
      </c>
      <c r="R222" s="136">
        <f t="shared" si="44"/>
        <v>0.97</v>
      </c>
      <c r="S222" s="136">
        <f>IF(SUM(3515.4*((VLOOKUP($A222,'District Level ADM'!$A$4:$F$52,6,FALSE))^-0.327)/'Model Data Inputs'!$B$71)&lt;1,1,(3515.4*((VLOOKUP($A222,'District Level ADM'!$A$4:$F$52,6,FALSE))^-0.327)/'Model Data Inputs'!$B$71))</f>
        <v>1</v>
      </c>
      <c r="T222" s="136">
        <f>VLOOKUP($A222,'Regional Cost Adjustment'!$A$4:$C$52,3,FALSE)</f>
        <v>1.03</v>
      </c>
      <c r="U222" s="123">
        <f>((($I222/$L222)*'Model Data Inputs'!$B$85)+((SUM(J222:K222)/$L222)*'Model Data Inputs'!$C$85))*$R222*$T222</f>
        <v>6361.8568680135695</v>
      </c>
      <c r="V222" s="140">
        <f>((($I222/$L222)*'Model Data Inputs'!$B$86)+((SUM(J222:K222)/$L222)*'Model Data Inputs'!$C$86))*$R222</f>
        <v>1641.8459994936507</v>
      </c>
      <c r="W222" s="140">
        <f t="shared" si="52"/>
        <v>8003.7028675072197</v>
      </c>
      <c r="X222" s="140">
        <f t="shared" si="45"/>
        <v>2260738.0722418544</v>
      </c>
      <c r="Y222" s="140">
        <f t="shared" si="46"/>
        <v>583443.45633985416</v>
      </c>
      <c r="Z222" s="123">
        <f>IF((SUM(X222:Y222))&lt;(AVERAGE('Elementary Size Adjustment'!$B$66,'Secondary Size Adjustment'!$B$66)),(AVERAGE('Elementary Size Adjustment'!$B$66,'Secondary Size Adjustment'!$B$66)),SUM(X222:Y222))</f>
        <v>2844181.5285817087</v>
      </c>
      <c r="AA222" s="137">
        <f>'Model Data Inputs'!$B$71*S222*L222</f>
        <v>67518.06</v>
      </c>
      <c r="AB222" s="137">
        <f>L222*'Model Data Inputs'!$B$72</f>
        <v>8883.9552631578954</v>
      </c>
      <c r="AC222" s="137">
        <f>L222*'Model Data Inputs'!$B$73</f>
        <v>88839.552631578961</v>
      </c>
      <c r="AD222" s="137">
        <f>L222*'Model Data Inputs'!$B$74</f>
        <v>44419.776315789481</v>
      </c>
      <c r="AE222" s="137">
        <f>$I222*'Model Data Inputs'!$B$76</f>
        <v>8453.9718284210521</v>
      </c>
      <c r="AF222" s="137">
        <f>VLOOKUP($J222,'Student Activities MS&amp;HS Tables'!$M$7:$O$1267,3)</f>
        <v>0</v>
      </c>
      <c r="AG222" s="137">
        <f>VLOOKUP($K222,'Student Activities MS&amp;HS Tables'!$I$7:$K$3007,3)</f>
        <v>0</v>
      </c>
      <c r="AH222" s="137">
        <f t="shared" si="47"/>
        <v>8453.9718284210521</v>
      </c>
      <c r="AI222" s="123">
        <f t="shared" si="53"/>
        <v>3062296.8446206562</v>
      </c>
      <c r="AJ222" s="123">
        <f>(('Model Data Inputs'!$B$90*(('Model Data Inputs'!$B$87*('School Level Inst. Resources'!I222/'School Level Inst. Resources'!L222))+('Model Data Inputs'!$C$87*(SUM('School Level Inst. Resources'!J222:K222)/'School Level Inst. Resources'!L222))))*T222*M222)</f>
        <v>310408.11389139114</v>
      </c>
      <c r="AK222" s="123">
        <f>(('Model Data Inputs'!$B$91*(('Model Data Inputs'!$B$87*('School Level Inst. Resources'!I222/'School Level Inst. Resources'!L222))+('Model Data Inputs'!$C$87*(SUM('School Level Inst. Resources'!J222:K222)/'School Level Inst. Resources'!L222))))*T222*N222)</f>
        <v>9962.4225742169438</v>
      </c>
      <c r="AL222" s="137">
        <f>(K222*'Model Data Inputs'!$B$94)*T222</f>
        <v>0</v>
      </c>
      <c r="AM222" s="137">
        <f>K222*'Model Data Inputs'!$B$95</f>
        <v>0</v>
      </c>
      <c r="AN222" s="137">
        <f t="shared" si="54"/>
        <v>0</v>
      </c>
      <c r="AO222" s="137">
        <f>('School Level Inst. Resources'!K222*'Model Data Inputs'!$B$96)+('School Level Inst. Resources'!J222*'Model Data Inputs'!$B$97)</f>
        <v>0</v>
      </c>
      <c r="AP222" s="137">
        <f>$L222*'Model Data Inputs'!$B$100</f>
        <v>14214.328421052633</v>
      </c>
      <c r="AQ222" s="137">
        <f t="shared" si="55"/>
        <v>3396881.7095073168</v>
      </c>
      <c r="AR222" s="141">
        <f t="shared" si="48"/>
        <v>9559.035387071106</v>
      </c>
    </row>
    <row r="223" spans="1:44" s="40" customFormat="1" ht="12.75" customHeight="1" x14ac:dyDescent="0.2">
      <c r="A223" s="20" t="s">
        <v>66</v>
      </c>
      <c r="B223" s="20" t="s">
        <v>67</v>
      </c>
      <c r="C223" s="20" t="s">
        <v>812</v>
      </c>
      <c r="D223" s="20" t="s">
        <v>813</v>
      </c>
      <c r="E223" s="138" t="s">
        <v>362</v>
      </c>
      <c r="F223" s="138" t="str">
        <f>IF(AND(SUM('School Level ADM'!$F223:$J223)=0,SUM('School Level ADM'!$O223:$R223)=0,'School Level ADM'!$K223&gt;0,'School Level ADM'!$N223&gt;0),"T","F")</f>
        <v>F</v>
      </c>
      <c r="G223" s="138" t="str">
        <f>IF(AND(SUM('School Level ADM'!$M223:$R223)=0,'School Level ADM'!$L223&gt;0),"T","F")</f>
        <v>F</v>
      </c>
      <c r="H223" s="138" t="str">
        <f t="shared" si="42"/>
        <v>E</v>
      </c>
      <c r="I223" s="139">
        <f>IF($F223="T",SUM('School Level ADM'!$F223:$J223),IF($G223="T",SUM('School Level ADM'!$F223:$L223),SUM('School Level ADM'!$F223:$K223,0)))</f>
        <v>223.96621052631582</v>
      </c>
      <c r="J223" s="139">
        <f>'School Level ADM'!$S223-$I223-$K223</f>
        <v>0</v>
      </c>
      <c r="K223" s="139">
        <f>IF(SUM('School Level ADM'!$N223:$R223)='School Level ADM'!$S223,SUM('School Level ADM'!$N223:$R223),IF(OR(SUM('School Level ADM'!$F223:$O223)='School Level ADM'!$S223,SUM('School Level ADM'!$G223:$O223)='School Level ADM'!$S223,SUM('School Level ADM'!$H223:$O223)='School Level ADM'!$S223,SUM('School Level ADM'!$I223:$O223)='School Level ADM'!$S223,SUM('School Level ADM'!$J223:$O223)='School Level ADM'!$S223,SUM('School Level ADM'!$K223:$O223)='School Level ADM'!$S223,SUM('School Level ADM'!$L223:$O223)='School Level ADM'!$S223,SUM('School Level ADM'!$M223:$O223)='School Level ADM'!$S223,SUM('School Level ADM'!$N223:$O223)='School Level ADM'!$S223),0,SUM('School Level ADM'!$O223:$R223)))</f>
        <v>0</v>
      </c>
      <c r="L223" s="139">
        <f t="shared" si="43"/>
        <v>223.96621052631582</v>
      </c>
      <c r="M223" s="24">
        <f>'Student At-Risk and ELL Proxy'!S223</f>
        <v>125.63157894736844</v>
      </c>
      <c r="N223" s="24">
        <f>'Student At-Risk and ELL Proxy'!AH223</f>
        <v>5</v>
      </c>
      <c r="O223" s="136">
        <f t="shared" si="49"/>
        <v>1.1149702379496287</v>
      </c>
      <c r="P223" s="136" t="str">
        <f t="shared" si="50"/>
        <v/>
      </c>
      <c r="Q223" s="136" t="str">
        <f t="shared" si="51"/>
        <v/>
      </c>
      <c r="R223" s="136">
        <f t="shared" si="44"/>
        <v>1.1149702379496287</v>
      </c>
      <c r="S223" s="136">
        <f>IF(SUM(3515.4*((VLOOKUP($A223,'District Level ADM'!$A$4:$F$52,6,FALSE))^-0.327)/'Model Data Inputs'!$B$71)&lt;1,1,(3515.4*((VLOOKUP($A223,'District Level ADM'!$A$4:$F$52,6,FALSE))^-0.327)/'Model Data Inputs'!$B$71))</f>
        <v>1</v>
      </c>
      <c r="T223" s="136">
        <f>VLOOKUP($A223,'Regional Cost Adjustment'!$A$4:$C$52,3,FALSE)</f>
        <v>1.03</v>
      </c>
      <c r="U223" s="123">
        <f>((($I223/$L223)*'Model Data Inputs'!$B$85)+((SUM(J223:K223)/$L223)*'Model Data Inputs'!$C$85))*$R223*$T223</f>
        <v>7312.6608927119269</v>
      </c>
      <c r="V223" s="140">
        <f>((($I223/$L223)*'Model Data Inputs'!$B$86)+((SUM(J223:K223)/$L223)*'Model Data Inputs'!$C$86))*$R223</f>
        <v>1887.2262110640015</v>
      </c>
      <c r="W223" s="140">
        <f t="shared" si="52"/>
        <v>9199.8871037759291</v>
      </c>
      <c r="X223" s="140">
        <f t="shared" si="45"/>
        <v>1637788.949004676</v>
      </c>
      <c r="Y223" s="140">
        <f t="shared" si="46"/>
        <v>422674.90289794147</v>
      </c>
      <c r="Z223" s="123">
        <f>IF((SUM(X223:Y223))&lt;(AVERAGE('Elementary Size Adjustment'!$B$66,'Secondary Size Adjustment'!$B$66)),(AVERAGE('Elementary Size Adjustment'!$B$66,'Secondary Size Adjustment'!$B$66)),SUM(X223:Y223))</f>
        <v>2060463.8519026174</v>
      </c>
      <c r="AA223" s="137">
        <f>'Model Data Inputs'!$B$71*S223*L223</f>
        <v>42553.580000000009</v>
      </c>
      <c r="AB223" s="137">
        <f>L223*'Model Data Inputs'!$B$72</f>
        <v>5599.1552631578952</v>
      </c>
      <c r="AC223" s="137">
        <f>L223*'Model Data Inputs'!$B$73</f>
        <v>55991.552631578954</v>
      </c>
      <c r="AD223" s="137">
        <f>L223*'Model Data Inputs'!$B$74</f>
        <v>27995.776315789477</v>
      </c>
      <c r="AE223" s="137">
        <f>$I223*'Model Data Inputs'!$B$76</f>
        <v>5328.1561484210533</v>
      </c>
      <c r="AF223" s="137">
        <f>VLOOKUP($J223,'Student Activities MS&amp;HS Tables'!$M$7:$O$1267,3)</f>
        <v>0</v>
      </c>
      <c r="AG223" s="137">
        <f>VLOOKUP($K223,'Student Activities MS&amp;HS Tables'!$I$7:$K$3007,3)</f>
        <v>0</v>
      </c>
      <c r="AH223" s="137">
        <f t="shared" si="47"/>
        <v>5328.1561484210533</v>
      </c>
      <c r="AI223" s="123">
        <f t="shared" si="53"/>
        <v>2197932.0722615649</v>
      </c>
      <c r="AJ223" s="123">
        <f>(('Model Data Inputs'!$B$90*(('Model Data Inputs'!$B$87*('School Level Inst. Resources'!I223/'School Level Inst. Resources'!L223))+('Model Data Inputs'!$C$87*(SUM('School Level Inst. Resources'!J223:K223)/'School Level Inst. Resources'!L223))))*T223*M223)</f>
        <v>312898.71953494538</v>
      </c>
      <c r="AK223" s="123">
        <f>(('Model Data Inputs'!$B$91*(('Model Data Inputs'!$B$87*('School Level Inst. Resources'!I223/'School Level Inst. Resources'!L223))+('Model Data Inputs'!$C$87*(SUM('School Level Inst. Resources'!J223:K223)/'School Level Inst. Resources'!L223))))*T223*N223)</f>
        <v>12453.02821777118</v>
      </c>
      <c r="AL223" s="137">
        <f>(K223*'Model Data Inputs'!$B$94)*T223</f>
        <v>0</v>
      </c>
      <c r="AM223" s="137">
        <f>K223*'Model Data Inputs'!$B$95</f>
        <v>0</v>
      </c>
      <c r="AN223" s="137">
        <f t="shared" si="54"/>
        <v>0</v>
      </c>
      <c r="AO223" s="137">
        <f>('School Level Inst. Resources'!K223*'Model Data Inputs'!$B$96)+('School Level Inst. Resources'!J223*'Model Data Inputs'!$B$97)</f>
        <v>0</v>
      </c>
      <c r="AP223" s="137">
        <f>$L223*'Model Data Inputs'!$B$100</f>
        <v>8958.6484210526323</v>
      </c>
      <c r="AQ223" s="137">
        <f t="shared" si="55"/>
        <v>2532242.468435334</v>
      </c>
      <c r="AR223" s="141">
        <f t="shared" si="48"/>
        <v>11306.359394502493</v>
      </c>
    </row>
    <row r="224" spans="1:44" s="40" customFormat="1" ht="12.75" customHeight="1" x14ac:dyDescent="0.2">
      <c r="A224" s="20" t="s">
        <v>66</v>
      </c>
      <c r="B224" s="20" t="s">
        <v>67</v>
      </c>
      <c r="C224" s="20" t="s">
        <v>814</v>
      </c>
      <c r="D224" s="20" t="s">
        <v>815</v>
      </c>
      <c r="E224" s="138" t="s">
        <v>716</v>
      </c>
      <c r="F224" s="138" t="str">
        <f>IF(AND(SUM('School Level ADM'!$F224:$J224)=0,SUM('School Level ADM'!$O224:$R224)=0,'School Level ADM'!$K224&gt;0,'School Level ADM'!$N224&gt;0),"T","F")</f>
        <v>F</v>
      </c>
      <c r="G224" s="138" t="str">
        <f>IF(AND(SUM('School Level ADM'!$M224:$R224)=0,'School Level ADM'!$L224&gt;0),"T","F")</f>
        <v>F</v>
      </c>
      <c r="H224" s="138" t="str">
        <f t="shared" si="42"/>
        <v>M</v>
      </c>
      <c r="I224" s="139">
        <f>IF($F224="T",SUM('School Level ADM'!$F224:$J224),IF($G224="T",SUM('School Level ADM'!$F224:$L224),SUM('School Level ADM'!$F224:$K224,0)))</f>
        <v>0</v>
      </c>
      <c r="J224" s="139">
        <f>'School Level ADM'!$S224-$I224-$K224</f>
        <v>362.8</v>
      </c>
      <c r="K224" s="139">
        <f>IF(SUM('School Level ADM'!$N224:$R224)='School Level ADM'!$S224,SUM('School Level ADM'!$N224:$R224),IF(OR(SUM('School Level ADM'!$F224:$O224)='School Level ADM'!$S224,SUM('School Level ADM'!$G224:$O224)='School Level ADM'!$S224,SUM('School Level ADM'!$H224:$O224)='School Level ADM'!$S224,SUM('School Level ADM'!$I224:$O224)='School Level ADM'!$S224,SUM('School Level ADM'!$J224:$O224)='School Level ADM'!$S224,SUM('School Level ADM'!$K224:$O224)='School Level ADM'!$S224,SUM('School Level ADM'!$L224:$O224)='School Level ADM'!$S224,SUM('School Level ADM'!$M224:$O224)='School Level ADM'!$S224,SUM('School Level ADM'!$N224:$O224)='School Level ADM'!$S224),0,SUM('School Level ADM'!$O224:$R224)))</f>
        <v>0</v>
      </c>
      <c r="L224" s="139">
        <f t="shared" si="43"/>
        <v>362.8</v>
      </c>
      <c r="M224" s="24">
        <f>'Student At-Risk and ELL Proxy'!S224</f>
        <v>127</v>
      </c>
      <c r="N224" s="24">
        <f>'Student At-Risk and ELL Proxy'!AH224</f>
        <v>8</v>
      </c>
      <c r="O224" s="136" t="str">
        <f t="shared" si="49"/>
        <v/>
      </c>
      <c r="P224" s="136">
        <f t="shared" si="50"/>
        <v>1.1530801065339249</v>
      </c>
      <c r="Q224" s="136" t="str">
        <f t="shared" si="51"/>
        <v/>
      </c>
      <c r="R224" s="136">
        <f t="shared" si="44"/>
        <v>1.1530801065339249</v>
      </c>
      <c r="S224" s="136">
        <f>IF(SUM(3515.4*((VLOOKUP($A224,'District Level ADM'!$A$4:$F$52,6,FALSE))^-0.327)/'Model Data Inputs'!$B$71)&lt;1,1,(3515.4*((VLOOKUP($A224,'District Level ADM'!$A$4:$F$52,6,FALSE))^-0.327)/'Model Data Inputs'!$B$71))</f>
        <v>1</v>
      </c>
      <c r="T224" s="136">
        <f>VLOOKUP($A224,'Regional Cost Adjustment'!$A$4:$C$52,3,FALSE)</f>
        <v>1.03</v>
      </c>
      <c r="U224" s="123">
        <f>((($I224/$L224)*'Model Data Inputs'!$B$85)+((SUM(J224:K224)/$L224)*'Model Data Inputs'!$C$85))*$R224*$T224</f>
        <v>6392.9911022653978</v>
      </c>
      <c r="V224" s="140">
        <f>((($I224/$L224)*'Model Data Inputs'!$B$86)+((SUM(J224:K224)/$L224)*'Model Data Inputs'!$C$86))*$R224</f>
        <v>1652.4880571339704</v>
      </c>
      <c r="W224" s="140">
        <f t="shared" si="52"/>
        <v>8045.4791593993687</v>
      </c>
      <c r="X224" s="140">
        <f t="shared" si="45"/>
        <v>2319377.1719018864</v>
      </c>
      <c r="Y224" s="140">
        <f t="shared" si="46"/>
        <v>599522.66712820448</v>
      </c>
      <c r="Z224" s="123">
        <f>IF((SUM(X224:Y224))&lt;(AVERAGE('Elementary Size Adjustment'!$B$66,'Secondary Size Adjustment'!$B$66)),(AVERAGE('Elementary Size Adjustment'!$B$66,'Secondary Size Adjustment'!$B$66)),SUM(X224:Y224))</f>
        <v>2918899.8390300907</v>
      </c>
      <c r="AA224" s="137">
        <f>'Model Data Inputs'!$B$71*S224*L224</f>
        <v>68932</v>
      </c>
      <c r="AB224" s="137">
        <f>L224*'Model Data Inputs'!$B$72</f>
        <v>9070</v>
      </c>
      <c r="AC224" s="137">
        <f>L224*'Model Data Inputs'!$B$73</f>
        <v>90700</v>
      </c>
      <c r="AD224" s="137">
        <f>L224*'Model Data Inputs'!$B$74</f>
        <v>45350</v>
      </c>
      <c r="AE224" s="137">
        <f>$I224*'Model Data Inputs'!$B$76</f>
        <v>0</v>
      </c>
      <c r="AF224" s="137">
        <f>VLOOKUP($J224,'Student Activities MS&amp;HS Tables'!$M$7:$O$1267,3)</f>
        <v>105704</v>
      </c>
      <c r="AG224" s="137">
        <f>VLOOKUP($K224,'Student Activities MS&amp;HS Tables'!$I$7:$K$3007,3)</f>
        <v>0</v>
      </c>
      <c r="AH224" s="137">
        <f t="shared" si="47"/>
        <v>105704</v>
      </c>
      <c r="AI224" s="123">
        <f t="shared" si="53"/>
        <v>3238655.8390300907</v>
      </c>
      <c r="AJ224" s="123">
        <f>(('Model Data Inputs'!$B$90*(('Model Data Inputs'!$B$87*('School Level Inst. Resources'!I224/'School Level Inst. Resources'!L224))+('Model Data Inputs'!$C$87*(SUM('School Level Inst. Resources'!J224:K224)/'School Level Inst. Resources'!L224))))*T224*M224)</f>
        <v>267476.25605085923</v>
      </c>
      <c r="AK224" s="123">
        <f>(('Model Data Inputs'!$B$91*(('Model Data Inputs'!$B$87*('School Level Inst. Resources'!I224/'School Level Inst. Resources'!L224))+('Model Data Inputs'!$C$87*(SUM('School Level Inst. Resources'!J224:K224)/'School Level Inst. Resources'!L224))))*T224*N224)</f>
        <v>16848.898018951761</v>
      </c>
      <c r="AL224" s="137">
        <f>(K224*'Model Data Inputs'!$B$94)*T224</f>
        <v>0</v>
      </c>
      <c r="AM224" s="137">
        <f>K224*'Model Data Inputs'!$B$95</f>
        <v>0</v>
      </c>
      <c r="AN224" s="137">
        <f t="shared" si="54"/>
        <v>0</v>
      </c>
      <c r="AO224" s="137">
        <f>('School Level Inst. Resources'!K224*'Model Data Inputs'!$B$96)+('School Level Inst. Resources'!J224*'Model Data Inputs'!$B$97)</f>
        <v>9070</v>
      </c>
      <c r="AP224" s="137">
        <f>$L224*'Model Data Inputs'!$B$100</f>
        <v>14512</v>
      </c>
      <c r="AQ224" s="137">
        <f t="shared" si="55"/>
        <v>3546562.9930999018</v>
      </c>
      <c r="AR224" s="141">
        <f t="shared" si="48"/>
        <v>9775.5319545201255</v>
      </c>
    </row>
    <row r="225" spans="1:44" s="40" customFormat="1" ht="12.75" customHeight="1" x14ac:dyDescent="0.2">
      <c r="A225" s="20" t="s">
        <v>66</v>
      </c>
      <c r="B225" s="20" t="s">
        <v>67</v>
      </c>
      <c r="C225" s="20" t="s">
        <v>816</v>
      </c>
      <c r="D225" s="20" t="s">
        <v>817</v>
      </c>
      <c r="E225" s="138" t="s">
        <v>365</v>
      </c>
      <c r="F225" s="138" t="str">
        <f>IF(AND(SUM('School Level ADM'!$F225:$J225)=0,SUM('School Level ADM'!$O225:$R225)=0,'School Level ADM'!$K225&gt;0,'School Level ADM'!$N225&gt;0),"T","F")</f>
        <v>F</v>
      </c>
      <c r="G225" s="138" t="str">
        <f>IF(AND(SUM('School Level ADM'!$M225:$R225)=0,'School Level ADM'!$L225&gt;0),"T","F")</f>
        <v>F</v>
      </c>
      <c r="H225" s="138" t="str">
        <f t="shared" si="42"/>
        <v>E</v>
      </c>
      <c r="I225" s="139">
        <f>IF($F225="T",SUM('School Level ADM'!$F225:$J225),IF($G225="T",SUM('School Level ADM'!$F225:$L225),SUM('School Level ADM'!$F225:$K225,0)))</f>
        <v>434.69599999999997</v>
      </c>
      <c r="J225" s="139">
        <f>'School Level ADM'!$S225-$I225-$K225</f>
        <v>0</v>
      </c>
      <c r="K225" s="139">
        <f>IF(SUM('School Level ADM'!$N225:$R225)='School Level ADM'!$S225,SUM('School Level ADM'!$N225:$R225),IF(OR(SUM('School Level ADM'!$F225:$O225)='School Level ADM'!$S225,SUM('School Level ADM'!$G225:$O225)='School Level ADM'!$S225,SUM('School Level ADM'!$H225:$O225)='School Level ADM'!$S225,SUM('School Level ADM'!$I225:$O225)='School Level ADM'!$S225,SUM('School Level ADM'!$J225:$O225)='School Level ADM'!$S225,SUM('School Level ADM'!$K225:$O225)='School Level ADM'!$S225,SUM('School Level ADM'!$L225:$O225)='School Level ADM'!$S225,SUM('School Level ADM'!$M225:$O225)='School Level ADM'!$S225,SUM('School Level ADM'!$N225:$O225)='School Level ADM'!$S225),0,SUM('School Level ADM'!$O225:$R225)))</f>
        <v>0</v>
      </c>
      <c r="L225" s="139">
        <f t="shared" si="43"/>
        <v>434.69599999999997</v>
      </c>
      <c r="M225" s="24">
        <f>'Student At-Risk and ELL Proxy'!S225</f>
        <v>85</v>
      </c>
      <c r="N225" s="24">
        <f>'Student At-Risk and ELL Proxy'!AH225</f>
        <v>7</v>
      </c>
      <c r="O225" s="136">
        <f t="shared" si="49"/>
        <v>0.97</v>
      </c>
      <c r="P225" s="136" t="str">
        <f t="shared" si="50"/>
        <v/>
      </c>
      <c r="Q225" s="136" t="str">
        <f t="shared" si="51"/>
        <v/>
      </c>
      <c r="R225" s="136">
        <f t="shared" si="44"/>
        <v>0.97</v>
      </c>
      <c r="S225" s="136">
        <f>IF(SUM(3515.4*((VLOOKUP($A225,'District Level ADM'!$A$4:$F$52,6,FALSE))^-0.327)/'Model Data Inputs'!$B$71)&lt;1,1,(3515.4*((VLOOKUP($A225,'District Level ADM'!$A$4:$F$52,6,FALSE))^-0.327)/'Model Data Inputs'!$B$71))</f>
        <v>1</v>
      </c>
      <c r="T225" s="136">
        <f>VLOOKUP($A225,'Regional Cost Adjustment'!$A$4:$C$52,3,FALSE)</f>
        <v>1.03</v>
      </c>
      <c r="U225" s="123">
        <f>((($I225/$L225)*'Model Data Inputs'!$B$85)+((SUM(J225:K225)/$L225)*'Model Data Inputs'!$C$85))*$R225*$T225</f>
        <v>6361.8568680135695</v>
      </c>
      <c r="V225" s="140">
        <f>((($I225/$L225)*'Model Data Inputs'!$B$86)+((SUM(J225:K225)/$L225)*'Model Data Inputs'!$C$86))*$R225</f>
        <v>1641.8459994936507</v>
      </c>
      <c r="W225" s="140">
        <f t="shared" si="52"/>
        <v>8003.7028675072197</v>
      </c>
      <c r="X225" s="140">
        <f t="shared" si="45"/>
        <v>2765473.7330980264</v>
      </c>
      <c r="Y225" s="140">
        <f t="shared" si="46"/>
        <v>713703.88859589188</v>
      </c>
      <c r="Z225" s="123">
        <f>IF((SUM(X225:Y225))&lt;(AVERAGE('Elementary Size Adjustment'!$B$66,'Secondary Size Adjustment'!$B$66)),(AVERAGE('Elementary Size Adjustment'!$B$66,'Secondary Size Adjustment'!$B$66)),SUM(X225:Y225))</f>
        <v>3479177.6216939185</v>
      </c>
      <c r="AA225" s="137">
        <f>'Model Data Inputs'!$B$71*S225*L225</f>
        <v>82592.239999999991</v>
      </c>
      <c r="AB225" s="137">
        <f>L225*'Model Data Inputs'!$B$72</f>
        <v>10867.4</v>
      </c>
      <c r="AC225" s="137">
        <f>L225*'Model Data Inputs'!$B$73</f>
        <v>108673.99999999999</v>
      </c>
      <c r="AD225" s="137">
        <f>L225*'Model Data Inputs'!$B$74</f>
        <v>54336.999999999993</v>
      </c>
      <c r="AE225" s="137">
        <f>$I225*'Model Data Inputs'!$B$76</f>
        <v>10341.417839999998</v>
      </c>
      <c r="AF225" s="137">
        <f>VLOOKUP($J225,'Student Activities MS&amp;HS Tables'!$M$7:$O$1267,3)</f>
        <v>0</v>
      </c>
      <c r="AG225" s="137">
        <f>VLOOKUP($K225,'Student Activities MS&amp;HS Tables'!$I$7:$K$3007,3)</f>
        <v>0</v>
      </c>
      <c r="AH225" s="137">
        <f t="shared" si="47"/>
        <v>10341.417839999998</v>
      </c>
      <c r="AI225" s="123">
        <f t="shared" si="53"/>
        <v>3745989.6795339184</v>
      </c>
      <c r="AJ225" s="123">
        <f>(('Model Data Inputs'!$B$90*(('Model Data Inputs'!$B$87*('School Level Inst. Resources'!I225/'School Level Inst. Resources'!L225))+('Model Data Inputs'!$C$87*(SUM('School Level Inst. Resources'!J225:K225)/'School Level Inst. Resources'!L225))))*T225*M225)</f>
        <v>211701.47970211005</v>
      </c>
      <c r="AK225" s="123">
        <f>(('Model Data Inputs'!$B$91*(('Model Data Inputs'!$B$87*('School Level Inst. Resources'!I225/'School Level Inst. Resources'!L225))+('Model Data Inputs'!$C$87*(SUM('School Level Inst. Resources'!J225:K225)/'School Level Inst. Resources'!L225))))*T225*N225)</f>
        <v>17434.239504879653</v>
      </c>
      <c r="AL225" s="137">
        <f>(K225*'Model Data Inputs'!$B$94)*T225</f>
        <v>0</v>
      </c>
      <c r="AM225" s="137">
        <f>K225*'Model Data Inputs'!$B$95</f>
        <v>0</v>
      </c>
      <c r="AN225" s="137">
        <f t="shared" si="54"/>
        <v>0</v>
      </c>
      <c r="AO225" s="137">
        <f>('School Level Inst. Resources'!K225*'Model Data Inputs'!$B$96)+('School Level Inst. Resources'!J225*'Model Data Inputs'!$B$97)</f>
        <v>0</v>
      </c>
      <c r="AP225" s="137">
        <f>$L225*'Model Data Inputs'!$B$100</f>
        <v>17387.84</v>
      </c>
      <c r="AQ225" s="137">
        <f t="shared" si="55"/>
        <v>3992513.238740908</v>
      </c>
      <c r="AR225" s="141">
        <f t="shared" si="48"/>
        <v>9184.6100234207552</v>
      </c>
    </row>
    <row r="226" spans="1:44" s="40" customFormat="1" ht="12.75" customHeight="1" x14ac:dyDescent="0.2">
      <c r="A226" s="20" t="s">
        <v>66</v>
      </c>
      <c r="B226" s="20" t="s">
        <v>67</v>
      </c>
      <c r="C226" s="20" t="s">
        <v>818</v>
      </c>
      <c r="D226" s="20" t="s">
        <v>819</v>
      </c>
      <c r="E226" s="138" t="s">
        <v>383</v>
      </c>
      <c r="F226" s="138" t="str">
        <f>IF(AND(SUM('School Level ADM'!$F226:$J226)=0,SUM('School Level ADM'!$O226:$R226)=0,'School Level ADM'!$K226&gt;0,'School Level ADM'!$N226&gt;0),"T","F")</f>
        <v>F</v>
      </c>
      <c r="G226" s="138" t="str">
        <f>IF(AND(SUM('School Level ADM'!$M226:$R226)=0,'School Level ADM'!$L226&gt;0),"T","F")</f>
        <v>F</v>
      </c>
      <c r="H226" s="138" t="str">
        <f t="shared" si="42"/>
        <v>M</v>
      </c>
      <c r="I226" s="139">
        <f>IF($F226="T",SUM('School Level ADM'!$F226:$J226),IF($G226="T",SUM('School Level ADM'!$F226:$L226),SUM('School Level ADM'!$F226:$K226,0)))</f>
        <v>0</v>
      </c>
      <c r="J226" s="139">
        <f>'School Level ADM'!$S226-$I226-$K226</f>
        <v>173.71700000000001</v>
      </c>
      <c r="K226" s="139">
        <f>IF(SUM('School Level ADM'!$N226:$R226)='School Level ADM'!$S226,SUM('School Level ADM'!$N226:$R226),IF(OR(SUM('School Level ADM'!$F226:$O226)='School Level ADM'!$S226,SUM('School Level ADM'!$G226:$O226)='School Level ADM'!$S226,SUM('School Level ADM'!$H226:$O226)='School Level ADM'!$S226,SUM('School Level ADM'!$I226:$O226)='School Level ADM'!$S226,SUM('School Level ADM'!$J226:$O226)='School Level ADM'!$S226,SUM('School Level ADM'!$K226:$O226)='School Level ADM'!$S226,SUM('School Level ADM'!$L226:$O226)='School Level ADM'!$S226,SUM('School Level ADM'!$M226:$O226)='School Level ADM'!$S226,SUM('School Level ADM'!$N226:$O226)='School Level ADM'!$S226),0,SUM('School Level ADM'!$O226:$R226)))</f>
        <v>0</v>
      </c>
      <c r="L226" s="139">
        <f t="shared" si="43"/>
        <v>173.71700000000001</v>
      </c>
      <c r="M226" s="24">
        <f>'Student At-Risk and ELL Proxy'!S226</f>
        <v>161</v>
      </c>
      <c r="N226" s="24">
        <f>'Student At-Risk and ELL Proxy'!AH226</f>
        <v>5</v>
      </c>
      <c r="O226" s="136" t="str">
        <f t="shared" si="49"/>
        <v/>
      </c>
      <c r="P226" s="136">
        <f t="shared" si="50"/>
        <v>1.4932002009394492</v>
      </c>
      <c r="Q226" s="136" t="str">
        <f t="shared" si="51"/>
        <v/>
      </c>
      <c r="R226" s="136">
        <f t="shared" si="44"/>
        <v>1.4932002009394492</v>
      </c>
      <c r="S226" s="136">
        <f>IF(SUM(3515.4*((VLOOKUP($A226,'District Level ADM'!$A$4:$F$52,6,FALSE))^-0.327)/'Model Data Inputs'!$B$71)&lt;1,1,(3515.4*((VLOOKUP($A226,'District Level ADM'!$A$4:$F$52,6,FALSE))^-0.327)/'Model Data Inputs'!$B$71))</f>
        <v>1</v>
      </c>
      <c r="T226" s="136">
        <f>VLOOKUP($A226,'Regional Cost Adjustment'!$A$4:$C$52,3,FALSE)</f>
        <v>1.03</v>
      </c>
      <c r="U226" s="123">
        <f>((($I226/$L226)*'Model Data Inputs'!$B$85)+((SUM(J226:K226)/$L226)*'Model Data Inputs'!$C$85))*$R226*$T226</f>
        <v>8278.7098176564978</v>
      </c>
      <c r="V226" s="140">
        <f>((($I226/$L226)*'Model Data Inputs'!$B$86)+((SUM(J226:K226)/$L226)*'Model Data Inputs'!$C$86))*$R226</f>
        <v>2139.9168062829535</v>
      </c>
      <c r="W226" s="140">
        <f t="shared" si="52"/>
        <v>10418.626623939452</v>
      </c>
      <c r="X226" s="140">
        <f t="shared" si="45"/>
        <v>1438152.6333938339</v>
      </c>
      <c r="Y226" s="140">
        <f t="shared" si="46"/>
        <v>371739.92783705587</v>
      </c>
      <c r="Z226" s="123">
        <f>IF((SUM(X226:Y226))&lt;(AVERAGE('Elementary Size Adjustment'!$B$66,'Secondary Size Adjustment'!$B$66)),(AVERAGE('Elementary Size Adjustment'!$B$66,'Secondary Size Adjustment'!$B$66)),SUM(X226:Y226))</f>
        <v>1809892.5612308898</v>
      </c>
      <c r="AA226" s="137">
        <f>'Model Data Inputs'!$B$71*S226*L226</f>
        <v>33006.230000000003</v>
      </c>
      <c r="AB226" s="137">
        <f>L226*'Model Data Inputs'!$B$72</f>
        <v>4342.9250000000002</v>
      </c>
      <c r="AC226" s="137">
        <f>L226*'Model Data Inputs'!$B$73</f>
        <v>43429.25</v>
      </c>
      <c r="AD226" s="137">
        <f>L226*'Model Data Inputs'!$B$74</f>
        <v>21714.625</v>
      </c>
      <c r="AE226" s="137">
        <f>$I226*'Model Data Inputs'!$B$76</f>
        <v>0</v>
      </c>
      <c r="AF226" s="137">
        <f>VLOOKUP($J226,'Student Activities MS&amp;HS Tables'!$M$7:$O$1267,3)</f>
        <v>73931.55</v>
      </c>
      <c r="AG226" s="137">
        <f>VLOOKUP($K226,'Student Activities MS&amp;HS Tables'!$I$7:$K$3007,3)</f>
        <v>0</v>
      </c>
      <c r="AH226" s="137">
        <f t="shared" si="47"/>
        <v>73931.55</v>
      </c>
      <c r="AI226" s="123">
        <f t="shared" si="53"/>
        <v>1986317.1412308898</v>
      </c>
      <c r="AJ226" s="123">
        <f>(('Model Data Inputs'!$B$90*(('Model Data Inputs'!$B$87*('School Level Inst. Resources'!I226/'School Level Inst. Resources'!L226))+('Model Data Inputs'!$C$87*(SUM('School Level Inst. Resources'!J226:K226)/'School Level Inst. Resources'!L226))))*T226*M226)</f>
        <v>339084.07263140415</v>
      </c>
      <c r="AK226" s="123">
        <f>(('Model Data Inputs'!$B$91*(('Model Data Inputs'!$B$87*('School Level Inst. Resources'!I226/'School Level Inst. Resources'!L226))+('Model Data Inputs'!$C$87*(SUM('School Level Inst. Resources'!J226:K226)/'School Level Inst. Resources'!L226))))*T226*N226)</f>
        <v>10530.56126184485</v>
      </c>
      <c r="AL226" s="137">
        <f>(K226*'Model Data Inputs'!$B$94)*T226</f>
        <v>0</v>
      </c>
      <c r="AM226" s="137">
        <f>K226*'Model Data Inputs'!$B$95</f>
        <v>0</v>
      </c>
      <c r="AN226" s="137">
        <f t="shared" si="54"/>
        <v>0</v>
      </c>
      <c r="AO226" s="137">
        <f>('School Level Inst. Resources'!K226*'Model Data Inputs'!$B$96)+('School Level Inst. Resources'!J226*'Model Data Inputs'!$B$97)</f>
        <v>4342.9250000000002</v>
      </c>
      <c r="AP226" s="137">
        <f>$L226*'Model Data Inputs'!$B$100</f>
        <v>6948.68</v>
      </c>
      <c r="AQ226" s="137">
        <f t="shared" si="55"/>
        <v>2347223.3801241387</v>
      </c>
      <c r="AR226" s="141">
        <f t="shared" si="48"/>
        <v>13511.765573456476</v>
      </c>
    </row>
    <row r="227" spans="1:44" s="40" customFormat="1" ht="12.75" customHeight="1" x14ac:dyDescent="0.2">
      <c r="A227" s="20" t="s">
        <v>66</v>
      </c>
      <c r="B227" s="20" t="s">
        <v>67</v>
      </c>
      <c r="C227" s="20" t="s">
        <v>820</v>
      </c>
      <c r="D227" s="20" t="s">
        <v>821</v>
      </c>
      <c r="E227" s="138" t="s">
        <v>822</v>
      </c>
      <c r="F227" s="138" t="str">
        <f>IF(AND(SUM('School Level ADM'!$F227:$J227)=0,SUM('School Level ADM'!$O227:$R227)=0,'School Level ADM'!$K227&gt;0,'School Level ADM'!$N227&gt;0),"T","F")</f>
        <v>F</v>
      </c>
      <c r="G227" s="138" t="str">
        <f>IF(AND(SUM('School Level ADM'!$M227:$R227)=0,'School Level ADM'!$L227&gt;0),"T","F")</f>
        <v>F</v>
      </c>
      <c r="H227" s="138" t="str">
        <f t="shared" si="42"/>
        <v>H</v>
      </c>
      <c r="I227" s="139">
        <f>IF($F227="T",SUM('School Level ADM'!$F227:$J227),IF($G227="T",SUM('School Level ADM'!$F227:$L227),SUM('School Level ADM'!$F227:$K227,0)))</f>
        <v>52.739000000000004</v>
      </c>
      <c r="J227" s="139">
        <f>'School Level ADM'!$S227-$I227-$K227</f>
        <v>30.679000000000002</v>
      </c>
      <c r="K227" s="139">
        <f>IF(SUM('School Level ADM'!$N227:$R227)='School Level ADM'!$S227,SUM('School Level ADM'!$N227:$R227),IF(OR(SUM('School Level ADM'!$F227:$O227)='School Level ADM'!$S227,SUM('School Level ADM'!$G227:$O227)='School Level ADM'!$S227,SUM('School Level ADM'!$H227:$O227)='School Level ADM'!$S227,SUM('School Level ADM'!$I227:$O227)='School Level ADM'!$S227,SUM('School Level ADM'!$J227:$O227)='School Level ADM'!$S227,SUM('School Level ADM'!$K227:$O227)='School Level ADM'!$S227,SUM('School Level ADM'!$L227:$O227)='School Level ADM'!$S227,SUM('School Level ADM'!$M227:$O227)='School Level ADM'!$S227,SUM('School Level ADM'!$N227:$O227)='School Level ADM'!$S227),0,SUM('School Level ADM'!$O227:$R227)))</f>
        <v>47.692000000000007</v>
      </c>
      <c r="L227" s="139">
        <f t="shared" si="43"/>
        <v>131.11000000000001</v>
      </c>
      <c r="M227" s="24">
        <f>'Student At-Risk and ELL Proxy'!S227</f>
        <v>106</v>
      </c>
      <c r="N227" s="24">
        <f>'Student At-Risk and ELL Proxy'!AH227</f>
        <v>6</v>
      </c>
      <c r="O227" s="136" t="str">
        <f t="shared" si="49"/>
        <v/>
      </c>
      <c r="P227" s="136" t="str">
        <f t="shared" si="50"/>
        <v/>
      </c>
      <c r="Q227" s="136">
        <f t="shared" si="51"/>
        <v>2.2946459344650485</v>
      </c>
      <c r="R227" s="136">
        <f t="shared" si="44"/>
        <v>2.2946459344650485</v>
      </c>
      <c r="S227" s="136">
        <f>IF(SUM(3515.4*((VLOOKUP($A227,'District Level ADM'!$A$4:$F$52,6,FALSE))^-0.327)/'Model Data Inputs'!$B$71)&lt;1,1,(3515.4*((VLOOKUP($A227,'District Level ADM'!$A$4:$F$52,6,FALSE))^-0.327)/'Model Data Inputs'!$B$71))</f>
        <v>1</v>
      </c>
      <c r="T227" s="136">
        <f>VLOOKUP($A227,'Regional Cost Adjustment'!$A$4:$C$52,3,FALSE)</f>
        <v>1.03</v>
      </c>
      <c r="U227" s="123">
        <f>((($I227/$L227)*'Model Data Inputs'!$B$85)+((SUM(J227:K227)/$L227)*'Model Data Inputs'!$C$85))*$R227*$T227</f>
        <v>13658.403383844936</v>
      </c>
      <c r="V227" s="140">
        <f>((($I227/$L227)*'Model Data Inputs'!$B$86)+((SUM(J227:K227)/$L227)*'Model Data Inputs'!$C$86))*$R227</f>
        <v>3528.014625576182</v>
      </c>
      <c r="W227" s="140">
        <f t="shared" si="52"/>
        <v>17186.418009421119</v>
      </c>
      <c r="X227" s="140">
        <f t="shared" si="45"/>
        <v>1790753.2676559098</v>
      </c>
      <c r="Y227" s="140">
        <f t="shared" si="46"/>
        <v>462557.99755929329</v>
      </c>
      <c r="Z227" s="123">
        <f>IF((SUM(X227:Y227))&lt;(AVERAGE('Elementary Size Adjustment'!$B$66,'Secondary Size Adjustment'!$B$66)),(AVERAGE('Elementary Size Adjustment'!$B$66,'Secondary Size Adjustment'!$B$66)),SUM(X227:Y227))</f>
        <v>2253311.2652152032</v>
      </c>
      <c r="AA227" s="137">
        <f>'Model Data Inputs'!$B$71*S227*L227</f>
        <v>24910.9</v>
      </c>
      <c r="AB227" s="137">
        <f>L227*'Model Data Inputs'!$B$72</f>
        <v>3277.7500000000005</v>
      </c>
      <c r="AC227" s="137">
        <f>L227*'Model Data Inputs'!$B$73</f>
        <v>32777.5</v>
      </c>
      <c r="AD227" s="137">
        <f>L227*'Model Data Inputs'!$B$74</f>
        <v>16388.75</v>
      </c>
      <c r="AE227" s="137">
        <f>$I227*'Model Data Inputs'!$B$76</f>
        <v>1254.6608100000001</v>
      </c>
      <c r="AF227" s="137">
        <f>VLOOKUP($J227,'Student Activities MS&amp;HS Tables'!$M$7:$O$1267,3)</f>
        <v>21406.799999999999</v>
      </c>
      <c r="AG227" s="137">
        <f>VLOOKUP($K227,'Student Activities MS&amp;HS Tables'!$I$7:$K$3007,3)</f>
        <v>85014.54</v>
      </c>
      <c r="AH227" s="137">
        <f t="shared" si="47"/>
        <v>107676.00081</v>
      </c>
      <c r="AI227" s="123">
        <f t="shared" si="53"/>
        <v>2438342.1660252032</v>
      </c>
      <c r="AJ227" s="123">
        <f>(('Model Data Inputs'!$B$90*(('Model Data Inputs'!$B$87*('School Level Inst. Resources'!I227/'School Level Inst. Resources'!L227))+('Model Data Inputs'!$C$87*(SUM('School Level Inst. Resources'!J227:K227)/'School Level Inst. Resources'!L227))))*T227*M227)</f>
        <v>239642.12098830321</v>
      </c>
      <c r="AK227" s="123">
        <f>(('Model Data Inputs'!$B$91*(('Model Data Inputs'!$B$87*('School Level Inst. Resources'!I227/'School Level Inst. Resources'!L227))+('Model Data Inputs'!$C$87*(SUM('School Level Inst. Resources'!J227:K227)/'School Level Inst. Resources'!L227))))*T227*N227)</f>
        <v>13564.648357828482</v>
      </c>
      <c r="AL227" s="137">
        <f>(K227*'Model Data Inputs'!$B$94)*T227</f>
        <v>8108.4658179798025</v>
      </c>
      <c r="AM227" s="137">
        <f>K227*'Model Data Inputs'!$B$95</f>
        <v>1998.7633739000003</v>
      </c>
      <c r="AN227" s="137">
        <f t="shared" si="54"/>
        <v>10107.229191879804</v>
      </c>
      <c r="AO227" s="137">
        <f>('School Level Inst. Resources'!K227*'Model Data Inputs'!$B$96)+('School Level Inst. Resources'!J227*'Model Data Inputs'!$B$97)</f>
        <v>5536.1750000000011</v>
      </c>
      <c r="AP227" s="137">
        <f>$L227*'Model Data Inputs'!$B$100</f>
        <v>5244.4000000000005</v>
      </c>
      <c r="AQ227" s="137">
        <f t="shared" si="55"/>
        <v>2712436.7395632146</v>
      </c>
      <c r="AR227" s="141">
        <f t="shared" si="48"/>
        <v>20688.252151347831</v>
      </c>
    </row>
    <row r="228" spans="1:44" s="40" customFormat="1" ht="12.75" customHeight="1" x14ac:dyDescent="0.2">
      <c r="A228" s="20" t="s">
        <v>66</v>
      </c>
      <c r="B228" s="20" t="s">
        <v>67</v>
      </c>
      <c r="C228" s="20" t="s">
        <v>823</v>
      </c>
      <c r="D228" s="20" t="s">
        <v>824</v>
      </c>
      <c r="E228" s="138" t="s">
        <v>716</v>
      </c>
      <c r="F228" s="138" t="str">
        <f>IF(AND(SUM('School Level ADM'!$F228:$J228)=0,SUM('School Level ADM'!$O228:$R228)=0,'School Level ADM'!$K228&gt;0,'School Level ADM'!$N228&gt;0),"T","F")</f>
        <v>F</v>
      </c>
      <c r="G228" s="138" t="str">
        <f>IF(AND(SUM('School Level ADM'!$M228:$R228)=0,'School Level ADM'!$L228&gt;0),"T","F")</f>
        <v>F</v>
      </c>
      <c r="H228" s="138" t="str">
        <f t="shared" si="42"/>
        <v>M</v>
      </c>
      <c r="I228" s="139">
        <f>IF($F228="T",SUM('School Level ADM'!$F228:$J228),IF($G228="T",SUM('School Level ADM'!$F228:$L228),SUM('School Level ADM'!$F228:$K228,0)))</f>
        <v>0</v>
      </c>
      <c r="J228" s="139">
        <f>'School Level ADM'!$S228-$I228-$K228</f>
        <v>743.53400000000011</v>
      </c>
      <c r="K228" s="139">
        <f>IF(SUM('School Level ADM'!$N228:$R228)='School Level ADM'!$S228,SUM('School Level ADM'!$N228:$R228),IF(OR(SUM('School Level ADM'!$F228:$O228)='School Level ADM'!$S228,SUM('School Level ADM'!$G228:$O228)='School Level ADM'!$S228,SUM('School Level ADM'!$H228:$O228)='School Level ADM'!$S228,SUM('School Level ADM'!$I228:$O228)='School Level ADM'!$S228,SUM('School Level ADM'!$J228:$O228)='School Level ADM'!$S228,SUM('School Level ADM'!$K228:$O228)='School Level ADM'!$S228,SUM('School Level ADM'!$L228:$O228)='School Level ADM'!$S228,SUM('School Level ADM'!$M228:$O228)='School Level ADM'!$S228,SUM('School Level ADM'!$N228:$O228)='School Level ADM'!$S228),0,SUM('School Level ADM'!$O228:$R228)))</f>
        <v>0</v>
      </c>
      <c r="L228" s="139">
        <f t="shared" si="43"/>
        <v>743.53400000000011</v>
      </c>
      <c r="M228" s="24">
        <f>'Student At-Risk and ELL Proxy'!S228</f>
        <v>353</v>
      </c>
      <c r="N228" s="24">
        <f>'Student At-Risk and ELL Proxy'!AH228</f>
        <v>5</v>
      </c>
      <c r="O228" s="136" t="str">
        <f t="shared" si="49"/>
        <v/>
      </c>
      <c r="P228" s="136">
        <f t="shared" si="50"/>
        <v>0.97</v>
      </c>
      <c r="Q228" s="136" t="str">
        <f t="shared" si="51"/>
        <v/>
      </c>
      <c r="R228" s="136">
        <f t="shared" si="44"/>
        <v>0.97</v>
      </c>
      <c r="S228" s="136">
        <f>IF(SUM(3515.4*((VLOOKUP($A228,'District Level ADM'!$A$4:$F$52,6,FALSE))^-0.327)/'Model Data Inputs'!$B$71)&lt;1,1,(3515.4*((VLOOKUP($A228,'District Level ADM'!$A$4:$F$52,6,FALSE))^-0.327)/'Model Data Inputs'!$B$71))</f>
        <v>1</v>
      </c>
      <c r="T228" s="136">
        <f>VLOOKUP($A228,'Regional Cost Adjustment'!$A$4:$C$52,3,FALSE)</f>
        <v>1.03</v>
      </c>
      <c r="U228" s="123">
        <f>((($I228/$L228)*'Model Data Inputs'!$B$85)+((SUM(J228:K228)/$L228)*'Model Data Inputs'!$C$85))*$R228*$T228</f>
        <v>5377.9449788946558</v>
      </c>
      <c r="V228" s="140">
        <f>((($I228/$L228)*'Model Data Inputs'!$B$86)+((SUM(J228:K228)/$L228)*'Model Data Inputs'!$C$86))*$R228</f>
        <v>1390.1145343996893</v>
      </c>
      <c r="W228" s="140">
        <f t="shared" si="52"/>
        <v>6768.0595132943454</v>
      </c>
      <c r="X228" s="140">
        <f t="shared" si="45"/>
        <v>3998684.9419374596</v>
      </c>
      <c r="Y228" s="140">
        <f t="shared" si="46"/>
        <v>1033597.4202203387</v>
      </c>
      <c r="Z228" s="123">
        <f>IF((SUM(X228:Y228))&lt;(AVERAGE('Elementary Size Adjustment'!$B$66,'Secondary Size Adjustment'!$B$66)),(AVERAGE('Elementary Size Adjustment'!$B$66,'Secondary Size Adjustment'!$B$66)),SUM(X228:Y228))</f>
        <v>5032282.3621577984</v>
      </c>
      <c r="AA228" s="137">
        <f>'Model Data Inputs'!$B$71*S228*L228</f>
        <v>141271.46000000002</v>
      </c>
      <c r="AB228" s="137">
        <f>L228*'Model Data Inputs'!$B$72</f>
        <v>18588.350000000002</v>
      </c>
      <c r="AC228" s="137">
        <f>L228*'Model Data Inputs'!$B$73</f>
        <v>185883.50000000003</v>
      </c>
      <c r="AD228" s="137">
        <f>L228*'Model Data Inputs'!$B$74</f>
        <v>92941.750000000015</v>
      </c>
      <c r="AE228" s="137">
        <f>$I228*'Model Data Inputs'!$B$76</f>
        <v>0</v>
      </c>
      <c r="AF228" s="137">
        <f>VLOOKUP($J228,'Student Activities MS&amp;HS Tables'!$M$7:$O$1267,3)</f>
        <v>186478.13999999998</v>
      </c>
      <c r="AG228" s="137">
        <f>VLOOKUP($K228,'Student Activities MS&amp;HS Tables'!$I$7:$K$3007,3)</f>
        <v>0</v>
      </c>
      <c r="AH228" s="137">
        <f t="shared" si="47"/>
        <v>186478.13999999998</v>
      </c>
      <c r="AI228" s="123">
        <f t="shared" si="53"/>
        <v>5657445.5621577976</v>
      </c>
      <c r="AJ228" s="123">
        <f>(('Model Data Inputs'!$B$90*(('Model Data Inputs'!$B$87*('School Level Inst. Resources'!I228/'School Level Inst. Resources'!L228))+('Model Data Inputs'!$C$87*(SUM('School Level Inst. Resources'!J228:K228)/'School Level Inst. Resources'!L228))))*T228*M228)</f>
        <v>743457.62508624641</v>
      </c>
      <c r="AK228" s="123">
        <f>(('Model Data Inputs'!$B$91*(('Model Data Inputs'!$B$87*('School Level Inst. Resources'!I228/'School Level Inst. Resources'!L228))+('Model Data Inputs'!$C$87*(SUM('School Level Inst. Resources'!J228:K228)/'School Level Inst. Resources'!L228))))*T228*N228)</f>
        <v>10530.56126184485</v>
      </c>
      <c r="AL228" s="137">
        <f>(K228*'Model Data Inputs'!$B$94)*T228</f>
        <v>0</v>
      </c>
      <c r="AM228" s="137">
        <f>K228*'Model Data Inputs'!$B$95</f>
        <v>0</v>
      </c>
      <c r="AN228" s="137">
        <f t="shared" si="54"/>
        <v>0</v>
      </c>
      <c r="AO228" s="137">
        <f>('School Level Inst. Resources'!K228*'Model Data Inputs'!$B$96)+('School Level Inst. Resources'!J228*'Model Data Inputs'!$B$97)</f>
        <v>18588.350000000002</v>
      </c>
      <c r="AP228" s="137">
        <f>$L228*'Model Data Inputs'!$B$100</f>
        <v>29741.360000000004</v>
      </c>
      <c r="AQ228" s="137">
        <f t="shared" si="55"/>
        <v>6459763.4585058885</v>
      </c>
      <c r="AR228" s="141">
        <f t="shared" si="48"/>
        <v>8687.9193937410892</v>
      </c>
    </row>
    <row r="229" spans="1:44" s="40" customFormat="1" ht="12.75" customHeight="1" x14ac:dyDescent="0.2">
      <c r="A229" s="20" t="s">
        <v>66</v>
      </c>
      <c r="B229" s="20" t="s">
        <v>67</v>
      </c>
      <c r="C229" s="20" t="s">
        <v>825</v>
      </c>
      <c r="D229" s="20" t="s">
        <v>826</v>
      </c>
      <c r="E229" s="138" t="s">
        <v>716</v>
      </c>
      <c r="F229" s="138" t="str">
        <f>IF(AND(SUM('School Level ADM'!$F229:$J229)=0,SUM('School Level ADM'!$O229:$R229)=0,'School Level ADM'!$K229&gt;0,'School Level ADM'!$N229&gt;0),"T","F")</f>
        <v>F</v>
      </c>
      <c r="G229" s="138" t="str">
        <f>IF(AND(SUM('School Level ADM'!$M229:$R229)=0,'School Level ADM'!$L229&gt;0),"T","F")</f>
        <v>F</v>
      </c>
      <c r="H229" s="138" t="str">
        <f t="shared" si="42"/>
        <v>M</v>
      </c>
      <c r="I229" s="139">
        <f>IF($F229="T",SUM('School Level ADM'!$F229:$J229),IF($G229="T",SUM('School Level ADM'!$F229:$L229),SUM('School Level ADM'!$F229:$K229,0)))</f>
        <v>0</v>
      </c>
      <c r="J229" s="139">
        <f>'School Level ADM'!$S229-$I229-$K229</f>
        <v>844.21733333333327</v>
      </c>
      <c r="K229" s="139">
        <f>IF(SUM('School Level ADM'!$N229:$R229)='School Level ADM'!$S229,SUM('School Level ADM'!$N229:$R229),IF(OR(SUM('School Level ADM'!$F229:$O229)='School Level ADM'!$S229,SUM('School Level ADM'!$G229:$O229)='School Level ADM'!$S229,SUM('School Level ADM'!$H229:$O229)='School Level ADM'!$S229,SUM('School Level ADM'!$I229:$O229)='School Level ADM'!$S229,SUM('School Level ADM'!$J229:$O229)='School Level ADM'!$S229,SUM('School Level ADM'!$K229:$O229)='School Level ADM'!$S229,SUM('School Level ADM'!$L229:$O229)='School Level ADM'!$S229,SUM('School Level ADM'!$M229:$O229)='School Level ADM'!$S229,SUM('School Level ADM'!$N229:$O229)='School Level ADM'!$S229),0,SUM('School Level ADM'!$O229:$R229)))</f>
        <v>0</v>
      </c>
      <c r="L229" s="139">
        <f t="shared" si="43"/>
        <v>844.21733333333327</v>
      </c>
      <c r="M229" s="24">
        <f>'Student At-Risk and ELL Proxy'!S229</f>
        <v>400</v>
      </c>
      <c r="N229" s="24">
        <f>'Student At-Risk and ELL Proxy'!AH229</f>
        <v>16</v>
      </c>
      <c r="O229" s="136" t="str">
        <f t="shared" si="49"/>
        <v/>
      </c>
      <c r="P229" s="136">
        <f t="shared" si="50"/>
        <v>0.97</v>
      </c>
      <c r="Q229" s="136" t="str">
        <f t="shared" si="51"/>
        <v/>
      </c>
      <c r="R229" s="136">
        <f t="shared" si="44"/>
        <v>0.97</v>
      </c>
      <c r="S229" s="136">
        <f>IF(SUM(3515.4*((VLOOKUP($A229,'District Level ADM'!$A$4:$F$52,6,FALSE))^-0.327)/'Model Data Inputs'!$B$71)&lt;1,1,(3515.4*((VLOOKUP($A229,'District Level ADM'!$A$4:$F$52,6,FALSE))^-0.327)/'Model Data Inputs'!$B$71))</f>
        <v>1</v>
      </c>
      <c r="T229" s="136">
        <f>VLOOKUP($A229,'Regional Cost Adjustment'!$A$4:$C$52,3,FALSE)</f>
        <v>1.03</v>
      </c>
      <c r="U229" s="123">
        <f>((($I229/$L229)*'Model Data Inputs'!$B$85)+((SUM(J229:K229)/$L229)*'Model Data Inputs'!$C$85))*$R229*$T229</f>
        <v>5377.9449788946558</v>
      </c>
      <c r="V229" s="140">
        <f>((($I229/$L229)*'Model Data Inputs'!$B$86)+((SUM(J229:K229)/$L229)*'Model Data Inputs'!$C$86))*$R229</f>
        <v>1390.1145343996893</v>
      </c>
      <c r="W229" s="140">
        <f t="shared" si="52"/>
        <v>6768.0595132943454</v>
      </c>
      <c r="X229" s="140">
        <f t="shared" si="45"/>
        <v>4540154.3688958352</v>
      </c>
      <c r="Y229" s="140">
        <f t="shared" si="46"/>
        <v>1173558.785258814</v>
      </c>
      <c r="Z229" s="123">
        <f>IF((SUM(X229:Y229))&lt;(AVERAGE('Elementary Size Adjustment'!$B$66,'Secondary Size Adjustment'!$B$66)),(AVERAGE('Elementary Size Adjustment'!$B$66,'Secondary Size Adjustment'!$B$66)),SUM(X229:Y229))</f>
        <v>5713713.154154649</v>
      </c>
      <c r="AA229" s="137">
        <f>'Model Data Inputs'!$B$71*S229*L229</f>
        <v>160401.29333333333</v>
      </c>
      <c r="AB229" s="137">
        <f>L229*'Model Data Inputs'!$B$72</f>
        <v>21105.433333333331</v>
      </c>
      <c r="AC229" s="137">
        <f>L229*'Model Data Inputs'!$B$73</f>
        <v>211054.33333333331</v>
      </c>
      <c r="AD229" s="137">
        <f>L229*'Model Data Inputs'!$B$74</f>
        <v>105527.16666666666</v>
      </c>
      <c r="AE229" s="137">
        <f>$I229*'Model Data Inputs'!$B$76</f>
        <v>0</v>
      </c>
      <c r="AF229" s="137">
        <f>VLOOKUP($J229,'Student Activities MS&amp;HS Tables'!$M$7:$O$1267,3)</f>
        <v>203775.35999999999</v>
      </c>
      <c r="AG229" s="137">
        <f>VLOOKUP($K229,'Student Activities MS&amp;HS Tables'!$I$7:$K$3007,3)</f>
        <v>0</v>
      </c>
      <c r="AH229" s="137">
        <f t="shared" si="47"/>
        <v>203775.35999999999</v>
      </c>
      <c r="AI229" s="123">
        <f t="shared" si="53"/>
        <v>6415576.7408213159</v>
      </c>
      <c r="AJ229" s="123">
        <f>(('Model Data Inputs'!$B$90*(('Model Data Inputs'!$B$87*('School Level Inst. Resources'!I229/'School Level Inst. Resources'!L229))+('Model Data Inputs'!$C$87*(SUM('School Level Inst. Resources'!J229:K229)/'School Level Inst. Resources'!L229))))*T229*M229)</f>
        <v>842444.90094758803</v>
      </c>
      <c r="AK229" s="123">
        <f>(('Model Data Inputs'!$B$91*(('Model Data Inputs'!$B$87*('School Level Inst. Resources'!I229/'School Level Inst. Resources'!L229))+('Model Data Inputs'!$C$87*(SUM('School Level Inst. Resources'!J229:K229)/'School Level Inst. Resources'!L229))))*T229*N229)</f>
        <v>33697.796037903521</v>
      </c>
      <c r="AL229" s="137">
        <f>(K229*'Model Data Inputs'!$B$94)*T229</f>
        <v>0</v>
      </c>
      <c r="AM229" s="137">
        <f>K229*'Model Data Inputs'!$B$95</f>
        <v>0</v>
      </c>
      <c r="AN229" s="137">
        <f t="shared" si="54"/>
        <v>0</v>
      </c>
      <c r="AO229" s="137">
        <f>('School Level Inst. Resources'!K229*'Model Data Inputs'!$B$96)+('School Level Inst. Resources'!J229*'Model Data Inputs'!$B$97)</f>
        <v>21105.433333333331</v>
      </c>
      <c r="AP229" s="137">
        <f>$L229*'Model Data Inputs'!$B$100</f>
        <v>33768.693333333329</v>
      </c>
      <c r="AQ229" s="137">
        <f t="shared" si="55"/>
        <v>7346593.5644734744</v>
      </c>
      <c r="AR229" s="141">
        <f t="shared" si="48"/>
        <v>8702.2538798936548</v>
      </c>
    </row>
    <row r="230" spans="1:44" s="40" customFormat="1" ht="12.75" customHeight="1" x14ac:dyDescent="0.2">
      <c r="A230" s="20" t="s">
        <v>66</v>
      </c>
      <c r="B230" s="20" t="s">
        <v>67</v>
      </c>
      <c r="C230" s="20" t="s">
        <v>827</v>
      </c>
      <c r="D230" s="20" t="s">
        <v>828</v>
      </c>
      <c r="E230" s="138" t="s">
        <v>716</v>
      </c>
      <c r="F230" s="138" t="str">
        <f>IF(AND(SUM('School Level ADM'!$F230:$J230)=0,SUM('School Level ADM'!$O230:$R230)=0,'School Level ADM'!$K230&gt;0,'School Level ADM'!$N230&gt;0),"T","F")</f>
        <v>F</v>
      </c>
      <c r="G230" s="138" t="str">
        <f>IF(AND(SUM('School Level ADM'!$M230:$R230)=0,'School Level ADM'!$L230&gt;0),"T","F")</f>
        <v>F</v>
      </c>
      <c r="H230" s="138" t="str">
        <f t="shared" si="42"/>
        <v>M</v>
      </c>
      <c r="I230" s="139">
        <f>IF($F230="T",SUM('School Level ADM'!$F230:$J230),IF($G230="T",SUM('School Level ADM'!$F230:$L230),SUM('School Level ADM'!$F230:$K230,0)))</f>
        <v>0</v>
      </c>
      <c r="J230" s="139">
        <f>'School Level ADM'!$S230-$I230-$K230</f>
        <v>717.33333333333337</v>
      </c>
      <c r="K230" s="139">
        <f>IF(SUM('School Level ADM'!$N230:$R230)='School Level ADM'!$S230,SUM('School Level ADM'!$N230:$R230),IF(OR(SUM('School Level ADM'!$F230:$O230)='School Level ADM'!$S230,SUM('School Level ADM'!$G230:$O230)='School Level ADM'!$S230,SUM('School Level ADM'!$H230:$O230)='School Level ADM'!$S230,SUM('School Level ADM'!$I230:$O230)='School Level ADM'!$S230,SUM('School Level ADM'!$J230:$O230)='School Level ADM'!$S230,SUM('School Level ADM'!$K230:$O230)='School Level ADM'!$S230,SUM('School Level ADM'!$L230:$O230)='School Level ADM'!$S230,SUM('School Level ADM'!$M230:$O230)='School Level ADM'!$S230,SUM('School Level ADM'!$N230:$O230)='School Level ADM'!$S230),0,SUM('School Level ADM'!$O230:$R230)))</f>
        <v>0</v>
      </c>
      <c r="L230" s="139">
        <f t="shared" si="43"/>
        <v>717.33333333333337</v>
      </c>
      <c r="M230" s="24">
        <f>'Student At-Risk and ELL Proxy'!S230</f>
        <v>311</v>
      </c>
      <c r="N230" s="24">
        <f>'Student At-Risk and ELL Proxy'!AH230</f>
        <v>24</v>
      </c>
      <c r="O230" s="136" t="str">
        <f t="shared" si="49"/>
        <v/>
      </c>
      <c r="P230" s="136">
        <f t="shared" si="50"/>
        <v>0.97</v>
      </c>
      <c r="Q230" s="136" t="str">
        <f t="shared" si="51"/>
        <v/>
      </c>
      <c r="R230" s="136">
        <f t="shared" si="44"/>
        <v>0.97</v>
      </c>
      <c r="S230" s="136">
        <f>IF(SUM(3515.4*((VLOOKUP($A230,'District Level ADM'!$A$4:$F$52,6,FALSE))^-0.327)/'Model Data Inputs'!$B$71)&lt;1,1,(3515.4*((VLOOKUP($A230,'District Level ADM'!$A$4:$F$52,6,FALSE))^-0.327)/'Model Data Inputs'!$B$71))</f>
        <v>1</v>
      </c>
      <c r="T230" s="136">
        <f>VLOOKUP($A230,'Regional Cost Adjustment'!$A$4:$C$52,3,FALSE)</f>
        <v>1.03</v>
      </c>
      <c r="U230" s="123">
        <f>((($I230/$L230)*'Model Data Inputs'!$B$85)+((SUM(J230:K230)/$L230)*'Model Data Inputs'!$C$85))*$R230*$T230</f>
        <v>5377.9449788946558</v>
      </c>
      <c r="V230" s="140">
        <f>((($I230/$L230)*'Model Data Inputs'!$B$86)+((SUM(J230:K230)/$L230)*'Model Data Inputs'!$C$86))*$R230</f>
        <v>1390.1145343996893</v>
      </c>
      <c r="W230" s="140">
        <f t="shared" si="52"/>
        <v>6768.0595132943454</v>
      </c>
      <c r="X230" s="140">
        <f t="shared" si="45"/>
        <v>3857779.1981937666</v>
      </c>
      <c r="Y230" s="140">
        <f t="shared" si="46"/>
        <v>997175.49267604388</v>
      </c>
      <c r="Z230" s="123">
        <f>IF((SUM(X230:Y230))&lt;(AVERAGE('Elementary Size Adjustment'!$B$66,'Secondary Size Adjustment'!$B$66)),(AVERAGE('Elementary Size Adjustment'!$B$66,'Secondary Size Adjustment'!$B$66)),SUM(X230:Y230))</f>
        <v>4854954.6908698101</v>
      </c>
      <c r="AA230" s="137">
        <f>'Model Data Inputs'!$B$71*S230*L230</f>
        <v>136293.33333333334</v>
      </c>
      <c r="AB230" s="137">
        <f>L230*'Model Data Inputs'!$B$72</f>
        <v>17933.333333333336</v>
      </c>
      <c r="AC230" s="137">
        <f>L230*'Model Data Inputs'!$B$73</f>
        <v>179333.33333333334</v>
      </c>
      <c r="AD230" s="137">
        <f>L230*'Model Data Inputs'!$B$74</f>
        <v>89666.666666666672</v>
      </c>
      <c r="AE230" s="137">
        <f>$I230*'Model Data Inputs'!$B$76</f>
        <v>0</v>
      </c>
      <c r="AF230" s="137">
        <f>VLOOKUP($J230,'Student Activities MS&amp;HS Tables'!$M$7:$O$1267,3)</f>
        <v>181709.31</v>
      </c>
      <c r="AG230" s="137">
        <f>VLOOKUP($K230,'Student Activities MS&amp;HS Tables'!$I$7:$K$3007,3)</f>
        <v>0</v>
      </c>
      <c r="AH230" s="137">
        <f t="shared" si="47"/>
        <v>181709.31</v>
      </c>
      <c r="AI230" s="123">
        <f t="shared" si="53"/>
        <v>5459890.6675364757</v>
      </c>
      <c r="AJ230" s="123">
        <f>(('Model Data Inputs'!$B$90*(('Model Data Inputs'!$B$87*('School Level Inst. Resources'!I230/'School Level Inst. Resources'!L230))+('Model Data Inputs'!$C$87*(SUM('School Level Inst. Resources'!J230:K230)/'School Level Inst. Resources'!L230))))*T230*M230)</f>
        <v>655000.91048674972</v>
      </c>
      <c r="AK230" s="123">
        <f>(('Model Data Inputs'!$B$91*(('Model Data Inputs'!$B$87*('School Level Inst. Resources'!I230/'School Level Inst. Resources'!L230))+('Model Data Inputs'!$C$87*(SUM('School Level Inst. Resources'!J230:K230)/'School Level Inst. Resources'!L230))))*T230*N230)</f>
        <v>50546.694056855282</v>
      </c>
      <c r="AL230" s="137">
        <f>(K230*'Model Data Inputs'!$B$94)*T230</f>
        <v>0</v>
      </c>
      <c r="AM230" s="137">
        <f>K230*'Model Data Inputs'!$B$95</f>
        <v>0</v>
      </c>
      <c r="AN230" s="137">
        <f t="shared" si="54"/>
        <v>0</v>
      </c>
      <c r="AO230" s="137">
        <f>('School Level Inst. Resources'!K230*'Model Data Inputs'!$B$96)+('School Level Inst. Resources'!J230*'Model Data Inputs'!$B$97)</f>
        <v>17933.333333333336</v>
      </c>
      <c r="AP230" s="137">
        <f>$L230*'Model Data Inputs'!$B$100</f>
        <v>28693.333333333336</v>
      </c>
      <c r="AQ230" s="137">
        <f t="shared" si="55"/>
        <v>6212064.9387467466</v>
      </c>
      <c r="AR230" s="141">
        <f t="shared" si="48"/>
        <v>8659.9418291079182</v>
      </c>
    </row>
    <row r="231" spans="1:44" s="40" customFormat="1" ht="12.75" customHeight="1" x14ac:dyDescent="0.2">
      <c r="A231" s="20" t="s">
        <v>66</v>
      </c>
      <c r="B231" s="20" t="s">
        <v>67</v>
      </c>
      <c r="C231" s="20" t="s">
        <v>829</v>
      </c>
      <c r="D231" s="20" t="s">
        <v>830</v>
      </c>
      <c r="E231" s="138" t="s">
        <v>389</v>
      </c>
      <c r="F231" s="138" t="str">
        <f>IF(AND(SUM('School Level ADM'!$F231:$J231)=0,SUM('School Level ADM'!$O231:$R231)=0,'School Level ADM'!$K231&gt;0,'School Level ADM'!$N231&gt;0),"T","F")</f>
        <v>F</v>
      </c>
      <c r="G231" s="138" t="str">
        <f>IF(AND(SUM('School Level ADM'!$M231:$R231)=0,'School Level ADM'!$L231&gt;0),"T","F")</f>
        <v>F</v>
      </c>
      <c r="H231" s="138" t="str">
        <f t="shared" si="42"/>
        <v>H</v>
      </c>
      <c r="I231" s="139">
        <f>IF($F231="T",SUM('School Level ADM'!$F231:$J231),IF($G231="T",SUM('School Level ADM'!$F231:$L231),SUM('School Level ADM'!$F231:$K231,0)))</f>
        <v>0</v>
      </c>
      <c r="J231" s="139">
        <f>'School Level ADM'!$S231-$I231-$K231</f>
        <v>0</v>
      </c>
      <c r="K231" s="139">
        <f>IF(SUM('School Level ADM'!$N231:$R231)='School Level ADM'!$S231,SUM('School Level ADM'!$N231:$R231),IF(OR(SUM('School Level ADM'!$F231:$O231)='School Level ADM'!$S231,SUM('School Level ADM'!$G231:$O231)='School Level ADM'!$S231,SUM('School Level ADM'!$H231:$O231)='School Level ADM'!$S231,SUM('School Level ADM'!$I231:$O231)='School Level ADM'!$S231,SUM('School Level ADM'!$J231:$O231)='School Level ADM'!$S231,SUM('School Level ADM'!$K231:$O231)='School Level ADM'!$S231,SUM('School Level ADM'!$L231:$O231)='School Level ADM'!$S231,SUM('School Level ADM'!$M231:$O231)='School Level ADM'!$S231,SUM('School Level ADM'!$N231:$O231)='School Level ADM'!$S231),0,SUM('School Level ADM'!$O231:$R231)))</f>
        <v>1742.1313333333333</v>
      </c>
      <c r="L231" s="139">
        <f t="shared" si="43"/>
        <v>1742.1313333333333</v>
      </c>
      <c r="M231" s="24">
        <f>'Student At-Risk and ELL Proxy'!S231</f>
        <v>620</v>
      </c>
      <c r="N231" s="24">
        <f>'Student At-Risk and ELL Proxy'!AH231</f>
        <v>41</v>
      </c>
      <c r="O231" s="136" t="str">
        <f t="shared" si="49"/>
        <v/>
      </c>
      <c r="P231" s="136">
        <f t="shared" si="50"/>
        <v>0.97</v>
      </c>
      <c r="Q231" s="136" t="str">
        <f t="shared" si="51"/>
        <v/>
      </c>
      <c r="R231" s="136">
        <f t="shared" si="44"/>
        <v>0.97</v>
      </c>
      <c r="S231" s="136">
        <f>IF(SUM(3515.4*((VLOOKUP($A231,'District Level ADM'!$A$4:$F$52,6,FALSE))^-0.327)/'Model Data Inputs'!$B$71)&lt;1,1,(3515.4*((VLOOKUP($A231,'District Level ADM'!$A$4:$F$52,6,FALSE))^-0.327)/'Model Data Inputs'!$B$71))</f>
        <v>1</v>
      </c>
      <c r="T231" s="136">
        <f>VLOOKUP($A231,'Regional Cost Adjustment'!$A$4:$C$52,3,FALSE)</f>
        <v>1.03</v>
      </c>
      <c r="U231" s="123">
        <f>((($I231/$L231)*'Model Data Inputs'!$B$85)+((SUM(J231:K231)/$L231)*'Model Data Inputs'!$C$85))*$R231*$T231</f>
        <v>5377.9449788946558</v>
      </c>
      <c r="V231" s="140">
        <f>((($I231/$L231)*'Model Data Inputs'!$B$86)+((SUM(J231:K231)/$L231)*'Model Data Inputs'!$C$86))*$R231</f>
        <v>1390.1145343996893</v>
      </c>
      <c r="W231" s="140">
        <f t="shared" si="52"/>
        <v>6768.0595132943454</v>
      </c>
      <c r="X231" s="140">
        <f t="shared" si="45"/>
        <v>9369086.4566750508</v>
      </c>
      <c r="Y231" s="140">
        <f t="shared" si="46"/>
        <v>2421762.0872997767</v>
      </c>
      <c r="Z231" s="123">
        <f>IF((SUM(X231:Y231))&lt;(AVERAGE('Elementary Size Adjustment'!$B$66,'Secondary Size Adjustment'!$B$66)),(AVERAGE('Elementary Size Adjustment'!$B$66,'Secondary Size Adjustment'!$B$66)),SUM(X231:Y231))</f>
        <v>11790848.543974828</v>
      </c>
      <c r="AA231" s="137">
        <f>'Model Data Inputs'!$B$71*S231*L231</f>
        <v>331004.95333333331</v>
      </c>
      <c r="AB231" s="137">
        <f>L231*'Model Data Inputs'!$B$72</f>
        <v>43553.283333333333</v>
      </c>
      <c r="AC231" s="137">
        <f>L231*'Model Data Inputs'!$B$73</f>
        <v>435532.83333333331</v>
      </c>
      <c r="AD231" s="137">
        <f>L231*'Model Data Inputs'!$B$74</f>
        <v>217766.41666666666</v>
      </c>
      <c r="AE231" s="137">
        <f>$I231*'Model Data Inputs'!$B$76</f>
        <v>0</v>
      </c>
      <c r="AF231" s="137">
        <f>VLOOKUP($J231,'Student Activities MS&amp;HS Tables'!$M$7:$O$1267,3)</f>
        <v>0</v>
      </c>
      <c r="AG231" s="137">
        <f>VLOOKUP($K231,'Student Activities MS&amp;HS Tables'!$I$7:$K$3007,3)</f>
        <v>1035845.46</v>
      </c>
      <c r="AH231" s="137">
        <f t="shared" si="47"/>
        <v>1035845.46</v>
      </c>
      <c r="AI231" s="123">
        <f t="shared" si="53"/>
        <v>13854551.490641493</v>
      </c>
      <c r="AJ231" s="123">
        <f>(('Model Data Inputs'!$B$90*(('Model Data Inputs'!$B$87*('School Level Inst. Resources'!I231/'School Level Inst. Resources'!L231))+('Model Data Inputs'!$C$87*(SUM('School Level Inst. Resources'!J231:K231)/'School Level Inst. Resources'!L231))))*T231*M231)</f>
        <v>1305789.5964687616</v>
      </c>
      <c r="AK231" s="123">
        <f>(('Model Data Inputs'!$B$91*(('Model Data Inputs'!$B$87*('School Level Inst. Resources'!I231/'School Level Inst. Resources'!L231))+('Model Data Inputs'!$C$87*(SUM('School Level Inst. Resources'!J231:K231)/'School Level Inst. Resources'!L231))))*T231*N231)</f>
        <v>86350.602347127773</v>
      </c>
      <c r="AL231" s="137">
        <f>(K231*'Model Data Inputs'!$B$94)*T231</f>
        <v>296192.49280308868</v>
      </c>
      <c r="AM231" s="137">
        <f>K231*'Model Data Inputs'!$B$95</f>
        <v>73012.419307016666</v>
      </c>
      <c r="AN231" s="137">
        <f t="shared" si="54"/>
        <v>369204.91211010533</v>
      </c>
      <c r="AO231" s="137">
        <f>('School Level Inst. Resources'!K231*'Model Data Inputs'!$B$96)+('School Level Inst. Resources'!J231*'Model Data Inputs'!$B$97)</f>
        <v>174213.13333333333</v>
      </c>
      <c r="AP231" s="137">
        <f>$L231*'Model Data Inputs'!$B$100</f>
        <v>69685.253333333327</v>
      </c>
      <c r="AQ231" s="137">
        <f t="shared" si="55"/>
        <v>15859794.988234155</v>
      </c>
      <c r="AR231" s="141">
        <f t="shared" si="48"/>
        <v>9103.6735777483409</v>
      </c>
    </row>
    <row r="232" spans="1:44" s="40" customFormat="1" ht="12.75" customHeight="1" x14ac:dyDescent="0.2">
      <c r="A232" s="20" t="s">
        <v>66</v>
      </c>
      <c r="B232" s="20" t="s">
        <v>67</v>
      </c>
      <c r="C232" s="20" t="s">
        <v>831</v>
      </c>
      <c r="D232" s="20" t="s">
        <v>832</v>
      </c>
      <c r="E232" s="138" t="s">
        <v>389</v>
      </c>
      <c r="F232" s="138" t="str">
        <f>IF(AND(SUM('School Level ADM'!$F232:$J232)=0,SUM('School Level ADM'!$O232:$R232)=0,'School Level ADM'!$K232&gt;0,'School Level ADM'!$N232&gt;0),"T","F")</f>
        <v>F</v>
      </c>
      <c r="G232" s="138" t="str">
        <f>IF(AND(SUM('School Level ADM'!$M232:$R232)=0,'School Level ADM'!$L232&gt;0),"T","F")</f>
        <v>F</v>
      </c>
      <c r="H232" s="138" t="str">
        <f t="shared" si="42"/>
        <v>H</v>
      </c>
      <c r="I232" s="139">
        <f>IF($F232="T",SUM('School Level ADM'!$F232:$J232),IF($G232="T",SUM('School Level ADM'!$F232:$L232),SUM('School Level ADM'!$F232:$K232,0)))</f>
        <v>0</v>
      </c>
      <c r="J232" s="139">
        <f>'School Level ADM'!$S232-$I232-$K232</f>
        <v>0</v>
      </c>
      <c r="K232" s="139">
        <f>IF(SUM('School Level ADM'!$N232:$R232)='School Level ADM'!$S232,SUM('School Level ADM'!$N232:$R232),IF(OR(SUM('School Level ADM'!$F232:$O232)='School Level ADM'!$S232,SUM('School Level ADM'!$G232:$O232)='School Level ADM'!$S232,SUM('School Level ADM'!$H232:$O232)='School Level ADM'!$S232,SUM('School Level ADM'!$I232:$O232)='School Level ADM'!$S232,SUM('School Level ADM'!$J232:$O232)='School Level ADM'!$S232,SUM('School Level ADM'!$K232:$O232)='School Level ADM'!$S232,SUM('School Level ADM'!$L232:$O232)='School Level ADM'!$S232,SUM('School Level ADM'!$M232:$O232)='School Level ADM'!$S232,SUM('School Level ADM'!$N232:$O232)='School Level ADM'!$S232),0,SUM('School Level ADM'!$O232:$R232)))</f>
        <v>1606.7569999999998</v>
      </c>
      <c r="L232" s="139">
        <f t="shared" si="43"/>
        <v>1606.7569999999998</v>
      </c>
      <c r="M232" s="24">
        <f>'Student At-Risk and ELL Proxy'!S232</f>
        <v>615</v>
      </c>
      <c r="N232" s="24">
        <f>'Student At-Risk and ELL Proxy'!AH232</f>
        <v>25</v>
      </c>
      <c r="O232" s="136" t="str">
        <f t="shared" si="49"/>
        <v/>
      </c>
      <c r="P232" s="136">
        <f t="shared" si="50"/>
        <v>0.97</v>
      </c>
      <c r="Q232" s="136" t="str">
        <f t="shared" si="51"/>
        <v/>
      </c>
      <c r="R232" s="136">
        <f t="shared" si="44"/>
        <v>0.97</v>
      </c>
      <c r="S232" s="136">
        <f>IF(SUM(3515.4*((VLOOKUP($A232,'District Level ADM'!$A$4:$F$52,6,FALSE))^-0.327)/'Model Data Inputs'!$B$71)&lt;1,1,(3515.4*((VLOOKUP($A232,'District Level ADM'!$A$4:$F$52,6,FALSE))^-0.327)/'Model Data Inputs'!$B$71))</f>
        <v>1</v>
      </c>
      <c r="T232" s="136">
        <f>VLOOKUP($A232,'Regional Cost Adjustment'!$A$4:$C$52,3,FALSE)</f>
        <v>1.03</v>
      </c>
      <c r="U232" s="123">
        <f>((($I232/$L232)*'Model Data Inputs'!$B$85)+((SUM(J232:K232)/$L232)*'Model Data Inputs'!$C$85))*$R232*$T232</f>
        <v>5377.9449788946558</v>
      </c>
      <c r="V232" s="140">
        <f>((($I232/$L232)*'Model Data Inputs'!$B$86)+((SUM(J232:K232)/$L232)*'Model Data Inputs'!$C$86))*$R232</f>
        <v>1390.1145343996893</v>
      </c>
      <c r="W232" s="140">
        <f t="shared" si="52"/>
        <v>6768.0595132943454</v>
      </c>
      <c r="X232" s="140">
        <f t="shared" si="45"/>
        <v>8641050.7404538393</v>
      </c>
      <c r="Y232" s="140">
        <f t="shared" si="46"/>
        <v>2233576.2589484416</v>
      </c>
      <c r="Z232" s="123">
        <f>IF((SUM(X232:Y232))&lt;(AVERAGE('Elementary Size Adjustment'!$B$66,'Secondary Size Adjustment'!$B$66)),(AVERAGE('Elementary Size Adjustment'!$B$66,'Secondary Size Adjustment'!$B$66)),SUM(X232:Y232))</f>
        <v>10874626.999402281</v>
      </c>
      <c r="AA232" s="137">
        <f>'Model Data Inputs'!$B$71*S232*L232</f>
        <v>305283.82999999996</v>
      </c>
      <c r="AB232" s="137">
        <f>L232*'Model Data Inputs'!$B$72</f>
        <v>40168.924999999996</v>
      </c>
      <c r="AC232" s="137">
        <f>L232*'Model Data Inputs'!$B$73</f>
        <v>401689.24999999994</v>
      </c>
      <c r="AD232" s="137">
        <f>L232*'Model Data Inputs'!$B$74</f>
        <v>200844.62499999997</v>
      </c>
      <c r="AE232" s="137">
        <f>$I232*'Model Data Inputs'!$B$76</f>
        <v>0</v>
      </c>
      <c r="AF232" s="137">
        <f>VLOOKUP($J232,'Student Activities MS&amp;HS Tables'!$M$7:$O$1267,3)</f>
        <v>0</v>
      </c>
      <c r="AG232" s="137">
        <f>VLOOKUP($K232,'Student Activities MS&amp;HS Tables'!$I$7:$K$3007,3)</f>
        <v>954975.78</v>
      </c>
      <c r="AH232" s="137">
        <f t="shared" si="47"/>
        <v>954975.78</v>
      </c>
      <c r="AI232" s="123">
        <f t="shared" si="53"/>
        <v>12777589.409402281</v>
      </c>
      <c r="AJ232" s="123">
        <f>(('Model Data Inputs'!$B$90*(('Model Data Inputs'!$B$87*('School Level Inst. Resources'!I232/'School Level Inst. Resources'!L232))+('Model Data Inputs'!$C$87*(SUM('School Level Inst. Resources'!J232:K232)/'School Level Inst. Resources'!L232))))*T232*M232)</f>
        <v>1295259.0352069165</v>
      </c>
      <c r="AK232" s="123">
        <f>(('Model Data Inputs'!$B$91*(('Model Data Inputs'!$B$87*('School Level Inst. Resources'!I232/'School Level Inst. Resources'!L232))+('Model Data Inputs'!$C$87*(SUM('School Level Inst. Resources'!J232:K232)/'School Level Inst. Resources'!L232))))*T232*N232)</f>
        <v>52652.806309224252</v>
      </c>
      <c r="AL232" s="137">
        <f>(K232*'Model Data Inputs'!$B$94)*T232</f>
        <v>273176.51204184705</v>
      </c>
      <c r="AM232" s="137">
        <f>K232*'Model Data Inputs'!$B$95</f>
        <v>67338.904687524991</v>
      </c>
      <c r="AN232" s="137">
        <f t="shared" si="54"/>
        <v>340515.41672937205</v>
      </c>
      <c r="AO232" s="137">
        <f>('School Level Inst. Resources'!K232*'Model Data Inputs'!$B$96)+('School Level Inst. Resources'!J232*'Model Data Inputs'!$B$97)</f>
        <v>160675.69999999998</v>
      </c>
      <c r="AP232" s="137">
        <f>$L232*'Model Data Inputs'!$B$100</f>
        <v>64270.279999999992</v>
      </c>
      <c r="AQ232" s="137">
        <f t="shared" si="55"/>
        <v>14690962.647647792</v>
      </c>
      <c r="AR232" s="141">
        <f t="shared" si="48"/>
        <v>9143.2386152030413</v>
      </c>
    </row>
    <row r="233" spans="1:44" s="40" customFormat="1" ht="12.75" customHeight="1" x14ac:dyDescent="0.2">
      <c r="A233" s="20" t="s">
        <v>66</v>
      </c>
      <c r="B233" s="20" t="s">
        <v>67</v>
      </c>
      <c r="C233" s="20" t="s">
        <v>833</v>
      </c>
      <c r="D233" s="20" t="s">
        <v>834</v>
      </c>
      <c r="E233" s="138" t="s">
        <v>465</v>
      </c>
      <c r="F233" s="138" t="str">
        <f>IF(AND(SUM('School Level ADM'!$F233:$J233)=0,SUM('School Level ADM'!$O233:$R233)=0,'School Level ADM'!$K233&gt;0,'School Level ADM'!$N233&gt;0),"T","F")</f>
        <v>F</v>
      </c>
      <c r="G233" s="138" t="str">
        <f>IF(AND(SUM('School Level ADM'!$M233:$R233)=0,'School Level ADM'!$L233&gt;0),"T","F")</f>
        <v>F</v>
      </c>
      <c r="H233" s="138" t="str">
        <f t="shared" si="42"/>
        <v>H</v>
      </c>
      <c r="I233" s="139">
        <f>IF($F233="T",SUM('School Level ADM'!$F233:$J233),IF($G233="T",SUM('School Level ADM'!$F233:$L233),SUM('School Level ADM'!$F233:$K233,0)))</f>
        <v>0</v>
      </c>
      <c r="J233" s="139">
        <f>'School Level ADM'!$S233-$I233-$K233</f>
        <v>0</v>
      </c>
      <c r="K233" s="139">
        <f>IF(SUM('School Level ADM'!$N233:$R233)='School Level ADM'!$S233,SUM('School Level ADM'!$N233:$R233),IF(OR(SUM('School Level ADM'!$F233:$O233)='School Level ADM'!$S233,SUM('School Level ADM'!$G233:$O233)='School Level ADM'!$S233,SUM('School Level ADM'!$H233:$O233)='School Level ADM'!$S233,SUM('School Level ADM'!$I233:$O233)='School Level ADM'!$S233,SUM('School Level ADM'!$J233:$O233)='School Level ADM'!$S233,SUM('School Level ADM'!$K233:$O233)='School Level ADM'!$S233,SUM('School Level ADM'!$L233:$O233)='School Level ADM'!$S233,SUM('School Level ADM'!$M233:$O233)='School Level ADM'!$S233,SUM('School Level ADM'!$N233:$O233)='School Level ADM'!$S233),0,SUM('School Level ADM'!$O233:$R233)))</f>
        <v>199.09300000000002</v>
      </c>
      <c r="L233" s="139">
        <f t="shared" si="43"/>
        <v>199.09300000000002</v>
      </c>
      <c r="M233" s="24">
        <f>'Student At-Risk and ELL Proxy'!S233</f>
        <v>192</v>
      </c>
      <c r="N233" s="24">
        <f>'Student At-Risk and ELL Proxy'!AH233</f>
        <v>4</v>
      </c>
      <c r="O233" s="136" t="str">
        <f t="shared" si="49"/>
        <v/>
      </c>
      <c r="P233" s="136">
        <f t="shared" si="50"/>
        <v>1.4234232049812519</v>
      </c>
      <c r="Q233" s="136" t="str">
        <f t="shared" si="51"/>
        <v/>
      </c>
      <c r="R233" s="136">
        <f t="shared" si="44"/>
        <v>1.4234232049812519</v>
      </c>
      <c r="S233" s="136">
        <f>IF(SUM(3515.4*((VLOOKUP($A233,'District Level ADM'!$A$4:$F$52,6,FALSE))^-0.327)/'Model Data Inputs'!$B$71)&lt;1,1,(3515.4*((VLOOKUP($A233,'District Level ADM'!$A$4:$F$52,6,FALSE))^-0.327)/'Model Data Inputs'!$B$71))</f>
        <v>1</v>
      </c>
      <c r="T233" s="136">
        <f>VLOOKUP($A233,'Regional Cost Adjustment'!$A$4:$C$52,3,FALSE)</f>
        <v>1.03</v>
      </c>
      <c r="U233" s="123">
        <f>((($I233/$L233)*'Model Data Inputs'!$B$85)+((SUM(J233:K233)/$L233)*'Model Data Inputs'!$C$85))*$R233*$T233</f>
        <v>7891.8470907949086</v>
      </c>
      <c r="V233" s="140">
        <f>((($I233/$L233)*'Model Data Inputs'!$B$86)+((SUM(J233:K233)/$L233)*'Model Data Inputs'!$C$86))*$R233</f>
        <v>2039.9188513878626</v>
      </c>
      <c r="W233" s="140">
        <f t="shared" si="52"/>
        <v>9931.7659421827702</v>
      </c>
      <c r="X233" s="140">
        <f t="shared" si="45"/>
        <v>1571211.5128476308</v>
      </c>
      <c r="Y233" s="140">
        <f t="shared" si="46"/>
        <v>406133.56387936376</v>
      </c>
      <c r="Z233" s="123">
        <f>IF((SUM(X233:Y233))&lt;(AVERAGE('Elementary Size Adjustment'!$B$66,'Secondary Size Adjustment'!$B$66)),(AVERAGE('Elementary Size Adjustment'!$B$66,'Secondary Size Adjustment'!$B$66)),SUM(X233:Y233))</f>
        <v>1977345.0767269945</v>
      </c>
      <c r="AA233" s="137">
        <f>'Model Data Inputs'!$B$71*S233*L233</f>
        <v>37827.670000000006</v>
      </c>
      <c r="AB233" s="137">
        <f>L233*'Model Data Inputs'!$B$72</f>
        <v>4977.3250000000007</v>
      </c>
      <c r="AC233" s="137">
        <f>L233*'Model Data Inputs'!$B$73</f>
        <v>49773.250000000007</v>
      </c>
      <c r="AD233" s="137">
        <f>L233*'Model Data Inputs'!$B$74</f>
        <v>24886.625000000004</v>
      </c>
      <c r="AE233" s="137">
        <f>$I233*'Model Data Inputs'!$B$76</f>
        <v>0</v>
      </c>
      <c r="AF233" s="137">
        <f>VLOOKUP($J233,'Student Activities MS&amp;HS Tables'!$M$7:$O$1267,3)</f>
        <v>0</v>
      </c>
      <c r="AG233" s="137">
        <f>VLOOKUP($K233,'Student Activities MS&amp;HS Tables'!$I$7:$K$3007,3)</f>
        <v>254696.12000000002</v>
      </c>
      <c r="AH233" s="137">
        <f t="shared" si="47"/>
        <v>254696.12000000002</v>
      </c>
      <c r="AI233" s="123">
        <f t="shared" si="53"/>
        <v>2349506.0667269942</v>
      </c>
      <c r="AJ233" s="123">
        <f>(('Model Data Inputs'!$B$90*(('Model Data Inputs'!$B$87*('School Level Inst. Resources'!I233/'School Level Inst. Resources'!L233))+('Model Data Inputs'!$C$87*(SUM('School Level Inst. Resources'!J233:K233)/'School Level Inst. Resources'!L233))))*T233*M233)</f>
        <v>404373.55245484225</v>
      </c>
      <c r="AK233" s="123">
        <f>(('Model Data Inputs'!$B$91*(('Model Data Inputs'!$B$87*('School Level Inst. Resources'!I233/'School Level Inst. Resources'!L233))+('Model Data Inputs'!$C$87*(SUM('School Level Inst. Resources'!J233:K233)/'School Level Inst. Resources'!L233))))*T233*N233)</f>
        <v>8424.4490094758803</v>
      </c>
      <c r="AL233" s="137">
        <f>(K233*'Model Data Inputs'!$B$94)*T233</f>
        <v>33849.257424705458</v>
      </c>
      <c r="AM233" s="137">
        <f>K233*'Model Data Inputs'!$B$95</f>
        <v>8343.9527887250006</v>
      </c>
      <c r="AN233" s="137">
        <f t="shared" si="54"/>
        <v>42193.210213430459</v>
      </c>
      <c r="AO233" s="137">
        <f>('School Level Inst. Resources'!K233*'Model Data Inputs'!$B$96)+('School Level Inst. Resources'!J233*'Model Data Inputs'!$B$97)</f>
        <v>19909.300000000003</v>
      </c>
      <c r="AP233" s="137">
        <f>$L233*'Model Data Inputs'!$B$100</f>
        <v>7963.7200000000012</v>
      </c>
      <c r="AQ233" s="137">
        <f t="shared" si="55"/>
        <v>2832370.2984047425</v>
      </c>
      <c r="AR233" s="141">
        <f t="shared" si="48"/>
        <v>14226.368071226725</v>
      </c>
    </row>
    <row r="234" spans="1:44" s="40" customFormat="1" ht="12.75" customHeight="1" x14ac:dyDescent="0.2">
      <c r="A234" s="20" t="s">
        <v>68</v>
      </c>
      <c r="B234" s="20" t="s">
        <v>69</v>
      </c>
      <c r="C234" s="20" t="s">
        <v>835</v>
      </c>
      <c r="D234" s="20" t="s">
        <v>836</v>
      </c>
      <c r="E234" s="138" t="s">
        <v>357</v>
      </c>
      <c r="F234" s="138" t="str">
        <f>IF(AND(SUM('School Level ADM'!$F234:$J234)=0,SUM('School Level ADM'!$O234:$R234)=0,'School Level ADM'!$K234&gt;0,'School Level ADM'!$N234&gt;0),"T","F")</f>
        <v>F</v>
      </c>
      <c r="G234" s="138" t="str">
        <f>IF(AND(SUM('School Level ADM'!$M234:$R234)=0,'School Level ADM'!$L234&gt;0),"T","F")</f>
        <v>F</v>
      </c>
      <c r="H234" s="138" t="str">
        <f t="shared" si="42"/>
        <v>E</v>
      </c>
      <c r="I234" s="139">
        <f>IF($F234="T",SUM('School Level ADM'!$F234:$J234),IF($G234="T",SUM('School Level ADM'!$F234:$L234),SUM('School Level ADM'!$F234:$K234,0)))</f>
        <v>4.3066666666666666</v>
      </c>
      <c r="J234" s="139">
        <f>'School Level ADM'!$S234-$I234-$K234</f>
        <v>0</v>
      </c>
      <c r="K234" s="139">
        <f>IF(SUM('School Level ADM'!$N234:$R234)='School Level ADM'!$S234,SUM('School Level ADM'!$N234:$R234),IF(OR(SUM('School Level ADM'!$F234:$O234)='School Level ADM'!$S234,SUM('School Level ADM'!$G234:$O234)='School Level ADM'!$S234,SUM('School Level ADM'!$H234:$O234)='School Level ADM'!$S234,SUM('School Level ADM'!$I234:$O234)='School Level ADM'!$S234,SUM('School Level ADM'!$J234:$O234)='School Level ADM'!$S234,SUM('School Level ADM'!$K234:$O234)='School Level ADM'!$S234,SUM('School Level ADM'!$L234:$O234)='School Level ADM'!$S234,SUM('School Level ADM'!$M234:$O234)='School Level ADM'!$S234,SUM('School Level ADM'!$N234:$O234)='School Level ADM'!$S234),0,SUM('School Level ADM'!$O234:$R234)))</f>
        <v>0</v>
      </c>
      <c r="L234" s="139">
        <f t="shared" si="43"/>
        <v>4.3066666666666666</v>
      </c>
      <c r="M234" s="24">
        <f>'Student At-Risk and ELL Proxy'!S234</f>
        <v>0</v>
      </c>
      <c r="N234" s="24">
        <f>'Student At-Risk and ELL Proxy'!AH234</f>
        <v>0</v>
      </c>
      <c r="O234" s="136">
        <f t="shared" si="49"/>
        <v>5.3733816705744379</v>
      </c>
      <c r="P234" s="136" t="str">
        <f t="shared" si="50"/>
        <v/>
      </c>
      <c r="Q234" s="136" t="str">
        <f t="shared" si="51"/>
        <v/>
      </c>
      <c r="R234" s="136">
        <f t="shared" si="44"/>
        <v>5.3733816705744379</v>
      </c>
      <c r="S234" s="136">
        <f>IF(SUM(3515.4*((VLOOKUP($A234,'District Level ADM'!$A$4:$F$52,6,FALSE))^-0.327)/'Model Data Inputs'!$B$71)&lt;1,1,(3515.4*((VLOOKUP($A234,'District Level ADM'!$A$4:$F$52,6,FALSE))^-0.327)/'Model Data Inputs'!$B$71))</f>
        <v>2.0639116728958453</v>
      </c>
      <c r="T234" s="136">
        <f>VLOOKUP($A234,'Regional Cost Adjustment'!$A$4:$C$52,3,FALSE)</f>
        <v>0.87</v>
      </c>
      <c r="U234" s="123">
        <f>((($I234/$L234)*'Model Data Inputs'!$B$85)+((SUM(J234:K234)/$L234)*'Model Data Inputs'!$C$85))*$R234*$T234</f>
        <v>29767.466744369864</v>
      </c>
      <c r="V234" s="140">
        <f>((($I234/$L234)*'Model Data Inputs'!$B$86)+((SUM(J234:K234)/$L234)*'Model Data Inputs'!$C$86))*$R234</f>
        <v>9095.1187624589184</v>
      </c>
      <c r="W234" s="140">
        <f t="shared" si="52"/>
        <v>38862.585506828778</v>
      </c>
      <c r="X234" s="140">
        <f t="shared" si="45"/>
        <v>128198.55677908621</v>
      </c>
      <c r="Y234" s="140">
        <f t="shared" si="46"/>
        <v>39169.644803656411</v>
      </c>
      <c r="Z234" s="123">
        <f>IF((SUM(X234:Y234))&lt;(AVERAGE('Elementary Size Adjustment'!$B$66,'Secondary Size Adjustment'!$B$66)),(AVERAGE('Elementary Size Adjustment'!$B$66,'Secondary Size Adjustment'!$B$66)),SUM(X234:Y234))</f>
        <v>167368.20158274262</v>
      </c>
      <c r="AA234" s="137">
        <f>'Model Data Inputs'!$B$71*S234*L234</f>
        <v>1688.8301248749069</v>
      </c>
      <c r="AB234" s="137">
        <f>L234*'Model Data Inputs'!$B$72</f>
        <v>107.66666666666667</v>
      </c>
      <c r="AC234" s="137">
        <f>L234*'Model Data Inputs'!$B$73</f>
        <v>1076.6666666666667</v>
      </c>
      <c r="AD234" s="137">
        <f>L234*'Model Data Inputs'!$B$74</f>
        <v>538.33333333333337</v>
      </c>
      <c r="AE234" s="137">
        <f>$I234*'Model Data Inputs'!$B$76</f>
        <v>102.45559999999999</v>
      </c>
      <c r="AF234" s="137">
        <f>VLOOKUP($J234,'Student Activities MS&amp;HS Tables'!$M$7:$O$1267,3)</f>
        <v>0</v>
      </c>
      <c r="AG234" s="137">
        <f>VLOOKUP($K234,'Student Activities MS&amp;HS Tables'!$I$7:$K$3007,3)</f>
        <v>0</v>
      </c>
      <c r="AH234" s="137">
        <f t="shared" si="47"/>
        <v>102.45559999999999</v>
      </c>
      <c r="AI234" s="123">
        <f t="shared" si="53"/>
        <v>170882.15397428419</v>
      </c>
      <c r="AJ234" s="123">
        <f>(('Model Data Inputs'!$B$90*(('Model Data Inputs'!$B$87*('School Level Inst. Resources'!I234/'School Level Inst. Resources'!L234))+('Model Data Inputs'!$C$87*(SUM('School Level Inst. Resources'!J234:K234)/'School Level Inst. Resources'!L234))))*T234*M234)</f>
        <v>0</v>
      </c>
      <c r="AK234" s="123">
        <f>(('Model Data Inputs'!$B$91*(('Model Data Inputs'!$B$87*('School Level Inst. Resources'!I234/'School Level Inst. Resources'!L234))+('Model Data Inputs'!$C$87*(SUM('School Level Inst. Resources'!J234:K234)/'School Level Inst. Resources'!L234))))*T234*N234)</f>
        <v>0</v>
      </c>
      <c r="AL234" s="137">
        <f>(K234*'Model Data Inputs'!$B$94)*T234</f>
        <v>0</v>
      </c>
      <c r="AM234" s="137">
        <f>K234*'Model Data Inputs'!$B$95</f>
        <v>0</v>
      </c>
      <c r="AN234" s="137">
        <f t="shared" si="54"/>
        <v>0</v>
      </c>
      <c r="AO234" s="137">
        <f>('School Level Inst. Resources'!K234*'Model Data Inputs'!$B$96)+('School Level Inst. Resources'!J234*'Model Data Inputs'!$B$97)</f>
        <v>0</v>
      </c>
      <c r="AP234" s="137">
        <f>$L234*'Model Data Inputs'!$B$100</f>
        <v>172.26666666666665</v>
      </c>
      <c r="AQ234" s="137">
        <f t="shared" si="55"/>
        <v>171054.42064095085</v>
      </c>
      <c r="AR234" s="141">
        <f t="shared" si="48"/>
        <v>39718.518724678986</v>
      </c>
    </row>
    <row r="235" spans="1:44" s="40" customFormat="1" ht="12.75" customHeight="1" x14ac:dyDescent="0.2">
      <c r="A235" s="20" t="s">
        <v>68</v>
      </c>
      <c r="B235" s="20" t="s">
        <v>69</v>
      </c>
      <c r="C235" s="20" t="s">
        <v>837</v>
      </c>
      <c r="D235" s="20" t="s">
        <v>838</v>
      </c>
      <c r="E235" s="138" t="s">
        <v>354</v>
      </c>
      <c r="F235" s="138" t="str">
        <f>IF(AND(SUM('School Level ADM'!$F235:$J235)=0,SUM('School Level ADM'!$O235:$R235)=0,'School Level ADM'!$K235&gt;0,'School Level ADM'!$N235&gt;0),"T","F")</f>
        <v>F</v>
      </c>
      <c r="G235" s="138" t="str">
        <f>IF(AND(SUM('School Level ADM'!$M235:$R235)=0,'School Level ADM'!$L235&gt;0),"T","F")</f>
        <v>F</v>
      </c>
      <c r="H235" s="138" t="str">
        <f t="shared" si="42"/>
        <v>E</v>
      </c>
      <c r="I235" s="139">
        <f>IF($F235="T",SUM('School Level ADM'!$F235:$J235),IF($G235="T",SUM('School Level ADM'!$F235:$L235),SUM('School Level ADM'!$F235:$K235,0)))</f>
        <v>285.67699999999996</v>
      </c>
      <c r="J235" s="139">
        <f>'School Level ADM'!$S235-$I235-$K235</f>
        <v>0</v>
      </c>
      <c r="K235" s="139">
        <f>IF(SUM('School Level ADM'!$N235:$R235)='School Level ADM'!$S235,SUM('School Level ADM'!$N235:$R235),IF(OR(SUM('School Level ADM'!$F235:$O235)='School Level ADM'!$S235,SUM('School Level ADM'!$G235:$O235)='School Level ADM'!$S235,SUM('School Level ADM'!$H235:$O235)='School Level ADM'!$S235,SUM('School Level ADM'!$I235:$O235)='School Level ADM'!$S235,SUM('School Level ADM'!$J235:$O235)='School Level ADM'!$S235,SUM('School Level ADM'!$K235:$O235)='School Level ADM'!$S235,SUM('School Level ADM'!$L235:$O235)='School Level ADM'!$S235,SUM('School Level ADM'!$M235:$O235)='School Level ADM'!$S235,SUM('School Level ADM'!$N235:$O235)='School Level ADM'!$S235),0,SUM('School Level ADM'!$O235:$R235)))</f>
        <v>0</v>
      </c>
      <c r="L235" s="139">
        <f t="shared" si="43"/>
        <v>285.67699999999996</v>
      </c>
      <c r="M235" s="24">
        <f>'Student At-Risk and ELL Proxy'!S235</f>
        <v>52</v>
      </c>
      <c r="N235" s="24">
        <f>'Student At-Risk and ELL Proxy'!AH235</f>
        <v>0</v>
      </c>
      <c r="O235" s="136">
        <f t="shared" si="49"/>
        <v>1.0120397030971366</v>
      </c>
      <c r="P235" s="136" t="str">
        <f t="shared" si="50"/>
        <v/>
      </c>
      <c r="Q235" s="136" t="str">
        <f t="shared" si="51"/>
        <v/>
      </c>
      <c r="R235" s="136">
        <f t="shared" si="44"/>
        <v>1.0120397030971366</v>
      </c>
      <c r="S235" s="136">
        <f>IF(SUM(3515.4*((VLOOKUP($A235,'District Level ADM'!$A$4:$F$52,6,FALSE))^-0.327)/'Model Data Inputs'!$B$71)&lt;1,1,(3515.4*((VLOOKUP($A235,'District Level ADM'!$A$4:$F$52,6,FALSE))^-0.327)/'Model Data Inputs'!$B$71))</f>
        <v>2.0639116728958453</v>
      </c>
      <c r="T235" s="136">
        <f>VLOOKUP($A235,'Regional Cost Adjustment'!$A$4:$C$52,3,FALSE)</f>
        <v>0.87</v>
      </c>
      <c r="U235" s="123">
        <f>((($I235/$L235)*'Model Data Inputs'!$B$85)+((SUM(J235:K235)/$L235)*'Model Data Inputs'!$C$85))*$R235*$T235</f>
        <v>5606.4988591635583</v>
      </c>
      <c r="V235" s="140">
        <f>((($I235/$L235)*'Model Data Inputs'!$B$86)+((SUM(J235:K235)/$L235)*'Model Data Inputs'!$C$86))*$R235</f>
        <v>1713.0034410915214</v>
      </c>
      <c r="W235" s="140">
        <f t="shared" si="52"/>
        <v>7319.5023002550797</v>
      </c>
      <c r="X235" s="140">
        <f t="shared" si="45"/>
        <v>1601647.7745892676</v>
      </c>
      <c r="Y235" s="140">
        <f t="shared" si="46"/>
        <v>489365.68404070247</v>
      </c>
      <c r="Z235" s="123">
        <f>IF((SUM(X235:Y235))&lt;(AVERAGE('Elementary Size Adjustment'!$B$66,'Secondary Size Adjustment'!$B$66)),(AVERAGE('Elementary Size Adjustment'!$B$66,'Secondary Size Adjustment'!$B$66)),SUM(X235:Y235))</f>
        <v>2091013.45862997</v>
      </c>
      <c r="AA235" s="137">
        <f>'Model Data Inputs'!$B$71*S235*L235</f>
        <v>112026.2980457946</v>
      </c>
      <c r="AB235" s="137">
        <f>L235*'Model Data Inputs'!$B$72</f>
        <v>7141.9249999999993</v>
      </c>
      <c r="AC235" s="137">
        <f>L235*'Model Data Inputs'!$B$73</f>
        <v>71419.249999999985</v>
      </c>
      <c r="AD235" s="137">
        <f>L235*'Model Data Inputs'!$B$74</f>
        <v>35709.624999999993</v>
      </c>
      <c r="AE235" s="137">
        <f>$I235*'Model Data Inputs'!$B$76</f>
        <v>6796.2558299999992</v>
      </c>
      <c r="AF235" s="137">
        <f>VLOOKUP($J235,'Student Activities MS&amp;HS Tables'!$M$7:$O$1267,3)</f>
        <v>0</v>
      </c>
      <c r="AG235" s="137">
        <f>VLOOKUP($K235,'Student Activities MS&amp;HS Tables'!$I$7:$K$3007,3)</f>
        <v>0</v>
      </c>
      <c r="AH235" s="137">
        <f t="shared" si="47"/>
        <v>6796.2558299999992</v>
      </c>
      <c r="AI235" s="123">
        <f t="shared" si="53"/>
        <v>2324106.8125057644</v>
      </c>
      <c r="AJ235" s="123">
        <f>(('Model Data Inputs'!$B$90*(('Model Data Inputs'!$B$87*('School Level Inst. Resources'!I235/'School Level Inst. Resources'!L235))+('Model Data Inputs'!$C$87*(SUM('School Level Inst. Resources'!J235:K235)/'School Level Inst. Resources'!L235))))*T235*M235)</f>
        <v>109393.2032178579</v>
      </c>
      <c r="AK235" s="123">
        <f>(('Model Data Inputs'!$B$91*(('Model Data Inputs'!$B$87*('School Level Inst. Resources'!I235/'School Level Inst. Resources'!L235))+('Model Data Inputs'!$C$87*(SUM('School Level Inst. Resources'!J235:K235)/'School Level Inst. Resources'!L235))))*T235*N235)</f>
        <v>0</v>
      </c>
      <c r="AL235" s="137">
        <f>(K235*'Model Data Inputs'!$B$94)*T235</f>
        <v>0</v>
      </c>
      <c r="AM235" s="137">
        <f>K235*'Model Data Inputs'!$B$95</f>
        <v>0</v>
      </c>
      <c r="AN235" s="137">
        <f t="shared" si="54"/>
        <v>0</v>
      </c>
      <c r="AO235" s="137">
        <f>('School Level Inst. Resources'!K235*'Model Data Inputs'!$B$96)+('School Level Inst. Resources'!J235*'Model Data Inputs'!$B$97)</f>
        <v>0</v>
      </c>
      <c r="AP235" s="137">
        <f>$L235*'Model Data Inputs'!$B$100</f>
        <v>11427.079999999998</v>
      </c>
      <c r="AQ235" s="137">
        <f t="shared" si="55"/>
        <v>2444927.0957236225</v>
      </c>
      <c r="AR235" s="141">
        <f t="shared" si="48"/>
        <v>8558.3617012346913</v>
      </c>
    </row>
    <row r="236" spans="1:44" s="40" customFormat="1" ht="12.75" customHeight="1" x14ac:dyDescent="0.2">
      <c r="A236" s="20" t="s">
        <v>68</v>
      </c>
      <c r="B236" s="20" t="s">
        <v>69</v>
      </c>
      <c r="C236" s="20" t="s">
        <v>839</v>
      </c>
      <c r="D236" s="20" t="s">
        <v>840</v>
      </c>
      <c r="E236" s="138" t="s">
        <v>383</v>
      </c>
      <c r="F236" s="138" t="str">
        <f>IF(AND(SUM('School Level ADM'!$F236:$J236)=0,SUM('School Level ADM'!$O236:$R236)=0,'School Level ADM'!$K236&gt;0,'School Level ADM'!$N236&gt;0),"T","F")</f>
        <v>F</v>
      </c>
      <c r="G236" s="138" t="str">
        <f>IF(AND(SUM('School Level ADM'!$M236:$R236)=0,'School Level ADM'!$L236&gt;0),"T","F")</f>
        <v>F</v>
      </c>
      <c r="H236" s="138" t="str">
        <f t="shared" si="42"/>
        <v>M</v>
      </c>
      <c r="I236" s="139">
        <f>IF($F236="T",SUM('School Level ADM'!$F236:$J236),IF($G236="T",SUM('School Level ADM'!$F236:$L236),SUM('School Level ADM'!$F236:$K236,0)))</f>
        <v>0</v>
      </c>
      <c r="J236" s="139">
        <f>'School Level ADM'!$S236-$I236-$K236</f>
        <v>225.39400000000001</v>
      </c>
      <c r="K236" s="139">
        <f>IF(SUM('School Level ADM'!$N236:$R236)='School Level ADM'!$S236,SUM('School Level ADM'!$N236:$R236),IF(OR(SUM('School Level ADM'!$F236:$O236)='School Level ADM'!$S236,SUM('School Level ADM'!$G236:$O236)='School Level ADM'!$S236,SUM('School Level ADM'!$H236:$O236)='School Level ADM'!$S236,SUM('School Level ADM'!$I236:$O236)='School Level ADM'!$S236,SUM('School Level ADM'!$J236:$O236)='School Level ADM'!$S236,SUM('School Level ADM'!$K236:$O236)='School Level ADM'!$S236,SUM('School Level ADM'!$L236:$O236)='School Level ADM'!$S236,SUM('School Level ADM'!$M236:$O236)='School Level ADM'!$S236,SUM('School Level ADM'!$N236:$O236)='School Level ADM'!$S236),0,SUM('School Level ADM'!$O236:$R236)))</f>
        <v>0</v>
      </c>
      <c r="L236" s="139">
        <f t="shared" si="43"/>
        <v>225.39400000000001</v>
      </c>
      <c r="M236" s="24">
        <f>'Student At-Risk and ELL Proxy'!S236</f>
        <v>86</v>
      </c>
      <c r="N236" s="24">
        <f>'Student At-Risk and ELL Proxy'!AH236</f>
        <v>1</v>
      </c>
      <c r="O236" s="136" t="str">
        <f t="shared" si="49"/>
        <v/>
      </c>
      <c r="P236" s="136">
        <f t="shared" si="50"/>
        <v>1.3627617305703448</v>
      </c>
      <c r="Q236" s="136" t="str">
        <f t="shared" si="51"/>
        <v/>
      </c>
      <c r="R236" s="136">
        <f t="shared" si="44"/>
        <v>1.3627617305703448</v>
      </c>
      <c r="S236" s="136">
        <f>IF(SUM(3515.4*((VLOOKUP($A236,'District Level ADM'!$A$4:$F$52,6,FALSE))^-0.327)/'Model Data Inputs'!$B$71)&lt;1,1,(3515.4*((VLOOKUP($A236,'District Level ADM'!$A$4:$F$52,6,FALSE))^-0.327)/'Model Data Inputs'!$B$71))</f>
        <v>2.0639116728958453</v>
      </c>
      <c r="T236" s="136">
        <f>VLOOKUP($A236,'Regional Cost Adjustment'!$A$4:$C$52,3,FALSE)</f>
        <v>0.87</v>
      </c>
      <c r="U236" s="123">
        <f>((($I236/$L236)*'Model Data Inputs'!$B$85)+((SUM(J236:K236)/$L236)*'Model Data Inputs'!$C$85))*$R236*$T236</f>
        <v>6381.8497823290982</v>
      </c>
      <c r="V236" s="140">
        <f>((($I236/$L236)*'Model Data Inputs'!$B$86)+((SUM(J236:K236)/$L236)*'Model Data Inputs'!$C$86))*$R236</f>
        <v>1952.9844212262988</v>
      </c>
      <c r="W236" s="140">
        <f t="shared" si="52"/>
        <v>8334.8342035553978</v>
      </c>
      <c r="X236" s="140">
        <f t="shared" si="45"/>
        <v>1438430.6498382848</v>
      </c>
      <c r="Y236" s="140">
        <f t="shared" si="46"/>
        <v>440190.97063788038</v>
      </c>
      <c r="Z236" s="123">
        <f>IF((SUM(X236:Y236))&lt;(AVERAGE('Elementary Size Adjustment'!$B$66,'Secondary Size Adjustment'!$B$66)),(AVERAGE('Elementary Size Adjustment'!$B$66,'Secondary Size Adjustment'!$B$66)),SUM(X236:Y236))</f>
        <v>1878621.6204761653</v>
      </c>
      <c r="AA236" s="137">
        <f>'Model Data Inputs'!$B$71*S236*L236</f>
        <v>88386.728444130364</v>
      </c>
      <c r="AB236" s="137">
        <f>L236*'Model Data Inputs'!$B$72</f>
        <v>5634.85</v>
      </c>
      <c r="AC236" s="137">
        <f>L236*'Model Data Inputs'!$B$73</f>
        <v>56348.5</v>
      </c>
      <c r="AD236" s="137">
        <f>L236*'Model Data Inputs'!$B$74</f>
        <v>28174.25</v>
      </c>
      <c r="AE236" s="137">
        <f>$I236*'Model Data Inputs'!$B$76</f>
        <v>0</v>
      </c>
      <c r="AF236" s="137">
        <f>VLOOKUP($J236,'Student Activities MS&amp;HS Tables'!$M$7:$O$1267,3)</f>
        <v>80658</v>
      </c>
      <c r="AG236" s="137">
        <f>VLOOKUP($K236,'Student Activities MS&amp;HS Tables'!$I$7:$K$3007,3)</f>
        <v>0</v>
      </c>
      <c r="AH236" s="137">
        <f t="shared" si="47"/>
        <v>80658</v>
      </c>
      <c r="AI236" s="123">
        <f t="shared" si="53"/>
        <v>2137823.9489202956</v>
      </c>
      <c r="AJ236" s="123">
        <f>(('Model Data Inputs'!$B$90*(('Model Data Inputs'!$B$87*('School Level Inst. Resources'!I236/'School Level Inst. Resources'!L236))+('Model Data Inputs'!$C$87*(SUM('School Level Inst. Resources'!J236:K236)/'School Level Inst. Resources'!L236))))*T236*M236)</f>
        <v>152989.62982742363</v>
      </c>
      <c r="AK236" s="123">
        <f>(('Model Data Inputs'!$B$91*(('Model Data Inputs'!$B$87*('School Level Inst. Resources'!I236/'School Level Inst. Resources'!L236))+('Model Data Inputs'!$C$87*(SUM('School Level Inst. Resources'!J236:K236)/'School Level Inst. Resources'!L236))))*T236*N236)</f>
        <v>1778.9491840398096</v>
      </c>
      <c r="AL236" s="137">
        <f>(K236*'Model Data Inputs'!$B$94)*T236</f>
        <v>0</v>
      </c>
      <c r="AM236" s="137">
        <f>K236*'Model Data Inputs'!$B$95</f>
        <v>0</v>
      </c>
      <c r="AN236" s="137">
        <f t="shared" si="54"/>
        <v>0</v>
      </c>
      <c r="AO236" s="137">
        <f>('School Level Inst. Resources'!K236*'Model Data Inputs'!$B$96)+('School Level Inst. Resources'!J236*'Model Data Inputs'!$B$97)</f>
        <v>5634.85</v>
      </c>
      <c r="AP236" s="137">
        <f>$L236*'Model Data Inputs'!$B$100</f>
        <v>9015.76</v>
      </c>
      <c r="AQ236" s="137">
        <f t="shared" si="55"/>
        <v>2307243.1379317585</v>
      </c>
      <c r="AR236" s="141">
        <f t="shared" si="48"/>
        <v>10236.488717231863</v>
      </c>
    </row>
    <row r="237" spans="1:44" s="40" customFormat="1" ht="12.75" customHeight="1" x14ac:dyDescent="0.2">
      <c r="A237" s="20" t="s">
        <v>68</v>
      </c>
      <c r="B237" s="20" t="s">
        <v>69</v>
      </c>
      <c r="C237" s="20" t="s">
        <v>841</v>
      </c>
      <c r="D237" s="20" t="s">
        <v>842</v>
      </c>
      <c r="E237" s="138" t="s">
        <v>389</v>
      </c>
      <c r="F237" s="138" t="str">
        <f>IF(AND(SUM('School Level ADM'!$F237:$J237)=0,SUM('School Level ADM'!$O237:$R237)=0,'School Level ADM'!$K237&gt;0,'School Level ADM'!$N237&gt;0),"T","F")</f>
        <v>F</v>
      </c>
      <c r="G237" s="138" t="str">
        <f>IF(AND(SUM('School Level ADM'!$M237:$R237)=0,'School Level ADM'!$L237&gt;0),"T","F")</f>
        <v>F</v>
      </c>
      <c r="H237" s="138" t="str">
        <f t="shared" si="42"/>
        <v>H</v>
      </c>
      <c r="I237" s="139">
        <f>IF($F237="T",SUM('School Level ADM'!$F237:$J237),IF($G237="T",SUM('School Level ADM'!$F237:$L237),SUM('School Level ADM'!$F237:$K237,0)))</f>
        <v>0</v>
      </c>
      <c r="J237" s="139">
        <f>'School Level ADM'!$S237-$I237-$K237</f>
        <v>0</v>
      </c>
      <c r="K237" s="139">
        <f>IF(SUM('School Level ADM'!$N237:$R237)='School Level ADM'!$S237,SUM('School Level ADM'!$N237:$R237),IF(OR(SUM('School Level ADM'!$F237:$O237)='School Level ADM'!$S237,SUM('School Level ADM'!$G237:$O237)='School Level ADM'!$S237,SUM('School Level ADM'!$H237:$O237)='School Level ADM'!$S237,SUM('School Level ADM'!$I237:$O237)='School Level ADM'!$S237,SUM('School Level ADM'!$J237:$O237)='School Level ADM'!$S237,SUM('School Level ADM'!$K237:$O237)='School Level ADM'!$S237,SUM('School Level ADM'!$L237:$O237)='School Level ADM'!$S237,SUM('School Level ADM'!$M237:$O237)='School Level ADM'!$S237,SUM('School Level ADM'!$N237:$O237)='School Level ADM'!$S237),0,SUM('School Level ADM'!$O237:$R237)))</f>
        <v>302.96633333333335</v>
      </c>
      <c r="L237" s="139">
        <f t="shared" si="43"/>
        <v>302.96633333333335</v>
      </c>
      <c r="M237" s="24">
        <f>'Student At-Risk and ELL Proxy'!S237</f>
        <v>53</v>
      </c>
      <c r="N237" s="24">
        <f>'Student At-Risk and ELL Proxy'!AH237</f>
        <v>1</v>
      </c>
      <c r="O237" s="136" t="str">
        <f t="shared" si="49"/>
        <v/>
      </c>
      <c r="P237" s="136">
        <f t="shared" si="50"/>
        <v>1.2283815083422431</v>
      </c>
      <c r="Q237" s="136" t="str">
        <f t="shared" si="51"/>
        <v/>
      </c>
      <c r="R237" s="136">
        <f t="shared" si="44"/>
        <v>1.2283815083422431</v>
      </c>
      <c r="S237" s="136">
        <f>IF(SUM(3515.4*((VLOOKUP($A237,'District Level ADM'!$A$4:$F$52,6,FALSE))^-0.327)/'Model Data Inputs'!$B$71)&lt;1,1,(3515.4*((VLOOKUP($A237,'District Level ADM'!$A$4:$F$52,6,FALSE))^-0.327)/'Model Data Inputs'!$B$71))</f>
        <v>2.0639116728958453</v>
      </c>
      <c r="T237" s="136">
        <f>VLOOKUP($A237,'Regional Cost Adjustment'!$A$4:$C$52,3,FALSE)</f>
        <v>0.87</v>
      </c>
      <c r="U237" s="123">
        <f>((($I237/$L237)*'Model Data Inputs'!$B$85)+((SUM(J237:K237)/$L237)*'Model Data Inputs'!$C$85))*$R237*$T237</f>
        <v>5752.5435927453736</v>
      </c>
      <c r="V237" s="140">
        <f>((($I237/$L237)*'Model Data Inputs'!$B$86)+((SUM(J237:K237)/$L237)*'Model Data Inputs'!$C$86))*$R237</f>
        <v>1760.4030809632634</v>
      </c>
      <c r="W237" s="140">
        <f t="shared" si="52"/>
        <v>7512.9466737086368</v>
      </c>
      <c r="X237" s="140">
        <f t="shared" si="45"/>
        <v>1742827.0396342259</v>
      </c>
      <c r="Y237" s="140">
        <f t="shared" si="46"/>
        <v>533342.86662814312</v>
      </c>
      <c r="Z237" s="123">
        <f>IF((SUM(X237:Y237))&lt;(AVERAGE('Elementary Size Adjustment'!$B$66,'Secondary Size Adjustment'!$B$66)),(AVERAGE('Elementary Size Adjustment'!$B$66,'Secondary Size Adjustment'!$B$66)),SUM(X237:Y237))</f>
        <v>2276169.9062623689</v>
      </c>
      <c r="AA237" s="137">
        <f>'Model Data Inputs'!$B$71*S237*L237</f>
        <v>118806.19285361285</v>
      </c>
      <c r="AB237" s="137">
        <f>L237*'Model Data Inputs'!$B$72</f>
        <v>7574.1583333333338</v>
      </c>
      <c r="AC237" s="137">
        <f>L237*'Model Data Inputs'!$B$73</f>
        <v>75741.583333333343</v>
      </c>
      <c r="AD237" s="137">
        <f>L237*'Model Data Inputs'!$B$74</f>
        <v>37870.791666666672</v>
      </c>
      <c r="AE237" s="137">
        <f>$I237*'Model Data Inputs'!$B$76</f>
        <v>0</v>
      </c>
      <c r="AF237" s="137">
        <f>VLOOKUP($J237,'Student Activities MS&amp;HS Tables'!$M$7:$O$1267,3)</f>
        <v>0</v>
      </c>
      <c r="AG237" s="137">
        <f>VLOOKUP($K237,'Student Activities MS&amp;HS Tables'!$I$7:$K$3007,3)</f>
        <v>314179.65999999997</v>
      </c>
      <c r="AH237" s="137">
        <f t="shared" si="47"/>
        <v>314179.65999999997</v>
      </c>
      <c r="AI237" s="123">
        <f t="shared" si="53"/>
        <v>2830342.2924493151</v>
      </c>
      <c r="AJ237" s="123">
        <f>(('Model Data Inputs'!$B$90*(('Model Data Inputs'!$B$87*('School Level Inst. Resources'!I237/'School Level Inst. Resources'!L237))+('Model Data Inputs'!$C$87*(SUM('School Level Inst. Resources'!J237:K237)/'School Level Inst. Resources'!L237))))*T237*M237)</f>
        <v>94284.306754109901</v>
      </c>
      <c r="AK237" s="123">
        <f>(('Model Data Inputs'!$B$91*(('Model Data Inputs'!$B$87*('School Level Inst. Resources'!I237/'School Level Inst. Resources'!L237))+('Model Data Inputs'!$C$87*(SUM('School Level Inst. Resources'!J237:K237)/'School Level Inst. Resources'!L237))))*T237*N237)</f>
        <v>1778.9491840398096</v>
      </c>
      <c r="AL237" s="137">
        <f>(K237*'Model Data Inputs'!$B$94)*T237</f>
        <v>43508.04346730205</v>
      </c>
      <c r="AM237" s="137">
        <f>K237*'Model Data Inputs'!$B$95</f>
        <v>12697.266010891666</v>
      </c>
      <c r="AN237" s="137">
        <f t="shared" si="54"/>
        <v>56205.309478193718</v>
      </c>
      <c r="AO237" s="137">
        <f>('School Level Inst. Resources'!K237*'Model Data Inputs'!$B$96)+('School Level Inst. Resources'!J237*'Model Data Inputs'!$B$97)</f>
        <v>30296.633333333335</v>
      </c>
      <c r="AP237" s="137">
        <f>$L237*'Model Data Inputs'!$B$100</f>
        <v>12118.653333333334</v>
      </c>
      <c r="AQ237" s="137">
        <f t="shared" si="55"/>
        <v>3025026.1445323247</v>
      </c>
      <c r="AR237" s="141">
        <f t="shared" si="48"/>
        <v>9984.6940458697536</v>
      </c>
    </row>
    <row r="238" spans="1:44" s="40" customFormat="1" ht="12.75" customHeight="1" x14ac:dyDescent="0.2">
      <c r="A238" s="20" t="s">
        <v>70</v>
      </c>
      <c r="B238" s="20" t="s">
        <v>843</v>
      </c>
      <c r="C238" s="20" t="s">
        <v>844</v>
      </c>
      <c r="D238" s="20" t="s">
        <v>845</v>
      </c>
      <c r="E238" s="138" t="s">
        <v>354</v>
      </c>
      <c r="F238" s="138" t="str">
        <f>IF(AND(SUM('School Level ADM'!$F238:$J238)=0,SUM('School Level ADM'!$O238:$R238)=0,'School Level ADM'!$K238&gt;0,'School Level ADM'!$N238&gt;0),"T","F")</f>
        <v>F</v>
      </c>
      <c r="G238" s="138" t="str">
        <f>IF(AND(SUM('School Level ADM'!$M238:$R238)=0,'School Level ADM'!$L238&gt;0),"T","F")</f>
        <v>F</v>
      </c>
      <c r="H238" s="138" t="str">
        <f t="shared" si="42"/>
        <v>E</v>
      </c>
      <c r="I238" s="139">
        <f>IF($F238="T",SUM('School Level ADM'!$F238:$J238),IF($G238="T",SUM('School Level ADM'!$F238:$L238),SUM('School Level ADM'!$F238:$K238,0)))</f>
        <v>13.79</v>
      </c>
      <c r="J238" s="139">
        <f>'School Level ADM'!$S238-$I238-$K238</f>
        <v>0</v>
      </c>
      <c r="K238" s="139">
        <f>IF(SUM('School Level ADM'!$N238:$R238)='School Level ADM'!$S238,SUM('School Level ADM'!$N238:$R238),IF(OR(SUM('School Level ADM'!$F238:$O238)='School Level ADM'!$S238,SUM('School Level ADM'!$G238:$O238)='School Level ADM'!$S238,SUM('School Level ADM'!$H238:$O238)='School Level ADM'!$S238,SUM('School Level ADM'!$I238:$O238)='School Level ADM'!$S238,SUM('School Level ADM'!$J238:$O238)='School Level ADM'!$S238,SUM('School Level ADM'!$K238:$O238)='School Level ADM'!$S238,SUM('School Level ADM'!$L238:$O238)='School Level ADM'!$S238,SUM('School Level ADM'!$M238:$O238)='School Level ADM'!$S238,SUM('School Level ADM'!$N238:$O238)='School Level ADM'!$S238),0,SUM('School Level ADM'!$O238:$R238)))</f>
        <v>0</v>
      </c>
      <c r="L238" s="139">
        <f t="shared" si="43"/>
        <v>13.79</v>
      </c>
      <c r="M238" s="24">
        <f>'Student At-Risk and ELL Proxy'!S238</f>
        <v>11</v>
      </c>
      <c r="N238" s="24">
        <f>'Student At-Risk and ELL Proxy'!AH238</f>
        <v>1</v>
      </c>
      <c r="O238" s="136">
        <f t="shared" si="49"/>
        <v>3.3813438196227472</v>
      </c>
      <c r="P238" s="136" t="str">
        <f t="shared" si="50"/>
        <v/>
      </c>
      <c r="Q238" s="136" t="str">
        <f t="shared" si="51"/>
        <v/>
      </c>
      <c r="R238" s="136">
        <f t="shared" si="44"/>
        <v>3.3813438196227472</v>
      </c>
      <c r="S238" s="136">
        <f>IF(SUM(3515.4*((VLOOKUP($A238,'District Level ADM'!$A$4:$F$52,6,FALSE))^-0.327)/'Model Data Inputs'!$B$71)&lt;1,1,(3515.4*((VLOOKUP($A238,'District Level ADM'!$A$4:$F$52,6,FALSE))^-0.327)/'Model Data Inputs'!$B$71))</f>
        <v>1.5922226804845272</v>
      </c>
      <c r="T238" s="136">
        <f>VLOOKUP($A238,'Regional Cost Adjustment'!$A$4:$C$52,3,FALSE)</f>
        <v>0.99</v>
      </c>
      <c r="U238" s="123">
        <f>((($I238/$L238)*'Model Data Inputs'!$B$85)+((SUM(J238:K238)/$L238)*'Model Data Inputs'!$C$85))*$R238*$T238</f>
        <v>21315.693271907108</v>
      </c>
      <c r="V238" s="140">
        <f>((($I238/$L238)*'Model Data Inputs'!$B$86)+((SUM(J238:K238)/$L238)*'Model Data Inputs'!$C$86))*$R238</f>
        <v>5723.3462094434926</v>
      </c>
      <c r="W238" s="140">
        <f t="shared" si="52"/>
        <v>27039.039481350599</v>
      </c>
      <c r="X238" s="140">
        <f t="shared" si="45"/>
        <v>293943.41021959903</v>
      </c>
      <c r="Y238" s="140">
        <f t="shared" si="46"/>
        <v>78924.944228225751</v>
      </c>
      <c r="Z238" s="123">
        <f>IF((SUM(X238:Y238))&lt;(AVERAGE('Elementary Size Adjustment'!$B$66,'Secondary Size Adjustment'!$B$66)),(AVERAGE('Elementary Size Adjustment'!$B$66,'Secondary Size Adjustment'!$B$66)),SUM(X238:Y238))</f>
        <v>372868.35444782476</v>
      </c>
      <c r="AA238" s="137">
        <f>'Model Data Inputs'!$B$71*S238*L238</f>
        <v>4171.7826451375095</v>
      </c>
      <c r="AB238" s="137">
        <f>L238*'Model Data Inputs'!$B$72</f>
        <v>344.75</v>
      </c>
      <c r="AC238" s="137">
        <f>L238*'Model Data Inputs'!$B$73</f>
        <v>3447.5</v>
      </c>
      <c r="AD238" s="137">
        <f>L238*'Model Data Inputs'!$B$74</f>
        <v>1723.75</v>
      </c>
      <c r="AE238" s="137">
        <f>$I238*'Model Data Inputs'!$B$76</f>
        <v>328.0641</v>
      </c>
      <c r="AF238" s="137">
        <f>VLOOKUP($J238,'Student Activities MS&amp;HS Tables'!$M$7:$O$1267,3)</f>
        <v>0</v>
      </c>
      <c r="AG238" s="137">
        <f>VLOOKUP($K238,'Student Activities MS&amp;HS Tables'!$I$7:$K$3007,3)</f>
        <v>0</v>
      </c>
      <c r="AH238" s="137">
        <f t="shared" si="47"/>
        <v>328.0641</v>
      </c>
      <c r="AI238" s="123">
        <f t="shared" si="53"/>
        <v>382884.2011929623</v>
      </c>
      <c r="AJ238" s="123">
        <f>(('Model Data Inputs'!$B$90*(('Model Data Inputs'!$B$87*('School Level Inst. Resources'!I238/'School Level Inst. Resources'!L238))+('Model Data Inputs'!$C$87*(SUM('School Level Inst. Resources'!J238:K238)/'School Level Inst. Resources'!L238))))*T238*M238)</f>
        <v>26332.71403718993</v>
      </c>
      <c r="AK238" s="123">
        <f>(('Model Data Inputs'!$B$91*(('Model Data Inputs'!$B$87*('School Level Inst. Resources'!I238/'School Level Inst. Resources'!L238))+('Model Data Inputs'!$C$87*(SUM('School Level Inst. Resources'!J238:K238)/'School Level Inst. Resources'!L238))))*T238*N238)</f>
        <v>2393.8830942899936</v>
      </c>
      <c r="AL238" s="137">
        <f>(K238*'Model Data Inputs'!$B$94)*T238</f>
        <v>0</v>
      </c>
      <c r="AM238" s="137">
        <f>K238*'Model Data Inputs'!$B$95</f>
        <v>0</v>
      </c>
      <c r="AN238" s="137">
        <f t="shared" si="54"/>
        <v>0</v>
      </c>
      <c r="AO238" s="137">
        <f>('School Level Inst. Resources'!K238*'Model Data Inputs'!$B$96)+('School Level Inst. Resources'!J238*'Model Data Inputs'!$B$97)</f>
        <v>0</v>
      </c>
      <c r="AP238" s="137">
        <f>$L238*'Model Data Inputs'!$B$100</f>
        <v>551.59999999999991</v>
      </c>
      <c r="AQ238" s="137">
        <f t="shared" si="55"/>
        <v>412162.39832444215</v>
      </c>
      <c r="AR238" s="141">
        <f t="shared" si="48"/>
        <v>29888.498790749978</v>
      </c>
    </row>
    <row r="239" spans="1:44" s="40" customFormat="1" ht="12.75" customHeight="1" x14ac:dyDescent="0.2">
      <c r="A239" s="20" t="s">
        <v>70</v>
      </c>
      <c r="B239" s="20" t="s">
        <v>843</v>
      </c>
      <c r="C239" s="20" t="s">
        <v>846</v>
      </c>
      <c r="D239" s="20" t="s">
        <v>847</v>
      </c>
      <c r="E239" s="138" t="s">
        <v>354</v>
      </c>
      <c r="F239" s="138" t="str">
        <f>IF(AND(SUM('School Level ADM'!$F239:$J239)=0,SUM('School Level ADM'!$O239:$R239)=0,'School Level ADM'!$K239&gt;0,'School Level ADM'!$N239&gt;0),"T","F")</f>
        <v>F</v>
      </c>
      <c r="G239" s="138" t="str">
        <f>IF(AND(SUM('School Level ADM'!$M239:$R239)=0,'School Level ADM'!$L239&gt;0),"T","F")</f>
        <v>F</v>
      </c>
      <c r="H239" s="138" t="str">
        <f t="shared" si="42"/>
        <v>E</v>
      </c>
      <c r="I239" s="139">
        <f>IF($F239="T",SUM('School Level ADM'!$F239:$J239),IF($G239="T",SUM('School Level ADM'!$F239:$L239),SUM('School Level ADM'!$F239:$K239,0)))</f>
        <v>199.95500000000001</v>
      </c>
      <c r="J239" s="139">
        <f>'School Level ADM'!$S239-$I239-$K239</f>
        <v>0</v>
      </c>
      <c r="K239" s="139">
        <f>IF(SUM('School Level ADM'!$N239:$R239)='School Level ADM'!$S239,SUM('School Level ADM'!$N239:$R239),IF(OR(SUM('School Level ADM'!$F239:$O239)='School Level ADM'!$S239,SUM('School Level ADM'!$G239:$O239)='School Level ADM'!$S239,SUM('School Level ADM'!$H239:$O239)='School Level ADM'!$S239,SUM('School Level ADM'!$I239:$O239)='School Level ADM'!$S239,SUM('School Level ADM'!$J239:$O239)='School Level ADM'!$S239,SUM('School Level ADM'!$K239:$O239)='School Level ADM'!$S239,SUM('School Level ADM'!$L239:$O239)='School Level ADM'!$S239,SUM('School Level ADM'!$M239:$O239)='School Level ADM'!$S239,SUM('School Level ADM'!$N239:$O239)='School Level ADM'!$S239),0,SUM('School Level ADM'!$O239:$R239)))</f>
        <v>0</v>
      </c>
      <c r="L239" s="139">
        <f t="shared" si="43"/>
        <v>199.95500000000001</v>
      </c>
      <c r="M239" s="24">
        <f>'Student At-Risk and ELL Proxy'!S239</f>
        <v>101</v>
      </c>
      <c r="N239" s="24">
        <f>'Student At-Risk and ELL Proxy'!AH239</f>
        <v>1</v>
      </c>
      <c r="O239" s="136">
        <f t="shared" si="49"/>
        <v>1.1664466166989598</v>
      </c>
      <c r="P239" s="136" t="str">
        <f t="shared" si="50"/>
        <v/>
      </c>
      <c r="Q239" s="136" t="str">
        <f t="shared" si="51"/>
        <v/>
      </c>
      <c r="R239" s="136">
        <f t="shared" si="44"/>
        <v>1.1664466166989598</v>
      </c>
      <c r="S239" s="136">
        <f>IF(SUM(3515.4*((VLOOKUP($A239,'District Level ADM'!$A$4:$F$52,6,FALSE))^-0.327)/'Model Data Inputs'!$B$71)&lt;1,1,(3515.4*((VLOOKUP($A239,'District Level ADM'!$A$4:$F$52,6,FALSE))^-0.327)/'Model Data Inputs'!$B$71))</f>
        <v>1.5922226804845272</v>
      </c>
      <c r="T239" s="136">
        <f>VLOOKUP($A239,'Regional Cost Adjustment'!$A$4:$C$52,3,FALSE)</f>
        <v>0.99</v>
      </c>
      <c r="U239" s="123">
        <f>((($I239/$L239)*'Model Data Inputs'!$B$85)+((SUM(J239:K239)/$L239)*'Model Data Inputs'!$C$85))*$R239*$T239</f>
        <v>7353.1766143742316</v>
      </c>
      <c r="V239" s="140">
        <f>((($I239/$L239)*'Model Data Inputs'!$B$86)+((SUM(J239:K239)/$L239)*'Model Data Inputs'!$C$86))*$R239</f>
        <v>1974.3564033506091</v>
      </c>
      <c r="W239" s="140">
        <f t="shared" si="52"/>
        <v>9327.5330177248397</v>
      </c>
      <c r="X239" s="140">
        <f t="shared" si="45"/>
        <v>1470304.4299271996</v>
      </c>
      <c r="Y239" s="140">
        <f t="shared" si="46"/>
        <v>394782.43463197106</v>
      </c>
      <c r="Z239" s="123">
        <f>IF((SUM(X239:Y239))&lt;(AVERAGE('Elementary Size Adjustment'!$B$66,'Secondary Size Adjustment'!$B$66)),(AVERAGE('Elementary Size Adjustment'!$B$66,'Secondary Size Adjustment'!$B$66)),SUM(X239:Y239))</f>
        <v>1865086.8645591708</v>
      </c>
      <c r="AA239" s="137">
        <f>'Model Data Inputs'!$B$71*S239*L239</f>
        <v>60490.848354493901</v>
      </c>
      <c r="AB239" s="137">
        <f>L239*'Model Data Inputs'!$B$72</f>
        <v>4998.875</v>
      </c>
      <c r="AC239" s="137">
        <f>L239*'Model Data Inputs'!$B$73</f>
        <v>49988.75</v>
      </c>
      <c r="AD239" s="137">
        <f>L239*'Model Data Inputs'!$B$74</f>
        <v>24994.375</v>
      </c>
      <c r="AE239" s="137">
        <f>$I239*'Model Data Inputs'!$B$76</f>
        <v>4756.9294500000005</v>
      </c>
      <c r="AF239" s="137">
        <f>VLOOKUP($J239,'Student Activities MS&amp;HS Tables'!$M$7:$O$1267,3)</f>
        <v>0</v>
      </c>
      <c r="AG239" s="137">
        <f>VLOOKUP($K239,'Student Activities MS&amp;HS Tables'!$I$7:$K$3007,3)</f>
        <v>0</v>
      </c>
      <c r="AH239" s="137">
        <f t="shared" si="47"/>
        <v>4756.9294500000005</v>
      </c>
      <c r="AI239" s="123">
        <f t="shared" si="53"/>
        <v>2010316.6423636647</v>
      </c>
      <c r="AJ239" s="123">
        <f>(('Model Data Inputs'!$B$90*(('Model Data Inputs'!$B$87*('School Level Inst. Resources'!I239/'School Level Inst. Resources'!L239))+('Model Data Inputs'!$C$87*(SUM('School Level Inst. Resources'!J239:K239)/'School Level Inst. Resources'!L239))))*T239*M239)</f>
        <v>241782.19252328936</v>
      </c>
      <c r="AK239" s="123">
        <f>(('Model Data Inputs'!$B$91*(('Model Data Inputs'!$B$87*('School Level Inst. Resources'!I239/'School Level Inst. Resources'!L239))+('Model Data Inputs'!$C$87*(SUM('School Level Inst. Resources'!J239:K239)/'School Level Inst. Resources'!L239))))*T239*N239)</f>
        <v>2393.8830942899936</v>
      </c>
      <c r="AL239" s="137">
        <f>(K239*'Model Data Inputs'!$B$94)*T239</f>
        <v>0</v>
      </c>
      <c r="AM239" s="137">
        <f>K239*'Model Data Inputs'!$B$95</f>
        <v>0</v>
      </c>
      <c r="AN239" s="137">
        <f t="shared" si="54"/>
        <v>0</v>
      </c>
      <c r="AO239" s="137">
        <f>('School Level Inst. Resources'!K239*'Model Data Inputs'!$B$96)+('School Level Inst. Resources'!J239*'Model Data Inputs'!$B$97)</f>
        <v>0</v>
      </c>
      <c r="AP239" s="137">
        <f>$L239*'Model Data Inputs'!$B$100</f>
        <v>7998.2000000000007</v>
      </c>
      <c r="AQ239" s="137">
        <f t="shared" si="55"/>
        <v>2262490.9179812442</v>
      </c>
      <c r="AR239" s="141">
        <f t="shared" si="48"/>
        <v>11315.000465010848</v>
      </c>
    </row>
    <row r="240" spans="1:44" s="40" customFormat="1" ht="12.75" customHeight="1" x14ac:dyDescent="0.2">
      <c r="A240" s="20" t="s">
        <v>70</v>
      </c>
      <c r="B240" s="20" t="s">
        <v>843</v>
      </c>
      <c r="C240" s="20" t="s">
        <v>848</v>
      </c>
      <c r="D240" s="20" t="s">
        <v>849</v>
      </c>
      <c r="E240" s="138" t="s">
        <v>354</v>
      </c>
      <c r="F240" s="138" t="str">
        <f>IF(AND(SUM('School Level ADM'!$F240:$J240)=0,SUM('School Level ADM'!$O240:$R240)=0,'School Level ADM'!$K240&gt;0,'School Level ADM'!$N240&gt;0),"T","F")</f>
        <v>F</v>
      </c>
      <c r="G240" s="138" t="str">
        <f>IF(AND(SUM('School Level ADM'!$M240:$R240)=0,'School Level ADM'!$L240&gt;0),"T","F")</f>
        <v>F</v>
      </c>
      <c r="H240" s="138" t="str">
        <f t="shared" si="42"/>
        <v>E</v>
      </c>
      <c r="I240" s="139">
        <f>IF($F240="T",SUM('School Level ADM'!$F240:$J240),IF($G240="T",SUM('School Level ADM'!$F240:$L240),SUM('School Level ADM'!$F240:$K240,0)))</f>
        <v>311.26</v>
      </c>
      <c r="J240" s="139">
        <f>'School Level ADM'!$S240-$I240-$K240</f>
        <v>0</v>
      </c>
      <c r="K240" s="139">
        <f>IF(SUM('School Level ADM'!$N240:$R240)='School Level ADM'!$S240,SUM('School Level ADM'!$N240:$R240),IF(OR(SUM('School Level ADM'!$F240:$O240)='School Level ADM'!$S240,SUM('School Level ADM'!$G240:$O240)='School Level ADM'!$S240,SUM('School Level ADM'!$H240:$O240)='School Level ADM'!$S240,SUM('School Level ADM'!$I240:$O240)='School Level ADM'!$S240,SUM('School Level ADM'!$J240:$O240)='School Level ADM'!$S240,SUM('School Level ADM'!$K240:$O240)='School Level ADM'!$S240,SUM('School Level ADM'!$L240:$O240)='School Level ADM'!$S240,SUM('School Level ADM'!$M240:$O240)='School Level ADM'!$S240,SUM('School Level ADM'!$N240:$O240)='School Level ADM'!$S240),0,SUM('School Level ADM'!$O240:$R240)))</f>
        <v>0</v>
      </c>
      <c r="L240" s="139">
        <f t="shared" si="43"/>
        <v>311.26</v>
      </c>
      <c r="M240" s="24">
        <f>'Student At-Risk and ELL Proxy'!S240</f>
        <v>148</v>
      </c>
      <c r="N240" s="24">
        <f>'Student At-Risk and ELL Proxy'!AH240</f>
        <v>10</v>
      </c>
      <c r="O240" s="136">
        <f t="shared" si="49"/>
        <v>0.97807651719250588</v>
      </c>
      <c r="P240" s="136" t="str">
        <f t="shared" si="50"/>
        <v/>
      </c>
      <c r="Q240" s="136" t="str">
        <f t="shared" si="51"/>
        <v/>
      </c>
      <c r="R240" s="136">
        <f t="shared" si="44"/>
        <v>0.97807651719250588</v>
      </c>
      <c r="S240" s="136">
        <f>IF(SUM(3515.4*((VLOOKUP($A240,'District Level ADM'!$A$4:$F$52,6,FALSE))^-0.327)/'Model Data Inputs'!$B$71)&lt;1,1,(3515.4*((VLOOKUP($A240,'District Level ADM'!$A$4:$F$52,6,FALSE))^-0.327)/'Model Data Inputs'!$B$71))</f>
        <v>1.5922226804845272</v>
      </c>
      <c r="T240" s="136">
        <f>VLOOKUP($A240,'Regional Cost Adjustment'!$A$4:$C$52,3,FALSE)</f>
        <v>0.99</v>
      </c>
      <c r="U240" s="123">
        <f>((($I240/$L240)*'Model Data Inputs'!$B$85)+((SUM(J240:K240)/$L240)*'Model Data Inputs'!$C$85))*$R240*$T240</f>
        <v>6165.7081175663061</v>
      </c>
      <c r="V240" s="140">
        <f>((($I240/$L240)*'Model Data Inputs'!$B$86)+((SUM(J240:K240)/$L240)*'Model Data Inputs'!$C$86))*$R240</f>
        <v>1655.5165123208233</v>
      </c>
      <c r="W240" s="140">
        <f t="shared" si="52"/>
        <v>7821.2246298871296</v>
      </c>
      <c r="X240" s="140">
        <f t="shared" si="45"/>
        <v>1919138.3086736884</v>
      </c>
      <c r="Y240" s="140">
        <f t="shared" si="46"/>
        <v>515296.06962497946</v>
      </c>
      <c r="Z240" s="123">
        <f>IF((SUM(X240:Y240))&lt;(AVERAGE('Elementary Size Adjustment'!$B$66,'Secondary Size Adjustment'!$B$66)),(AVERAGE('Elementary Size Adjustment'!$B$66,'Secondary Size Adjustment'!$B$66)),SUM(X240:Y240))</f>
        <v>2434434.3782986677</v>
      </c>
      <c r="AA240" s="137">
        <f>'Model Data Inputs'!$B$71*S240*L240</f>
        <v>94163.093990246649</v>
      </c>
      <c r="AB240" s="137">
        <f>L240*'Model Data Inputs'!$B$72</f>
        <v>7781.5</v>
      </c>
      <c r="AC240" s="137">
        <f>L240*'Model Data Inputs'!$B$73</f>
        <v>77815</v>
      </c>
      <c r="AD240" s="137">
        <f>L240*'Model Data Inputs'!$B$74</f>
        <v>38907.5</v>
      </c>
      <c r="AE240" s="137">
        <f>$I240*'Model Data Inputs'!$B$76</f>
        <v>7404.8753999999999</v>
      </c>
      <c r="AF240" s="137">
        <f>VLOOKUP($J240,'Student Activities MS&amp;HS Tables'!$M$7:$O$1267,3)</f>
        <v>0</v>
      </c>
      <c r="AG240" s="137">
        <f>VLOOKUP($K240,'Student Activities MS&amp;HS Tables'!$I$7:$K$3007,3)</f>
        <v>0</v>
      </c>
      <c r="AH240" s="137">
        <f t="shared" si="47"/>
        <v>7404.8753999999999</v>
      </c>
      <c r="AI240" s="123">
        <f t="shared" si="53"/>
        <v>2660506.3476889143</v>
      </c>
      <c r="AJ240" s="123">
        <f>(('Model Data Inputs'!$B$90*(('Model Data Inputs'!$B$87*('School Level Inst. Resources'!I240/'School Level Inst. Resources'!L240))+('Model Data Inputs'!$C$87*(SUM('School Level Inst. Resources'!J240:K240)/'School Level Inst. Resources'!L240))))*T240*M240)</f>
        <v>354294.69795491907</v>
      </c>
      <c r="AK240" s="123">
        <f>(('Model Data Inputs'!$B$91*(('Model Data Inputs'!$B$87*('School Level Inst. Resources'!I240/'School Level Inst. Resources'!L240))+('Model Data Inputs'!$C$87*(SUM('School Level Inst. Resources'!J240:K240)/'School Level Inst. Resources'!L240))))*T240*N240)</f>
        <v>23938.830942899935</v>
      </c>
      <c r="AL240" s="137">
        <f>(K240*'Model Data Inputs'!$B$94)*T240</f>
        <v>0</v>
      </c>
      <c r="AM240" s="137">
        <f>K240*'Model Data Inputs'!$B$95</f>
        <v>0</v>
      </c>
      <c r="AN240" s="137">
        <f t="shared" si="54"/>
        <v>0</v>
      </c>
      <c r="AO240" s="137">
        <f>('School Level Inst. Resources'!K240*'Model Data Inputs'!$B$96)+('School Level Inst. Resources'!J240*'Model Data Inputs'!$B$97)</f>
        <v>0</v>
      </c>
      <c r="AP240" s="137">
        <f>$L240*'Model Data Inputs'!$B$100</f>
        <v>12450.4</v>
      </c>
      <c r="AQ240" s="137">
        <f t="shared" si="55"/>
        <v>3051190.2765867333</v>
      </c>
      <c r="AR240" s="141">
        <f t="shared" si="48"/>
        <v>9802.7060225751247</v>
      </c>
    </row>
    <row r="241" spans="1:44" s="40" customFormat="1" ht="12.75" customHeight="1" x14ac:dyDescent="0.2">
      <c r="A241" s="20" t="s">
        <v>70</v>
      </c>
      <c r="B241" s="20" t="s">
        <v>843</v>
      </c>
      <c r="C241" s="20" t="s">
        <v>850</v>
      </c>
      <c r="D241" s="20" t="s">
        <v>851</v>
      </c>
      <c r="E241" s="138" t="s">
        <v>354</v>
      </c>
      <c r="F241" s="138" t="str">
        <f>IF(AND(SUM('School Level ADM'!$F241:$J241)=0,SUM('School Level ADM'!$O241:$R241)=0,'School Level ADM'!$K241&gt;0,'School Level ADM'!$N241&gt;0),"T","F")</f>
        <v>F</v>
      </c>
      <c r="G241" s="138" t="str">
        <f>IF(AND(SUM('School Level ADM'!$M241:$R241)=0,'School Level ADM'!$L241&gt;0),"T","F")</f>
        <v>F</v>
      </c>
      <c r="H241" s="138" t="str">
        <f t="shared" si="42"/>
        <v>E</v>
      </c>
      <c r="I241" s="139">
        <f>IF($F241="T",SUM('School Level ADM'!$F241:$J241),IF($G241="T",SUM('School Level ADM'!$F241:$L241),SUM('School Level ADM'!$F241:$K241,0)))</f>
        <v>299.44</v>
      </c>
      <c r="J241" s="139">
        <f>'School Level ADM'!$S241-$I241-$K241</f>
        <v>0</v>
      </c>
      <c r="K241" s="139">
        <f>IF(SUM('School Level ADM'!$N241:$R241)='School Level ADM'!$S241,SUM('School Level ADM'!$N241:$R241),IF(OR(SUM('School Level ADM'!$F241:$O241)='School Level ADM'!$S241,SUM('School Level ADM'!$G241:$O241)='School Level ADM'!$S241,SUM('School Level ADM'!$H241:$O241)='School Level ADM'!$S241,SUM('School Level ADM'!$I241:$O241)='School Level ADM'!$S241,SUM('School Level ADM'!$J241:$O241)='School Level ADM'!$S241,SUM('School Level ADM'!$K241:$O241)='School Level ADM'!$S241,SUM('School Level ADM'!$L241:$O241)='School Level ADM'!$S241,SUM('School Level ADM'!$M241:$O241)='School Level ADM'!$S241,SUM('School Level ADM'!$N241:$O241)='School Level ADM'!$S241),0,SUM('School Level ADM'!$O241:$R241)))</f>
        <v>0</v>
      </c>
      <c r="L241" s="139">
        <f t="shared" si="43"/>
        <v>299.44</v>
      </c>
      <c r="M241" s="24">
        <f>'Student At-Risk and ELL Proxy'!S241</f>
        <v>124</v>
      </c>
      <c r="N241" s="24">
        <f>'Student At-Risk and ELL Proxy'!AH241</f>
        <v>10</v>
      </c>
      <c r="O241" s="136">
        <f t="shared" si="49"/>
        <v>0.99326379292715139</v>
      </c>
      <c r="P241" s="136" t="str">
        <f t="shared" si="50"/>
        <v/>
      </c>
      <c r="Q241" s="136" t="str">
        <f t="shared" si="51"/>
        <v/>
      </c>
      <c r="R241" s="136">
        <f t="shared" si="44"/>
        <v>0.99326379292715139</v>
      </c>
      <c r="S241" s="136">
        <f>IF(SUM(3515.4*((VLOOKUP($A241,'District Level ADM'!$A$4:$F$52,6,FALSE))^-0.327)/'Model Data Inputs'!$B$71)&lt;1,1,(3515.4*((VLOOKUP($A241,'District Level ADM'!$A$4:$F$52,6,FALSE))^-0.327)/'Model Data Inputs'!$B$71))</f>
        <v>1.5922226804845272</v>
      </c>
      <c r="T241" s="136">
        <f>VLOOKUP($A241,'Regional Cost Adjustment'!$A$4:$C$52,3,FALSE)</f>
        <v>0.99</v>
      </c>
      <c r="U241" s="123">
        <f>((($I241/$L241)*'Model Data Inputs'!$B$85)+((SUM(J241:K241)/$L241)*'Model Data Inputs'!$C$85))*$R241*$T241</f>
        <v>6261.4473645831031</v>
      </c>
      <c r="V241" s="140">
        <f>((($I241/$L241)*'Model Data Inputs'!$B$86)+((SUM(J241:K241)/$L241)*'Model Data Inputs'!$C$86))*$R241</f>
        <v>1681.2228709890035</v>
      </c>
      <c r="W241" s="140">
        <f t="shared" si="52"/>
        <v>7942.6702355721063</v>
      </c>
      <c r="X241" s="140">
        <f t="shared" si="45"/>
        <v>1874927.7988507643</v>
      </c>
      <c r="Y241" s="140">
        <f t="shared" si="46"/>
        <v>503425.37648894719</v>
      </c>
      <c r="Z241" s="123">
        <f>IF((SUM(X241:Y241))&lt;(AVERAGE('Elementary Size Adjustment'!$B$66,'Secondary Size Adjustment'!$B$66)),(AVERAGE('Elementary Size Adjustment'!$B$66,'Secondary Size Adjustment'!$B$66)),SUM(X241:Y241))</f>
        <v>2378353.1753397114</v>
      </c>
      <c r="AA241" s="137">
        <f>'Model Data Inputs'!$B$71*S241*L241</f>
        <v>90587.280294414508</v>
      </c>
      <c r="AB241" s="137">
        <f>L241*'Model Data Inputs'!$B$72</f>
        <v>7486</v>
      </c>
      <c r="AC241" s="137">
        <f>L241*'Model Data Inputs'!$B$73</f>
        <v>74860</v>
      </c>
      <c r="AD241" s="137">
        <f>L241*'Model Data Inputs'!$B$74</f>
        <v>37430</v>
      </c>
      <c r="AE241" s="137">
        <f>$I241*'Model Data Inputs'!$B$76</f>
        <v>7123.6776</v>
      </c>
      <c r="AF241" s="137">
        <f>VLOOKUP($J241,'Student Activities MS&amp;HS Tables'!$M$7:$O$1267,3)</f>
        <v>0</v>
      </c>
      <c r="AG241" s="137">
        <f>VLOOKUP($K241,'Student Activities MS&amp;HS Tables'!$I$7:$K$3007,3)</f>
        <v>0</v>
      </c>
      <c r="AH241" s="137">
        <f t="shared" si="47"/>
        <v>7123.6776</v>
      </c>
      <c r="AI241" s="123">
        <f t="shared" si="53"/>
        <v>2595840.133234126</v>
      </c>
      <c r="AJ241" s="123">
        <f>(('Model Data Inputs'!$B$90*(('Model Data Inputs'!$B$87*('School Level Inst. Resources'!I241/'School Level Inst. Resources'!L241))+('Model Data Inputs'!$C$87*(SUM('School Level Inst. Resources'!J241:K241)/'School Level Inst. Resources'!L241))))*T241*M241)</f>
        <v>296841.50369195919</v>
      </c>
      <c r="AK241" s="123">
        <f>(('Model Data Inputs'!$B$91*(('Model Data Inputs'!$B$87*('School Level Inst. Resources'!I241/'School Level Inst. Resources'!L241))+('Model Data Inputs'!$C$87*(SUM('School Level Inst. Resources'!J241:K241)/'School Level Inst. Resources'!L241))))*T241*N241)</f>
        <v>23938.830942899935</v>
      </c>
      <c r="AL241" s="137">
        <f>(K241*'Model Data Inputs'!$B$94)*T241</f>
        <v>0</v>
      </c>
      <c r="AM241" s="137">
        <f>K241*'Model Data Inputs'!$B$95</f>
        <v>0</v>
      </c>
      <c r="AN241" s="137">
        <f t="shared" si="54"/>
        <v>0</v>
      </c>
      <c r="AO241" s="137">
        <f>('School Level Inst. Resources'!K241*'Model Data Inputs'!$B$96)+('School Level Inst. Resources'!J241*'Model Data Inputs'!$B$97)</f>
        <v>0</v>
      </c>
      <c r="AP241" s="137">
        <f>$L241*'Model Data Inputs'!$B$100</f>
        <v>11977.6</v>
      </c>
      <c r="AQ241" s="137">
        <f t="shared" si="55"/>
        <v>2928598.0678689852</v>
      </c>
      <c r="AR241" s="141">
        <f t="shared" si="48"/>
        <v>9780.2500262790054</v>
      </c>
    </row>
    <row r="242" spans="1:44" s="40" customFormat="1" ht="12.75" customHeight="1" x14ac:dyDescent="0.2">
      <c r="A242" s="20" t="s">
        <v>70</v>
      </c>
      <c r="B242" s="20" t="s">
        <v>843</v>
      </c>
      <c r="C242" s="20" t="s">
        <v>852</v>
      </c>
      <c r="D242" s="20" t="s">
        <v>853</v>
      </c>
      <c r="E242" s="138" t="s">
        <v>383</v>
      </c>
      <c r="F242" s="138" t="str">
        <f>IF(AND(SUM('School Level ADM'!$F242:$J242)=0,SUM('School Level ADM'!$O242:$R242)=0,'School Level ADM'!$K242&gt;0,'School Level ADM'!$N242&gt;0),"T","F")</f>
        <v>F</v>
      </c>
      <c r="G242" s="138" t="str">
        <f>IF(AND(SUM('School Level ADM'!$M242:$R242)=0,'School Level ADM'!$L242&gt;0),"T","F")</f>
        <v>F</v>
      </c>
      <c r="H242" s="138" t="str">
        <f t="shared" si="42"/>
        <v>M</v>
      </c>
      <c r="I242" s="139">
        <f>IF($F242="T",SUM('School Level ADM'!$F242:$J242),IF($G242="T",SUM('School Level ADM'!$F242:$L242),SUM('School Level ADM'!$F242:$K242,0)))</f>
        <v>0</v>
      </c>
      <c r="J242" s="139">
        <f>'School Level ADM'!$S242-$I242-$K242</f>
        <v>435.37</v>
      </c>
      <c r="K242" s="139">
        <f>IF(SUM('School Level ADM'!$N242:$R242)='School Level ADM'!$S242,SUM('School Level ADM'!$N242:$R242),IF(OR(SUM('School Level ADM'!$F242:$O242)='School Level ADM'!$S242,SUM('School Level ADM'!$G242:$O242)='School Level ADM'!$S242,SUM('School Level ADM'!$H242:$O242)='School Level ADM'!$S242,SUM('School Level ADM'!$I242:$O242)='School Level ADM'!$S242,SUM('School Level ADM'!$J242:$O242)='School Level ADM'!$S242,SUM('School Level ADM'!$K242:$O242)='School Level ADM'!$S242,SUM('School Level ADM'!$L242:$O242)='School Level ADM'!$S242,SUM('School Level ADM'!$M242:$O242)='School Level ADM'!$S242,SUM('School Level ADM'!$N242:$O242)='School Level ADM'!$S242),0,SUM('School Level ADM'!$O242:$R242)))</f>
        <v>0</v>
      </c>
      <c r="L242" s="139">
        <f t="shared" si="43"/>
        <v>435.37</v>
      </c>
      <c r="M242" s="24">
        <f>'Student At-Risk and ELL Proxy'!S242</f>
        <v>186</v>
      </c>
      <c r="N242" s="24">
        <f>'Student At-Risk and ELL Proxy'!AH242</f>
        <v>11</v>
      </c>
      <c r="O242" s="136" t="str">
        <f t="shared" si="49"/>
        <v/>
      </c>
      <c r="P242" s="136">
        <f t="shared" si="50"/>
        <v>1.0815917371958021</v>
      </c>
      <c r="Q242" s="136" t="str">
        <f t="shared" si="51"/>
        <v/>
      </c>
      <c r="R242" s="136">
        <f t="shared" si="44"/>
        <v>1.0815917371958021</v>
      </c>
      <c r="S242" s="136">
        <f>IF(SUM(3515.4*((VLOOKUP($A242,'District Level ADM'!$A$4:$F$52,6,FALSE))^-0.327)/'Model Data Inputs'!$B$71)&lt;1,1,(3515.4*((VLOOKUP($A242,'District Level ADM'!$A$4:$F$52,6,FALSE))^-0.327)/'Model Data Inputs'!$B$71))</f>
        <v>1.5922226804845272</v>
      </c>
      <c r="T242" s="136">
        <f>VLOOKUP($A242,'Regional Cost Adjustment'!$A$4:$C$52,3,FALSE)</f>
        <v>0.99</v>
      </c>
      <c r="U242" s="123">
        <f>((($I242/$L242)*'Model Data Inputs'!$B$85)+((SUM(J242:K242)/$L242)*'Model Data Inputs'!$C$85))*$R242*$T242</f>
        <v>5763.7608284890912</v>
      </c>
      <c r="V242" s="140">
        <f>((($I242/$L242)*'Model Data Inputs'!$B$86)+((SUM(J242:K242)/$L242)*'Model Data Inputs'!$C$86))*$R242</f>
        <v>1550.0375197551482</v>
      </c>
      <c r="W242" s="140">
        <f t="shared" si="52"/>
        <v>7313.7983482442396</v>
      </c>
      <c r="X242" s="140">
        <f t="shared" si="45"/>
        <v>2509368.5518992958</v>
      </c>
      <c r="Y242" s="140">
        <f t="shared" si="46"/>
        <v>674839.83497579885</v>
      </c>
      <c r="Z242" s="123">
        <f>IF((SUM(X242:Y242))&lt;(AVERAGE('Elementary Size Adjustment'!$B$66,'Secondary Size Adjustment'!$B$66)),(AVERAGE('Elementary Size Adjustment'!$B$66,'Secondary Size Adjustment'!$B$66)),SUM(X242:Y242))</f>
        <v>3184208.3868750948</v>
      </c>
      <c r="AA242" s="137">
        <f>'Model Data Inputs'!$B$71*S242*L242</f>
        <v>131709.13779648425</v>
      </c>
      <c r="AB242" s="137">
        <f>L242*'Model Data Inputs'!$B$72</f>
        <v>10884.25</v>
      </c>
      <c r="AC242" s="137">
        <f>L242*'Model Data Inputs'!$B$73</f>
        <v>108842.5</v>
      </c>
      <c r="AD242" s="137">
        <f>L242*'Model Data Inputs'!$B$74</f>
        <v>54421.25</v>
      </c>
      <c r="AE242" s="137">
        <f>$I242*'Model Data Inputs'!$B$76</f>
        <v>0</v>
      </c>
      <c r="AF242" s="137">
        <f>VLOOKUP($J242,'Student Activities MS&amp;HS Tables'!$M$7:$O$1267,3)</f>
        <v>123422.55</v>
      </c>
      <c r="AG242" s="137">
        <f>VLOOKUP($K242,'Student Activities MS&amp;HS Tables'!$I$7:$K$3007,3)</f>
        <v>0</v>
      </c>
      <c r="AH242" s="137">
        <f t="shared" si="47"/>
        <v>123422.55</v>
      </c>
      <c r="AI242" s="123">
        <f t="shared" si="53"/>
        <v>3613488.0746715791</v>
      </c>
      <c r="AJ242" s="123">
        <f>(('Model Data Inputs'!$B$90*(('Model Data Inputs'!$B$87*('School Level Inst. Resources'!I242/'School Level Inst. Resources'!L242))+('Model Data Inputs'!$C$87*(SUM('School Level Inst. Resources'!J242:K242)/'School Level Inst. Resources'!L242))))*T242*M242)</f>
        <v>376523.79626332241</v>
      </c>
      <c r="AK242" s="123">
        <f>(('Model Data Inputs'!$B$91*(('Model Data Inputs'!$B$87*('School Level Inst. Resources'!I242/'School Level Inst. Resources'!L242))+('Model Data Inputs'!$C$87*(SUM('School Level Inst. Resources'!J242:K242)/'School Level Inst. Resources'!L242))))*T242*N242)</f>
        <v>22267.536338153477</v>
      </c>
      <c r="AL242" s="137">
        <f>(K242*'Model Data Inputs'!$B$94)*T242</f>
        <v>0</v>
      </c>
      <c r="AM242" s="137">
        <f>K242*'Model Data Inputs'!$B$95</f>
        <v>0</v>
      </c>
      <c r="AN242" s="137">
        <f t="shared" si="54"/>
        <v>0</v>
      </c>
      <c r="AO242" s="137">
        <f>('School Level Inst. Resources'!K242*'Model Data Inputs'!$B$96)+('School Level Inst. Resources'!J242*'Model Data Inputs'!$B$97)</f>
        <v>10884.25</v>
      </c>
      <c r="AP242" s="137">
        <f>$L242*'Model Data Inputs'!$B$100</f>
        <v>17414.8</v>
      </c>
      <c r="AQ242" s="137">
        <f t="shared" si="55"/>
        <v>4040578.4572730544</v>
      </c>
      <c r="AR242" s="141">
        <f t="shared" si="48"/>
        <v>9280.7921015987649</v>
      </c>
    </row>
    <row r="243" spans="1:44" s="40" customFormat="1" ht="12.75" customHeight="1" x14ac:dyDescent="0.2">
      <c r="A243" s="20" t="s">
        <v>70</v>
      </c>
      <c r="B243" s="20" t="s">
        <v>843</v>
      </c>
      <c r="C243" s="20" t="s">
        <v>854</v>
      </c>
      <c r="D243" s="20" t="s">
        <v>855</v>
      </c>
      <c r="E243" s="138" t="s">
        <v>389</v>
      </c>
      <c r="F243" s="138" t="str">
        <f>IF(AND(SUM('School Level ADM'!$F243:$J243)=0,SUM('School Level ADM'!$O243:$R243)=0,'School Level ADM'!$K243&gt;0,'School Level ADM'!$N243&gt;0),"T","F")</f>
        <v>F</v>
      </c>
      <c r="G243" s="138" t="str">
        <f>IF(AND(SUM('School Level ADM'!$M243:$R243)=0,'School Level ADM'!$L243&gt;0),"T","F")</f>
        <v>F</v>
      </c>
      <c r="H243" s="138" t="str">
        <f t="shared" si="42"/>
        <v>H</v>
      </c>
      <c r="I243" s="139">
        <f>IF($F243="T",SUM('School Level ADM'!$F243:$J243),IF($G243="T",SUM('School Level ADM'!$F243:$L243),SUM('School Level ADM'!$F243:$K243,0)))</f>
        <v>0</v>
      </c>
      <c r="J243" s="139">
        <f>'School Level ADM'!$S243-$I243-$K243</f>
        <v>0</v>
      </c>
      <c r="K243" s="139">
        <f>IF(SUM('School Level ADM'!$N243:$R243)='School Level ADM'!$S243,SUM('School Level ADM'!$N243:$R243),IF(OR(SUM('School Level ADM'!$F243:$O243)='School Level ADM'!$S243,SUM('School Level ADM'!$G243:$O243)='School Level ADM'!$S243,SUM('School Level ADM'!$H243:$O243)='School Level ADM'!$S243,SUM('School Level ADM'!$I243:$O243)='School Level ADM'!$S243,SUM('School Level ADM'!$J243:$O243)='School Level ADM'!$S243,SUM('School Level ADM'!$K243:$O243)='School Level ADM'!$S243,SUM('School Level ADM'!$L243:$O243)='School Level ADM'!$S243,SUM('School Level ADM'!$M243:$O243)='School Level ADM'!$S243,SUM('School Level ADM'!$N243:$O243)='School Level ADM'!$S243),0,SUM('School Level ADM'!$O243:$R243)))</f>
        <v>534.85500000000002</v>
      </c>
      <c r="L243" s="139">
        <f t="shared" si="43"/>
        <v>534.85500000000002</v>
      </c>
      <c r="M243" s="24">
        <f>'Student At-Risk and ELL Proxy'!S243</f>
        <v>182</v>
      </c>
      <c r="N243" s="24">
        <f>'Student At-Risk and ELL Proxy'!AH243</f>
        <v>11</v>
      </c>
      <c r="O243" s="136" t="str">
        <f t="shared" si="49"/>
        <v/>
      </c>
      <c r="P243" s="136">
        <f t="shared" si="50"/>
        <v>1.0062174326543585</v>
      </c>
      <c r="Q243" s="136" t="str">
        <f t="shared" si="51"/>
        <v/>
      </c>
      <c r="R243" s="136">
        <f t="shared" si="44"/>
        <v>1.0062174326543585</v>
      </c>
      <c r="S243" s="136">
        <f>IF(SUM(3515.4*((VLOOKUP($A243,'District Level ADM'!$A$4:$F$52,6,FALSE))^-0.327)/'Model Data Inputs'!$B$71)&lt;1,1,(3515.4*((VLOOKUP($A243,'District Level ADM'!$A$4:$F$52,6,FALSE))^-0.327)/'Model Data Inputs'!$B$71))</f>
        <v>1.5922226804845272</v>
      </c>
      <c r="T243" s="136">
        <f>VLOOKUP($A243,'Regional Cost Adjustment'!$A$4:$C$52,3,FALSE)</f>
        <v>0.99</v>
      </c>
      <c r="U243" s="123">
        <f>((($I243/$L243)*'Model Data Inputs'!$B$85)+((SUM(J243:K243)/$L243)*'Model Data Inputs'!$C$85))*$R243*$T243</f>
        <v>5362.0940543725164</v>
      </c>
      <c r="V243" s="140">
        <f>((($I243/$L243)*'Model Data Inputs'!$B$86)+((SUM(J243:K243)/$L243)*'Model Data Inputs'!$C$86))*$R243</f>
        <v>1442.0180184527467</v>
      </c>
      <c r="W243" s="140">
        <f t="shared" si="52"/>
        <v>6804.1120728252627</v>
      </c>
      <c r="X243" s="140">
        <f t="shared" si="45"/>
        <v>2867942.8154514125</v>
      </c>
      <c r="Y243" s="140">
        <f t="shared" si="46"/>
        <v>771270.54725954391</v>
      </c>
      <c r="Z243" s="123">
        <f>IF((SUM(X243:Y243))&lt;(AVERAGE('Elementary Size Adjustment'!$B$66,'Secondary Size Adjustment'!$B$66)),(AVERAGE('Elementary Size Adjustment'!$B$66,'Secondary Size Adjustment'!$B$66)),SUM(X243:Y243))</f>
        <v>3639213.3627109565</v>
      </c>
      <c r="AA243" s="137">
        <f>'Model Data Inputs'!$B$71*S243*L243</f>
        <v>161805.56973640487</v>
      </c>
      <c r="AB243" s="137">
        <f>L243*'Model Data Inputs'!$B$72</f>
        <v>13371.375</v>
      </c>
      <c r="AC243" s="137">
        <f>L243*'Model Data Inputs'!$B$73</f>
        <v>133713.75</v>
      </c>
      <c r="AD243" s="137">
        <f>L243*'Model Data Inputs'!$B$74</f>
        <v>66856.875</v>
      </c>
      <c r="AE243" s="137">
        <f>$I243*'Model Data Inputs'!$B$76</f>
        <v>0</v>
      </c>
      <c r="AF243" s="137">
        <f>VLOOKUP($J243,'Student Activities MS&amp;HS Tables'!$M$7:$O$1267,3)</f>
        <v>0</v>
      </c>
      <c r="AG243" s="137">
        <f>VLOOKUP($K243,'Student Activities MS&amp;HS Tables'!$I$7:$K$3007,3)</f>
        <v>429426.77999999997</v>
      </c>
      <c r="AH243" s="137">
        <f t="shared" si="47"/>
        <v>429426.77999999997</v>
      </c>
      <c r="AI243" s="123">
        <f t="shared" si="53"/>
        <v>4444387.7124473611</v>
      </c>
      <c r="AJ243" s="123">
        <f>(('Model Data Inputs'!$B$90*(('Model Data Inputs'!$B$87*('School Level Inst. Resources'!I243/'School Level Inst. Resources'!L243))+('Model Data Inputs'!$C$87*(SUM('School Level Inst. Resources'!J243:K243)/'School Level Inst. Resources'!L243))))*T243*M243)</f>
        <v>368426.51032217569</v>
      </c>
      <c r="AK243" s="123">
        <f>(('Model Data Inputs'!$B$91*(('Model Data Inputs'!$B$87*('School Level Inst. Resources'!I243/'School Level Inst. Resources'!L243))+('Model Data Inputs'!$C$87*(SUM('School Level Inst. Resources'!J243:K243)/'School Level Inst. Resources'!L243))))*T243*N243)</f>
        <v>22267.536338153477</v>
      </c>
      <c r="AL243" s="137">
        <f>(K243*'Model Data Inputs'!$B$94)*T243</f>
        <v>87403.170144039759</v>
      </c>
      <c r="AM243" s="137">
        <f>K243*'Model Data Inputs'!$B$95</f>
        <v>22415.679450374999</v>
      </c>
      <c r="AN243" s="137">
        <f t="shared" si="54"/>
        <v>109818.84959441476</v>
      </c>
      <c r="AO243" s="137">
        <f>('School Level Inst. Resources'!K243*'Model Data Inputs'!$B$96)+('School Level Inst. Resources'!J243*'Model Data Inputs'!$B$97)</f>
        <v>53485.5</v>
      </c>
      <c r="AP243" s="137">
        <f>$L243*'Model Data Inputs'!$B$100</f>
        <v>21394.2</v>
      </c>
      <c r="AQ243" s="137">
        <f t="shared" si="55"/>
        <v>5019780.3087021057</v>
      </c>
      <c r="AR243" s="141">
        <f t="shared" si="48"/>
        <v>9385.3106144695394</v>
      </c>
    </row>
    <row r="244" spans="1:44" s="40" customFormat="1" ht="12.75" customHeight="1" x14ac:dyDescent="0.2">
      <c r="A244" s="20" t="s">
        <v>70</v>
      </c>
      <c r="B244" s="20" t="s">
        <v>843</v>
      </c>
      <c r="C244" s="20" t="s">
        <v>856</v>
      </c>
      <c r="D244" s="20" t="s">
        <v>857</v>
      </c>
      <c r="E244" s="138" t="s">
        <v>389</v>
      </c>
      <c r="F244" s="138" t="str">
        <f>IF(AND(SUM('School Level ADM'!$F244:$J244)=0,SUM('School Level ADM'!$O244:$R244)=0,'School Level ADM'!$K244&gt;0,'School Level ADM'!$N244&gt;0),"T","F")</f>
        <v>F</v>
      </c>
      <c r="G244" s="138" t="str">
        <f>IF(AND(SUM('School Level ADM'!$M244:$R244)=0,'School Level ADM'!$L244&gt;0),"T","F")</f>
        <v>F</v>
      </c>
      <c r="H244" s="138" t="str">
        <f t="shared" si="42"/>
        <v>H</v>
      </c>
      <c r="I244" s="139">
        <f>IF($F244="T",SUM('School Level ADM'!$F244:$J244),IF($G244="T",SUM('School Level ADM'!$F244:$L244),SUM('School Level ADM'!$F244:$K244,0)))</f>
        <v>0</v>
      </c>
      <c r="J244" s="139">
        <f>'School Level ADM'!$S244-$I244-$K244</f>
        <v>0</v>
      </c>
      <c r="K244" s="139">
        <f>IF(SUM('School Level ADM'!$N244:$R244)='School Level ADM'!$S244,SUM('School Level ADM'!$N244:$R244),IF(OR(SUM('School Level ADM'!$F244:$O244)='School Level ADM'!$S244,SUM('School Level ADM'!$G244:$O244)='School Level ADM'!$S244,SUM('School Level ADM'!$H244:$O244)='School Level ADM'!$S244,SUM('School Level ADM'!$I244:$O244)='School Level ADM'!$S244,SUM('School Level ADM'!$J244:$O244)='School Level ADM'!$S244,SUM('School Level ADM'!$K244:$O244)='School Level ADM'!$S244,SUM('School Level ADM'!$L244:$O244)='School Level ADM'!$S244,SUM('School Level ADM'!$M244:$O244)='School Level ADM'!$S244,SUM('School Level ADM'!$N244:$O244)='School Level ADM'!$S244),0,SUM('School Level ADM'!$O244:$R244)))</f>
        <v>14.774999999999999</v>
      </c>
      <c r="L244" s="139">
        <f t="shared" si="43"/>
        <v>14.774999999999999</v>
      </c>
      <c r="M244" s="24">
        <f>'Student At-Risk and ELL Proxy'!S244</f>
        <v>13</v>
      </c>
      <c r="N244" s="24">
        <f>'Student At-Risk and ELL Proxy'!AH244</f>
        <v>1</v>
      </c>
      <c r="O244" s="136" t="str">
        <f t="shared" si="49"/>
        <v/>
      </c>
      <c r="P244" s="136">
        <f t="shared" si="50"/>
        <v>3.5464884143581754</v>
      </c>
      <c r="Q244" s="136" t="str">
        <f t="shared" si="51"/>
        <v/>
      </c>
      <c r="R244" s="136">
        <f t="shared" si="44"/>
        <v>3.5464884143581754</v>
      </c>
      <c r="S244" s="136">
        <f>IF(SUM(3515.4*((VLOOKUP($A244,'District Level ADM'!$A$4:$F$52,6,FALSE))^-0.327)/'Model Data Inputs'!$B$71)&lt;1,1,(3515.4*((VLOOKUP($A244,'District Level ADM'!$A$4:$F$52,6,FALSE))^-0.327)/'Model Data Inputs'!$B$71))</f>
        <v>1.5922226804845272</v>
      </c>
      <c r="T244" s="136">
        <f>VLOOKUP($A244,'Regional Cost Adjustment'!$A$4:$C$52,3,FALSE)</f>
        <v>0.99</v>
      </c>
      <c r="U244" s="123">
        <f>((($I244/$L244)*'Model Data Inputs'!$B$85)+((SUM(J244:K244)/$L244)*'Model Data Inputs'!$C$85))*$R244*$T244</f>
        <v>18899.100555598601</v>
      </c>
      <c r="V244" s="140">
        <f>((($I244/$L244)*'Model Data Inputs'!$B$86)+((SUM(J244:K244)/$L244)*'Model Data Inputs'!$C$86))*$R244</f>
        <v>5082.5000936901115</v>
      </c>
      <c r="W244" s="140">
        <f t="shared" si="52"/>
        <v>23981.600649288714</v>
      </c>
      <c r="X244" s="140">
        <f t="shared" si="45"/>
        <v>279234.21070896933</v>
      </c>
      <c r="Y244" s="140">
        <f t="shared" si="46"/>
        <v>75093.938884271396</v>
      </c>
      <c r="Z244" s="123">
        <f>IF((SUM(X244:Y244))&lt;(AVERAGE('Elementary Size Adjustment'!$B$66,'Secondary Size Adjustment'!$B$66)),(AVERAGE('Elementary Size Adjustment'!$B$66,'Secondary Size Adjustment'!$B$66)),SUM(X244:Y244))</f>
        <v>354328.1495932407</v>
      </c>
      <c r="AA244" s="137">
        <f>'Model Data Inputs'!$B$71*S244*L244</f>
        <v>4469.7671197901891</v>
      </c>
      <c r="AB244" s="137">
        <f>L244*'Model Data Inputs'!$B$72</f>
        <v>369.37499999999994</v>
      </c>
      <c r="AC244" s="137">
        <f>L244*'Model Data Inputs'!$B$73</f>
        <v>3693.7499999999995</v>
      </c>
      <c r="AD244" s="137">
        <f>L244*'Model Data Inputs'!$B$74</f>
        <v>1846.8749999999998</v>
      </c>
      <c r="AE244" s="137">
        <f>$I244*'Model Data Inputs'!$B$76</f>
        <v>0</v>
      </c>
      <c r="AF244" s="137">
        <f>VLOOKUP($J244,'Student Activities MS&amp;HS Tables'!$M$7:$O$1267,3)</f>
        <v>0</v>
      </c>
      <c r="AG244" s="137">
        <f>VLOOKUP($K244,'Student Activities MS&amp;HS Tables'!$I$7:$K$3007,3)</f>
        <v>27416.62</v>
      </c>
      <c r="AH244" s="137">
        <f t="shared" si="47"/>
        <v>27416.62</v>
      </c>
      <c r="AI244" s="123">
        <f t="shared" si="53"/>
        <v>392124.53671303089</v>
      </c>
      <c r="AJ244" s="123">
        <f>(('Model Data Inputs'!$B$90*(('Model Data Inputs'!$B$87*('School Level Inst. Resources'!I244/'School Level Inst. Resources'!L244))+('Model Data Inputs'!$C$87*(SUM('School Level Inst. Resources'!J244:K244)/'School Level Inst. Resources'!L244))))*T244*M244)</f>
        <v>26316.179308726838</v>
      </c>
      <c r="AK244" s="123">
        <f>(('Model Data Inputs'!$B$91*(('Model Data Inputs'!$B$87*('School Level Inst. Resources'!I244/'School Level Inst. Resources'!L244))+('Model Data Inputs'!$C$87*(SUM('School Level Inst. Resources'!J244:K244)/'School Level Inst. Resources'!L244))))*T244*N244)</f>
        <v>2024.3214852866797</v>
      </c>
      <c r="AL244" s="137">
        <f>(K244*'Model Data Inputs'!$B$94)*T244</f>
        <v>2414.4522139237502</v>
      </c>
      <c r="AM244" s="137">
        <f>K244*'Model Data Inputs'!$B$95</f>
        <v>619.21766437499991</v>
      </c>
      <c r="AN244" s="137">
        <f t="shared" si="54"/>
        <v>3033.6698782987501</v>
      </c>
      <c r="AO244" s="137">
        <f>('School Level Inst. Resources'!K244*'Model Data Inputs'!$B$96)+('School Level Inst. Resources'!J244*'Model Data Inputs'!$B$97)</f>
        <v>1477.4999999999998</v>
      </c>
      <c r="AP244" s="137">
        <f>$L244*'Model Data Inputs'!$B$100</f>
        <v>591</v>
      </c>
      <c r="AQ244" s="137">
        <f t="shared" si="55"/>
        <v>425567.20738534321</v>
      </c>
      <c r="AR244" s="141">
        <f t="shared" si="48"/>
        <v>28803.195085302421</v>
      </c>
    </row>
    <row r="245" spans="1:44" s="40" customFormat="1" ht="12.75" customHeight="1" x14ac:dyDescent="0.2">
      <c r="A245" s="20" t="s">
        <v>72</v>
      </c>
      <c r="B245" s="20" t="s">
        <v>858</v>
      </c>
      <c r="C245" s="20" t="s">
        <v>859</v>
      </c>
      <c r="D245" s="20" t="s">
        <v>860</v>
      </c>
      <c r="E245" s="138" t="s">
        <v>354</v>
      </c>
      <c r="F245" s="138" t="str">
        <f>IF(AND(SUM('School Level ADM'!$F245:$J245)=0,SUM('School Level ADM'!$O245:$R245)=0,'School Level ADM'!$K245&gt;0,'School Level ADM'!$N245&gt;0),"T","F")</f>
        <v>F</v>
      </c>
      <c r="G245" s="138" t="str">
        <f>IF(AND(SUM('School Level ADM'!$M245:$R245)=0,'School Level ADM'!$L245&gt;0),"T","F")</f>
        <v>F</v>
      </c>
      <c r="H245" s="138" t="str">
        <f t="shared" si="42"/>
        <v>E</v>
      </c>
      <c r="I245" s="139">
        <f>IF($F245="T",SUM('School Level ADM'!$F245:$J245),IF($G245="T",SUM('School Level ADM'!$F245:$L245),SUM('School Level ADM'!$F245:$K245,0)))</f>
        <v>302.77199999999999</v>
      </c>
      <c r="J245" s="139">
        <f>'School Level ADM'!$S245-$I245-$K245</f>
        <v>0</v>
      </c>
      <c r="K245" s="139">
        <f>IF(SUM('School Level ADM'!$N245:$R245)='School Level ADM'!$S245,SUM('School Level ADM'!$N245:$R245),IF(OR(SUM('School Level ADM'!$F245:$O245)='School Level ADM'!$S245,SUM('School Level ADM'!$G245:$O245)='School Level ADM'!$S245,SUM('School Level ADM'!$H245:$O245)='School Level ADM'!$S245,SUM('School Level ADM'!$I245:$O245)='School Level ADM'!$S245,SUM('School Level ADM'!$J245:$O245)='School Level ADM'!$S245,SUM('School Level ADM'!$K245:$O245)='School Level ADM'!$S245,SUM('School Level ADM'!$L245:$O245)='School Level ADM'!$S245,SUM('School Level ADM'!$M245:$O245)='School Level ADM'!$S245,SUM('School Level ADM'!$N245:$O245)='School Level ADM'!$S245),0,SUM('School Level ADM'!$O245:$R245)))</f>
        <v>0</v>
      </c>
      <c r="L245" s="139">
        <f t="shared" si="43"/>
        <v>302.77199999999999</v>
      </c>
      <c r="M245" s="24">
        <f>'Student At-Risk and ELL Proxy'!S245</f>
        <v>135</v>
      </c>
      <c r="N245" s="24">
        <f>'Student At-Risk and ELL Proxy'!AH245</f>
        <v>4</v>
      </c>
      <c r="O245" s="136">
        <f t="shared" si="49"/>
        <v>0.98889881884437003</v>
      </c>
      <c r="P245" s="136" t="str">
        <f t="shared" si="50"/>
        <v/>
      </c>
      <c r="Q245" s="136" t="str">
        <f t="shared" si="51"/>
        <v/>
      </c>
      <c r="R245" s="136">
        <f t="shared" si="44"/>
        <v>0.98889881884437003</v>
      </c>
      <c r="S245" s="136">
        <f>IF(SUM(3515.4*((VLOOKUP($A245,'District Level ADM'!$A$4:$F$52,6,FALSE))^-0.327)/'Model Data Inputs'!$B$71)&lt;1,1,(3515.4*((VLOOKUP($A245,'District Level ADM'!$A$4:$F$52,6,FALSE))^-0.327)/'Model Data Inputs'!$B$71))</f>
        <v>1.5314274341377379</v>
      </c>
      <c r="T245" s="136">
        <f>VLOOKUP($A245,'Regional Cost Adjustment'!$A$4:$C$52,3,FALSE)</f>
        <v>0.99</v>
      </c>
      <c r="U245" s="123">
        <f>((($I245/$L245)*'Model Data Inputs'!$B$85)+((SUM(J245:K245)/$L245)*'Model Data Inputs'!$C$85))*$R245*$T245</f>
        <v>6233.9309528687891</v>
      </c>
      <c r="V245" s="140">
        <f>((($I245/$L245)*'Model Data Inputs'!$B$86)+((SUM(J245:K245)/$L245)*'Model Data Inputs'!$C$86))*$R245</f>
        <v>1673.8346078594075</v>
      </c>
      <c r="W245" s="140">
        <f t="shared" si="52"/>
        <v>7907.7655607281968</v>
      </c>
      <c r="X245" s="140">
        <f t="shared" si="45"/>
        <v>1887459.7424619889</v>
      </c>
      <c r="Y245" s="140">
        <f t="shared" si="46"/>
        <v>506790.25189080852</v>
      </c>
      <c r="Z245" s="123">
        <f>IF((SUM(X245:Y245))&lt;(AVERAGE('Elementary Size Adjustment'!$B$66,'Secondary Size Adjustment'!$B$66)),(AVERAGE('Elementary Size Adjustment'!$B$66,'Secondary Size Adjustment'!$B$66)),SUM(X245:Y245))</f>
        <v>2394249.9943527975</v>
      </c>
      <c r="AA245" s="137">
        <f>'Model Data Inputs'!$B$71*S245*L245</f>
        <v>88097.935946862723</v>
      </c>
      <c r="AB245" s="137">
        <f>L245*'Model Data Inputs'!$B$72</f>
        <v>7569.3</v>
      </c>
      <c r="AC245" s="137">
        <f>L245*'Model Data Inputs'!$B$73</f>
        <v>75693</v>
      </c>
      <c r="AD245" s="137">
        <f>L245*'Model Data Inputs'!$B$74</f>
        <v>37846.5</v>
      </c>
      <c r="AE245" s="137">
        <f>$I245*'Model Data Inputs'!$B$76</f>
        <v>7202.9458799999993</v>
      </c>
      <c r="AF245" s="137">
        <f>VLOOKUP($J245,'Student Activities MS&amp;HS Tables'!$M$7:$O$1267,3)</f>
        <v>0</v>
      </c>
      <c r="AG245" s="137">
        <f>VLOOKUP($K245,'Student Activities MS&amp;HS Tables'!$I$7:$K$3007,3)</f>
        <v>0</v>
      </c>
      <c r="AH245" s="137">
        <f t="shared" si="47"/>
        <v>7202.9458799999993</v>
      </c>
      <c r="AI245" s="123">
        <f t="shared" si="53"/>
        <v>2610659.67617966</v>
      </c>
      <c r="AJ245" s="123">
        <f>(('Model Data Inputs'!$B$90*(('Model Data Inputs'!$B$87*('School Level Inst. Resources'!I245/'School Level Inst. Resources'!L245))+('Model Data Inputs'!$C$87*(SUM('School Level Inst. Resources'!J245:K245)/'School Level Inst. Resources'!L245))))*T245*M245)</f>
        <v>323174.21772914915</v>
      </c>
      <c r="AK245" s="123">
        <f>(('Model Data Inputs'!$B$91*(('Model Data Inputs'!$B$87*('School Level Inst. Resources'!I245/'School Level Inst. Resources'!L245))+('Model Data Inputs'!$C$87*(SUM('School Level Inst. Resources'!J245:K245)/'School Level Inst. Resources'!L245))))*T245*N245)</f>
        <v>9575.5323771599742</v>
      </c>
      <c r="AL245" s="137">
        <f>(K245*'Model Data Inputs'!$B$94)*T245</f>
        <v>0</v>
      </c>
      <c r="AM245" s="137">
        <f>K245*'Model Data Inputs'!$B$95</f>
        <v>0</v>
      </c>
      <c r="AN245" s="137">
        <f t="shared" si="54"/>
        <v>0</v>
      </c>
      <c r="AO245" s="137">
        <f>('School Level Inst. Resources'!K245*'Model Data Inputs'!$B$96)+('School Level Inst. Resources'!J245*'Model Data Inputs'!$B$97)</f>
        <v>0</v>
      </c>
      <c r="AP245" s="137">
        <f>$L245*'Model Data Inputs'!$B$100</f>
        <v>12110.88</v>
      </c>
      <c r="AQ245" s="137">
        <f t="shared" si="55"/>
        <v>2955520.306285969</v>
      </c>
      <c r="AR245" s="141">
        <f t="shared" si="48"/>
        <v>9761.5377455179769</v>
      </c>
    </row>
    <row r="246" spans="1:44" s="40" customFormat="1" ht="12.75" customHeight="1" x14ac:dyDescent="0.2">
      <c r="A246" s="20" t="s">
        <v>72</v>
      </c>
      <c r="B246" s="20" t="s">
        <v>858</v>
      </c>
      <c r="C246" s="20" t="s">
        <v>861</v>
      </c>
      <c r="D246" s="20" t="s">
        <v>862</v>
      </c>
      <c r="E246" s="138" t="s">
        <v>354</v>
      </c>
      <c r="F246" s="138" t="str">
        <f>IF(AND(SUM('School Level ADM'!$F246:$J246)=0,SUM('School Level ADM'!$O246:$R246)=0,'School Level ADM'!$K246&gt;0,'School Level ADM'!$N246&gt;0),"T","F")</f>
        <v>F</v>
      </c>
      <c r="G246" s="138" t="str">
        <f>IF(AND(SUM('School Level ADM'!$M246:$R246)=0,'School Level ADM'!$L246&gt;0),"T","F")</f>
        <v>F</v>
      </c>
      <c r="H246" s="138" t="str">
        <f t="shared" si="42"/>
        <v>E</v>
      </c>
      <c r="I246" s="139">
        <f>IF($F246="T",SUM('School Level ADM'!$F246:$J246),IF($G246="T",SUM('School Level ADM'!$F246:$L246),SUM('School Level ADM'!$F246:$K246,0)))</f>
        <v>314.0146666666667</v>
      </c>
      <c r="J246" s="139">
        <f>'School Level ADM'!$S246-$I246-$K246</f>
        <v>0</v>
      </c>
      <c r="K246" s="139">
        <f>IF(SUM('School Level ADM'!$N246:$R246)='School Level ADM'!$S246,SUM('School Level ADM'!$N246:$R246),IF(OR(SUM('School Level ADM'!$F246:$O246)='School Level ADM'!$S246,SUM('School Level ADM'!$G246:$O246)='School Level ADM'!$S246,SUM('School Level ADM'!$H246:$O246)='School Level ADM'!$S246,SUM('School Level ADM'!$I246:$O246)='School Level ADM'!$S246,SUM('School Level ADM'!$J246:$O246)='School Level ADM'!$S246,SUM('School Level ADM'!$K246:$O246)='School Level ADM'!$S246,SUM('School Level ADM'!$L246:$O246)='School Level ADM'!$S246,SUM('School Level ADM'!$M246:$O246)='School Level ADM'!$S246,SUM('School Level ADM'!$N246:$O246)='School Level ADM'!$S246),0,SUM('School Level ADM'!$O246:$R246)))</f>
        <v>0</v>
      </c>
      <c r="L246" s="139">
        <f t="shared" si="43"/>
        <v>314.0146666666667</v>
      </c>
      <c r="M246" s="24">
        <f>'Student At-Risk and ELL Proxy'!S246</f>
        <v>91</v>
      </c>
      <c r="N246" s="24">
        <f>'Student At-Risk and ELL Proxy'!AH246</f>
        <v>0</v>
      </c>
      <c r="O246" s="136">
        <f t="shared" si="49"/>
        <v>0.9746525810604908</v>
      </c>
      <c r="P246" s="136" t="str">
        <f t="shared" si="50"/>
        <v/>
      </c>
      <c r="Q246" s="136" t="str">
        <f t="shared" si="51"/>
        <v/>
      </c>
      <c r="R246" s="136">
        <f t="shared" si="44"/>
        <v>0.9746525810604908</v>
      </c>
      <c r="S246" s="136">
        <f>IF(SUM(3515.4*((VLOOKUP($A246,'District Level ADM'!$A$4:$F$52,6,FALSE))^-0.327)/'Model Data Inputs'!$B$71)&lt;1,1,(3515.4*((VLOOKUP($A246,'District Level ADM'!$A$4:$F$52,6,FALSE))^-0.327)/'Model Data Inputs'!$B$71))</f>
        <v>1.5314274341377379</v>
      </c>
      <c r="T246" s="136">
        <f>VLOOKUP($A246,'Regional Cost Adjustment'!$A$4:$C$52,3,FALSE)</f>
        <v>0.99</v>
      </c>
      <c r="U246" s="123">
        <f>((($I246/$L246)*'Model Data Inputs'!$B$85)+((SUM(J246:K246)/$L246)*'Model Data Inputs'!$C$85))*$R246*$T246</f>
        <v>6144.1239261128685</v>
      </c>
      <c r="V246" s="140">
        <f>((($I246/$L246)*'Model Data Inputs'!$B$86)+((SUM(J246:K246)/$L246)*'Model Data Inputs'!$C$86))*$R246</f>
        <v>1649.7210733096163</v>
      </c>
      <c r="W246" s="140">
        <f t="shared" si="52"/>
        <v>7793.8449994224848</v>
      </c>
      <c r="X246" s="140">
        <f t="shared" si="45"/>
        <v>1929345.0266170239</v>
      </c>
      <c r="Y246" s="140">
        <f t="shared" si="46"/>
        <v>518036.61292829475</v>
      </c>
      <c r="Z246" s="123">
        <f>IF((SUM(X246:Y246))&lt;(AVERAGE('Elementary Size Adjustment'!$B$66,'Secondary Size Adjustment'!$B$66)),(AVERAGE('Elementary Size Adjustment'!$B$66,'Secondary Size Adjustment'!$B$66)),SUM(X246:Y246))</f>
        <v>2447381.6395453187</v>
      </c>
      <c r="AA246" s="137">
        <f>'Model Data Inputs'!$B$71*S246*L246</f>
        <v>91369.22829844059</v>
      </c>
      <c r="AB246" s="137">
        <f>L246*'Model Data Inputs'!$B$72</f>
        <v>7850.3666666666677</v>
      </c>
      <c r="AC246" s="137">
        <f>L246*'Model Data Inputs'!$B$73</f>
        <v>78503.666666666672</v>
      </c>
      <c r="AD246" s="137">
        <f>L246*'Model Data Inputs'!$B$74</f>
        <v>39251.833333333336</v>
      </c>
      <c r="AE246" s="137">
        <f>$I246*'Model Data Inputs'!$B$76</f>
        <v>7470.4089200000008</v>
      </c>
      <c r="AF246" s="137">
        <f>VLOOKUP($J246,'Student Activities MS&amp;HS Tables'!$M$7:$O$1267,3)</f>
        <v>0</v>
      </c>
      <c r="AG246" s="137">
        <f>VLOOKUP($K246,'Student Activities MS&amp;HS Tables'!$I$7:$K$3007,3)</f>
        <v>0</v>
      </c>
      <c r="AH246" s="137">
        <f t="shared" si="47"/>
        <v>7470.4089200000008</v>
      </c>
      <c r="AI246" s="123">
        <f t="shared" si="53"/>
        <v>2671827.1434304258</v>
      </c>
      <c r="AJ246" s="123">
        <f>(('Model Data Inputs'!$B$90*(('Model Data Inputs'!$B$87*('School Level Inst. Resources'!I246/'School Level Inst. Resources'!L246))+('Model Data Inputs'!$C$87*(SUM('School Level Inst. Resources'!J246:K246)/'School Level Inst. Resources'!L246))))*T246*M246)</f>
        <v>217843.36158038941</v>
      </c>
      <c r="AK246" s="123">
        <f>(('Model Data Inputs'!$B$91*(('Model Data Inputs'!$B$87*('School Level Inst. Resources'!I246/'School Level Inst. Resources'!L246))+('Model Data Inputs'!$C$87*(SUM('School Level Inst. Resources'!J246:K246)/'School Level Inst. Resources'!L246))))*T246*N246)</f>
        <v>0</v>
      </c>
      <c r="AL246" s="137">
        <f>(K246*'Model Data Inputs'!$B$94)*T246</f>
        <v>0</v>
      </c>
      <c r="AM246" s="137">
        <f>K246*'Model Data Inputs'!$B$95</f>
        <v>0</v>
      </c>
      <c r="AN246" s="137">
        <f t="shared" si="54"/>
        <v>0</v>
      </c>
      <c r="AO246" s="137">
        <f>('School Level Inst. Resources'!K246*'Model Data Inputs'!$B$96)+('School Level Inst. Resources'!J246*'Model Data Inputs'!$B$97)</f>
        <v>0</v>
      </c>
      <c r="AP246" s="137">
        <f>$L246*'Model Data Inputs'!$B$100</f>
        <v>12560.586666666668</v>
      </c>
      <c r="AQ246" s="137">
        <f t="shared" si="55"/>
        <v>2902231.0916774818</v>
      </c>
      <c r="AR246" s="141">
        <f t="shared" si="48"/>
        <v>9242.3424755451379</v>
      </c>
    </row>
    <row r="247" spans="1:44" s="40" customFormat="1" ht="12.75" customHeight="1" x14ac:dyDescent="0.2">
      <c r="A247" s="20" t="s">
        <v>72</v>
      </c>
      <c r="B247" s="20" t="s">
        <v>858</v>
      </c>
      <c r="C247" s="20" t="s">
        <v>863</v>
      </c>
      <c r="D247" s="20" t="s">
        <v>864</v>
      </c>
      <c r="E247" s="138" t="s">
        <v>354</v>
      </c>
      <c r="F247" s="138" t="str">
        <f>IF(AND(SUM('School Level ADM'!$F247:$J247)=0,SUM('School Level ADM'!$O247:$R247)=0,'School Level ADM'!$K247&gt;0,'School Level ADM'!$N247&gt;0),"T","F")</f>
        <v>F</v>
      </c>
      <c r="G247" s="138" t="str">
        <f>IF(AND(SUM('School Level ADM'!$M247:$R247)=0,'School Level ADM'!$L247&gt;0),"T","F")</f>
        <v>F</v>
      </c>
      <c r="H247" s="138" t="str">
        <f t="shared" si="42"/>
        <v>E</v>
      </c>
      <c r="I247" s="139">
        <f>IF($F247="T",SUM('School Level ADM'!$F247:$J247),IF($G247="T",SUM('School Level ADM'!$F247:$L247),SUM('School Level ADM'!$F247:$K247,0)))</f>
        <v>5.6316666666666659</v>
      </c>
      <c r="J247" s="139">
        <f>'School Level ADM'!$S247-$I247-$K247</f>
        <v>0</v>
      </c>
      <c r="K247" s="139">
        <f>IF(SUM('School Level ADM'!$N247:$R247)='School Level ADM'!$S247,SUM('School Level ADM'!$N247:$R247),IF(OR(SUM('School Level ADM'!$F247:$O247)='School Level ADM'!$S247,SUM('School Level ADM'!$G247:$O247)='School Level ADM'!$S247,SUM('School Level ADM'!$H247:$O247)='School Level ADM'!$S247,SUM('School Level ADM'!$I247:$O247)='School Level ADM'!$S247,SUM('School Level ADM'!$J247:$O247)='School Level ADM'!$S247,SUM('School Level ADM'!$K247:$O247)='School Level ADM'!$S247,SUM('School Level ADM'!$L247:$O247)='School Level ADM'!$S247,SUM('School Level ADM'!$M247:$O247)='School Level ADM'!$S247,SUM('School Level ADM'!$N247:$O247)='School Level ADM'!$S247),0,SUM('School Level ADM'!$O247:$R247)))</f>
        <v>0</v>
      </c>
      <c r="L247" s="139">
        <f t="shared" si="43"/>
        <v>5.6316666666666659</v>
      </c>
      <c r="M247" s="24">
        <f>'Student At-Risk and ELL Proxy'!S247</f>
        <v>1</v>
      </c>
      <c r="N247" s="24">
        <f>'Student At-Risk and ELL Proxy'!AH247</f>
        <v>0</v>
      </c>
      <c r="O247" s="136">
        <f t="shared" si="49"/>
        <v>4.8292802396461481</v>
      </c>
      <c r="P247" s="136" t="str">
        <f t="shared" si="50"/>
        <v/>
      </c>
      <c r="Q247" s="136" t="str">
        <f t="shared" si="51"/>
        <v/>
      </c>
      <c r="R247" s="136">
        <f t="shared" si="44"/>
        <v>4.8292802396461481</v>
      </c>
      <c r="S247" s="136">
        <f>IF(SUM(3515.4*((VLOOKUP($A247,'District Level ADM'!$A$4:$F$52,6,FALSE))^-0.327)/'Model Data Inputs'!$B$71)&lt;1,1,(3515.4*((VLOOKUP($A247,'District Level ADM'!$A$4:$F$52,6,FALSE))^-0.327)/'Model Data Inputs'!$B$71))</f>
        <v>1.5314274341377379</v>
      </c>
      <c r="T247" s="136">
        <f>VLOOKUP($A247,'Regional Cost Adjustment'!$A$4:$C$52,3,FALSE)</f>
        <v>0.99</v>
      </c>
      <c r="U247" s="123">
        <f>((($I247/$L247)*'Model Data Inputs'!$B$85)+((SUM(J247:K247)/$L247)*'Model Data Inputs'!$C$85))*$R247*$T247</f>
        <v>30443.356784659707</v>
      </c>
      <c r="V247" s="140">
        <f>((($I247/$L247)*'Model Data Inputs'!$B$86)+((SUM(J247:K247)/$L247)*'Model Data Inputs'!$C$86))*$R247</f>
        <v>8174.1592184502742</v>
      </c>
      <c r="W247" s="140">
        <f t="shared" si="52"/>
        <v>38617.51600310998</v>
      </c>
      <c r="X247" s="140">
        <f t="shared" si="45"/>
        <v>171446.83762560855</v>
      </c>
      <c r="Y247" s="140">
        <f t="shared" si="46"/>
        <v>46034.139998572457</v>
      </c>
      <c r="Z247" s="123">
        <f>IF((SUM(X247:Y247))&lt;(AVERAGE('Elementary Size Adjustment'!$B$66,'Secondary Size Adjustment'!$B$66)),(AVERAGE('Elementary Size Adjustment'!$B$66,'Secondary Size Adjustment'!$B$66)),SUM(X247:Y247))</f>
        <v>217480.97762418102</v>
      </c>
      <c r="AA247" s="137">
        <f>'Model Data Inputs'!$B$71*S247*L247</f>
        <v>1638.6528783179483</v>
      </c>
      <c r="AB247" s="137">
        <f>L247*'Model Data Inputs'!$B$72</f>
        <v>140.79166666666666</v>
      </c>
      <c r="AC247" s="137">
        <f>L247*'Model Data Inputs'!$B$73</f>
        <v>1407.9166666666665</v>
      </c>
      <c r="AD247" s="137">
        <f>L247*'Model Data Inputs'!$B$74</f>
        <v>703.95833333333326</v>
      </c>
      <c r="AE247" s="137">
        <f>$I247*'Model Data Inputs'!$B$76</f>
        <v>133.97734999999997</v>
      </c>
      <c r="AF247" s="137">
        <f>VLOOKUP($J247,'Student Activities MS&amp;HS Tables'!$M$7:$O$1267,3)</f>
        <v>0</v>
      </c>
      <c r="AG247" s="137">
        <f>VLOOKUP($K247,'Student Activities MS&amp;HS Tables'!$I$7:$K$3007,3)</f>
        <v>0</v>
      </c>
      <c r="AH247" s="137">
        <f t="shared" si="47"/>
        <v>133.97734999999997</v>
      </c>
      <c r="AI247" s="123">
        <f t="shared" si="53"/>
        <v>221506.27451916563</v>
      </c>
      <c r="AJ247" s="123">
        <f>(('Model Data Inputs'!$B$90*(('Model Data Inputs'!$B$87*('School Level Inst. Resources'!I247/'School Level Inst. Resources'!L247))+('Model Data Inputs'!$C$87*(SUM('School Level Inst. Resources'!J247:K247)/'School Level Inst. Resources'!L247))))*T247*M247)</f>
        <v>2393.8830942899936</v>
      </c>
      <c r="AK247" s="123">
        <f>(('Model Data Inputs'!$B$91*(('Model Data Inputs'!$B$87*('School Level Inst. Resources'!I247/'School Level Inst. Resources'!L247))+('Model Data Inputs'!$C$87*(SUM('School Level Inst. Resources'!J247:K247)/'School Level Inst. Resources'!L247))))*T247*N247)</f>
        <v>0</v>
      </c>
      <c r="AL247" s="137">
        <f>(K247*'Model Data Inputs'!$B$94)*T247</f>
        <v>0</v>
      </c>
      <c r="AM247" s="137">
        <f>K247*'Model Data Inputs'!$B$95</f>
        <v>0</v>
      </c>
      <c r="AN247" s="137">
        <f t="shared" si="54"/>
        <v>0</v>
      </c>
      <c r="AO247" s="137">
        <f>('School Level Inst. Resources'!K247*'Model Data Inputs'!$B$96)+('School Level Inst. Resources'!J247*'Model Data Inputs'!$B$97)</f>
        <v>0</v>
      </c>
      <c r="AP247" s="137">
        <f>$L247*'Model Data Inputs'!$B$100</f>
        <v>225.26666666666665</v>
      </c>
      <c r="AQ247" s="137">
        <f t="shared" si="55"/>
        <v>224125.42428012227</v>
      </c>
      <c r="AR247" s="141">
        <f t="shared" si="48"/>
        <v>39797.352639264092</v>
      </c>
    </row>
    <row r="248" spans="1:44" s="40" customFormat="1" ht="12.75" customHeight="1" x14ac:dyDescent="0.2">
      <c r="A248" s="20" t="s">
        <v>72</v>
      </c>
      <c r="B248" s="20" t="s">
        <v>858</v>
      </c>
      <c r="C248" s="20" t="s">
        <v>865</v>
      </c>
      <c r="D248" s="20" t="s">
        <v>866</v>
      </c>
      <c r="E248" s="138" t="s">
        <v>354</v>
      </c>
      <c r="F248" s="138" t="str">
        <f>IF(AND(SUM('School Level ADM'!$F248:$J248)=0,SUM('School Level ADM'!$O248:$R248)=0,'School Level ADM'!$K248&gt;0,'School Level ADM'!$N248&gt;0),"T","F")</f>
        <v>F</v>
      </c>
      <c r="G248" s="138" t="str">
        <f>IF(AND(SUM('School Level ADM'!$M248:$R248)=0,'School Level ADM'!$L248&gt;0),"T","F")</f>
        <v>F</v>
      </c>
      <c r="H248" s="138" t="str">
        <f t="shared" si="42"/>
        <v>E</v>
      </c>
      <c r="I248" s="139">
        <f>IF($F248="T",SUM('School Level ADM'!$F248:$J248),IF($G248="T",SUM('School Level ADM'!$F248:$L248),SUM('School Level ADM'!$F248:$K248,0)))</f>
        <v>11.193333333333333</v>
      </c>
      <c r="J248" s="139">
        <f>'School Level ADM'!$S248-$I248-$K248</f>
        <v>0</v>
      </c>
      <c r="K248" s="139">
        <f>IF(SUM('School Level ADM'!$N248:$R248)='School Level ADM'!$S248,SUM('School Level ADM'!$N248:$R248),IF(OR(SUM('School Level ADM'!$F248:$O248)='School Level ADM'!$S248,SUM('School Level ADM'!$G248:$O248)='School Level ADM'!$S248,SUM('School Level ADM'!$H248:$O248)='School Level ADM'!$S248,SUM('School Level ADM'!$I248:$O248)='School Level ADM'!$S248,SUM('School Level ADM'!$J248:$O248)='School Level ADM'!$S248,SUM('School Level ADM'!$K248:$O248)='School Level ADM'!$S248,SUM('School Level ADM'!$L248:$O248)='School Level ADM'!$S248,SUM('School Level ADM'!$M248:$O248)='School Level ADM'!$S248,SUM('School Level ADM'!$N248:$O248)='School Level ADM'!$S248),0,SUM('School Level ADM'!$O248:$R248)))</f>
        <v>0</v>
      </c>
      <c r="L248" s="139">
        <f t="shared" si="43"/>
        <v>11.193333333333333</v>
      </c>
      <c r="M248" s="24">
        <f>'Student At-Risk and ELL Proxy'!S248</f>
        <v>2</v>
      </c>
      <c r="N248" s="24">
        <f>'Student At-Risk and ELL Proxy'!AH248</f>
        <v>0</v>
      </c>
      <c r="O248" s="136">
        <f t="shared" si="49"/>
        <v>3.6740922344663951</v>
      </c>
      <c r="P248" s="136" t="str">
        <f t="shared" si="50"/>
        <v/>
      </c>
      <c r="Q248" s="136" t="str">
        <f t="shared" si="51"/>
        <v/>
      </c>
      <c r="R248" s="136">
        <f t="shared" si="44"/>
        <v>3.6740922344663951</v>
      </c>
      <c r="S248" s="136">
        <f>IF(SUM(3515.4*((VLOOKUP($A248,'District Level ADM'!$A$4:$F$52,6,FALSE))^-0.327)/'Model Data Inputs'!$B$71)&lt;1,1,(3515.4*((VLOOKUP($A248,'District Level ADM'!$A$4:$F$52,6,FALSE))^-0.327)/'Model Data Inputs'!$B$71))</f>
        <v>1.5314274341377379</v>
      </c>
      <c r="T248" s="136">
        <f>VLOOKUP($A248,'Regional Cost Adjustment'!$A$4:$C$52,3,FALSE)</f>
        <v>0.99</v>
      </c>
      <c r="U248" s="123">
        <f>((($I248/$L248)*'Model Data Inputs'!$B$85)+((SUM(J248:K248)/$L248)*'Model Data Inputs'!$C$85))*$R248*$T248</f>
        <v>23161.153464517873</v>
      </c>
      <c r="V248" s="140">
        <f>((($I248/$L248)*'Model Data Inputs'!$B$86)+((SUM(J248:K248)/$L248)*'Model Data Inputs'!$C$86))*$R248</f>
        <v>6218.8594195147816</v>
      </c>
      <c r="W248" s="140">
        <f t="shared" si="52"/>
        <v>29380.012884032654</v>
      </c>
      <c r="X248" s="140">
        <f t="shared" si="45"/>
        <v>259250.51111283671</v>
      </c>
      <c r="Y248" s="140">
        <f t="shared" si="46"/>
        <v>69609.76643576879</v>
      </c>
      <c r="Z248" s="123">
        <f>IF((SUM(X248:Y248))&lt;(AVERAGE('Elementary Size Adjustment'!$B$66,'Secondary Size Adjustment'!$B$66)),(AVERAGE('Elementary Size Adjustment'!$B$66,'Secondary Size Adjustment'!$B$66)),SUM(X248:Y248))</f>
        <v>328860.27754860552</v>
      </c>
      <c r="AA248" s="137">
        <f>'Model Data Inputs'!$B$71*S248*L248</f>
        <v>3256.937771761865</v>
      </c>
      <c r="AB248" s="137">
        <f>L248*'Model Data Inputs'!$B$72</f>
        <v>279.83333333333331</v>
      </c>
      <c r="AC248" s="137">
        <f>L248*'Model Data Inputs'!$B$73</f>
        <v>2798.3333333333335</v>
      </c>
      <c r="AD248" s="137">
        <f>L248*'Model Data Inputs'!$B$74</f>
        <v>1399.1666666666667</v>
      </c>
      <c r="AE248" s="137">
        <f>$I248*'Model Data Inputs'!$B$76</f>
        <v>266.2894</v>
      </c>
      <c r="AF248" s="137">
        <f>VLOOKUP($J248,'Student Activities MS&amp;HS Tables'!$M$7:$O$1267,3)</f>
        <v>0</v>
      </c>
      <c r="AG248" s="137">
        <f>VLOOKUP($K248,'Student Activities MS&amp;HS Tables'!$I$7:$K$3007,3)</f>
        <v>0</v>
      </c>
      <c r="AH248" s="137">
        <f t="shared" si="47"/>
        <v>266.2894</v>
      </c>
      <c r="AI248" s="123">
        <f t="shared" si="53"/>
        <v>336860.83805370069</v>
      </c>
      <c r="AJ248" s="123">
        <f>(('Model Data Inputs'!$B$90*(('Model Data Inputs'!$B$87*('School Level Inst. Resources'!I248/'School Level Inst. Resources'!L248))+('Model Data Inputs'!$C$87*(SUM('School Level Inst. Resources'!J248:K248)/'School Level Inst. Resources'!L248))))*T248*M248)</f>
        <v>4787.7661885799871</v>
      </c>
      <c r="AK248" s="123">
        <f>(('Model Data Inputs'!$B$91*(('Model Data Inputs'!$B$87*('School Level Inst. Resources'!I248/'School Level Inst. Resources'!L248))+('Model Data Inputs'!$C$87*(SUM('School Level Inst. Resources'!J248:K248)/'School Level Inst. Resources'!L248))))*T248*N248)</f>
        <v>0</v>
      </c>
      <c r="AL248" s="137">
        <f>(K248*'Model Data Inputs'!$B$94)*T248</f>
        <v>0</v>
      </c>
      <c r="AM248" s="137">
        <f>K248*'Model Data Inputs'!$B$95</f>
        <v>0</v>
      </c>
      <c r="AN248" s="137">
        <f t="shared" si="54"/>
        <v>0</v>
      </c>
      <c r="AO248" s="137">
        <f>('School Level Inst. Resources'!K248*'Model Data Inputs'!$B$96)+('School Level Inst. Resources'!J248*'Model Data Inputs'!$B$97)</f>
        <v>0</v>
      </c>
      <c r="AP248" s="137">
        <f>$L248*'Model Data Inputs'!$B$100</f>
        <v>447.73333333333335</v>
      </c>
      <c r="AQ248" s="137">
        <f t="shared" si="55"/>
        <v>342096.33757561399</v>
      </c>
      <c r="AR248" s="141">
        <f t="shared" si="48"/>
        <v>30562.507823908338</v>
      </c>
    </row>
    <row r="249" spans="1:44" s="40" customFormat="1" ht="12.75" customHeight="1" x14ac:dyDescent="0.2">
      <c r="A249" s="20" t="s">
        <v>72</v>
      </c>
      <c r="B249" s="20" t="s">
        <v>858</v>
      </c>
      <c r="C249" s="20" t="s">
        <v>867</v>
      </c>
      <c r="D249" s="20" t="s">
        <v>868</v>
      </c>
      <c r="E249" s="138" t="s">
        <v>354</v>
      </c>
      <c r="F249" s="138" t="str">
        <f>IF(AND(SUM('School Level ADM'!$F249:$J249)=0,SUM('School Level ADM'!$O249:$R249)=0,'School Level ADM'!$K249&gt;0,'School Level ADM'!$N249&gt;0),"T","F")</f>
        <v>F</v>
      </c>
      <c r="G249" s="138" t="str">
        <f>IF(AND(SUM('School Level ADM'!$M249:$R249)=0,'School Level ADM'!$L249&gt;0),"T","F")</f>
        <v>F</v>
      </c>
      <c r="H249" s="138" t="str">
        <f t="shared" si="42"/>
        <v>E</v>
      </c>
      <c r="I249" s="139">
        <f>IF($F249="T",SUM('School Level ADM'!$F249:$J249),IF($G249="T",SUM('School Level ADM'!$F249:$L249),SUM('School Level ADM'!$F249:$K249,0)))</f>
        <v>322.27099999999996</v>
      </c>
      <c r="J249" s="139">
        <f>'School Level ADM'!$S249-$I249-$K249</f>
        <v>0</v>
      </c>
      <c r="K249" s="139">
        <f>IF(SUM('School Level ADM'!$N249:$R249)='School Level ADM'!$S249,SUM('School Level ADM'!$N249:$R249),IF(OR(SUM('School Level ADM'!$F249:$O249)='School Level ADM'!$S249,SUM('School Level ADM'!$G249:$O249)='School Level ADM'!$S249,SUM('School Level ADM'!$H249:$O249)='School Level ADM'!$S249,SUM('School Level ADM'!$I249:$O249)='School Level ADM'!$S249,SUM('School Level ADM'!$J249:$O249)='School Level ADM'!$S249,SUM('School Level ADM'!$K249:$O249)='School Level ADM'!$S249,SUM('School Level ADM'!$L249:$O249)='School Level ADM'!$S249,SUM('School Level ADM'!$M249:$O249)='School Level ADM'!$S249,SUM('School Level ADM'!$N249:$O249)='School Level ADM'!$S249),0,SUM('School Level ADM'!$O249:$R249)))</f>
        <v>0</v>
      </c>
      <c r="L249" s="139">
        <f t="shared" si="43"/>
        <v>322.27099999999996</v>
      </c>
      <c r="M249" s="24">
        <f>'Student At-Risk and ELL Proxy'!S249</f>
        <v>63</v>
      </c>
      <c r="N249" s="24">
        <f>'Student At-Risk and ELL Proxy'!AH249</f>
        <v>1</v>
      </c>
      <c r="O249" s="136">
        <f t="shared" si="49"/>
        <v>0.97</v>
      </c>
      <c r="P249" s="136" t="str">
        <f t="shared" si="50"/>
        <v/>
      </c>
      <c r="Q249" s="136" t="str">
        <f t="shared" si="51"/>
        <v/>
      </c>
      <c r="R249" s="136">
        <f t="shared" si="44"/>
        <v>0.97</v>
      </c>
      <c r="S249" s="136">
        <f>IF(SUM(3515.4*((VLOOKUP($A249,'District Level ADM'!$A$4:$F$52,6,FALSE))^-0.327)/'Model Data Inputs'!$B$71)&lt;1,1,(3515.4*((VLOOKUP($A249,'District Level ADM'!$A$4:$F$52,6,FALSE))^-0.327)/'Model Data Inputs'!$B$71))</f>
        <v>1.5314274341377379</v>
      </c>
      <c r="T249" s="136">
        <f>VLOOKUP($A249,'Regional Cost Adjustment'!$A$4:$C$52,3,FALSE)</f>
        <v>0.99</v>
      </c>
      <c r="U249" s="123">
        <f>((($I249/$L249)*'Model Data Inputs'!$B$85)+((SUM(J249:K249)/$L249)*'Model Data Inputs'!$C$85))*$R249*$T249</f>
        <v>6114.7944653722661</v>
      </c>
      <c r="V249" s="140">
        <f>((($I249/$L249)*'Model Data Inputs'!$B$86)+((SUM(J249:K249)/$L249)*'Model Data Inputs'!$C$86))*$R249</f>
        <v>1641.8459994936507</v>
      </c>
      <c r="W249" s="140">
        <f t="shared" si="52"/>
        <v>7756.6404648659172</v>
      </c>
      <c r="X249" s="140">
        <f t="shared" si="45"/>
        <v>1970620.9271499852</v>
      </c>
      <c r="Y249" s="140">
        <f t="shared" si="46"/>
        <v>529119.3521028182</v>
      </c>
      <c r="Z249" s="123">
        <f>IF((SUM(X249:Y249))&lt;(AVERAGE('Elementary Size Adjustment'!$B$66,'Secondary Size Adjustment'!$B$66)),(AVERAGE('Elementary Size Adjustment'!$B$66,'Secondary Size Adjustment'!$B$66)),SUM(X249:Y249))</f>
        <v>2499740.2792528034</v>
      </c>
      <c r="AA249" s="137">
        <f>'Model Data Inputs'!$B$71*S249*L249</f>
        <v>93771.583619130543</v>
      </c>
      <c r="AB249" s="137">
        <f>L249*'Model Data Inputs'!$B$72</f>
        <v>8056.7749999999987</v>
      </c>
      <c r="AC249" s="137">
        <f>L249*'Model Data Inputs'!$B$73</f>
        <v>80567.749999999985</v>
      </c>
      <c r="AD249" s="137">
        <f>L249*'Model Data Inputs'!$B$74</f>
        <v>40283.874999999993</v>
      </c>
      <c r="AE249" s="137">
        <f>$I249*'Model Data Inputs'!$B$76</f>
        <v>7666.8270899999989</v>
      </c>
      <c r="AF249" s="137">
        <f>VLOOKUP($J249,'Student Activities MS&amp;HS Tables'!$M$7:$O$1267,3)</f>
        <v>0</v>
      </c>
      <c r="AG249" s="137">
        <f>VLOOKUP($K249,'Student Activities MS&amp;HS Tables'!$I$7:$K$3007,3)</f>
        <v>0</v>
      </c>
      <c r="AH249" s="137">
        <f t="shared" si="47"/>
        <v>7666.8270899999989</v>
      </c>
      <c r="AI249" s="123">
        <f t="shared" si="53"/>
        <v>2730087.0899619334</v>
      </c>
      <c r="AJ249" s="123">
        <f>(('Model Data Inputs'!$B$90*(('Model Data Inputs'!$B$87*('School Level Inst. Resources'!I249/'School Level Inst. Resources'!L249))+('Model Data Inputs'!$C$87*(SUM('School Level Inst. Resources'!J249:K249)/'School Level Inst. Resources'!L249))))*T249*M249)</f>
        <v>150814.63494026961</v>
      </c>
      <c r="AK249" s="123">
        <f>(('Model Data Inputs'!$B$91*(('Model Data Inputs'!$B$87*('School Level Inst. Resources'!I249/'School Level Inst. Resources'!L249))+('Model Data Inputs'!$C$87*(SUM('School Level Inst. Resources'!J249:K249)/'School Level Inst. Resources'!L249))))*T249*N249)</f>
        <v>2393.8830942899936</v>
      </c>
      <c r="AL249" s="137">
        <f>(K249*'Model Data Inputs'!$B$94)*T249</f>
        <v>0</v>
      </c>
      <c r="AM249" s="137">
        <f>K249*'Model Data Inputs'!$B$95</f>
        <v>0</v>
      </c>
      <c r="AN249" s="137">
        <f t="shared" si="54"/>
        <v>0</v>
      </c>
      <c r="AO249" s="137">
        <f>('School Level Inst. Resources'!K249*'Model Data Inputs'!$B$96)+('School Level Inst. Resources'!J249*'Model Data Inputs'!$B$97)</f>
        <v>0</v>
      </c>
      <c r="AP249" s="137">
        <f>$L249*'Model Data Inputs'!$B$100</f>
        <v>12890.839999999998</v>
      </c>
      <c r="AQ249" s="137">
        <f t="shared" si="55"/>
        <v>2896186.4479964925</v>
      </c>
      <c r="AR249" s="141">
        <f t="shared" si="48"/>
        <v>8986.8044223541456</v>
      </c>
    </row>
    <row r="250" spans="1:44" s="40" customFormat="1" ht="12.75" customHeight="1" x14ac:dyDescent="0.2">
      <c r="A250" s="20" t="s">
        <v>72</v>
      </c>
      <c r="B250" s="20" t="s">
        <v>858</v>
      </c>
      <c r="C250" s="20" t="s">
        <v>869</v>
      </c>
      <c r="D250" s="20" t="s">
        <v>870</v>
      </c>
      <c r="E250" s="138" t="s">
        <v>383</v>
      </c>
      <c r="F250" s="138" t="str">
        <f>IF(AND(SUM('School Level ADM'!$F250:$J250)=0,SUM('School Level ADM'!$O250:$R250)=0,'School Level ADM'!$K250&gt;0,'School Level ADM'!$N250&gt;0),"T","F")</f>
        <v>F</v>
      </c>
      <c r="G250" s="138" t="str">
        <f>IF(AND(SUM('School Level ADM'!$M250:$R250)=0,'School Level ADM'!$L250&gt;0),"T","F")</f>
        <v>F</v>
      </c>
      <c r="H250" s="138" t="str">
        <f t="shared" si="42"/>
        <v>M</v>
      </c>
      <c r="I250" s="139">
        <f>IF($F250="T",SUM('School Level ADM'!$F250:$J250),IF($G250="T",SUM('School Level ADM'!$F250:$L250),SUM('School Level ADM'!$F250:$K250,0)))</f>
        <v>0</v>
      </c>
      <c r="J250" s="139">
        <f>'School Level ADM'!$S250-$I250-$K250</f>
        <v>465.44800000000004</v>
      </c>
      <c r="K250" s="139">
        <f>IF(SUM('School Level ADM'!$N250:$R250)='School Level ADM'!$S250,SUM('School Level ADM'!$N250:$R250),IF(OR(SUM('School Level ADM'!$F250:$O250)='School Level ADM'!$S250,SUM('School Level ADM'!$G250:$O250)='School Level ADM'!$S250,SUM('School Level ADM'!$H250:$O250)='School Level ADM'!$S250,SUM('School Level ADM'!$I250:$O250)='School Level ADM'!$S250,SUM('School Level ADM'!$J250:$O250)='School Level ADM'!$S250,SUM('School Level ADM'!$K250:$O250)='School Level ADM'!$S250,SUM('School Level ADM'!$L250:$O250)='School Level ADM'!$S250,SUM('School Level ADM'!$M250:$O250)='School Level ADM'!$S250,SUM('School Level ADM'!$N250:$O250)='School Level ADM'!$S250),0,SUM('School Level ADM'!$O250:$R250)))</f>
        <v>0</v>
      </c>
      <c r="L250" s="139">
        <f t="shared" si="43"/>
        <v>465.44800000000004</v>
      </c>
      <c r="M250" s="24">
        <f>'Student At-Risk and ELL Proxy'!S250</f>
        <v>129</v>
      </c>
      <c r="N250" s="24">
        <f>'Student At-Risk and ELL Proxy'!AH250</f>
        <v>1</v>
      </c>
      <c r="O250" s="136" t="str">
        <f t="shared" si="49"/>
        <v/>
      </c>
      <c r="P250" s="136">
        <f t="shared" si="50"/>
        <v>1.0565253311685341</v>
      </c>
      <c r="Q250" s="136" t="str">
        <f t="shared" si="51"/>
        <v/>
      </c>
      <c r="R250" s="136">
        <f t="shared" si="44"/>
        <v>1.0565253311685341</v>
      </c>
      <c r="S250" s="136">
        <f>IF(SUM(3515.4*((VLOOKUP($A250,'District Level ADM'!$A$4:$F$52,6,FALSE))^-0.327)/'Model Data Inputs'!$B$71)&lt;1,1,(3515.4*((VLOOKUP($A250,'District Level ADM'!$A$4:$F$52,6,FALSE))^-0.327)/'Model Data Inputs'!$B$71))</f>
        <v>1.5314274341377379</v>
      </c>
      <c r="T250" s="136">
        <f>VLOOKUP($A250,'Regional Cost Adjustment'!$A$4:$C$52,3,FALSE)</f>
        <v>0.99</v>
      </c>
      <c r="U250" s="123">
        <f>((($I250/$L250)*'Model Data Inputs'!$B$85)+((SUM(J250:K250)/$L250)*'Model Data Inputs'!$C$85))*$R250*$T250</f>
        <v>5630.1829134566142</v>
      </c>
      <c r="V250" s="140">
        <f>((($I250/$L250)*'Model Data Inputs'!$B$86)+((SUM(J250:K250)/$L250)*'Model Data Inputs'!$C$86))*$R250</f>
        <v>1514.1146585761076</v>
      </c>
      <c r="W250" s="140">
        <f t="shared" si="52"/>
        <v>7144.2975720327213</v>
      </c>
      <c r="X250" s="140">
        <f t="shared" si="45"/>
        <v>2620557.3767025545</v>
      </c>
      <c r="Y250" s="140">
        <f t="shared" si="46"/>
        <v>704741.63960493216</v>
      </c>
      <c r="Z250" s="123">
        <f>IF((SUM(X250:Y250))&lt;(AVERAGE('Elementary Size Adjustment'!$B$66,'Secondary Size Adjustment'!$B$66)),(AVERAGE('Elementary Size Adjustment'!$B$66,'Secondary Size Adjustment'!$B$66)),SUM(X250:Y250))</f>
        <v>3325299.0163074867</v>
      </c>
      <c r="AA250" s="137">
        <f>'Model Data Inputs'!$B$71*S250*L250</f>
        <v>135431.96890926297</v>
      </c>
      <c r="AB250" s="137">
        <f>L250*'Model Data Inputs'!$B$72</f>
        <v>11636.2</v>
      </c>
      <c r="AC250" s="137">
        <f>L250*'Model Data Inputs'!$B$73</f>
        <v>116362.00000000001</v>
      </c>
      <c r="AD250" s="137">
        <f>L250*'Model Data Inputs'!$B$74</f>
        <v>58181.000000000007</v>
      </c>
      <c r="AE250" s="137">
        <f>$I250*'Model Data Inputs'!$B$76</f>
        <v>0</v>
      </c>
      <c r="AF250" s="137">
        <f>VLOOKUP($J250,'Student Activities MS&amp;HS Tables'!$M$7:$O$1267,3)</f>
        <v>130353.45</v>
      </c>
      <c r="AG250" s="137">
        <f>VLOOKUP($K250,'Student Activities MS&amp;HS Tables'!$I$7:$K$3007,3)</f>
        <v>0</v>
      </c>
      <c r="AH250" s="137">
        <f t="shared" si="47"/>
        <v>130353.45</v>
      </c>
      <c r="AI250" s="123">
        <f t="shared" si="53"/>
        <v>3777263.6352167502</v>
      </c>
      <c r="AJ250" s="123">
        <f>(('Model Data Inputs'!$B$90*(('Model Data Inputs'!$B$87*('School Level Inst. Resources'!I250/'School Level Inst. Resources'!L250))+('Model Data Inputs'!$C$87*(SUM('School Level Inst. Resources'!J250:K250)/'School Level Inst. Resources'!L250))))*T250*M250)</f>
        <v>261137.47160198167</v>
      </c>
      <c r="AK250" s="123">
        <f>(('Model Data Inputs'!$B$91*(('Model Data Inputs'!$B$87*('School Level Inst. Resources'!I250/'School Level Inst. Resources'!L250))+('Model Data Inputs'!$C$87*(SUM('School Level Inst. Resources'!J250:K250)/'School Level Inst. Resources'!L250))))*T250*N250)</f>
        <v>2024.3214852866797</v>
      </c>
      <c r="AL250" s="137">
        <f>(K250*'Model Data Inputs'!$B$94)*T250</f>
        <v>0</v>
      </c>
      <c r="AM250" s="137">
        <f>K250*'Model Data Inputs'!$B$95</f>
        <v>0</v>
      </c>
      <c r="AN250" s="137">
        <f t="shared" si="54"/>
        <v>0</v>
      </c>
      <c r="AO250" s="137">
        <f>('School Level Inst. Resources'!K250*'Model Data Inputs'!$B$96)+('School Level Inst. Resources'!J250*'Model Data Inputs'!$B$97)</f>
        <v>11636.2</v>
      </c>
      <c r="AP250" s="137">
        <f>$L250*'Model Data Inputs'!$B$100</f>
        <v>18617.920000000002</v>
      </c>
      <c r="AQ250" s="137">
        <f t="shared" si="55"/>
        <v>4070679.5483040186</v>
      </c>
      <c r="AR250" s="141">
        <f t="shared" si="48"/>
        <v>8745.7235787972404</v>
      </c>
    </row>
    <row r="251" spans="1:44" s="40" customFormat="1" ht="12.75" customHeight="1" x14ac:dyDescent="0.2">
      <c r="A251" s="20" t="s">
        <v>72</v>
      </c>
      <c r="B251" s="20" t="s">
        <v>858</v>
      </c>
      <c r="C251" s="20" t="s">
        <v>871</v>
      </c>
      <c r="D251" s="20" t="s">
        <v>872</v>
      </c>
      <c r="E251" s="138" t="s">
        <v>389</v>
      </c>
      <c r="F251" s="138" t="str">
        <f>IF(AND(SUM('School Level ADM'!$F251:$J251)=0,SUM('School Level ADM'!$O251:$R251)=0,'School Level ADM'!$K251&gt;0,'School Level ADM'!$N251&gt;0),"T","F")</f>
        <v>F</v>
      </c>
      <c r="G251" s="138" t="str">
        <f>IF(AND(SUM('School Level ADM'!$M251:$R251)=0,'School Level ADM'!$L251&gt;0),"T","F")</f>
        <v>F</v>
      </c>
      <c r="H251" s="138" t="str">
        <f t="shared" si="42"/>
        <v>H</v>
      </c>
      <c r="I251" s="139">
        <f>IF($F251="T",SUM('School Level ADM'!$F251:$J251),IF($G251="T",SUM('School Level ADM'!$F251:$L251),SUM('School Level ADM'!$F251:$K251,0)))</f>
        <v>0</v>
      </c>
      <c r="J251" s="139">
        <f>'School Level ADM'!$S251-$I251-$K251</f>
        <v>0</v>
      </c>
      <c r="K251" s="139">
        <f>IF(SUM('School Level ADM'!$N251:$R251)='School Level ADM'!$S251,SUM('School Level ADM'!$N251:$R251),IF(OR(SUM('School Level ADM'!$F251:$O251)='School Level ADM'!$S251,SUM('School Level ADM'!$G251:$O251)='School Level ADM'!$S251,SUM('School Level ADM'!$H251:$O251)='School Level ADM'!$S251,SUM('School Level ADM'!$I251:$O251)='School Level ADM'!$S251,SUM('School Level ADM'!$J251:$O251)='School Level ADM'!$S251,SUM('School Level ADM'!$K251:$O251)='School Level ADM'!$S251,SUM('School Level ADM'!$L251:$O251)='School Level ADM'!$S251,SUM('School Level ADM'!$M251:$O251)='School Level ADM'!$S251,SUM('School Level ADM'!$N251:$O251)='School Level ADM'!$S251),0,SUM('School Level ADM'!$O251:$R251)))</f>
        <v>589.57433333333324</v>
      </c>
      <c r="L251" s="139">
        <f t="shared" si="43"/>
        <v>589.57433333333324</v>
      </c>
      <c r="M251" s="24">
        <f>'Student At-Risk and ELL Proxy'!S251</f>
        <v>126</v>
      </c>
      <c r="N251" s="24">
        <f>'Student At-Risk and ELL Proxy'!AH251</f>
        <v>3</v>
      </c>
      <c r="O251" s="136" t="str">
        <f t="shared" si="49"/>
        <v/>
      </c>
      <c r="P251" s="136">
        <f t="shared" si="50"/>
        <v>0.97239710387107525</v>
      </c>
      <c r="Q251" s="136" t="str">
        <f t="shared" si="51"/>
        <v/>
      </c>
      <c r="R251" s="136">
        <f t="shared" si="44"/>
        <v>0.97239710387107525</v>
      </c>
      <c r="S251" s="136">
        <f>IF(SUM(3515.4*((VLOOKUP($A251,'District Level ADM'!$A$4:$F$52,6,FALSE))^-0.327)/'Model Data Inputs'!$B$71)&lt;1,1,(3515.4*((VLOOKUP($A251,'District Level ADM'!$A$4:$F$52,6,FALSE))^-0.327)/'Model Data Inputs'!$B$71))</f>
        <v>1.5314274341377379</v>
      </c>
      <c r="T251" s="136">
        <f>VLOOKUP($A251,'Regional Cost Adjustment'!$A$4:$C$52,3,FALSE)</f>
        <v>0.99</v>
      </c>
      <c r="U251" s="123">
        <f>((($I251/$L251)*'Model Data Inputs'!$B$85)+((SUM(J251:K251)/$L251)*'Model Data Inputs'!$C$85))*$R251*$T251</f>
        <v>5181.8668211716567</v>
      </c>
      <c r="V251" s="140">
        <f>((($I251/$L251)*'Model Data Inputs'!$B$86)+((SUM(J251:K251)/$L251)*'Model Data Inputs'!$C$86))*$R251</f>
        <v>1393.5498425766455</v>
      </c>
      <c r="W251" s="140">
        <f t="shared" si="52"/>
        <v>6575.4166637483022</v>
      </c>
      <c r="X251" s="140">
        <f t="shared" si="45"/>
        <v>3055095.6765143983</v>
      </c>
      <c r="Y251" s="140">
        <f t="shared" si="46"/>
        <v>821601.21940389718</v>
      </c>
      <c r="Z251" s="123">
        <f>IF((SUM(X251:Y251))&lt;(AVERAGE('Elementary Size Adjustment'!$B$66,'Secondary Size Adjustment'!$B$66)),(AVERAGE('Elementary Size Adjustment'!$B$66,'Secondary Size Adjustment'!$B$66)),SUM(X251:Y251))</f>
        <v>3876696.8959182957</v>
      </c>
      <c r="AA251" s="137">
        <f>'Model Data Inputs'!$B$71*S251*L251</f>
        <v>171549.15862072544</v>
      </c>
      <c r="AB251" s="137">
        <f>L251*'Model Data Inputs'!$B$72</f>
        <v>14739.358333333332</v>
      </c>
      <c r="AC251" s="137">
        <f>L251*'Model Data Inputs'!$B$73</f>
        <v>147393.58333333331</v>
      </c>
      <c r="AD251" s="137">
        <f>L251*'Model Data Inputs'!$B$74</f>
        <v>73696.791666666657</v>
      </c>
      <c r="AE251" s="137">
        <f>$I251*'Model Data Inputs'!$B$76</f>
        <v>0</v>
      </c>
      <c r="AF251" s="137">
        <f>VLOOKUP($J251,'Student Activities MS&amp;HS Tables'!$M$7:$O$1267,3)</f>
        <v>0</v>
      </c>
      <c r="AG251" s="137">
        <f>VLOOKUP($K251,'Student Activities MS&amp;HS Tables'!$I$7:$K$3007,3)</f>
        <v>443081.14</v>
      </c>
      <c r="AH251" s="137">
        <f t="shared" si="47"/>
        <v>443081.14</v>
      </c>
      <c r="AI251" s="123">
        <f t="shared" si="53"/>
        <v>4727156.9278723542</v>
      </c>
      <c r="AJ251" s="123">
        <f>(('Model Data Inputs'!$B$90*(('Model Data Inputs'!$B$87*('School Level Inst. Resources'!I251/'School Level Inst. Resources'!L251))+('Model Data Inputs'!$C$87*(SUM('School Level Inst. Resources'!J251:K251)/'School Level Inst. Resources'!L251))))*T251*M251)</f>
        <v>255064.50714612164</v>
      </c>
      <c r="AK251" s="123">
        <f>(('Model Data Inputs'!$B$91*(('Model Data Inputs'!$B$87*('School Level Inst. Resources'!I251/'School Level Inst. Resources'!L251))+('Model Data Inputs'!$C$87*(SUM('School Level Inst. Resources'!J251:K251)/'School Level Inst. Resources'!L251))))*T251*N251)</f>
        <v>6072.9644558600394</v>
      </c>
      <c r="AL251" s="137">
        <f>(K251*'Model Data Inputs'!$B$94)*T251</f>
        <v>96345.113664249438</v>
      </c>
      <c r="AM251" s="137">
        <f>K251*'Model Data Inputs'!$B$95</f>
        <v>24708.957134491662</v>
      </c>
      <c r="AN251" s="137">
        <f t="shared" si="54"/>
        <v>121054.0707987411</v>
      </c>
      <c r="AO251" s="137">
        <f>('School Level Inst. Resources'!K251*'Model Data Inputs'!$B$96)+('School Level Inst. Resources'!J251*'Model Data Inputs'!$B$97)</f>
        <v>58957.433333333327</v>
      </c>
      <c r="AP251" s="137">
        <f>$L251*'Model Data Inputs'!$B$100</f>
        <v>23582.973333333328</v>
      </c>
      <c r="AQ251" s="137">
        <f t="shared" si="55"/>
        <v>5191888.8769397438</v>
      </c>
      <c r="AR251" s="141">
        <f t="shared" si="48"/>
        <v>8806.1650302615126</v>
      </c>
    </row>
    <row r="252" spans="1:44" s="40" customFormat="1" ht="12.75" customHeight="1" x14ac:dyDescent="0.2">
      <c r="A252" s="20" t="s">
        <v>72</v>
      </c>
      <c r="B252" s="20" t="s">
        <v>858</v>
      </c>
      <c r="C252" s="20" t="s">
        <v>873</v>
      </c>
      <c r="D252" s="20" t="s">
        <v>874</v>
      </c>
      <c r="E252" s="138" t="s">
        <v>389</v>
      </c>
      <c r="F252" s="138" t="str">
        <f>IF(AND(SUM('School Level ADM'!$F252:$J252)=0,SUM('School Level ADM'!$O252:$R252)=0,'School Level ADM'!$K252&gt;0,'School Level ADM'!$N252&gt;0),"T","F")</f>
        <v>F</v>
      </c>
      <c r="G252" s="138" t="str">
        <f>IF(AND(SUM('School Level ADM'!$M252:$R252)=0,'School Level ADM'!$L252&gt;0),"T","F")</f>
        <v>F</v>
      </c>
      <c r="H252" s="138" t="str">
        <f t="shared" si="42"/>
        <v>H</v>
      </c>
      <c r="I252" s="139">
        <f>IF($F252="T",SUM('School Level ADM'!$F252:$J252),IF($G252="T",SUM('School Level ADM'!$F252:$L252),SUM('School Level ADM'!$F252:$K252,0)))</f>
        <v>0</v>
      </c>
      <c r="J252" s="139">
        <f>'School Level ADM'!$S252-$I252-$K252</f>
        <v>0</v>
      </c>
      <c r="K252" s="139">
        <f>IF(SUM('School Level ADM'!$N252:$R252)='School Level ADM'!$S252,SUM('School Level ADM'!$N252:$R252),IF(OR(SUM('School Level ADM'!$F252:$O252)='School Level ADM'!$S252,SUM('School Level ADM'!$G252:$O252)='School Level ADM'!$S252,SUM('School Level ADM'!$H252:$O252)='School Level ADM'!$S252,SUM('School Level ADM'!$I252:$O252)='School Level ADM'!$S252,SUM('School Level ADM'!$J252:$O252)='School Level ADM'!$S252,SUM('School Level ADM'!$K252:$O252)='School Level ADM'!$S252,SUM('School Level ADM'!$L252:$O252)='School Level ADM'!$S252,SUM('School Level ADM'!$M252:$O252)='School Level ADM'!$S252,SUM('School Level ADM'!$N252:$O252)='School Level ADM'!$S252),0,SUM('School Level ADM'!$O252:$R252)))</f>
        <v>27.309666666666665</v>
      </c>
      <c r="L252" s="139">
        <f t="shared" si="43"/>
        <v>27.309666666666665</v>
      </c>
      <c r="M252" s="24">
        <f>'Student At-Risk and ELL Proxy'!S252</f>
        <v>20</v>
      </c>
      <c r="N252" s="24">
        <f>'Student At-Risk and ELL Proxy'!AH252</f>
        <v>1</v>
      </c>
      <c r="O252" s="136" t="str">
        <f t="shared" si="49"/>
        <v/>
      </c>
      <c r="P252" s="136">
        <f t="shared" si="50"/>
        <v>2.8586148016152428</v>
      </c>
      <c r="Q252" s="136" t="str">
        <f t="shared" si="51"/>
        <v/>
      </c>
      <c r="R252" s="136">
        <f t="shared" si="44"/>
        <v>2.8586148016152428</v>
      </c>
      <c r="S252" s="136">
        <f>IF(SUM(3515.4*((VLOOKUP($A252,'District Level ADM'!$A$4:$F$52,6,FALSE))^-0.327)/'Model Data Inputs'!$B$71)&lt;1,1,(3515.4*((VLOOKUP($A252,'District Level ADM'!$A$4:$F$52,6,FALSE))^-0.327)/'Model Data Inputs'!$B$71))</f>
        <v>1.5314274341377379</v>
      </c>
      <c r="T252" s="136">
        <f>VLOOKUP($A252,'Regional Cost Adjustment'!$A$4:$C$52,3,FALSE)</f>
        <v>0.99</v>
      </c>
      <c r="U252" s="123">
        <f>((($I252/$L252)*'Model Data Inputs'!$B$85)+((SUM(J252:K252)/$L252)*'Model Data Inputs'!$C$85))*$R252*$T252</f>
        <v>15233.448491393485</v>
      </c>
      <c r="V252" s="140">
        <f>((($I252/$L252)*'Model Data Inputs'!$B$86)+((SUM(J252:K252)/$L252)*'Model Data Inputs'!$C$86))*$R252</f>
        <v>4096.703076263334</v>
      </c>
      <c r="W252" s="140">
        <f t="shared" si="52"/>
        <v>19330.15156765682</v>
      </c>
      <c r="X252" s="140">
        <f t="shared" si="45"/>
        <v>416020.40048379224</v>
      </c>
      <c r="Y252" s="140">
        <f t="shared" si="46"/>
        <v>111879.59544505956</v>
      </c>
      <c r="Z252" s="123">
        <f>IF((SUM(X252:Y252))&lt;(AVERAGE('Elementary Size Adjustment'!$B$66,'Secondary Size Adjustment'!$B$66)),(AVERAGE('Elementary Size Adjustment'!$B$66,'Secondary Size Adjustment'!$B$66)),SUM(X252:Y252))</f>
        <v>527899.99592885177</v>
      </c>
      <c r="AA252" s="137">
        <f>'Model Data Inputs'!$B$71*S252*L252</f>
        <v>7946.3268225931461</v>
      </c>
      <c r="AB252" s="137">
        <f>L252*'Model Data Inputs'!$B$72</f>
        <v>682.74166666666667</v>
      </c>
      <c r="AC252" s="137">
        <f>L252*'Model Data Inputs'!$B$73</f>
        <v>6827.4166666666661</v>
      </c>
      <c r="AD252" s="137">
        <f>L252*'Model Data Inputs'!$B$74</f>
        <v>3413.708333333333</v>
      </c>
      <c r="AE252" s="137">
        <f>$I252*'Model Data Inputs'!$B$76</f>
        <v>0</v>
      </c>
      <c r="AF252" s="137">
        <f>VLOOKUP($J252,'Student Activities MS&amp;HS Tables'!$M$7:$O$1267,3)</f>
        <v>0</v>
      </c>
      <c r="AG252" s="137">
        <f>VLOOKUP($K252,'Student Activities MS&amp;HS Tables'!$I$7:$K$3007,3)</f>
        <v>51284.61</v>
      </c>
      <c r="AH252" s="137">
        <f t="shared" si="47"/>
        <v>51284.61</v>
      </c>
      <c r="AI252" s="123">
        <f t="shared" si="53"/>
        <v>598054.79941811156</v>
      </c>
      <c r="AJ252" s="123">
        <f>(('Model Data Inputs'!$B$90*(('Model Data Inputs'!$B$87*('School Level Inst. Resources'!I252/'School Level Inst. Resources'!L252))+('Model Data Inputs'!$C$87*(SUM('School Level Inst. Resources'!J252:K252)/'School Level Inst. Resources'!L252))))*T252*M252)</f>
        <v>40486.429705733593</v>
      </c>
      <c r="AK252" s="123">
        <f>(('Model Data Inputs'!$B$91*(('Model Data Inputs'!$B$87*('School Level Inst. Resources'!I252/'School Level Inst. Resources'!L252))+('Model Data Inputs'!$C$87*(SUM('School Level Inst. Resources'!J252:K252)/'School Level Inst. Resources'!L252))))*T252*N252)</f>
        <v>2024.3214852866797</v>
      </c>
      <c r="AL252" s="137">
        <f>(K252*'Model Data Inputs'!$B$94)*T252</f>
        <v>4462.8010250323496</v>
      </c>
      <c r="AM252" s="137">
        <f>K252*'Model Data Inputs'!$B$95</f>
        <v>1144.5433508083331</v>
      </c>
      <c r="AN252" s="137">
        <f t="shared" si="54"/>
        <v>5607.3443758406829</v>
      </c>
      <c r="AO252" s="137">
        <f>('School Level Inst. Resources'!K252*'Model Data Inputs'!$B$96)+('School Level Inst. Resources'!J252*'Model Data Inputs'!$B$97)</f>
        <v>2730.9666666666667</v>
      </c>
      <c r="AP252" s="137">
        <f>$L252*'Model Data Inputs'!$B$100</f>
        <v>1092.3866666666665</v>
      </c>
      <c r="AQ252" s="137">
        <f t="shared" si="55"/>
        <v>649996.24831830594</v>
      </c>
      <c r="AR252" s="141">
        <f t="shared" si="48"/>
        <v>23800.958695393791</v>
      </c>
    </row>
    <row r="253" spans="1:44" s="40" customFormat="1" ht="12.75" customHeight="1" x14ac:dyDescent="0.2">
      <c r="A253" s="20" t="s">
        <v>74</v>
      </c>
      <c r="B253" s="20" t="s">
        <v>75</v>
      </c>
      <c r="C253" s="20" t="s">
        <v>875</v>
      </c>
      <c r="D253" s="20" t="s">
        <v>876</v>
      </c>
      <c r="E253" s="138" t="s">
        <v>822</v>
      </c>
      <c r="F253" s="138" t="str">
        <f>IF(AND(SUM('School Level ADM'!$F253:$J253)=0,SUM('School Level ADM'!$O253:$R253)=0,'School Level ADM'!$K253&gt;0,'School Level ADM'!$N253&gt;0),"T","F")</f>
        <v>F</v>
      </c>
      <c r="G253" s="138" t="str">
        <f>IF(AND(SUM('School Level ADM'!$M253:$R253)=0,'School Level ADM'!$L253&gt;0),"T","F")</f>
        <v>F</v>
      </c>
      <c r="H253" s="138" t="str">
        <f t="shared" si="42"/>
        <v>H</v>
      </c>
      <c r="I253" s="139">
        <f>IF($F253="T",SUM('School Level ADM'!$F253:$J253),IF($G253="T",SUM('School Level ADM'!$F253:$L253),SUM('School Level ADM'!$F253:$K253,0)))</f>
        <v>51.22</v>
      </c>
      <c r="J253" s="139">
        <f>'School Level ADM'!$S253-$I253-$K253</f>
        <v>31.519999999999989</v>
      </c>
      <c r="K253" s="139">
        <f>IF(SUM('School Level ADM'!$N253:$R253)='School Level ADM'!$S253,SUM('School Level ADM'!$N253:$R253),IF(OR(SUM('School Level ADM'!$F253:$O253)='School Level ADM'!$S253,SUM('School Level ADM'!$G253:$O253)='School Level ADM'!$S253,SUM('School Level ADM'!$H253:$O253)='School Level ADM'!$S253,SUM('School Level ADM'!$I253:$O253)='School Level ADM'!$S253,SUM('School Level ADM'!$J253:$O253)='School Level ADM'!$S253,SUM('School Level ADM'!$K253:$O253)='School Level ADM'!$S253,SUM('School Level ADM'!$L253:$O253)='School Level ADM'!$S253,SUM('School Level ADM'!$M253:$O253)='School Level ADM'!$S253,SUM('School Level ADM'!$N253:$O253)='School Level ADM'!$S253),0,SUM('School Level ADM'!$O253:$R253)))</f>
        <v>36.445</v>
      </c>
      <c r="L253" s="139">
        <f t="shared" si="43"/>
        <v>119.18499999999997</v>
      </c>
      <c r="M253" s="24">
        <f>'Student At-Risk and ELL Proxy'!S253</f>
        <v>53</v>
      </c>
      <c r="N253" s="24">
        <f>'Student At-Risk and ELL Proxy'!AH253</f>
        <v>0</v>
      </c>
      <c r="O253" s="136" t="str">
        <f t="shared" si="49"/>
        <v/>
      </c>
      <c r="P253" s="136" t="str">
        <f t="shared" si="50"/>
        <v/>
      </c>
      <c r="Q253" s="136">
        <f t="shared" si="51"/>
        <v>2.3707931619902385</v>
      </c>
      <c r="R253" s="136">
        <f t="shared" si="44"/>
        <v>2.3707931619902385</v>
      </c>
      <c r="S253" s="136">
        <f>IF(SUM(3515.4*((VLOOKUP($A253,'District Level ADM'!$A$4:$F$52,6,FALSE))^-0.327)/'Model Data Inputs'!$B$71)&lt;1,1,(3515.4*((VLOOKUP($A253,'District Level ADM'!$A$4:$F$52,6,FALSE))^-0.327)/'Model Data Inputs'!$B$71))</f>
        <v>3.8752228652798162</v>
      </c>
      <c r="T253" s="136">
        <f>VLOOKUP($A253,'Regional Cost Adjustment'!$A$4:$C$52,3,FALSE)</f>
        <v>0.99</v>
      </c>
      <c r="U253" s="123">
        <f>((($I253/$L253)*'Model Data Inputs'!$B$85)+((SUM(J253:K253)/$L253)*'Model Data Inputs'!$C$85))*$R253*$T253</f>
        <v>13627.196924069476</v>
      </c>
      <c r="V253" s="140">
        <f>((($I253/$L253)*'Model Data Inputs'!$B$86)+((SUM(J253:K253)/$L253)*'Model Data Inputs'!$C$86))*$R253</f>
        <v>3662.0118106367372</v>
      </c>
      <c r="W253" s="140">
        <f t="shared" si="52"/>
        <v>17289.208734706212</v>
      </c>
      <c r="X253" s="140">
        <f t="shared" si="45"/>
        <v>1624157.4653952201</v>
      </c>
      <c r="Y253" s="140">
        <f t="shared" si="46"/>
        <v>436456.87765073945</v>
      </c>
      <c r="Z253" s="123">
        <f>IF((SUM(X253:Y253))&lt;(AVERAGE('Elementary Size Adjustment'!$B$66,'Secondary Size Adjustment'!$B$66)),(AVERAGE('Elementary Size Adjustment'!$B$66,'Secondary Size Adjustment'!$B$66)),SUM(X253:Y253))</f>
        <v>2060614.3430459595</v>
      </c>
      <c r="AA253" s="137">
        <f>'Model Data Inputs'!$B$71*S253*L253</f>
        <v>87755.003067691214</v>
      </c>
      <c r="AB253" s="137">
        <f>L253*'Model Data Inputs'!$B$72</f>
        <v>2979.6249999999995</v>
      </c>
      <c r="AC253" s="137">
        <f>L253*'Model Data Inputs'!$B$73</f>
        <v>29796.249999999993</v>
      </c>
      <c r="AD253" s="137">
        <f>L253*'Model Data Inputs'!$B$74</f>
        <v>14898.124999999996</v>
      </c>
      <c r="AE253" s="137">
        <f>$I253*'Model Data Inputs'!$B$76</f>
        <v>1218.5237999999999</v>
      </c>
      <c r="AF253" s="137">
        <f>VLOOKUP($J253,'Student Activities MS&amp;HS Tables'!$M$7:$O$1267,3)</f>
        <v>22046.579999999998</v>
      </c>
      <c r="AG253" s="137">
        <f>VLOOKUP($K253,'Student Activities MS&amp;HS Tables'!$I$7:$K$3007,3)</f>
        <v>66911.400000000009</v>
      </c>
      <c r="AH253" s="137">
        <f t="shared" si="47"/>
        <v>90176.503800000006</v>
      </c>
      <c r="AI253" s="123">
        <f t="shared" si="53"/>
        <v>2286219.8499136507</v>
      </c>
      <c r="AJ253" s="123">
        <f>(('Model Data Inputs'!$B$90*(('Model Data Inputs'!$B$87*('School Level Inst. Resources'!I253/'School Level Inst. Resources'!L253))+('Model Data Inputs'!$C$87*(SUM('School Level Inst. Resources'!J253:K253)/'School Level Inst. Resources'!L253))))*T253*M253)</f>
        <v>115706.49156658356</v>
      </c>
      <c r="AK253" s="123">
        <f>(('Model Data Inputs'!$B$91*(('Model Data Inputs'!$B$87*('School Level Inst. Resources'!I253/'School Level Inst. Resources'!L253))+('Model Data Inputs'!$C$87*(SUM('School Level Inst. Resources'!J253:K253)/'School Level Inst. Resources'!L253))))*T253*N253)</f>
        <v>0</v>
      </c>
      <c r="AL253" s="137">
        <f>(K253*'Model Data Inputs'!$B$94)*T253</f>
        <v>5955.6487943452503</v>
      </c>
      <c r="AM253" s="137">
        <f>K253*'Model Data Inputs'!$B$95</f>
        <v>1527.403572125</v>
      </c>
      <c r="AN253" s="137">
        <f t="shared" si="54"/>
        <v>7483.0523664702505</v>
      </c>
      <c r="AO253" s="137">
        <f>('School Level Inst. Resources'!K253*'Model Data Inputs'!$B$96)+('School Level Inst. Resources'!J253*'Model Data Inputs'!$B$97)</f>
        <v>4432.5</v>
      </c>
      <c r="AP253" s="137">
        <f>$L253*'Model Data Inputs'!$B$100</f>
        <v>4767.3999999999987</v>
      </c>
      <c r="AQ253" s="137">
        <f t="shared" si="55"/>
        <v>2418609.2938467045</v>
      </c>
      <c r="AR253" s="141">
        <f t="shared" si="48"/>
        <v>20292.90006164119</v>
      </c>
    </row>
    <row r="254" spans="1:44" s="40" customFormat="1" ht="12.75" customHeight="1" x14ac:dyDescent="0.2">
      <c r="A254" s="20" t="s">
        <v>76</v>
      </c>
      <c r="B254" s="20" t="s">
        <v>77</v>
      </c>
      <c r="C254" s="20" t="s">
        <v>877</v>
      </c>
      <c r="D254" s="20" t="s">
        <v>878</v>
      </c>
      <c r="E254" s="138" t="s">
        <v>357</v>
      </c>
      <c r="F254" s="138" t="str">
        <f>IF(AND(SUM('School Level ADM'!$F254:$J254)=0,SUM('School Level ADM'!$O254:$R254)=0,'School Level ADM'!$K254&gt;0,'School Level ADM'!$N254&gt;0),"T","F")</f>
        <v>F</v>
      </c>
      <c r="G254" s="138" t="str">
        <f>IF(AND(SUM('School Level ADM'!$M254:$R254)=0,'School Level ADM'!$L254&gt;0),"T","F")</f>
        <v>T</v>
      </c>
      <c r="H254" s="138" t="str">
        <f t="shared" si="42"/>
        <v>E</v>
      </c>
      <c r="I254" s="139">
        <f>IF($F254="T",SUM('School Level ADM'!$F254:$J254),IF($G254="T",SUM('School Level ADM'!$F254:$L254),SUM('School Level ADM'!$F254:$K254,0)))</f>
        <v>31.520000000000003</v>
      </c>
      <c r="J254" s="139">
        <f>'School Level ADM'!$S254-$I254-$K254</f>
        <v>0</v>
      </c>
      <c r="K254" s="139">
        <f>IF(SUM('School Level ADM'!$N254:$R254)='School Level ADM'!$S254,SUM('School Level ADM'!$N254:$R254),IF(OR(SUM('School Level ADM'!$F254:$O254)='School Level ADM'!$S254,SUM('School Level ADM'!$G254:$O254)='School Level ADM'!$S254,SUM('School Level ADM'!$H254:$O254)='School Level ADM'!$S254,SUM('School Level ADM'!$I254:$O254)='School Level ADM'!$S254,SUM('School Level ADM'!$J254:$O254)='School Level ADM'!$S254,SUM('School Level ADM'!$K254:$O254)='School Level ADM'!$S254,SUM('School Level ADM'!$L254:$O254)='School Level ADM'!$S254,SUM('School Level ADM'!$M254:$O254)='School Level ADM'!$S254,SUM('School Level ADM'!$N254:$O254)='School Level ADM'!$S254),0,SUM('School Level ADM'!$O254:$R254)))</f>
        <v>0</v>
      </c>
      <c r="L254" s="139">
        <f t="shared" si="43"/>
        <v>31.520000000000003</v>
      </c>
      <c r="M254" s="24">
        <f>'Student At-Risk and ELL Proxy'!S254</f>
        <v>20</v>
      </c>
      <c r="N254" s="24">
        <f>'Student At-Risk and ELL Proxy'!AH254</f>
        <v>0</v>
      </c>
      <c r="O254" s="136">
        <f t="shared" si="49"/>
        <v>2.4333164914093457</v>
      </c>
      <c r="P254" s="136" t="str">
        <f t="shared" si="50"/>
        <v/>
      </c>
      <c r="Q254" s="136" t="str">
        <f t="shared" si="51"/>
        <v/>
      </c>
      <c r="R254" s="136">
        <f t="shared" si="44"/>
        <v>2.4333164914093457</v>
      </c>
      <c r="S254" s="136">
        <f>IF(SUM(3515.4*((VLOOKUP($A254,'District Level ADM'!$A$4:$F$52,6,FALSE))^-0.327)/'Model Data Inputs'!$B$71)&lt;1,1,(3515.4*((VLOOKUP($A254,'District Level ADM'!$A$4:$F$52,6,FALSE))^-0.327)/'Model Data Inputs'!$B$71))</f>
        <v>1.9281382397170648</v>
      </c>
      <c r="T254" s="136">
        <f>VLOOKUP($A254,'Regional Cost Adjustment'!$A$4:$C$52,3,FALSE)</f>
        <v>1.01</v>
      </c>
      <c r="U254" s="123">
        <f>((($I254/$L254)*'Model Data Inputs'!$B$85)+((SUM(J254:K254)/$L254)*'Model Data Inputs'!$C$85))*$R254*$T254</f>
        <v>15649.299714995957</v>
      </c>
      <c r="V254" s="140">
        <f>((($I254/$L254)*'Model Data Inputs'!$B$86)+((SUM(J254:K254)/$L254)*'Model Data Inputs'!$C$86))*$R254</f>
        <v>4118.691697858103</v>
      </c>
      <c r="W254" s="140">
        <f t="shared" si="52"/>
        <v>19767.991412854062</v>
      </c>
      <c r="X254" s="140">
        <f t="shared" si="45"/>
        <v>493265.92701667262</v>
      </c>
      <c r="Y254" s="140">
        <f t="shared" si="46"/>
        <v>129821.16231648742</v>
      </c>
      <c r="Z254" s="123">
        <f>IF((SUM(X254:Y254))&lt;(AVERAGE('Elementary Size Adjustment'!$B$66,'Secondary Size Adjustment'!$B$66)),(AVERAGE('Elementary Size Adjustment'!$B$66,'Secondary Size Adjustment'!$B$66)),SUM(X254:Y254))</f>
        <v>623087.08933316008</v>
      </c>
      <c r="AA254" s="137">
        <f>'Model Data Inputs'!$B$71*S254*L254</f>
        <v>11547.234290017559</v>
      </c>
      <c r="AB254" s="137">
        <f>L254*'Model Data Inputs'!$B$72</f>
        <v>788.00000000000011</v>
      </c>
      <c r="AC254" s="137">
        <f>L254*'Model Data Inputs'!$B$73</f>
        <v>7880.0000000000009</v>
      </c>
      <c r="AD254" s="137">
        <f>L254*'Model Data Inputs'!$B$74</f>
        <v>3940.0000000000005</v>
      </c>
      <c r="AE254" s="137">
        <f>$I254*'Model Data Inputs'!$B$76</f>
        <v>749.86080000000004</v>
      </c>
      <c r="AF254" s="137">
        <f>VLOOKUP($J254,'Student Activities MS&amp;HS Tables'!$M$7:$O$1267,3)</f>
        <v>0</v>
      </c>
      <c r="AG254" s="137">
        <f>VLOOKUP($K254,'Student Activities MS&amp;HS Tables'!$I$7:$K$3007,3)</f>
        <v>0</v>
      </c>
      <c r="AH254" s="137">
        <f t="shared" si="47"/>
        <v>749.86080000000004</v>
      </c>
      <c r="AI254" s="123">
        <f t="shared" si="53"/>
        <v>647992.18442317762</v>
      </c>
      <c r="AJ254" s="123">
        <f>(('Model Data Inputs'!$B$90*(('Model Data Inputs'!$B$87*('School Level Inst. Resources'!I254/'School Level Inst. Resources'!L254))+('Model Data Inputs'!$C$87*(SUM('School Level Inst. Resources'!J254:K254)/'School Level Inst. Resources'!L254))))*T254*M254)</f>
        <v>48844.887378442298</v>
      </c>
      <c r="AK254" s="123">
        <f>(('Model Data Inputs'!$B$91*(('Model Data Inputs'!$B$87*('School Level Inst. Resources'!I254/'School Level Inst. Resources'!L254))+('Model Data Inputs'!$C$87*(SUM('School Level Inst. Resources'!J254:K254)/'School Level Inst. Resources'!L254))))*T254*N254)</f>
        <v>0</v>
      </c>
      <c r="AL254" s="137">
        <f>(K254*'Model Data Inputs'!$B$94)*T254</f>
        <v>0</v>
      </c>
      <c r="AM254" s="137">
        <f>K254*'Model Data Inputs'!$B$95</f>
        <v>0</v>
      </c>
      <c r="AN254" s="137">
        <f t="shared" si="54"/>
        <v>0</v>
      </c>
      <c r="AO254" s="137">
        <f>('School Level Inst. Resources'!K254*'Model Data Inputs'!$B$96)+('School Level Inst. Resources'!J254*'Model Data Inputs'!$B$97)</f>
        <v>0</v>
      </c>
      <c r="AP254" s="137">
        <f>$L254*'Model Data Inputs'!$B$100</f>
        <v>1260.8000000000002</v>
      </c>
      <c r="AQ254" s="137">
        <f t="shared" si="55"/>
        <v>698097.87180162</v>
      </c>
      <c r="AR254" s="141">
        <f t="shared" si="48"/>
        <v>22147.775120609771</v>
      </c>
    </row>
    <row r="255" spans="1:44" s="40" customFormat="1" ht="12.75" customHeight="1" x14ac:dyDescent="0.2">
      <c r="A255" s="20" t="s">
        <v>76</v>
      </c>
      <c r="B255" s="20" t="s">
        <v>77</v>
      </c>
      <c r="C255" s="20" t="s">
        <v>879</v>
      </c>
      <c r="D255" s="20" t="s">
        <v>880</v>
      </c>
      <c r="E255" s="138" t="s">
        <v>357</v>
      </c>
      <c r="F255" s="138" t="str">
        <f>IF(AND(SUM('School Level ADM'!$F255:$J255)=0,SUM('School Level ADM'!$O255:$R255)=0,'School Level ADM'!$K255&gt;0,'School Level ADM'!$N255&gt;0),"T","F")</f>
        <v>F</v>
      </c>
      <c r="G255" s="138" t="str">
        <f>IF(AND(SUM('School Level ADM'!$M255:$R255)=0,'School Level ADM'!$L255&gt;0),"T","F")</f>
        <v>T</v>
      </c>
      <c r="H255" s="138" t="str">
        <f t="shared" si="42"/>
        <v>E</v>
      </c>
      <c r="I255" s="139">
        <f>IF($F255="T",SUM('School Level ADM'!$F255:$J255),IF($G255="T",SUM('School Level ADM'!$F255:$L255),SUM('School Level ADM'!$F255:$K255,0)))</f>
        <v>30.534999999999997</v>
      </c>
      <c r="J255" s="139">
        <f>'School Level ADM'!$S255-$I255-$K255</f>
        <v>0</v>
      </c>
      <c r="K255" s="139">
        <f>IF(SUM('School Level ADM'!$N255:$R255)='School Level ADM'!$S255,SUM('School Level ADM'!$N255:$R255),IF(OR(SUM('School Level ADM'!$F255:$O255)='School Level ADM'!$S255,SUM('School Level ADM'!$G255:$O255)='School Level ADM'!$S255,SUM('School Level ADM'!$H255:$O255)='School Level ADM'!$S255,SUM('School Level ADM'!$I255:$O255)='School Level ADM'!$S255,SUM('School Level ADM'!$J255:$O255)='School Level ADM'!$S255,SUM('School Level ADM'!$K255:$O255)='School Level ADM'!$S255,SUM('School Level ADM'!$L255:$O255)='School Level ADM'!$S255,SUM('School Level ADM'!$M255:$O255)='School Level ADM'!$S255,SUM('School Level ADM'!$N255:$O255)='School Level ADM'!$S255),0,SUM('School Level ADM'!$O255:$R255)))</f>
        <v>0</v>
      </c>
      <c r="L255" s="139">
        <f t="shared" si="43"/>
        <v>30.534999999999997</v>
      </c>
      <c r="M255" s="24">
        <f>'Student At-Risk and ELL Proxy'!S255</f>
        <v>10</v>
      </c>
      <c r="N255" s="24">
        <f>'Student At-Risk and ELL Proxy'!AH255</f>
        <v>0</v>
      </c>
      <c r="O255" s="136">
        <f t="shared" si="49"/>
        <v>2.4642589168787592</v>
      </c>
      <c r="P255" s="136" t="str">
        <f t="shared" si="50"/>
        <v/>
      </c>
      <c r="Q255" s="136" t="str">
        <f t="shared" si="51"/>
        <v/>
      </c>
      <c r="R255" s="136">
        <f t="shared" si="44"/>
        <v>2.4642589168787592</v>
      </c>
      <c r="S255" s="136">
        <f>IF(SUM(3515.4*((VLOOKUP($A255,'District Level ADM'!$A$4:$F$52,6,FALSE))^-0.327)/'Model Data Inputs'!$B$71)&lt;1,1,(3515.4*((VLOOKUP($A255,'District Level ADM'!$A$4:$F$52,6,FALSE))^-0.327)/'Model Data Inputs'!$B$71))</f>
        <v>1.9281382397170648</v>
      </c>
      <c r="T255" s="136">
        <f>VLOOKUP($A255,'Regional Cost Adjustment'!$A$4:$C$52,3,FALSE)</f>
        <v>1.01</v>
      </c>
      <c r="U255" s="123">
        <f>((($I255/$L255)*'Model Data Inputs'!$B$85)+((SUM(J255:K255)/$L255)*'Model Data Inputs'!$C$85))*$R255*$T255</f>
        <v>15848.298608805828</v>
      </c>
      <c r="V255" s="140">
        <f>((($I255/$L255)*'Model Data Inputs'!$B$86)+((SUM(J255:K255)/$L255)*'Model Data Inputs'!$C$86))*$R255</f>
        <v>4171.0656127772654</v>
      </c>
      <c r="W255" s="140">
        <f t="shared" si="52"/>
        <v>20019.364221583091</v>
      </c>
      <c r="X255" s="140">
        <f t="shared" si="45"/>
        <v>483927.7980198859</v>
      </c>
      <c r="Y255" s="140">
        <f t="shared" si="46"/>
        <v>127363.48848615379</v>
      </c>
      <c r="Z255" s="123">
        <f>IF((SUM(X255:Y255))&lt;(AVERAGE('Elementary Size Adjustment'!$B$66,'Secondary Size Adjustment'!$B$66)),(AVERAGE('Elementary Size Adjustment'!$B$66,'Secondary Size Adjustment'!$B$66)),SUM(X255:Y255))</f>
        <v>611291.28650603967</v>
      </c>
      <c r="AA255" s="137">
        <f>'Model Data Inputs'!$B$71*S255*L255</f>
        <v>11186.383218454508</v>
      </c>
      <c r="AB255" s="137">
        <f>L255*'Model Data Inputs'!$B$72</f>
        <v>763.37499999999989</v>
      </c>
      <c r="AC255" s="137">
        <f>L255*'Model Data Inputs'!$B$73</f>
        <v>7633.7499999999991</v>
      </c>
      <c r="AD255" s="137">
        <f>L255*'Model Data Inputs'!$B$74</f>
        <v>3816.8749999999995</v>
      </c>
      <c r="AE255" s="137">
        <f>$I255*'Model Data Inputs'!$B$76</f>
        <v>726.42764999999986</v>
      </c>
      <c r="AF255" s="137">
        <f>VLOOKUP($J255,'Student Activities MS&amp;HS Tables'!$M$7:$O$1267,3)</f>
        <v>0</v>
      </c>
      <c r="AG255" s="137">
        <f>VLOOKUP($K255,'Student Activities MS&amp;HS Tables'!$I$7:$K$3007,3)</f>
        <v>0</v>
      </c>
      <c r="AH255" s="137">
        <f t="shared" si="47"/>
        <v>726.42764999999986</v>
      </c>
      <c r="AI255" s="123">
        <f t="shared" si="53"/>
        <v>635418.09737449419</v>
      </c>
      <c r="AJ255" s="123">
        <f>(('Model Data Inputs'!$B$90*(('Model Data Inputs'!$B$87*('School Level Inst. Resources'!I255/'School Level Inst. Resources'!L255))+('Model Data Inputs'!$C$87*(SUM('School Level Inst. Resources'!J255:K255)/'School Level Inst. Resources'!L255))))*T255*M255)</f>
        <v>24422.443689221149</v>
      </c>
      <c r="AK255" s="123">
        <f>(('Model Data Inputs'!$B$91*(('Model Data Inputs'!$B$87*('School Level Inst. Resources'!I255/'School Level Inst. Resources'!L255))+('Model Data Inputs'!$C$87*(SUM('School Level Inst. Resources'!J255:K255)/'School Level Inst. Resources'!L255))))*T255*N255)</f>
        <v>0</v>
      </c>
      <c r="AL255" s="137">
        <f>(K255*'Model Data Inputs'!$B$94)*T255</f>
        <v>0</v>
      </c>
      <c r="AM255" s="137">
        <f>K255*'Model Data Inputs'!$B$95</f>
        <v>0</v>
      </c>
      <c r="AN255" s="137">
        <f t="shared" si="54"/>
        <v>0</v>
      </c>
      <c r="AO255" s="137">
        <f>('School Level Inst. Resources'!K255*'Model Data Inputs'!$B$96)+('School Level Inst. Resources'!J255*'Model Data Inputs'!$B$97)</f>
        <v>0</v>
      </c>
      <c r="AP255" s="137">
        <f>$L255*'Model Data Inputs'!$B$100</f>
        <v>1221.3999999999999</v>
      </c>
      <c r="AQ255" s="137">
        <f t="shared" si="55"/>
        <v>661061.94106371538</v>
      </c>
      <c r="AR255" s="141">
        <f t="shared" si="48"/>
        <v>21649.318521818092</v>
      </c>
    </row>
    <row r="256" spans="1:44" s="40" customFormat="1" ht="12.75" customHeight="1" x14ac:dyDescent="0.2">
      <c r="A256" s="20" t="s">
        <v>76</v>
      </c>
      <c r="B256" s="20" t="s">
        <v>77</v>
      </c>
      <c r="C256" s="20" t="s">
        <v>881</v>
      </c>
      <c r="D256" s="20" t="s">
        <v>882</v>
      </c>
      <c r="E256" s="138" t="s">
        <v>625</v>
      </c>
      <c r="F256" s="138" t="str">
        <f>IF(AND(SUM('School Level ADM'!$F256:$J256)=0,SUM('School Level ADM'!$O256:$R256)=0,'School Level ADM'!$K256&gt;0,'School Level ADM'!$N256&gt;0),"T","F")</f>
        <v>F</v>
      </c>
      <c r="G256" s="138" t="str">
        <f>IF(AND(SUM('School Level ADM'!$M256:$R256)=0,'School Level ADM'!$L256&gt;0),"T","F")</f>
        <v>F</v>
      </c>
      <c r="H256" s="138" t="str">
        <f t="shared" si="42"/>
        <v>E</v>
      </c>
      <c r="I256" s="139">
        <f>IF($F256="T",SUM('School Level ADM'!$F256:$J256),IF($G256="T",SUM('School Level ADM'!$F256:$L256),SUM('School Level ADM'!$F256:$K256,0)))</f>
        <v>206.85</v>
      </c>
      <c r="J256" s="139">
        <f>'School Level ADM'!$S256-$I256-$K256</f>
        <v>0</v>
      </c>
      <c r="K256" s="139">
        <f>IF(SUM('School Level ADM'!$N256:$R256)='School Level ADM'!$S256,SUM('School Level ADM'!$N256:$R256),IF(OR(SUM('School Level ADM'!$F256:$O256)='School Level ADM'!$S256,SUM('School Level ADM'!$G256:$O256)='School Level ADM'!$S256,SUM('School Level ADM'!$H256:$O256)='School Level ADM'!$S256,SUM('School Level ADM'!$I256:$O256)='School Level ADM'!$S256,SUM('School Level ADM'!$J256:$O256)='School Level ADM'!$S256,SUM('School Level ADM'!$K256:$O256)='School Level ADM'!$S256,SUM('School Level ADM'!$L256:$O256)='School Level ADM'!$S256,SUM('School Level ADM'!$M256:$O256)='School Level ADM'!$S256,SUM('School Level ADM'!$N256:$O256)='School Level ADM'!$S256),0,SUM('School Level ADM'!$O256:$R256)))</f>
        <v>0</v>
      </c>
      <c r="L256" s="139">
        <f t="shared" si="43"/>
        <v>206.85</v>
      </c>
      <c r="M256" s="24">
        <f>'Student At-Risk and ELL Proxy'!S256</f>
        <v>67</v>
      </c>
      <c r="N256" s="24">
        <f>'Student At-Risk and ELL Proxy'!AH256</f>
        <v>4</v>
      </c>
      <c r="O256" s="136">
        <f t="shared" si="49"/>
        <v>1.1508136687279005</v>
      </c>
      <c r="P256" s="136" t="str">
        <f t="shared" si="50"/>
        <v/>
      </c>
      <c r="Q256" s="136" t="str">
        <f t="shared" si="51"/>
        <v/>
      </c>
      <c r="R256" s="136">
        <f t="shared" si="44"/>
        <v>1.1508136687279005</v>
      </c>
      <c r="S256" s="136">
        <f>IF(SUM(3515.4*((VLOOKUP($A256,'District Level ADM'!$A$4:$F$52,6,FALSE))^-0.327)/'Model Data Inputs'!$B$71)&lt;1,1,(3515.4*((VLOOKUP($A256,'District Level ADM'!$A$4:$F$52,6,FALSE))^-0.327)/'Model Data Inputs'!$B$71))</f>
        <v>1.9281382397170648</v>
      </c>
      <c r="T256" s="136">
        <f>VLOOKUP($A256,'Regional Cost Adjustment'!$A$4:$C$52,3,FALSE)</f>
        <v>1.01</v>
      </c>
      <c r="U256" s="123">
        <f>((($I256/$L256)*'Model Data Inputs'!$B$85)+((SUM(J256:K256)/$L256)*'Model Data Inputs'!$C$85))*$R256*$T256</f>
        <v>7401.1860280477349</v>
      </c>
      <c r="V256" s="140">
        <f>((($I256/$L256)*'Model Data Inputs'!$B$86)+((SUM(J256:K256)/$L256)*'Model Data Inputs'!$C$86))*$R256</f>
        <v>1947.8956888283656</v>
      </c>
      <c r="W256" s="140">
        <f t="shared" si="52"/>
        <v>9349.0817168761005</v>
      </c>
      <c r="X256" s="140">
        <f t="shared" si="45"/>
        <v>1530935.3299016738</v>
      </c>
      <c r="Y256" s="140">
        <f t="shared" si="46"/>
        <v>402922.22323414742</v>
      </c>
      <c r="Z256" s="123">
        <f>IF((SUM(X256:Y256))&lt;(AVERAGE('Elementary Size Adjustment'!$B$66,'Secondary Size Adjustment'!$B$66)),(AVERAGE('Elementary Size Adjustment'!$B$66,'Secondary Size Adjustment'!$B$66)),SUM(X256:Y256))</f>
        <v>1933857.5531358211</v>
      </c>
      <c r="AA256" s="137">
        <f>'Model Data Inputs'!$B$71*S256*L256</f>
        <v>75778.725028240224</v>
      </c>
      <c r="AB256" s="137">
        <f>L256*'Model Data Inputs'!$B$72</f>
        <v>5171.25</v>
      </c>
      <c r="AC256" s="137">
        <f>L256*'Model Data Inputs'!$B$73</f>
        <v>51712.5</v>
      </c>
      <c r="AD256" s="137">
        <f>L256*'Model Data Inputs'!$B$74</f>
        <v>25856.25</v>
      </c>
      <c r="AE256" s="137">
        <f>$I256*'Model Data Inputs'!$B$76</f>
        <v>4920.9614999999994</v>
      </c>
      <c r="AF256" s="137">
        <f>VLOOKUP($J256,'Student Activities MS&amp;HS Tables'!$M$7:$O$1267,3)</f>
        <v>0</v>
      </c>
      <c r="AG256" s="137">
        <f>VLOOKUP($K256,'Student Activities MS&amp;HS Tables'!$I$7:$K$3007,3)</f>
        <v>0</v>
      </c>
      <c r="AH256" s="137">
        <f t="shared" si="47"/>
        <v>4920.9614999999994</v>
      </c>
      <c r="AI256" s="123">
        <f t="shared" si="53"/>
        <v>2097297.2396640615</v>
      </c>
      <c r="AJ256" s="123">
        <f>(('Model Data Inputs'!$B$90*(('Model Data Inputs'!$B$87*('School Level Inst. Resources'!I256/'School Level Inst. Resources'!L256))+('Model Data Inputs'!$C$87*(SUM('School Level Inst. Resources'!J256:K256)/'School Level Inst. Resources'!L256))))*T256*M256)</f>
        <v>163630.37271778169</v>
      </c>
      <c r="AK256" s="123">
        <f>(('Model Data Inputs'!$B$91*(('Model Data Inputs'!$B$87*('School Level Inst. Resources'!I256/'School Level Inst. Resources'!L256))+('Model Data Inputs'!$C$87*(SUM('School Level Inst. Resources'!J256:K256)/'School Level Inst. Resources'!L256))))*T256*N256)</f>
        <v>9768.9774756884599</v>
      </c>
      <c r="AL256" s="137">
        <f>(K256*'Model Data Inputs'!$B$94)*T256</f>
        <v>0</v>
      </c>
      <c r="AM256" s="137">
        <f>K256*'Model Data Inputs'!$B$95</f>
        <v>0</v>
      </c>
      <c r="AN256" s="137">
        <f t="shared" si="54"/>
        <v>0</v>
      </c>
      <c r="AO256" s="137">
        <f>('School Level Inst. Resources'!K256*'Model Data Inputs'!$B$96)+('School Level Inst. Resources'!J256*'Model Data Inputs'!$B$97)</f>
        <v>0</v>
      </c>
      <c r="AP256" s="137">
        <f>$L256*'Model Data Inputs'!$B$100</f>
        <v>8274</v>
      </c>
      <c r="AQ256" s="137">
        <f t="shared" si="55"/>
        <v>2278970.5898575312</v>
      </c>
      <c r="AR256" s="141">
        <f t="shared" si="48"/>
        <v>11017.503455922317</v>
      </c>
    </row>
    <row r="257" spans="1:44" s="40" customFormat="1" ht="12.75" customHeight="1" x14ac:dyDescent="0.2">
      <c r="A257" s="20" t="s">
        <v>76</v>
      </c>
      <c r="B257" s="20" t="s">
        <v>77</v>
      </c>
      <c r="C257" s="20" t="s">
        <v>883</v>
      </c>
      <c r="D257" s="20" t="s">
        <v>884</v>
      </c>
      <c r="E257" s="138" t="s">
        <v>622</v>
      </c>
      <c r="F257" s="138" t="str">
        <f>IF(AND(SUM('School Level ADM'!$F257:$J257)=0,SUM('School Level ADM'!$O257:$R257)=0,'School Level ADM'!$K257&gt;0,'School Level ADM'!$N257&gt;0),"T","F")</f>
        <v>F</v>
      </c>
      <c r="G257" s="138" t="str">
        <f>IF(AND(SUM('School Level ADM'!$M257:$R257)=0,'School Level ADM'!$L257&gt;0),"T","F")</f>
        <v>F</v>
      </c>
      <c r="H257" s="138" t="str">
        <f t="shared" si="42"/>
        <v>E</v>
      </c>
      <c r="I257" s="139">
        <f>IF($F257="T",SUM('School Level ADM'!$F257:$J257),IF($G257="T",SUM('School Level ADM'!$F257:$L257),SUM('School Level ADM'!$F257:$K257,0)))</f>
        <v>194.04499999999999</v>
      </c>
      <c r="J257" s="139">
        <f>'School Level ADM'!$S257-$I257-$K257</f>
        <v>0</v>
      </c>
      <c r="K257" s="139">
        <f>IF(SUM('School Level ADM'!$N257:$R257)='School Level ADM'!$S257,SUM('School Level ADM'!$N257:$R257),IF(OR(SUM('School Level ADM'!$F257:$O257)='School Level ADM'!$S257,SUM('School Level ADM'!$G257:$O257)='School Level ADM'!$S257,SUM('School Level ADM'!$H257:$O257)='School Level ADM'!$S257,SUM('School Level ADM'!$I257:$O257)='School Level ADM'!$S257,SUM('School Level ADM'!$J257:$O257)='School Level ADM'!$S257,SUM('School Level ADM'!$K257:$O257)='School Level ADM'!$S257,SUM('School Level ADM'!$L257:$O257)='School Level ADM'!$S257,SUM('School Level ADM'!$M257:$O257)='School Level ADM'!$S257,SUM('School Level ADM'!$N257:$O257)='School Level ADM'!$S257),0,SUM('School Level ADM'!$O257:$R257)))</f>
        <v>0</v>
      </c>
      <c r="L257" s="139">
        <f t="shared" si="43"/>
        <v>194.04499999999999</v>
      </c>
      <c r="M257" s="24">
        <f>'Student At-Risk and ELL Proxy'!S257</f>
        <v>90</v>
      </c>
      <c r="N257" s="24">
        <f>'Student At-Risk and ELL Proxy'!AH257</f>
        <v>9</v>
      </c>
      <c r="O257" s="136">
        <f t="shared" si="49"/>
        <v>1.1804585248725523</v>
      </c>
      <c r="P257" s="136" t="str">
        <f t="shared" si="50"/>
        <v/>
      </c>
      <c r="Q257" s="136" t="str">
        <f t="shared" si="51"/>
        <v/>
      </c>
      <c r="R257" s="136">
        <f t="shared" si="44"/>
        <v>1.1804585248725523</v>
      </c>
      <c r="S257" s="136">
        <f>IF(SUM(3515.4*((VLOOKUP($A257,'District Level ADM'!$A$4:$F$52,6,FALSE))^-0.327)/'Model Data Inputs'!$B$71)&lt;1,1,(3515.4*((VLOOKUP($A257,'District Level ADM'!$A$4:$F$52,6,FALSE))^-0.327)/'Model Data Inputs'!$B$71))</f>
        <v>1.9281382397170648</v>
      </c>
      <c r="T257" s="136">
        <f>VLOOKUP($A257,'Regional Cost Adjustment'!$A$4:$C$52,3,FALSE)</f>
        <v>1.01</v>
      </c>
      <c r="U257" s="123">
        <f>((($I257/$L257)*'Model Data Inputs'!$B$85)+((SUM(J257:K257)/$L257)*'Model Data Inputs'!$C$85))*$R257*$T257</f>
        <v>7591.839911524642</v>
      </c>
      <c r="V257" s="140">
        <f>((($I257/$L257)*'Model Data Inputs'!$B$86)+((SUM(J257:K257)/$L257)*'Model Data Inputs'!$C$86))*$R257</f>
        <v>1998.0733058043052</v>
      </c>
      <c r="W257" s="140">
        <f t="shared" si="52"/>
        <v>9589.9132173289472</v>
      </c>
      <c r="X257" s="140">
        <f t="shared" si="45"/>
        <v>1473158.5756317992</v>
      </c>
      <c r="Y257" s="140">
        <f t="shared" si="46"/>
        <v>387716.1346247964</v>
      </c>
      <c r="Z257" s="123">
        <f>IF((SUM(X257:Y257))&lt;(AVERAGE('Elementary Size Adjustment'!$B$66,'Secondary Size Adjustment'!$B$66)),(AVERAGE('Elementary Size Adjustment'!$B$66,'Secondary Size Adjustment'!$B$66)),SUM(X257:Y257))</f>
        <v>1860874.7102565956</v>
      </c>
      <c r="AA257" s="137">
        <f>'Model Data Inputs'!$B$71*S257*L257</f>
        <v>71087.661097920587</v>
      </c>
      <c r="AB257" s="137">
        <f>L257*'Model Data Inputs'!$B$72</f>
        <v>4851.125</v>
      </c>
      <c r="AC257" s="137">
        <f>L257*'Model Data Inputs'!$B$73</f>
        <v>48511.25</v>
      </c>
      <c r="AD257" s="137">
        <f>L257*'Model Data Inputs'!$B$74</f>
        <v>24255.625</v>
      </c>
      <c r="AE257" s="137">
        <f>$I257*'Model Data Inputs'!$B$76</f>
        <v>4616.3305499999997</v>
      </c>
      <c r="AF257" s="137">
        <f>VLOOKUP($J257,'Student Activities MS&amp;HS Tables'!$M$7:$O$1267,3)</f>
        <v>0</v>
      </c>
      <c r="AG257" s="137">
        <f>VLOOKUP($K257,'Student Activities MS&amp;HS Tables'!$I$7:$K$3007,3)</f>
        <v>0</v>
      </c>
      <c r="AH257" s="137">
        <f t="shared" si="47"/>
        <v>4616.3305499999997</v>
      </c>
      <c r="AI257" s="123">
        <f t="shared" si="53"/>
        <v>2014196.7019045162</v>
      </c>
      <c r="AJ257" s="123">
        <f>(('Model Data Inputs'!$B$90*(('Model Data Inputs'!$B$87*('School Level Inst. Resources'!I257/'School Level Inst. Resources'!L257))+('Model Data Inputs'!$C$87*(SUM('School Level Inst. Resources'!J257:K257)/'School Level Inst. Resources'!L257))))*T257*M257)</f>
        <v>219801.99320299036</v>
      </c>
      <c r="AK257" s="123">
        <f>(('Model Data Inputs'!$B$91*(('Model Data Inputs'!$B$87*('School Level Inst. Resources'!I257/'School Level Inst. Resources'!L257))+('Model Data Inputs'!$C$87*(SUM('School Level Inst. Resources'!J257:K257)/'School Level Inst. Resources'!L257))))*T257*N257)</f>
        <v>21980.199320299034</v>
      </c>
      <c r="AL257" s="137">
        <f>(K257*'Model Data Inputs'!$B$94)*T257</f>
        <v>0</v>
      </c>
      <c r="AM257" s="137">
        <f>K257*'Model Data Inputs'!$B$95</f>
        <v>0</v>
      </c>
      <c r="AN257" s="137">
        <f t="shared" si="54"/>
        <v>0</v>
      </c>
      <c r="AO257" s="137">
        <f>('School Level Inst. Resources'!K257*'Model Data Inputs'!$B$96)+('School Level Inst. Resources'!J257*'Model Data Inputs'!$B$97)</f>
        <v>0</v>
      </c>
      <c r="AP257" s="137">
        <f>$L257*'Model Data Inputs'!$B$100</f>
        <v>7761.7999999999993</v>
      </c>
      <c r="AQ257" s="137">
        <f t="shared" si="55"/>
        <v>2263740.6944278055</v>
      </c>
      <c r="AR257" s="141">
        <f t="shared" si="48"/>
        <v>11666.060421179653</v>
      </c>
    </row>
    <row r="258" spans="1:44" s="40" customFormat="1" ht="12.75" customHeight="1" x14ac:dyDescent="0.2">
      <c r="A258" s="20" t="s">
        <v>76</v>
      </c>
      <c r="B258" s="20" t="s">
        <v>77</v>
      </c>
      <c r="C258" s="20" t="s">
        <v>885</v>
      </c>
      <c r="D258" s="20" t="s">
        <v>886</v>
      </c>
      <c r="E258" s="138" t="s">
        <v>383</v>
      </c>
      <c r="F258" s="138" t="str">
        <f>IF(AND(SUM('School Level ADM'!$F258:$J258)=0,SUM('School Level ADM'!$O258:$R258)=0,'School Level ADM'!$K258&gt;0,'School Level ADM'!$N258&gt;0),"T","F")</f>
        <v>F</v>
      </c>
      <c r="G258" s="138" t="str">
        <f>IF(AND(SUM('School Level ADM'!$M258:$R258)=0,'School Level ADM'!$L258&gt;0),"T","F")</f>
        <v>F</v>
      </c>
      <c r="H258" s="138" t="str">
        <f t="shared" si="42"/>
        <v>M</v>
      </c>
      <c r="I258" s="139">
        <f>IF($F258="T",SUM('School Level ADM'!$F258:$J258),IF($G258="T",SUM('School Level ADM'!$F258:$L258),SUM('School Level ADM'!$F258:$K258,0)))</f>
        <v>0</v>
      </c>
      <c r="J258" s="139">
        <f>'School Level ADM'!$S258-$I258-$K258</f>
        <v>202.91</v>
      </c>
      <c r="K258" s="139">
        <f>IF(SUM('School Level ADM'!$N258:$R258)='School Level ADM'!$S258,SUM('School Level ADM'!$N258:$R258),IF(OR(SUM('School Level ADM'!$F258:$O258)='School Level ADM'!$S258,SUM('School Level ADM'!$G258:$O258)='School Level ADM'!$S258,SUM('School Level ADM'!$H258:$O258)='School Level ADM'!$S258,SUM('School Level ADM'!$I258:$O258)='School Level ADM'!$S258,SUM('School Level ADM'!$J258:$O258)='School Level ADM'!$S258,SUM('School Level ADM'!$K258:$O258)='School Level ADM'!$S258,SUM('School Level ADM'!$L258:$O258)='School Level ADM'!$S258,SUM('School Level ADM'!$M258:$O258)='School Level ADM'!$S258,SUM('School Level ADM'!$N258:$O258)='School Level ADM'!$S258),0,SUM('School Level ADM'!$O258:$R258)))</f>
        <v>0</v>
      </c>
      <c r="L258" s="139">
        <f t="shared" si="43"/>
        <v>202.91</v>
      </c>
      <c r="M258" s="24">
        <f>'Student At-Risk and ELL Proxy'!S258</f>
        <v>88</v>
      </c>
      <c r="N258" s="24">
        <f>'Student At-Risk and ELL Proxy'!AH258</f>
        <v>6</v>
      </c>
      <c r="O258" s="136" t="str">
        <f t="shared" si="49"/>
        <v/>
      </c>
      <c r="P258" s="136">
        <f t="shared" si="50"/>
        <v>1.4139667045666131</v>
      </c>
      <c r="Q258" s="136" t="str">
        <f t="shared" si="51"/>
        <v/>
      </c>
      <c r="R258" s="136">
        <f t="shared" si="44"/>
        <v>1.4139667045666131</v>
      </c>
      <c r="S258" s="136">
        <f>IF(SUM(3515.4*((VLOOKUP($A258,'District Level ADM'!$A$4:$F$52,6,FALSE))^-0.327)/'Model Data Inputs'!$B$71)&lt;1,1,(3515.4*((VLOOKUP($A258,'District Level ADM'!$A$4:$F$52,6,FALSE))^-0.327)/'Model Data Inputs'!$B$71))</f>
        <v>1.9281382397170648</v>
      </c>
      <c r="T258" s="136">
        <f>VLOOKUP($A258,'Regional Cost Adjustment'!$A$4:$C$52,3,FALSE)</f>
        <v>1.01</v>
      </c>
      <c r="U258" s="123">
        <f>((($I258/$L258)*'Model Data Inputs'!$B$85)+((SUM(J258:K258)/$L258)*'Model Data Inputs'!$C$85))*$R258*$T258</f>
        <v>7687.1959669099415</v>
      </c>
      <c r="V258" s="140">
        <f>((($I258/$L258)*'Model Data Inputs'!$B$86)+((SUM(J258:K258)/$L258)*'Model Data Inputs'!$C$86))*$R258</f>
        <v>2026.3666671910109</v>
      </c>
      <c r="W258" s="140">
        <f t="shared" si="52"/>
        <v>9713.562634100952</v>
      </c>
      <c r="X258" s="140">
        <f t="shared" si="45"/>
        <v>1559808.9336456961</v>
      </c>
      <c r="Y258" s="140">
        <f t="shared" si="46"/>
        <v>411170.06043972803</v>
      </c>
      <c r="Z258" s="123">
        <f>IF((SUM(X258:Y258))&lt;(AVERAGE('Elementary Size Adjustment'!$B$66,'Secondary Size Adjustment'!$B$66)),(AVERAGE('Elementary Size Adjustment'!$B$66,'Secondary Size Adjustment'!$B$66)),SUM(X258:Y258))</f>
        <v>1970978.9940854241</v>
      </c>
      <c r="AA258" s="137">
        <f>'Model Data Inputs'!$B$71*S258*L258</f>
        <v>74335.32074198802</v>
      </c>
      <c r="AB258" s="137">
        <f>L258*'Model Data Inputs'!$B$72</f>
        <v>5072.75</v>
      </c>
      <c r="AC258" s="137">
        <f>L258*'Model Data Inputs'!$B$73</f>
        <v>50727.5</v>
      </c>
      <c r="AD258" s="137">
        <f>L258*'Model Data Inputs'!$B$74</f>
        <v>25363.75</v>
      </c>
      <c r="AE258" s="137">
        <f>$I258*'Model Data Inputs'!$B$76</f>
        <v>0</v>
      </c>
      <c r="AF258" s="137">
        <f>VLOOKUP($J258,'Student Activities MS&amp;HS Tables'!$M$7:$O$1267,3)</f>
        <v>77034.720000000001</v>
      </c>
      <c r="AG258" s="137">
        <f>VLOOKUP($K258,'Student Activities MS&amp;HS Tables'!$I$7:$K$3007,3)</f>
        <v>0</v>
      </c>
      <c r="AH258" s="137">
        <f t="shared" si="47"/>
        <v>77034.720000000001</v>
      </c>
      <c r="AI258" s="123">
        <f t="shared" si="53"/>
        <v>2203513.0348274126</v>
      </c>
      <c r="AJ258" s="123">
        <f>(('Model Data Inputs'!$B$90*(('Model Data Inputs'!$B$87*('School Level Inst. Resources'!I258/'School Level Inst. Resources'!L258))+('Model Data Inputs'!$C$87*(SUM('School Level Inst. Resources'!J258:K258)/'School Level Inst. Resources'!L258))))*T258*M258)</f>
        <v>181739.08445684859</v>
      </c>
      <c r="AK258" s="123">
        <f>(('Model Data Inputs'!$B$91*(('Model Data Inputs'!$B$87*('School Level Inst. Resources'!I258/'School Level Inst. Resources'!L258))+('Model Data Inputs'!$C$87*(SUM('School Level Inst. Resources'!J258:K258)/'School Level Inst. Resources'!L258))))*T258*N258)</f>
        <v>12391.301212966948</v>
      </c>
      <c r="AL258" s="137">
        <f>(K258*'Model Data Inputs'!$B$94)*T258</f>
        <v>0</v>
      </c>
      <c r="AM258" s="137">
        <f>K258*'Model Data Inputs'!$B$95</f>
        <v>0</v>
      </c>
      <c r="AN258" s="137">
        <f t="shared" si="54"/>
        <v>0</v>
      </c>
      <c r="AO258" s="137">
        <f>('School Level Inst. Resources'!K258*'Model Data Inputs'!$B$96)+('School Level Inst. Resources'!J258*'Model Data Inputs'!$B$97)</f>
        <v>5072.75</v>
      </c>
      <c r="AP258" s="137">
        <f>$L258*'Model Data Inputs'!$B$100</f>
        <v>8116.4</v>
      </c>
      <c r="AQ258" s="137">
        <f t="shared" si="55"/>
        <v>2410832.5704972278</v>
      </c>
      <c r="AR258" s="141">
        <f t="shared" si="48"/>
        <v>11881.290081796007</v>
      </c>
    </row>
    <row r="259" spans="1:44" s="40" customFormat="1" ht="12.75" customHeight="1" x14ac:dyDescent="0.2">
      <c r="A259" s="20" t="s">
        <v>76</v>
      </c>
      <c r="B259" s="20" t="s">
        <v>77</v>
      </c>
      <c r="C259" s="20" t="s">
        <v>887</v>
      </c>
      <c r="D259" s="20" t="s">
        <v>888</v>
      </c>
      <c r="E259" s="138" t="s">
        <v>386</v>
      </c>
      <c r="F259" s="138" t="str">
        <f>IF(AND(SUM('School Level ADM'!$F259:$J259)=0,SUM('School Level ADM'!$O259:$R259)=0,'School Level ADM'!$K259&gt;0,'School Level ADM'!$N259&gt;0),"T","F")</f>
        <v>F</v>
      </c>
      <c r="G259" s="138" t="str">
        <f>IF(AND(SUM('School Level ADM'!$M259:$R259)=0,'School Level ADM'!$L259&gt;0),"T","F")</f>
        <v>F</v>
      </c>
      <c r="H259" s="138" t="str">
        <f t="shared" si="42"/>
        <v>M</v>
      </c>
      <c r="I259" s="139">
        <f>IF($F259="T",SUM('School Level ADM'!$F259:$J259),IF($G259="T",SUM('School Level ADM'!$F259:$L259),SUM('School Level ADM'!$F259:$K259,0)))</f>
        <v>0</v>
      </c>
      <c r="J259" s="139">
        <f>'School Level ADM'!$S259-$I259-$K259</f>
        <v>2.9550000000000001</v>
      </c>
      <c r="K259" s="139">
        <f>IF(SUM('School Level ADM'!$N259:$R259)='School Level ADM'!$S259,SUM('School Level ADM'!$N259:$R259),IF(OR(SUM('School Level ADM'!$F259:$O259)='School Level ADM'!$S259,SUM('School Level ADM'!$G259:$O259)='School Level ADM'!$S259,SUM('School Level ADM'!$H259:$O259)='School Level ADM'!$S259,SUM('School Level ADM'!$I259:$O259)='School Level ADM'!$S259,SUM('School Level ADM'!$J259:$O259)='School Level ADM'!$S259,SUM('School Level ADM'!$K259:$O259)='School Level ADM'!$S259,SUM('School Level ADM'!$L259:$O259)='School Level ADM'!$S259,SUM('School Level ADM'!$M259:$O259)='School Level ADM'!$S259,SUM('School Level ADM'!$N259:$O259)='School Level ADM'!$S259),0,SUM('School Level ADM'!$O259:$R259)))</f>
        <v>0</v>
      </c>
      <c r="L259" s="139">
        <f t="shared" si="43"/>
        <v>2.9550000000000001</v>
      </c>
      <c r="M259" s="24">
        <f>'Student At-Risk and ELL Proxy'!S259</f>
        <v>2</v>
      </c>
      <c r="N259" s="24">
        <f>'Student At-Risk and ELL Proxy'!AH259</f>
        <v>0</v>
      </c>
      <c r="O259" s="136" t="str">
        <f t="shared" si="49"/>
        <v/>
      </c>
      <c r="P259" s="136">
        <f t="shared" si="50"/>
        <v>6.2393165063122398</v>
      </c>
      <c r="Q259" s="136" t="str">
        <f t="shared" si="51"/>
        <v/>
      </c>
      <c r="R259" s="136">
        <f t="shared" si="44"/>
        <v>6.2393165063122398</v>
      </c>
      <c r="S259" s="136">
        <f>IF(SUM(3515.4*((VLOOKUP($A259,'District Level ADM'!$A$4:$F$52,6,FALSE))^-0.327)/'Model Data Inputs'!$B$71)&lt;1,1,(3515.4*((VLOOKUP($A259,'District Level ADM'!$A$4:$F$52,6,FALSE))^-0.327)/'Model Data Inputs'!$B$71))</f>
        <v>1.9281382397170648</v>
      </c>
      <c r="T259" s="136">
        <f>VLOOKUP($A259,'Regional Cost Adjustment'!$A$4:$C$52,3,FALSE)</f>
        <v>1.01</v>
      </c>
      <c r="U259" s="123">
        <f>((($I259/$L259)*'Model Data Inputs'!$B$85)+((SUM(J259:K259)/$L259)*'Model Data Inputs'!$C$85))*$R259*$T259</f>
        <v>33920.776584551117</v>
      </c>
      <c r="V259" s="140">
        <f>((($I259/$L259)*'Model Data Inputs'!$B$86)+((SUM(J259:K259)/$L259)*'Model Data Inputs'!$C$86))*$R259</f>
        <v>8941.6129486026148</v>
      </c>
      <c r="W259" s="140">
        <f t="shared" si="52"/>
        <v>42862.389533153735</v>
      </c>
      <c r="X259" s="140">
        <f t="shared" si="45"/>
        <v>100235.89480734855</v>
      </c>
      <c r="Y259" s="140">
        <f t="shared" si="46"/>
        <v>26422.466263120728</v>
      </c>
      <c r="Z259" s="123">
        <f>IF((SUM(X259:Y259))&lt;(AVERAGE('Elementary Size Adjustment'!$B$66,'Secondary Size Adjustment'!$B$66)),(AVERAGE('Elementary Size Adjustment'!$B$66,'Secondary Size Adjustment'!$B$66)),SUM(X259:Y259))</f>
        <v>143474.22151540525</v>
      </c>
      <c r="AA259" s="137">
        <f>'Model Data Inputs'!$B$71*S259*L259</f>
        <v>1082.553214689146</v>
      </c>
      <c r="AB259" s="137">
        <f>L259*'Model Data Inputs'!$B$72</f>
        <v>73.875</v>
      </c>
      <c r="AC259" s="137">
        <f>L259*'Model Data Inputs'!$B$73</f>
        <v>738.75</v>
      </c>
      <c r="AD259" s="137">
        <f>L259*'Model Data Inputs'!$B$74</f>
        <v>369.375</v>
      </c>
      <c r="AE259" s="137">
        <f>$I259*'Model Data Inputs'!$B$76</f>
        <v>0</v>
      </c>
      <c r="AF259" s="137">
        <f>VLOOKUP($J259,'Student Activities MS&amp;HS Tables'!$M$7:$O$1267,3)</f>
        <v>1560.32</v>
      </c>
      <c r="AG259" s="137">
        <f>VLOOKUP($K259,'Student Activities MS&amp;HS Tables'!$I$7:$K$3007,3)</f>
        <v>0</v>
      </c>
      <c r="AH259" s="137">
        <f t="shared" si="47"/>
        <v>1560.32</v>
      </c>
      <c r="AI259" s="123">
        <f t="shared" si="53"/>
        <v>147299.0947300944</v>
      </c>
      <c r="AJ259" s="123">
        <f>(('Model Data Inputs'!$B$90*(('Model Data Inputs'!$B$87*('School Level Inst. Resources'!I259/'School Level Inst. Resources'!L259))+('Model Data Inputs'!$C$87*(SUM('School Level Inst. Resources'!J259:K259)/'School Level Inst. Resources'!L259))))*T259*M259)</f>
        <v>4130.4337376556496</v>
      </c>
      <c r="AK259" s="123">
        <f>(('Model Data Inputs'!$B$91*(('Model Data Inputs'!$B$87*('School Level Inst. Resources'!I259/'School Level Inst. Resources'!L259))+('Model Data Inputs'!$C$87*(SUM('School Level Inst. Resources'!J259:K259)/'School Level Inst. Resources'!L259))))*T259*N259)</f>
        <v>0</v>
      </c>
      <c r="AL259" s="137">
        <f>(K259*'Model Data Inputs'!$B$94)*T259</f>
        <v>0</v>
      </c>
      <c r="AM259" s="137">
        <f>K259*'Model Data Inputs'!$B$95</f>
        <v>0</v>
      </c>
      <c r="AN259" s="137">
        <f t="shared" si="54"/>
        <v>0</v>
      </c>
      <c r="AO259" s="137">
        <f>('School Level Inst. Resources'!K259*'Model Data Inputs'!$B$96)+('School Level Inst. Resources'!J259*'Model Data Inputs'!$B$97)</f>
        <v>73.875</v>
      </c>
      <c r="AP259" s="137">
        <f>$L259*'Model Data Inputs'!$B$100</f>
        <v>118.2</v>
      </c>
      <c r="AQ259" s="137">
        <f t="shared" si="55"/>
        <v>151621.60346775004</v>
      </c>
      <c r="AR259" s="141">
        <f t="shared" si="48"/>
        <v>51310.187298730976</v>
      </c>
    </row>
    <row r="260" spans="1:44" s="40" customFormat="1" ht="12.75" customHeight="1" x14ac:dyDescent="0.2">
      <c r="A260" s="20" t="s">
        <v>76</v>
      </c>
      <c r="B260" s="20" t="s">
        <v>77</v>
      </c>
      <c r="C260" s="20" t="s">
        <v>889</v>
      </c>
      <c r="D260" s="20" t="s">
        <v>890</v>
      </c>
      <c r="E260" s="138" t="s">
        <v>386</v>
      </c>
      <c r="F260" s="138" t="str">
        <f>IF(AND(SUM('School Level ADM'!$F260:$J260)=0,SUM('School Level ADM'!$O260:$R260)=0,'School Level ADM'!$K260&gt;0,'School Level ADM'!$N260&gt;0),"T","F")</f>
        <v>F</v>
      </c>
      <c r="G260" s="138" t="str">
        <f>IF(AND(SUM('School Level ADM'!$M260:$R260)=0,'School Level ADM'!$L260&gt;0),"T","F")</f>
        <v>F</v>
      </c>
      <c r="H260" s="138" t="str">
        <f t="shared" si="42"/>
        <v>M</v>
      </c>
      <c r="I260" s="139">
        <f>IF($F260="T",SUM('School Level ADM'!$F260:$J260),IF($G260="T",SUM('School Level ADM'!$F260:$L260),SUM('School Level ADM'!$F260:$K260,0)))</f>
        <v>0</v>
      </c>
      <c r="J260" s="139">
        <f>'School Level ADM'!$S260-$I260-$K260</f>
        <v>13.79</v>
      </c>
      <c r="K260" s="139">
        <f>IF(SUM('School Level ADM'!$N260:$R260)='School Level ADM'!$S260,SUM('School Level ADM'!$N260:$R260),IF(OR(SUM('School Level ADM'!$F260:$O260)='School Level ADM'!$S260,SUM('School Level ADM'!$G260:$O260)='School Level ADM'!$S260,SUM('School Level ADM'!$H260:$O260)='School Level ADM'!$S260,SUM('School Level ADM'!$I260:$O260)='School Level ADM'!$S260,SUM('School Level ADM'!$J260:$O260)='School Level ADM'!$S260,SUM('School Level ADM'!$K260:$O260)='School Level ADM'!$S260,SUM('School Level ADM'!$L260:$O260)='School Level ADM'!$S260,SUM('School Level ADM'!$M260:$O260)='School Level ADM'!$S260,SUM('School Level ADM'!$N260:$O260)='School Level ADM'!$S260),0,SUM('School Level ADM'!$O260:$R260)))</f>
        <v>0</v>
      </c>
      <c r="L260" s="139">
        <f t="shared" si="43"/>
        <v>13.79</v>
      </c>
      <c r="M260" s="24">
        <f>'Student At-Risk and ELL Proxy'!S260</f>
        <v>5</v>
      </c>
      <c r="N260" s="24">
        <f>'Student At-Risk and ELL Proxy'!AH260</f>
        <v>0</v>
      </c>
      <c r="O260" s="136" t="str">
        <f t="shared" si="49"/>
        <v/>
      </c>
      <c r="P260" s="136">
        <f t="shared" si="50"/>
        <v>3.6334202880256687</v>
      </c>
      <c r="Q260" s="136" t="str">
        <f t="shared" si="51"/>
        <v/>
      </c>
      <c r="R260" s="136">
        <f t="shared" si="44"/>
        <v>3.6334202880256687</v>
      </c>
      <c r="S260" s="136">
        <f>IF(SUM(3515.4*((VLOOKUP($A260,'District Level ADM'!$A$4:$F$52,6,FALSE))^-0.327)/'Model Data Inputs'!$B$71)&lt;1,1,(3515.4*((VLOOKUP($A260,'District Level ADM'!$A$4:$F$52,6,FALSE))^-0.327)/'Model Data Inputs'!$B$71))</f>
        <v>1.9281382397170648</v>
      </c>
      <c r="T260" s="136">
        <f>VLOOKUP($A260,'Regional Cost Adjustment'!$A$4:$C$52,3,FALSE)</f>
        <v>1.01</v>
      </c>
      <c r="U260" s="123">
        <f>((($I260/$L260)*'Model Data Inputs'!$B$85)+((SUM(J260:K260)/$L260)*'Model Data Inputs'!$C$85))*$R260*$T260</f>
        <v>19753.515902455845</v>
      </c>
      <c r="V260" s="140">
        <f>((($I260/$L260)*'Model Data Inputs'!$B$86)+((SUM(J260:K260)/$L260)*'Model Data Inputs'!$C$86))*$R260</f>
        <v>5207.0828370795753</v>
      </c>
      <c r="W260" s="140">
        <f t="shared" si="52"/>
        <v>24960.59873953542</v>
      </c>
      <c r="X260" s="140">
        <f t="shared" si="45"/>
        <v>272400.9842948661</v>
      </c>
      <c r="Y260" s="140">
        <f t="shared" si="46"/>
        <v>71805.672323327337</v>
      </c>
      <c r="Z260" s="123">
        <f>IF((SUM(X260:Y260))&lt;(AVERAGE('Elementary Size Adjustment'!$B$66,'Secondary Size Adjustment'!$B$66)),(AVERAGE('Elementary Size Adjustment'!$B$66,'Secondary Size Adjustment'!$B$66)),SUM(X260:Y260))</f>
        <v>344206.65661819343</v>
      </c>
      <c r="AA260" s="137">
        <f>'Model Data Inputs'!$B$71*S260*L260</f>
        <v>5051.9150018826813</v>
      </c>
      <c r="AB260" s="137">
        <f>L260*'Model Data Inputs'!$B$72</f>
        <v>344.75</v>
      </c>
      <c r="AC260" s="137">
        <f>L260*'Model Data Inputs'!$B$73</f>
        <v>3447.5</v>
      </c>
      <c r="AD260" s="137">
        <f>L260*'Model Data Inputs'!$B$74</f>
        <v>1723.75</v>
      </c>
      <c r="AE260" s="137">
        <f>$I260*'Model Data Inputs'!$B$76</f>
        <v>0</v>
      </c>
      <c r="AF260" s="137">
        <f>VLOOKUP($J260,'Student Activities MS&amp;HS Tables'!$M$7:$O$1267,3)</f>
        <v>9802</v>
      </c>
      <c r="AG260" s="137">
        <f>VLOOKUP($K260,'Student Activities MS&amp;HS Tables'!$I$7:$K$3007,3)</f>
        <v>0</v>
      </c>
      <c r="AH260" s="137">
        <f t="shared" si="47"/>
        <v>9802</v>
      </c>
      <c r="AI260" s="123">
        <f t="shared" si="53"/>
        <v>364576.57162007614</v>
      </c>
      <c r="AJ260" s="123">
        <f>(('Model Data Inputs'!$B$90*(('Model Data Inputs'!$B$87*('School Level Inst. Resources'!I260/'School Level Inst. Resources'!L260))+('Model Data Inputs'!$C$87*(SUM('School Level Inst. Resources'!J260:K260)/'School Level Inst. Resources'!L260))))*T260*M260)</f>
        <v>10326.084344139124</v>
      </c>
      <c r="AK260" s="123">
        <f>(('Model Data Inputs'!$B$91*(('Model Data Inputs'!$B$87*('School Level Inst. Resources'!I260/'School Level Inst. Resources'!L260))+('Model Data Inputs'!$C$87*(SUM('School Level Inst. Resources'!J260:K260)/'School Level Inst. Resources'!L260))))*T260*N260)</f>
        <v>0</v>
      </c>
      <c r="AL260" s="137">
        <f>(K260*'Model Data Inputs'!$B$94)*T260</f>
        <v>0</v>
      </c>
      <c r="AM260" s="137">
        <f>K260*'Model Data Inputs'!$B$95</f>
        <v>0</v>
      </c>
      <c r="AN260" s="137">
        <f t="shared" si="54"/>
        <v>0</v>
      </c>
      <c r="AO260" s="137">
        <f>('School Level Inst. Resources'!K260*'Model Data Inputs'!$B$96)+('School Level Inst. Resources'!J260*'Model Data Inputs'!$B$97)</f>
        <v>344.75</v>
      </c>
      <c r="AP260" s="137">
        <f>$L260*'Model Data Inputs'!$B$100</f>
        <v>551.59999999999991</v>
      </c>
      <c r="AQ260" s="137">
        <f t="shared" si="55"/>
        <v>375799.00596421526</v>
      </c>
      <c r="AR260" s="141">
        <f t="shared" si="48"/>
        <v>27251.559533300602</v>
      </c>
    </row>
    <row r="261" spans="1:44" s="40" customFormat="1" ht="12.75" customHeight="1" x14ac:dyDescent="0.2">
      <c r="A261" s="20" t="s">
        <v>76</v>
      </c>
      <c r="B261" s="20" t="s">
        <v>77</v>
      </c>
      <c r="C261" s="20" t="s">
        <v>891</v>
      </c>
      <c r="D261" s="20" t="s">
        <v>892</v>
      </c>
      <c r="E261" s="138" t="s">
        <v>389</v>
      </c>
      <c r="F261" s="138" t="str">
        <f>IF(AND(SUM('School Level ADM'!$F261:$J261)=0,SUM('School Level ADM'!$O261:$R261)=0,'School Level ADM'!$K261&gt;0,'School Level ADM'!$N261&gt;0),"T","F")</f>
        <v>F</v>
      </c>
      <c r="G261" s="138" t="str">
        <f>IF(AND(SUM('School Level ADM'!$M261:$R261)=0,'School Level ADM'!$L261&gt;0),"T","F")</f>
        <v>F</v>
      </c>
      <c r="H261" s="138" t="str">
        <f t="shared" ref="H261:H324" si="56">IF($K261&gt;0,"H",IF($J261&gt;0,"M","E"))</f>
        <v>H</v>
      </c>
      <c r="I261" s="139">
        <f>IF($F261="T",SUM('School Level ADM'!$F261:$J261),IF($G261="T",SUM('School Level ADM'!$F261:$L261),SUM('School Level ADM'!$F261:$K261,0)))</f>
        <v>0</v>
      </c>
      <c r="J261" s="139">
        <f>'School Level ADM'!$S261-$I261-$K261</f>
        <v>0</v>
      </c>
      <c r="K261" s="139">
        <f>IF(SUM('School Level ADM'!$N261:$R261)='School Level ADM'!$S261,SUM('School Level ADM'!$N261:$R261),IF(OR(SUM('School Level ADM'!$F261:$O261)='School Level ADM'!$S261,SUM('School Level ADM'!$G261:$O261)='School Level ADM'!$S261,SUM('School Level ADM'!$H261:$O261)='School Level ADM'!$S261,SUM('School Level ADM'!$I261:$O261)='School Level ADM'!$S261,SUM('School Level ADM'!$J261:$O261)='School Level ADM'!$S261,SUM('School Level ADM'!$K261:$O261)='School Level ADM'!$S261,SUM('School Level ADM'!$L261:$O261)='School Level ADM'!$S261,SUM('School Level ADM'!$M261:$O261)='School Level ADM'!$S261,SUM('School Level ADM'!$N261:$O261)='School Level ADM'!$S261),0,SUM('School Level ADM'!$O261:$R261)))</f>
        <v>14.775</v>
      </c>
      <c r="L261" s="139">
        <f t="shared" ref="L261:L324" si="57">SUM($I261:$K261)</f>
        <v>14.775</v>
      </c>
      <c r="M261" s="24">
        <f>'Student At-Risk and ELL Proxy'!S261</f>
        <v>11</v>
      </c>
      <c r="N261" s="24">
        <f>'Student At-Risk and ELL Proxy'!AH261</f>
        <v>0</v>
      </c>
      <c r="O261" s="136" t="str">
        <f t="shared" si="49"/>
        <v/>
      </c>
      <c r="P261" s="136">
        <f t="shared" si="50"/>
        <v>3.5464884143581754</v>
      </c>
      <c r="Q261" s="136" t="str">
        <f t="shared" si="51"/>
        <v/>
      </c>
      <c r="R261" s="136">
        <f t="shared" ref="R261:R324" si="58">(IF(E261="K-12",Q261,IF(E261="p-12",Q261,IF(O261="",P261,IF(P261="",O261,(O261*(I261/L261))+(P261*(SUM(J261:K261)/L261)))))))</f>
        <v>3.5464884143581754</v>
      </c>
      <c r="S261" s="136">
        <f>IF(SUM(3515.4*((VLOOKUP($A261,'District Level ADM'!$A$4:$F$52,6,FALSE))^-0.327)/'Model Data Inputs'!$B$71)&lt;1,1,(3515.4*((VLOOKUP($A261,'District Level ADM'!$A$4:$F$52,6,FALSE))^-0.327)/'Model Data Inputs'!$B$71))</f>
        <v>1.9281382397170648</v>
      </c>
      <c r="T261" s="136">
        <f>VLOOKUP($A261,'Regional Cost Adjustment'!$A$4:$C$52,3,FALSE)</f>
        <v>1.01</v>
      </c>
      <c r="U261" s="123">
        <f>((($I261/$L261)*'Model Data Inputs'!$B$85)+((SUM(J261:K261)/$L261)*'Model Data Inputs'!$C$85))*$R261*$T261</f>
        <v>19280.900566822816</v>
      </c>
      <c r="V261" s="140">
        <f>((($I261/$L261)*'Model Data Inputs'!$B$86)+((SUM(J261:K261)/$L261)*'Model Data Inputs'!$C$86))*$R261</f>
        <v>5082.5000936901115</v>
      </c>
      <c r="W261" s="140">
        <f t="shared" si="52"/>
        <v>24363.400660512929</v>
      </c>
      <c r="X261" s="140">
        <f t="shared" ref="X261:X324" si="59">U261*L261</f>
        <v>284875.30587480712</v>
      </c>
      <c r="Y261" s="140">
        <f t="shared" ref="Y261:Y324" si="60">V261*L261</f>
        <v>75093.938884271396</v>
      </c>
      <c r="Z261" s="123">
        <f>IF((SUM(X261:Y261))&lt;(AVERAGE('Elementary Size Adjustment'!$B$66,'Secondary Size Adjustment'!$B$66)),(AVERAGE('Elementary Size Adjustment'!$B$66,'Secondary Size Adjustment'!$B$66)),SUM(X261:Y261))</f>
        <v>359969.24475907849</v>
      </c>
      <c r="AA261" s="137">
        <f>'Model Data Inputs'!$B$71*S261*L261</f>
        <v>5412.7660734457304</v>
      </c>
      <c r="AB261" s="137">
        <f>L261*'Model Data Inputs'!$B$72</f>
        <v>369.375</v>
      </c>
      <c r="AC261" s="137">
        <f>L261*'Model Data Inputs'!$B$73</f>
        <v>3693.75</v>
      </c>
      <c r="AD261" s="137">
        <f>L261*'Model Data Inputs'!$B$74</f>
        <v>1846.875</v>
      </c>
      <c r="AE261" s="137">
        <f>$I261*'Model Data Inputs'!$B$76</f>
        <v>0</v>
      </c>
      <c r="AF261" s="137">
        <f>VLOOKUP($J261,'Student Activities MS&amp;HS Tables'!$M$7:$O$1267,3)</f>
        <v>0</v>
      </c>
      <c r="AG261" s="137">
        <f>VLOOKUP($K261,'Student Activities MS&amp;HS Tables'!$I$7:$K$3007,3)</f>
        <v>27416.62</v>
      </c>
      <c r="AH261" s="137">
        <f t="shared" ref="AH261:AH324" si="61">SUM(AE261:AG261)</f>
        <v>27416.62</v>
      </c>
      <c r="AI261" s="123">
        <f t="shared" si="53"/>
        <v>398708.63083252421</v>
      </c>
      <c r="AJ261" s="123">
        <f>(('Model Data Inputs'!$B$90*(('Model Data Inputs'!$B$87*('School Level Inst. Resources'!I261/'School Level Inst. Resources'!L261))+('Model Data Inputs'!$C$87*(SUM('School Level Inst. Resources'!J261:K261)/'School Level Inst. Resources'!L261))))*T261*M261)</f>
        <v>22717.385557106074</v>
      </c>
      <c r="AK261" s="123">
        <f>(('Model Data Inputs'!$B$91*(('Model Data Inputs'!$B$87*('School Level Inst. Resources'!I261/'School Level Inst. Resources'!L261))+('Model Data Inputs'!$C$87*(SUM('School Level Inst. Resources'!J261:K261)/'School Level Inst. Resources'!L261))))*T261*N261)</f>
        <v>0</v>
      </c>
      <c r="AL261" s="137">
        <f>(K261*'Model Data Inputs'!$B$94)*T261</f>
        <v>2463.2290263262503</v>
      </c>
      <c r="AM261" s="137">
        <f>K261*'Model Data Inputs'!$B$95</f>
        <v>619.21766437500003</v>
      </c>
      <c r="AN261" s="137">
        <f t="shared" si="54"/>
        <v>3082.4466907012502</v>
      </c>
      <c r="AO261" s="137">
        <f>('School Level Inst. Resources'!K261*'Model Data Inputs'!$B$96)+('School Level Inst. Resources'!J261*'Model Data Inputs'!$B$97)</f>
        <v>1477.5</v>
      </c>
      <c r="AP261" s="137">
        <f>$L261*'Model Data Inputs'!$B$100</f>
        <v>591</v>
      </c>
      <c r="AQ261" s="137">
        <f t="shared" si="55"/>
        <v>426576.96308033151</v>
      </c>
      <c r="AR261" s="141">
        <f t="shared" ref="AR261:AR324" si="62">AQ261/L261</f>
        <v>28871.537264320235</v>
      </c>
    </row>
    <row r="262" spans="1:44" s="40" customFormat="1" ht="12.75" customHeight="1" x14ac:dyDescent="0.2">
      <c r="A262" s="20" t="s">
        <v>76</v>
      </c>
      <c r="B262" s="20" t="s">
        <v>77</v>
      </c>
      <c r="C262" s="20" t="s">
        <v>893</v>
      </c>
      <c r="D262" s="20" t="s">
        <v>894</v>
      </c>
      <c r="E262" s="138" t="s">
        <v>389</v>
      </c>
      <c r="F262" s="138" t="str">
        <f>IF(AND(SUM('School Level ADM'!$F262:$J262)=0,SUM('School Level ADM'!$O262:$R262)=0,'School Level ADM'!$K262&gt;0,'School Level ADM'!$N262&gt;0),"T","F")</f>
        <v>F</v>
      </c>
      <c r="G262" s="138" t="str">
        <f>IF(AND(SUM('School Level ADM'!$M262:$R262)=0,'School Level ADM'!$L262&gt;0),"T","F")</f>
        <v>F</v>
      </c>
      <c r="H262" s="138" t="str">
        <f t="shared" si="56"/>
        <v>H</v>
      </c>
      <c r="I262" s="139">
        <f>IF($F262="T",SUM('School Level ADM'!$F262:$J262),IF($G262="T",SUM('School Level ADM'!$F262:$L262),SUM('School Level ADM'!$F262:$K262,0)))</f>
        <v>0</v>
      </c>
      <c r="J262" s="139">
        <f>'School Level ADM'!$S262-$I262-$K262</f>
        <v>0</v>
      </c>
      <c r="K262" s="139">
        <f>IF(SUM('School Level ADM'!$N262:$R262)='School Level ADM'!$S262,SUM('School Level ADM'!$N262:$R262),IF(OR(SUM('School Level ADM'!$F262:$O262)='School Level ADM'!$S262,SUM('School Level ADM'!$G262:$O262)='School Level ADM'!$S262,SUM('School Level ADM'!$H262:$O262)='School Level ADM'!$S262,SUM('School Level ADM'!$I262:$O262)='School Level ADM'!$S262,SUM('School Level ADM'!$J262:$O262)='School Level ADM'!$S262,SUM('School Level ADM'!$K262:$O262)='School Level ADM'!$S262,SUM('School Level ADM'!$L262:$O262)='School Level ADM'!$S262,SUM('School Level ADM'!$M262:$O262)='School Level ADM'!$S262,SUM('School Level ADM'!$N262:$O262)='School Level ADM'!$S262),0,SUM('School Level ADM'!$O262:$R262)))</f>
        <v>16.745000000000001</v>
      </c>
      <c r="L262" s="139">
        <f t="shared" si="57"/>
        <v>16.745000000000001</v>
      </c>
      <c r="M262" s="24">
        <f>'Student At-Risk and ELL Proxy'!S262</f>
        <v>9</v>
      </c>
      <c r="N262" s="24">
        <f>'Student At-Risk and ELL Proxy'!AH262</f>
        <v>0</v>
      </c>
      <c r="O262" s="136" t="str">
        <f t="shared" ref="O262:O325" si="63">IF(E262="K-12","",IF(E262="p-12","",IF(I262&lt;0.1,"",IF(SUM(77441*(L262^-0.398))/8060&lt;0.97,0.97,(77441*(L262^-0.398)/8060)))))</f>
        <v/>
      </c>
      <c r="P262" s="136">
        <f t="shared" ref="P262:P325" si="64">IF(E262="K-12","",IF(E262="p-12","",IF(SUM(J262:K262)&lt;0.1,"",IF(SUM(62206*(L262^-0.351)/6816)&lt;0.97,0.97,(62206*(L262^-0.351)/6816)))))</f>
        <v>3.3940560180383414</v>
      </c>
      <c r="Q262" s="136" t="str">
        <f t="shared" ref="Q262:Q325" si="65">IF(E262="K-12",((((77441*(I262^-0.398))/8060)*I262)+((62206*((J262)^-0.351))/6816)*J262+((62206*((K262)^-0.351))/6816)*K262)/L262,IF(E262="p-12",((((77441*(I262^-0.398))/8060)*I262)+((62206*((J262)^-0.351))/6816)*J262+((62206*((K262)^-0.351))/6816)*K262)/L262,""))</f>
        <v/>
      </c>
      <c r="R262" s="136">
        <f t="shared" si="58"/>
        <v>3.3940560180383414</v>
      </c>
      <c r="S262" s="136">
        <f>IF(SUM(3515.4*((VLOOKUP($A262,'District Level ADM'!$A$4:$F$52,6,FALSE))^-0.327)/'Model Data Inputs'!$B$71)&lt;1,1,(3515.4*((VLOOKUP($A262,'District Level ADM'!$A$4:$F$52,6,FALSE))^-0.327)/'Model Data Inputs'!$B$71))</f>
        <v>1.9281382397170648</v>
      </c>
      <c r="T262" s="136">
        <f>VLOOKUP($A262,'Regional Cost Adjustment'!$A$4:$C$52,3,FALSE)</f>
        <v>1.01</v>
      </c>
      <c r="U262" s="123">
        <f>((($I262/$L262)*'Model Data Inputs'!$B$85)+((SUM(J262:K262)/$L262)*'Model Data Inputs'!$C$85))*$R262*$T262</f>
        <v>18452.183951055405</v>
      </c>
      <c r="V262" s="140">
        <f>((($I262/$L262)*'Model Data Inputs'!$B$86)+((SUM(J262:K262)/$L262)*'Model Data Inputs'!$C$86))*$R262</f>
        <v>4864.0480425173537</v>
      </c>
      <c r="W262" s="140">
        <f t="shared" ref="W262:W325" si="66">SUM(U262:V262)</f>
        <v>23316.231993572757</v>
      </c>
      <c r="X262" s="140">
        <f t="shared" si="59"/>
        <v>308981.82026042277</v>
      </c>
      <c r="Y262" s="140">
        <f t="shared" si="60"/>
        <v>81448.484471953096</v>
      </c>
      <c r="Z262" s="123">
        <f>IF((SUM(X262:Y262))&lt;(AVERAGE('Elementary Size Adjustment'!$B$66,'Secondary Size Adjustment'!$B$66)),(AVERAGE('Elementary Size Adjustment'!$B$66,'Secondary Size Adjustment'!$B$66)),SUM(X262:Y262))</f>
        <v>390430.30473237589</v>
      </c>
      <c r="AA262" s="137">
        <f>'Model Data Inputs'!$B$71*S262*L262</f>
        <v>6134.4682165718277</v>
      </c>
      <c r="AB262" s="137">
        <f>L262*'Model Data Inputs'!$B$72</f>
        <v>418.625</v>
      </c>
      <c r="AC262" s="137">
        <f>L262*'Model Data Inputs'!$B$73</f>
        <v>4186.25</v>
      </c>
      <c r="AD262" s="137">
        <f>L262*'Model Data Inputs'!$B$74</f>
        <v>2093.125</v>
      </c>
      <c r="AE262" s="137">
        <f>$I262*'Model Data Inputs'!$B$76</f>
        <v>0</v>
      </c>
      <c r="AF262" s="137">
        <f>VLOOKUP($J262,'Student Activities MS&amp;HS Tables'!$M$7:$O$1267,3)</f>
        <v>0</v>
      </c>
      <c r="AG262" s="137">
        <f>VLOOKUP($K262,'Student Activities MS&amp;HS Tables'!$I$7:$K$3007,3)</f>
        <v>31188.32</v>
      </c>
      <c r="AH262" s="137">
        <f t="shared" si="61"/>
        <v>31188.32</v>
      </c>
      <c r="AI262" s="123">
        <f t="shared" ref="AI262:AI325" si="67">SUM(Z262:AD262)+AH262</f>
        <v>434451.09294894774</v>
      </c>
      <c r="AJ262" s="123">
        <f>(('Model Data Inputs'!$B$90*(('Model Data Inputs'!$B$87*('School Level Inst. Resources'!I262/'School Level Inst. Resources'!L262))+('Model Data Inputs'!$C$87*(SUM('School Level Inst. Resources'!J262:K262)/'School Level Inst. Resources'!L262))))*T262*M262)</f>
        <v>18586.951819450423</v>
      </c>
      <c r="AK262" s="123">
        <f>(('Model Data Inputs'!$B$91*(('Model Data Inputs'!$B$87*('School Level Inst. Resources'!I262/'School Level Inst. Resources'!L262))+('Model Data Inputs'!$C$87*(SUM('School Level Inst. Resources'!J262:K262)/'School Level Inst. Resources'!L262))))*T262*N262)</f>
        <v>0</v>
      </c>
      <c r="AL262" s="137">
        <f>(K262*'Model Data Inputs'!$B$94)*T262</f>
        <v>2791.6595631697505</v>
      </c>
      <c r="AM262" s="137">
        <f>K262*'Model Data Inputs'!$B$95</f>
        <v>701.78001962500002</v>
      </c>
      <c r="AN262" s="137">
        <f t="shared" ref="AN262:AN325" si="68">SUM(AL262:AM262)</f>
        <v>3493.4395827947505</v>
      </c>
      <c r="AO262" s="137">
        <f>('School Level Inst. Resources'!K262*'Model Data Inputs'!$B$96)+('School Level Inst. Resources'!J262*'Model Data Inputs'!$B$97)</f>
        <v>1674.5</v>
      </c>
      <c r="AP262" s="137">
        <f>$L262*'Model Data Inputs'!$B$100</f>
        <v>669.80000000000007</v>
      </c>
      <c r="AQ262" s="137">
        <f t="shared" ref="AQ262:AQ325" si="69">SUM(AI262:AK262,AN262:AP262)</f>
        <v>458875.78435119288</v>
      </c>
      <c r="AR262" s="141">
        <f t="shared" si="62"/>
        <v>27403.749438709638</v>
      </c>
    </row>
    <row r="263" spans="1:44" s="40" customFormat="1" ht="12.75" customHeight="1" x14ac:dyDescent="0.2">
      <c r="A263" s="20" t="s">
        <v>76</v>
      </c>
      <c r="B263" s="20" t="s">
        <v>77</v>
      </c>
      <c r="C263" s="20" t="s">
        <v>895</v>
      </c>
      <c r="D263" s="20" t="s">
        <v>896</v>
      </c>
      <c r="E263" s="138" t="s">
        <v>389</v>
      </c>
      <c r="F263" s="138" t="str">
        <f>IF(AND(SUM('School Level ADM'!$F263:$J263)=0,SUM('School Level ADM'!$O263:$R263)=0,'School Level ADM'!$K263&gt;0,'School Level ADM'!$N263&gt;0),"T","F")</f>
        <v>F</v>
      </c>
      <c r="G263" s="138" t="str">
        <f>IF(AND(SUM('School Level ADM'!$M263:$R263)=0,'School Level ADM'!$L263&gt;0),"T","F")</f>
        <v>F</v>
      </c>
      <c r="H263" s="138" t="str">
        <f t="shared" si="56"/>
        <v>H</v>
      </c>
      <c r="I263" s="139">
        <f>IF($F263="T",SUM('School Level ADM'!$F263:$J263),IF($G263="T",SUM('School Level ADM'!$F263:$L263),SUM('School Level ADM'!$F263:$K263,0)))</f>
        <v>0</v>
      </c>
      <c r="J263" s="139">
        <f>'School Level ADM'!$S263-$I263-$K263</f>
        <v>0</v>
      </c>
      <c r="K263" s="139">
        <f>IF(SUM('School Level ADM'!$N263:$R263)='School Level ADM'!$S263,SUM('School Level ADM'!$N263:$R263),IF(OR(SUM('School Level ADM'!$F263:$O263)='School Level ADM'!$S263,SUM('School Level ADM'!$G263:$O263)='School Level ADM'!$S263,SUM('School Level ADM'!$H263:$O263)='School Level ADM'!$S263,SUM('School Level ADM'!$I263:$O263)='School Level ADM'!$S263,SUM('School Level ADM'!$J263:$O263)='School Level ADM'!$S263,SUM('School Level ADM'!$K263:$O263)='School Level ADM'!$S263,SUM('School Level ADM'!$L263:$O263)='School Level ADM'!$S263,SUM('School Level ADM'!$M263:$O263)='School Level ADM'!$S263,SUM('School Level ADM'!$N263:$O263)='School Level ADM'!$S263),0,SUM('School Level ADM'!$O263:$R263)))</f>
        <v>274.815</v>
      </c>
      <c r="L263" s="139">
        <f t="shared" si="57"/>
        <v>274.815</v>
      </c>
      <c r="M263" s="24">
        <f>'Student At-Risk and ELL Proxy'!S263</f>
        <v>82</v>
      </c>
      <c r="N263" s="24">
        <f>'Student At-Risk and ELL Proxy'!AH263</f>
        <v>3</v>
      </c>
      <c r="O263" s="136" t="str">
        <f t="shared" si="63"/>
        <v/>
      </c>
      <c r="P263" s="136">
        <f t="shared" si="64"/>
        <v>1.2711579033836391</v>
      </c>
      <c r="Q263" s="136" t="str">
        <f t="shared" si="65"/>
        <v/>
      </c>
      <c r="R263" s="136">
        <f t="shared" si="58"/>
        <v>1.2711579033836391</v>
      </c>
      <c r="S263" s="136">
        <f>IF(SUM(3515.4*((VLOOKUP($A263,'District Level ADM'!$A$4:$F$52,6,FALSE))^-0.327)/'Model Data Inputs'!$B$71)&lt;1,1,(3515.4*((VLOOKUP($A263,'District Level ADM'!$A$4:$F$52,6,FALSE))^-0.327)/'Model Data Inputs'!$B$71))</f>
        <v>1.9281382397170648</v>
      </c>
      <c r="T263" s="136">
        <f>VLOOKUP($A263,'Regional Cost Adjustment'!$A$4:$C$52,3,FALSE)</f>
        <v>1.01</v>
      </c>
      <c r="U263" s="123">
        <f>((($I263/$L263)*'Model Data Inputs'!$B$85)+((SUM(J263:K263)/$L263)*'Model Data Inputs'!$C$85))*$R263*$T263</f>
        <v>6910.7991557633304</v>
      </c>
      <c r="V263" s="140">
        <f>((($I263/$L263)*'Model Data Inputs'!$B$86)+((SUM(J263:K263)/$L263)*'Model Data Inputs'!$C$86))*$R263</f>
        <v>1821.7062649594152</v>
      </c>
      <c r="W263" s="140">
        <f t="shared" si="66"/>
        <v>8732.5054207227458</v>
      </c>
      <c r="X263" s="140">
        <f t="shared" si="59"/>
        <v>1899191.2699910996</v>
      </c>
      <c r="Y263" s="140">
        <f t="shared" si="60"/>
        <v>500632.20720482169</v>
      </c>
      <c r="Z263" s="123">
        <f>IF((SUM(X263:Y263))&lt;(AVERAGE('Elementary Size Adjustment'!$B$66,'Secondary Size Adjustment'!$B$66)),(AVERAGE('Elementary Size Adjustment'!$B$66,'Secondary Size Adjustment'!$B$66)),SUM(X263:Y263))</f>
        <v>2399823.4771959214</v>
      </c>
      <c r="AA263" s="137">
        <f>'Model Data Inputs'!$B$71*S263*L263</f>
        <v>100677.44896609058</v>
      </c>
      <c r="AB263" s="137">
        <f>L263*'Model Data Inputs'!$B$72</f>
        <v>6870.375</v>
      </c>
      <c r="AC263" s="137">
        <f>L263*'Model Data Inputs'!$B$73</f>
        <v>68703.75</v>
      </c>
      <c r="AD263" s="137">
        <f>L263*'Model Data Inputs'!$B$74</f>
        <v>34351.875</v>
      </c>
      <c r="AE263" s="137">
        <f>$I263*'Model Data Inputs'!$B$76</f>
        <v>0</v>
      </c>
      <c r="AF263" s="137">
        <f>VLOOKUP($J263,'Student Activities MS&amp;HS Tables'!$M$7:$O$1267,3)</f>
        <v>0</v>
      </c>
      <c r="AG263" s="137">
        <f>VLOOKUP($K263,'Student Activities MS&amp;HS Tables'!$I$7:$K$3007,3)</f>
        <v>302427.5</v>
      </c>
      <c r="AH263" s="137">
        <f t="shared" si="61"/>
        <v>302427.5</v>
      </c>
      <c r="AI263" s="123">
        <f t="shared" si="67"/>
        <v>2912854.4261620119</v>
      </c>
      <c r="AJ263" s="123">
        <f>(('Model Data Inputs'!$B$90*(('Model Data Inputs'!$B$87*('School Level Inst. Resources'!I263/'School Level Inst. Resources'!L263))+('Model Data Inputs'!$C$87*(SUM('School Level Inst. Resources'!J263:K263)/'School Level Inst. Resources'!L263))))*T263*M263)</f>
        <v>169347.78324388163</v>
      </c>
      <c r="AK263" s="123">
        <f>(('Model Data Inputs'!$B$91*(('Model Data Inputs'!$B$87*('School Level Inst. Resources'!I263/'School Level Inst. Resources'!L263))+('Model Data Inputs'!$C$87*(SUM('School Level Inst. Resources'!J263:K263)/'School Level Inst. Resources'!L263))))*T263*N263)</f>
        <v>6195.6506064834739</v>
      </c>
      <c r="AL263" s="137">
        <f>(K263*'Model Data Inputs'!$B$94)*T263</f>
        <v>45816.05988966825</v>
      </c>
      <c r="AM263" s="137">
        <f>K263*'Model Data Inputs'!$B$95</f>
        <v>11517.448557374999</v>
      </c>
      <c r="AN263" s="137">
        <f t="shared" si="68"/>
        <v>57333.508447043248</v>
      </c>
      <c r="AO263" s="137">
        <f>('School Level Inst. Resources'!K263*'Model Data Inputs'!$B$96)+('School Level Inst. Resources'!J263*'Model Data Inputs'!$B$97)</f>
        <v>27481.5</v>
      </c>
      <c r="AP263" s="137">
        <f>$L263*'Model Data Inputs'!$B$100</f>
        <v>10992.6</v>
      </c>
      <c r="AQ263" s="137">
        <f t="shared" si="69"/>
        <v>3184205.4684594204</v>
      </c>
      <c r="AR263" s="141">
        <f t="shared" si="62"/>
        <v>11586.723681237998</v>
      </c>
    </row>
    <row r="264" spans="1:44" s="40" customFormat="1" ht="12.75" customHeight="1" x14ac:dyDescent="0.2">
      <c r="A264" s="20" t="s">
        <v>76</v>
      </c>
      <c r="B264" s="20" t="s">
        <v>77</v>
      </c>
      <c r="C264" s="20" t="s">
        <v>897</v>
      </c>
      <c r="D264" s="20" t="s">
        <v>898</v>
      </c>
      <c r="E264" s="138" t="s">
        <v>389</v>
      </c>
      <c r="F264" s="138" t="str">
        <f>IF(AND(SUM('School Level ADM'!$F264:$J264)=0,SUM('School Level ADM'!$O264:$R264)=0,'School Level ADM'!$K264&gt;0,'School Level ADM'!$N264&gt;0),"T","F")</f>
        <v>F</v>
      </c>
      <c r="G264" s="138" t="str">
        <f>IF(AND(SUM('School Level ADM'!$M264:$R264)=0,'School Level ADM'!$L264&gt;0),"T","F")</f>
        <v>F</v>
      </c>
      <c r="H264" s="138" t="str">
        <f t="shared" si="56"/>
        <v>H</v>
      </c>
      <c r="I264" s="139">
        <f>IF($F264="T",SUM('School Level ADM'!$F264:$J264),IF($G264="T",SUM('School Level ADM'!$F264:$L264),SUM('School Level ADM'!$F264:$K264,0)))</f>
        <v>0</v>
      </c>
      <c r="J264" s="139">
        <f>'School Level ADM'!$S264-$I264-$K264</f>
        <v>0</v>
      </c>
      <c r="K264" s="139">
        <f>IF(SUM('School Level ADM'!$N264:$R264)='School Level ADM'!$S264,SUM('School Level ADM'!$N264:$R264),IF(OR(SUM('School Level ADM'!$F264:$O264)='School Level ADM'!$S264,SUM('School Level ADM'!$G264:$O264)='School Level ADM'!$S264,SUM('School Level ADM'!$H264:$O264)='School Level ADM'!$S264,SUM('School Level ADM'!$I264:$O264)='School Level ADM'!$S264,SUM('School Level ADM'!$J264:$O264)='School Level ADM'!$S264,SUM('School Level ADM'!$K264:$O264)='School Level ADM'!$S264,SUM('School Level ADM'!$L264:$O264)='School Level ADM'!$S264,SUM('School Level ADM'!$M264:$O264)='School Level ADM'!$S264,SUM('School Level ADM'!$N264:$O264)='School Level ADM'!$S264),0,SUM('School Level ADM'!$O264:$R264)))</f>
        <v>18.715</v>
      </c>
      <c r="L264" s="139">
        <f t="shared" si="57"/>
        <v>18.715</v>
      </c>
      <c r="M264" s="24">
        <f>'Student At-Risk and ELL Proxy'!S264</f>
        <v>7</v>
      </c>
      <c r="N264" s="24">
        <f>'Student At-Risk and ELL Proxy'!AH264</f>
        <v>0</v>
      </c>
      <c r="O264" s="136" t="str">
        <f t="shared" si="63"/>
        <v/>
      </c>
      <c r="P264" s="136">
        <f t="shared" si="64"/>
        <v>3.2641045693672521</v>
      </c>
      <c r="Q264" s="136" t="str">
        <f t="shared" si="65"/>
        <v/>
      </c>
      <c r="R264" s="136">
        <f t="shared" si="58"/>
        <v>3.2641045693672521</v>
      </c>
      <c r="S264" s="136">
        <f>IF(SUM(3515.4*((VLOOKUP($A264,'District Level ADM'!$A$4:$F$52,6,FALSE))^-0.327)/'Model Data Inputs'!$B$71)&lt;1,1,(3515.4*((VLOOKUP($A264,'District Level ADM'!$A$4:$F$52,6,FALSE))^-0.327)/'Model Data Inputs'!$B$71))</f>
        <v>1.9281382397170648</v>
      </c>
      <c r="T264" s="136">
        <f>VLOOKUP($A264,'Regional Cost Adjustment'!$A$4:$C$52,3,FALSE)</f>
        <v>1.01</v>
      </c>
      <c r="U264" s="123">
        <f>((($I264/$L264)*'Model Data Inputs'!$B$85)+((SUM(J264:K264)/$L264)*'Model Data Inputs'!$C$85))*$R264*$T264</f>
        <v>17745.687646091355</v>
      </c>
      <c r="V264" s="140">
        <f>((($I264/$L264)*'Model Data Inputs'!$B$86)+((SUM(J264:K264)/$L264)*'Model Data Inputs'!$C$86))*$R264</f>
        <v>4677.8136120390272</v>
      </c>
      <c r="W264" s="140">
        <f t="shared" si="66"/>
        <v>22423.501258130382</v>
      </c>
      <c r="X264" s="140">
        <f t="shared" si="59"/>
        <v>332110.54429659969</v>
      </c>
      <c r="Y264" s="140">
        <f t="shared" si="60"/>
        <v>87545.281749310394</v>
      </c>
      <c r="Z264" s="123">
        <f>IF((SUM(X264:Y264))&lt;(AVERAGE('Elementary Size Adjustment'!$B$66,'Secondary Size Adjustment'!$B$66)),(AVERAGE('Elementary Size Adjustment'!$B$66,'Secondary Size Adjustment'!$B$66)),SUM(X264:Y264))</f>
        <v>419655.82604591007</v>
      </c>
      <c r="AA264" s="137">
        <f>'Model Data Inputs'!$B$71*S264*L264</f>
        <v>6856.1703596979251</v>
      </c>
      <c r="AB264" s="137">
        <f>L264*'Model Data Inputs'!$B$72</f>
        <v>467.875</v>
      </c>
      <c r="AC264" s="137">
        <f>L264*'Model Data Inputs'!$B$73</f>
        <v>4678.75</v>
      </c>
      <c r="AD264" s="137">
        <f>L264*'Model Data Inputs'!$B$74</f>
        <v>2339.375</v>
      </c>
      <c r="AE264" s="137">
        <f>$I264*'Model Data Inputs'!$B$76</f>
        <v>0</v>
      </c>
      <c r="AF264" s="137">
        <f>VLOOKUP($J264,'Student Activities MS&amp;HS Tables'!$M$7:$O$1267,3)</f>
        <v>0</v>
      </c>
      <c r="AG264" s="137">
        <f>VLOOKUP($K264,'Student Activities MS&amp;HS Tables'!$I$7:$K$3007,3)</f>
        <v>34923.599999999999</v>
      </c>
      <c r="AH264" s="137">
        <f t="shared" si="61"/>
        <v>34923.599999999999</v>
      </c>
      <c r="AI264" s="123">
        <f t="shared" si="67"/>
        <v>468921.596405608</v>
      </c>
      <c r="AJ264" s="123">
        <f>(('Model Data Inputs'!$B$90*(('Model Data Inputs'!$B$87*('School Level Inst. Resources'!I264/'School Level Inst. Resources'!L264))+('Model Data Inputs'!$C$87*(SUM('School Level Inst. Resources'!J264:K264)/'School Level Inst. Resources'!L264))))*T264*M264)</f>
        <v>14456.518081794773</v>
      </c>
      <c r="AK264" s="123">
        <f>(('Model Data Inputs'!$B$91*(('Model Data Inputs'!$B$87*('School Level Inst. Resources'!I264/'School Level Inst. Resources'!L264))+('Model Data Inputs'!$C$87*(SUM('School Level Inst. Resources'!J264:K264)/'School Level Inst. Resources'!L264))))*T264*N264)</f>
        <v>0</v>
      </c>
      <c r="AL264" s="137">
        <f>(K264*'Model Data Inputs'!$B$94)*T264</f>
        <v>3120.0901000132503</v>
      </c>
      <c r="AM264" s="137">
        <f>K264*'Model Data Inputs'!$B$95</f>
        <v>784.3423748749999</v>
      </c>
      <c r="AN264" s="137">
        <f t="shared" si="68"/>
        <v>3904.43247488825</v>
      </c>
      <c r="AO264" s="137">
        <f>('School Level Inst. Resources'!K264*'Model Data Inputs'!$B$96)+('School Level Inst. Resources'!J264*'Model Data Inputs'!$B$97)</f>
        <v>1871.5</v>
      </c>
      <c r="AP264" s="137">
        <f>$L264*'Model Data Inputs'!$B$100</f>
        <v>748.6</v>
      </c>
      <c r="AQ264" s="137">
        <f t="shared" si="69"/>
        <v>489902.64696229098</v>
      </c>
      <c r="AR264" s="141">
        <f t="shared" si="62"/>
        <v>26177.004913827997</v>
      </c>
    </row>
    <row r="265" spans="1:44" s="40" customFormat="1" ht="12.75" customHeight="1" x14ac:dyDescent="0.2">
      <c r="A265" s="20" t="s">
        <v>78</v>
      </c>
      <c r="B265" s="20" t="s">
        <v>79</v>
      </c>
      <c r="C265" s="20" t="s">
        <v>899</v>
      </c>
      <c r="D265" s="20" t="s">
        <v>900</v>
      </c>
      <c r="E265" s="138" t="s">
        <v>357</v>
      </c>
      <c r="F265" s="138" t="str">
        <f>IF(AND(SUM('School Level ADM'!$F265:$J265)=0,SUM('School Level ADM'!$O265:$R265)=0,'School Level ADM'!$K265&gt;0,'School Level ADM'!$N265&gt;0),"T","F")</f>
        <v>F</v>
      </c>
      <c r="G265" s="138" t="str">
        <f>IF(AND(SUM('School Level ADM'!$M265:$R265)=0,'School Level ADM'!$L265&gt;0),"T","F")</f>
        <v>T</v>
      </c>
      <c r="H265" s="138" t="str">
        <f t="shared" si="56"/>
        <v>E</v>
      </c>
      <c r="I265" s="139">
        <f>IF($F265="T",SUM('School Level ADM'!$F265:$J265),IF($G265="T",SUM('School Level ADM'!$F265:$L265),SUM('School Level ADM'!$F265:$K265,0)))</f>
        <v>139.619</v>
      </c>
      <c r="J265" s="139">
        <f>'School Level ADM'!$S265-$I265-$K265</f>
        <v>0</v>
      </c>
      <c r="K265" s="139">
        <f>IF(SUM('School Level ADM'!$N265:$R265)='School Level ADM'!$S265,SUM('School Level ADM'!$N265:$R265),IF(OR(SUM('School Level ADM'!$F265:$O265)='School Level ADM'!$S265,SUM('School Level ADM'!$G265:$O265)='School Level ADM'!$S265,SUM('School Level ADM'!$H265:$O265)='School Level ADM'!$S265,SUM('School Level ADM'!$I265:$O265)='School Level ADM'!$S265,SUM('School Level ADM'!$J265:$O265)='School Level ADM'!$S265,SUM('School Level ADM'!$K265:$O265)='School Level ADM'!$S265,SUM('School Level ADM'!$L265:$O265)='School Level ADM'!$S265,SUM('School Level ADM'!$M265:$O265)='School Level ADM'!$S265,SUM('School Level ADM'!$N265:$O265)='School Level ADM'!$S265),0,SUM('School Level ADM'!$O265:$R265)))</f>
        <v>0</v>
      </c>
      <c r="L265" s="139">
        <f t="shared" si="57"/>
        <v>139.619</v>
      </c>
      <c r="M265" s="24">
        <f>'Student At-Risk and ELL Proxy'!S265</f>
        <v>65</v>
      </c>
      <c r="N265" s="24">
        <f>'Student At-Risk and ELL Proxy'!AH265</f>
        <v>0</v>
      </c>
      <c r="O265" s="136">
        <f t="shared" si="63"/>
        <v>1.3456991881462348</v>
      </c>
      <c r="P265" s="136" t="str">
        <f t="shared" si="64"/>
        <v/>
      </c>
      <c r="Q265" s="136" t="str">
        <f t="shared" si="65"/>
        <v/>
      </c>
      <c r="R265" s="136">
        <f t="shared" si="58"/>
        <v>1.3456991881462348</v>
      </c>
      <c r="S265" s="136">
        <f>IF(SUM(3515.4*((VLOOKUP($A265,'District Level ADM'!$A$4:$F$52,6,FALSE))^-0.327)/'Model Data Inputs'!$B$71)&lt;1,1,(3515.4*((VLOOKUP($A265,'District Level ADM'!$A$4:$F$52,6,FALSE))^-0.327)/'Model Data Inputs'!$B$71))</f>
        <v>3.0788129901494279</v>
      </c>
      <c r="T265" s="136">
        <f>VLOOKUP($A265,'Regional Cost Adjustment'!$A$4:$C$52,3,FALSE)</f>
        <v>1.01</v>
      </c>
      <c r="U265" s="123">
        <f>((($I265/$L265)*'Model Data Inputs'!$B$85)+((SUM(J265:K265)/$L265)*'Model Data Inputs'!$C$85))*$R265*$T265</f>
        <v>8654.5461701654422</v>
      </c>
      <c r="V265" s="140">
        <f>((($I265/$L265)*'Model Data Inputs'!$B$86)+((SUM(J265:K265)/$L265)*'Model Data Inputs'!$C$86))*$R265</f>
        <v>2277.7637408038649</v>
      </c>
      <c r="W265" s="140">
        <f t="shared" si="66"/>
        <v>10932.309910969307</v>
      </c>
      <c r="X265" s="140">
        <f t="shared" si="59"/>
        <v>1208339.081732329</v>
      </c>
      <c r="Y265" s="140">
        <f t="shared" si="60"/>
        <v>318019.0957272948</v>
      </c>
      <c r="Z265" s="123">
        <f>IF((SUM(X265:Y265))&lt;(AVERAGE('Elementary Size Adjustment'!$B$66,'Secondary Size Adjustment'!$B$66)),(AVERAGE('Elementary Size Adjustment'!$B$66,'Secondary Size Adjustment'!$B$66)),SUM(X265:Y265))</f>
        <v>1526358.1774596237</v>
      </c>
      <c r="AA265" s="137">
        <f>'Model Data Inputs'!$B$71*S265*L265</f>
        <v>81673.550265617872</v>
      </c>
      <c r="AB265" s="137">
        <f>L265*'Model Data Inputs'!$B$72</f>
        <v>3490.4749999999999</v>
      </c>
      <c r="AC265" s="137">
        <f>L265*'Model Data Inputs'!$B$73</f>
        <v>34904.75</v>
      </c>
      <c r="AD265" s="137">
        <f>L265*'Model Data Inputs'!$B$74</f>
        <v>17452.375</v>
      </c>
      <c r="AE265" s="137">
        <f>$I265*'Model Data Inputs'!$B$76</f>
        <v>3321.5360099999998</v>
      </c>
      <c r="AF265" s="137">
        <f>VLOOKUP($J265,'Student Activities MS&amp;HS Tables'!$M$7:$O$1267,3)</f>
        <v>0</v>
      </c>
      <c r="AG265" s="137">
        <f>VLOOKUP($K265,'Student Activities MS&amp;HS Tables'!$I$7:$K$3007,3)</f>
        <v>0</v>
      </c>
      <c r="AH265" s="137">
        <f t="shared" si="61"/>
        <v>3321.5360099999998</v>
      </c>
      <c r="AI265" s="123">
        <f t="shared" si="67"/>
        <v>1667200.8637352416</v>
      </c>
      <c r="AJ265" s="123">
        <f>(('Model Data Inputs'!$B$90*(('Model Data Inputs'!$B$87*('School Level Inst. Resources'!I265/'School Level Inst. Resources'!L265))+('Model Data Inputs'!$C$87*(SUM('School Level Inst. Resources'!J265:K265)/'School Level Inst. Resources'!L265))))*T265*M265)</f>
        <v>158745.88397993747</v>
      </c>
      <c r="AK265" s="123">
        <f>(('Model Data Inputs'!$B$91*(('Model Data Inputs'!$B$87*('School Level Inst. Resources'!I265/'School Level Inst. Resources'!L265))+('Model Data Inputs'!$C$87*(SUM('School Level Inst. Resources'!J265:K265)/'School Level Inst. Resources'!L265))))*T265*N265)</f>
        <v>0</v>
      </c>
      <c r="AL265" s="137">
        <f>(K265*'Model Data Inputs'!$B$94)*T265</f>
        <v>0</v>
      </c>
      <c r="AM265" s="137">
        <f>K265*'Model Data Inputs'!$B$95</f>
        <v>0</v>
      </c>
      <c r="AN265" s="137">
        <f t="shared" si="68"/>
        <v>0</v>
      </c>
      <c r="AO265" s="137">
        <f>('School Level Inst. Resources'!K265*'Model Data Inputs'!$B$96)+('School Level Inst. Resources'!J265*'Model Data Inputs'!$B$97)</f>
        <v>0</v>
      </c>
      <c r="AP265" s="137">
        <f>$L265*'Model Data Inputs'!$B$100</f>
        <v>5584.76</v>
      </c>
      <c r="AQ265" s="137">
        <f t="shared" si="69"/>
        <v>1831531.5077151791</v>
      </c>
      <c r="AR265" s="141">
        <f t="shared" si="62"/>
        <v>13118.067796755306</v>
      </c>
    </row>
    <row r="266" spans="1:44" s="40" customFormat="1" ht="12.75" customHeight="1" x14ac:dyDescent="0.2">
      <c r="A266" s="20" t="s">
        <v>78</v>
      </c>
      <c r="B266" s="20" t="s">
        <v>79</v>
      </c>
      <c r="C266" s="20" t="s">
        <v>901</v>
      </c>
      <c r="D266" s="20" t="s">
        <v>902</v>
      </c>
      <c r="E266" s="138" t="s">
        <v>386</v>
      </c>
      <c r="F266" s="138" t="str">
        <f>IF(AND(SUM('School Level ADM'!$F266:$J266)=0,SUM('School Level ADM'!$O266:$R266)=0,'School Level ADM'!$K266&gt;0,'School Level ADM'!$N266&gt;0),"T","F")</f>
        <v>F</v>
      </c>
      <c r="G266" s="138" t="str">
        <f>IF(AND(SUM('School Level ADM'!$M266:$R266)=0,'School Level ADM'!$L266&gt;0),"T","F")</f>
        <v>F</v>
      </c>
      <c r="H266" s="138" t="str">
        <f t="shared" si="56"/>
        <v>M</v>
      </c>
      <c r="I266" s="139">
        <f>IF($F266="T",SUM('School Level ADM'!$F266:$J266),IF($G266="T",SUM('School Level ADM'!$F266:$L266),SUM('School Level ADM'!$F266:$K266,0)))</f>
        <v>0</v>
      </c>
      <c r="J266" s="139">
        <f>'School Level ADM'!$S266-$I266-$K266</f>
        <v>33.898666666666671</v>
      </c>
      <c r="K266" s="139">
        <f>IF(SUM('School Level ADM'!$N266:$R266)='School Level ADM'!$S266,SUM('School Level ADM'!$N266:$R266),IF(OR(SUM('School Level ADM'!$F266:$O266)='School Level ADM'!$S266,SUM('School Level ADM'!$G266:$O266)='School Level ADM'!$S266,SUM('School Level ADM'!$H266:$O266)='School Level ADM'!$S266,SUM('School Level ADM'!$I266:$O266)='School Level ADM'!$S266,SUM('School Level ADM'!$J266:$O266)='School Level ADM'!$S266,SUM('School Level ADM'!$K266:$O266)='School Level ADM'!$S266,SUM('School Level ADM'!$L266:$O266)='School Level ADM'!$S266,SUM('School Level ADM'!$M266:$O266)='School Level ADM'!$S266,SUM('School Level ADM'!$N266:$O266)='School Level ADM'!$S266),0,SUM('School Level ADM'!$O266:$R266)))</f>
        <v>0</v>
      </c>
      <c r="L266" s="139">
        <f t="shared" si="57"/>
        <v>33.898666666666671</v>
      </c>
      <c r="M266" s="24">
        <f>'Student At-Risk and ELL Proxy'!S266</f>
        <v>21</v>
      </c>
      <c r="N266" s="24">
        <f>'Student At-Risk and ELL Proxy'!AH266</f>
        <v>0</v>
      </c>
      <c r="O266" s="136" t="str">
        <f t="shared" si="63"/>
        <v/>
      </c>
      <c r="P266" s="136">
        <f t="shared" si="64"/>
        <v>2.6497725446849367</v>
      </c>
      <c r="Q266" s="136" t="str">
        <f t="shared" si="65"/>
        <v/>
      </c>
      <c r="R266" s="136">
        <f t="shared" si="58"/>
        <v>2.6497725446849367</v>
      </c>
      <c r="S266" s="136">
        <f>IF(SUM(3515.4*((VLOOKUP($A266,'District Level ADM'!$A$4:$F$52,6,FALSE))^-0.327)/'Model Data Inputs'!$B$71)&lt;1,1,(3515.4*((VLOOKUP($A266,'District Level ADM'!$A$4:$F$52,6,FALSE))^-0.327)/'Model Data Inputs'!$B$71))</f>
        <v>3.0788129901494279</v>
      </c>
      <c r="T266" s="136">
        <f>VLOOKUP($A266,'Regional Cost Adjustment'!$A$4:$C$52,3,FALSE)</f>
        <v>1.01</v>
      </c>
      <c r="U266" s="123">
        <f>((($I266/$L266)*'Model Data Inputs'!$B$85)+((SUM(J266:K266)/$L266)*'Model Data Inputs'!$C$85))*$R266*$T266</f>
        <v>14405.799480953143</v>
      </c>
      <c r="V266" s="140">
        <f>((($I266/$L266)*'Model Data Inputs'!$B$86)+((SUM(J266:K266)/$L266)*'Model Data Inputs'!$C$86))*$R266</f>
        <v>3797.4096156904957</v>
      </c>
      <c r="W266" s="140">
        <f t="shared" si="66"/>
        <v>18203.209096643637</v>
      </c>
      <c r="X266" s="140">
        <f t="shared" si="59"/>
        <v>488337.39467167034</v>
      </c>
      <c r="Y266" s="140">
        <f t="shared" si="60"/>
        <v>128727.12275908689</v>
      </c>
      <c r="Z266" s="123">
        <f>IF((SUM(X266:Y266))&lt;(AVERAGE('Elementary Size Adjustment'!$B$66,'Secondary Size Adjustment'!$B$66)),(AVERAGE('Elementary Size Adjustment'!$B$66,'Secondary Size Adjustment'!$B$66)),SUM(X266:Y266))</f>
        <v>617064.51743075717</v>
      </c>
      <c r="AA266" s="137">
        <f>'Model Data Inputs'!$B$71*S266*L266</f>
        <v>19829.854503594965</v>
      </c>
      <c r="AB266" s="137">
        <f>L266*'Model Data Inputs'!$B$72</f>
        <v>847.46666666666681</v>
      </c>
      <c r="AC266" s="137">
        <f>L266*'Model Data Inputs'!$B$73</f>
        <v>8474.6666666666679</v>
      </c>
      <c r="AD266" s="137">
        <f>L266*'Model Data Inputs'!$B$74</f>
        <v>4237.3333333333339</v>
      </c>
      <c r="AE266" s="137">
        <f>$I266*'Model Data Inputs'!$B$76</f>
        <v>0</v>
      </c>
      <c r="AF266" s="137">
        <f>VLOOKUP($J266,'Student Activities MS&amp;HS Tables'!$M$7:$O$1267,3)</f>
        <v>23311.859999999997</v>
      </c>
      <c r="AG266" s="137">
        <f>VLOOKUP($K266,'Student Activities MS&amp;HS Tables'!$I$7:$K$3007,3)</f>
        <v>0</v>
      </c>
      <c r="AH266" s="137">
        <f t="shared" si="61"/>
        <v>23311.859999999997</v>
      </c>
      <c r="AI266" s="123">
        <f t="shared" si="67"/>
        <v>673765.69860101875</v>
      </c>
      <c r="AJ266" s="123">
        <f>(('Model Data Inputs'!$B$90*(('Model Data Inputs'!$B$87*('School Level Inst. Resources'!I266/'School Level Inst. Resources'!L266))+('Model Data Inputs'!$C$87*(SUM('School Level Inst. Resources'!J266:K266)/'School Level Inst. Resources'!L266))))*T266*M266)</f>
        <v>43369.554245384323</v>
      </c>
      <c r="AK266" s="123">
        <f>(('Model Data Inputs'!$B$91*(('Model Data Inputs'!$B$87*('School Level Inst. Resources'!I266/'School Level Inst. Resources'!L266))+('Model Data Inputs'!$C$87*(SUM('School Level Inst. Resources'!J266:K266)/'School Level Inst. Resources'!L266))))*T266*N266)</f>
        <v>0</v>
      </c>
      <c r="AL266" s="137">
        <f>(K266*'Model Data Inputs'!$B$94)*T266</f>
        <v>0</v>
      </c>
      <c r="AM266" s="137">
        <f>K266*'Model Data Inputs'!$B$95</f>
        <v>0</v>
      </c>
      <c r="AN266" s="137">
        <f t="shared" si="68"/>
        <v>0</v>
      </c>
      <c r="AO266" s="137">
        <f>('School Level Inst. Resources'!K266*'Model Data Inputs'!$B$96)+('School Level Inst. Resources'!J266*'Model Data Inputs'!$B$97)</f>
        <v>847.46666666666681</v>
      </c>
      <c r="AP266" s="137">
        <f>$L266*'Model Data Inputs'!$B$100</f>
        <v>1355.9466666666667</v>
      </c>
      <c r="AQ266" s="137">
        <f t="shared" si="69"/>
        <v>719338.66617973638</v>
      </c>
      <c r="AR266" s="141">
        <f t="shared" si="62"/>
        <v>21220.264302816326</v>
      </c>
    </row>
    <row r="267" spans="1:44" s="40" customFormat="1" ht="12.75" customHeight="1" x14ac:dyDescent="0.2">
      <c r="A267" s="20" t="s">
        <v>78</v>
      </c>
      <c r="B267" s="20" t="s">
        <v>79</v>
      </c>
      <c r="C267" s="20" t="s">
        <v>903</v>
      </c>
      <c r="D267" s="20" t="s">
        <v>904</v>
      </c>
      <c r="E267" s="138" t="s">
        <v>389</v>
      </c>
      <c r="F267" s="138" t="str">
        <f>IF(AND(SUM('School Level ADM'!$F267:$J267)=0,SUM('School Level ADM'!$O267:$R267)=0,'School Level ADM'!$K267&gt;0,'School Level ADM'!$N267&gt;0),"T","F")</f>
        <v>F</v>
      </c>
      <c r="G267" s="138" t="str">
        <f>IF(AND(SUM('School Level ADM'!$M267:$R267)=0,'School Level ADM'!$L267&gt;0),"T","F")</f>
        <v>F</v>
      </c>
      <c r="H267" s="138" t="str">
        <f t="shared" si="56"/>
        <v>H</v>
      </c>
      <c r="I267" s="139">
        <f>IF($F267="T",SUM('School Level ADM'!$F267:$J267),IF($G267="T",SUM('School Level ADM'!$F267:$L267),SUM('School Level ADM'!$F267:$K267,0)))</f>
        <v>0</v>
      </c>
      <c r="J267" s="139">
        <f>'School Level ADM'!$S267-$I267-$K267</f>
        <v>0</v>
      </c>
      <c r="K267" s="139">
        <f>IF(SUM('School Level ADM'!$N267:$R267)='School Level ADM'!$S267,SUM('School Level ADM'!$N267:$R267),IF(OR(SUM('School Level ADM'!$F267:$O267)='School Level ADM'!$S267,SUM('School Level ADM'!$G267:$O267)='School Level ADM'!$S267,SUM('School Level ADM'!$H267:$O267)='School Level ADM'!$S267,SUM('School Level ADM'!$I267:$O267)='School Level ADM'!$S267,SUM('School Level ADM'!$J267:$O267)='School Level ADM'!$S267,SUM('School Level ADM'!$K267:$O267)='School Level ADM'!$S267,SUM('School Level ADM'!$L267:$O267)='School Level ADM'!$S267,SUM('School Level ADM'!$M267:$O267)='School Level ADM'!$S267,SUM('School Level ADM'!$N267:$O267)='School Level ADM'!$S267),0,SUM('School Level ADM'!$O267:$R267)))</f>
        <v>67.343666666666664</v>
      </c>
      <c r="L267" s="139">
        <f t="shared" si="57"/>
        <v>67.343666666666664</v>
      </c>
      <c r="M267" s="24">
        <f>'Student At-Risk and ELL Proxy'!S267</f>
        <v>19</v>
      </c>
      <c r="N267" s="24">
        <f>'Student At-Risk and ELL Proxy'!AH267</f>
        <v>0</v>
      </c>
      <c r="O267" s="136" t="str">
        <f t="shared" si="63"/>
        <v/>
      </c>
      <c r="P267" s="136">
        <f t="shared" si="64"/>
        <v>2.0824305765640698</v>
      </c>
      <c r="Q267" s="136" t="str">
        <f t="shared" si="65"/>
        <v/>
      </c>
      <c r="R267" s="136">
        <f t="shared" si="58"/>
        <v>2.0824305765640698</v>
      </c>
      <c r="S267" s="136">
        <f>IF(SUM(3515.4*((VLOOKUP($A267,'District Level ADM'!$A$4:$F$52,6,FALSE))^-0.327)/'Model Data Inputs'!$B$71)&lt;1,1,(3515.4*((VLOOKUP($A267,'District Level ADM'!$A$4:$F$52,6,FALSE))^-0.327)/'Model Data Inputs'!$B$71))</f>
        <v>3.0788129901494279</v>
      </c>
      <c r="T267" s="136">
        <f>VLOOKUP($A267,'Regional Cost Adjustment'!$A$4:$C$52,3,FALSE)</f>
        <v>1.01</v>
      </c>
      <c r="U267" s="123">
        <f>((($I267/$L267)*'Model Data Inputs'!$B$85)+((SUM(J267:K267)/$L267)*'Model Data Inputs'!$C$85))*$R267*$T267</f>
        <v>11321.378274207524</v>
      </c>
      <c r="V267" s="140">
        <f>((($I267/$L267)*'Model Data Inputs'!$B$86)+((SUM(J267:K267)/$L267)*'Model Data Inputs'!$C$86))*$R267</f>
        <v>2984.3474343917924</v>
      </c>
      <c r="W267" s="140">
        <f t="shared" si="66"/>
        <v>14305.725708599315</v>
      </c>
      <c r="X267" s="140">
        <f t="shared" si="59"/>
        <v>762423.12470547343</v>
      </c>
      <c r="Y267" s="140">
        <f t="shared" si="60"/>
        <v>200976.89883920274</v>
      </c>
      <c r="Z267" s="123">
        <f>IF((SUM(X267:Y267))&lt;(AVERAGE('Elementary Size Adjustment'!$B$66,'Secondary Size Adjustment'!$B$66)),(AVERAGE('Elementary Size Adjustment'!$B$66,'Secondary Size Adjustment'!$B$66)),SUM(X267:Y267))</f>
        <v>963400.02354467614</v>
      </c>
      <c r="AA267" s="137">
        <f>'Model Data Inputs'!$B$71*S267*L267</f>
        <v>39394.325590149005</v>
      </c>
      <c r="AB267" s="137">
        <f>L267*'Model Data Inputs'!$B$72</f>
        <v>1683.5916666666667</v>
      </c>
      <c r="AC267" s="137">
        <f>L267*'Model Data Inputs'!$B$73</f>
        <v>16835.916666666664</v>
      </c>
      <c r="AD267" s="137">
        <f>L267*'Model Data Inputs'!$B$74</f>
        <v>8417.9583333333321</v>
      </c>
      <c r="AE267" s="137">
        <f>$I267*'Model Data Inputs'!$B$76</f>
        <v>0</v>
      </c>
      <c r="AF267" s="137">
        <f>VLOOKUP($J267,'Student Activities MS&amp;HS Tables'!$M$7:$O$1267,3)</f>
        <v>0</v>
      </c>
      <c r="AG267" s="137">
        <f>VLOOKUP($K267,'Student Activities MS&amp;HS Tables'!$I$7:$K$3007,3)</f>
        <v>115120.07</v>
      </c>
      <c r="AH267" s="137">
        <f t="shared" si="61"/>
        <v>115120.07</v>
      </c>
      <c r="AI267" s="123">
        <f t="shared" si="67"/>
        <v>1144851.8858014918</v>
      </c>
      <c r="AJ267" s="123">
        <f>(('Model Data Inputs'!$B$90*(('Model Data Inputs'!$B$87*('School Level Inst. Resources'!I267/'School Level Inst. Resources'!L267))+('Model Data Inputs'!$C$87*(SUM('School Level Inst. Resources'!J267:K267)/'School Level Inst. Resources'!L267))))*T267*M267)</f>
        <v>39239.120507728672</v>
      </c>
      <c r="AK267" s="123">
        <f>(('Model Data Inputs'!$B$91*(('Model Data Inputs'!$B$87*('School Level Inst. Resources'!I267/'School Level Inst. Resources'!L267))+('Model Data Inputs'!$C$87*(SUM('School Level Inst. Resources'!J267:K267)/'School Level Inst. Resources'!L267))))*T267*N267)</f>
        <v>0</v>
      </c>
      <c r="AL267" s="137">
        <f>(K267*'Model Data Inputs'!$B$94)*T267</f>
        <v>11227.26730778835</v>
      </c>
      <c r="AM267" s="137">
        <f>K267*'Model Data Inputs'!$B$95</f>
        <v>2822.361284858333</v>
      </c>
      <c r="AN267" s="137">
        <f t="shared" si="68"/>
        <v>14049.628592646683</v>
      </c>
      <c r="AO267" s="137">
        <f>('School Level Inst. Resources'!K267*'Model Data Inputs'!$B$96)+('School Level Inst. Resources'!J267*'Model Data Inputs'!$B$97)</f>
        <v>6734.3666666666668</v>
      </c>
      <c r="AP267" s="137">
        <f>$L267*'Model Data Inputs'!$B$100</f>
        <v>2693.7466666666664</v>
      </c>
      <c r="AQ267" s="137">
        <f t="shared" si="69"/>
        <v>1207568.7482352005</v>
      </c>
      <c r="AR267" s="141">
        <f t="shared" si="62"/>
        <v>17931.437475959639</v>
      </c>
    </row>
    <row r="268" spans="1:44" s="40" customFormat="1" ht="12.75" customHeight="1" x14ac:dyDescent="0.2">
      <c r="A268" s="20" t="s">
        <v>80</v>
      </c>
      <c r="B268" s="20" t="s">
        <v>81</v>
      </c>
      <c r="C268" s="20" t="s">
        <v>905</v>
      </c>
      <c r="D268" s="20" t="s">
        <v>906</v>
      </c>
      <c r="E268" s="138" t="s">
        <v>354</v>
      </c>
      <c r="F268" s="138" t="str">
        <f>IF(AND(SUM('School Level ADM'!$F268:$J268)=0,SUM('School Level ADM'!$O268:$R268)=0,'School Level ADM'!$K268&gt;0,'School Level ADM'!$N268&gt;0),"T","F")</f>
        <v>F</v>
      </c>
      <c r="G268" s="138" t="str">
        <f>IF(AND(SUM('School Level ADM'!$M268:$R268)=0,'School Level ADM'!$L268&gt;0),"T","F")</f>
        <v>F</v>
      </c>
      <c r="H268" s="138" t="str">
        <f t="shared" si="56"/>
        <v>E</v>
      </c>
      <c r="I268" s="139">
        <f>IF($F268="T",SUM('School Level ADM'!$F268:$J268),IF($G268="T",SUM('School Level ADM'!$F268:$L268),SUM('School Level ADM'!$F268:$K268,0)))</f>
        <v>200.20466666666667</v>
      </c>
      <c r="J268" s="139">
        <f>'School Level ADM'!$S268-$I268-$K268</f>
        <v>0</v>
      </c>
      <c r="K268" s="139">
        <f>IF(SUM('School Level ADM'!$N268:$R268)='School Level ADM'!$S268,SUM('School Level ADM'!$N268:$R268),IF(OR(SUM('School Level ADM'!$F268:$O268)='School Level ADM'!$S268,SUM('School Level ADM'!$G268:$O268)='School Level ADM'!$S268,SUM('School Level ADM'!$H268:$O268)='School Level ADM'!$S268,SUM('School Level ADM'!$I268:$O268)='School Level ADM'!$S268,SUM('School Level ADM'!$J268:$O268)='School Level ADM'!$S268,SUM('School Level ADM'!$K268:$O268)='School Level ADM'!$S268,SUM('School Level ADM'!$L268:$O268)='School Level ADM'!$S268,SUM('School Level ADM'!$M268:$O268)='School Level ADM'!$S268,SUM('School Level ADM'!$N268:$O268)='School Level ADM'!$S268),0,SUM('School Level ADM'!$O268:$R268)))</f>
        <v>0</v>
      </c>
      <c r="L268" s="139">
        <f t="shared" si="57"/>
        <v>200.20466666666667</v>
      </c>
      <c r="M268" s="24">
        <f>'Student At-Risk and ELL Proxy'!S268</f>
        <v>28</v>
      </c>
      <c r="N268" s="24">
        <f>'Student At-Risk and ELL Proxy'!AH268</f>
        <v>0</v>
      </c>
      <c r="O268" s="136">
        <f t="shared" si="63"/>
        <v>1.1658674582411332</v>
      </c>
      <c r="P268" s="136" t="str">
        <f t="shared" si="64"/>
        <v/>
      </c>
      <c r="Q268" s="136" t="str">
        <f t="shared" si="65"/>
        <v/>
      </c>
      <c r="R268" s="136">
        <f t="shared" si="58"/>
        <v>1.1658674582411332</v>
      </c>
      <c r="S268" s="136">
        <f>IF(SUM(3515.4*((VLOOKUP($A268,'District Level ADM'!$A$4:$F$52,6,FALSE))^-0.327)/'Model Data Inputs'!$B$71)&lt;1,1,(3515.4*((VLOOKUP($A268,'District Level ADM'!$A$4:$F$52,6,FALSE))^-0.327)/'Model Data Inputs'!$B$71))</f>
        <v>1.9750658535913488</v>
      </c>
      <c r="T268" s="136">
        <f>VLOOKUP($A268,'Regional Cost Adjustment'!$A$4:$C$52,3,FALSE)</f>
        <v>0.98</v>
      </c>
      <c r="U268" s="123">
        <f>((($I268/$L268)*'Model Data Inputs'!$B$85)+((SUM(J268:K268)/$L268)*'Model Data Inputs'!$C$85))*$R268*$T268</f>
        <v>7275.2880176927029</v>
      </c>
      <c r="V268" s="140">
        <f>((($I268/$L268)*'Model Data Inputs'!$B$86)+((SUM(J268:K268)/$L268)*'Model Data Inputs'!$C$86))*$R268</f>
        <v>1973.3761054155004</v>
      </c>
      <c r="W268" s="140">
        <f t="shared" si="66"/>
        <v>9248.6641231082031</v>
      </c>
      <c r="X268" s="140">
        <f t="shared" si="59"/>
        <v>1456546.6124861618</v>
      </c>
      <c r="Y268" s="140">
        <f t="shared" si="60"/>
        <v>395079.10539267515</v>
      </c>
      <c r="Z268" s="123">
        <f>IF((SUM(X268:Y268))&lt;(AVERAGE('Elementary Size Adjustment'!$B$66,'Secondary Size Adjustment'!$B$66)),(AVERAGE('Elementary Size Adjustment'!$B$66,'Secondary Size Adjustment'!$B$66)),SUM(X268:Y268))</f>
        <v>1851625.7178788369</v>
      </c>
      <c r="AA268" s="137">
        <f>'Model Data Inputs'!$B$71*S268*L268</f>
        <v>75129.306163964575</v>
      </c>
      <c r="AB268" s="137">
        <f>L268*'Model Data Inputs'!$B$72</f>
        <v>5005.1166666666668</v>
      </c>
      <c r="AC268" s="137">
        <f>L268*'Model Data Inputs'!$B$73</f>
        <v>50051.166666666664</v>
      </c>
      <c r="AD268" s="137">
        <f>L268*'Model Data Inputs'!$B$74</f>
        <v>25025.583333333332</v>
      </c>
      <c r="AE268" s="137">
        <f>$I268*'Model Data Inputs'!$B$76</f>
        <v>4762.8690200000001</v>
      </c>
      <c r="AF268" s="137">
        <f>VLOOKUP($J268,'Student Activities MS&amp;HS Tables'!$M$7:$O$1267,3)</f>
        <v>0</v>
      </c>
      <c r="AG268" s="137">
        <f>VLOOKUP($K268,'Student Activities MS&amp;HS Tables'!$I$7:$K$3007,3)</f>
        <v>0</v>
      </c>
      <c r="AH268" s="137">
        <f t="shared" si="61"/>
        <v>4762.8690200000001</v>
      </c>
      <c r="AI268" s="123">
        <f t="shared" si="67"/>
        <v>2011599.7597294683</v>
      </c>
      <c r="AJ268" s="123">
        <f>(('Model Data Inputs'!$B$90*(('Model Data Inputs'!$B$87*('School Level Inst. Resources'!I268/'School Level Inst. Resources'!L268))+('Model Data Inputs'!$C$87*(SUM('School Level Inst. Resources'!J268:K268)/'School Level Inst. Resources'!L268))))*T268*M268)</f>
        <v>66351.668795270132</v>
      </c>
      <c r="AK268" s="123">
        <f>(('Model Data Inputs'!$B$91*(('Model Data Inputs'!$B$87*('School Level Inst. Resources'!I268/'School Level Inst. Resources'!L268))+('Model Data Inputs'!$C$87*(SUM('School Level Inst. Resources'!J268:K268)/'School Level Inst. Resources'!L268))))*T268*N268)</f>
        <v>0</v>
      </c>
      <c r="AL268" s="137">
        <f>(K268*'Model Data Inputs'!$B$94)*T268</f>
        <v>0</v>
      </c>
      <c r="AM268" s="137">
        <f>K268*'Model Data Inputs'!$B$95</f>
        <v>0</v>
      </c>
      <c r="AN268" s="137">
        <f t="shared" si="68"/>
        <v>0</v>
      </c>
      <c r="AO268" s="137">
        <f>('School Level Inst. Resources'!K268*'Model Data Inputs'!$B$96)+('School Level Inst. Resources'!J268*'Model Data Inputs'!$B$97)</f>
        <v>0</v>
      </c>
      <c r="AP268" s="137">
        <f>$L268*'Model Data Inputs'!$B$100</f>
        <v>8008.1866666666665</v>
      </c>
      <c r="AQ268" s="137">
        <f t="shared" si="69"/>
        <v>2085959.6151914052</v>
      </c>
      <c r="AR268" s="141">
        <f t="shared" si="62"/>
        <v>10419.13582696077</v>
      </c>
    </row>
    <row r="269" spans="1:44" s="40" customFormat="1" ht="12.75" customHeight="1" x14ac:dyDescent="0.2">
      <c r="A269" s="20" t="s">
        <v>80</v>
      </c>
      <c r="B269" s="20" t="s">
        <v>81</v>
      </c>
      <c r="C269" s="20" t="s">
        <v>907</v>
      </c>
      <c r="D269" s="20" t="s">
        <v>908</v>
      </c>
      <c r="E269" s="138" t="s">
        <v>354</v>
      </c>
      <c r="F269" s="138" t="str">
        <f>IF(AND(SUM('School Level ADM'!$F269:$J269)=0,SUM('School Level ADM'!$O269:$R269)=0,'School Level ADM'!$K269&gt;0,'School Level ADM'!$N269&gt;0),"T","F")</f>
        <v>F</v>
      </c>
      <c r="G269" s="138" t="str">
        <f>IF(AND(SUM('School Level ADM'!$M269:$R269)=0,'School Level ADM'!$L269&gt;0),"T","F")</f>
        <v>F</v>
      </c>
      <c r="H269" s="138" t="str">
        <f t="shared" si="56"/>
        <v>E</v>
      </c>
      <c r="I269" s="139">
        <f>IF($F269="T",SUM('School Level ADM'!$F269:$J269),IF($G269="T",SUM('School Level ADM'!$F269:$L269),SUM('School Level ADM'!$F269:$K269,0)))</f>
        <v>4.3716666666666661</v>
      </c>
      <c r="J269" s="139">
        <f>'School Level ADM'!$S269-$I269-$K269</f>
        <v>0</v>
      </c>
      <c r="K269" s="139">
        <f>IF(SUM('School Level ADM'!$N269:$R269)='School Level ADM'!$S269,SUM('School Level ADM'!$N269:$R269),IF(OR(SUM('School Level ADM'!$F269:$O269)='School Level ADM'!$S269,SUM('School Level ADM'!$G269:$O269)='School Level ADM'!$S269,SUM('School Level ADM'!$H269:$O269)='School Level ADM'!$S269,SUM('School Level ADM'!$I269:$O269)='School Level ADM'!$S269,SUM('School Level ADM'!$J269:$O269)='School Level ADM'!$S269,SUM('School Level ADM'!$K269:$O269)='School Level ADM'!$S269,SUM('School Level ADM'!$L269:$O269)='School Level ADM'!$S269,SUM('School Level ADM'!$M269:$O269)='School Level ADM'!$S269,SUM('School Level ADM'!$N269:$O269)='School Level ADM'!$S269),0,SUM('School Level ADM'!$O269:$R269)))</f>
        <v>0</v>
      </c>
      <c r="L269" s="139">
        <f t="shared" si="57"/>
        <v>4.3716666666666661</v>
      </c>
      <c r="M269" s="24">
        <f>'Student At-Risk and ELL Proxy'!S269</f>
        <v>5</v>
      </c>
      <c r="N269" s="24">
        <f>'Student At-Risk and ELL Proxy'!AH269</f>
        <v>1</v>
      </c>
      <c r="O269" s="136">
        <f t="shared" si="63"/>
        <v>5.3414404211064301</v>
      </c>
      <c r="P269" s="136" t="str">
        <f t="shared" si="64"/>
        <v/>
      </c>
      <c r="Q269" s="136" t="str">
        <f t="shared" si="65"/>
        <v/>
      </c>
      <c r="R269" s="136">
        <f t="shared" si="58"/>
        <v>5.3414404211064301</v>
      </c>
      <c r="S269" s="136">
        <f>IF(SUM(3515.4*((VLOOKUP($A269,'District Level ADM'!$A$4:$F$52,6,FALSE))^-0.327)/'Model Data Inputs'!$B$71)&lt;1,1,(3515.4*((VLOOKUP($A269,'District Level ADM'!$A$4:$F$52,6,FALSE))^-0.327)/'Model Data Inputs'!$B$71))</f>
        <v>1.9750658535913488</v>
      </c>
      <c r="T269" s="136">
        <f>VLOOKUP($A269,'Regional Cost Adjustment'!$A$4:$C$52,3,FALSE)</f>
        <v>0.98</v>
      </c>
      <c r="U269" s="123">
        <f>((($I269/$L269)*'Model Data Inputs'!$B$85)+((SUM(J269:K269)/$L269)*'Model Data Inputs'!$C$85))*$R269*$T269</f>
        <v>33331.848503192086</v>
      </c>
      <c r="V269" s="140">
        <f>((($I269/$L269)*'Model Data Inputs'!$B$86)+((SUM(J269:K269)/$L269)*'Model Data Inputs'!$C$86))*$R269</f>
        <v>9041.0542133270847</v>
      </c>
      <c r="W269" s="140">
        <f t="shared" si="66"/>
        <v>42372.902716519173</v>
      </c>
      <c r="X269" s="140">
        <f t="shared" si="59"/>
        <v>145715.73103978805</v>
      </c>
      <c r="Y269" s="140">
        <f t="shared" si="60"/>
        <v>39524.475335928233</v>
      </c>
      <c r="Z269" s="123">
        <f>IF((SUM(X269:Y269))&lt;(AVERAGE('Elementary Size Adjustment'!$B$66,'Secondary Size Adjustment'!$B$66)),(AVERAGE('Elementary Size Adjustment'!$B$66,'Secondary Size Adjustment'!$B$66)),SUM(X269:Y269))</f>
        <v>185240.20637571628</v>
      </c>
      <c r="AA269" s="137">
        <f>'Model Data Inputs'!$B$71*S269*L269</f>
        <v>1640.5226157572006</v>
      </c>
      <c r="AB269" s="137">
        <f>L269*'Model Data Inputs'!$B$72</f>
        <v>109.29166666666666</v>
      </c>
      <c r="AC269" s="137">
        <f>L269*'Model Data Inputs'!$B$73</f>
        <v>1092.9166666666665</v>
      </c>
      <c r="AD269" s="137">
        <f>L269*'Model Data Inputs'!$B$74</f>
        <v>546.45833333333326</v>
      </c>
      <c r="AE269" s="137">
        <f>$I269*'Model Data Inputs'!$B$76</f>
        <v>104.00194999999998</v>
      </c>
      <c r="AF269" s="137">
        <f>VLOOKUP($J269,'Student Activities MS&amp;HS Tables'!$M$7:$O$1267,3)</f>
        <v>0</v>
      </c>
      <c r="AG269" s="137">
        <f>VLOOKUP($K269,'Student Activities MS&amp;HS Tables'!$I$7:$K$3007,3)</f>
        <v>0</v>
      </c>
      <c r="AH269" s="137">
        <f t="shared" si="61"/>
        <v>104.00194999999998</v>
      </c>
      <c r="AI269" s="123">
        <f t="shared" si="67"/>
        <v>188733.39760814013</v>
      </c>
      <c r="AJ269" s="123">
        <f>(('Model Data Inputs'!$B$90*(('Model Data Inputs'!$B$87*('School Level Inst. Resources'!I269/'School Level Inst. Resources'!L269))+('Model Data Inputs'!$C$87*(SUM('School Level Inst. Resources'!J269:K269)/'School Level Inst. Resources'!L269))))*T269*M269)</f>
        <v>11848.512284869666</v>
      </c>
      <c r="AK269" s="123">
        <f>(('Model Data Inputs'!$B$91*(('Model Data Inputs'!$B$87*('School Level Inst. Resources'!I269/'School Level Inst. Resources'!L269))+('Model Data Inputs'!$C$87*(SUM('School Level Inst. Resources'!J269:K269)/'School Level Inst. Resources'!L269))))*T269*N269)</f>
        <v>2369.7024569739333</v>
      </c>
      <c r="AL269" s="137">
        <f>(K269*'Model Data Inputs'!$B$94)*T269</f>
        <v>0</v>
      </c>
      <c r="AM269" s="137">
        <f>K269*'Model Data Inputs'!$B$95</f>
        <v>0</v>
      </c>
      <c r="AN269" s="137">
        <f t="shared" si="68"/>
        <v>0</v>
      </c>
      <c r="AO269" s="137">
        <f>('School Level Inst. Resources'!K269*'Model Data Inputs'!$B$96)+('School Level Inst. Resources'!J269*'Model Data Inputs'!$B$97)</f>
        <v>0</v>
      </c>
      <c r="AP269" s="137">
        <f>$L269*'Model Data Inputs'!$B$100</f>
        <v>174.86666666666665</v>
      </c>
      <c r="AQ269" s="137">
        <f t="shared" si="69"/>
        <v>203126.47901665041</v>
      </c>
      <c r="AR269" s="141">
        <f t="shared" si="62"/>
        <v>46464.310869229987</v>
      </c>
    </row>
    <row r="270" spans="1:44" s="40" customFormat="1" ht="12.75" customHeight="1" x14ac:dyDescent="0.2">
      <c r="A270" s="20" t="s">
        <v>80</v>
      </c>
      <c r="B270" s="20" t="s">
        <v>81</v>
      </c>
      <c r="C270" s="20" t="s">
        <v>909</v>
      </c>
      <c r="D270" s="20" t="s">
        <v>910</v>
      </c>
      <c r="E270" s="138" t="s">
        <v>354</v>
      </c>
      <c r="F270" s="138" t="str">
        <f>IF(AND(SUM('School Level ADM'!$F270:$J270)=0,SUM('School Level ADM'!$O270:$R270)=0,'School Level ADM'!$K270&gt;0,'School Level ADM'!$N270&gt;0),"T","F")</f>
        <v>F</v>
      </c>
      <c r="G270" s="138" t="str">
        <f>IF(AND(SUM('School Level ADM'!$M270:$R270)=0,'School Level ADM'!$L270&gt;0),"T","F")</f>
        <v>F</v>
      </c>
      <c r="H270" s="138" t="str">
        <f t="shared" si="56"/>
        <v>E</v>
      </c>
      <c r="I270" s="139">
        <f>IF($F270="T",SUM('School Level ADM'!$F270:$J270),IF($G270="T",SUM('School Level ADM'!$F270:$L270),SUM('School Level ADM'!$F270:$K270,0)))</f>
        <v>247.49</v>
      </c>
      <c r="J270" s="139">
        <f>'School Level ADM'!$S270-$I270-$K270</f>
        <v>0</v>
      </c>
      <c r="K270" s="139">
        <f>IF(SUM('School Level ADM'!$N270:$R270)='School Level ADM'!$S270,SUM('School Level ADM'!$N270:$R270),IF(OR(SUM('School Level ADM'!$F270:$O270)='School Level ADM'!$S270,SUM('School Level ADM'!$G270:$O270)='School Level ADM'!$S270,SUM('School Level ADM'!$H270:$O270)='School Level ADM'!$S270,SUM('School Level ADM'!$I270:$O270)='School Level ADM'!$S270,SUM('School Level ADM'!$J270:$O270)='School Level ADM'!$S270,SUM('School Level ADM'!$K270:$O270)='School Level ADM'!$S270,SUM('School Level ADM'!$L270:$O270)='School Level ADM'!$S270,SUM('School Level ADM'!$M270:$O270)='School Level ADM'!$S270,SUM('School Level ADM'!$N270:$O270)='School Level ADM'!$S270),0,SUM('School Level ADM'!$O270:$R270)))</f>
        <v>0</v>
      </c>
      <c r="L270" s="139">
        <f t="shared" si="57"/>
        <v>247.49</v>
      </c>
      <c r="M270" s="24">
        <f>'Student At-Risk and ELL Proxy'!S270</f>
        <v>75</v>
      </c>
      <c r="N270" s="24">
        <f>'Student At-Risk and ELL Proxy'!AH270</f>
        <v>0</v>
      </c>
      <c r="O270" s="136">
        <f t="shared" si="63"/>
        <v>1.0715192155441606</v>
      </c>
      <c r="P270" s="136" t="str">
        <f t="shared" si="64"/>
        <v/>
      </c>
      <c r="Q270" s="136" t="str">
        <f t="shared" si="65"/>
        <v/>
      </c>
      <c r="R270" s="136">
        <f t="shared" si="58"/>
        <v>1.0715192155441606</v>
      </c>
      <c r="S270" s="136">
        <f>IF(SUM(3515.4*((VLOOKUP($A270,'District Level ADM'!$A$4:$F$52,6,FALSE))^-0.327)/'Model Data Inputs'!$B$71)&lt;1,1,(3515.4*((VLOOKUP($A270,'District Level ADM'!$A$4:$F$52,6,FALSE))^-0.327)/'Model Data Inputs'!$B$71))</f>
        <v>1.9750658535913488</v>
      </c>
      <c r="T270" s="136">
        <f>VLOOKUP($A270,'Regional Cost Adjustment'!$A$4:$C$52,3,FALSE)</f>
        <v>0.98</v>
      </c>
      <c r="U270" s="123">
        <f>((($I270/$L270)*'Model Data Inputs'!$B$85)+((SUM(J270:K270)/$L270)*'Model Data Inputs'!$C$85))*$R270*$T270</f>
        <v>6686.5327224559778</v>
      </c>
      <c r="V270" s="140">
        <f>((($I270/$L270)*'Model Data Inputs'!$B$86)+((SUM(J270:K270)/$L270)*'Model Data Inputs'!$C$86))*$R270</f>
        <v>1813.6799354863451</v>
      </c>
      <c r="W270" s="140">
        <f t="shared" si="66"/>
        <v>8500.2126579423239</v>
      </c>
      <c r="X270" s="140">
        <f t="shared" si="59"/>
        <v>1654849.98348063</v>
      </c>
      <c r="Y270" s="140">
        <f t="shared" si="60"/>
        <v>448867.64723351557</v>
      </c>
      <c r="Z270" s="123">
        <f>IF((SUM(X270:Y270))&lt;(AVERAGE('Elementary Size Adjustment'!$B$66,'Secondary Size Adjustment'!$B$66)),(AVERAGE('Elementary Size Adjustment'!$B$66,'Secondary Size Adjustment'!$B$66)),SUM(X270:Y270))</f>
        <v>2103717.6307141455</v>
      </c>
      <c r="AA270" s="137">
        <f>'Model Data Inputs'!$B$71*S270*L270</f>
        <v>92873.719140011352</v>
      </c>
      <c r="AB270" s="137">
        <f>L270*'Model Data Inputs'!$B$72</f>
        <v>6187.25</v>
      </c>
      <c r="AC270" s="137">
        <f>L270*'Model Data Inputs'!$B$73</f>
        <v>61872.5</v>
      </c>
      <c r="AD270" s="137">
        <f>L270*'Model Data Inputs'!$B$74</f>
        <v>30936.25</v>
      </c>
      <c r="AE270" s="137">
        <f>$I270*'Model Data Inputs'!$B$76</f>
        <v>5887.7870999999996</v>
      </c>
      <c r="AF270" s="137">
        <f>VLOOKUP($J270,'Student Activities MS&amp;HS Tables'!$M$7:$O$1267,3)</f>
        <v>0</v>
      </c>
      <c r="AG270" s="137">
        <f>VLOOKUP($K270,'Student Activities MS&amp;HS Tables'!$I$7:$K$3007,3)</f>
        <v>0</v>
      </c>
      <c r="AH270" s="137">
        <f t="shared" si="61"/>
        <v>5887.7870999999996</v>
      </c>
      <c r="AI270" s="123">
        <f t="shared" si="67"/>
        <v>2301475.1369541567</v>
      </c>
      <c r="AJ270" s="123">
        <f>(('Model Data Inputs'!$B$90*(('Model Data Inputs'!$B$87*('School Level Inst. Resources'!I270/'School Level Inst. Resources'!L270))+('Model Data Inputs'!$C$87*(SUM('School Level Inst. Resources'!J270:K270)/'School Level Inst. Resources'!L270))))*T270*M270)</f>
        <v>177727.68427304499</v>
      </c>
      <c r="AK270" s="123">
        <f>(('Model Data Inputs'!$B$91*(('Model Data Inputs'!$B$87*('School Level Inst. Resources'!I270/'School Level Inst. Resources'!L270))+('Model Data Inputs'!$C$87*(SUM('School Level Inst. Resources'!J270:K270)/'School Level Inst. Resources'!L270))))*T270*N270)</f>
        <v>0</v>
      </c>
      <c r="AL270" s="137">
        <f>(K270*'Model Data Inputs'!$B$94)*T270</f>
        <v>0</v>
      </c>
      <c r="AM270" s="137">
        <f>K270*'Model Data Inputs'!$B$95</f>
        <v>0</v>
      </c>
      <c r="AN270" s="137">
        <f t="shared" si="68"/>
        <v>0</v>
      </c>
      <c r="AO270" s="137">
        <f>('School Level Inst. Resources'!K270*'Model Data Inputs'!$B$96)+('School Level Inst. Resources'!J270*'Model Data Inputs'!$B$97)</f>
        <v>0</v>
      </c>
      <c r="AP270" s="137">
        <f>$L270*'Model Data Inputs'!$B$100</f>
        <v>9899.6</v>
      </c>
      <c r="AQ270" s="137">
        <f t="shared" si="69"/>
        <v>2489102.4212272018</v>
      </c>
      <c r="AR270" s="141">
        <f t="shared" si="62"/>
        <v>10057.385838729653</v>
      </c>
    </row>
    <row r="271" spans="1:44" s="40" customFormat="1" ht="12.75" customHeight="1" x14ac:dyDescent="0.2">
      <c r="A271" s="20" t="s">
        <v>80</v>
      </c>
      <c r="B271" s="20" t="s">
        <v>81</v>
      </c>
      <c r="C271" s="20" t="s">
        <v>911</v>
      </c>
      <c r="D271" s="20" t="s">
        <v>912</v>
      </c>
      <c r="E271" s="138" t="s">
        <v>422</v>
      </c>
      <c r="F271" s="138" t="str">
        <f>IF(AND(SUM('School Level ADM'!$F271:$J271)=0,SUM('School Level ADM'!$O271:$R271)=0,'School Level ADM'!$K271&gt;0,'School Level ADM'!$N271&gt;0),"T","F")</f>
        <v>F</v>
      </c>
      <c r="G271" s="138" t="str">
        <f>IF(AND(SUM('School Level ADM'!$M271:$R271)=0,'School Level ADM'!$L271&gt;0),"T","F")</f>
        <v>F</v>
      </c>
      <c r="H271" s="138" t="str">
        <f t="shared" si="56"/>
        <v>H</v>
      </c>
      <c r="I271" s="139">
        <f>IF($F271="T",SUM('School Level ADM'!$F271:$J271),IF($G271="T",SUM('School Level ADM'!$F271:$L271),SUM('School Level ADM'!$F271:$K271,0)))</f>
        <v>0</v>
      </c>
      <c r="J271" s="139">
        <f>'School Level ADM'!$S271-$I271-$K271</f>
        <v>0</v>
      </c>
      <c r="K271" s="139">
        <f>IF(SUM('School Level ADM'!$N271:$R271)='School Level ADM'!$S271,SUM('School Level ADM'!$N271:$R271),IF(OR(SUM('School Level ADM'!$F271:$O271)='School Level ADM'!$S271,SUM('School Level ADM'!$G271:$O271)='School Level ADM'!$S271,SUM('School Level ADM'!$H271:$O271)='School Level ADM'!$S271,SUM('School Level ADM'!$I271:$O271)='School Level ADM'!$S271,SUM('School Level ADM'!$J271:$O271)='School Level ADM'!$S271,SUM('School Level ADM'!$K271:$O271)='School Level ADM'!$S271,SUM('School Level ADM'!$L271:$O271)='School Level ADM'!$S271,SUM('School Level ADM'!$M271:$O271)='School Level ADM'!$S271,SUM('School Level ADM'!$N271:$O271)='School Level ADM'!$S271),0,SUM('School Level ADM'!$O271:$R271)))</f>
        <v>2.0743333333333336</v>
      </c>
      <c r="L271" s="139">
        <f t="shared" si="57"/>
        <v>2.0743333333333336</v>
      </c>
      <c r="M271" s="24">
        <f>'Student At-Risk and ELL Proxy'!S271</f>
        <v>1</v>
      </c>
      <c r="N271" s="24">
        <f>'Student At-Risk and ELL Proxy'!AH271</f>
        <v>0</v>
      </c>
      <c r="O271" s="136" t="str">
        <f t="shared" si="63"/>
        <v/>
      </c>
      <c r="P271" s="136">
        <f t="shared" si="64"/>
        <v>7.0644494934285191</v>
      </c>
      <c r="Q271" s="136" t="str">
        <f t="shared" si="65"/>
        <v/>
      </c>
      <c r="R271" s="136">
        <f t="shared" si="58"/>
        <v>7.0644494934285191</v>
      </c>
      <c r="S271" s="136">
        <f>IF(SUM(3515.4*((VLOOKUP($A271,'District Level ADM'!$A$4:$F$52,6,FALSE))^-0.327)/'Model Data Inputs'!$B$71)&lt;1,1,(3515.4*((VLOOKUP($A271,'District Level ADM'!$A$4:$F$52,6,FALSE))^-0.327)/'Model Data Inputs'!$B$71))</f>
        <v>1.9750658535913488</v>
      </c>
      <c r="T271" s="136">
        <f>VLOOKUP($A271,'Regional Cost Adjustment'!$A$4:$C$52,3,FALSE)</f>
        <v>0.98</v>
      </c>
      <c r="U271" s="123">
        <f>((($I271/$L271)*'Model Data Inputs'!$B$85)+((SUM(J271:K271)/$L271)*'Model Data Inputs'!$C$85))*$R271*$T271</f>
        <v>37265.91559223504</v>
      </c>
      <c r="V271" s="140">
        <f>((($I271/$L271)*'Model Data Inputs'!$B$86)+((SUM(J271:K271)/$L271)*'Model Data Inputs'!$C$86))*$R271</f>
        <v>10124.117441595368</v>
      </c>
      <c r="W271" s="140">
        <f t="shared" si="66"/>
        <v>47390.033033830405</v>
      </c>
      <c r="X271" s="140">
        <f t="shared" si="59"/>
        <v>77301.930910159557</v>
      </c>
      <c r="Y271" s="140">
        <f t="shared" si="60"/>
        <v>21000.794279682661</v>
      </c>
      <c r="Z271" s="123">
        <f>IF((SUM(X271:Y271))&lt;(AVERAGE('Elementary Size Adjustment'!$B$66,'Secondary Size Adjustment'!$B$66)),(AVERAGE('Elementary Size Adjustment'!$B$66,'Secondary Size Adjustment'!$B$66)),SUM(X271:Y271))</f>
        <v>143474.22151540525</v>
      </c>
      <c r="AA271" s="137">
        <f>'Model Data Inputs'!$B$71*S271*L271</f>
        <v>778.41953777026777</v>
      </c>
      <c r="AB271" s="137">
        <f>L271*'Model Data Inputs'!$B$72</f>
        <v>51.858333333333341</v>
      </c>
      <c r="AC271" s="137">
        <f>L271*'Model Data Inputs'!$B$73</f>
        <v>518.58333333333337</v>
      </c>
      <c r="AD271" s="137">
        <f>L271*'Model Data Inputs'!$B$74</f>
        <v>259.29166666666669</v>
      </c>
      <c r="AE271" s="137">
        <f>$I271*'Model Data Inputs'!$B$76</f>
        <v>0</v>
      </c>
      <c r="AF271" s="137">
        <f>VLOOKUP($J271,'Student Activities MS&amp;HS Tables'!$M$7:$O$1267,3)</f>
        <v>0</v>
      </c>
      <c r="AG271" s="137">
        <f>VLOOKUP($K271,'Student Activities MS&amp;HS Tables'!$I$7:$K$3007,3)</f>
        <v>4025.38</v>
      </c>
      <c r="AH271" s="137">
        <f t="shared" si="61"/>
        <v>4025.38</v>
      </c>
      <c r="AI271" s="123">
        <f t="shared" si="67"/>
        <v>149107.75438650887</v>
      </c>
      <c r="AJ271" s="123">
        <f>(('Model Data Inputs'!$B$90*(('Model Data Inputs'!$B$87*('School Level Inst. Resources'!I271/'School Level Inst. Resources'!L271))+('Model Data Inputs'!$C$87*(SUM('School Level Inst. Resources'!J271:K271)/'School Level Inst. Resources'!L271))))*T271*M271)</f>
        <v>2003.8737935161073</v>
      </c>
      <c r="AK271" s="123">
        <f>(('Model Data Inputs'!$B$91*(('Model Data Inputs'!$B$87*('School Level Inst. Resources'!I271/'School Level Inst. Resources'!L271))+('Model Data Inputs'!$C$87*(SUM('School Level Inst. Resources'!J271:K271)/'School Level Inst. Resources'!L271))))*T271*N271)</f>
        <v>0</v>
      </c>
      <c r="AL271" s="137">
        <f>(K271*'Model Data Inputs'!$B$94)*T271</f>
        <v>335.55255669390004</v>
      </c>
      <c r="AM271" s="137">
        <f>K271*'Model Data Inputs'!$B$95</f>
        <v>86.934946991666678</v>
      </c>
      <c r="AN271" s="137">
        <f t="shared" si="68"/>
        <v>422.48750368556671</v>
      </c>
      <c r="AO271" s="137">
        <f>('School Level Inst. Resources'!K271*'Model Data Inputs'!$B$96)+('School Level Inst. Resources'!J271*'Model Data Inputs'!$B$97)</f>
        <v>207.43333333333337</v>
      </c>
      <c r="AP271" s="137">
        <f>$L271*'Model Data Inputs'!$B$100</f>
        <v>82.973333333333343</v>
      </c>
      <c r="AQ271" s="137">
        <f t="shared" si="69"/>
        <v>151824.5223503772</v>
      </c>
      <c r="AR271" s="141">
        <f t="shared" si="62"/>
        <v>73191.959995361001</v>
      </c>
    </row>
    <row r="272" spans="1:44" s="40" customFormat="1" ht="12.75" customHeight="1" x14ac:dyDescent="0.2">
      <c r="A272" s="20" t="s">
        <v>80</v>
      </c>
      <c r="B272" s="20" t="s">
        <v>81</v>
      </c>
      <c r="C272" s="20" t="s">
        <v>913</v>
      </c>
      <c r="D272" s="20" t="s">
        <v>914</v>
      </c>
      <c r="E272" s="138" t="s">
        <v>383</v>
      </c>
      <c r="F272" s="138" t="str">
        <f>IF(AND(SUM('School Level ADM'!$F272:$J272)=0,SUM('School Level ADM'!$O272:$R272)=0,'School Level ADM'!$K272&gt;0,'School Level ADM'!$N272&gt;0),"T","F")</f>
        <v>F</v>
      </c>
      <c r="G272" s="138" t="str">
        <f>IF(AND(SUM('School Level ADM'!$M272:$R272)=0,'School Level ADM'!$L272&gt;0),"T","F")</f>
        <v>F</v>
      </c>
      <c r="H272" s="138" t="str">
        <f t="shared" si="56"/>
        <v>M</v>
      </c>
      <c r="I272" s="139">
        <f>IF($F272="T",SUM('School Level ADM'!$F272:$J272),IF($G272="T",SUM('School Level ADM'!$F272:$L272),SUM('School Level ADM'!$F272:$K272,0)))</f>
        <v>0</v>
      </c>
      <c r="J272" s="139">
        <f>'School Level ADM'!$S272-$I272-$K272</f>
        <v>96.102333333333334</v>
      </c>
      <c r="K272" s="139">
        <f>IF(SUM('School Level ADM'!$N272:$R272)='School Level ADM'!$S272,SUM('School Level ADM'!$N272:$R272),IF(OR(SUM('School Level ADM'!$F272:$O272)='School Level ADM'!$S272,SUM('School Level ADM'!$G272:$O272)='School Level ADM'!$S272,SUM('School Level ADM'!$H272:$O272)='School Level ADM'!$S272,SUM('School Level ADM'!$I272:$O272)='School Level ADM'!$S272,SUM('School Level ADM'!$J272:$O272)='School Level ADM'!$S272,SUM('School Level ADM'!$K272:$O272)='School Level ADM'!$S272,SUM('School Level ADM'!$L272:$O272)='School Level ADM'!$S272,SUM('School Level ADM'!$M272:$O272)='School Level ADM'!$S272,SUM('School Level ADM'!$N272:$O272)='School Level ADM'!$S272),0,SUM('School Level ADM'!$O272:$R272)))</f>
        <v>0</v>
      </c>
      <c r="L272" s="139">
        <f t="shared" si="57"/>
        <v>96.102333333333334</v>
      </c>
      <c r="M272" s="24">
        <f>'Student At-Risk and ELL Proxy'!S272</f>
        <v>10</v>
      </c>
      <c r="N272" s="24">
        <f>'Student At-Risk and ELL Proxy'!AH272</f>
        <v>0</v>
      </c>
      <c r="O272" s="136" t="str">
        <f t="shared" si="63"/>
        <v/>
      </c>
      <c r="P272" s="136">
        <f t="shared" si="64"/>
        <v>1.8380743899201901</v>
      </c>
      <c r="Q272" s="136" t="str">
        <f t="shared" si="65"/>
        <v/>
      </c>
      <c r="R272" s="136">
        <f t="shared" si="58"/>
        <v>1.8380743899201901</v>
      </c>
      <c r="S272" s="136">
        <f>IF(SUM(3515.4*((VLOOKUP($A272,'District Level ADM'!$A$4:$F$52,6,FALSE))^-0.327)/'Model Data Inputs'!$B$71)&lt;1,1,(3515.4*((VLOOKUP($A272,'District Level ADM'!$A$4:$F$52,6,FALSE))^-0.327)/'Model Data Inputs'!$B$71))</f>
        <v>1.9750658535913488</v>
      </c>
      <c r="T272" s="136">
        <f>VLOOKUP($A272,'Regional Cost Adjustment'!$A$4:$C$52,3,FALSE)</f>
        <v>0.98</v>
      </c>
      <c r="U272" s="123">
        <f>((($I272/$L272)*'Model Data Inputs'!$B$85)+((SUM(J272:K272)/$L272)*'Model Data Inputs'!$C$85))*$R272*$T272</f>
        <v>9696.0881567250726</v>
      </c>
      <c r="V272" s="140">
        <f>((($I272/$L272)*'Model Data Inputs'!$B$86)+((SUM(J272:K272)/$L272)*'Model Data Inputs'!$C$86))*$R272</f>
        <v>2634.1586852947403</v>
      </c>
      <c r="W272" s="140">
        <f t="shared" si="66"/>
        <v>12330.246842019813</v>
      </c>
      <c r="X272" s="140">
        <f t="shared" si="59"/>
        <v>931816.6960669785</v>
      </c>
      <c r="Y272" s="140">
        <f t="shared" si="60"/>
        <v>253148.79602709023</v>
      </c>
      <c r="Z272" s="123">
        <f>IF((SUM(X272:Y272))&lt;(AVERAGE('Elementary Size Adjustment'!$B$66,'Secondary Size Adjustment'!$B$66)),(AVERAGE('Elementary Size Adjustment'!$B$66,'Secondary Size Adjustment'!$B$66)),SUM(X272:Y272))</f>
        <v>1184965.4920940688</v>
      </c>
      <c r="AA272" s="137">
        <f>'Model Data Inputs'!$B$71*S272*L272</f>
        <v>36063.603033252861</v>
      </c>
      <c r="AB272" s="137">
        <f>L272*'Model Data Inputs'!$B$72</f>
        <v>2402.5583333333334</v>
      </c>
      <c r="AC272" s="137">
        <f>L272*'Model Data Inputs'!$B$73</f>
        <v>24025.583333333332</v>
      </c>
      <c r="AD272" s="137">
        <f>L272*'Model Data Inputs'!$B$74</f>
        <v>12012.791666666666</v>
      </c>
      <c r="AE272" s="137">
        <f>$I272*'Model Data Inputs'!$B$76</f>
        <v>0</v>
      </c>
      <c r="AF272" s="137">
        <f>VLOOKUP($J272,'Student Activities MS&amp;HS Tables'!$M$7:$O$1267,3)</f>
        <v>53431.680000000008</v>
      </c>
      <c r="AG272" s="137">
        <f>VLOOKUP($K272,'Student Activities MS&amp;HS Tables'!$I$7:$K$3007,3)</f>
        <v>0</v>
      </c>
      <c r="AH272" s="137">
        <f t="shared" si="61"/>
        <v>53431.680000000008</v>
      </c>
      <c r="AI272" s="123">
        <f t="shared" si="67"/>
        <v>1312901.7084606548</v>
      </c>
      <c r="AJ272" s="123">
        <f>(('Model Data Inputs'!$B$90*(('Model Data Inputs'!$B$87*('School Level Inst. Resources'!I272/'School Level Inst. Resources'!L272))+('Model Data Inputs'!$C$87*(SUM('School Level Inst. Resources'!J272:K272)/'School Level Inst. Resources'!L272))))*T272*M272)</f>
        <v>20038.737935161073</v>
      </c>
      <c r="AK272" s="123">
        <f>(('Model Data Inputs'!$B$91*(('Model Data Inputs'!$B$87*('School Level Inst. Resources'!I272/'School Level Inst. Resources'!L272))+('Model Data Inputs'!$C$87*(SUM('School Level Inst. Resources'!J272:K272)/'School Level Inst. Resources'!L272))))*T272*N272)</f>
        <v>0</v>
      </c>
      <c r="AL272" s="137">
        <f>(K272*'Model Data Inputs'!$B$94)*T272</f>
        <v>0</v>
      </c>
      <c r="AM272" s="137">
        <f>K272*'Model Data Inputs'!$B$95</f>
        <v>0</v>
      </c>
      <c r="AN272" s="137">
        <f t="shared" si="68"/>
        <v>0</v>
      </c>
      <c r="AO272" s="137">
        <f>('School Level Inst. Resources'!K272*'Model Data Inputs'!$B$96)+('School Level Inst. Resources'!J272*'Model Data Inputs'!$B$97)</f>
        <v>2402.5583333333334</v>
      </c>
      <c r="AP272" s="137">
        <f>$L272*'Model Data Inputs'!$B$100</f>
        <v>3844.0933333333332</v>
      </c>
      <c r="AQ272" s="137">
        <f t="shared" si="69"/>
        <v>1339187.0980624824</v>
      </c>
      <c r="AR272" s="141">
        <f t="shared" si="62"/>
        <v>13935.011269887471</v>
      </c>
    </row>
    <row r="273" spans="1:44" s="40" customFormat="1" ht="12.75" customHeight="1" x14ac:dyDescent="0.2">
      <c r="A273" s="20" t="s">
        <v>80</v>
      </c>
      <c r="B273" s="20" t="s">
        <v>81</v>
      </c>
      <c r="C273" s="20" t="s">
        <v>915</v>
      </c>
      <c r="D273" s="20" t="s">
        <v>916</v>
      </c>
      <c r="E273" s="138" t="s">
        <v>383</v>
      </c>
      <c r="F273" s="138" t="str">
        <f>IF(AND(SUM('School Level ADM'!$F273:$J273)=0,SUM('School Level ADM'!$O273:$R273)=0,'School Level ADM'!$K273&gt;0,'School Level ADM'!$N273&gt;0),"T","F")</f>
        <v>F</v>
      </c>
      <c r="G273" s="138" t="str">
        <f>IF(AND(SUM('School Level ADM'!$M273:$R273)=0,'School Level ADM'!$L273&gt;0),"T","F")</f>
        <v>F</v>
      </c>
      <c r="H273" s="138" t="str">
        <f t="shared" si="56"/>
        <v>M</v>
      </c>
      <c r="I273" s="139">
        <f>IF($F273="T",SUM('School Level ADM'!$F273:$J273),IF($G273="T",SUM('School Level ADM'!$F273:$L273),SUM('School Level ADM'!$F273:$K273,0)))</f>
        <v>0</v>
      </c>
      <c r="J273" s="139">
        <f>'School Level ADM'!$S273-$I273-$K273</f>
        <v>120.33366666666666</v>
      </c>
      <c r="K273" s="139">
        <f>IF(SUM('School Level ADM'!$N273:$R273)='School Level ADM'!$S273,SUM('School Level ADM'!$N273:$R273),IF(OR(SUM('School Level ADM'!$F273:$O273)='School Level ADM'!$S273,SUM('School Level ADM'!$G273:$O273)='School Level ADM'!$S273,SUM('School Level ADM'!$H273:$O273)='School Level ADM'!$S273,SUM('School Level ADM'!$I273:$O273)='School Level ADM'!$S273,SUM('School Level ADM'!$J273:$O273)='School Level ADM'!$S273,SUM('School Level ADM'!$K273:$O273)='School Level ADM'!$S273,SUM('School Level ADM'!$L273:$O273)='School Level ADM'!$S273,SUM('School Level ADM'!$M273:$O273)='School Level ADM'!$S273,SUM('School Level ADM'!$N273:$O273)='School Level ADM'!$S273),0,SUM('School Level ADM'!$O273:$R273)))</f>
        <v>0</v>
      </c>
      <c r="L273" s="139">
        <f t="shared" si="57"/>
        <v>120.33366666666666</v>
      </c>
      <c r="M273" s="24">
        <f>'Student At-Risk and ELL Proxy'!S273</f>
        <v>38</v>
      </c>
      <c r="N273" s="24">
        <f>'Student At-Risk and ELL Proxy'!AH273</f>
        <v>0</v>
      </c>
      <c r="O273" s="136" t="str">
        <f t="shared" si="63"/>
        <v/>
      </c>
      <c r="P273" s="136">
        <f t="shared" si="64"/>
        <v>1.6985831225809724</v>
      </c>
      <c r="Q273" s="136" t="str">
        <f t="shared" si="65"/>
        <v/>
      </c>
      <c r="R273" s="136">
        <f t="shared" si="58"/>
        <v>1.6985831225809724</v>
      </c>
      <c r="S273" s="136">
        <f>IF(SUM(3515.4*((VLOOKUP($A273,'District Level ADM'!$A$4:$F$52,6,FALSE))^-0.327)/'Model Data Inputs'!$B$71)&lt;1,1,(3515.4*((VLOOKUP($A273,'District Level ADM'!$A$4:$F$52,6,FALSE))^-0.327)/'Model Data Inputs'!$B$71))</f>
        <v>1.9750658535913488</v>
      </c>
      <c r="T273" s="136">
        <f>VLOOKUP($A273,'Regional Cost Adjustment'!$A$4:$C$52,3,FALSE)</f>
        <v>0.98</v>
      </c>
      <c r="U273" s="123">
        <f>((($I273/$L273)*'Model Data Inputs'!$B$85)+((SUM(J273:K273)/$L273)*'Model Data Inputs'!$C$85))*$R273*$T273</f>
        <v>8960.2530715775738</v>
      </c>
      <c r="V273" s="140">
        <f>((($I273/$L273)*'Model Data Inputs'!$B$86)+((SUM(J273:K273)/$L273)*'Model Data Inputs'!$C$86))*$R273</f>
        <v>2434.2526665833184</v>
      </c>
      <c r="W273" s="140">
        <f t="shared" si="66"/>
        <v>11394.505738160893</v>
      </c>
      <c r="X273" s="140">
        <f t="shared" si="59"/>
        <v>1078220.1063641917</v>
      </c>
      <c r="Y273" s="140">
        <f t="shared" si="60"/>
        <v>292922.5489630815</v>
      </c>
      <c r="Z273" s="123">
        <f>IF((SUM(X273:Y273))&lt;(AVERAGE('Elementary Size Adjustment'!$B$66,'Secondary Size Adjustment'!$B$66)),(AVERAGE('Elementary Size Adjustment'!$B$66,'Secondary Size Adjustment'!$B$66)),SUM(X273:Y273))</f>
        <v>1371142.6553272733</v>
      </c>
      <c r="AA273" s="137">
        <f>'Model Data Inputs'!$B$71*S273*L273</f>
        <v>45156.714053447591</v>
      </c>
      <c r="AB273" s="137">
        <f>L273*'Model Data Inputs'!$B$72</f>
        <v>3008.3416666666662</v>
      </c>
      <c r="AC273" s="137">
        <f>L273*'Model Data Inputs'!$B$73</f>
        <v>30083.416666666664</v>
      </c>
      <c r="AD273" s="137">
        <f>L273*'Model Data Inputs'!$B$74</f>
        <v>15041.708333333332</v>
      </c>
      <c r="AE273" s="137">
        <f>$I273*'Model Data Inputs'!$B$76</f>
        <v>0</v>
      </c>
      <c r="AF273" s="137">
        <f>VLOOKUP($J273,'Student Activities MS&amp;HS Tables'!$M$7:$O$1267,3)</f>
        <v>61366.799999999996</v>
      </c>
      <c r="AG273" s="137">
        <f>VLOOKUP($K273,'Student Activities MS&amp;HS Tables'!$I$7:$K$3007,3)</f>
        <v>0</v>
      </c>
      <c r="AH273" s="137">
        <f t="shared" si="61"/>
        <v>61366.799999999996</v>
      </c>
      <c r="AI273" s="123">
        <f t="shared" si="67"/>
        <v>1525799.6360473875</v>
      </c>
      <c r="AJ273" s="123">
        <f>(('Model Data Inputs'!$B$90*(('Model Data Inputs'!$B$87*('School Level Inst. Resources'!I273/'School Level Inst. Resources'!L273))+('Model Data Inputs'!$C$87*(SUM('School Level Inst. Resources'!J273:K273)/'School Level Inst. Resources'!L273))))*T273*M273)</f>
        <v>76147.204153612081</v>
      </c>
      <c r="AK273" s="123">
        <f>(('Model Data Inputs'!$B$91*(('Model Data Inputs'!$B$87*('School Level Inst. Resources'!I273/'School Level Inst. Resources'!L273))+('Model Data Inputs'!$C$87*(SUM('School Level Inst. Resources'!J273:K273)/'School Level Inst. Resources'!L273))))*T273*N273)</f>
        <v>0</v>
      </c>
      <c r="AL273" s="137">
        <f>(K273*'Model Data Inputs'!$B$94)*T273</f>
        <v>0</v>
      </c>
      <c r="AM273" s="137">
        <f>K273*'Model Data Inputs'!$B$95</f>
        <v>0</v>
      </c>
      <c r="AN273" s="137">
        <f t="shared" si="68"/>
        <v>0</v>
      </c>
      <c r="AO273" s="137">
        <f>('School Level Inst. Resources'!K273*'Model Data Inputs'!$B$96)+('School Level Inst. Resources'!J273*'Model Data Inputs'!$B$97)</f>
        <v>3008.3416666666662</v>
      </c>
      <c r="AP273" s="137">
        <f>$L273*'Model Data Inputs'!$B$100</f>
        <v>4813.3466666666664</v>
      </c>
      <c r="AQ273" s="137">
        <f t="shared" si="69"/>
        <v>1609768.5285343328</v>
      </c>
      <c r="AR273" s="141">
        <f t="shared" si="62"/>
        <v>13377.540742554726</v>
      </c>
    </row>
    <row r="274" spans="1:44" s="40" customFormat="1" ht="12.75" customHeight="1" x14ac:dyDescent="0.2">
      <c r="A274" s="20" t="s">
        <v>80</v>
      </c>
      <c r="B274" s="20" t="s">
        <v>81</v>
      </c>
      <c r="C274" s="20" t="s">
        <v>917</v>
      </c>
      <c r="D274" s="20" t="s">
        <v>918</v>
      </c>
      <c r="E274" s="138" t="s">
        <v>389</v>
      </c>
      <c r="F274" s="138" t="str">
        <f>IF(AND(SUM('School Level ADM'!$F274:$J274)=0,SUM('School Level ADM'!$O274:$R274)=0,'School Level ADM'!$K274&gt;0,'School Level ADM'!$N274&gt;0),"T","F")</f>
        <v>F</v>
      </c>
      <c r="G274" s="138" t="str">
        <f>IF(AND(SUM('School Level ADM'!$M274:$R274)=0,'School Level ADM'!$L274&gt;0),"T","F")</f>
        <v>F</v>
      </c>
      <c r="H274" s="138" t="str">
        <f t="shared" si="56"/>
        <v>H</v>
      </c>
      <c r="I274" s="139">
        <f>IF($F274="T",SUM('School Level ADM'!$F274:$J274),IF($G274="T",SUM('School Level ADM'!$F274:$L274),SUM('School Level ADM'!$F274:$K274,0)))</f>
        <v>0</v>
      </c>
      <c r="J274" s="139">
        <f>'School Level ADM'!$S274-$I274-$K274</f>
        <v>0</v>
      </c>
      <c r="K274" s="139">
        <f>IF(SUM('School Level ADM'!$N274:$R274)='School Level ADM'!$S274,SUM('School Level ADM'!$N274:$R274),IF(OR(SUM('School Level ADM'!$F274:$O274)='School Level ADM'!$S274,SUM('School Level ADM'!$G274:$O274)='School Level ADM'!$S274,SUM('School Level ADM'!$H274:$O274)='School Level ADM'!$S274,SUM('School Level ADM'!$I274:$O274)='School Level ADM'!$S274,SUM('School Level ADM'!$J274:$O274)='School Level ADM'!$S274,SUM('School Level ADM'!$K274:$O274)='School Level ADM'!$S274,SUM('School Level ADM'!$L274:$O274)='School Level ADM'!$S274,SUM('School Level ADM'!$M274:$O274)='School Level ADM'!$S274,SUM('School Level ADM'!$N274:$O274)='School Level ADM'!$S274),0,SUM('School Level ADM'!$O274:$R274)))</f>
        <v>140.54433333333333</v>
      </c>
      <c r="L274" s="139">
        <f t="shared" si="57"/>
        <v>140.54433333333333</v>
      </c>
      <c r="M274" s="24">
        <f>'Student At-Risk and ELL Proxy'!S274</f>
        <v>14</v>
      </c>
      <c r="N274" s="24">
        <f>'Student At-Risk and ELL Proxy'!AH274</f>
        <v>1</v>
      </c>
      <c r="O274" s="136" t="str">
        <f t="shared" si="63"/>
        <v/>
      </c>
      <c r="P274" s="136">
        <f t="shared" si="64"/>
        <v>1.6084968398691493</v>
      </c>
      <c r="Q274" s="136" t="str">
        <f t="shared" si="65"/>
        <v/>
      </c>
      <c r="R274" s="136">
        <f t="shared" si="58"/>
        <v>1.6084968398691493</v>
      </c>
      <c r="S274" s="136">
        <f>IF(SUM(3515.4*((VLOOKUP($A274,'District Level ADM'!$A$4:$F$52,6,FALSE))^-0.327)/'Model Data Inputs'!$B$71)&lt;1,1,(3515.4*((VLOOKUP($A274,'District Level ADM'!$A$4:$F$52,6,FALSE))^-0.327)/'Model Data Inputs'!$B$71))</f>
        <v>1.9750658535913488</v>
      </c>
      <c r="T274" s="136">
        <f>VLOOKUP($A274,'Regional Cost Adjustment'!$A$4:$C$52,3,FALSE)</f>
        <v>0.98</v>
      </c>
      <c r="U274" s="123">
        <f>((($I274/$L274)*'Model Data Inputs'!$B$85)+((SUM(J274:K274)/$L274)*'Model Data Inputs'!$C$85))*$R274*$T274</f>
        <v>8485.0358857685605</v>
      </c>
      <c r="V274" s="140">
        <f>((($I274/$L274)*'Model Data Inputs'!$B$86)+((SUM(J274:K274)/$L274)*'Model Data Inputs'!$C$86))*$R274</f>
        <v>2305.1493150907982</v>
      </c>
      <c r="W274" s="140">
        <f t="shared" si="66"/>
        <v>10790.18520085936</v>
      </c>
      <c r="X274" s="140">
        <f t="shared" si="59"/>
        <v>1192523.7118747518</v>
      </c>
      <c r="Y274" s="140">
        <f t="shared" si="60"/>
        <v>323975.67372322618</v>
      </c>
      <c r="Z274" s="123">
        <f>IF((SUM(X274:Y274))&lt;(AVERAGE('Elementary Size Adjustment'!$B$66,'Secondary Size Adjustment'!$B$66)),(AVERAGE('Elementary Size Adjustment'!$B$66,'Secondary Size Adjustment'!$B$66)),SUM(X274:Y274))</f>
        <v>1516499.385597978</v>
      </c>
      <c r="AA274" s="137">
        <f>'Model Data Inputs'!$B$71*S274*L274</f>
        <v>52741.019599661136</v>
      </c>
      <c r="AB274" s="137">
        <f>L274*'Model Data Inputs'!$B$72</f>
        <v>3513.6083333333331</v>
      </c>
      <c r="AC274" s="137">
        <f>L274*'Model Data Inputs'!$B$73</f>
        <v>35136.083333333328</v>
      </c>
      <c r="AD274" s="137">
        <f>L274*'Model Data Inputs'!$B$74</f>
        <v>17568.041666666664</v>
      </c>
      <c r="AE274" s="137">
        <f>$I274*'Model Data Inputs'!$B$76</f>
        <v>0</v>
      </c>
      <c r="AF274" s="137">
        <f>VLOOKUP($J274,'Student Activities MS&amp;HS Tables'!$M$7:$O$1267,3)</f>
        <v>0</v>
      </c>
      <c r="AG274" s="137">
        <f>VLOOKUP($K274,'Student Activities MS&amp;HS Tables'!$I$7:$K$3007,3)</f>
        <v>202571.6</v>
      </c>
      <c r="AH274" s="137">
        <f t="shared" si="61"/>
        <v>202571.6</v>
      </c>
      <c r="AI274" s="123">
        <f t="shared" si="67"/>
        <v>1828029.7385309727</v>
      </c>
      <c r="AJ274" s="123">
        <f>(('Model Data Inputs'!$B$90*(('Model Data Inputs'!$B$87*('School Level Inst. Resources'!I274/'School Level Inst. Resources'!L274))+('Model Data Inputs'!$C$87*(SUM('School Level Inst. Resources'!J274:K274)/'School Level Inst. Resources'!L274))))*T274*M274)</f>
        <v>28054.233109225501</v>
      </c>
      <c r="AK274" s="123">
        <f>(('Model Data Inputs'!$B$91*(('Model Data Inputs'!$B$87*('School Level Inst. Resources'!I274/'School Level Inst. Resources'!L274))+('Model Data Inputs'!$C$87*(SUM('School Level Inst. Resources'!J274:K274)/'School Level Inst. Resources'!L274))))*T274*N274)</f>
        <v>2003.8737935161073</v>
      </c>
      <c r="AL274" s="137">
        <f>(K274*'Model Data Inputs'!$B$94)*T274</f>
        <v>22735.020269406901</v>
      </c>
      <c r="AM274" s="137">
        <f>K274*'Model Data Inputs'!$B$95</f>
        <v>5890.1884147416658</v>
      </c>
      <c r="AN274" s="137">
        <f t="shared" si="68"/>
        <v>28625.208684148565</v>
      </c>
      <c r="AO274" s="137">
        <f>('School Level Inst. Resources'!K274*'Model Data Inputs'!$B$96)+('School Level Inst. Resources'!J274*'Model Data Inputs'!$B$97)</f>
        <v>14054.433333333332</v>
      </c>
      <c r="AP274" s="137">
        <f>$L274*'Model Data Inputs'!$B$100</f>
        <v>5621.7733333333326</v>
      </c>
      <c r="AQ274" s="137">
        <f t="shared" si="69"/>
        <v>1906389.2607845296</v>
      </c>
      <c r="AR274" s="141">
        <f t="shared" si="62"/>
        <v>13564.326754199954</v>
      </c>
    </row>
    <row r="275" spans="1:44" s="40" customFormat="1" ht="12.75" customHeight="1" x14ac:dyDescent="0.2">
      <c r="A275" s="20" t="s">
        <v>80</v>
      </c>
      <c r="B275" s="20" t="s">
        <v>81</v>
      </c>
      <c r="C275" s="20" t="s">
        <v>919</v>
      </c>
      <c r="D275" s="20" t="s">
        <v>920</v>
      </c>
      <c r="E275" s="138" t="s">
        <v>389</v>
      </c>
      <c r="F275" s="138" t="str">
        <f>IF(AND(SUM('School Level ADM'!$F275:$J275)=0,SUM('School Level ADM'!$O275:$R275)=0,'School Level ADM'!$K275&gt;0,'School Level ADM'!$N275&gt;0),"T","F")</f>
        <v>F</v>
      </c>
      <c r="G275" s="138" t="str">
        <f>IF(AND(SUM('School Level ADM'!$M275:$R275)=0,'School Level ADM'!$L275&gt;0),"T","F")</f>
        <v>F</v>
      </c>
      <c r="H275" s="138" t="str">
        <f t="shared" si="56"/>
        <v>H</v>
      </c>
      <c r="I275" s="139">
        <f>IF($F275="T",SUM('School Level ADM'!$F275:$J275),IF($G275="T",SUM('School Level ADM'!$F275:$L275),SUM('School Level ADM'!$F275:$K275,0)))</f>
        <v>0</v>
      </c>
      <c r="J275" s="139">
        <f>'School Level ADM'!$S275-$I275-$K275</f>
        <v>0</v>
      </c>
      <c r="K275" s="139">
        <f>IF(SUM('School Level ADM'!$N275:$R275)='School Level ADM'!$S275,SUM('School Level ADM'!$N275:$R275),IF(OR(SUM('School Level ADM'!$F275:$O275)='School Level ADM'!$S275,SUM('School Level ADM'!$G275:$O275)='School Level ADM'!$S275,SUM('School Level ADM'!$H275:$O275)='School Level ADM'!$S275,SUM('School Level ADM'!$I275:$O275)='School Level ADM'!$S275,SUM('School Level ADM'!$J275:$O275)='School Level ADM'!$S275,SUM('School Level ADM'!$K275:$O275)='School Level ADM'!$S275,SUM('School Level ADM'!$L275:$O275)='School Level ADM'!$S275,SUM('School Level ADM'!$M275:$O275)='School Level ADM'!$S275,SUM('School Level ADM'!$N275:$O275)='School Level ADM'!$S275),0,SUM('School Level ADM'!$O275:$R275)))</f>
        <v>125.09233333333333</v>
      </c>
      <c r="L275" s="139">
        <f t="shared" si="57"/>
        <v>125.09233333333333</v>
      </c>
      <c r="M275" s="24">
        <f>'Student At-Risk and ELL Proxy'!S275</f>
        <v>26</v>
      </c>
      <c r="N275" s="24">
        <f>'Student At-Risk and ELL Proxy'!AH275</f>
        <v>0</v>
      </c>
      <c r="O275" s="136" t="str">
        <f t="shared" si="63"/>
        <v/>
      </c>
      <c r="P275" s="136">
        <f t="shared" si="64"/>
        <v>1.6756168573164738</v>
      </c>
      <c r="Q275" s="136" t="str">
        <f t="shared" si="65"/>
        <v/>
      </c>
      <c r="R275" s="136">
        <f t="shared" si="58"/>
        <v>1.6756168573164738</v>
      </c>
      <c r="S275" s="136">
        <f>IF(SUM(3515.4*((VLOOKUP($A275,'District Level ADM'!$A$4:$F$52,6,FALSE))^-0.327)/'Model Data Inputs'!$B$71)&lt;1,1,(3515.4*((VLOOKUP($A275,'District Level ADM'!$A$4:$F$52,6,FALSE))^-0.327)/'Model Data Inputs'!$B$71))</f>
        <v>1.9750658535913488</v>
      </c>
      <c r="T275" s="136">
        <f>VLOOKUP($A275,'Regional Cost Adjustment'!$A$4:$C$52,3,FALSE)</f>
        <v>0.98</v>
      </c>
      <c r="U275" s="123">
        <f>((($I275/$L275)*'Model Data Inputs'!$B$85)+((SUM(J275:K275)/$L275)*'Model Data Inputs'!$C$85))*$R275*$T275</f>
        <v>8839.1029517257994</v>
      </c>
      <c r="V275" s="140">
        <f>((($I275/$L275)*'Model Data Inputs'!$B$86)+((SUM(J275:K275)/$L275)*'Model Data Inputs'!$C$86))*$R275</f>
        <v>2401.3395334440834</v>
      </c>
      <c r="W275" s="140">
        <f t="shared" si="66"/>
        <v>11240.442485169882</v>
      </c>
      <c r="X275" s="140">
        <f t="shared" si="59"/>
        <v>1105704.0128049343</v>
      </c>
      <c r="Y275" s="140">
        <f t="shared" si="60"/>
        <v>300389.16536409839</v>
      </c>
      <c r="Z275" s="123">
        <f>IF((SUM(X275:Y275))&lt;(AVERAGE('Elementary Size Adjustment'!$B$66,'Secondary Size Adjustment'!$B$66)),(AVERAGE('Elementary Size Adjustment'!$B$66,'Secondary Size Adjustment'!$B$66)),SUM(X275:Y275))</f>
        <v>1406093.1781690326</v>
      </c>
      <c r="AA275" s="137">
        <f>'Model Data Inputs'!$B$71*S275*L275</f>
        <v>46942.463261419369</v>
      </c>
      <c r="AB275" s="137">
        <f>L275*'Model Data Inputs'!$B$72</f>
        <v>3127.3083333333334</v>
      </c>
      <c r="AC275" s="137">
        <f>L275*'Model Data Inputs'!$B$73</f>
        <v>31273.083333333332</v>
      </c>
      <c r="AD275" s="137">
        <f>L275*'Model Data Inputs'!$B$74</f>
        <v>15636.541666666666</v>
      </c>
      <c r="AE275" s="137">
        <f>$I275*'Model Data Inputs'!$B$76</f>
        <v>0</v>
      </c>
      <c r="AF275" s="137">
        <f>VLOOKUP($J275,'Student Activities MS&amp;HS Tables'!$M$7:$O$1267,3)</f>
        <v>0</v>
      </c>
      <c r="AG275" s="137">
        <f>VLOOKUP($K275,'Student Activities MS&amp;HS Tables'!$I$7:$K$3007,3)</f>
        <v>186177.5</v>
      </c>
      <c r="AH275" s="137">
        <f t="shared" si="61"/>
        <v>186177.5</v>
      </c>
      <c r="AI275" s="123">
        <f t="shared" si="67"/>
        <v>1689250.0747637853</v>
      </c>
      <c r="AJ275" s="123">
        <f>(('Model Data Inputs'!$B$90*(('Model Data Inputs'!$B$87*('School Level Inst. Resources'!I275/'School Level Inst. Resources'!L275))+('Model Data Inputs'!$C$87*(SUM('School Level Inst. Resources'!J275:K275)/'School Level Inst. Resources'!L275))))*T275*M275)</f>
        <v>52100.718631418793</v>
      </c>
      <c r="AK275" s="123">
        <f>(('Model Data Inputs'!$B$91*(('Model Data Inputs'!$B$87*('School Level Inst. Resources'!I275/'School Level Inst. Resources'!L275))+('Model Data Inputs'!$C$87*(SUM('School Level Inst. Resources'!J275:K275)/'School Level Inst. Resources'!L275))))*T275*N275)</f>
        <v>0</v>
      </c>
      <c r="AL275" s="137">
        <f>(K275*'Model Data Inputs'!$B$94)*T275</f>
        <v>20235.442201256101</v>
      </c>
      <c r="AM275" s="137">
        <f>K275*'Model Data Inputs'!$B$95</f>
        <v>5242.5977988416662</v>
      </c>
      <c r="AN275" s="137">
        <f t="shared" si="68"/>
        <v>25478.040000097768</v>
      </c>
      <c r="AO275" s="137">
        <f>('School Level Inst. Resources'!K275*'Model Data Inputs'!$B$96)+('School Level Inst. Resources'!J275*'Model Data Inputs'!$B$97)</f>
        <v>12509.233333333334</v>
      </c>
      <c r="AP275" s="137">
        <f>$L275*'Model Data Inputs'!$B$100</f>
        <v>5003.6933333333327</v>
      </c>
      <c r="AQ275" s="137">
        <f t="shared" si="69"/>
        <v>1784341.7600619688</v>
      </c>
      <c r="AR275" s="141">
        <f t="shared" si="62"/>
        <v>14264.197593206902</v>
      </c>
    </row>
    <row r="276" spans="1:44" s="40" customFormat="1" ht="12.75" customHeight="1" x14ac:dyDescent="0.2">
      <c r="A276" s="20" t="s">
        <v>82</v>
      </c>
      <c r="B276" s="20" t="s">
        <v>83</v>
      </c>
      <c r="C276" s="20" t="s">
        <v>921</v>
      </c>
      <c r="D276" s="20" t="s">
        <v>922</v>
      </c>
      <c r="E276" s="138" t="s">
        <v>354</v>
      </c>
      <c r="F276" s="138" t="str">
        <f>IF(AND(SUM('School Level ADM'!$F276:$J276)=0,SUM('School Level ADM'!$O276:$R276)=0,'School Level ADM'!$K276&gt;0,'School Level ADM'!$N276&gt;0),"T","F")</f>
        <v>F</v>
      </c>
      <c r="G276" s="138" t="str">
        <f>IF(AND(SUM('School Level ADM'!$M276:$R276)=0,'School Level ADM'!$L276&gt;0),"T","F")</f>
        <v>F</v>
      </c>
      <c r="H276" s="138" t="str">
        <f t="shared" si="56"/>
        <v>E</v>
      </c>
      <c r="I276" s="139">
        <f>IF($F276="T",SUM('School Level ADM'!$F276:$J276),IF($G276="T",SUM('School Level ADM'!$F276:$L276),SUM('School Level ADM'!$F276:$K276,0)))</f>
        <v>343.76499999999999</v>
      </c>
      <c r="J276" s="139">
        <f>'School Level ADM'!$S276-$I276-$K276</f>
        <v>0</v>
      </c>
      <c r="K276" s="139">
        <f>IF(SUM('School Level ADM'!$N276:$R276)='School Level ADM'!$S276,SUM('School Level ADM'!$N276:$R276),IF(OR(SUM('School Level ADM'!$F276:$O276)='School Level ADM'!$S276,SUM('School Level ADM'!$G276:$O276)='School Level ADM'!$S276,SUM('School Level ADM'!$H276:$O276)='School Level ADM'!$S276,SUM('School Level ADM'!$I276:$O276)='School Level ADM'!$S276,SUM('School Level ADM'!$J276:$O276)='School Level ADM'!$S276,SUM('School Level ADM'!$K276:$O276)='School Level ADM'!$S276,SUM('School Level ADM'!$L276:$O276)='School Level ADM'!$S276,SUM('School Level ADM'!$M276:$O276)='School Level ADM'!$S276,SUM('School Level ADM'!$N276:$O276)='School Level ADM'!$S276),0,SUM('School Level ADM'!$O276:$R276)))</f>
        <v>0</v>
      </c>
      <c r="L276" s="139">
        <f t="shared" si="57"/>
        <v>343.76499999999999</v>
      </c>
      <c r="M276" s="24">
        <f>'Student At-Risk and ELL Proxy'!S276</f>
        <v>203</v>
      </c>
      <c r="N276" s="24">
        <f>'Student At-Risk and ELL Proxy'!AH276</f>
        <v>2</v>
      </c>
      <c r="O276" s="136">
        <f t="shared" si="63"/>
        <v>0.97</v>
      </c>
      <c r="P276" s="136" t="str">
        <f t="shared" si="64"/>
        <v/>
      </c>
      <c r="Q276" s="136" t="str">
        <f t="shared" si="65"/>
        <v/>
      </c>
      <c r="R276" s="136">
        <f t="shared" si="58"/>
        <v>0.97</v>
      </c>
      <c r="S276" s="136">
        <f>IF(SUM(3515.4*((VLOOKUP($A276,'District Level ADM'!$A$4:$F$52,6,FALSE))^-0.327)/'Model Data Inputs'!$B$71)&lt;1,1,(3515.4*((VLOOKUP($A276,'District Level ADM'!$A$4:$F$52,6,FALSE))^-0.327)/'Model Data Inputs'!$B$71))</f>
        <v>1.2837570401122145</v>
      </c>
      <c r="T276" s="136">
        <f>VLOOKUP($A276,'Regional Cost Adjustment'!$A$4:$C$52,3,FALSE)</f>
        <v>0.98</v>
      </c>
      <c r="U276" s="123">
        <f>((($I276/$L276)*'Model Data Inputs'!$B$85)+((SUM(J276:K276)/$L276)*'Model Data Inputs'!$C$85))*$R276*$T276</f>
        <v>6053.0288647119396</v>
      </c>
      <c r="V276" s="140">
        <f>((($I276/$L276)*'Model Data Inputs'!$B$86)+((SUM(J276:K276)/$L276)*'Model Data Inputs'!$C$86))*$R276</f>
        <v>1641.8459994936507</v>
      </c>
      <c r="W276" s="140">
        <f t="shared" si="66"/>
        <v>7694.8748642055907</v>
      </c>
      <c r="X276" s="140">
        <f t="shared" si="59"/>
        <v>2080819.4676776999</v>
      </c>
      <c r="Y276" s="140">
        <f t="shared" si="60"/>
        <v>564409.19001593476</v>
      </c>
      <c r="Z276" s="123">
        <f>IF((SUM(X276:Y276))&lt;(AVERAGE('Elementary Size Adjustment'!$B$66,'Secondary Size Adjustment'!$B$66)),(AVERAGE('Elementary Size Adjustment'!$B$66,'Secondary Size Adjustment'!$B$66)),SUM(X276:Y276))</f>
        <v>2645228.6576936347</v>
      </c>
      <c r="AA276" s="137">
        <f>'Model Data Inputs'!$B$71*S276*L276</f>
        <v>83849.040389893315</v>
      </c>
      <c r="AB276" s="137">
        <f>L276*'Model Data Inputs'!$B$72</f>
        <v>8594.125</v>
      </c>
      <c r="AC276" s="137">
        <f>L276*'Model Data Inputs'!$B$73</f>
        <v>85941.25</v>
      </c>
      <c r="AD276" s="137">
        <f>L276*'Model Data Inputs'!$B$74</f>
        <v>42970.625</v>
      </c>
      <c r="AE276" s="137">
        <f>$I276*'Model Data Inputs'!$B$76</f>
        <v>8178.1693499999992</v>
      </c>
      <c r="AF276" s="137">
        <f>VLOOKUP($J276,'Student Activities MS&amp;HS Tables'!$M$7:$O$1267,3)</f>
        <v>0</v>
      </c>
      <c r="AG276" s="137">
        <f>VLOOKUP($K276,'Student Activities MS&amp;HS Tables'!$I$7:$K$3007,3)</f>
        <v>0</v>
      </c>
      <c r="AH276" s="137">
        <f t="shared" si="61"/>
        <v>8178.1693499999992</v>
      </c>
      <c r="AI276" s="123">
        <f t="shared" si="67"/>
        <v>2874761.867433528</v>
      </c>
      <c r="AJ276" s="123">
        <f>(('Model Data Inputs'!$B$90*(('Model Data Inputs'!$B$87*('School Level Inst. Resources'!I276/'School Level Inst. Resources'!L276))+('Model Data Inputs'!$C$87*(SUM('School Level Inst. Resources'!J276:K276)/'School Level Inst. Resources'!L276))))*T276*M276)</f>
        <v>481049.59876570845</v>
      </c>
      <c r="AK276" s="123">
        <f>(('Model Data Inputs'!$B$91*(('Model Data Inputs'!$B$87*('School Level Inst. Resources'!I276/'School Level Inst. Resources'!L276))+('Model Data Inputs'!$C$87*(SUM('School Level Inst. Resources'!J276:K276)/'School Level Inst. Resources'!L276))))*T276*N276)</f>
        <v>4739.4049139478666</v>
      </c>
      <c r="AL276" s="137">
        <f>(K276*'Model Data Inputs'!$B$94)*T276</f>
        <v>0</v>
      </c>
      <c r="AM276" s="137">
        <f>K276*'Model Data Inputs'!$B$95</f>
        <v>0</v>
      </c>
      <c r="AN276" s="137">
        <f t="shared" si="68"/>
        <v>0</v>
      </c>
      <c r="AO276" s="137">
        <f>('School Level Inst. Resources'!K276*'Model Data Inputs'!$B$96)+('School Level Inst. Resources'!J276*'Model Data Inputs'!$B$97)</f>
        <v>0</v>
      </c>
      <c r="AP276" s="137">
        <f>$L276*'Model Data Inputs'!$B$100</f>
        <v>13750.599999999999</v>
      </c>
      <c r="AQ276" s="137">
        <f t="shared" si="69"/>
        <v>3374301.4711131845</v>
      </c>
      <c r="AR276" s="141">
        <f t="shared" si="62"/>
        <v>9815.72141175857</v>
      </c>
    </row>
    <row r="277" spans="1:44" s="40" customFormat="1" ht="12.75" customHeight="1" x14ac:dyDescent="0.2">
      <c r="A277" s="20" t="s">
        <v>82</v>
      </c>
      <c r="B277" s="20" t="s">
        <v>83</v>
      </c>
      <c r="C277" s="20" t="s">
        <v>923</v>
      </c>
      <c r="D277" s="20" t="s">
        <v>924</v>
      </c>
      <c r="E277" s="138" t="s">
        <v>354</v>
      </c>
      <c r="F277" s="138" t="str">
        <f>IF(AND(SUM('School Level ADM'!$F277:$J277)=0,SUM('School Level ADM'!$O277:$R277)=0,'School Level ADM'!$K277&gt;0,'School Level ADM'!$N277&gt;0),"T","F")</f>
        <v>F</v>
      </c>
      <c r="G277" s="138" t="str">
        <f>IF(AND(SUM('School Level ADM'!$M277:$R277)=0,'School Level ADM'!$L277&gt;0),"T","F")</f>
        <v>F</v>
      </c>
      <c r="H277" s="138" t="str">
        <f t="shared" si="56"/>
        <v>E</v>
      </c>
      <c r="I277" s="139">
        <f>IF($F277="T",SUM('School Level ADM'!$F277:$J277),IF($G277="T",SUM('School Level ADM'!$F277:$L277),SUM('School Level ADM'!$F277:$K277,0)))</f>
        <v>363.46500000000003</v>
      </c>
      <c r="J277" s="139">
        <f>'School Level ADM'!$S277-$I277-$K277</f>
        <v>0</v>
      </c>
      <c r="K277" s="139">
        <f>IF(SUM('School Level ADM'!$N277:$R277)='School Level ADM'!$S277,SUM('School Level ADM'!$N277:$R277),IF(OR(SUM('School Level ADM'!$F277:$O277)='School Level ADM'!$S277,SUM('School Level ADM'!$G277:$O277)='School Level ADM'!$S277,SUM('School Level ADM'!$H277:$O277)='School Level ADM'!$S277,SUM('School Level ADM'!$I277:$O277)='School Level ADM'!$S277,SUM('School Level ADM'!$J277:$O277)='School Level ADM'!$S277,SUM('School Level ADM'!$K277:$O277)='School Level ADM'!$S277,SUM('School Level ADM'!$L277:$O277)='School Level ADM'!$S277,SUM('School Level ADM'!$M277:$O277)='School Level ADM'!$S277,SUM('School Level ADM'!$N277:$O277)='School Level ADM'!$S277),0,SUM('School Level ADM'!$O277:$R277)))</f>
        <v>0</v>
      </c>
      <c r="L277" s="139">
        <f t="shared" si="57"/>
        <v>363.46500000000003</v>
      </c>
      <c r="M277" s="24">
        <f>'Student At-Risk and ELL Proxy'!S277</f>
        <v>106</v>
      </c>
      <c r="N277" s="24">
        <f>'Student At-Risk and ELL Proxy'!AH277</f>
        <v>4</v>
      </c>
      <c r="O277" s="136">
        <f t="shared" si="63"/>
        <v>0.97</v>
      </c>
      <c r="P277" s="136" t="str">
        <f t="shared" si="64"/>
        <v/>
      </c>
      <c r="Q277" s="136" t="str">
        <f t="shared" si="65"/>
        <v/>
      </c>
      <c r="R277" s="136">
        <f t="shared" si="58"/>
        <v>0.97</v>
      </c>
      <c r="S277" s="136">
        <f>IF(SUM(3515.4*((VLOOKUP($A277,'District Level ADM'!$A$4:$F$52,6,FALSE))^-0.327)/'Model Data Inputs'!$B$71)&lt;1,1,(3515.4*((VLOOKUP($A277,'District Level ADM'!$A$4:$F$52,6,FALSE))^-0.327)/'Model Data Inputs'!$B$71))</f>
        <v>1.2837570401122145</v>
      </c>
      <c r="T277" s="136">
        <f>VLOOKUP($A277,'Regional Cost Adjustment'!$A$4:$C$52,3,FALSE)</f>
        <v>0.98</v>
      </c>
      <c r="U277" s="123">
        <f>((($I277/$L277)*'Model Data Inputs'!$B$85)+((SUM(J277:K277)/$L277)*'Model Data Inputs'!$C$85))*$R277*$T277</f>
        <v>6053.0288647119396</v>
      </c>
      <c r="V277" s="140">
        <f>((($I277/$L277)*'Model Data Inputs'!$B$86)+((SUM(J277:K277)/$L277)*'Model Data Inputs'!$C$86))*$R277</f>
        <v>1641.8459994936507</v>
      </c>
      <c r="W277" s="140">
        <f t="shared" si="66"/>
        <v>7694.8748642055907</v>
      </c>
      <c r="X277" s="140">
        <f t="shared" si="59"/>
        <v>2200064.1363125253</v>
      </c>
      <c r="Y277" s="140">
        <f t="shared" si="60"/>
        <v>596753.55620595976</v>
      </c>
      <c r="Z277" s="123">
        <f>IF((SUM(X277:Y277))&lt;(AVERAGE('Elementary Size Adjustment'!$B$66,'Secondary Size Adjustment'!$B$66)),(AVERAGE('Elementary Size Adjustment'!$B$66,'Secondary Size Adjustment'!$B$66)),SUM(X277:Y277))</f>
        <v>2796817.6925184848</v>
      </c>
      <c r="AA277" s="137">
        <f>'Model Data Inputs'!$B$71*S277*L277</f>
        <v>88654.142991033354</v>
      </c>
      <c r="AB277" s="137">
        <f>L277*'Model Data Inputs'!$B$72</f>
        <v>9086.625</v>
      </c>
      <c r="AC277" s="137">
        <f>L277*'Model Data Inputs'!$B$73</f>
        <v>90866.250000000015</v>
      </c>
      <c r="AD277" s="137">
        <f>L277*'Model Data Inputs'!$B$74</f>
        <v>45433.125000000007</v>
      </c>
      <c r="AE277" s="137">
        <f>$I277*'Model Data Inputs'!$B$76</f>
        <v>8646.8323500000006</v>
      </c>
      <c r="AF277" s="137">
        <f>VLOOKUP($J277,'Student Activities MS&amp;HS Tables'!$M$7:$O$1267,3)</f>
        <v>0</v>
      </c>
      <c r="AG277" s="137">
        <f>VLOOKUP($K277,'Student Activities MS&amp;HS Tables'!$I$7:$K$3007,3)</f>
        <v>0</v>
      </c>
      <c r="AH277" s="137">
        <f t="shared" si="61"/>
        <v>8646.8323500000006</v>
      </c>
      <c r="AI277" s="123">
        <f t="shared" si="67"/>
        <v>3039504.667859518</v>
      </c>
      <c r="AJ277" s="123">
        <f>(('Model Data Inputs'!$B$90*(('Model Data Inputs'!$B$87*('School Level Inst. Resources'!I277/'School Level Inst. Resources'!L277))+('Model Data Inputs'!$C$87*(SUM('School Level Inst. Resources'!J277:K277)/'School Level Inst. Resources'!L277))))*T277*M277)</f>
        <v>251188.46043923692</v>
      </c>
      <c r="AK277" s="123">
        <f>(('Model Data Inputs'!$B$91*(('Model Data Inputs'!$B$87*('School Level Inst. Resources'!I277/'School Level Inst. Resources'!L277))+('Model Data Inputs'!$C$87*(SUM('School Level Inst. Resources'!J277:K277)/'School Level Inst. Resources'!L277))))*T277*N277)</f>
        <v>9478.8098278957332</v>
      </c>
      <c r="AL277" s="137">
        <f>(K277*'Model Data Inputs'!$B$94)*T277</f>
        <v>0</v>
      </c>
      <c r="AM277" s="137">
        <f>K277*'Model Data Inputs'!$B$95</f>
        <v>0</v>
      </c>
      <c r="AN277" s="137">
        <f t="shared" si="68"/>
        <v>0</v>
      </c>
      <c r="AO277" s="137">
        <f>('School Level Inst. Resources'!K277*'Model Data Inputs'!$B$96)+('School Level Inst. Resources'!J277*'Model Data Inputs'!$B$97)</f>
        <v>0</v>
      </c>
      <c r="AP277" s="137">
        <f>$L277*'Model Data Inputs'!$B$100</f>
        <v>14538.600000000002</v>
      </c>
      <c r="AQ277" s="137">
        <f t="shared" si="69"/>
        <v>3314710.5381266507</v>
      </c>
      <c r="AR277" s="141">
        <f t="shared" si="62"/>
        <v>9119.7516628193916</v>
      </c>
    </row>
    <row r="278" spans="1:44" s="40" customFormat="1" ht="12.75" customHeight="1" x14ac:dyDescent="0.2">
      <c r="A278" s="20" t="s">
        <v>82</v>
      </c>
      <c r="B278" s="20" t="s">
        <v>83</v>
      </c>
      <c r="C278" s="20" t="s">
        <v>925</v>
      </c>
      <c r="D278" s="20" t="s">
        <v>926</v>
      </c>
      <c r="E278" s="138" t="s">
        <v>354</v>
      </c>
      <c r="F278" s="138" t="str">
        <f>IF(AND(SUM('School Level ADM'!$F278:$J278)=0,SUM('School Level ADM'!$O278:$R278)=0,'School Level ADM'!$K278&gt;0,'School Level ADM'!$N278&gt;0),"T","F")</f>
        <v>F</v>
      </c>
      <c r="G278" s="138" t="str">
        <f>IF(AND(SUM('School Level ADM'!$M278:$R278)=0,'School Level ADM'!$L278&gt;0),"T","F")</f>
        <v>F</v>
      </c>
      <c r="H278" s="138" t="str">
        <f t="shared" si="56"/>
        <v>E</v>
      </c>
      <c r="I278" s="139">
        <f>IF($F278="T",SUM('School Level ADM'!$F278:$J278),IF($G278="T",SUM('School Level ADM'!$F278:$L278),SUM('School Level ADM'!$F278:$K278,0)))</f>
        <v>18.715</v>
      </c>
      <c r="J278" s="139">
        <f>'School Level ADM'!$S278-$I278-$K278</f>
        <v>0</v>
      </c>
      <c r="K278" s="139">
        <f>IF(SUM('School Level ADM'!$N278:$R278)='School Level ADM'!$S278,SUM('School Level ADM'!$N278:$R278),IF(OR(SUM('School Level ADM'!$F278:$O278)='School Level ADM'!$S278,SUM('School Level ADM'!$G278:$O278)='School Level ADM'!$S278,SUM('School Level ADM'!$H278:$O278)='School Level ADM'!$S278,SUM('School Level ADM'!$I278:$O278)='School Level ADM'!$S278,SUM('School Level ADM'!$J278:$O278)='School Level ADM'!$S278,SUM('School Level ADM'!$K278:$O278)='School Level ADM'!$S278,SUM('School Level ADM'!$L278:$O278)='School Level ADM'!$S278,SUM('School Level ADM'!$M278:$O278)='School Level ADM'!$S278,SUM('School Level ADM'!$N278:$O278)='School Level ADM'!$S278),0,SUM('School Level ADM'!$O278:$R278)))</f>
        <v>0</v>
      </c>
      <c r="L278" s="139">
        <f t="shared" si="57"/>
        <v>18.715</v>
      </c>
      <c r="M278" s="24">
        <f>'Student At-Risk and ELL Proxy'!S278</f>
        <v>6</v>
      </c>
      <c r="N278" s="24">
        <f>'Student At-Risk and ELL Proxy'!AH278</f>
        <v>0</v>
      </c>
      <c r="O278" s="136">
        <f t="shared" si="63"/>
        <v>2.9943623789589235</v>
      </c>
      <c r="P278" s="136" t="str">
        <f t="shared" si="64"/>
        <v/>
      </c>
      <c r="Q278" s="136" t="str">
        <f t="shared" si="65"/>
        <v/>
      </c>
      <c r="R278" s="136">
        <f t="shared" si="58"/>
        <v>2.9943623789589235</v>
      </c>
      <c r="S278" s="136">
        <f>IF(SUM(3515.4*((VLOOKUP($A278,'District Level ADM'!$A$4:$F$52,6,FALSE))^-0.327)/'Model Data Inputs'!$B$71)&lt;1,1,(3515.4*((VLOOKUP($A278,'District Level ADM'!$A$4:$F$52,6,FALSE))^-0.327)/'Model Data Inputs'!$B$71))</f>
        <v>1.2837570401122145</v>
      </c>
      <c r="T278" s="136">
        <f>VLOOKUP($A278,'Regional Cost Adjustment'!$A$4:$C$52,3,FALSE)</f>
        <v>0.98</v>
      </c>
      <c r="U278" s="123">
        <f>((($I278/$L278)*'Model Data Inputs'!$B$85)+((SUM(J278:K278)/$L278)*'Model Data Inputs'!$C$85))*$R278*$T278</f>
        <v>18685.527743552448</v>
      </c>
      <c r="V278" s="140">
        <f>((($I278/$L278)*'Model Data Inputs'!$B$86)+((SUM(J278:K278)/$L278)*'Model Data Inputs'!$C$86))*$R278</f>
        <v>5068.331848379381</v>
      </c>
      <c r="W278" s="140">
        <f t="shared" si="66"/>
        <v>23753.859591931829</v>
      </c>
      <c r="X278" s="140">
        <f t="shared" si="59"/>
        <v>349699.65172058408</v>
      </c>
      <c r="Y278" s="140">
        <f t="shared" si="60"/>
        <v>94853.83054242011</v>
      </c>
      <c r="Z278" s="123">
        <f>IF((SUM(X278:Y278))&lt;(AVERAGE('Elementary Size Adjustment'!$B$66,'Secondary Size Adjustment'!$B$66)),(AVERAGE('Elementary Size Adjustment'!$B$66,'Secondary Size Adjustment'!$B$66)),SUM(X278:Y278))</f>
        <v>444553.48226300417</v>
      </c>
      <c r="AA278" s="137">
        <f>'Model Data Inputs'!$B$71*S278*L278</f>
        <v>4564.8474710830178</v>
      </c>
      <c r="AB278" s="137">
        <f>L278*'Model Data Inputs'!$B$72</f>
        <v>467.875</v>
      </c>
      <c r="AC278" s="137">
        <f>L278*'Model Data Inputs'!$B$73</f>
        <v>4678.75</v>
      </c>
      <c r="AD278" s="137">
        <f>L278*'Model Data Inputs'!$B$74</f>
        <v>2339.375</v>
      </c>
      <c r="AE278" s="137">
        <f>$I278*'Model Data Inputs'!$B$76</f>
        <v>445.22985</v>
      </c>
      <c r="AF278" s="137">
        <f>VLOOKUP($J278,'Student Activities MS&amp;HS Tables'!$M$7:$O$1267,3)</f>
        <v>0</v>
      </c>
      <c r="AG278" s="137">
        <f>VLOOKUP($K278,'Student Activities MS&amp;HS Tables'!$I$7:$K$3007,3)</f>
        <v>0</v>
      </c>
      <c r="AH278" s="137">
        <f t="shared" si="61"/>
        <v>445.22985</v>
      </c>
      <c r="AI278" s="123">
        <f t="shared" si="67"/>
        <v>457049.55958408717</v>
      </c>
      <c r="AJ278" s="123">
        <f>(('Model Data Inputs'!$B$90*(('Model Data Inputs'!$B$87*('School Level Inst. Resources'!I278/'School Level Inst. Resources'!L278))+('Model Data Inputs'!$C$87*(SUM('School Level Inst. Resources'!J278:K278)/'School Level Inst. Resources'!L278))))*T278*M278)</f>
        <v>14218.2147418436</v>
      </c>
      <c r="AK278" s="123">
        <f>(('Model Data Inputs'!$B$91*(('Model Data Inputs'!$B$87*('School Level Inst. Resources'!I278/'School Level Inst. Resources'!L278))+('Model Data Inputs'!$C$87*(SUM('School Level Inst. Resources'!J278:K278)/'School Level Inst. Resources'!L278))))*T278*N278)</f>
        <v>0</v>
      </c>
      <c r="AL278" s="137">
        <f>(K278*'Model Data Inputs'!$B$94)*T278</f>
        <v>0</v>
      </c>
      <c r="AM278" s="137">
        <f>K278*'Model Data Inputs'!$B$95</f>
        <v>0</v>
      </c>
      <c r="AN278" s="137">
        <f t="shared" si="68"/>
        <v>0</v>
      </c>
      <c r="AO278" s="137">
        <f>('School Level Inst. Resources'!K278*'Model Data Inputs'!$B$96)+('School Level Inst. Resources'!J278*'Model Data Inputs'!$B$97)</f>
        <v>0</v>
      </c>
      <c r="AP278" s="137">
        <f>$L278*'Model Data Inputs'!$B$100</f>
        <v>748.6</v>
      </c>
      <c r="AQ278" s="137">
        <f t="shared" si="69"/>
        <v>472016.37432593072</v>
      </c>
      <c r="AR278" s="141">
        <f t="shared" si="62"/>
        <v>25221.286365264801</v>
      </c>
    </row>
    <row r="279" spans="1:44" s="40" customFormat="1" ht="12.75" customHeight="1" x14ac:dyDescent="0.2">
      <c r="A279" s="20" t="s">
        <v>82</v>
      </c>
      <c r="B279" s="20" t="s">
        <v>83</v>
      </c>
      <c r="C279" s="20" t="s">
        <v>927</v>
      </c>
      <c r="D279" s="20" t="s">
        <v>928</v>
      </c>
      <c r="E279" s="138" t="s">
        <v>354</v>
      </c>
      <c r="F279" s="138" t="str">
        <f>IF(AND(SUM('School Level ADM'!$F279:$J279)=0,SUM('School Level ADM'!$O279:$R279)=0,'School Level ADM'!$K279&gt;0,'School Level ADM'!$N279&gt;0),"T","F")</f>
        <v>F</v>
      </c>
      <c r="G279" s="138" t="str">
        <f>IF(AND(SUM('School Level ADM'!$M279:$R279)=0,'School Level ADM'!$L279&gt;0),"T","F")</f>
        <v>F</v>
      </c>
      <c r="H279" s="138" t="str">
        <f t="shared" si="56"/>
        <v>E</v>
      </c>
      <c r="I279" s="139">
        <f>IF($F279="T",SUM('School Level ADM'!$F279:$J279),IF($G279="T",SUM('School Level ADM'!$F279:$L279),SUM('School Level ADM'!$F279:$K279,0)))</f>
        <v>314.21499999999997</v>
      </c>
      <c r="J279" s="139">
        <f>'School Level ADM'!$S279-$I279-$K279</f>
        <v>0</v>
      </c>
      <c r="K279" s="139">
        <f>IF(SUM('School Level ADM'!$N279:$R279)='School Level ADM'!$S279,SUM('School Level ADM'!$N279:$R279),IF(OR(SUM('School Level ADM'!$F279:$O279)='School Level ADM'!$S279,SUM('School Level ADM'!$G279:$O279)='School Level ADM'!$S279,SUM('School Level ADM'!$H279:$O279)='School Level ADM'!$S279,SUM('School Level ADM'!$I279:$O279)='School Level ADM'!$S279,SUM('School Level ADM'!$J279:$O279)='School Level ADM'!$S279,SUM('School Level ADM'!$K279:$O279)='School Level ADM'!$S279,SUM('School Level ADM'!$L279:$O279)='School Level ADM'!$S279,SUM('School Level ADM'!$M279:$O279)='School Level ADM'!$S279,SUM('School Level ADM'!$N279:$O279)='School Level ADM'!$S279),0,SUM('School Level ADM'!$O279:$R279)))</f>
        <v>0</v>
      </c>
      <c r="L279" s="139">
        <f t="shared" si="57"/>
        <v>314.21499999999997</v>
      </c>
      <c r="M279" s="24">
        <f>'Student At-Risk and ELL Proxy'!S279</f>
        <v>108</v>
      </c>
      <c r="N279" s="24">
        <f>'Student At-Risk and ELL Proxy'!AH279</f>
        <v>6</v>
      </c>
      <c r="O279" s="136">
        <f t="shared" si="63"/>
        <v>0.97440521359579757</v>
      </c>
      <c r="P279" s="136" t="str">
        <f t="shared" si="64"/>
        <v/>
      </c>
      <c r="Q279" s="136" t="str">
        <f t="shared" si="65"/>
        <v/>
      </c>
      <c r="R279" s="136">
        <f t="shared" si="58"/>
        <v>0.97440521359579757</v>
      </c>
      <c r="S279" s="136">
        <f>IF(SUM(3515.4*((VLOOKUP($A279,'District Level ADM'!$A$4:$F$52,6,FALSE))^-0.327)/'Model Data Inputs'!$B$71)&lt;1,1,(3515.4*((VLOOKUP($A279,'District Level ADM'!$A$4:$F$52,6,FALSE))^-0.327)/'Model Data Inputs'!$B$71))</f>
        <v>1.2837570401122145</v>
      </c>
      <c r="T279" s="136">
        <f>VLOOKUP($A279,'Regional Cost Adjustment'!$A$4:$C$52,3,FALSE)</f>
        <v>0.98</v>
      </c>
      <c r="U279" s="123">
        <f>((($I279/$L279)*'Model Data Inputs'!$B$85)+((SUM(J279:K279)/$L279)*'Model Data Inputs'!$C$85))*$R279*$T279</f>
        <v>6080.5184369290373</v>
      </c>
      <c r="V279" s="140">
        <f>((($I279/$L279)*'Model Data Inputs'!$B$86)+((SUM(J279:K279)/$L279)*'Model Data Inputs'!$C$86))*$R279</f>
        <v>1649.3023730185735</v>
      </c>
      <c r="W279" s="140">
        <f t="shared" si="66"/>
        <v>7729.8208099476105</v>
      </c>
      <c r="X279" s="140">
        <f t="shared" si="59"/>
        <v>1910590.1006596573</v>
      </c>
      <c r="Y279" s="140">
        <f t="shared" si="60"/>
        <v>518235.54513803101</v>
      </c>
      <c r="Z279" s="123">
        <f>IF((SUM(X279:Y279))&lt;(AVERAGE('Elementary Size Adjustment'!$B$66,'Secondary Size Adjustment'!$B$66)),(AVERAGE('Elementary Size Adjustment'!$B$66,'Secondary Size Adjustment'!$B$66)),SUM(X279:Y279))</f>
        <v>2428825.6457976885</v>
      </c>
      <c r="AA279" s="137">
        <f>'Model Data Inputs'!$B$71*S279*L279</f>
        <v>76641.386488183285</v>
      </c>
      <c r="AB279" s="137">
        <f>L279*'Model Data Inputs'!$B$72</f>
        <v>7855.3749999999991</v>
      </c>
      <c r="AC279" s="137">
        <f>L279*'Model Data Inputs'!$B$73</f>
        <v>78553.75</v>
      </c>
      <c r="AD279" s="137">
        <f>L279*'Model Data Inputs'!$B$74</f>
        <v>39276.875</v>
      </c>
      <c r="AE279" s="137">
        <f>$I279*'Model Data Inputs'!$B$76</f>
        <v>7475.1748499999994</v>
      </c>
      <c r="AF279" s="137">
        <f>VLOOKUP($J279,'Student Activities MS&amp;HS Tables'!$M$7:$O$1267,3)</f>
        <v>0</v>
      </c>
      <c r="AG279" s="137">
        <f>VLOOKUP($K279,'Student Activities MS&amp;HS Tables'!$I$7:$K$3007,3)</f>
        <v>0</v>
      </c>
      <c r="AH279" s="137">
        <f t="shared" si="61"/>
        <v>7475.1748499999994</v>
      </c>
      <c r="AI279" s="123">
        <f t="shared" si="67"/>
        <v>2638628.207135872</v>
      </c>
      <c r="AJ279" s="123">
        <f>(('Model Data Inputs'!$B$90*(('Model Data Inputs'!$B$87*('School Level Inst. Resources'!I279/'School Level Inst. Resources'!L279))+('Model Data Inputs'!$C$87*(SUM('School Level Inst. Resources'!J279:K279)/'School Level Inst. Resources'!L279))))*T279*M279)</f>
        <v>255927.86535318481</v>
      </c>
      <c r="AK279" s="123">
        <f>(('Model Data Inputs'!$B$91*(('Model Data Inputs'!$B$87*('School Level Inst. Resources'!I279/'School Level Inst. Resources'!L279))+('Model Data Inputs'!$C$87*(SUM('School Level Inst. Resources'!J279:K279)/'School Level Inst. Resources'!L279))))*T279*N279)</f>
        <v>14218.2147418436</v>
      </c>
      <c r="AL279" s="137">
        <f>(K279*'Model Data Inputs'!$B$94)*T279</f>
        <v>0</v>
      </c>
      <c r="AM279" s="137">
        <f>K279*'Model Data Inputs'!$B$95</f>
        <v>0</v>
      </c>
      <c r="AN279" s="137">
        <f t="shared" si="68"/>
        <v>0</v>
      </c>
      <c r="AO279" s="137">
        <f>('School Level Inst. Resources'!K279*'Model Data Inputs'!$B$96)+('School Level Inst. Resources'!J279*'Model Data Inputs'!$B$97)</f>
        <v>0</v>
      </c>
      <c r="AP279" s="137">
        <f>$L279*'Model Data Inputs'!$B$100</f>
        <v>12568.599999999999</v>
      </c>
      <c r="AQ279" s="137">
        <f t="shared" si="69"/>
        <v>2921342.8872309006</v>
      </c>
      <c r="AR279" s="141">
        <f t="shared" si="62"/>
        <v>9297.2738005216197</v>
      </c>
    </row>
    <row r="280" spans="1:44" s="40" customFormat="1" ht="12.75" customHeight="1" x14ac:dyDescent="0.2">
      <c r="A280" s="20" t="s">
        <v>82</v>
      </c>
      <c r="B280" s="20" t="s">
        <v>83</v>
      </c>
      <c r="C280" s="20" t="s">
        <v>929</v>
      </c>
      <c r="D280" s="20" t="s">
        <v>432</v>
      </c>
      <c r="E280" s="138" t="s">
        <v>354</v>
      </c>
      <c r="F280" s="138" t="str">
        <f>IF(AND(SUM('School Level ADM'!$F280:$J280)=0,SUM('School Level ADM'!$O280:$R280)=0,'School Level ADM'!$K280&gt;0,'School Level ADM'!$N280&gt;0),"T","F")</f>
        <v>F</v>
      </c>
      <c r="G280" s="138" t="str">
        <f>IF(AND(SUM('School Level ADM'!$M280:$R280)=0,'School Level ADM'!$L280&gt;0),"T","F")</f>
        <v>F</v>
      </c>
      <c r="H280" s="138" t="str">
        <f t="shared" si="56"/>
        <v>E</v>
      </c>
      <c r="I280" s="139">
        <f>IF($F280="T",SUM('School Level ADM'!$F280:$J280),IF($G280="T",SUM('School Level ADM'!$F280:$L280),SUM('School Level ADM'!$F280:$K280,0)))</f>
        <v>330.96000000000004</v>
      </c>
      <c r="J280" s="139">
        <f>'School Level ADM'!$S280-$I280-$K280</f>
        <v>0</v>
      </c>
      <c r="K280" s="139">
        <f>IF(SUM('School Level ADM'!$N280:$R280)='School Level ADM'!$S280,SUM('School Level ADM'!$N280:$R280),IF(OR(SUM('School Level ADM'!$F280:$O280)='School Level ADM'!$S280,SUM('School Level ADM'!$G280:$O280)='School Level ADM'!$S280,SUM('School Level ADM'!$H280:$O280)='School Level ADM'!$S280,SUM('School Level ADM'!$I280:$O280)='School Level ADM'!$S280,SUM('School Level ADM'!$J280:$O280)='School Level ADM'!$S280,SUM('School Level ADM'!$K280:$O280)='School Level ADM'!$S280,SUM('School Level ADM'!$L280:$O280)='School Level ADM'!$S280,SUM('School Level ADM'!$M280:$O280)='School Level ADM'!$S280,SUM('School Level ADM'!$N280:$O280)='School Level ADM'!$S280),0,SUM('School Level ADM'!$O280:$R280)))</f>
        <v>0</v>
      </c>
      <c r="L280" s="139">
        <f t="shared" si="57"/>
        <v>330.96000000000004</v>
      </c>
      <c r="M280" s="24">
        <f>'Student At-Risk and ELL Proxy'!S280</f>
        <v>129</v>
      </c>
      <c r="N280" s="24">
        <f>'Student At-Risk and ELL Proxy'!AH280</f>
        <v>1</v>
      </c>
      <c r="O280" s="136">
        <f t="shared" si="63"/>
        <v>0.97</v>
      </c>
      <c r="P280" s="136" t="str">
        <f t="shared" si="64"/>
        <v/>
      </c>
      <c r="Q280" s="136" t="str">
        <f t="shared" si="65"/>
        <v/>
      </c>
      <c r="R280" s="136">
        <f t="shared" si="58"/>
        <v>0.97</v>
      </c>
      <c r="S280" s="136">
        <f>IF(SUM(3515.4*((VLOOKUP($A280,'District Level ADM'!$A$4:$F$52,6,FALSE))^-0.327)/'Model Data Inputs'!$B$71)&lt;1,1,(3515.4*((VLOOKUP($A280,'District Level ADM'!$A$4:$F$52,6,FALSE))^-0.327)/'Model Data Inputs'!$B$71))</f>
        <v>1.2837570401122145</v>
      </c>
      <c r="T280" s="136">
        <f>VLOOKUP($A280,'Regional Cost Adjustment'!$A$4:$C$52,3,FALSE)</f>
        <v>0.98</v>
      </c>
      <c r="U280" s="123">
        <f>((($I280/$L280)*'Model Data Inputs'!$B$85)+((SUM(J280:K280)/$L280)*'Model Data Inputs'!$C$85))*$R280*$T280</f>
        <v>6053.0288647119396</v>
      </c>
      <c r="V280" s="140">
        <f>((($I280/$L280)*'Model Data Inputs'!$B$86)+((SUM(J280:K280)/$L280)*'Model Data Inputs'!$C$86))*$R280</f>
        <v>1641.8459994936507</v>
      </c>
      <c r="W280" s="140">
        <f t="shared" si="66"/>
        <v>7694.8748642055907</v>
      </c>
      <c r="X280" s="140">
        <f t="shared" si="59"/>
        <v>2003310.4330650638</v>
      </c>
      <c r="Y280" s="140">
        <f t="shared" si="60"/>
        <v>543385.35199241864</v>
      </c>
      <c r="Z280" s="123">
        <f>IF((SUM(X280:Y280))&lt;(AVERAGE('Elementary Size Adjustment'!$B$66,'Secondary Size Adjustment'!$B$66)),(AVERAGE('Elementary Size Adjustment'!$B$66,'Secondary Size Adjustment'!$B$66)),SUM(X280:Y280))</f>
        <v>2546695.7850574823</v>
      </c>
      <c r="AA280" s="137">
        <f>'Model Data Inputs'!$B$71*S280*L280</f>
        <v>80725.723699152324</v>
      </c>
      <c r="AB280" s="137">
        <f>L280*'Model Data Inputs'!$B$72</f>
        <v>8274</v>
      </c>
      <c r="AC280" s="137">
        <f>L280*'Model Data Inputs'!$B$73</f>
        <v>82740.000000000015</v>
      </c>
      <c r="AD280" s="137">
        <f>L280*'Model Data Inputs'!$B$74</f>
        <v>41370.000000000007</v>
      </c>
      <c r="AE280" s="137">
        <f>$I280*'Model Data Inputs'!$B$76</f>
        <v>7873.5384000000004</v>
      </c>
      <c r="AF280" s="137">
        <f>VLOOKUP($J280,'Student Activities MS&amp;HS Tables'!$M$7:$O$1267,3)</f>
        <v>0</v>
      </c>
      <c r="AG280" s="137">
        <f>VLOOKUP($K280,'Student Activities MS&amp;HS Tables'!$I$7:$K$3007,3)</f>
        <v>0</v>
      </c>
      <c r="AH280" s="137">
        <f t="shared" si="61"/>
        <v>7873.5384000000004</v>
      </c>
      <c r="AI280" s="123">
        <f t="shared" si="67"/>
        <v>2767679.0471566347</v>
      </c>
      <c r="AJ280" s="123">
        <f>(('Model Data Inputs'!$B$90*(('Model Data Inputs'!$B$87*('School Level Inst. Resources'!I280/'School Level Inst. Resources'!L280))+('Model Data Inputs'!$C$87*(SUM('School Level Inst. Resources'!J280:K280)/'School Level Inst. Resources'!L280))))*T280*M280)</f>
        <v>305691.61694963742</v>
      </c>
      <c r="AK280" s="123">
        <f>(('Model Data Inputs'!$B$91*(('Model Data Inputs'!$B$87*('School Level Inst. Resources'!I280/'School Level Inst. Resources'!L280))+('Model Data Inputs'!$C$87*(SUM('School Level Inst. Resources'!J280:K280)/'School Level Inst. Resources'!L280))))*T280*N280)</f>
        <v>2369.7024569739333</v>
      </c>
      <c r="AL280" s="137">
        <f>(K280*'Model Data Inputs'!$B$94)*T280</f>
        <v>0</v>
      </c>
      <c r="AM280" s="137">
        <f>K280*'Model Data Inputs'!$B$95</f>
        <v>0</v>
      </c>
      <c r="AN280" s="137">
        <f t="shared" si="68"/>
        <v>0</v>
      </c>
      <c r="AO280" s="137">
        <f>('School Level Inst. Resources'!K280*'Model Data Inputs'!$B$96)+('School Level Inst. Resources'!J280*'Model Data Inputs'!$B$97)</f>
        <v>0</v>
      </c>
      <c r="AP280" s="137">
        <f>$L280*'Model Data Inputs'!$B$100</f>
        <v>13238.400000000001</v>
      </c>
      <c r="AQ280" s="137">
        <f t="shared" si="69"/>
        <v>3088978.766563246</v>
      </c>
      <c r="AR280" s="141">
        <f t="shared" si="62"/>
        <v>9333.390036751407</v>
      </c>
    </row>
    <row r="281" spans="1:44" s="40" customFormat="1" ht="12.75" customHeight="1" x14ac:dyDescent="0.2">
      <c r="A281" s="20" t="s">
        <v>82</v>
      </c>
      <c r="B281" s="20" t="s">
        <v>83</v>
      </c>
      <c r="C281" s="20" t="s">
        <v>930</v>
      </c>
      <c r="D281" s="20" t="s">
        <v>931</v>
      </c>
      <c r="E281" s="138" t="s">
        <v>354</v>
      </c>
      <c r="F281" s="138" t="str">
        <f>IF(AND(SUM('School Level ADM'!$F281:$J281)=0,SUM('School Level ADM'!$O281:$R281)=0,'School Level ADM'!$K281&gt;0,'School Level ADM'!$N281&gt;0),"T","F")</f>
        <v>F</v>
      </c>
      <c r="G281" s="138" t="str">
        <f>IF(AND(SUM('School Level ADM'!$M281:$R281)=0,'School Level ADM'!$L281&gt;0),"T","F")</f>
        <v>F</v>
      </c>
      <c r="H281" s="138" t="str">
        <f t="shared" si="56"/>
        <v>E</v>
      </c>
      <c r="I281" s="139">
        <f>IF($F281="T",SUM('School Level ADM'!$F281:$J281),IF($G281="T",SUM('School Level ADM'!$F281:$L281),SUM('School Level ADM'!$F281:$K281,0)))</f>
        <v>321.11</v>
      </c>
      <c r="J281" s="139">
        <f>'School Level ADM'!$S281-$I281-$K281</f>
        <v>0</v>
      </c>
      <c r="K281" s="139">
        <f>IF(SUM('School Level ADM'!$N281:$R281)='School Level ADM'!$S281,SUM('School Level ADM'!$N281:$R281),IF(OR(SUM('School Level ADM'!$F281:$O281)='School Level ADM'!$S281,SUM('School Level ADM'!$G281:$O281)='School Level ADM'!$S281,SUM('School Level ADM'!$H281:$O281)='School Level ADM'!$S281,SUM('School Level ADM'!$I281:$O281)='School Level ADM'!$S281,SUM('School Level ADM'!$J281:$O281)='School Level ADM'!$S281,SUM('School Level ADM'!$K281:$O281)='School Level ADM'!$S281,SUM('School Level ADM'!$L281:$O281)='School Level ADM'!$S281,SUM('School Level ADM'!$M281:$O281)='School Level ADM'!$S281,SUM('School Level ADM'!$N281:$O281)='School Level ADM'!$S281),0,SUM('School Level ADM'!$O281:$R281)))</f>
        <v>0</v>
      </c>
      <c r="L281" s="139">
        <f t="shared" si="57"/>
        <v>321.11</v>
      </c>
      <c r="M281" s="24">
        <f>'Student At-Risk and ELL Proxy'!S281</f>
        <v>141</v>
      </c>
      <c r="N281" s="24">
        <f>'Student At-Risk and ELL Proxy'!AH281</f>
        <v>0</v>
      </c>
      <c r="O281" s="136">
        <f t="shared" si="63"/>
        <v>0.97</v>
      </c>
      <c r="P281" s="136" t="str">
        <f t="shared" si="64"/>
        <v/>
      </c>
      <c r="Q281" s="136" t="str">
        <f t="shared" si="65"/>
        <v/>
      </c>
      <c r="R281" s="136">
        <f t="shared" si="58"/>
        <v>0.97</v>
      </c>
      <c r="S281" s="136">
        <f>IF(SUM(3515.4*((VLOOKUP($A281,'District Level ADM'!$A$4:$F$52,6,FALSE))^-0.327)/'Model Data Inputs'!$B$71)&lt;1,1,(3515.4*((VLOOKUP($A281,'District Level ADM'!$A$4:$F$52,6,FALSE))^-0.327)/'Model Data Inputs'!$B$71))</f>
        <v>1.2837570401122145</v>
      </c>
      <c r="T281" s="136">
        <f>VLOOKUP($A281,'Regional Cost Adjustment'!$A$4:$C$52,3,FALSE)</f>
        <v>0.98</v>
      </c>
      <c r="U281" s="123">
        <f>((($I281/$L281)*'Model Data Inputs'!$B$85)+((SUM(J281:K281)/$L281)*'Model Data Inputs'!$C$85))*$R281*$T281</f>
        <v>6053.0288647119396</v>
      </c>
      <c r="V281" s="140">
        <f>((($I281/$L281)*'Model Data Inputs'!$B$86)+((SUM(J281:K281)/$L281)*'Model Data Inputs'!$C$86))*$R281</f>
        <v>1641.8459994936507</v>
      </c>
      <c r="W281" s="140">
        <f t="shared" si="66"/>
        <v>7694.8748642055907</v>
      </c>
      <c r="X281" s="140">
        <f t="shared" si="59"/>
        <v>1943688.0987476511</v>
      </c>
      <c r="Y281" s="140">
        <f t="shared" si="60"/>
        <v>527213.1688974062</v>
      </c>
      <c r="Z281" s="123">
        <f>IF((SUM(X281:Y281))&lt;(AVERAGE('Elementary Size Adjustment'!$B$66,'Secondary Size Adjustment'!$B$66)),(AVERAGE('Elementary Size Adjustment'!$B$66,'Secondary Size Adjustment'!$B$66)),SUM(X281:Y281))</f>
        <v>2470901.2676450573</v>
      </c>
      <c r="AA281" s="137">
        <f>'Model Data Inputs'!$B$71*S281*L281</f>
        <v>78323.172398582305</v>
      </c>
      <c r="AB281" s="137">
        <f>L281*'Model Data Inputs'!$B$72</f>
        <v>8027.75</v>
      </c>
      <c r="AC281" s="137">
        <f>L281*'Model Data Inputs'!$B$73</f>
        <v>80277.5</v>
      </c>
      <c r="AD281" s="137">
        <f>L281*'Model Data Inputs'!$B$74</f>
        <v>40138.75</v>
      </c>
      <c r="AE281" s="137">
        <f>$I281*'Model Data Inputs'!$B$76</f>
        <v>7639.2069000000001</v>
      </c>
      <c r="AF281" s="137">
        <f>VLOOKUP($J281,'Student Activities MS&amp;HS Tables'!$M$7:$O$1267,3)</f>
        <v>0</v>
      </c>
      <c r="AG281" s="137">
        <f>VLOOKUP($K281,'Student Activities MS&amp;HS Tables'!$I$7:$K$3007,3)</f>
        <v>0</v>
      </c>
      <c r="AH281" s="137">
        <f t="shared" si="61"/>
        <v>7639.2069000000001</v>
      </c>
      <c r="AI281" s="123">
        <f t="shared" si="67"/>
        <v>2685307.6469436395</v>
      </c>
      <c r="AJ281" s="123">
        <f>(('Model Data Inputs'!$B$90*(('Model Data Inputs'!$B$87*('School Level Inst. Resources'!I281/'School Level Inst. Resources'!L281))+('Model Data Inputs'!$C$87*(SUM('School Level Inst. Resources'!J281:K281)/'School Level Inst. Resources'!L281))))*T281*M281)</f>
        <v>334128.04643332458</v>
      </c>
      <c r="AK281" s="123">
        <f>(('Model Data Inputs'!$B$91*(('Model Data Inputs'!$B$87*('School Level Inst. Resources'!I281/'School Level Inst. Resources'!L281))+('Model Data Inputs'!$C$87*(SUM('School Level Inst. Resources'!J281:K281)/'School Level Inst. Resources'!L281))))*T281*N281)</f>
        <v>0</v>
      </c>
      <c r="AL281" s="137">
        <f>(K281*'Model Data Inputs'!$B$94)*T281</f>
        <v>0</v>
      </c>
      <c r="AM281" s="137">
        <f>K281*'Model Data Inputs'!$B$95</f>
        <v>0</v>
      </c>
      <c r="AN281" s="137">
        <f t="shared" si="68"/>
        <v>0</v>
      </c>
      <c r="AO281" s="137">
        <f>('School Level Inst. Resources'!K281*'Model Data Inputs'!$B$96)+('School Level Inst. Resources'!J281*'Model Data Inputs'!$B$97)</f>
        <v>0</v>
      </c>
      <c r="AP281" s="137">
        <f>$L281*'Model Data Inputs'!$B$100</f>
        <v>12844.400000000001</v>
      </c>
      <c r="AQ281" s="137">
        <f t="shared" si="69"/>
        <v>3032280.0933769639</v>
      </c>
      <c r="AR281" s="141">
        <f t="shared" si="62"/>
        <v>9443.1194711375028</v>
      </c>
    </row>
    <row r="282" spans="1:44" s="40" customFormat="1" ht="12.75" customHeight="1" x14ac:dyDescent="0.2">
      <c r="A282" s="20" t="s">
        <v>82</v>
      </c>
      <c r="B282" s="20" t="s">
        <v>83</v>
      </c>
      <c r="C282" s="20" t="s">
        <v>932</v>
      </c>
      <c r="D282" s="20" t="s">
        <v>933</v>
      </c>
      <c r="E282" s="138" t="s">
        <v>383</v>
      </c>
      <c r="F282" s="138" t="str">
        <f>IF(AND(SUM('School Level ADM'!$F282:$J282)=0,SUM('School Level ADM'!$O282:$R282)=0,'School Level ADM'!$K282&gt;0,'School Level ADM'!$N282&gt;0),"T","F")</f>
        <v>F</v>
      </c>
      <c r="G282" s="138" t="str">
        <f>IF(AND(SUM('School Level ADM'!$M282:$R282)=0,'School Level ADM'!$L282&gt;0),"T","F")</f>
        <v>F</v>
      </c>
      <c r="H282" s="138" t="str">
        <f t="shared" si="56"/>
        <v>M</v>
      </c>
      <c r="I282" s="139">
        <f>IF($F282="T",SUM('School Level ADM'!$F282:$J282),IF($G282="T",SUM('School Level ADM'!$F282:$L282),SUM('School Level ADM'!$F282:$K282,0)))</f>
        <v>0</v>
      </c>
      <c r="J282" s="139">
        <f>'School Level ADM'!$S282-$I282-$K282</f>
        <v>801.79</v>
      </c>
      <c r="K282" s="139">
        <f>IF(SUM('School Level ADM'!$N282:$R282)='School Level ADM'!$S282,SUM('School Level ADM'!$N282:$R282),IF(OR(SUM('School Level ADM'!$F282:$O282)='School Level ADM'!$S282,SUM('School Level ADM'!$G282:$O282)='School Level ADM'!$S282,SUM('School Level ADM'!$H282:$O282)='School Level ADM'!$S282,SUM('School Level ADM'!$I282:$O282)='School Level ADM'!$S282,SUM('School Level ADM'!$J282:$O282)='School Level ADM'!$S282,SUM('School Level ADM'!$K282:$O282)='School Level ADM'!$S282,SUM('School Level ADM'!$L282:$O282)='School Level ADM'!$S282,SUM('School Level ADM'!$M282:$O282)='School Level ADM'!$S282,SUM('School Level ADM'!$N282:$O282)='School Level ADM'!$S282),0,SUM('School Level ADM'!$O282:$R282)))</f>
        <v>0</v>
      </c>
      <c r="L282" s="139">
        <f t="shared" si="57"/>
        <v>801.79</v>
      </c>
      <c r="M282" s="24">
        <f>'Student At-Risk and ELL Proxy'!S282</f>
        <v>290</v>
      </c>
      <c r="N282" s="24">
        <f>'Student At-Risk and ELL Proxy'!AH282</f>
        <v>5</v>
      </c>
      <c r="O282" s="136" t="str">
        <f t="shared" si="63"/>
        <v/>
      </c>
      <c r="P282" s="136">
        <f t="shared" si="64"/>
        <v>0.97</v>
      </c>
      <c r="Q282" s="136" t="str">
        <f t="shared" si="65"/>
        <v/>
      </c>
      <c r="R282" s="136">
        <f t="shared" si="58"/>
        <v>0.97</v>
      </c>
      <c r="S282" s="136">
        <f>IF(SUM(3515.4*((VLOOKUP($A282,'District Level ADM'!$A$4:$F$52,6,FALSE))^-0.327)/'Model Data Inputs'!$B$71)&lt;1,1,(3515.4*((VLOOKUP($A282,'District Level ADM'!$A$4:$F$52,6,FALSE))^-0.327)/'Model Data Inputs'!$B$71))</f>
        <v>1.2837570401122145</v>
      </c>
      <c r="T282" s="136">
        <f>VLOOKUP($A282,'Regional Cost Adjustment'!$A$4:$C$52,3,FALSE)</f>
        <v>0.98</v>
      </c>
      <c r="U282" s="123">
        <f>((($I282/$L282)*'Model Data Inputs'!$B$85)+((SUM(J282:K282)/$L282)*'Model Data Inputs'!$C$85))*$R282*$T282</f>
        <v>5116.8796886570508</v>
      </c>
      <c r="V282" s="140">
        <f>((($I282/$L282)*'Model Data Inputs'!$B$86)+((SUM(J282:K282)/$L282)*'Model Data Inputs'!$C$86))*$R282</f>
        <v>1390.1145343996893</v>
      </c>
      <c r="W282" s="140">
        <f t="shared" si="66"/>
        <v>6506.9942230567403</v>
      </c>
      <c r="X282" s="140">
        <f t="shared" si="59"/>
        <v>4102662.9655683367</v>
      </c>
      <c r="Y282" s="140">
        <f t="shared" si="60"/>
        <v>1114579.9325363268</v>
      </c>
      <c r="Z282" s="123">
        <f>IF((SUM(X282:Y282))&lt;(AVERAGE('Elementary Size Adjustment'!$B$66,'Secondary Size Adjustment'!$B$66)),(AVERAGE('Elementary Size Adjustment'!$B$66,'Secondary Size Adjustment'!$B$66)),SUM(X282:Y282))</f>
        <v>5217242.8981046639</v>
      </c>
      <c r="AA282" s="137">
        <f>'Model Data Inputs'!$B$71*S282*L282</f>
        <v>195567.67586639876</v>
      </c>
      <c r="AB282" s="137">
        <f>L282*'Model Data Inputs'!$B$72</f>
        <v>20044.75</v>
      </c>
      <c r="AC282" s="137">
        <f>L282*'Model Data Inputs'!$B$73</f>
        <v>200447.5</v>
      </c>
      <c r="AD282" s="137">
        <f>L282*'Model Data Inputs'!$B$74</f>
        <v>100223.75</v>
      </c>
      <c r="AE282" s="137">
        <f>$I282*'Model Data Inputs'!$B$76</f>
        <v>0</v>
      </c>
      <c r="AF282" s="137">
        <f>VLOOKUP($J282,'Student Activities MS&amp;HS Tables'!$M$7:$O$1267,3)</f>
        <v>196645.5</v>
      </c>
      <c r="AG282" s="137">
        <f>VLOOKUP($K282,'Student Activities MS&amp;HS Tables'!$I$7:$K$3007,3)</f>
        <v>0</v>
      </c>
      <c r="AH282" s="137">
        <f t="shared" si="61"/>
        <v>196645.5</v>
      </c>
      <c r="AI282" s="123">
        <f t="shared" si="67"/>
        <v>5930172.0739710629</v>
      </c>
      <c r="AJ282" s="123">
        <f>(('Model Data Inputs'!$B$90*(('Model Data Inputs'!$B$87*('School Level Inst. Resources'!I282/'School Level Inst. Resources'!L282))+('Model Data Inputs'!$C$87*(SUM('School Level Inst. Resources'!J282:K282)/'School Level Inst. Resources'!L282))))*T282*M282)</f>
        <v>581123.40011967113</v>
      </c>
      <c r="AK282" s="123">
        <f>(('Model Data Inputs'!$B$91*(('Model Data Inputs'!$B$87*('School Level Inst. Resources'!I282/'School Level Inst. Resources'!L282))+('Model Data Inputs'!$C$87*(SUM('School Level Inst. Resources'!J282:K282)/'School Level Inst. Resources'!L282))))*T282*N282)</f>
        <v>10019.368967580536</v>
      </c>
      <c r="AL282" s="137">
        <f>(K282*'Model Data Inputs'!$B$94)*T282</f>
        <v>0</v>
      </c>
      <c r="AM282" s="137">
        <f>K282*'Model Data Inputs'!$B$95</f>
        <v>0</v>
      </c>
      <c r="AN282" s="137">
        <f t="shared" si="68"/>
        <v>0</v>
      </c>
      <c r="AO282" s="137">
        <f>('School Level Inst. Resources'!K282*'Model Data Inputs'!$B$96)+('School Level Inst. Resources'!J282*'Model Data Inputs'!$B$97)</f>
        <v>20044.75</v>
      </c>
      <c r="AP282" s="137">
        <f>$L282*'Model Data Inputs'!$B$100</f>
        <v>32071.599999999999</v>
      </c>
      <c r="AQ282" s="137">
        <f t="shared" si="69"/>
        <v>6573431.1930583147</v>
      </c>
      <c r="AR282" s="141">
        <f t="shared" si="62"/>
        <v>8198.4449707009499</v>
      </c>
    </row>
    <row r="283" spans="1:44" s="40" customFormat="1" ht="12.75" customHeight="1" x14ac:dyDescent="0.2">
      <c r="A283" s="20" t="s">
        <v>82</v>
      </c>
      <c r="B283" s="20" t="s">
        <v>83</v>
      </c>
      <c r="C283" s="20" t="s">
        <v>934</v>
      </c>
      <c r="D283" s="20" t="s">
        <v>935</v>
      </c>
      <c r="E283" s="138" t="s">
        <v>383</v>
      </c>
      <c r="F283" s="138" t="str">
        <f>IF(AND(SUM('School Level ADM'!$F283:$J283)=0,SUM('School Level ADM'!$O283:$R283)=0,'School Level ADM'!$K283&gt;0,'School Level ADM'!$N283&gt;0),"T","F")</f>
        <v>F</v>
      </c>
      <c r="G283" s="138" t="str">
        <f>IF(AND(SUM('School Level ADM'!$M283:$R283)=0,'School Level ADM'!$L283&gt;0),"T","F")</f>
        <v>F</v>
      </c>
      <c r="H283" s="138" t="str">
        <f t="shared" si="56"/>
        <v>M</v>
      </c>
      <c r="I283" s="139">
        <f>IF($F283="T",SUM('School Level ADM'!$F283:$J283),IF($G283="T",SUM('School Level ADM'!$F283:$L283),SUM('School Level ADM'!$F283:$K283,0)))</f>
        <v>0</v>
      </c>
      <c r="J283" s="139">
        <f>'School Level ADM'!$S283-$I283-$K283</f>
        <v>17.73</v>
      </c>
      <c r="K283" s="139">
        <f>IF(SUM('School Level ADM'!$N283:$R283)='School Level ADM'!$S283,SUM('School Level ADM'!$N283:$R283),IF(OR(SUM('School Level ADM'!$F283:$O283)='School Level ADM'!$S283,SUM('School Level ADM'!$G283:$O283)='School Level ADM'!$S283,SUM('School Level ADM'!$H283:$O283)='School Level ADM'!$S283,SUM('School Level ADM'!$I283:$O283)='School Level ADM'!$S283,SUM('School Level ADM'!$J283:$O283)='School Level ADM'!$S283,SUM('School Level ADM'!$K283:$O283)='School Level ADM'!$S283,SUM('School Level ADM'!$L283:$O283)='School Level ADM'!$S283,SUM('School Level ADM'!$M283:$O283)='School Level ADM'!$S283,SUM('School Level ADM'!$N283:$O283)='School Level ADM'!$S283),0,SUM('School Level ADM'!$O283:$R283)))</f>
        <v>0</v>
      </c>
      <c r="L283" s="139">
        <f t="shared" si="57"/>
        <v>17.73</v>
      </c>
      <c r="M283" s="24">
        <f>'Student At-Risk and ELL Proxy'!S283</f>
        <v>20</v>
      </c>
      <c r="N283" s="24">
        <f>'Student At-Risk and ELL Proxy'!AH283</f>
        <v>0</v>
      </c>
      <c r="O283" s="136" t="str">
        <f t="shared" si="63"/>
        <v/>
      </c>
      <c r="P283" s="136">
        <f t="shared" si="64"/>
        <v>3.3266409409305164</v>
      </c>
      <c r="Q283" s="136" t="str">
        <f t="shared" si="65"/>
        <v/>
      </c>
      <c r="R283" s="136">
        <f t="shared" si="58"/>
        <v>3.3266409409305164</v>
      </c>
      <c r="S283" s="136">
        <f>IF(SUM(3515.4*((VLOOKUP($A283,'District Level ADM'!$A$4:$F$52,6,FALSE))^-0.327)/'Model Data Inputs'!$B$71)&lt;1,1,(3515.4*((VLOOKUP($A283,'District Level ADM'!$A$4:$F$52,6,FALSE))^-0.327)/'Model Data Inputs'!$B$71))</f>
        <v>1.2837570401122145</v>
      </c>
      <c r="T283" s="136">
        <f>VLOOKUP($A283,'Regional Cost Adjustment'!$A$4:$C$52,3,FALSE)</f>
        <v>0.98</v>
      </c>
      <c r="U283" s="123">
        <f>((($I283/$L283)*'Model Data Inputs'!$B$85)+((SUM(J283:K283)/$L283)*'Model Data Inputs'!$C$85))*$R283*$T283</f>
        <v>17548.475734126125</v>
      </c>
      <c r="V283" s="140">
        <f>((($I283/$L283)*'Model Data Inputs'!$B$86)+((SUM(J283:K283)/$L283)*'Model Data Inputs'!$C$86))*$R283</f>
        <v>4767.4349718727517</v>
      </c>
      <c r="W283" s="140">
        <f t="shared" si="66"/>
        <v>22315.910705998875</v>
      </c>
      <c r="X283" s="140">
        <f t="shared" si="59"/>
        <v>311134.47476605623</v>
      </c>
      <c r="Y283" s="140">
        <f t="shared" si="60"/>
        <v>84526.622051303886</v>
      </c>
      <c r="Z283" s="123">
        <f>IF((SUM(X283:Y283))&lt;(AVERAGE('Elementary Size Adjustment'!$B$66,'Secondary Size Adjustment'!$B$66)),(AVERAGE('Elementary Size Adjustment'!$B$66,'Secondary Size Adjustment'!$B$66)),SUM(X283:Y283))</f>
        <v>395661.09681736014</v>
      </c>
      <c r="AA283" s="137">
        <f>'Model Data Inputs'!$B$71*S283*L283</f>
        <v>4324.5923410260166</v>
      </c>
      <c r="AB283" s="137">
        <f>L283*'Model Data Inputs'!$B$72</f>
        <v>443.25</v>
      </c>
      <c r="AC283" s="137">
        <f>L283*'Model Data Inputs'!$B$73</f>
        <v>4432.5</v>
      </c>
      <c r="AD283" s="137">
        <f>L283*'Model Data Inputs'!$B$74</f>
        <v>2216.25</v>
      </c>
      <c r="AE283" s="137">
        <f>$I283*'Model Data Inputs'!$B$76</f>
        <v>0</v>
      </c>
      <c r="AF283" s="137">
        <f>VLOOKUP($J283,'Student Activities MS&amp;HS Tables'!$M$7:$O$1267,3)</f>
        <v>12656.16</v>
      </c>
      <c r="AG283" s="137">
        <f>VLOOKUP($K283,'Student Activities MS&amp;HS Tables'!$I$7:$K$3007,3)</f>
        <v>0</v>
      </c>
      <c r="AH283" s="137">
        <f t="shared" si="61"/>
        <v>12656.16</v>
      </c>
      <c r="AI283" s="123">
        <f t="shared" si="67"/>
        <v>419733.84915838612</v>
      </c>
      <c r="AJ283" s="123">
        <f>(('Model Data Inputs'!$B$90*(('Model Data Inputs'!$B$87*('School Level Inst. Resources'!I283/'School Level Inst. Resources'!L283))+('Model Data Inputs'!$C$87*(SUM('School Level Inst. Resources'!J283:K283)/'School Level Inst. Resources'!L283))))*T283*M283)</f>
        <v>40077.475870322145</v>
      </c>
      <c r="AK283" s="123">
        <f>(('Model Data Inputs'!$B$91*(('Model Data Inputs'!$B$87*('School Level Inst. Resources'!I283/'School Level Inst. Resources'!L283))+('Model Data Inputs'!$C$87*(SUM('School Level Inst. Resources'!J283:K283)/'School Level Inst. Resources'!L283))))*T283*N283)</f>
        <v>0</v>
      </c>
      <c r="AL283" s="137">
        <f>(K283*'Model Data Inputs'!$B$94)*T283</f>
        <v>0</v>
      </c>
      <c r="AM283" s="137">
        <f>K283*'Model Data Inputs'!$B$95</f>
        <v>0</v>
      </c>
      <c r="AN283" s="137">
        <f t="shared" si="68"/>
        <v>0</v>
      </c>
      <c r="AO283" s="137">
        <f>('School Level Inst. Resources'!K283*'Model Data Inputs'!$B$96)+('School Level Inst. Resources'!J283*'Model Data Inputs'!$B$97)</f>
        <v>443.25</v>
      </c>
      <c r="AP283" s="137">
        <f>$L283*'Model Data Inputs'!$B$100</f>
        <v>709.2</v>
      </c>
      <c r="AQ283" s="137">
        <f t="shared" si="69"/>
        <v>460963.77502870827</v>
      </c>
      <c r="AR283" s="141">
        <f t="shared" si="62"/>
        <v>25999.084885995955</v>
      </c>
    </row>
    <row r="284" spans="1:44" s="40" customFormat="1" ht="12.75" customHeight="1" x14ac:dyDescent="0.2">
      <c r="A284" s="20" t="s">
        <v>82</v>
      </c>
      <c r="B284" s="20" t="s">
        <v>83</v>
      </c>
      <c r="C284" s="20" t="s">
        <v>936</v>
      </c>
      <c r="D284" s="20" t="s">
        <v>937</v>
      </c>
      <c r="E284" s="138" t="s">
        <v>389</v>
      </c>
      <c r="F284" s="138" t="str">
        <f>IF(AND(SUM('School Level ADM'!$F284:$J284)=0,SUM('School Level ADM'!$O284:$R284)=0,'School Level ADM'!$K284&gt;0,'School Level ADM'!$N284&gt;0),"T","F")</f>
        <v>F</v>
      </c>
      <c r="G284" s="138" t="str">
        <f>IF(AND(SUM('School Level ADM'!$M284:$R284)=0,'School Level ADM'!$L284&gt;0),"T","F")</f>
        <v>F</v>
      </c>
      <c r="H284" s="138" t="str">
        <f t="shared" si="56"/>
        <v>H</v>
      </c>
      <c r="I284" s="139">
        <f>IF($F284="T",SUM('School Level ADM'!$F284:$J284),IF($G284="T",SUM('School Level ADM'!$F284:$L284),SUM('School Level ADM'!$F284:$K284,0)))</f>
        <v>0</v>
      </c>
      <c r="J284" s="139">
        <f>'School Level ADM'!$S284-$I284-$K284</f>
        <v>0</v>
      </c>
      <c r="K284" s="139">
        <f>IF(SUM('School Level ADM'!$N284:$R284)='School Level ADM'!$S284,SUM('School Level ADM'!$N284:$R284),IF(OR(SUM('School Level ADM'!$F284:$O284)='School Level ADM'!$S284,SUM('School Level ADM'!$G284:$O284)='School Level ADM'!$S284,SUM('School Level ADM'!$H284:$O284)='School Level ADM'!$S284,SUM('School Level ADM'!$I284:$O284)='School Level ADM'!$S284,SUM('School Level ADM'!$J284:$O284)='School Level ADM'!$S284,SUM('School Level ADM'!$K284:$O284)='School Level ADM'!$S284,SUM('School Level ADM'!$L284:$O284)='School Level ADM'!$S284,SUM('School Level ADM'!$M284:$O284)='School Level ADM'!$S284,SUM('School Level ADM'!$N284:$O284)='School Level ADM'!$S284),0,SUM('School Level ADM'!$O284:$R284)))</f>
        <v>54.174999999999997</v>
      </c>
      <c r="L284" s="139">
        <f t="shared" si="57"/>
        <v>54.174999999999997</v>
      </c>
      <c r="M284" s="24">
        <f>'Student At-Risk and ELL Proxy'!S284</f>
        <v>40</v>
      </c>
      <c r="N284" s="24">
        <f>'Student At-Risk and ELL Proxy'!AH284</f>
        <v>0</v>
      </c>
      <c r="O284" s="136" t="str">
        <f t="shared" si="63"/>
        <v/>
      </c>
      <c r="P284" s="136">
        <f t="shared" si="64"/>
        <v>2.2477048017092196</v>
      </c>
      <c r="Q284" s="136" t="str">
        <f t="shared" si="65"/>
        <v/>
      </c>
      <c r="R284" s="136">
        <f t="shared" si="58"/>
        <v>2.2477048017092196</v>
      </c>
      <c r="S284" s="136">
        <f>IF(SUM(3515.4*((VLOOKUP($A284,'District Level ADM'!$A$4:$F$52,6,FALSE))^-0.327)/'Model Data Inputs'!$B$71)&lt;1,1,(3515.4*((VLOOKUP($A284,'District Level ADM'!$A$4:$F$52,6,FALSE))^-0.327)/'Model Data Inputs'!$B$71))</f>
        <v>1.2837570401122145</v>
      </c>
      <c r="T284" s="136">
        <f>VLOOKUP($A284,'Regional Cost Adjustment'!$A$4:$C$52,3,FALSE)</f>
        <v>0.98</v>
      </c>
      <c r="U284" s="123">
        <f>((($I284/$L284)*'Model Data Inputs'!$B$85)+((SUM(J284:K284)/$L284)*'Model Data Inputs'!$C$85))*$R284*$T284</f>
        <v>11856.943346353433</v>
      </c>
      <c r="V284" s="140">
        <f>((($I284/$L284)*'Model Data Inputs'!$B$86)+((SUM(J284:K284)/$L284)*'Model Data Inputs'!$C$86))*$R284</f>
        <v>3221.2032102020185</v>
      </c>
      <c r="W284" s="140">
        <f t="shared" si="66"/>
        <v>15078.146556555452</v>
      </c>
      <c r="X284" s="140">
        <f t="shared" si="59"/>
        <v>642349.90578869719</v>
      </c>
      <c r="Y284" s="140">
        <f t="shared" si="60"/>
        <v>174508.68391269434</v>
      </c>
      <c r="Z284" s="123">
        <f>IF((SUM(X284:Y284))&lt;(AVERAGE('Elementary Size Adjustment'!$B$66,'Secondary Size Adjustment'!$B$66)),(AVERAGE('Elementary Size Adjustment'!$B$66,'Secondary Size Adjustment'!$B$66)),SUM(X284:Y284))</f>
        <v>816858.58970139152</v>
      </c>
      <c r="AA284" s="137">
        <f>'Model Data Inputs'!$B$71*S284*L284</f>
        <v>13214.032153135051</v>
      </c>
      <c r="AB284" s="137">
        <f>L284*'Model Data Inputs'!$B$72</f>
        <v>1354.375</v>
      </c>
      <c r="AC284" s="137">
        <f>L284*'Model Data Inputs'!$B$73</f>
        <v>13543.75</v>
      </c>
      <c r="AD284" s="137">
        <f>L284*'Model Data Inputs'!$B$74</f>
        <v>6771.875</v>
      </c>
      <c r="AE284" s="137">
        <f>$I284*'Model Data Inputs'!$B$76</f>
        <v>0</v>
      </c>
      <c r="AF284" s="137">
        <f>VLOOKUP($J284,'Student Activities MS&amp;HS Tables'!$M$7:$O$1267,3)</f>
        <v>0</v>
      </c>
      <c r="AG284" s="137">
        <f>VLOOKUP($K284,'Student Activities MS&amp;HS Tables'!$I$7:$K$3007,3)</f>
        <v>95963.4</v>
      </c>
      <c r="AH284" s="137">
        <f t="shared" si="61"/>
        <v>95963.4</v>
      </c>
      <c r="AI284" s="123">
        <f t="shared" si="67"/>
        <v>947706.0218545266</v>
      </c>
      <c r="AJ284" s="123">
        <f>(('Model Data Inputs'!$B$90*(('Model Data Inputs'!$B$87*('School Level Inst. Resources'!I284/'School Level Inst. Resources'!L284))+('Model Data Inputs'!$C$87*(SUM('School Level Inst. Resources'!J284:K284)/'School Level Inst. Resources'!L284))))*T284*M284)</f>
        <v>80154.95174064429</v>
      </c>
      <c r="AK284" s="123">
        <f>(('Model Data Inputs'!$B$91*(('Model Data Inputs'!$B$87*('School Level Inst. Resources'!I284/'School Level Inst. Resources'!L284))+('Model Data Inputs'!$C$87*(SUM('School Level Inst. Resources'!J284:K284)/'School Level Inst. Resources'!L284))))*T284*N284)</f>
        <v>0</v>
      </c>
      <c r="AL284" s="137">
        <f>(K284*'Model Data Inputs'!$B$94)*T284</f>
        <v>8763.5672949825002</v>
      </c>
      <c r="AM284" s="137">
        <f>K284*'Model Data Inputs'!$B$95</f>
        <v>2270.4647693749998</v>
      </c>
      <c r="AN284" s="137">
        <f t="shared" si="68"/>
        <v>11034.0320643575</v>
      </c>
      <c r="AO284" s="137">
        <f>('School Level Inst. Resources'!K284*'Model Data Inputs'!$B$96)+('School Level Inst. Resources'!J284*'Model Data Inputs'!$B$97)</f>
        <v>5417.5</v>
      </c>
      <c r="AP284" s="137">
        <f>$L284*'Model Data Inputs'!$B$100</f>
        <v>2167</v>
      </c>
      <c r="AQ284" s="137">
        <f t="shared" si="69"/>
        <v>1046479.5056595284</v>
      </c>
      <c r="AR284" s="141">
        <f t="shared" si="62"/>
        <v>19316.649850660426</v>
      </c>
    </row>
    <row r="285" spans="1:44" s="40" customFormat="1" ht="12.75" customHeight="1" x14ac:dyDescent="0.2">
      <c r="A285" s="20" t="s">
        <v>82</v>
      </c>
      <c r="B285" s="20" t="s">
        <v>83</v>
      </c>
      <c r="C285" s="20" t="s">
        <v>938</v>
      </c>
      <c r="D285" s="20" t="s">
        <v>939</v>
      </c>
      <c r="E285" s="138" t="s">
        <v>389</v>
      </c>
      <c r="F285" s="138" t="str">
        <f>IF(AND(SUM('School Level ADM'!$F285:$J285)=0,SUM('School Level ADM'!$O285:$R285)=0,'School Level ADM'!$K285&gt;0,'School Level ADM'!$N285&gt;0),"T","F")</f>
        <v>F</v>
      </c>
      <c r="G285" s="138" t="str">
        <f>IF(AND(SUM('School Level ADM'!$M285:$R285)=0,'School Level ADM'!$L285&gt;0),"T","F")</f>
        <v>F</v>
      </c>
      <c r="H285" s="138" t="str">
        <f t="shared" si="56"/>
        <v>H</v>
      </c>
      <c r="I285" s="139">
        <f>IF($F285="T",SUM('School Level ADM'!$F285:$J285),IF($G285="T",SUM('School Level ADM'!$F285:$L285),SUM('School Level ADM'!$F285:$K285,0)))</f>
        <v>0</v>
      </c>
      <c r="J285" s="139">
        <f>'School Level ADM'!$S285-$I285-$K285</f>
        <v>0</v>
      </c>
      <c r="K285" s="139">
        <f>IF(SUM('School Level ADM'!$N285:$R285)='School Level ADM'!$S285,SUM('School Level ADM'!$N285:$R285),IF(OR(SUM('School Level ADM'!$F285:$O285)='School Level ADM'!$S285,SUM('School Level ADM'!$G285:$O285)='School Level ADM'!$S285,SUM('School Level ADM'!$H285:$O285)='School Level ADM'!$S285,SUM('School Level ADM'!$I285:$O285)='School Level ADM'!$S285,SUM('School Level ADM'!$J285:$O285)='School Level ADM'!$S285,SUM('School Level ADM'!$K285:$O285)='School Level ADM'!$S285,SUM('School Level ADM'!$L285:$O285)='School Level ADM'!$S285,SUM('School Level ADM'!$M285:$O285)='School Level ADM'!$S285,SUM('School Level ADM'!$N285:$O285)='School Level ADM'!$S285),0,SUM('School Level ADM'!$O285:$R285)))</f>
        <v>929.83999999999992</v>
      </c>
      <c r="L285" s="139">
        <f t="shared" si="57"/>
        <v>929.83999999999992</v>
      </c>
      <c r="M285" s="24">
        <f>'Student At-Risk and ELL Proxy'!S285</f>
        <v>272</v>
      </c>
      <c r="N285" s="24">
        <f>'Student At-Risk and ELL Proxy'!AH285</f>
        <v>7</v>
      </c>
      <c r="O285" s="136" t="str">
        <f t="shared" si="63"/>
        <v/>
      </c>
      <c r="P285" s="136">
        <f t="shared" si="64"/>
        <v>0.97</v>
      </c>
      <c r="Q285" s="136" t="str">
        <f t="shared" si="65"/>
        <v/>
      </c>
      <c r="R285" s="136">
        <f t="shared" si="58"/>
        <v>0.97</v>
      </c>
      <c r="S285" s="136">
        <f>IF(SUM(3515.4*((VLOOKUP($A285,'District Level ADM'!$A$4:$F$52,6,FALSE))^-0.327)/'Model Data Inputs'!$B$71)&lt;1,1,(3515.4*((VLOOKUP($A285,'District Level ADM'!$A$4:$F$52,6,FALSE))^-0.327)/'Model Data Inputs'!$B$71))</f>
        <v>1.2837570401122145</v>
      </c>
      <c r="T285" s="136">
        <f>VLOOKUP($A285,'Regional Cost Adjustment'!$A$4:$C$52,3,FALSE)</f>
        <v>0.98</v>
      </c>
      <c r="U285" s="123">
        <f>((($I285/$L285)*'Model Data Inputs'!$B$85)+((SUM(J285:K285)/$L285)*'Model Data Inputs'!$C$85))*$R285*$T285</f>
        <v>5116.8796886570508</v>
      </c>
      <c r="V285" s="140">
        <f>((($I285/$L285)*'Model Data Inputs'!$B$86)+((SUM(J285:K285)/$L285)*'Model Data Inputs'!$C$86))*$R285</f>
        <v>1390.1145343996893</v>
      </c>
      <c r="W285" s="140">
        <f t="shared" si="66"/>
        <v>6506.9942230567403</v>
      </c>
      <c r="X285" s="140">
        <f t="shared" si="59"/>
        <v>4757879.4097008714</v>
      </c>
      <c r="Y285" s="140">
        <f t="shared" si="60"/>
        <v>1292584.0986662069</v>
      </c>
      <c r="Z285" s="123">
        <f>IF((SUM(X285:Y285))&lt;(AVERAGE('Elementary Size Adjustment'!$B$66,'Secondary Size Adjustment'!$B$66)),(AVERAGE('Elementary Size Adjustment'!$B$66,'Secondary Size Adjustment'!$B$66)),SUM(X285:Y285))</f>
        <v>6050463.5083670784</v>
      </c>
      <c r="AA285" s="137">
        <f>'Model Data Inputs'!$B$71*S285*L285</f>
        <v>226800.84277380886</v>
      </c>
      <c r="AB285" s="137">
        <f>L285*'Model Data Inputs'!$B$72</f>
        <v>23245.999999999996</v>
      </c>
      <c r="AC285" s="137">
        <f>L285*'Model Data Inputs'!$B$73</f>
        <v>232459.99999999997</v>
      </c>
      <c r="AD285" s="137">
        <f>L285*'Model Data Inputs'!$B$74</f>
        <v>116229.99999999999</v>
      </c>
      <c r="AE285" s="137">
        <f>$I285*'Model Data Inputs'!$B$76</f>
        <v>0</v>
      </c>
      <c r="AF285" s="137">
        <f>VLOOKUP($J285,'Student Activities MS&amp;HS Tables'!$M$7:$O$1267,3)</f>
        <v>0</v>
      </c>
      <c r="AG285" s="137">
        <f>VLOOKUP($K285,'Student Activities MS&amp;HS Tables'!$I$7:$K$3007,3)</f>
        <v>610436.61</v>
      </c>
      <c r="AH285" s="137">
        <f t="shared" si="61"/>
        <v>610436.61</v>
      </c>
      <c r="AI285" s="123">
        <f t="shared" si="67"/>
        <v>7259636.9611408878</v>
      </c>
      <c r="AJ285" s="123">
        <f>(('Model Data Inputs'!$B$90*(('Model Data Inputs'!$B$87*('School Level Inst. Resources'!I285/'School Level Inst. Resources'!L285))+('Model Data Inputs'!$C$87*(SUM('School Level Inst. Resources'!J285:K285)/'School Level Inst. Resources'!L285))))*T285*M285)</f>
        <v>545053.6718363812</v>
      </c>
      <c r="AK285" s="123">
        <f>(('Model Data Inputs'!$B$91*(('Model Data Inputs'!$B$87*('School Level Inst. Resources'!I285/'School Level Inst. Resources'!L285))+('Model Data Inputs'!$C$87*(SUM('School Level Inst. Resources'!J285:K285)/'School Level Inst. Resources'!L285))))*T285*N285)</f>
        <v>14027.11655461275</v>
      </c>
      <c r="AL285" s="137">
        <f>(K285*'Model Data Inputs'!$B$94)*T285</f>
        <v>150414.68229933598</v>
      </c>
      <c r="AM285" s="137">
        <f>K285*'Model Data Inputs'!$B$95</f>
        <v>38969.431677999994</v>
      </c>
      <c r="AN285" s="137">
        <f t="shared" si="68"/>
        <v>189384.11397733598</v>
      </c>
      <c r="AO285" s="137">
        <f>('School Level Inst. Resources'!K285*'Model Data Inputs'!$B$96)+('School Level Inst. Resources'!J285*'Model Data Inputs'!$B$97)</f>
        <v>92983.999999999985</v>
      </c>
      <c r="AP285" s="137">
        <f>$L285*'Model Data Inputs'!$B$100</f>
        <v>37193.599999999999</v>
      </c>
      <c r="AQ285" s="137">
        <f t="shared" si="69"/>
        <v>8138279.4635092169</v>
      </c>
      <c r="AR285" s="141">
        <f t="shared" si="62"/>
        <v>8752.343912403443</v>
      </c>
    </row>
    <row r="286" spans="1:44" s="40" customFormat="1" ht="12.75" customHeight="1" x14ac:dyDescent="0.2">
      <c r="A286" s="20" t="s">
        <v>84</v>
      </c>
      <c r="B286" s="20" t="s">
        <v>85</v>
      </c>
      <c r="C286" s="20" t="s">
        <v>940</v>
      </c>
      <c r="D286" s="20" t="s">
        <v>941</v>
      </c>
      <c r="E286" s="138" t="s">
        <v>357</v>
      </c>
      <c r="F286" s="138" t="str">
        <f>IF(AND(SUM('School Level ADM'!$F286:$J286)=0,SUM('School Level ADM'!$O286:$R286)=0,'School Level ADM'!$K286&gt;0,'School Level ADM'!$N286&gt;0),"T","F")</f>
        <v>F</v>
      </c>
      <c r="G286" s="138" t="str">
        <f>IF(AND(SUM('School Level ADM'!$M286:$R286)=0,'School Level ADM'!$L286&gt;0),"T","F")</f>
        <v>F</v>
      </c>
      <c r="H286" s="138" t="str">
        <f t="shared" si="56"/>
        <v>E</v>
      </c>
      <c r="I286" s="139">
        <f>IF($F286="T",SUM('School Level ADM'!$F286:$J286),IF($G286="T",SUM('School Level ADM'!$F286:$L286),SUM('School Level ADM'!$F286:$K286,0)))</f>
        <v>10.834999999999999</v>
      </c>
      <c r="J286" s="139">
        <f>'School Level ADM'!$S286-$I286-$K286</f>
        <v>0</v>
      </c>
      <c r="K286" s="139">
        <f>IF(SUM('School Level ADM'!$N286:$R286)='School Level ADM'!$S286,SUM('School Level ADM'!$N286:$R286),IF(OR(SUM('School Level ADM'!$F286:$O286)='School Level ADM'!$S286,SUM('School Level ADM'!$G286:$O286)='School Level ADM'!$S286,SUM('School Level ADM'!$H286:$O286)='School Level ADM'!$S286,SUM('School Level ADM'!$I286:$O286)='School Level ADM'!$S286,SUM('School Level ADM'!$J286:$O286)='School Level ADM'!$S286,SUM('School Level ADM'!$K286:$O286)='School Level ADM'!$S286,SUM('School Level ADM'!$L286:$O286)='School Level ADM'!$S286,SUM('School Level ADM'!$M286:$O286)='School Level ADM'!$S286,SUM('School Level ADM'!$N286:$O286)='School Level ADM'!$S286),0,SUM('School Level ADM'!$O286:$R286)))</f>
        <v>0</v>
      </c>
      <c r="L286" s="139">
        <f t="shared" si="57"/>
        <v>10.834999999999999</v>
      </c>
      <c r="M286" s="24">
        <f>'Student At-Risk and ELL Proxy'!S286</f>
        <v>2</v>
      </c>
      <c r="N286" s="24">
        <f>'Student At-Risk and ELL Proxy'!AH286</f>
        <v>0</v>
      </c>
      <c r="O286" s="136">
        <f t="shared" si="63"/>
        <v>3.7219797175527471</v>
      </c>
      <c r="P286" s="136" t="str">
        <f t="shared" si="64"/>
        <v/>
      </c>
      <c r="Q286" s="136" t="str">
        <f t="shared" si="65"/>
        <v/>
      </c>
      <c r="R286" s="136">
        <f t="shared" si="58"/>
        <v>3.7219797175527471</v>
      </c>
      <c r="S286" s="136">
        <f>IF(SUM(3515.4*((VLOOKUP($A286,'District Level ADM'!$A$4:$F$52,6,FALSE))^-0.327)/'Model Data Inputs'!$B$71)&lt;1,1,(3515.4*((VLOOKUP($A286,'District Level ADM'!$A$4:$F$52,6,FALSE))^-0.327)/'Model Data Inputs'!$B$71))</f>
        <v>4.1657494241892277</v>
      </c>
      <c r="T286" s="136">
        <f>VLOOKUP($A286,'Regional Cost Adjustment'!$A$4:$C$52,3,FALSE)</f>
        <v>0.98</v>
      </c>
      <c r="U286" s="123">
        <f>((($I286/$L286)*'Model Data Inputs'!$B$85)+((SUM(J286:K286)/$L286)*'Model Data Inputs'!$C$85))*$R286*$T286</f>
        <v>23226.031612597086</v>
      </c>
      <c r="V286" s="140">
        <f>((($I286/$L286)*'Model Data Inputs'!$B$86)+((SUM(J286:K286)/$L286)*'Model Data Inputs'!$C$86))*$R286</f>
        <v>6299.9149582066857</v>
      </c>
      <c r="W286" s="140">
        <f t="shared" si="66"/>
        <v>29525.946570803771</v>
      </c>
      <c r="X286" s="140">
        <f t="shared" si="59"/>
        <v>251654.05252248939</v>
      </c>
      <c r="Y286" s="140">
        <f t="shared" si="60"/>
        <v>68259.578572169426</v>
      </c>
      <c r="Z286" s="123">
        <f>IF((SUM(X286:Y286))&lt;(AVERAGE('Elementary Size Adjustment'!$B$66,'Secondary Size Adjustment'!$B$66)),(AVERAGE('Elementary Size Adjustment'!$B$66,'Secondary Size Adjustment'!$B$66)),SUM(X286:Y286))</f>
        <v>319913.63109465881</v>
      </c>
      <c r="AA286" s="137">
        <f>'Model Data Inputs'!$B$71*S286*L286</f>
        <v>8575.8200521071522</v>
      </c>
      <c r="AB286" s="137">
        <f>L286*'Model Data Inputs'!$B$72</f>
        <v>270.875</v>
      </c>
      <c r="AC286" s="137">
        <f>L286*'Model Data Inputs'!$B$73</f>
        <v>2708.7499999999995</v>
      </c>
      <c r="AD286" s="137">
        <f>L286*'Model Data Inputs'!$B$74</f>
        <v>1354.3749999999998</v>
      </c>
      <c r="AE286" s="137">
        <f>$I286*'Model Data Inputs'!$B$76</f>
        <v>257.76464999999996</v>
      </c>
      <c r="AF286" s="137">
        <f>VLOOKUP($J286,'Student Activities MS&amp;HS Tables'!$M$7:$O$1267,3)</f>
        <v>0</v>
      </c>
      <c r="AG286" s="137">
        <f>VLOOKUP($K286,'Student Activities MS&amp;HS Tables'!$I$7:$K$3007,3)</f>
        <v>0</v>
      </c>
      <c r="AH286" s="137">
        <f t="shared" si="61"/>
        <v>257.76464999999996</v>
      </c>
      <c r="AI286" s="123">
        <f t="shared" si="67"/>
        <v>333081.21579676599</v>
      </c>
      <c r="AJ286" s="123">
        <f>(('Model Data Inputs'!$B$90*(('Model Data Inputs'!$B$87*('School Level Inst. Resources'!I286/'School Level Inst. Resources'!L286))+('Model Data Inputs'!$C$87*(SUM('School Level Inst. Resources'!J286:K286)/'School Level Inst. Resources'!L286))))*T286*M286)</f>
        <v>4739.4049139478666</v>
      </c>
      <c r="AK286" s="123">
        <f>(('Model Data Inputs'!$B$91*(('Model Data Inputs'!$B$87*('School Level Inst. Resources'!I286/'School Level Inst. Resources'!L286))+('Model Data Inputs'!$C$87*(SUM('School Level Inst. Resources'!J286:K286)/'School Level Inst. Resources'!L286))))*T286*N286)</f>
        <v>0</v>
      </c>
      <c r="AL286" s="137">
        <f>(K286*'Model Data Inputs'!$B$94)*T286</f>
        <v>0</v>
      </c>
      <c r="AM286" s="137">
        <f>K286*'Model Data Inputs'!$B$95</f>
        <v>0</v>
      </c>
      <c r="AN286" s="137">
        <f t="shared" si="68"/>
        <v>0</v>
      </c>
      <c r="AO286" s="137">
        <f>('School Level Inst. Resources'!K286*'Model Data Inputs'!$B$96)+('School Level Inst. Resources'!J286*'Model Data Inputs'!$B$97)</f>
        <v>0</v>
      </c>
      <c r="AP286" s="137">
        <f>$L286*'Model Data Inputs'!$B$100</f>
        <v>433.4</v>
      </c>
      <c r="AQ286" s="137">
        <f t="shared" si="69"/>
        <v>338254.02071071387</v>
      </c>
      <c r="AR286" s="141">
        <f t="shared" si="62"/>
        <v>31218.645197112495</v>
      </c>
    </row>
    <row r="287" spans="1:44" s="40" customFormat="1" ht="12.75" customHeight="1" x14ac:dyDescent="0.2">
      <c r="A287" s="20" t="s">
        <v>84</v>
      </c>
      <c r="B287" s="20" t="s">
        <v>85</v>
      </c>
      <c r="C287" s="20" t="s">
        <v>942</v>
      </c>
      <c r="D287" s="20" t="s">
        <v>943</v>
      </c>
      <c r="E287" s="138" t="s">
        <v>474</v>
      </c>
      <c r="F287" s="138" t="str">
        <f>IF(AND(SUM('School Level ADM'!$F287:$J287)=0,SUM('School Level ADM'!$O287:$R287)=0,'School Level ADM'!$K287&gt;0,'School Level ADM'!$N287&gt;0),"T","F")</f>
        <v>F</v>
      </c>
      <c r="G287" s="138" t="str">
        <f>IF(AND(SUM('School Level ADM'!$M287:$R287)=0,'School Level ADM'!$L287&gt;0),"T","F")</f>
        <v>F</v>
      </c>
      <c r="H287" s="138" t="str">
        <f t="shared" si="56"/>
        <v>H</v>
      </c>
      <c r="I287" s="139">
        <f>IF($F287="T",SUM('School Level ADM'!$F287:$J287),IF($G287="T",SUM('School Level ADM'!$F287:$L287),SUM('School Level ADM'!$F287:$K287,0)))</f>
        <v>26.594999999999999</v>
      </c>
      <c r="J287" s="139">
        <f>'School Level ADM'!$S287-$I287-$K287</f>
        <v>20.684999999999995</v>
      </c>
      <c r="K287" s="139">
        <f>IF(SUM('School Level ADM'!$N287:$R287)='School Level ADM'!$S287,SUM('School Level ADM'!$N287:$R287),IF(OR(SUM('School Level ADM'!$F287:$O287)='School Level ADM'!$S287,SUM('School Level ADM'!$G287:$O287)='School Level ADM'!$S287,SUM('School Level ADM'!$H287:$O287)='School Level ADM'!$S287,SUM('School Level ADM'!$I287:$O287)='School Level ADM'!$S287,SUM('School Level ADM'!$J287:$O287)='School Level ADM'!$S287,SUM('School Level ADM'!$K287:$O287)='School Level ADM'!$S287,SUM('School Level ADM'!$L287:$O287)='School Level ADM'!$S287,SUM('School Level ADM'!$M287:$O287)='School Level ADM'!$S287,SUM('School Level ADM'!$N287:$O287)='School Level ADM'!$S287),0,SUM('School Level ADM'!$O287:$R287)))</f>
        <v>37.43</v>
      </c>
      <c r="L287" s="139">
        <f t="shared" si="57"/>
        <v>84.71</v>
      </c>
      <c r="M287" s="24">
        <f>'Student At-Risk and ELL Proxy'!S287</f>
        <v>47</v>
      </c>
      <c r="N287" s="24">
        <f>'Student At-Risk and ELL Proxy'!AH287</f>
        <v>0</v>
      </c>
      <c r="O287" s="136" t="str">
        <f t="shared" si="63"/>
        <v/>
      </c>
      <c r="P287" s="136" t="str">
        <f t="shared" si="64"/>
        <v/>
      </c>
      <c r="Q287" s="136">
        <f t="shared" si="65"/>
        <v>2.7177328559434479</v>
      </c>
      <c r="R287" s="136">
        <f t="shared" si="58"/>
        <v>2.7177328559434479</v>
      </c>
      <c r="S287" s="136">
        <f>IF(SUM(3515.4*((VLOOKUP($A287,'District Level ADM'!$A$4:$F$52,6,FALSE))^-0.327)/'Model Data Inputs'!$B$71)&lt;1,1,(3515.4*((VLOOKUP($A287,'District Level ADM'!$A$4:$F$52,6,FALSE))^-0.327)/'Model Data Inputs'!$B$71))</f>
        <v>4.1657494241892277</v>
      </c>
      <c r="T287" s="136">
        <f>VLOOKUP($A287,'Regional Cost Adjustment'!$A$4:$C$52,3,FALSE)</f>
        <v>0.98</v>
      </c>
      <c r="U287" s="123">
        <f>((($I287/$L287)*'Model Data Inputs'!$B$85)+((SUM(J287:K287)/$L287)*'Model Data Inputs'!$C$85))*$R287*$T287</f>
        <v>15159.869664035603</v>
      </c>
      <c r="V287" s="140">
        <f>((($I287/$L287)*'Model Data Inputs'!$B$86)+((SUM(J287:K287)/$L287)*'Model Data Inputs'!$C$86))*$R287</f>
        <v>4116.2347727297747</v>
      </c>
      <c r="W287" s="140">
        <f t="shared" si="66"/>
        <v>19276.104436765378</v>
      </c>
      <c r="X287" s="140">
        <f t="shared" si="59"/>
        <v>1284192.5592404557</v>
      </c>
      <c r="Y287" s="140">
        <f t="shared" si="60"/>
        <v>348686.24759793922</v>
      </c>
      <c r="Z287" s="123">
        <f>IF((SUM(X287:Y287))&lt;(AVERAGE('Elementary Size Adjustment'!$B$66,'Secondary Size Adjustment'!$B$66)),(AVERAGE('Elementary Size Adjustment'!$B$66,'Secondary Size Adjustment'!$B$66)),SUM(X287:Y287))</f>
        <v>1632878.8068383951</v>
      </c>
      <c r="AA287" s="137">
        <f>'Model Data Inputs'!$B$71*S287*L287</f>
        <v>67047.320407383188</v>
      </c>
      <c r="AB287" s="137">
        <f>L287*'Model Data Inputs'!$B$72</f>
        <v>2117.75</v>
      </c>
      <c r="AC287" s="137">
        <f>L287*'Model Data Inputs'!$B$73</f>
        <v>21177.5</v>
      </c>
      <c r="AD287" s="137">
        <f>L287*'Model Data Inputs'!$B$74</f>
        <v>10588.75</v>
      </c>
      <c r="AE287" s="137">
        <f>$I287*'Model Data Inputs'!$B$76</f>
        <v>632.69504999999992</v>
      </c>
      <c r="AF287" s="137">
        <f>VLOOKUP($J287,'Student Activities MS&amp;HS Tables'!$M$7:$O$1267,3)</f>
        <v>14747</v>
      </c>
      <c r="AG287" s="137">
        <f>VLOOKUP($K287,'Student Activities MS&amp;HS Tables'!$I$7:$K$3007,3)</f>
        <v>68602.44</v>
      </c>
      <c r="AH287" s="137">
        <f t="shared" si="61"/>
        <v>83982.135049999997</v>
      </c>
      <c r="AI287" s="123">
        <f t="shared" si="67"/>
        <v>1817792.2622957781</v>
      </c>
      <c r="AJ287" s="123">
        <f>(('Model Data Inputs'!$B$90*(('Model Data Inputs'!$B$87*('School Level Inst. Resources'!I287/'School Level Inst. Resources'!L287))+('Model Data Inputs'!$C$87*(SUM('School Level Inst. Resources'!J287:K287)/'School Level Inst. Resources'!L287))))*T287*M287)</f>
        <v>99580.167992094051</v>
      </c>
      <c r="AK287" s="123">
        <f>(('Model Data Inputs'!$B$91*(('Model Data Inputs'!$B$87*('School Level Inst. Resources'!I287/'School Level Inst. Resources'!L287))+('Model Data Inputs'!$C$87*(SUM('School Level Inst. Resources'!J287:K287)/'School Level Inst. Resources'!L287))))*T287*N287)</f>
        <v>0</v>
      </c>
      <c r="AL287" s="137">
        <f>(K287*'Model Data Inputs'!$B$94)*T287</f>
        <v>6054.8283128970006</v>
      </c>
      <c r="AM287" s="137">
        <f>K287*'Model Data Inputs'!$B$95</f>
        <v>1568.6847497499998</v>
      </c>
      <c r="AN287" s="137">
        <f t="shared" si="68"/>
        <v>7623.513062647</v>
      </c>
      <c r="AO287" s="137">
        <f>('School Level Inst. Resources'!K287*'Model Data Inputs'!$B$96)+('School Level Inst. Resources'!J287*'Model Data Inputs'!$B$97)</f>
        <v>4260.125</v>
      </c>
      <c r="AP287" s="137">
        <f>$L287*'Model Data Inputs'!$B$100</f>
        <v>3388.3999999999996</v>
      </c>
      <c r="AQ287" s="137">
        <f t="shared" si="69"/>
        <v>1932644.4683505192</v>
      </c>
      <c r="AR287" s="141">
        <f t="shared" si="62"/>
        <v>22814.832585887372</v>
      </c>
    </row>
    <row r="288" spans="1:44" s="40" customFormat="1" ht="12.75" customHeight="1" x14ac:dyDescent="0.2">
      <c r="A288" s="20" t="s">
        <v>86</v>
      </c>
      <c r="B288" s="20" t="s">
        <v>87</v>
      </c>
      <c r="C288" s="20" t="s">
        <v>944</v>
      </c>
      <c r="D288" s="20" t="s">
        <v>945</v>
      </c>
      <c r="E288" s="138" t="s">
        <v>354</v>
      </c>
      <c r="F288" s="138" t="str">
        <f>IF(AND(SUM('School Level ADM'!$F288:$J288)=0,SUM('School Level ADM'!$O288:$R288)=0,'School Level ADM'!$K288&gt;0,'School Level ADM'!$N288&gt;0),"T","F")</f>
        <v>F</v>
      </c>
      <c r="G288" s="138" t="str">
        <f>IF(AND(SUM('School Level ADM'!$M288:$R288)=0,'School Level ADM'!$L288&gt;0),"T","F")</f>
        <v>F</v>
      </c>
      <c r="H288" s="138" t="str">
        <f t="shared" si="56"/>
        <v>E</v>
      </c>
      <c r="I288" s="139">
        <f>IF($F288="T",SUM('School Level ADM'!$F288:$J288),IF($G288="T",SUM('School Level ADM'!$F288:$L288),SUM('School Level ADM'!$F288:$K288,0)))</f>
        <v>5.91</v>
      </c>
      <c r="J288" s="139">
        <f>'School Level ADM'!$S288-$I288-$K288</f>
        <v>0</v>
      </c>
      <c r="K288" s="139">
        <f>IF(SUM('School Level ADM'!$N288:$R288)='School Level ADM'!$S288,SUM('School Level ADM'!$N288:$R288),IF(OR(SUM('School Level ADM'!$F288:$O288)='School Level ADM'!$S288,SUM('School Level ADM'!$G288:$O288)='School Level ADM'!$S288,SUM('School Level ADM'!$H288:$O288)='School Level ADM'!$S288,SUM('School Level ADM'!$I288:$O288)='School Level ADM'!$S288,SUM('School Level ADM'!$J288:$O288)='School Level ADM'!$S288,SUM('School Level ADM'!$K288:$O288)='School Level ADM'!$S288,SUM('School Level ADM'!$L288:$O288)='School Level ADM'!$S288,SUM('School Level ADM'!$M288:$O288)='School Level ADM'!$S288,SUM('School Level ADM'!$N288:$O288)='School Level ADM'!$S288),0,SUM('School Level ADM'!$O288:$R288)))</f>
        <v>0</v>
      </c>
      <c r="L288" s="139">
        <f t="shared" si="57"/>
        <v>5.91</v>
      </c>
      <c r="M288" s="24">
        <f>'Student At-Risk and ELL Proxy'!S288</f>
        <v>0</v>
      </c>
      <c r="N288" s="24">
        <f>'Student At-Risk and ELL Proxy'!AH288</f>
        <v>0</v>
      </c>
      <c r="O288" s="136">
        <f t="shared" si="63"/>
        <v>4.7374440422910551</v>
      </c>
      <c r="P288" s="136" t="str">
        <f t="shared" si="64"/>
        <v/>
      </c>
      <c r="Q288" s="136" t="str">
        <f t="shared" si="65"/>
        <v/>
      </c>
      <c r="R288" s="136">
        <f t="shared" si="58"/>
        <v>4.7374440422910551</v>
      </c>
      <c r="S288" s="136">
        <f>IF(SUM(3515.4*((VLOOKUP($A288,'District Level ADM'!$A$4:$F$52,6,FALSE))^-0.327)/'Model Data Inputs'!$B$71)&lt;1,1,(3515.4*((VLOOKUP($A288,'District Level ADM'!$A$4:$F$52,6,FALSE))^-0.327)/'Model Data Inputs'!$B$71))</f>
        <v>1.9035206288818032</v>
      </c>
      <c r="T288" s="136">
        <f>VLOOKUP($A288,'Regional Cost Adjustment'!$A$4:$C$52,3,FALSE)</f>
        <v>1.19</v>
      </c>
      <c r="U288" s="123">
        <f>((($I288/$L288)*'Model Data Inputs'!$B$85)+((SUM(J288:K288)/$L288)*'Model Data Inputs'!$C$85))*$R288*$T288</f>
        <v>35897.647574379327</v>
      </c>
      <c r="V288" s="140">
        <f>((($I288/$L288)*'Model Data Inputs'!$B$86)+((SUM(J288:K288)/$L288)*'Model Data Inputs'!$C$86))*$R288</f>
        <v>8018.7149986191725</v>
      </c>
      <c r="W288" s="140">
        <f t="shared" si="66"/>
        <v>43916.3625729985</v>
      </c>
      <c r="X288" s="140">
        <f t="shared" si="59"/>
        <v>212155.09716458182</v>
      </c>
      <c r="Y288" s="140">
        <f t="shared" si="60"/>
        <v>47390.605641839313</v>
      </c>
      <c r="Z288" s="123">
        <f>IF((SUM(X288:Y288))&lt;(AVERAGE('Elementary Size Adjustment'!$B$66,'Secondary Size Adjustment'!$B$66)),(AVERAGE('Elementary Size Adjustment'!$B$66,'Secondary Size Adjustment'!$B$66)),SUM(X288:Y288))</f>
        <v>259545.70280642115</v>
      </c>
      <c r="AA288" s="137">
        <f>'Model Data Inputs'!$B$71*S288*L288</f>
        <v>2137.4633141713771</v>
      </c>
      <c r="AB288" s="137">
        <f>L288*'Model Data Inputs'!$B$72</f>
        <v>147.75</v>
      </c>
      <c r="AC288" s="137">
        <f>L288*'Model Data Inputs'!$B$73</f>
        <v>1477.5</v>
      </c>
      <c r="AD288" s="137">
        <f>L288*'Model Data Inputs'!$B$74</f>
        <v>738.75</v>
      </c>
      <c r="AE288" s="137">
        <f>$I288*'Model Data Inputs'!$B$76</f>
        <v>140.59889999999999</v>
      </c>
      <c r="AF288" s="137">
        <f>VLOOKUP($J288,'Student Activities MS&amp;HS Tables'!$M$7:$O$1267,3)</f>
        <v>0</v>
      </c>
      <c r="AG288" s="137">
        <f>VLOOKUP($K288,'Student Activities MS&amp;HS Tables'!$I$7:$K$3007,3)</f>
        <v>0</v>
      </c>
      <c r="AH288" s="137">
        <f t="shared" si="61"/>
        <v>140.59889999999999</v>
      </c>
      <c r="AI288" s="123">
        <f t="shared" si="67"/>
        <v>264187.76502059249</v>
      </c>
      <c r="AJ288" s="123">
        <f>(('Model Data Inputs'!$B$90*(('Model Data Inputs'!$B$87*('School Level Inst. Resources'!I288/'School Level Inst. Resources'!L288))+('Model Data Inputs'!$C$87*(SUM('School Level Inst. Resources'!J288:K288)/'School Level Inst. Resources'!L288))))*T288*M288)</f>
        <v>0</v>
      </c>
      <c r="AK288" s="123">
        <f>(('Model Data Inputs'!$B$91*(('Model Data Inputs'!$B$87*('School Level Inst. Resources'!I288/'School Level Inst. Resources'!L288))+('Model Data Inputs'!$C$87*(SUM('School Level Inst. Resources'!J288:K288)/'School Level Inst. Resources'!L288))))*T288*N288)</f>
        <v>0</v>
      </c>
      <c r="AL288" s="137">
        <f>(K288*'Model Data Inputs'!$B$94)*T288</f>
        <v>0</v>
      </c>
      <c r="AM288" s="137">
        <f>K288*'Model Data Inputs'!$B$95</f>
        <v>0</v>
      </c>
      <c r="AN288" s="137">
        <f t="shared" si="68"/>
        <v>0</v>
      </c>
      <c r="AO288" s="137">
        <f>('School Level Inst. Resources'!K288*'Model Data Inputs'!$B$96)+('School Level Inst. Resources'!J288*'Model Data Inputs'!$B$97)</f>
        <v>0</v>
      </c>
      <c r="AP288" s="137">
        <f>$L288*'Model Data Inputs'!$B$100</f>
        <v>236.4</v>
      </c>
      <c r="AQ288" s="137">
        <f t="shared" si="69"/>
        <v>264424.16502059251</v>
      </c>
      <c r="AR288" s="141">
        <f t="shared" si="62"/>
        <v>44741.821492486044</v>
      </c>
    </row>
    <row r="289" spans="1:44" s="40" customFormat="1" ht="12.75" customHeight="1" x14ac:dyDescent="0.2">
      <c r="A289" s="20" t="s">
        <v>86</v>
      </c>
      <c r="B289" s="20" t="s">
        <v>87</v>
      </c>
      <c r="C289" s="20" t="s">
        <v>946</v>
      </c>
      <c r="D289" s="20" t="s">
        <v>947</v>
      </c>
      <c r="E289" s="138" t="s">
        <v>354</v>
      </c>
      <c r="F289" s="138" t="str">
        <f>IF(AND(SUM('School Level ADM'!$F289:$J289)=0,SUM('School Level ADM'!$O289:$R289)=0,'School Level ADM'!$K289&gt;0,'School Level ADM'!$N289&gt;0),"T","F")</f>
        <v>F</v>
      </c>
      <c r="G289" s="138" t="str">
        <f>IF(AND(SUM('School Level ADM'!$M289:$R289)=0,'School Level ADM'!$L289&gt;0),"T","F")</f>
        <v>F</v>
      </c>
      <c r="H289" s="138" t="str">
        <f t="shared" si="56"/>
        <v>E</v>
      </c>
      <c r="I289" s="139">
        <f>IF($F289="T",SUM('School Level ADM'!$F289:$J289),IF($G289="T",SUM('School Level ADM'!$F289:$L289),SUM('School Level ADM'!$F289:$K289,0)))</f>
        <v>499.39499999999998</v>
      </c>
      <c r="J289" s="139">
        <f>'School Level ADM'!$S289-$I289-$K289</f>
        <v>0</v>
      </c>
      <c r="K289" s="139">
        <f>IF(SUM('School Level ADM'!$N289:$R289)='School Level ADM'!$S289,SUM('School Level ADM'!$N289:$R289),IF(OR(SUM('School Level ADM'!$F289:$O289)='School Level ADM'!$S289,SUM('School Level ADM'!$G289:$O289)='School Level ADM'!$S289,SUM('School Level ADM'!$H289:$O289)='School Level ADM'!$S289,SUM('School Level ADM'!$I289:$O289)='School Level ADM'!$S289,SUM('School Level ADM'!$J289:$O289)='School Level ADM'!$S289,SUM('School Level ADM'!$K289:$O289)='School Level ADM'!$S289,SUM('School Level ADM'!$L289:$O289)='School Level ADM'!$S289,SUM('School Level ADM'!$M289:$O289)='School Level ADM'!$S289,SUM('School Level ADM'!$N289:$O289)='School Level ADM'!$S289),0,SUM('School Level ADM'!$O289:$R289)))</f>
        <v>0</v>
      </c>
      <c r="L289" s="139">
        <f t="shared" si="57"/>
        <v>499.39499999999998</v>
      </c>
      <c r="M289" s="24">
        <f>'Student At-Risk and ELL Proxy'!S289</f>
        <v>131</v>
      </c>
      <c r="N289" s="24">
        <f>'Student At-Risk and ELL Proxy'!AH289</f>
        <v>29</v>
      </c>
      <c r="O289" s="136">
        <f t="shared" si="63"/>
        <v>0.97</v>
      </c>
      <c r="P289" s="136" t="str">
        <f t="shared" si="64"/>
        <v/>
      </c>
      <c r="Q289" s="136" t="str">
        <f t="shared" si="65"/>
        <v/>
      </c>
      <c r="R289" s="136">
        <f t="shared" si="58"/>
        <v>0.97</v>
      </c>
      <c r="S289" s="136">
        <f>IF(SUM(3515.4*((VLOOKUP($A289,'District Level ADM'!$A$4:$F$52,6,FALSE))^-0.327)/'Model Data Inputs'!$B$71)&lt;1,1,(3515.4*((VLOOKUP($A289,'District Level ADM'!$A$4:$F$52,6,FALSE))^-0.327)/'Model Data Inputs'!$B$71))</f>
        <v>1.9035206288818032</v>
      </c>
      <c r="T289" s="136">
        <f>VLOOKUP($A289,'Regional Cost Adjustment'!$A$4:$C$52,3,FALSE)</f>
        <v>1.19</v>
      </c>
      <c r="U289" s="123">
        <f>((($I289/$L289)*'Model Data Inputs'!$B$85)+((SUM(J289:K289)/$L289)*'Model Data Inputs'!$C$85))*$R289*$T289</f>
        <v>7350.1064785787839</v>
      </c>
      <c r="V289" s="140">
        <f>((($I289/$L289)*'Model Data Inputs'!$B$86)+((SUM(J289:K289)/$L289)*'Model Data Inputs'!$C$86))*$R289</f>
        <v>1641.8459994936507</v>
      </c>
      <c r="W289" s="140">
        <f t="shared" si="66"/>
        <v>8991.952478072435</v>
      </c>
      <c r="X289" s="140">
        <f t="shared" si="59"/>
        <v>3670606.4248698517</v>
      </c>
      <c r="Y289" s="140">
        <f t="shared" si="60"/>
        <v>819929.68291713169</v>
      </c>
      <c r="Z289" s="123">
        <f>IF((SUM(X289:Y289))&lt;(AVERAGE('Elementary Size Adjustment'!$B$66,'Secondary Size Adjustment'!$B$66)),(AVERAGE('Elementary Size Adjustment'!$B$66,'Secondary Size Adjustment'!$B$66)),SUM(X289:Y289))</f>
        <v>4490536.1077869833</v>
      </c>
      <c r="AA289" s="137">
        <f>'Model Data Inputs'!$B$71*S289*L289</f>
        <v>180615.65004748132</v>
      </c>
      <c r="AB289" s="137">
        <f>L289*'Model Data Inputs'!$B$72</f>
        <v>12484.875</v>
      </c>
      <c r="AC289" s="137">
        <f>L289*'Model Data Inputs'!$B$73</f>
        <v>124848.75</v>
      </c>
      <c r="AD289" s="137">
        <f>L289*'Model Data Inputs'!$B$74</f>
        <v>62424.375</v>
      </c>
      <c r="AE289" s="137">
        <f>$I289*'Model Data Inputs'!$B$76</f>
        <v>11880.607049999999</v>
      </c>
      <c r="AF289" s="137">
        <f>VLOOKUP($J289,'Student Activities MS&amp;HS Tables'!$M$7:$O$1267,3)</f>
        <v>0</v>
      </c>
      <c r="AG289" s="137">
        <f>VLOOKUP($K289,'Student Activities MS&amp;HS Tables'!$I$7:$K$3007,3)</f>
        <v>0</v>
      </c>
      <c r="AH289" s="137">
        <f t="shared" si="61"/>
        <v>11880.607049999999</v>
      </c>
      <c r="AI289" s="123">
        <f t="shared" si="67"/>
        <v>4882790.3648844641</v>
      </c>
      <c r="AJ289" s="123">
        <f>(('Model Data Inputs'!$B$90*(('Model Data Inputs'!$B$87*('School Level Inst. Resources'!I289/'School Level Inst. Resources'!L289))+('Model Data Inputs'!$C$87*(SUM('School Level Inst. Resources'!J289:K289)/'School Level Inst. Resources'!L289))))*T289*M289)</f>
        <v>376951.95512006781</v>
      </c>
      <c r="AK289" s="123">
        <f>(('Model Data Inputs'!$B$91*(('Model Data Inputs'!$B$87*('School Level Inst. Resources'!I289/'School Level Inst. Resources'!L289))+('Model Data Inputs'!$C$87*(SUM('School Level Inst. Resources'!J289:K289)/'School Level Inst. Resources'!L289))))*T289*N289)</f>
        <v>83447.379377724938</v>
      </c>
      <c r="AL289" s="137">
        <f>(K289*'Model Data Inputs'!$B$94)*T289</f>
        <v>0</v>
      </c>
      <c r="AM289" s="137">
        <f>K289*'Model Data Inputs'!$B$95</f>
        <v>0</v>
      </c>
      <c r="AN289" s="137">
        <f t="shared" si="68"/>
        <v>0</v>
      </c>
      <c r="AO289" s="137">
        <f>('School Level Inst. Resources'!K289*'Model Data Inputs'!$B$96)+('School Level Inst. Resources'!J289*'Model Data Inputs'!$B$97)</f>
        <v>0</v>
      </c>
      <c r="AP289" s="137">
        <f>$L289*'Model Data Inputs'!$B$100</f>
        <v>19975.8</v>
      </c>
      <c r="AQ289" s="137">
        <f t="shared" si="69"/>
        <v>5363165.4993822565</v>
      </c>
      <c r="AR289" s="141">
        <f t="shared" si="62"/>
        <v>10739.325582719604</v>
      </c>
    </row>
    <row r="290" spans="1:44" s="40" customFormat="1" ht="12.75" customHeight="1" x14ac:dyDescent="0.2">
      <c r="A290" s="20" t="s">
        <v>86</v>
      </c>
      <c r="B290" s="20" t="s">
        <v>87</v>
      </c>
      <c r="C290" s="20" t="s">
        <v>948</v>
      </c>
      <c r="D290" s="20" t="s">
        <v>949</v>
      </c>
      <c r="E290" s="138" t="s">
        <v>383</v>
      </c>
      <c r="F290" s="138" t="str">
        <f>IF(AND(SUM('School Level ADM'!$F290:$J290)=0,SUM('School Level ADM'!$O290:$R290)=0,'School Level ADM'!$K290&gt;0,'School Level ADM'!$N290&gt;0),"T","F")</f>
        <v>F</v>
      </c>
      <c r="G290" s="138" t="str">
        <f>IF(AND(SUM('School Level ADM'!$M290:$R290)=0,'School Level ADM'!$L290&gt;0),"T","F")</f>
        <v>F</v>
      </c>
      <c r="H290" s="138" t="str">
        <f t="shared" si="56"/>
        <v>M</v>
      </c>
      <c r="I290" s="139">
        <f>IF($F290="T",SUM('School Level ADM'!$F290:$J290),IF($G290="T",SUM('School Level ADM'!$F290:$L290),SUM('School Level ADM'!$F290:$K290,0)))</f>
        <v>0</v>
      </c>
      <c r="J290" s="139">
        <f>'School Level ADM'!$S290-$I290-$K290</f>
        <v>243.29499999999999</v>
      </c>
      <c r="K290" s="139">
        <f>IF(SUM('School Level ADM'!$N290:$R290)='School Level ADM'!$S290,SUM('School Level ADM'!$N290:$R290),IF(OR(SUM('School Level ADM'!$F290:$O290)='School Level ADM'!$S290,SUM('School Level ADM'!$G290:$O290)='School Level ADM'!$S290,SUM('School Level ADM'!$H290:$O290)='School Level ADM'!$S290,SUM('School Level ADM'!$I290:$O290)='School Level ADM'!$S290,SUM('School Level ADM'!$J290:$O290)='School Level ADM'!$S290,SUM('School Level ADM'!$K290:$O290)='School Level ADM'!$S290,SUM('School Level ADM'!$L290:$O290)='School Level ADM'!$S290,SUM('School Level ADM'!$M290:$O290)='School Level ADM'!$S290,SUM('School Level ADM'!$N290:$O290)='School Level ADM'!$S290),0,SUM('School Level ADM'!$O290:$R290)))</f>
        <v>0</v>
      </c>
      <c r="L290" s="139">
        <f t="shared" si="57"/>
        <v>243.29499999999999</v>
      </c>
      <c r="M290" s="24">
        <f>'Student At-Risk and ELL Proxy'!S290</f>
        <v>56</v>
      </c>
      <c r="N290" s="24">
        <f>'Student At-Risk and ELL Proxy'!AH290</f>
        <v>5</v>
      </c>
      <c r="O290" s="136" t="str">
        <f t="shared" si="63"/>
        <v/>
      </c>
      <c r="P290" s="136">
        <f t="shared" si="64"/>
        <v>1.3266915003413116</v>
      </c>
      <c r="Q290" s="136" t="str">
        <f t="shared" si="65"/>
        <v/>
      </c>
      <c r="R290" s="136">
        <f t="shared" si="58"/>
        <v>1.3266915003413116</v>
      </c>
      <c r="S290" s="136">
        <f>IF(SUM(3515.4*((VLOOKUP($A290,'District Level ADM'!$A$4:$F$52,6,FALSE))^-0.327)/'Model Data Inputs'!$B$71)&lt;1,1,(3515.4*((VLOOKUP($A290,'District Level ADM'!$A$4:$F$52,6,FALSE))^-0.327)/'Model Data Inputs'!$B$71))</f>
        <v>1.9035206288818032</v>
      </c>
      <c r="T290" s="136">
        <f>VLOOKUP($A290,'Regional Cost Adjustment'!$A$4:$C$52,3,FALSE)</f>
        <v>1.19</v>
      </c>
      <c r="U290" s="123">
        <f>((($I290/$L290)*'Model Data Inputs'!$B$85)+((SUM(J290:K290)/$L290)*'Model Data Inputs'!$C$85))*$R290*$T290</f>
        <v>8498.1482658745881</v>
      </c>
      <c r="V290" s="140">
        <f>((($I290/$L290)*'Model Data Inputs'!$B$86)+((SUM(J290:K290)/$L290)*'Model Data Inputs'!$C$86))*$R290</f>
        <v>1901.2918941123585</v>
      </c>
      <c r="W290" s="140">
        <f t="shared" si="66"/>
        <v>10399.440159986947</v>
      </c>
      <c r="X290" s="140">
        <f t="shared" si="59"/>
        <v>2067556.9823459578</v>
      </c>
      <c r="Y290" s="140">
        <f t="shared" si="60"/>
        <v>462574.81137806625</v>
      </c>
      <c r="Z290" s="123">
        <f>IF((SUM(X290:Y290))&lt;(AVERAGE('Elementary Size Adjustment'!$B$66,'Secondary Size Adjustment'!$B$66)),(AVERAGE('Elementary Size Adjustment'!$B$66,'Secondary Size Adjustment'!$B$66)),SUM(X290:Y290))</f>
        <v>2530131.7937240242</v>
      </c>
      <c r="AA290" s="137">
        <f>'Model Data Inputs'!$B$71*S290*L290</f>
        <v>87992.239766721672</v>
      </c>
      <c r="AB290" s="137">
        <f>L290*'Model Data Inputs'!$B$72</f>
        <v>6082.375</v>
      </c>
      <c r="AC290" s="137">
        <f>L290*'Model Data Inputs'!$B$73</f>
        <v>60823.75</v>
      </c>
      <c r="AD290" s="137">
        <f>L290*'Model Data Inputs'!$B$74</f>
        <v>30411.875</v>
      </c>
      <c r="AE290" s="137">
        <f>$I290*'Model Data Inputs'!$B$76</f>
        <v>0</v>
      </c>
      <c r="AF290" s="137">
        <f>VLOOKUP($J290,'Student Activities MS&amp;HS Tables'!$M$7:$O$1267,3)</f>
        <v>84138.75</v>
      </c>
      <c r="AG290" s="137">
        <f>VLOOKUP($K290,'Student Activities MS&amp;HS Tables'!$I$7:$K$3007,3)</f>
        <v>0</v>
      </c>
      <c r="AH290" s="137">
        <f t="shared" si="61"/>
        <v>84138.75</v>
      </c>
      <c r="AI290" s="123">
        <f t="shared" si="67"/>
        <v>2799580.7834907458</v>
      </c>
      <c r="AJ290" s="123">
        <f>(('Model Data Inputs'!$B$90*(('Model Data Inputs'!$B$87*('School Level Inst. Resources'!I290/'School Level Inst. Resources'!L290))+('Model Data Inputs'!$C$87*(SUM('School Level Inst. Resources'!J290:K290)/'School Level Inst. Resources'!L290))))*T290*M290)</f>
        <v>136263.4179590953</v>
      </c>
      <c r="AK290" s="123">
        <f>(('Model Data Inputs'!$B$91*(('Model Data Inputs'!$B$87*('School Level Inst. Resources'!I290/'School Level Inst. Resources'!L290))+('Model Data Inputs'!$C$87*(SUM('School Level Inst. Resources'!J290:K290)/'School Level Inst. Resources'!L290))))*T290*N290)</f>
        <v>12166.376603490651</v>
      </c>
      <c r="AL290" s="137">
        <f>(K290*'Model Data Inputs'!$B$94)*T290</f>
        <v>0</v>
      </c>
      <c r="AM290" s="137">
        <f>K290*'Model Data Inputs'!$B$95</f>
        <v>0</v>
      </c>
      <c r="AN290" s="137">
        <f t="shared" si="68"/>
        <v>0</v>
      </c>
      <c r="AO290" s="137">
        <f>('School Level Inst. Resources'!K290*'Model Data Inputs'!$B$96)+('School Level Inst. Resources'!J290*'Model Data Inputs'!$B$97)</f>
        <v>6082.375</v>
      </c>
      <c r="AP290" s="137">
        <f>$L290*'Model Data Inputs'!$B$100</f>
        <v>9731.7999999999993</v>
      </c>
      <c r="AQ290" s="137">
        <f t="shared" si="69"/>
        <v>2963824.7530533317</v>
      </c>
      <c r="AR290" s="141">
        <f t="shared" si="62"/>
        <v>12182.02081034683</v>
      </c>
    </row>
    <row r="291" spans="1:44" s="40" customFormat="1" ht="12.75" customHeight="1" x14ac:dyDescent="0.2">
      <c r="A291" s="20" t="s">
        <v>86</v>
      </c>
      <c r="B291" s="20" t="s">
        <v>87</v>
      </c>
      <c r="C291" s="20" t="s">
        <v>950</v>
      </c>
      <c r="D291" s="20" t="s">
        <v>951</v>
      </c>
      <c r="E291" s="138" t="s">
        <v>389</v>
      </c>
      <c r="F291" s="138" t="str">
        <f>IF(AND(SUM('School Level ADM'!$F291:$J291)=0,SUM('School Level ADM'!$O291:$R291)=0,'School Level ADM'!$K291&gt;0,'School Level ADM'!$N291&gt;0),"T","F")</f>
        <v>F</v>
      </c>
      <c r="G291" s="138" t="str">
        <f>IF(AND(SUM('School Level ADM'!$M291:$R291)=0,'School Level ADM'!$L291&gt;0),"T","F")</f>
        <v>F</v>
      </c>
      <c r="H291" s="138" t="str">
        <f t="shared" si="56"/>
        <v>H</v>
      </c>
      <c r="I291" s="139">
        <f>IF($F291="T",SUM('School Level ADM'!$F291:$J291),IF($G291="T",SUM('School Level ADM'!$F291:$L291),SUM('School Level ADM'!$F291:$K291,0)))</f>
        <v>0</v>
      </c>
      <c r="J291" s="139">
        <f>'School Level ADM'!$S291-$I291-$K291</f>
        <v>0</v>
      </c>
      <c r="K291" s="139">
        <f>IF(SUM('School Level ADM'!$N291:$R291)='School Level ADM'!$S291,SUM('School Level ADM'!$N291:$R291),IF(OR(SUM('School Level ADM'!$F291:$O291)='School Level ADM'!$S291,SUM('School Level ADM'!$G291:$O291)='School Level ADM'!$S291,SUM('School Level ADM'!$H291:$O291)='School Level ADM'!$S291,SUM('School Level ADM'!$I291:$O291)='School Level ADM'!$S291,SUM('School Level ADM'!$J291:$O291)='School Level ADM'!$S291,SUM('School Level ADM'!$K291:$O291)='School Level ADM'!$S291,SUM('School Level ADM'!$L291:$O291)='School Level ADM'!$S291,SUM('School Level ADM'!$M291:$O291)='School Level ADM'!$S291,SUM('School Level ADM'!$N291:$O291)='School Level ADM'!$S291),0,SUM('School Level ADM'!$O291:$R291)))</f>
        <v>278.755</v>
      </c>
      <c r="L291" s="139">
        <f t="shared" si="57"/>
        <v>278.755</v>
      </c>
      <c r="M291" s="24">
        <f>'Student At-Risk and ELL Proxy'!S291</f>
        <v>71</v>
      </c>
      <c r="N291" s="24">
        <f>'Student At-Risk and ELL Proxy'!AH291</f>
        <v>8</v>
      </c>
      <c r="O291" s="136" t="str">
        <f t="shared" si="63"/>
        <v/>
      </c>
      <c r="P291" s="136">
        <f t="shared" si="64"/>
        <v>1.2648223713147009</v>
      </c>
      <c r="Q291" s="136" t="str">
        <f t="shared" si="65"/>
        <v/>
      </c>
      <c r="R291" s="136">
        <f t="shared" si="58"/>
        <v>1.2648223713147009</v>
      </c>
      <c r="S291" s="136">
        <f>IF(SUM(3515.4*((VLOOKUP($A291,'District Level ADM'!$A$4:$F$52,6,FALSE))^-0.327)/'Model Data Inputs'!$B$71)&lt;1,1,(3515.4*((VLOOKUP($A291,'District Level ADM'!$A$4:$F$52,6,FALSE))^-0.327)/'Model Data Inputs'!$B$71))</f>
        <v>1.9035206288818032</v>
      </c>
      <c r="T291" s="136">
        <f>VLOOKUP($A291,'Regional Cost Adjustment'!$A$4:$C$52,3,FALSE)</f>
        <v>1.19</v>
      </c>
      <c r="U291" s="123">
        <f>((($I291/$L291)*'Model Data Inputs'!$B$85)+((SUM(J291:K291)/$L291)*'Model Data Inputs'!$C$85))*$R291*$T291</f>
        <v>8101.8443539151012</v>
      </c>
      <c r="V291" s="140">
        <f>((($I291/$L291)*'Model Data Inputs'!$B$86)+((SUM(J291:K291)/$L291)*'Model Data Inputs'!$C$86))*$R291</f>
        <v>1812.6267647406664</v>
      </c>
      <c r="W291" s="140">
        <f t="shared" si="66"/>
        <v>9914.471118655767</v>
      </c>
      <c r="X291" s="140">
        <f t="shared" si="59"/>
        <v>2258429.6228756038</v>
      </c>
      <c r="Y291" s="140">
        <f t="shared" si="60"/>
        <v>505278.77380528447</v>
      </c>
      <c r="Z291" s="123">
        <f>IF((SUM(X291:Y291))&lt;(AVERAGE('Elementary Size Adjustment'!$B$66,'Secondary Size Adjustment'!$B$66)),(AVERAGE('Elementary Size Adjustment'!$B$66,'Secondary Size Adjustment'!$B$66)),SUM(X291:Y291))</f>
        <v>2763708.3966808883</v>
      </c>
      <c r="AA291" s="137">
        <f>'Model Data Inputs'!$B$71*S291*L291</f>
        <v>100817.01965174994</v>
      </c>
      <c r="AB291" s="137">
        <f>L291*'Model Data Inputs'!$B$72</f>
        <v>6968.875</v>
      </c>
      <c r="AC291" s="137">
        <f>L291*'Model Data Inputs'!$B$73</f>
        <v>69688.75</v>
      </c>
      <c r="AD291" s="137">
        <f>L291*'Model Data Inputs'!$B$74</f>
        <v>34844.375</v>
      </c>
      <c r="AE291" s="137">
        <f>$I291*'Model Data Inputs'!$B$76</f>
        <v>0</v>
      </c>
      <c r="AF291" s="137">
        <f>VLOOKUP($J291,'Student Activities MS&amp;HS Tables'!$M$7:$O$1267,3)</f>
        <v>0</v>
      </c>
      <c r="AG291" s="137">
        <f>VLOOKUP($K291,'Student Activities MS&amp;HS Tables'!$I$7:$K$3007,3)</f>
        <v>304323.82</v>
      </c>
      <c r="AH291" s="137">
        <f t="shared" si="61"/>
        <v>304323.82</v>
      </c>
      <c r="AI291" s="123">
        <f t="shared" si="67"/>
        <v>3280351.2363326382</v>
      </c>
      <c r="AJ291" s="123">
        <f>(('Model Data Inputs'!$B$90*(('Model Data Inputs'!$B$87*('School Level Inst. Resources'!I291/'School Level Inst. Resources'!L291))+('Model Data Inputs'!$C$87*(SUM('School Level Inst. Resources'!J291:K291)/'School Level Inst. Resources'!L291))))*T291*M291)</f>
        <v>172762.54776956723</v>
      </c>
      <c r="AK291" s="123">
        <f>(('Model Data Inputs'!$B$91*(('Model Data Inputs'!$B$87*('School Level Inst. Resources'!I291/'School Level Inst. Resources'!L291))+('Model Data Inputs'!$C$87*(SUM('School Level Inst. Resources'!J291:K291)/'School Level Inst. Resources'!L291))))*T291*N291)</f>
        <v>19466.202565585041</v>
      </c>
      <c r="AL291" s="137">
        <f>(K291*'Model Data Inputs'!$B$94)*T291</f>
        <v>54755.223709299753</v>
      </c>
      <c r="AM291" s="137">
        <f>K291*'Model Data Inputs'!$B$95</f>
        <v>11682.573267874999</v>
      </c>
      <c r="AN291" s="137">
        <f t="shared" si="68"/>
        <v>66437.796977174759</v>
      </c>
      <c r="AO291" s="137">
        <f>('School Level Inst. Resources'!K291*'Model Data Inputs'!$B$96)+('School Level Inst. Resources'!J291*'Model Data Inputs'!$B$97)</f>
        <v>27875.5</v>
      </c>
      <c r="AP291" s="137">
        <f>$L291*'Model Data Inputs'!$B$100</f>
        <v>11150.2</v>
      </c>
      <c r="AQ291" s="137">
        <f t="shared" si="69"/>
        <v>3578043.4836449656</v>
      </c>
      <c r="AR291" s="141">
        <f t="shared" si="62"/>
        <v>12835.800196032234</v>
      </c>
    </row>
    <row r="292" spans="1:44" s="40" customFormat="1" ht="12.75" customHeight="1" x14ac:dyDescent="0.2">
      <c r="A292" s="20" t="s">
        <v>86</v>
      </c>
      <c r="B292" s="20" t="s">
        <v>87</v>
      </c>
      <c r="C292" s="20" t="s">
        <v>952</v>
      </c>
      <c r="D292" s="20" t="s">
        <v>953</v>
      </c>
      <c r="E292" s="138" t="s">
        <v>389</v>
      </c>
      <c r="F292" s="138" t="str">
        <f>IF(AND(SUM('School Level ADM'!$F292:$J292)=0,SUM('School Level ADM'!$O292:$R292)=0,'School Level ADM'!$K292&gt;0,'School Level ADM'!$N292&gt;0),"T","F")</f>
        <v>F</v>
      </c>
      <c r="G292" s="138" t="str">
        <f>IF(AND(SUM('School Level ADM'!$M292:$R292)=0,'School Level ADM'!$L292&gt;0),"T","F")</f>
        <v>F</v>
      </c>
      <c r="H292" s="138" t="str">
        <f t="shared" si="56"/>
        <v>H</v>
      </c>
      <c r="I292" s="139">
        <f>IF($F292="T",SUM('School Level ADM'!$F292:$J292),IF($G292="T",SUM('School Level ADM'!$F292:$L292),SUM('School Level ADM'!$F292:$K292,0)))</f>
        <v>0</v>
      </c>
      <c r="J292" s="139">
        <f>'School Level ADM'!$S292-$I292-$K292</f>
        <v>0</v>
      </c>
      <c r="K292" s="139">
        <f>IF(SUM('School Level ADM'!$N292:$R292)='School Level ADM'!$S292,SUM('School Level ADM'!$N292:$R292),IF(OR(SUM('School Level ADM'!$F292:$O292)='School Level ADM'!$S292,SUM('School Level ADM'!$G292:$O292)='School Level ADM'!$S292,SUM('School Level ADM'!$H292:$O292)='School Level ADM'!$S292,SUM('School Level ADM'!$I292:$O292)='School Level ADM'!$S292,SUM('School Level ADM'!$J292:$O292)='School Level ADM'!$S292,SUM('School Level ADM'!$K292:$O292)='School Level ADM'!$S292,SUM('School Level ADM'!$L292:$O292)='School Level ADM'!$S292,SUM('School Level ADM'!$M292:$O292)='School Level ADM'!$S292,SUM('School Level ADM'!$N292:$O292)='School Level ADM'!$S292),0,SUM('School Level ADM'!$O292:$R292)))</f>
        <v>20.685000000000002</v>
      </c>
      <c r="L292" s="139">
        <f t="shared" si="57"/>
        <v>20.685000000000002</v>
      </c>
      <c r="M292" s="24">
        <f>'Student At-Risk and ELL Proxy'!S292</f>
        <v>15</v>
      </c>
      <c r="N292" s="24">
        <f>'Student At-Risk and ELL Proxy'!AH292</f>
        <v>1</v>
      </c>
      <c r="O292" s="136" t="str">
        <f t="shared" si="63"/>
        <v/>
      </c>
      <c r="P292" s="136">
        <f t="shared" si="64"/>
        <v>3.151429564282302</v>
      </c>
      <c r="Q292" s="136" t="str">
        <f t="shared" si="65"/>
        <v/>
      </c>
      <c r="R292" s="136">
        <f t="shared" si="58"/>
        <v>3.151429564282302</v>
      </c>
      <c r="S292" s="136">
        <f>IF(SUM(3515.4*((VLOOKUP($A292,'District Level ADM'!$A$4:$F$52,6,FALSE))^-0.327)/'Model Data Inputs'!$B$71)&lt;1,1,(3515.4*((VLOOKUP($A292,'District Level ADM'!$A$4:$F$52,6,FALSE))^-0.327)/'Model Data Inputs'!$B$71))</f>
        <v>1.9035206288818032</v>
      </c>
      <c r="T292" s="136">
        <f>VLOOKUP($A292,'Regional Cost Adjustment'!$A$4:$C$52,3,FALSE)</f>
        <v>1.19</v>
      </c>
      <c r="U292" s="123">
        <f>((($I292/$L292)*'Model Data Inputs'!$B$85)+((SUM(J292:K292)/$L292)*'Model Data Inputs'!$C$85))*$R292*$T292</f>
        <v>20186.543503023611</v>
      </c>
      <c r="V292" s="140">
        <f>((($I292/$L292)*'Model Data Inputs'!$B$86)+((SUM(J292:K292)/$L292)*'Model Data Inputs'!$C$86))*$R292</f>
        <v>4516.3381870574312</v>
      </c>
      <c r="W292" s="140">
        <f t="shared" si="66"/>
        <v>24702.881690081042</v>
      </c>
      <c r="X292" s="140">
        <f t="shared" si="59"/>
        <v>417558.65236004343</v>
      </c>
      <c r="Y292" s="140">
        <f t="shared" si="60"/>
        <v>93420.455399282975</v>
      </c>
      <c r="Z292" s="123">
        <f>IF((SUM(X292:Y292))&lt;(AVERAGE('Elementary Size Adjustment'!$B$66,'Secondary Size Adjustment'!$B$66)),(AVERAGE('Elementary Size Adjustment'!$B$66,'Secondary Size Adjustment'!$B$66)),SUM(X292:Y292))</f>
        <v>510979.10775932641</v>
      </c>
      <c r="AA292" s="137">
        <f>'Model Data Inputs'!$B$71*S292*L292</f>
        <v>7481.12159959982</v>
      </c>
      <c r="AB292" s="137">
        <f>L292*'Model Data Inputs'!$B$72</f>
        <v>517.125</v>
      </c>
      <c r="AC292" s="137">
        <f>L292*'Model Data Inputs'!$B$73</f>
        <v>5171.2500000000009</v>
      </c>
      <c r="AD292" s="137">
        <f>L292*'Model Data Inputs'!$B$74</f>
        <v>2585.6250000000005</v>
      </c>
      <c r="AE292" s="137">
        <f>$I292*'Model Data Inputs'!$B$76</f>
        <v>0</v>
      </c>
      <c r="AF292" s="137">
        <f>VLOOKUP($J292,'Student Activities MS&amp;HS Tables'!$M$7:$O$1267,3)</f>
        <v>0</v>
      </c>
      <c r="AG292" s="137">
        <f>VLOOKUP($K292,'Student Activities MS&amp;HS Tables'!$I$7:$K$3007,3)</f>
        <v>38622.800000000003</v>
      </c>
      <c r="AH292" s="137">
        <f t="shared" si="61"/>
        <v>38622.800000000003</v>
      </c>
      <c r="AI292" s="123">
        <f t="shared" si="67"/>
        <v>565357.02935892635</v>
      </c>
      <c r="AJ292" s="123">
        <f>(('Model Data Inputs'!$B$90*(('Model Data Inputs'!$B$87*('School Level Inst. Resources'!I292/'School Level Inst. Resources'!L292))+('Model Data Inputs'!$C$87*(SUM('School Level Inst. Resources'!J292:K292)/'School Level Inst. Resources'!L292))))*T292*M292)</f>
        <v>36499.129810471954</v>
      </c>
      <c r="AK292" s="123">
        <f>(('Model Data Inputs'!$B$91*(('Model Data Inputs'!$B$87*('School Level Inst. Resources'!I292/'School Level Inst. Resources'!L292))+('Model Data Inputs'!$C$87*(SUM('School Level Inst. Resources'!J292:K292)/'School Level Inst. Resources'!L292))))*T292*N292)</f>
        <v>2433.2753206981301</v>
      </c>
      <c r="AL292" s="137">
        <f>(K292*'Model Data Inputs'!$B$94)*T292</f>
        <v>4063.1084731282508</v>
      </c>
      <c r="AM292" s="137">
        <f>K292*'Model Data Inputs'!$B$95</f>
        <v>866.90473012500001</v>
      </c>
      <c r="AN292" s="137">
        <f t="shared" si="68"/>
        <v>4930.013203253251</v>
      </c>
      <c r="AO292" s="137">
        <f>('School Level Inst. Resources'!K292*'Model Data Inputs'!$B$96)+('School Level Inst. Resources'!J292*'Model Data Inputs'!$B$97)</f>
        <v>2068.5</v>
      </c>
      <c r="AP292" s="137">
        <f>$L292*'Model Data Inputs'!$B$100</f>
        <v>827.40000000000009</v>
      </c>
      <c r="AQ292" s="137">
        <f t="shared" si="69"/>
        <v>612115.3476933497</v>
      </c>
      <c r="AR292" s="141">
        <f t="shared" si="62"/>
        <v>29592.233391024878</v>
      </c>
    </row>
    <row r="293" spans="1:44" s="40" customFormat="1" ht="12.75" customHeight="1" x14ac:dyDescent="0.2">
      <c r="A293" s="20" t="s">
        <v>88</v>
      </c>
      <c r="B293" s="20" t="s">
        <v>89</v>
      </c>
      <c r="C293" s="20" t="s">
        <v>954</v>
      </c>
      <c r="D293" s="20" t="s">
        <v>955</v>
      </c>
      <c r="E293" s="138" t="s">
        <v>354</v>
      </c>
      <c r="F293" s="138" t="str">
        <f>IF(AND(SUM('School Level ADM'!$F293:$J293)=0,SUM('School Level ADM'!$O293:$R293)=0,'School Level ADM'!$K293&gt;0,'School Level ADM'!$N293&gt;0),"T","F")</f>
        <v>F</v>
      </c>
      <c r="G293" s="138" t="str">
        <f>IF(AND(SUM('School Level ADM'!$M293:$R293)=0,'School Level ADM'!$L293&gt;0),"T","F")</f>
        <v>F</v>
      </c>
      <c r="H293" s="138" t="str">
        <f t="shared" si="56"/>
        <v>E</v>
      </c>
      <c r="I293" s="139">
        <f>IF($F293="T",SUM('School Level ADM'!$F293:$J293),IF($G293="T",SUM('School Level ADM'!$F293:$L293),SUM('School Level ADM'!$F293:$K293,0)))</f>
        <v>195.21966666666668</v>
      </c>
      <c r="J293" s="139">
        <f>'School Level ADM'!$S293-$I293-$K293</f>
        <v>0</v>
      </c>
      <c r="K293" s="139">
        <f>IF(SUM('School Level ADM'!$N293:$R293)='School Level ADM'!$S293,SUM('School Level ADM'!$N293:$R293),IF(OR(SUM('School Level ADM'!$F293:$O293)='School Level ADM'!$S293,SUM('School Level ADM'!$G293:$O293)='School Level ADM'!$S293,SUM('School Level ADM'!$H293:$O293)='School Level ADM'!$S293,SUM('School Level ADM'!$I293:$O293)='School Level ADM'!$S293,SUM('School Level ADM'!$J293:$O293)='School Level ADM'!$S293,SUM('School Level ADM'!$K293:$O293)='School Level ADM'!$S293,SUM('School Level ADM'!$L293:$O293)='School Level ADM'!$S293,SUM('School Level ADM'!$M293:$O293)='School Level ADM'!$S293,SUM('School Level ADM'!$N293:$O293)='School Level ADM'!$S293),0,SUM('School Level ADM'!$O293:$R293)))</f>
        <v>0</v>
      </c>
      <c r="L293" s="139">
        <f t="shared" si="57"/>
        <v>195.21966666666668</v>
      </c>
      <c r="M293" s="24">
        <f>'Student At-Risk and ELL Proxy'!S293</f>
        <v>66</v>
      </c>
      <c r="N293" s="24">
        <f>'Student At-Risk and ELL Proxy'!AH293</f>
        <v>15</v>
      </c>
      <c r="O293" s="136">
        <f t="shared" si="63"/>
        <v>1.177626394232729</v>
      </c>
      <c r="P293" s="136" t="str">
        <f t="shared" si="64"/>
        <v/>
      </c>
      <c r="Q293" s="136" t="str">
        <f t="shared" si="65"/>
        <v/>
      </c>
      <c r="R293" s="136">
        <f t="shared" si="58"/>
        <v>1.177626394232729</v>
      </c>
      <c r="S293" s="136">
        <f>IF(SUM(3515.4*((VLOOKUP($A293,'District Level ADM'!$A$4:$F$52,6,FALSE))^-0.327)/'Model Data Inputs'!$B$71)&lt;1,1,(3515.4*((VLOOKUP($A293,'District Level ADM'!$A$4:$F$52,6,FALSE))^-0.327)/'Model Data Inputs'!$B$71))</f>
        <v>2.3269186708166463</v>
      </c>
      <c r="T293" s="136">
        <f>VLOOKUP($A293,'Regional Cost Adjustment'!$A$4:$C$52,3,FALSE)</f>
        <v>1.19</v>
      </c>
      <c r="U293" s="123">
        <f>((($I293/$L293)*'Model Data Inputs'!$B$85)+((SUM(J293:K293)/$L293)*'Model Data Inputs'!$C$85))*$R293*$T293</f>
        <v>8923.3808140158289</v>
      </c>
      <c r="V293" s="140">
        <f>((($I293/$L293)*'Model Data Inputs'!$B$86)+((SUM(J293:K293)/$L293)*'Model Data Inputs'!$C$86))*$R293</f>
        <v>1993.2795714114832</v>
      </c>
      <c r="W293" s="140">
        <f t="shared" si="66"/>
        <v>10916.660385427313</v>
      </c>
      <c r="X293" s="140">
        <f t="shared" si="59"/>
        <v>1742019.428051899</v>
      </c>
      <c r="Y293" s="140">
        <f t="shared" si="60"/>
        <v>389127.37350442598</v>
      </c>
      <c r="Z293" s="123">
        <f>IF((SUM(X293:Y293))&lt;(AVERAGE('Elementary Size Adjustment'!$B$66,'Secondary Size Adjustment'!$B$66)),(AVERAGE('Elementary Size Adjustment'!$B$66,'Secondary Size Adjustment'!$B$66)),SUM(X293:Y293))</f>
        <v>2131146.8015563251</v>
      </c>
      <c r="AA293" s="137">
        <f>'Model Data Inputs'!$B$71*S293*L293</f>
        <v>86309.454582681064</v>
      </c>
      <c r="AB293" s="137">
        <f>L293*'Model Data Inputs'!$B$72</f>
        <v>4880.4916666666668</v>
      </c>
      <c r="AC293" s="137">
        <f>L293*'Model Data Inputs'!$B$73</f>
        <v>48804.916666666672</v>
      </c>
      <c r="AD293" s="137">
        <f>L293*'Model Data Inputs'!$B$74</f>
        <v>24402.458333333336</v>
      </c>
      <c r="AE293" s="137">
        <f>$I293*'Model Data Inputs'!$B$76</f>
        <v>4644.2758700000004</v>
      </c>
      <c r="AF293" s="137">
        <f>VLOOKUP($J293,'Student Activities MS&amp;HS Tables'!$M$7:$O$1267,3)</f>
        <v>0</v>
      </c>
      <c r="AG293" s="137">
        <f>VLOOKUP($K293,'Student Activities MS&amp;HS Tables'!$I$7:$K$3007,3)</f>
        <v>0</v>
      </c>
      <c r="AH293" s="137">
        <f t="shared" si="61"/>
        <v>4644.2758700000004</v>
      </c>
      <c r="AI293" s="123">
        <f t="shared" si="67"/>
        <v>2300188.3986756727</v>
      </c>
      <c r="AJ293" s="123">
        <f>(('Model Data Inputs'!$B$90*(('Model Data Inputs'!$B$87*('School Level Inst. Resources'!I293/'School Level Inst. Resources'!L293))+('Model Data Inputs'!$C$87*(SUM('School Level Inst. Resources'!J293:K293)/'School Level Inst. Resources'!L293))))*T293*M293)</f>
        <v>189914.72548033949</v>
      </c>
      <c r="AK293" s="123">
        <f>(('Model Data Inputs'!$B$91*(('Model Data Inputs'!$B$87*('School Level Inst. Resources'!I293/'School Level Inst. Resources'!L293))+('Model Data Inputs'!$C$87*(SUM('School Level Inst. Resources'!J293:K293)/'School Level Inst. Resources'!L293))))*T293*N293)</f>
        <v>43162.437609168068</v>
      </c>
      <c r="AL293" s="137">
        <f>(K293*'Model Data Inputs'!$B$94)*T293</f>
        <v>0</v>
      </c>
      <c r="AM293" s="137">
        <f>K293*'Model Data Inputs'!$B$95</f>
        <v>0</v>
      </c>
      <c r="AN293" s="137">
        <f t="shared" si="68"/>
        <v>0</v>
      </c>
      <c r="AO293" s="137">
        <f>('School Level Inst. Resources'!K293*'Model Data Inputs'!$B$96)+('School Level Inst. Resources'!J293*'Model Data Inputs'!$B$97)</f>
        <v>0</v>
      </c>
      <c r="AP293" s="137">
        <f>$L293*'Model Data Inputs'!$B$100</f>
        <v>7808.7866666666669</v>
      </c>
      <c r="AQ293" s="137">
        <f t="shared" si="69"/>
        <v>2541074.3484318471</v>
      </c>
      <c r="AR293" s="141">
        <f t="shared" si="62"/>
        <v>13016.48748725033</v>
      </c>
    </row>
    <row r="294" spans="1:44" s="40" customFormat="1" ht="12.75" customHeight="1" x14ac:dyDescent="0.2">
      <c r="A294" s="20" t="s">
        <v>88</v>
      </c>
      <c r="B294" s="20" t="s">
        <v>89</v>
      </c>
      <c r="C294" s="20" t="s">
        <v>956</v>
      </c>
      <c r="D294" s="20" t="s">
        <v>957</v>
      </c>
      <c r="E294" s="138" t="s">
        <v>354</v>
      </c>
      <c r="F294" s="138" t="str">
        <f>IF(AND(SUM('School Level ADM'!$F294:$J294)=0,SUM('School Level ADM'!$O294:$R294)=0,'School Level ADM'!$K294&gt;0,'School Level ADM'!$N294&gt;0),"T","F")</f>
        <v>F</v>
      </c>
      <c r="G294" s="138" t="str">
        <f>IF(AND(SUM('School Level ADM'!$M294:$R294)=0,'School Level ADM'!$L294&gt;0),"T","F")</f>
        <v>F</v>
      </c>
      <c r="H294" s="138" t="str">
        <f t="shared" si="56"/>
        <v>E</v>
      </c>
      <c r="I294" s="139">
        <f>IF($F294="T",SUM('School Level ADM'!$F294:$J294),IF($G294="T",SUM('School Level ADM'!$F294:$L294),SUM('School Level ADM'!$F294:$K294,0)))</f>
        <v>52.264000000000003</v>
      </c>
      <c r="J294" s="139">
        <f>'School Level ADM'!$S294-$I294-$K294</f>
        <v>0</v>
      </c>
      <c r="K294" s="139">
        <f>IF(SUM('School Level ADM'!$N294:$R294)='School Level ADM'!$S294,SUM('School Level ADM'!$N294:$R294),IF(OR(SUM('School Level ADM'!$F294:$O294)='School Level ADM'!$S294,SUM('School Level ADM'!$G294:$O294)='School Level ADM'!$S294,SUM('School Level ADM'!$H294:$O294)='School Level ADM'!$S294,SUM('School Level ADM'!$I294:$O294)='School Level ADM'!$S294,SUM('School Level ADM'!$J294:$O294)='School Level ADM'!$S294,SUM('School Level ADM'!$K294:$O294)='School Level ADM'!$S294,SUM('School Level ADM'!$L294:$O294)='School Level ADM'!$S294,SUM('School Level ADM'!$M294:$O294)='School Level ADM'!$S294,SUM('School Level ADM'!$N294:$O294)='School Level ADM'!$S294),0,SUM('School Level ADM'!$O294:$R294)))</f>
        <v>0</v>
      </c>
      <c r="L294" s="139">
        <f t="shared" si="57"/>
        <v>52.264000000000003</v>
      </c>
      <c r="M294" s="24">
        <f>'Student At-Risk and ELL Proxy'!S294</f>
        <v>15</v>
      </c>
      <c r="N294" s="24">
        <f>'Student At-Risk and ELL Proxy'!AH294</f>
        <v>1</v>
      </c>
      <c r="O294" s="136">
        <f t="shared" si="63"/>
        <v>1.9897167584505071</v>
      </c>
      <c r="P294" s="136" t="str">
        <f t="shared" si="64"/>
        <v/>
      </c>
      <c r="Q294" s="136" t="str">
        <f t="shared" si="65"/>
        <v/>
      </c>
      <c r="R294" s="136">
        <f t="shared" si="58"/>
        <v>1.9897167584505071</v>
      </c>
      <c r="S294" s="136">
        <f>IF(SUM(3515.4*((VLOOKUP($A294,'District Level ADM'!$A$4:$F$52,6,FALSE))^-0.327)/'Model Data Inputs'!$B$71)&lt;1,1,(3515.4*((VLOOKUP($A294,'District Level ADM'!$A$4:$F$52,6,FALSE))^-0.327)/'Model Data Inputs'!$B$71))</f>
        <v>2.3269186708166463</v>
      </c>
      <c r="T294" s="136">
        <f>VLOOKUP($A294,'Regional Cost Adjustment'!$A$4:$C$52,3,FALSE)</f>
        <v>1.19</v>
      </c>
      <c r="U294" s="123">
        <f>((($I294/$L294)*'Model Data Inputs'!$B$85)+((SUM(J294:K294)/$L294)*'Model Data Inputs'!$C$85))*$R294*$T294</f>
        <v>15076.93818229263</v>
      </c>
      <c r="V294" s="140">
        <f>((($I294/$L294)*'Model Data Inputs'!$B$86)+((SUM(J294:K294)/$L294)*'Model Data Inputs'!$C$86))*$R294</f>
        <v>3367.8438144200404</v>
      </c>
      <c r="W294" s="140">
        <f t="shared" si="66"/>
        <v>18444.781996712671</v>
      </c>
      <c r="X294" s="140">
        <f t="shared" si="59"/>
        <v>787981.09715934203</v>
      </c>
      <c r="Y294" s="140">
        <f t="shared" si="60"/>
        <v>176016.989116849</v>
      </c>
      <c r="Z294" s="123">
        <f>IF((SUM(X294:Y294))&lt;(AVERAGE('Elementary Size Adjustment'!$B$66,'Secondary Size Adjustment'!$B$66)),(AVERAGE('Elementary Size Adjustment'!$B$66,'Secondary Size Adjustment'!$B$66)),SUM(X294:Y294))</f>
        <v>963998.08627619105</v>
      </c>
      <c r="AA294" s="137">
        <f>'Model Data Inputs'!$B$71*S294*L294</f>
        <v>23106.674708196628</v>
      </c>
      <c r="AB294" s="137">
        <f>L294*'Model Data Inputs'!$B$72</f>
        <v>1306.6000000000001</v>
      </c>
      <c r="AC294" s="137">
        <f>L294*'Model Data Inputs'!$B$73</f>
        <v>13066</v>
      </c>
      <c r="AD294" s="137">
        <f>L294*'Model Data Inputs'!$B$74</f>
        <v>6533</v>
      </c>
      <c r="AE294" s="137">
        <f>$I294*'Model Data Inputs'!$B$76</f>
        <v>1243.3605600000001</v>
      </c>
      <c r="AF294" s="137">
        <f>VLOOKUP($J294,'Student Activities MS&amp;HS Tables'!$M$7:$O$1267,3)</f>
        <v>0</v>
      </c>
      <c r="AG294" s="137">
        <f>VLOOKUP($K294,'Student Activities MS&amp;HS Tables'!$I$7:$K$3007,3)</f>
        <v>0</v>
      </c>
      <c r="AH294" s="137">
        <f t="shared" si="61"/>
        <v>1243.3605600000001</v>
      </c>
      <c r="AI294" s="123">
        <f t="shared" si="67"/>
        <v>1009253.7215443876</v>
      </c>
      <c r="AJ294" s="123">
        <f>(('Model Data Inputs'!$B$90*(('Model Data Inputs'!$B$87*('School Level Inst. Resources'!I294/'School Level Inst. Resources'!L294))+('Model Data Inputs'!$C$87*(SUM('School Level Inst. Resources'!J294:K294)/'School Level Inst. Resources'!L294))))*T294*M294)</f>
        <v>43162.437609168068</v>
      </c>
      <c r="AK294" s="123">
        <f>(('Model Data Inputs'!$B$91*(('Model Data Inputs'!$B$87*('School Level Inst. Resources'!I294/'School Level Inst. Resources'!L294))+('Model Data Inputs'!$C$87*(SUM('School Level Inst. Resources'!J294:K294)/'School Level Inst. Resources'!L294))))*T294*N294)</f>
        <v>2877.4958406112046</v>
      </c>
      <c r="AL294" s="137">
        <f>(K294*'Model Data Inputs'!$B$94)*T294</f>
        <v>0</v>
      </c>
      <c r="AM294" s="137">
        <f>K294*'Model Data Inputs'!$B$95</f>
        <v>0</v>
      </c>
      <c r="AN294" s="137">
        <f t="shared" si="68"/>
        <v>0</v>
      </c>
      <c r="AO294" s="137">
        <f>('School Level Inst. Resources'!K294*'Model Data Inputs'!$B$96)+('School Level Inst. Resources'!J294*'Model Data Inputs'!$B$97)</f>
        <v>0</v>
      </c>
      <c r="AP294" s="137">
        <f>$L294*'Model Data Inputs'!$B$100</f>
        <v>2090.56</v>
      </c>
      <c r="AQ294" s="137">
        <f t="shared" si="69"/>
        <v>1057384.214994167</v>
      </c>
      <c r="AR294" s="141">
        <f t="shared" si="62"/>
        <v>20231.597562264022</v>
      </c>
    </row>
    <row r="295" spans="1:44" s="40" customFormat="1" ht="12.75" customHeight="1" x14ac:dyDescent="0.2">
      <c r="A295" s="20" t="s">
        <v>88</v>
      </c>
      <c r="B295" s="20" t="s">
        <v>89</v>
      </c>
      <c r="C295" s="20" t="s">
        <v>958</v>
      </c>
      <c r="D295" s="20" t="s">
        <v>959</v>
      </c>
      <c r="E295" s="138" t="s">
        <v>383</v>
      </c>
      <c r="F295" s="138" t="str">
        <f>IF(AND(SUM('School Level ADM'!$F295:$J295)=0,SUM('School Level ADM'!$O295:$R295)=0,'School Level ADM'!$K295&gt;0,'School Level ADM'!$N295&gt;0),"T","F")</f>
        <v>F</v>
      </c>
      <c r="G295" s="138" t="str">
        <f>IF(AND(SUM('School Level ADM'!$M295:$R295)=0,'School Level ADM'!$L295&gt;0),"T","F")</f>
        <v>F</v>
      </c>
      <c r="H295" s="138" t="str">
        <f t="shared" si="56"/>
        <v>M</v>
      </c>
      <c r="I295" s="139">
        <f>IF($F295="T",SUM('School Level ADM'!$F295:$J295),IF($G295="T",SUM('School Level ADM'!$F295:$L295),SUM('School Level ADM'!$F295:$K295,0)))</f>
        <v>0</v>
      </c>
      <c r="J295" s="139">
        <f>'School Level ADM'!$S295-$I295-$K295</f>
        <v>131.779</v>
      </c>
      <c r="K295" s="139">
        <f>IF(SUM('School Level ADM'!$N295:$R295)='School Level ADM'!$S295,SUM('School Level ADM'!$N295:$R295),IF(OR(SUM('School Level ADM'!$F295:$O295)='School Level ADM'!$S295,SUM('School Level ADM'!$G295:$O295)='School Level ADM'!$S295,SUM('School Level ADM'!$H295:$O295)='School Level ADM'!$S295,SUM('School Level ADM'!$I295:$O295)='School Level ADM'!$S295,SUM('School Level ADM'!$J295:$O295)='School Level ADM'!$S295,SUM('School Level ADM'!$K295:$O295)='School Level ADM'!$S295,SUM('School Level ADM'!$L295:$O295)='School Level ADM'!$S295,SUM('School Level ADM'!$M295:$O295)='School Level ADM'!$S295,SUM('School Level ADM'!$N295:$O295)='School Level ADM'!$S295),0,SUM('School Level ADM'!$O295:$R295)))</f>
        <v>0</v>
      </c>
      <c r="L295" s="139">
        <f t="shared" si="57"/>
        <v>131.779</v>
      </c>
      <c r="M295" s="24">
        <f>'Student At-Risk and ELL Proxy'!S295</f>
        <v>46</v>
      </c>
      <c r="N295" s="24">
        <f>'Student At-Risk and ELL Proxy'!AH295</f>
        <v>2</v>
      </c>
      <c r="O295" s="136" t="str">
        <f t="shared" si="63"/>
        <v/>
      </c>
      <c r="P295" s="136">
        <f t="shared" si="64"/>
        <v>1.6452680928956986</v>
      </c>
      <c r="Q295" s="136" t="str">
        <f t="shared" si="65"/>
        <v/>
      </c>
      <c r="R295" s="136">
        <f t="shared" si="58"/>
        <v>1.6452680928956986</v>
      </c>
      <c r="S295" s="136">
        <f>IF(SUM(3515.4*((VLOOKUP($A295,'District Level ADM'!$A$4:$F$52,6,FALSE))^-0.327)/'Model Data Inputs'!$B$71)&lt;1,1,(3515.4*((VLOOKUP($A295,'District Level ADM'!$A$4:$F$52,6,FALSE))^-0.327)/'Model Data Inputs'!$B$71))</f>
        <v>2.3269186708166463</v>
      </c>
      <c r="T295" s="136">
        <f>VLOOKUP($A295,'Regional Cost Adjustment'!$A$4:$C$52,3,FALSE)</f>
        <v>1.19</v>
      </c>
      <c r="U295" s="123">
        <f>((($I295/$L295)*'Model Data Inputs'!$B$85)+((SUM(J295:K295)/$L295)*'Model Data Inputs'!$C$85))*$R295*$T295</f>
        <v>10538.796839312952</v>
      </c>
      <c r="V295" s="140">
        <f>((($I295/$L295)*'Model Data Inputs'!$B$86)+((SUM(J295:K295)/$L295)*'Model Data Inputs'!$C$86))*$R295</f>
        <v>2357.846483420999</v>
      </c>
      <c r="W295" s="140">
        <f t="shared" si="66"/>
        <v>12896.643322733951</v>
      </c>
      <c r="X295" s="140">
        <f t="shared" si="59"/>
        <v>1388792.1086878215</v>
      </c>
      <c r="Y295" s="140">
        <f t="shared" si="60"/>
        <v>310714.65173873579</v>
      </c>
      <c r="Z295" s="123">
        <f>IF((SUM(X295:Y295))&lt;(AVERAGE('Elementary Size Adjustment'!$B$66,'Secondary Size Adjustment'!$B$66)),(AVERAGE('Elementary Size Adjustment'!$B$66,'Secondary Size Adjustment'!$B$66)),SUM(X295:Y295))</f>
        <v>1699506.7604265574</v>
      </c>
      <c r="AA295" s="137">
        <f>'Model Data Inputs'!$B$71*S295*L295</f>
        <v>58261.412949093894</v>
      </c>
      <c r="AB295" s="137">
        <f>L295*'Model Data Inputs'!$B$72</f>
        <v>3294.4749999999999</v>
      </c>
      <c r="AC295" s="137">
        <f>L295*'Model Data Inputs'!$B$73</f>
        <v>32944.75</v>
      </c>
      <c r="AD295" s="137">
        <f>L295*'Model Data Inputs'!$B$74</f>
        <v>16472.375</v>
      </c>
      <c r="AE295" s="137">
        <f>$I295*'Model Data Inputs'!$B$76</f>
        <v>0</v>
      </c>
      <c r="AF295" s="137">
        <f>VLOOKUP($J295,'Student Activities MS&amp;HS Tables'!$M$7:$O$1267,3)</f>
        <v>64706.14</v>
      </c>
      <c r="AG295" s="137">
        <f>VLOOKUP($K295,'Student Activities MS&amp;HS Tables'!$I$7:$K$3007,3)</f>
        <v>0</v>
      </c>
      <c r="AH295" s="137">
        <f t="shared" si="61"/>
        <v>64706.14</v>
      </c>
      <c r="AI295" s="123">
        <f t="shared" si="67"/>
        <v>1875185.9133756512</v>
      </c>
      <c r="AJ295" s="123">
        <f>(('Model Data Inputs'!$B$90*(('Model Data Inputs'!$B$87*('School Level Inst. Resources'!I295/'School Level Inst. Resources'!L295))+('Model Data Inputs'!$C$87*(SUM('School Level Inst. Resources'!J295:K295)/'School Level Inst. Resources'!L295))))*T295*M295)</f>
        <v>111930.66475211398</v>
      </c>
      <c r="AK295" s="123">
        <f>(('Model Data Inputs'!$B$91*(('Model Data Inputs'!$B$87*('School Level Inst. Resources'!I295/'School Level Inst. Resources'!L295))+('Model Data Inputs'!$C$87*(SUM('School Level Inst. Resources'!J295:K295)/'School Level Inst. Resources'!L295))))*T295*N295)</f>
        <v>4866.5506413962603</v>
      </c>
      <c r="AL295" s="137">
        <f>(K295*'Model Data Inputs'!$B$94)*T295</f>
        <v>0</v>
      </c>
      <c r="AM295" s="137">
        <f>K295*'Model Data Inputs'!$B$95</f>
        <v>0</v>
      </c>
      <c r="AN295" s="137">
        <f t="shared" si="68"/>
        <v>0</v>
      </c>
      <c r="AO295" s="137">
        <f>('School Level Inst. Resources'!K295*'Model Data Inputs'!$B$96)+('School Level Inst. Resources'!J295*'Model Data Inputs'!$B$97)</f>
        <v>3294.4749999999999</v>
      </c>
      <c r="AP295" s="137">
        <f>$L295*'Model Data Inputs'!$B$100</f>
        <v>5271.16</v>
      </c>
      <c r="AQ295" s="137">
        <f t="shared" si="69"/>
        <v>2000548.7637691614</v>
      </c>
      <c r="AR295" s="141">
        <f t="shared" si="62"/>
        <v>15181.089276509621</v>
      </c>
    </row>
    <row r="296" spans="1:44" s="40" customFormat="1" ht="12.75" customHeight="1" x14ac:dyDescent="0.2">
      <c r="A296" s="20" t="s">
        <v>88</v>
      </c>
      <c r="B296" s="20" t="s">
        <v>89</v>
      </c>
      <c r="C296" s="20" t="s">
        <v>960</v>
      </c>
      <c r="D296" s="20" t="s">
        <v>961</v>
      </c>
      <c r="E296" s="138" t="s">
        <v>389</v>
      </c>
      <c r="F296" s="138" t="str">
        <f>IF(AND(SUM('School Level ADM'!$F296:$J296)=0,SUM('School Level ADM'!$O296:$R296)=0,'School Level ADM'!$K296&gt;0,'School Level ADM'!$N296&gt;0),"T","F")</f>
        <v>F</v>
      </c>
      <c r="G296" s="138" t="str">
        <f>IF(AND(SUM('School Level ADM'!$M296:$R296)=0,'School Level ADM'!$L296&gt;0),"T","F")</f>
        <v>F</v>
      </c>
      <c r="H296" s="138" t="str">
        <f t="shared" si="56"/>
        <v>H</v>
      </c>
      <c r="I296" s="139">
        <f>IF($F296="T",SUM('School Level ADM'!$F296:$J296),IF($G296="T",SUM('School Level ADM'!$F296:$L296),SUM('School Level ADM'!$F296:$K296,0)))</f>
        <v>0</v>
      </c>
      <c r="J296" s="139">
        <f>'School Level ADM'!$S296-$I296-$K296</f>
        <v>0</v>
      </c>
      <c r="K296" s="139">
        <f>IF(SUM('School Level ADM'!$N296:$R296)='School Level ADM'!$S296,SUM('School Level ADM'!$N296:$R296),IF(OR(SUM('School Level ADM'!$F296:$O296)='School Level ADM'!$S296,SUM('School Level ADM'!$G296:$O296)='School Level ADM'!$S296,SUM('School Level ADM'!$H296:$O296)='School Level ADM'!$S296,SUM('School Level ADM'!$I296:$O296)='School Level ADM'!$S296,SUM('School Level ADM'!$J296:$O296)='School Level ADM'!$S296,SUM('School Level ADM'!$K296:$O296)='School Level ADM'!$S296,SUM('School Level ADM'!$L296:$O296)='School Level ADM'!$S296,SUM('School Level ADM'!$M296:$O296)='School Level ADM'!$S296,SUM('School Level ADM'!$N296:$O296)='School Level ADM'!$S296),0,SUM('School Level ADM'!$O296:$R296)))</f>
        <v>187.81033333333332</v>
      </c>
      <c r="L296" s="139">
        <f t="shared" si="57"/>
        <v>187.81033333333332</v>
      </c>
      <c r="M296" s="24">
        <f>'Student At-Risk and ELL Proxy'!S296</f>
        <v>55</v>
      </c>
      <c r="N296" s="24">
        <f>'Student At-Risk and ELL Proxy'!AH296</f>
        <v>11</v>
      </c>
      <c r="O296" s="136" t="str">
        <f t="shared" si="63"/>
        <v/>
      </c>
      <c r="P296" s="136">
        <f t="shared" si="64"/>
        <v>1.4528713360008647</v>
      </c>
      <c r="Q296" s="136" t="str">
        <f t="shared" si="65"/>
        <v/>
      </c>
      <c r="R296" s="136">
        <f t="shared" si="58"/>
        <v>1.4528713360008647</v>
      </c>
      <c r="S296" s="136">
        <f>IF(SUM(3515.4*((VLOOKUP($A296,'District Level ADM'!$A$4:$F$52,6,FALSE))^-0.327)/'Model Data Inputs'!$B$71)&lt;1,1,(3515.4*((VLOOKUP($A296,'District Level ADM'!$A$4:$F$52,6,FALSE))^-0.327)/'Model Data Inputs'!$B$71))</f>
        <v>2.3269186708166463</v>
      </c>
      <c r="T296" s="136">
        <f>VLOOKUP($A296,'Regional Cost Adjustment'!$A$4:$C$52,3,FALSE)</f>
        <v>1.19</v>
      </c>
      <c r="U296" s="123">
        <f>((($I296/$L296)*'Model Data Inputs'!$B$85)+((SUM(J296:K296)/$L296)*'Model Data Inputs'!$C$85))*$R296*$T296</f>
        <v>9306.3956627431944</v>
      </c>
      <c r="V296" s="140">
        <f>((($I296/$L296)*'Model Data Inputs'!$B$86)+((SUM(J296:K296)/$L296)*'Model Data Inputs'!$C$86))*$R296</f>
        <v>2082.121196688141</v>
      </c>
      <c r="W296" s="140">
        <f t="shared" si="66"/>
        <v>11388.516859431336</v>
      </c>
      <c r="X296" s="140">
        <f t="shared" si="59"/>
        <v>1747837.2715516868</v>
      </c>
      <c r="Y296" s="140">
        <f t="shared" si="60"/>
        <v>391043.87599039864</v>
      </c>
      <c r="Z296" s="123">
        <f>IF((SUM(X296:Y296))&lt;(AVERAGE('Elementary Size Adjustment'!$B$66,'Secondary Size Adjustment'!$B$66)),(AVERAGE('Elementary Size Adjustment'!$B$66,'Secondary Size Adjustment'!$B$66)),SUM(X296:Y296))</f>
        <v>2138881.1475420855</v>
      </c>
      <c r="AA296" s="137">
        <f>'Model Data Inputs'!$B$71*S296*L296</f>
        <v>83033.680529069927</v>
      </c>
      <c r="AB296" s="137">
        <f>L296*'Model Data Inputs'!$B$72</f>
        <v>4695.2583333333332</v>
      </c>
      <c r="AC296" s="137">
        <f>L296*'Model Data Inputs'!$B$73</f>
        <v>46952.583333333328</v>
      </c>
      <c r="AD296" s="137">
        <f>L296*'Model Data Inputs'!$B$74</f>
        <v>23476.291666666664</v>
      </c>
      <c r="AE296" s="137">
        <f>$I296*'Model Data Inputs'!$B$76</f>
        <v>0</v>
      </c>
      <c r="AF296" s="137">
        <f>VLOOKUP($J296,'Student Activities MS&amp;HS Tables'!$M$7:$O$1267,3)</f>
        <v>0</v>
      </c>
      <c r="AG296" s="137">
        <f>VLOOKUP($K296,'Student Activities MS&amp;HS Tables'!$I$7:$K$3007,3)</f>
        <v>245691.81999999998</v>
      </c>
      <c r="AH296" s="137">
        <f t="shared" si="61"/>
        <v>245691.81999999998</v>
      </c>
      <c r="AI296" s="123">
        <f t="shared" si="67"/>
        <v>2542730.7814044887</v>
      </c>
      <c r="AJ296" s="123">
        <f>(('Model Data Inputs'!$B$90*(('Model Data Inputs'!$B$87*('School Level Inst. Resources'!I296/'School Level Inst. Resources'!L296))+('Model Data Inputs'!$C$87*(SUM('School Level Inst. Resources'!J296:K296)/'School Level Inst. Resources'!L296))))*T296*M296)</f>
        <v>133830.14263839717</v>
      </c>
      <c r="AK296" s="123">
        <f>(('Model Data Inputs'!$B$91*(('Model Data Inputs'!$B$87*('School Level Inst. Resources'!I296/'School Level Inst. Resources'!L296))+('Model Data Inputs'!$C$87*(SUM('School Level Inst. Resources'!J296:K296)/'School Level Inst. Resources'!L296))))*T296*N296)</f>
        <v>26766.028527679431</v>
      </c>
      <c r="AL296" s="137">
        <f>(K296*'Model Data Inputs'!$B$94)*T296</f>
        <v>36891.165419758647</v>
      </c>
      <c r="AM296" s="137">
        <f>K296*'Model Data Inputs'!$B$95</f>
        <v>7871.0982031916656</v>
      </c>
      <c r="AN296" s="137">
        <f t="shared" si="68"/>
        <v>44762.263622950311</v>
      </c>
      <c r="AO296" s="137">
        <f>('School Level Inst. Resources'!K296*'Model Data Inputs'!$B$96)+('School Level Inst. Resources'!J296*'Model Data Inputs'!$B$97)</f>
        <v>18781.033333333333</v>
      </c>
      <c r="AP296" s="137">
        <f>$L296*'Model Data Inputs'!$B$100</f>
        <v>7512.413333333333</v>
      </c>
      <c r="AQ296" s="137">
        <f t="shared" si="69"/>
        <v>2774382.6628601826</v>
      </c>
      <c r="AR296" s="141">
        <f t="shared" si="62"/>
        <v>14772.257807221378</v>
      </c>
    </row>
    <row r="297" spans="1:44" s="40" customFormat="1" ht="12.75" customHeight="1" x14ac:dyDescent="0.2">
      <c r="A297" s="20" t="s">
        <v>90</v>
      </c>
      <c r="B297" s="20" t="s">
        <v>91</v>
      </c>
      <c r="C297" s="20" t="s">
        <v>962</v>
      </c>
      <c r="D297" s="20" t="s">
        <v>963</v>
      </c>
      <c r="E297" s="138" t="s">
        <v>357</v>
      </c>
      <c r="F297" s="138" t="str">
        <f>IF(AND(SUM('School Level ADM'!$F297:$J297)=0,SUM('School Level ADM'!$O297:$R297)=0,'School Level ADM'!$K297&gt;0,'School Level ADM'!$N297&gt;0),"T","F")</f>
        <v>F</v>
      </c>
      <c r="G297" s="138" t="str">
        <f>IF(AND(SUM('School Level ADM'!$M297:$R297)=0,'School Level ADM'!$L297&gt;0),"T","F")</f>
        <v>T</v>
      </c>
      <c r="H297" s="138" t="str">
        <f t="shared" si="56"/>
        <v>E</v>
      </c>
      <c r="I297" s="139">
        <f>IF($F297="T",SUM('School Level ADM'!$F297:$J297),IF($G297="T",SUM('School Level ADM'!$F297:$L297),SUM('School Level ADM'!$F297:$K297,0)))</f>
        <v>27.680666666666667</v>
      </c>
      <c r="J297" s="139">
        <f>'School Level ADM'!$S297-$I297-$K297</f>
        <v>0</v>
      </c>
      <c r="K297" s="139">
        <f>IF(SUM('School Level ADM'!$N297:$R297)='School Level ADM'!$S297,SUM('School Level ADM'!$N297:$R297),IF(OR(SUM('School Level ADM'!$F297:$O297)='School Level ADM'!$S297,SUM('School Level ADM'!$G297:$O297)='School Level ADM'!$S297,SUM('School Level ADM'!$H297:$O297)='School Level ADM'!$S297,SUM('School Level ADM'!$I297:$O297)='School Level ADM'!$S297,SUM('School Level ADM'!$J297:$O297)='School Level ADM'!$S297,SUM('School Level ADM'!$K297:$O297)='School Level ADM'!$S297,SUM('School Level ADM'!$L297:$O297)='School Level ADM'!$S297,SUM('School Level ADM'!$M297:$O297)='School Level ADM'!$S297,SUM('School Level ADM'!$N297:$O297)='School Level ADM'!$S297),0,SUM('School Level ADM'!$O297:$R297)))</f>
        <v>0</v>
      </c>
      <c r="L297" s="139">
        <f t="shared" si="57"/>
        <v>27.680666666666667</v>
      </c>
      <c r="M297" s="24">
        <f>'Student At-Risk and ELL Proxy'!S297</f>
        <v>17</v>
      </c>
      <c r="N297" s="24">
        <f>'Student At-Risk and ELL Proxy'!AH297</f>
        <v>5</v>
      </c>
      <c r="O297" s="136">
        <f t="shared" si="63"/>
        <v>2.5624160473674231</v>
      </c>
      <c r="P297" s="136" t="str">
        <f t="shared" si="64"/>
        <v/>
      </c>
      <c r="Q297" s="136" t="str">
        <f t="shared" si="65"/>
        <v/>
      </c>
      <c r="R297" s="136">
        <f t="shared" si="58"/>
        <v>2.5624160473674231</v>
      </c>
      <c r="S297" s="136">
        <f>IF(SUM(3515.4*((VLOOKUP($A297,'District Level ADM'!$A$4:$F$52,6,FALSE))^-0.327)/'Model Data Inputs'!$B$71)&lt;1,1,(3515.4*((VLOOKUP($A297,'District Level ADM'!$A$4:$F$52,6,FALSE))^-0.327)/'Model Data Inputs'!$B$71))</f>
        <v>1.1030337692339809</v>
      </c>
      <c r="T297" s="136">
        <f>VLOOKUP($A297,'Regional Cost Adjustment'!$A$4:$C$52,3,FALSE)</f>
        <v>1.17</v>
      </c>
      <c r="U297" s="123">
        <f>((($I297/$L297)*'Model Data Inputs'!$B$85)+((SUM(J297:K297)/$L297)*'Model Data Inputs'!$C$85))*$R297*$T297</f>
        <v>19090.198410262808</v>
      </c>
      <c r="V297" s="140">
        <f>((($I297/$L297)*'Model Data Inputs'!$B$86)+((SUM(J297:K297)/$L297)*'Model Data Inputs'!$C$86))*$R297</f>
        <v>4337.2088004211719</v>
      </c>
      <c r="W297" s="140">
        <f t="shared" si="66"/>
        <v>23427.407210683981</v>
      </c>
      <c r="X297" s="140">
        <f t="shared" si="59"/>
        <v>528429.41879501473</v>
      </c>
      <c r="Y297" s="140">
        <f t="shared" si="60"/>
        <v>120056.83106819165</v>
      </c>
      <c r="Z297" s="123">
        <f>IF((SUM(X297:Y297))&lt;(AVERAGE('Elementary Size Adjustment'!$B$66,'Secondary Size Adjustment'!$B$66)),(AVERAGE('Elementary Size Adjustment'!$B$66,'Secondary Size Adjustment'!$B$66)),SUM(X297:Y297))</f>
        <v>648486.24986320641</v>
      </c>
      <c r="AA297" s="137">
        <f>'Model Data Inputs'!$B$71*S297*L297</f>
        <v>5801.2149167661228</v>
      </c>
      <c r="AB297" s="137">
        <f>L297*'Model Data Inputs'!$B$72</f>
        <v>692.01666666666665</v>
      </c>
      <c r="AC297" s="137">
        <f>L297*'Model Data Inputs'!$B$73</f>
        <v>6920.166666666667</v>
      </c>
      <c r="AD297" s="137">
        <f>L297*'Model Data Inputs'!$B$74</f>
        <v>3460.0833333333335</v>
      </c>
      <c r="AE297" s="137">
        <f>$I297*'Model Data Inputs'!$B$76</f>
        <v>658.52305999999999</v>
      </c>
      <c r="AF297" s="137">
        <f>VLOOKUP($J297,'Student Activities MS&amp;HS Tables'!$M$7:$O$1267,3)</f>
        <v>0</v>
      </c>
      <c r="AG297" s="137">
        <f>VLOOKUP($K297,'Student Activities MS&amp;HS Tables'!$I$7:$K$3007,3)</f>
        <v>0</v>
      </c>
      <c r="AH297" s="137">
        <f t="shared" si="61"/>
        <v>658.52305999999999</v>
      </c>
      <c r="AI297" s="123">
        <f t="shared" si="67"/>
        <v>666018.25450663932</v>
      </c>
      <c r="AJ297" s="123">
        <f>(('Model Data Inputs'!$B$90*(('Model Data Inputs'!$B$87*('School Level Inst. Resources'!I297/'School Level Inst. Resources'!L297))+('Model Data Inputs'!$C$87*(SUM('School Level Inst. Resources'!J297:K297)/'School Level Inst. Resources'!L297))))*T297*M297)</f>
        <v>48095.287621644413</v>
      </c>
      <c r="AK297" s="123">
        <f>(('Model Data Inputs'!$B$91*(('Model Data Inputs'!$B$87*('School Level Inst. Resources'!I297/'School Level Inst. Resources'!L297))+('Model Data Inputs'!$C$87*(SUM('School Level Inst. Resources'!J297:K297)/'School Level Inst. Resources'!L297))))*T297*N297)</f>
        <v>14145.672829895415</v>
      </c>
      <c r="AL297" s="137">
        <f>(K297*'Model Data Inputs'!$B$94)*T297</f>
        <v>0</v>
      </c>
      <c r="AM297" s="137">
        <f>K297*'Model Data Inputs'!$B$95</f>
        <v>0</v>
      </c>
      <c r="AN297" s="137">
        <f t="shared" si="68"/>
        <v>0</v>
      </c>
      <c r="AO297" s="137">
        <f>('School Level Inst. Resources'!K297*'Model Data Inputs'!$B$96)+('School Level Inst. Resources'!J297*'Model Data Inputs'!$B$97)</f>
        <v>0</v>
      </c>
      <c r="AP297" s="137">
        <f>$L297*'Model Data Inputs'!$B$100</f>
        <v>1107.2266666666667</v>
      </c>
      <c r="AQ297" s="137">
        <f t="shared" si="69"/>
        <v>729366.44162484584</v>
      </c>
      <c r="AR297" s="141">
        <f t="shared" si="62"/>
        <v>26349.309083048789</v>
      </c>
    </row>
    <row r="298" spans="1:44" s="40" customFormat="1" ht="12.75" customHeight="1" x14ac:dyDescent="0.2">
      <c r="A298" s="20" t="s">
        <v>90</v>
      </c>
      <c r="B298" s="20" t="s">
        <v>91</v>
      </c>
      <c r="C298" s="20" t="s">
        <v>964</v>
      </c>
      <c r="D298" s="20" t="s">
        <v>965</v>
      </c>
      <c r="E298" s="138" t="s">
        <v>522</v>
      </c>
      <c r="F298" s="138" t="str">
        <f>IF(AND(SUM('School Level ADM'!$F298:$J298)=0,SUM('School Level ADM'!$O298:$R298)=0,'School Level ADM'!$K298&gt;0,'School Level ADM'!$N298&gt;0),"T","F")</f>
        <v>F</v>
      </c>
      <c r="G298" s="138" t="str">
        <f>IF(AND(SUM('School Level ADM'!$M298:$R298)=0,'School Level ADM'!$L298&gt;0),"T","F")</f>
        <v>F</v>
      </c>
      <c r="H298" s="138" t="str">
        <f t="shared" si="56"/>
        <v>E</v>
      </c>
      <c r="I298" s="139">
        <f>IF($F298="T",SUM('School Level ADM'!$F298:$J298),IF($G298="T",SUM('School Level ADM'!$F298:$L298),SUM('School Level ADM'!$F298:$K298,0)))</f>
        <v>287.24252380952385</v>
      </c>
      <c r="J298" s="139">
        <f>'School Level ADM'!$S298-$I298-$K298</f>
        <v>0</v>
      </c>
      <c r="K298" s="139">
        <f>IF(SUM('School Level ADM'!$N298:$R298)='School Level ADM'!$S298,SUM('School Level ADM'!$N298:$R298),IF(OR(SUM('School Level ADM'!$F298:$O298)='School Level ADM'!$S298,SUM('School Level ADM'!$G298:$O298)='School Level ADM'!$S298,SUM('School Level ADM'!$H298:$O298)='School Level ADM'!$S298,SUM('School Level ADM'!$I298:$O298)='School Level ADM'!$S298,SUM('School Level ADM'!$J298:$O298)='School Level ADM'!$S298,SUM('School Level ADM'!$K298:$O298)='School Level ADM'!$S298,SUM('School Level ADM'!$L298:$O298)='School Level ADM'!$S298,SUM('School Level ADM'!$M298:$O298)='School Level ADM'!$S298,SUM('School Level ADM'!$N298:$O298)='School Level ADM'!$S298),0,SUM('School Level ADM'!$O298:$R298)))</f>
        <v>0</v>
      </c>
      <c r="L298" s="139">
        <f t="shared" si="57"/>
        <v>287.24252380952385</v>
      </c>
      <c r="M298" s="24">
        <f>'Student At-Risk and ELL Proxy'!S298</f>
        <v>145.71428571428572</v>
      </c>
      <c r="N298" s="24">
        <f>'Student At-Risk and ELL Proxy'!AH298</f>
        <v>55</v>
      </c>
      <c r="O298" s="136">
        <f t="shared" si="63"/>
        <v>1.009840802883059</v>
      </c>
      <c r="P298" s="136" t="str">
        <f t="shared" si="64"/>
        <v/>
      </c>
      <c r="Q298" s="136" t="str">
        <f t="shared" si="65"/>
        <v/>
      </c>
      <c r="R298" s="136">
        <f t="shared" si="58"/>
        <v>1.009840802883059</v>
      </c>
      <c r="S298" s="136">
        <f>IF(SUM(3515.4*((VLOOKUP($A298,'District Level ADM'!$A$4:$F$52,6,FALSE))^-0.327)/'Model Data Inputs'!$B$71)&lt;1,1,(3515.4*((VLOOKUP($A298,'District Level ADM'!$A$4:$F$52,6,FALSE))^-0.327)/'Model Data Inputs'!$B$71))</f>
        <v>1.1030337692339809</v>
      </c>
      <c r="T298" s="136">
        <f>VLOOKUP($A298,'Regional Cost Adjustment'!$A$4:$C$52,3,FALSE)</f>
        <v>1.17</v>
      </c>
      <c r="U298" s="123">
        <f>((($I298/$L298)*'Model Data Inputs'!$B$85)+((SUM(J298:K298)/$L298)*'Model Data Inputs'!$C$85))*$R298*$T298</f>
        <v>7523.3923505991934</v>
      </c>
      <c r="V298" s="140">
        <f>((($I298/$L298)*'Model Data Inputs'!$B$86)+((SUM(J298:K298)/$L298)*'Model Data Inputs'!$C$86))*$R298</f>
        <v>1709.2815281845428</v>
      </c>
      <c r="W298" s="140">
        <f t="shared" si="66"/>
        <v>9232.6738787837367</v>
      </c>
      <c r="X298" s="140">
        <f t="shared" si="59"/>
        <v>2161038.2063953783</v>
      </c>
      <c r="Y298" s="140">
        <f t="shared" si="60"/>
        <v>490978.34005672787</v>
      </c>
      <c r="Z298" s="123">
        <f>IF((SUM(X298:Y298))&lt;(AVERAGE('Elementary Size Adjustment'!$B$66,'Secondary Size Adjustment'!$B$66)),(AVERAGE('Elementary Size Adjustment'!$B$66,'Secondary Size Adjustment'!$B$66)),SUM(X298:Y298))</f>
        <v>2652016.546452106</v>
      </c>
      <c r="AA298" s="137">
        <f>'Model Data Inputs'!$B$71*S298*L298</f>
        <v>60199.258707161112</v>
      </c>
      <c r="AB298" s="137">
        <f>L298*'Model Data Inputs'!$B$72</f>
        <v>7181.0630952380961</v>
      </c>
      <c r="AC298" s="137">
        <f>L298*'Model Data Inputs'!$B$73</f>
        <v>71810.630952380961</v>
      </c>
      <c r="AD298" s="137">
        <f>L298*'Model Data Inputs'!$B$74</f>
        <v>35905.315476190481</v>
      </c>
      <c r="AE298" s="137">
        <f>$I298*'Model Data Inputs'!$B$76</f>
        <v>6833.4996414285724</v>
      </c>
      <c r="AF298" s="137">
        <f>VLOOKUP($J298,'Student Activities MS&amp;HS Tables'!$M$7:$O$1267,3)</f>
        <v>0</v>
      </c>
      <c r="AG298" s="137">
        <f>VLOOKUP($K298,'Student Activities MS&amp;HS Tables'!$I$7:$K$3007,3)</f>
        <v>0</v>
      </c>
      <c r="AH298" s="137">
        <f t="shared" si="61"/>
        <v>6833.4996414285724</v>
      </c>
      <c r="AI298" s="123">
        <f t="shared" si="67"/>
        <v>2833946.3143245052</v>
      </c>
      <c r="AJ298" s="123">
        <f>(('Model Data Inputs'!$B$90*(('Model Data Inputs'!$B$87*('School Level Inst. Resources'!I298/'School Level Inst. Resources'!L298))+('Model Data Inputs'!$C$87*(SUM('School Level Inst. Resources'!J298:K298)/'School Level Inst. Resources'!L298))))*T298*M298)</f>
        <v>412245.32247123786</v>
      </c>
      <c r="AK298" s="123">
        <f>(('Model Data Inputs'!$B$91*(('Model Data Inputs'!$B$87*('School Level Inst. Resources'!I298/'School Level Inst. Resources'!L298))+('Model Data Inputs'!$C$87*(SUM('School Level Inst. Resources'!J298:K298)/'School Level Inst. Resources'!L298))))*T298*N298)</f>
        <v>155602.40112884957</v>
      </c>
      <c r="AL298" s="137">
        <f>(K298*'Model Data Inputs'!$B$94)*T298</f>
        <v>0</v>
      </c>
      <c r="AM298" s="137">
        <f>K298*'Model Data Inputs'!$B$95</f>
        <v>0</v>
      </c>
      <c r="AN298" s="137">
        <f t="shared" si="68"/>
        <v>0</v>
      </c>
      <c r="AO298" s="137">
        <f>('School Level Inst. Resources'!K298*'Model Data Inputs'!$B$96)+('School Level Inst. Resources'!J298*'Model Data Inputs'!$B$97)</f>
        <v>0</v>
      </c>
      <c r="AP298" s="137">
        <f>$L298*'Model Data Inputs'!$B$100</f>
        <v>11489.700952380954</v>
      </c>
      <c r="AQ298" s="137">
        <f t="shared" si="69"/>
        <v>3413283.7388769733</v>
      </c>
      <c r="AR298" s="141">
        <f t="shared" si="62"/>
        <v>11882.933256568895</v>
      </c>
    </row>
    <row r="299" spans="1:44" s="40" customFormat="1" ht="12.75" customHeight="1" x14ac:dyDescent="0.2">
      <c r="A299" s="20" t="s">
        <v>90</v>
      </c>
      <c r="B299" s="20" t="s">
        <v>91</v>
      </c>
      <c r="C299" s="20" t="s">
        <v>966</v>
      </c>
      <c r="D299" s="20" t="s">
        <v>967</v>
      </c>
      <c r="E299" s="138" t="s">
        <v>354</v>
      </c>
      <c r="F299" s="138" t="str">
        <f>IF(AND(SUM('School Level ADM'!$F299:$J299)=0,SUM('School Level ADM'!$O299:$R299)=0,'School Level ADM'!$K299&gt;0,'School Level ADM'!$N299&gt;0),"T","F")</f>
        <v>F</v>
      </c>
      <c r="G299" s="138" t="str">
        <f>IF(AND(SUM('School Level ADM'!$M299:$R299)=0,'School Level ADM'!$L299&gt;0),"T","F")</f>
        <v>F</v>
      </c>
      <c r="H299" s="138" t="str">
        <f t="shared" si="56"/>
        <v>E</v>
      </c>
      <c r="I299" s="139">
        <f>IF($F299="T",SUM('School Level ADM'!$F299:$J299),IF($G299="T",SUM('School Level ADM'!$F299:$L299),SUM('School Level ADM'!$F299:$K299,0)))</f>
        <v>70.418333333333337</v>
      </c>
      <c r="J299" s="139">
        <f>'School Level ADM'!$S299-$I299-$K299</f>
        <v>0</v>
      </c>
      <c r="K299" s="139">
        <f>IF(SUM('School Level ADM'!$N299:$R299)='School Level ADM'!$S299,SUM('School Level ADM'!$N299:$R299),IF(OR(SUM('School Level ADM'!$F299:$O299)='School Level ADM'!$S299,SUM('School Level ADM'!$G299:$O299)='School Level ADM'!$S299,SUM('School Level ADM'!$H299:$O299)='School Level ADM'!$S299,SUM('School Level ADM'!$I299:$O299)='School Level ADM'!$S299,SUM('School Level ADM'!$J299:$O299)='School Level ADM'!$S299,SUM('School Level ADM'!$K299:$O299)='School Level ADM'!$S299,SUM('School Level ADM'!$L299:$O299)='School Level ADM'!$S299,SUM('School Level ADM'!$M299:$O299)='School Level ADM'!$S299,SUM('School Level ADM'!$N299:$O299)='School Level ADM'!$S299),0,SUM('School Level ADM'!$O299:$R299)))</f>
        <v>0</v>
      </c>
      <c r="L299" s="139">
        <f t="shared" si="57"/>
        <v>70.418333333333337</v>
      </c>
      <c r="M299" s="24">
        <f>'Student At-Risk and ELL Proxy'!S299</f>
        <v>33</v>
      </c>
      <c r="N299" s="24">
        <f>'Student At-Risk and ELL Proxy'!AH299</f>
        <v>2</v>
      </c>
      <c r="O299" s="136">
        <f t="shared" si="63"/>
        <v>1.7670831484462433</v>
      </c>
      <c r="P299" s="136" t="str">
        <f t="shared" si="64"/>
        <v/>
      </c>
      <c r="Q299" s="136" t="str">
        <f t="shared" si="65"/>
        <v/>
      </c>
      <c r="R299" s="136">
        <f t="shared" si="58"/>
        <v>1.7670831484462433</v>
      </c>
      <c r="S299" s="136">
        <f>IF(SUM(3515.4*((VLOOKUP($A299,'District Level ADM'!$A$4:$F$52,6,FALSE))^-0.327)/'Model Data Inputs'!$B$71)&lt;1,1,(3515.4*((VLOOKUP($A299,'District Level ADM'!$A$4:$F$52,6,FALSE))^-0.327)/'Model Data Inputs'!$B$71))</f>
        <v>1.1030337692339809</v>
      </c>
      <c r="T299" s="136">
        <f>VLOOKUP($A299,'Regional Cost Adjustment'!$A$4:$C$52,3,FALSE)</f>
        <v>1.17</v>
      </c>
      <c r="U299" s="123">
        <f>((($I299/$L299)*'Model Data Inputs'!$B$85)+((SUM(J299:K299)/$L299)*'Model Data Inputs'!$C$85))*$R299*$T299</f>
        <v>13164.906591155755</v>
      </c>
      <c r="V299" s="140">
        <f>((($I299/$L299)*'Model Data Inputs'!$B$86)+((SUM(J299:K299)/$L299)*'Model Data Inputs'!$C$86))*$R299</f>
        <v>2991.0086577825869</v>
      </c>
      <c r="W299" s="140">
        <f t="shared" si="66"/>
        <v>16155.915248938341</v>
      </c>
      <c r="X299" s="140">
        <f t="shared" si="59"/>
        <v>927050.78063820302</v>
      </c>
      <c r="Y299" s="140">
        <f t="shared" si="60"/>
        <v>210621.84466662013</v>
      </c>
      <c r="Z299" s="123">
        <f>IF((SUM(X299:Y299))&lt;(AVERAGE('Elementary Size Adjustment'!$B$66,'Secondary Size Adjustment'!$B$66)),(AVERAGE('Elementary Size Adjustment'!$B$66,'Secondary Size Adjustment'!$B$66)),SUM(X299:Y299))</f>
        <v>1137672.6253048233</v>
      </c>
      <c r="AA299" s="137">
        <f>'Model Data Inputs'!$B$71*S299*L299</f>
        <v>14758.021931569894</v>
      </c>
      <c r="AB299" s="137">
        <f>L299*'Model Data Inputs'!$B$72</f>
        <v>1760.4583333333335</v>
      </c>
      <c r="AC299" s="137">
        <f>L299*'Model Data Inputs'!$B$73</f>
        <v>17604.583333333336</v>
      </c>
      <c r="AD299" s="137">
        <f>L299*'Model Data Inputs'!$B$74</f>
        <v>8802.2916666666679</v>
      </c>
      <c r="AE299" s="137">
        <f>$I299*'Model Data Inputs'!$B$76</f>
        <v>1675.25215</v>
      </c>
      <c r="AF299" s="137">
        <f>VLOOKUP($J299,'Student Activities MS&amp;HS Tables'!$M$7:$O$1267,3)</f>
        <v>0</v>
      </c>
      <c r="AG299" s="137">
        <f>VLOOKUP($K299,'Student Activities MS&amp;HS Tables'!$I$7:$K$3007,3)</f>
        <v>0</v>
      </c>
      <c r="AH299" s="137">
        <f t="shared" si="61"/>
        <v>1675.25215</v>
      </c>
      <c r="AI299" s="123">
        <f t="shared" si="67"/>
        <v>1182273.2327197264</v>
      </c>
      <c r="AJ299" s="123">
        <f>(('Model Data Inputs'!$B$90*(('Model Data Inputs'!$B$87*('School Level Inst. Resources'!I299/'School Level Inst. Resources'!L299))+('Model Data Inputs'!$C$87*(SUM('School Level Inst. Resources'!J299:K299)/'School Level Inst. Resources'!L299))))*T299*M299)</f>
        <v>93361.440677309743</v>
      </c>
      <c r="AK299" s="123">
        <f>(('Model Data Inputs'!$B$91*(('Model Data Inputs'!$B$87*('School Level Inst. Resources'!I299/'School Level Inst. Resources'!L299))+('Model Data Inputs'!$C$87*(SUM('School Level Inst. Resources'!J299:K299)/'School Level Inst. Resources'!L299))))*T299*N299)</f>
        <v>5658.2691319581663</v>
      </c>
      <c r="AL299" s="137">
        <f>(K299*'Model Data Inputs'!$B$94)*T299</f>
        <v>0</v>
      </c>
      <c r="AM299" s="137">
        <f>K299*'Model Data Inputs'!$B$95</f>
        <v>0</v>
      </c>
      <c r="AN299" s="137">
        <f t="shared" si="68"/>
        <v>0</v>
      </c>
      <c r="AO299" s="137">
        <f>('School Level Inst. Resources'!K299*'Model Data Inputs'!$B$96)+('School Level Inst. Resources'!J299*'Model Data Inputs'!$B$97)</f>
        <v>0</v>
      </c>
      <c r="AP299" s="137">
        <f>$L299*'Model Data Inputs'!$B$100</f>
        <v>2816.7333333333336</v>
      </c>
      <c r="AQ299" s="137">
        <f t="shared" si="69"/>
        <v>1284109.6758623277</v>
      </c>
      <c r="AR299" s="141">
        <f t="shared" si="62"/>
        <v>18235.445445489968</v>
      </c>
    </row>
    <row r="300" spans="1:44" s="40" customFormat="1" ht="12.75" customHeight="1" x14ac:dyDescent="0.2">
      <c r="A300" s="20" t="s">
        <v>90</v>
      </c>
      <c r="B300" s="20" t="s">
        <v>91</v>
      </c>
      <c r="C300" s="20" t="s">
        <v>968</v>
      </c>
      <c r="D300" s="20" t="s">
        <v>860</v>
      </c>
      <c r="E300" s="138" t="s">
        <v>525</v>
      </c>
      <c r="F300" s="138" t="str">
        <f>IF(AND(SUM('School Level ADM'!$F300:$J300)=0,SUM('School Level ADM'!$O300:$R300)=0,'School Level ADM'!$K300&gt;0,'School Level ADM'!$N300&gt;0),"T","F")</f>
        <v>F</v>
      </c>
      <c r="G300" s="138" t="str">
        <f>IF(AND(SUM('School Level ADM'!$M300:$R300)=0,'School Level ADM'!$L300&gt;0),"T","F")</f>
        <v>T</v>
      </c>
      <c r="H300" s="138" t="str">
        <f t="shared" si="56"/>
        <v>E</v>
      </c>
      <c r="I300" s="139">
        <f>IF($F300="T",SUM('School Level ADM'!$F300:$J300),IF($G300="T",SUM('School Level ADM'!$F300:$L300),SUM('School Level ADM'!$F300:$K300,0)))</f>
        <v>441.19766666666663</v>
      </c>
      <c r="J300" s="139">
        <f>'School Level ADM'!$S300-$I300-$K300</f>
        <v>0</v>
      </c>
      <c r="K300" s="139">
        <f>IF(SUM('School Level ADM'!$N300:$R300)='School Level ADM'!$S300,SUM('School Level ADM'!$N300:$R300),IF(OR(SUM('School Level ADM'!$F300:$O300)='School Level ADM'!$S300,SUM('School Level ADM'!$G300:$O300)='School Level ADM'!$S300,SUM('School Level ADM'!$H300:$O300)='School Level ADM'!$S300,SUM('School Level ADM'!$I300:$O300)='School Level ADM'!$S300,SUM('School Level ADM'!$J300:$O300)='School Level ADM'!$S300,SUM('School Level ADM'!$K300:$O300)='School Level ADM'!$S300,SUM('School Level ADM'!$L300:$O300)='School Level ADM'!$S300,SUM('School Level ADM'!$M300:$O300)='School Level ADM'!$S300,SUM('School Level ADM'!$N300:$O300)='School Level ADM'!$S300),0,SUM('School Level ADM'!$O300:$R300)))</f>
        <v>0</v>
      </c>
      <c r="L300" s="139">
        <f t="shared" si="57"/>
        <v>441.19766666666663</v>
      </c>
      <c r="M300" s="24">
        <f>'Student At-Risk and ELL Proxy'!S300</f>
        <v>232</v>
      </c>
      <c r="N300" s="24">
        <f>'Student At-Risk and ELL Proxy'!AH300</f>
        <v>45</v>
      </c>
      <c r="O300" s="136">
        <f t="shared" si="63"/>
        <v>0.97</v>
      </c>
      <c r="P300" s="136" t="str">
        <f t="shared" si="64"/>
        <v/>
      </c>
      <c r="Q300" s="136" t="str">
        <f t="shared" si="65"/>
        <v/>
      </c>
      <c r="R300" s="136">
        <f t="shared" si="58"/>
        <v>0.97</v>
      </c>
      <c r="S300" s="136">
        <f>IF(SUM(3515.4*((VLOOKUP($A300,'District Level ADM'!$A$4:$F$52,6,FALSE))^-0.327)/'Model Data Inputs'!$B$71)&lt;1,1,(3515.4*((VLOOKUP($A300,'District Level ADM'!$A$4:$F$52,6,FALSE))^-0.327)/'Model Data Inputs'!$B$71))</f>
        <v>1.1030337692339809</v>
      </c>
      <c r="T300" s="136">
        <f>VLOOKUP($A300,'Regional Cost Adjustment'!$A$4:$C$52,3,FALSE)</f>
        <v>1.17</v>
      </c>
      <c r="U300" s="123">
        <f>((($I300/$L300)*'Model Data Inputs'!$B$85)+((SUM(J300:K300)/$L300)*'Model Data Inputs'!$C$85))*$R300*$T300</f>
        <v>7226.5752772581318</v>
      </c>
      <c r="V300" s="140">
        <f>((($I300/$L300)*'Model Data Inputs'!$B$86)+((SUM(J300:K300)/$L300)*'Model Data Inputs'!$C$86))*$R300</f>
        <v>1641.8459994936507</v>
      </c>
      <c r="W300" s="140">
        <f t="shared" si="66"/>
        <v>8868.421276751782</v>
      </c>
      <c r="X300" s="140">
        <f t="shared" si="59"/>
        <v>3188348.1503173071</v>
      </c>
      <c r="Y300" s="140">
        <f t="shared" si="60"/>
        <v>724378.62400259974</v>
      </c>
      <c r="Z300" s="123">
        <f>IF((SUM(X300:Y300))&lt;(AVERAGE('Elementary Size Adjustment'!$B$66,'Secondary Size Adjustment'!$B$66)),(AVERAGE('Elementary Size Adjustment'!$B$66,'Secondary Size Adjustment'!$B$66)),SUM(X300:Y300))</f>
        <v>3912726.7743199067</v>
      </c>
      <c r="AA300" s="137">
        <f>'Model Data Inputs'!$B$71*S300*L300</f>
        <v>92464.62579570846</v>
      </c>
      <c r="AB300" s="137">
        <f>L300*'Model Data Inputs'!$B$72</f>
        <v>11029.941666666666</v>
      </c>
      <c r="AC300" s="137">
        <f>L300*'Model Data Inputs'!$B$73</f>
        <v>110299.41666666666</v>
      </c>
      <c r="AD300" s="137">
        <f>L300*'Model Data Inputs'!$B$74</f>
        <v>55149.708333333328</v>
      </c>
      <c r="AE300" s="137">
        <f>$I300*'Model Data Inputs'!$B$76</f>
        <v>10496.092489999999</v>
      </c>
      <c r="AF300" s="137">
        <f>VLOOKUP($J300,'Student Activities MS&amp;HS Tables'!$M$7:$O$1267,3)</f>
        <v>0</v>
      </c>
      <c r="AG300" s="137">
        <f>VLOOKUP($K300,'Student Activities MS&amp;HS Tables'!$I$7:$K$3007,3)</f>
        <v>0</v>
      </c>
      <c r="AH300" s="137">
        <f t="shared" si="61"/>
        <v>10496.092489999999</v>
      </c>
      <c r="AI300" s="123">
        <f t="shared" si="67"/>
        <v>4192166.5592722823</v>
      </c>
      <c r="AJ300" s="123">
        <f>(('Model Data Inputs'!$B$90*(('Model Data Inputs'!$B$87*('School Level Inst. Resources'!I300/'School Level Inst. Resources'!L300))+('Model Data Inputs'!$C$87*(SUM('School Level Inst. Resources'!J300:K300)/'School Level Inst. Resources'!L300))))*T300*M300)</f>
        <v>656359.21930714732</v>
      </c>
      <c r="AK300" s="123">
        <f>(('Model Data Inputs'!$B$91*(('Model Data Inputs'!$B$87*('School Level Inst. Resources'!I300/'School Level Inst. Resources'!L300))+('Model Data Inputs'!$C$87*(SUM('School Level Inst. Resources'!J300:K300)/'School Level Inst. Resources'!L300))))*T300*N300)</f>
        <v>127311.05546905875</v>
      </c>
      <c r="AL300" s="137">
        <f>(K300*'Model Data Inputs'!$B$94)*T300</f>
        <v>0</v>
      </c>
      <c r="AM300" s="137">
        <f>K300*'Model Data Inputs'!$B$95</f>
        <v>0</v>
      </c>
      <c r="AN300" s="137">
        <f t="shared" si="68"/>
        <v>0</v>
      </c>
      <c r="AO300" s="137">
        <f>('School Level Inst. Resources'!K300*'Model Data Inputs'!$B$96)+('School Level Inst. Resources'!J300*'Model Data Inputs'!$B$97)</f>
        <v>0</v>
      </c>
      <c r="AP300" s="137">
        <f>$L300*'Model Data Inputs'!$B$100</f>
        <v>17647.906666666666</v>
      </c>
      <c r="AQ300" s="137">
        <f t="shared" si="69"/>
        <v>4993484.7407151544</v>
      </c>
      <c r="AR300" s="141">
        <f t="shared" si="62"/>
        <v>11318.021644225577</v>
      </c>
    </row>
    <row r="301" spans="1:44" s="40" customFormat="1" ht="12.75" customHeight="1" x14ac:dyDescent="0.2">
      <c r="A301" s="20" t="s">
        <v>90</v>
      </c>
      <c r="B301" s="20" t="s">
        <v>91</v>
      </c>
      <c r="C301" s="20" t="s">
        <v>969</v>
      </c>
      <c r="D301" s="20" t="s">
        <v>970</v>
      </c>
      <c r="E301" s="138" t="s">
        <v>522</v>
      </c>
      <c r="F301" s="138" t="str">
        <f>IF(AND(SUM('School Level ADM'!$F301:$J301)=0,SUM('School Level ADM'!$O301:$R301)=0,'School Level ADM'!$K301&gt;0,'School Level ADM'!$N301&gt;0),"T","F")</f>
        <v>F</v>
      </c>
      <c r="G301" s="138" t="str">
        <f>IF(AND(SUM('School Level ADM'!$M301:$R301)=0,'School Level ADM'!$L301&gt;0),"T","F")</f>
        <v>F</v>
      </c>
      <c r="H301" s="138" t="str">
        <f t="shared" si="56"/>
        <v>E</v>
      </c>
      <c r="I301" s="139">
        <f>IF($F301="T",SUM('School Level ADM'!$F301:$J301),IF($G301="T",SUM('School Level ADM'!$F301:$L301),SUM('School Level ADM'!$F301:$K301,0)))</f>
        <v>272.54485714285715</v>
      </c>
      <c r="J301" s="139">
        <f>'School Level ADM'!$S301-$I301-$K301</f>
        <v>0</v>
      </c>
      <c r="K301" s="139">
        <f>IF(SUM('School Level ADM'!$N301:$R301)='School Level ADM'!$S301,SUM('School Level ADM'!$N301:$R301),IF(OR(SUM('School Level ADM'!$F301:$O301)='School Level ADM'!$S301,SUM('School Level ADM'!$G301:$O301)='School Level ADM'!$S301,SUM('School Level ADM'!$H301:$O301)='School Level ADM'!$S301,SUM('School Level ADM'!$I301:$O301)='School Level ADM'!$S301,SUM('School Level ADM'!$J301:$O301)='School Level ADM'!$S301,SUM('School Level ADM'!$K301:$O301)='School Level ADM'!$S301,SUM('School Level ADM'!$L301:$O301)='School Level ADM'!$S301,SUM('School Level ADM'!$M301:$O301)='School Level ADM'!$S301,SUM('School Level ADM'!$N301:$O301)='School Level ADM'!$S301),0,SUM('School Level ADM'!$O301:$R301)))</f>
        <v>0</v>
      </c>
      <c r="L301" s="139">
        <f t="shared" si="57"/>
        <v>272.54485714285715</v>
      </c>
      <c r="M301" s="24">
        <f>'Student At-Risk and ELL Proxy'!S301</f>
        <v>145.71428571428572</v>
      </c>
      <c r="N301" s="24">
        <f>'Student At-Risk and ELL Proxy'!AH301</f>
        <v>40</v>
      </c>
      <c r="O301" s="136">
        <f t="shared" si="63"/>
        <v>1.0311731353262976</v>
      </c>
      <c r="P301" s="136" t="str">
        <f t="shared" si="64"/>
        <v/>
      </c>
      <c r="Q301" s="136" t="str">
        <f t="shared" si="65"/>
        <v/>
      </c>
      <c r="R301" s="136">
        <f t="shared" si="58"/>
        <v>1.0311731353262976</v>
      </c>
      <c r="S301" s="136">
        <f>IF(SUM(3515.4*((VLOOKUP($A301,'District Level ADM'!$A$4:$F$52,6,FALSE))^-0.327)/'Model Data Inputs'!$B$71)&lt;1,1,(3515.4*((VLOOKUP($A301,'District Level ADM'!$A$4:$F$52,6,FALSE))^-0.327)/'Model Data Inputs'!$B$71))</f>
        <v>1.1030337692339809</v>
      </c>
      <c r="T301" s="136">
        <f>VLOOKUP($A301,'Regional Cost Adjustment'!$A$4:$C$52,3,FALSE)</f>
        <v>1.17</v>
      </c>
      <c r="U301" s="123">
        <f>((($I301/$L301)*'Model Data Inputs'!$B$85)+((SUM(J301:K301)/$L301)*'Model Data Inputs'!$C$85))*$R301*$T301</f>
        <v>7682.3198828059558</v>
      </c>
      <c r="V301" s="140">
        <f>((($I301/$L301)*'Model Data Inputs'!$B$86)+((SUM(J301:K301)/$L301)*'Model Data Inputs'!$C$86))*$R301</f>
        <v>1745.3891618771202</v>
      </c>
      <c r="W301" s="140">
        <f t="shared" si="66"/>
        <v>9427.7090446830753</v>
      </c>
      <c r="X301" s="140">
        <f t="shared" si="59"/>
        <v>2093776.7749850804</v>
      </c>
      <c r="Y301" s="140">
        <f t="shared" si="60"/>
        <v>475696.83978249092</v>
      </c>
      <c r="Z301" s="123">
        <f>IF((SUM(X301:Y301))&lt;(AVERAGE('Elementary Size Adjustment'!$B$66,'Secondary Size Adjustment'!$B$66)),(AVERAGE('Elementary Size Adjustment'!$B$66,'Secondary Size Adjustment'!$B$66)),SUM(X301:Y301))</f>
        <v>2569473.6147675714</v>
      </c>
      <c r="AA301" s="137">
        <f>'Model Data Inputs'!$B$71*S301*L301</f>
        <v>57118.974401328298</v>
      </c>
      <c r="AB301" s="137">
        <f>L301*'Model Data Inputs'!$B$72</f>
        <v>6813.6214285714286</v>
      </c>
      <c r="AC301" s="137">
        <f>L301*'Model Data Inputs'!$B$73</f>
        <v>68136.21428571429</v>
      </c>
      <c r="AD301" s="137">
        <f>L301*'Model Data Inputs'!$B$74</f>
        <v>34068.107142857145</v>
      </c>
      <c r="AE301" s="137">
        <f>$I301*'Model Data Inputs'!$B$76</f>
        <v>6483.842151428571</v>
      </c>
      <c r="AF301" s="137">
        <f>VLOOKUP($J301,'Student Activities MS&amp;HS Tables'!$M$7:$O$1267,3)</f>
        <v>0</v>
      </c>
      <c r="AG301" s="137">
        <f>VLOOKUP($K301,'Student Activities MS&amp;HS Tables'!$I$7:$K$3007,3)</f>
        <v>0</v>
      </c>
      <c r="AH301" s="137">
        <f t="shared" si="61"/>
        <v>6483.842151428571</v>
      </c>
      <c r="AI301" s="123">
        <f t="shared" si="67"/>
        <v>2742094.3741774713</v>
      </c>
      <c r="AJ301" s="123">
        <f>(('Model Data Inputs'!$B$90*(('Model Data Inputs'!$B$87*('School Level Inst. Resources'!I301/'School Level Inst. Resources'!L301))+('Model Data Inputs'!$C$87*(SUM('School Level Inst. Resources'!J301:K301)/'School Level Inst. Resources'!L301))))*T301*M301)</f>
        <v>412245.32247123786</v>
      </c>
      <c r="AK301" s="123">
        <f>(('Model Data Inputs'!$B$91*(('Model Data Inputs'!$B$87*('School Level Inst. Resources'!I301/'School Level Inst. Resources'!L301))+('Model Data Inputs'!$C$87*(SUM('School Level Inst. Resources'!J301:K301)/'School Level Inst. Resources'!L301))))*T301*N301)</f>
        <v>113165.38263916332</v>
      </c>
      <c r="AL301" s="137">
        <f>(K301*'Model Data Inputs'!$B$94)*T301</f>
        <v>0</v>
      </c>
      <c r="AM301" s="137">
        <f>K301*'Model Data Inputs'!$B$95</f>
        <v>0</v>
      </c>
      <c r="AN301" s="137">
        <f t="shared" si="68"/>
        <v>0</v>
      </c>
      <c r="AO301" s="137">
        <f>('School Level Inst. Resources'!K301*'Model Data Inputs'!$B$96)+('School Level Inst. Resources'!J301*'Model Data Inputs'!$B$97)</f>
        <v>0</v>
      </c>
      <c r="AP301" s="137">
        <f>$L301*'Model Data Inputs'!$B$100</f>
        <v>10901.794285714286</v>
      </c>
      <c r="AQ301" s="137">
        <f t="shared" si="69"/>
        <v>3278406.8735735863</v>
      </c>
      <c r="AR301" s="141">
        <f t="shared" si="62"/>
        <v>12028.870799257738</v>
      </c>
    </row>
    <row r="302" spans="1:44" s="40" customFormat="1" ht="12.75" customHeight="1" x14ac:dyDescent="0.2">
      <c r="A302" s="20" t="s">
        <v>90</v>
      </c>
      <c r="B302" s="20" t="s">
        <v>91</v>
      </c>
      <c r="C302" s="20" t="s">
        <v>971</v>
      </c>
      <c r="D302" s="20" t="s">
        <v>972</v>
      </c>
      <c r="E302" s="138" t="s">
        <v>522</v>
      </c>
      <c r="F302" s="138" t="str">
        <f>IF(AND(SUM('School Level ADM'!$F302:$J302)=0,SUM('School Level ADM'!$O302:$R302)=0,'School Level ADM'!$K302&gt;0,'School Level ADM'!$N302&gt;0),"T","F")</f>
        <v>F</v>
      </c>
      <c r="G302" s="138" t="str">
        <f>IF(AND(SUM('School Level ADM'!$M302:$R302)=0,'School Level ADM'!$L302&gt;0),"T","F")</f>
        <v>F</v>
      </c>
      <c r="H302" s="138" t="str">
        <f t="shared" si="56"/>
        <v>E</v>
      </c>
      <c r="I302" s="139">
        <f>IF($F302="T",SUM('School Level ADM'!$F302:$J302),IF($G302="T",SUM('School Level ADM'!$F302:$L302),SUM('School Level ADM'!$F302:$K302,0)))</f>
        <v>263.62819047619053</v>
      </c>
      <c r="J302" s="139">
        <f>'School Level ADM'!$S302-$I302-$K302</f>
        <v>0</v>
      </c>
      <c r="K302" s="139">
        <f>IF(SUM('School Level ADM'!$N302:$R302)='School Level ADM'!$S302,SUM('School Level ADM'!$N302:$R302),IF(OR(SUM('School Level ADM'!$F302:$O302)='School Level ADM'!$S302,SUM('School Level ADM'!$G302:$O302)='School Level ADM'!$S302,SUM('School Level ADM'!$H302:$O302)='School Level ADM'!$S302,SUM('School Level ADM'!$I302:$O302)='School Level ADM'!$S302,SUM('School Level ADM'!$J302:$O302)='School Level ADM'!$S302,SUM('School Level ADM'!$K302:$O302)='School Level ADM'!$S302,SUM('School Level ADM'!$L302:$O302)='School Level ADM'!$S302,SUM('School Level ADM'!$M302:$O302)='School Level ADM'!$S302,SUM('School Level ADM'!$N302:$O302)='School Level ADM'!$S302),0,SUM('School Level ADM'!$O302:$R302)))</f>
        <v>0</v>
      </c>
      <c r="L302" s="139">
        <f t="shared" si="57"/>
        <v>263.62819047619053</v>
      </c>
      <c r="M302" s="24">
        <f>'Student At-Risk and ELL Proxy'!S302</f>
        <v>100.71428571428572</v>
      </c>
      <c r="N302" s="24">
        <f>'Student At-Risk and ELL Proxy'!AH302</f>
        <v>10</v>
      </c>
      <c r="O302" s="136">
        <f t="shared" si="63"/>
        <v>1.044915460028754</v>
      </c>
      <c r="P302" s="136" t="str">
        <f t="shared" si="64"/>
        <v/>
      </c>
      <c r="Q302" s="136" t="str">
        <f t="shared" si="65"/>
        <v/>
      </c>
      <c r="R302" s="136">
        <f t="shared" si="58"/>
        <v>1.044915460028754</v>
      </c>
      <c r="S302" s="136">
        <f>IF(SUM(3515.4*((VLOOKUP($A302,'District Level ADM'!$A$4:$F$52,6,FALSE))^-0.327)/'Model Data Inputs'!$B$71)&lt;1,1,(3515.4*((VLOOKUP($A302,'District Level ADM'!$A$4:$F$52,6,FALSE))^-0.327)/'Model Data Inputs'!$B$71))</f>
        <v>1.1030337692339809</v>
      </c>
      <c r="T302" s="136">
        <f>VLOOKUP($A302,'Regional Cost Adjustment'!$A$4:$C$52,3,FALSE)</f>
        <v>1.17</v>
      </c>
      <c r="U302" s="123">
        <f>((($I302/$L302)*'Model Data Inputs'!$B$85)+((SUM(J302:K302)/$L302)*'Model Data Inputs'!$C$85))*$R302*$T302</f>
        <v>7784.7012683181456</v>
      </c>
      <c r="V302" s="140">
        <f>((($I302/$L302)*'Model Data Inputs'!$B$86)+((SUM(J302:K302)/$L302)*'Model Data Inputs'!$C$86))*$R302</f>
        <v>1768.6497606776054</v>
      </c>
      <c r="W302" s="140">
        <f t="shared" si="66"/>
        <v>9553.3510289957503</v>
      </c>
      <c r="X302" s="140">
        <f t="shared" si="59"/>
        <v>2052266.708764418</v>
      </c>
      <c r="Y302" s="140">
        <f t="shared" si="60"/>
        <v>466265.93599358457</v>
      </c>
      <c r="Z302" s="123">
        <f>IF((SUM(X302:Y302))&lt;(AVERAGE('Elementary Size Adjustment'!$B$66,'Secondary Size Adjustment'!$B$66)),(AVERAGE('Elementary Size Adjustment'!$B$66,'Secondary Size Adjustment'!$B$66)),SUM(X302:Y302))</f>
        <v>2518532.6447580028</v>
      </c>
      <c r="AA302" s="137">
        <f>'Model Data Inputs'!$B$71*S302*L302</f>
        <v>55250.251357284404</v>
      </c>
      <c r="AB302" s="137">
        <f>L302*'Model Data Inputs'!$B$72</f>
        <v>6590.7047619047635</v>
      </c>
      <c r="AC302" s="137">
        <f>L302*'Model Data Inputs'!$B$73</f>
        <v>65907.047619047633</v>
      </c>
      <c r="AD302" s="137">
        <f>L302*'Model Data Inputs'!$B$74</f>
        <v>32953.523809523816</v>
      </c>
      <c r="AE302" s="137">
        <f>$I302*'Model Data Inputs'!$B$76</f>
        <v>6271.7146514285723</v>
      </c>
      <c r="AF302" s="137">
        <f>VLOOKUP($J302,'Student Activities MS&amp;HS Tables'!$M$7:$O$1267,3)</f>
        <v>0</v>
      </c>
      <c r="AG302" s="137">
        <f>VLOOKUP($K302,'Student Activities MS&amp;HS Tables'!$I$7:$K$3007,3)</f>
        <v>0</v>
      </c>
      <c r="AH302" s="137">
        <f t="shared" si="61"/>
        <v>6271.7146514285723</v>
      </c>
      <c r="AI302" s="123">
        <f t="shared" si="67"/>
        <v>2685505.8869571919</v>
      </c>
      <c r="AJ302" s="123">
        <f>(('Model Data Inputs'!$B$90*(('Model Data Inputs'!$B$87*('School Level Inst. Resources'!I302/'School Level Inst. Resources'!L302))+('Model Data Inputs'!$C$87*(SUM('School Level Inst. Resources'!J302:K302)/'School Level Inst. Resources'!L302))))*T302*M302)</f>
        <v>284934.26700217911</v>
      </c>
      <c r="AK302" s="123">
        <f>(('Model Data Inputs'!$B$91*(('Model Data Inputs'!$B$87*('School Level Inst. Resources'!I302/'School Level Inst. Resources'!L302))+('Model Data Inputs'!$C$87*(SUM('School Level Inst. Resources'!J302:K302)/'School Level Inst. Resources'!L302))))*T302*N302)</f>
        <v>28291.34565979083</v>
      </c>
      <c r="AL302" s="137">
        <f>(K302*'Model Data Inputs'!$B$94)*T302</f>
        <v>0</v>
      </c>
      <c r="AM302" s="137">
        <f>K302*'Model Data Inputs'!$B$95</f>
        <v>0</v>
      </c>
      <c r="AN302" s="137">
        <f t="shared" si="68"/>
        <v>0</v>
      </c>
      <c r="AO302" s="137">
        <f>('School Level Inst. Resources'!K302*'Model Data Inputs'!$B$96)+('School Level Inst. Resources'!J302*'Model Data Inputs'!$B$97)</f>
        <v>0</v>
      </c>
      <c r="AP302" s="137">
        <f>$L302*'Model Data Inputs'!$B$100</f>
        <v>10545.12761904762</v>
      </c>
      <c r="AQ302" s="137">
        <f t="shared" si="69"/>
        <v>3009276.6272382098</v>
      </c>
      <c r="AR302" s="141">
        <f t="shared" si="62"/>
        <v>11414.851430731158</v>
      </c>
    </row>
    <row r="303" spans="1:44" s="40" customFormat="1" ht="12.75" customHeight="1" x14ac:dyDescent="0.2">
      <c r="A303" s="20" t="s">
        <v>90</v>
      </c>
      <c r="B303" s="20" t="s">
        <v>91</v>
      </c>
      <c r="C303" s="20" t="s">
        <v>973</v>
      </c>
      <c r="D303" s="20" t="s">
        <v>974</v>
      </c>
      <c r="E303" s="138" t="s">
        <v>522</v>
      </c>
      <c r="F303" s="138" t="str">
        <f>IF(AND(SUM('School Level ADM'!$F303:$J303)=0,SUM('School Level ADM'!$O303:$R303)=0,'School Level ADM'!$K303&gt;0,'School Level ADM'!$N303&gt;0),"T","F")</f>
        <v>F</v>
      </c>
      <c r="G303" s="138" t="str">
        <f>IF(AND(SUM('School Level ADM'!$M303:$R303)=0,'School Level ADM'!$L303&gt;0),"T","F")</f>
        <v>F</v>
      </c>
      <c r="H303" s="138" t="str">
        <f t="shared" si="56"/>
        <v>E</v>
      </c>
      <c r="I303" s="139">
        <f>IF($F303="T",SUM('School Level ADM'!$F303:$J303),IF($G303="T",SUM('School Level ADM'!$F303:$L303),SUM('School Level ADM'!$F303:$K303,0)))</f>
        <v>320.75952380952378</v>
      </c>
      <c r="J303" s="139">
        <f>'School Level ADM'!$S303-$I303-$K303</f>
        <v>0</v>
      </c>
      <c r="K303" s="139">
        <f>IF(SUM('School Level ADM'!$N303:$R303)='School Level ADM'!$S303,SUM('School Level ADM'!$N303:$R303),IF(OR(SUM('School Level ADM'!$F303:$O303)='School Level ADM'!$S303,SUM('School Level ADM'!$G303:$O303)='School Level ADM'!$S303,SUM('School Level ADM'!$H303:$O303)='School Level ADM'!$S303,SUM('School Level ADM'!$I303:$O303)='School Level ADM'!$S303,SUM('School Level ADM'!$J303:$O303)='School Level ADM'!$S303,SUM('School Level ADM'!$K303:$O303)='School Level ADM'!$S303,SUM('School Level ADM'!$L303:$O303)='School Level ADM'!$S303,SUM('School Level ADM'!$M303:$O303)='School Level ADM'!$S303,SUM('School Level ADM'!$N303:$O303)='School Level ADM'!$S303),0,SUM('School Level ADM'!$O303:$R303)))</f>
        <v>0</v>
      </c>
      <c r="L303" s="139">
        <f t="shared" si="57"/>
        <v>320.75952380952378</v>
      </c>
      <c r="M303" s="24">
        <f>'Student At-Risk and ELL Proxy'!S303</f>
        <v>148.71428571428572</v>
      </c>
      <c r="N303" s="24">
        <f>'Student At-Risk and ELL Proxy'!AH303</f>
        <v>28</v>
      </c>
      <c r="O303" s="136">
        <f t="shared" si="63"/>
        <v>0.97</v>
      </c>
      <c r="P303" s="136" t="str">
        <f t="shared" si="64"/>
        <v/>
      </c>
      <c r="Q303" s="136" t="str">
        <f t="shared" si="65"/>
        <v/>
      </c>
      <c r="R303" s="136">
        <f t="shared" si="58"/>
        <v>0.97</v>
      </c>
      <c r="S303" s="136">
        <f>IF(SUM(3515.4*((VLOOKUP($A303,'District Level ADM'!$A$4:$F$52,6,FALSE))^-0.327)/'Model Data Inputs'!$B$71)&lt;1,1,(3515.4*((VLOOKUP($A303,'District Level ADM'!$A$4:$F$52,6,FALSE))^-0.327)/'Model Data Inputs'!$B$71))</f>
        <v>1.1030337692339809</v>
      </c>
      <c r="T303" s="136">
        <f>VLOOKUP($A303,'Regional Cost Adjustment'!$A$4:$C$52,3,FALSE)</f>
        <v>1.17</v>
      </c>
      <c r="U303" s="123">
        <f>((($I303/$L303)*'Model Data Inputs'!$B$85)+((SUM(J303:K303)/$L303)*'Model Data Inputs'!$C$85))*$R303*$T303</f>
        <v>7226.5752772581318</v>
      </c>
      <c r="V303" s="140">
        <f>((($I303/$L303)*'Model Data Inputs'!$B$86)+((SUM(J303:K303)/$L303)*'Model Data Inputs'!$C$86))*$R303</f>
        <v>1641.8459994936507</v>
      </c>
      <c r="W303" s="140">
        <f t="shared" si="66"/>
        <v>8868.421276751782</v>
      </c>
      <c r="X303" s="140">
        <f t="shared" si="59"/>
        <v>2317992.8447069959</v>
      </c>
      <c r="Y303" s="140">
        <f t="shared" si="60"/>
        <v>526637.74096615496</v>
      </c>
      <c r="Z303" s="123">
        <f>IF((SUM(X303:Y303))&lt;(AVERAGE('Elementary Size Adjustment'!$B$66,'Secondary Size Adjustment'!$B$66)),(AVERAGE('Elementary Size Adjustment'!$B$66,'Secondary Size Adjustment'!$B$66)),SUM(X303:Y303))</f>
        <v>2844630.5856731506</v>
      </c>
      <c r="AA303" s="137">
        <f>'Model Data Inputs'!$B$71*S303*L303</f>
        <v>67223.631447410022</v>
      </c>
      <c r="AB303" s="137">
        <f>L303*'Model Data Inputs'!$B$72</f>
        <v>8018.9880952380945</v>
      </c>
      <c r="AC303" s="137">
        <f>L303*'Model Data Inputs'!$B$73</f>
        <v>80189.880952380947</v>
      </c>
      <c r="AD303" s="137">
        <f>L303*'Model Data Inputs'!$B$74</f>
        <v>40094.940476190473</v>
      </c>
      <c r="AE303" s="137">
        <f>$I303*'Model Data Inputs'!$B$76</f>
        <v>7630.8690714285704</v>
      </c>
      <c r="AF303" s="137">
        <f>VLOOKUP($J303,'Student Activities MS&amp;HS Tables'!$M$7:$O$1267,3)</f>
        <v>0</v>
      </c>
      <c r="AG303" s="137">
        <f>VLOOKUP($K303,'Student Activities MS&amp;HS Tables'!$I$7:$K$3007,3)</f>
        <v>0</v>
      </c>
      <c r="AH303" s="137">
        <f t="shared" si="61"/>
        <v>7630.8690714285704</v>
      </c>
      <c r="AI303" s="123">
        <f t="shared" si="67"/>
        <v>3047788.8957157987</v>
      </c>
      <c r="AJ303" s="123">
        <f>(('Model Data Inputs'!$B$90*(('Model Data Inputs'!$B$87*('School Level Inst. Resources'!I303/'School Level Inst. Resources'!L303))+('Model Data Inputs'!$C$87*(SUM('School Level Inst. Resources'!J303:K303)/'School Level Inst. Resources'!L303))))*T303*M303)</f>
        <v>420732.72616917512</v>
      </c>
      <c r="AK303" s="123">
        <f>(('Model Data Inputs'!$B$91*(('Model Data Inputs'!$B$87*('School Level Inst. Resources'!I303/'School Level Inst. Resources'!L303))+('Model Data Inputs'!$C$87*(SUM('School Level Inst. Resources'!J303:K303)/'School Level Inst. Resources'!L303))))*T303*N303)</f>
        <v>79215.767847414332</v>
      </c>
      <c r="AL303" s="137">
        <f>(K303*'Model Data Inputs'!$B$94)*T303</f>
        <v>0</v>
      </c>
      <c r="AM303" s="137">
        <f>K303*'Model Data Inputs'!$B$95</f>
        <v>0</v>
      </c>
      <c r="AN303" s="137">
        <f t="shared" si="68"/>
        <v>0</v>
      </c>
      <c r="AO303" s="137">
        <f>('School Level Inst. Resources'!K303*'Model Data Inputs'!$B$96)+('School Level Inst. Resources'!J303*'Model Data Inputs'!$B$97)</f>
        <v>0</v>
      </c>
      <c r="AP303" s="137">
        <f>$L303*'Model Data Inputs'!$B$100</f>
        <v>12830.38095238095</v>
      </c>
      <c r="AQ303" s="137">
        <f t="shared" si="69"/>
        <v>3560567.7706847689</v>
      </c>
      <c r="AR303" s="141">
        <f t="shared" si="62"/>
        <v>11100.427287076085</v>
      </c>
    </row>
    <row r="304" spans="1:44" s="40" customFormat="1" ht="12.75" customHeight="1" x14ac:dyDescent="0.2">
      <c r="A304" s="20" t="s">
        <v>90</v>
      </c>
      <c r="B304" s="20" t="s">
        <v>91</v>
      </c>
      <c r="C304" s="20" t="s">
        <v>975</v>
      </c>
      <c r="D304" s="20" t="s">
        <v>976</v>
      </c>
      <c r="E304" s="138" t="s">
        <v>522</v>
      </c>
      <c r="F304" s="138" t="str">
        <f>IF(AND(SUM('School Level ADM'!$F304:$J304)=0,SUM('School Level ADM'!$O304:$R304)=0,'School Level ADM'!$K304&gt;0,'School Level ADM'!$N304&gt;0),"T","F")</f>
        <v>F</v>
      </c>
      <c r="G304" s="138" t="str">
        <f>IF(AND(SUM('School Level ADM'!$M304:$R304)=0,'School Level ADM'!$L304&gt;0),"T","F")</f>
        <v>F</v>
      </c>
      <c r="H304" s="138" t="str">
        <f t="shared" si="56"/>
        <v>E</v>
      </c>
      <c r="I304" s="139">
        <f>IF($F304="T",SUM('School Level ADM'!$F304:$J304),IF($G304="T",SUM('School Level ADM'!$F304:$L304),SUM('School Level ADM'!$F304:$K304,0)))</f>
        <v>359.07985714285712</v>
      </c>
      <c r="J304" s="139">
        <f>'School Level ADM'!$S304-$I304-$K304</f>
        <v>0</v>
      </c>
      <c r="K304" s="139">
        <f>IF(SUM('School Level ADM'!$N304:$R304)='School Level ADM'!$S304,SUM('School Level ADM'!$N304:$R304),IF(OR(SUM('School Level ADM'!$F304:$O304)='School Level ADM'!$S304,SUM('School Level ADM'!$G304:$O304)='School Level ADM'!$S304,SUM('School Level ADM'!$H304:$O304)='School Level ADM'!$S304,SUM('School Level ADM'!$I304:$O304)='School Level ADM'!$S304,SUM('School Level ADM'!$J304:$O304)='School Level ADM'!$S304,SUM('School Level ADM'!$K304:$O304)='School Level ADM'!$S304,SUM('School Level ADM'!$L304:$O304)='School Level ADM'!$S304,SUM('School Level ADM'!$M304:$O304)='School Level ADM'!$S304,SUM('School Level ADM'!$N304:$O304)='School Level ADM'!$S304),0,SUM('School Level ADM'!$O304:$R304)))</f>
        <v>0</v>
      </c>
      <c r="L304" s="139">
        <f t="shared" si="57"/>
        <v>359.07985714285712</v>
      </c>
      <c r="M304" s="24">
        <f>'Student At-Risk and ELL Proxy'!S304</f>
        <v>188.71428571428572</v>
      </c>
      <c r="N304" s="24">
        <f>'Student At-Risk and ELL Proxy'!AH304</f>
        <v>47</v>
      </c>
      <c r="O304" s="136">
        <f t="shared" si="63"/>
        <v>0.97</v>
      </c>
      <c r="P304" s="136" t="str">
        <f t="shared" si="64"/>
        <v/>
      </c>
      <c r="Q304" s="136" t="str">
        <f t="shared" si="65"/>
        <v/>
      </c>
      <c r="R304" s="136">
        <f t="shared" si="58"/>
        <v>0.97</v>
      </c>
      <c r="S304" s="136">
        <f>IF(SUM(3515.4*((VLOOKUP($A304,'District Level ADM'!$A$4:$F$52,6,FALSE))^-0.327)/'Model Data Inputs'!$B$71)&lt;1,1,(3515.4*((VLOOKUP($A304,'District Level ADM'!$A$4:$F$52,6,FALSE))^-0.327)/'Model Data Inputs'!$B$71))</f>
        <v>1.1030337692339809</v>
      </c>
      <c r="T304" s="136">
        <f>VLOOKUP($A304,'Regional Cost Adjustment'!$A$4:$C$52,3,FALSE)</f>
        <v>1.17</v>
      </c>
      <c r="U304" s="123">
        <f>((($I304/$L304)*'Model Data Inputs'!$B$85)+((SUM(J304:K304)/$L304)*'Model Data Inputs'!$C$85))*$R304*$T304</f>
        <v>7226.5752772581318</v>
      </c>
      <c r="V304" s="140">
        <f>((($I304/$L304)*'Model Data Inputs'!$B$86)+((SUM(J304:K304)/$L304)*'Model Data Inputs'!$C$86))*$R304</f>
        <v>1641.8459994936507</v>
      </c>
      <c r="W304" s="140">
        <f t="shared" si="66"/>
        <v>8868.421276751782</v>
      </c>
      <c r="X304" s="140">
        <f t="shared" si="59"/>
        <v>2594917.6181899533</v>
      </c>
      <c r="Y304" s="140">
        <f t="shared" si="60"/>
        <v>589553.82694875158</v>
      </c>
      <c r="Z304" s="123">
        <f>IF((SUM(X304:Y304))&lt;(AVERAGE('Elementary Size Adjustment'!$B$66,'Secondary Size Adjustment'!$B$66)),(AVERAGE('Elementary Size Adjustment'!$B$66,'Secondary Size Adjustment'!$B$66)),SUM(X304:Y304))</f>
        <v>3184471.445138705</v>
      </c>
      <c r="AA304" s="137">
        <f>'Model Data Inputs'!$B$71*S304*L304</f>
        <v>75254.66957325417</v>
      </c>
      <c r="AB304" s="137">
        <f>L304*'Model Data Inputs'!$B$72</f>
        <v>8976.9964285714286</v>
      </c>
      <c r="AC304" s="137">
        <f>L304*'Model Data Inputs'!$B$73</f>
        <v>89769.964285714275</v>
      </c>
      <c r="AD304" s="137">
        <f>L304*'Model Data Inputs'!$B$74</f>
        <v>44884.982142857138</v>
      </c>
      <c r="AE304" s="137">
        <f>$I304*'Model Data Inputs'!$B$76</f>
        <v>8542.5098014285704</v>
      </c>
      <c r="AF304" s="137">
        <f>VLOOKUP($J304,'Student Activities MS&amp;HS Tables'!$M$7:$O$1267,3)</f>
        <v>0</v>
      </c>
      <c r="AG304" s="137">
        <f>VLOOKUP($K304,'Student Activities MS&amp;HS Tables'!$I$7:$K$3007,3)</f>
        <v>0</v>
      </c>
      <c r="AH304" s="137">
        <f t="shared" si="61"/>
        <v>8542.5098014285704</v>
      </c>
      <c r="AI304" s="123">
        <f t="shared" si="67"/>
        <v>3411900.5673705307</v>
      </c>
      <c r="AJ304" s="123">
        <f>(('Model Data Inputs'!$B$90*(('Model Data Inputs'!$B$87*('School Level Inst. Resources'!I304/'School Level Inst. Resources'!L304))+('Model Data Inputs'!$C$87*(SUM('School Level Inst. Resources'!J304:K304)/'School Level Inst. Resources'!L304))))*T304*M304)</f>
        <v>533898.10880833841</v>
      </c>
      <c r="AK304" s="123">
        <f>(('Model Data Inputs'!$B$91*(('Model Data Inputs'!$B$87*('School Level Inst. Resources'!I304/'School Level Inst. Resources'!L304))+('Model Data Inputs'!$C$87*(SUM('School Level Inst. Resources'!J304:K304)/'School Level Inst. Resources'!L304))))*T304*N304)</f>
        <v>132969.32460101691</v>
      </c>
      <c r="AL304" s="137">
        <f>(K304*'Model Data Inputs'!$B$94)*T304</f>
        <v>0</v>
      </c>
      <c r="AM304" s="137">
        <f>K304*'Model Data Inputs'!$B$95</f>
        <v>0</v>
      </c>
      <c r="AN304" s="137">
        <f t="shared" si="68"/>
        <v>0</v>
      </c>
      <c r="AO304" s="137">
        <f>('School Level Inst. Resources'!K304*'Model Data Inputs'!$B$96)+('School Level Inst. Resources'!J304*'Model Data Inputs'!$B$97)</f>
        <v>0</v>
      </c>
      <c r="AP304" s="137">
        <f>$L304*'Model Data Inputs'!$B$100</f>
        <v>14363.194285714286</v>
      </c>
      <c r="AQ304" s="137">
        <f t="shared" si="69"/>
        <v>4093131.1950655999</v>
      </c>
      <c r="AR304" s="141">
        <f t="shared" si="62"/>
        <v>11398.944033324542</v>
      </c>
    </row>
    <row r="305" spans="1:44" s="40" customFormat="1" ht="12.75" customHeight="1" x14ac:dyDescent="0.2">
      <c r="A305" s="20" t="s">
        <v>90</v>
      </c>
      <c r="B305" s="20" t="s">
        <v>91</v>
      </c>
      <c r="C305" s="20" t="s">
        <v>977</v>
      </c>
      <c r="D305" s="20" t="s">
        <v>978</v>
      </c>
      <c r="E305" s="138" t="s">
        <v>525</v>
      </c>
      <c r="F305" s="138" t="str">
        <f>IF(AND(SUM('School Level ADM'!$F305:$J305)=0,SUM('School Level ADM'!$O305:$R305)=0,'School Level ADM'!$K305&gt;0,'School Level ADM'!$N305&gt;0),"T","F")</f>
        <v>F</v>
      </c>
      <c r="G305" s="138" t="str">
        <f>IF(AND(SUM('School Level ADM'!$M305:$R305)=0,'School Level ADM'!$L305&gt;0),"T","F")</f>
        <v>T</v>
      </c>
      <c r="H305" s="138" t="str">
        <f t="shared" si="56"/>
        <v>E</v>
      </c>
      <c r="I305" s="139">
        <f>IF($F305="T",SUM('School Level ADM'!$F305:$J305),IF($G305="T",SUM('School Level ADM'!$F305:$L305),SUM('School Level ADM'!$F305:$K305,0)))</f>
        <v>438.18766666666664</v>
      </c>
      <c r="J305" s="139">
        <f>'School Level ADM'!$S305-$I305-$K305</f>
        <v>0</v>
      </c>
      <c r="K305" s="139">
        <f>IF(SUM('School Level ADM'!$N305:$R305)='School Level ADM'!$S305,SUM('School Level ADM'!$N305:$R305),IF(OR(SUM('School Level ADM'!$F305:$O305)='School Level ADM'!$S305,SUM('School Level ADM'!$G305:$O305)='School Level ADM'!$S305,SUM('School Level ADM'!$H305:$O305)='School Level ADM'!$S305,SUM('School Level ADM'!$I305:$O305)='School Level ADM'!$S305,SUM('School Level ADM'!$J305:$O305)='School Level ADM'!$S305,SUM('School Level ADM'!$K305:$O305)='School Level ADM'!$S305,SUM('School Level ADM'!$L305:$O305)='School Level ADM'!$S305,SUM('School Level ADM'!$M305:$O305)='School Level ADM'!$S305,SUM('School Level ADM'!$N305:$O305)='School Level ADM'!$S305),0,SUM('School Level ADM'!$O305:$R305)))</f>
        <v>0</v>
      </c>
      <c r="L305" s="139">
        <f t="shared" si="57"/>
        <v>438.18766666666664</v>
      </c>
      <c r="M305" s="24">
        <f>'Student At-Risk and ELL Proxy'!S305</f>
        <v>170</v>
      </c>
      <c r="N305" s="24">
        <f>'Student At-Risk and ELL Proxy'!AH305</f>
        <v>42</v>
      </c>
      <c r="O305" s="136">
        <f t="shared" si="63"/>
        <v>0.97</v>
      </c>
      <c r="P305" s="136" t="str">
        <f t="shared" si="64"/>
        <v/>
      </c>
      <c r="Q305" s="136" t="str">
        <f t="shared" si="65"/>
        <v/>
      </c>
      <c r="R305" s="136">
        <f t="shared" si="58"/>
        <v>0.97</v>
      </c>
      <c r="S305" s="136">
        <f>IF(SUM(3515.4*((VLOOKUP($A305,'District Level ADM'!$A$4:$F$52,6,FALSE))^-0.327)/'Model Data Inputs'!$B$71)&lt;1,1,(3515.4*((VLOOKUP($A305,'District Level ADM'!$A$4:$F$52,6,FALSE))^-0.327)/'Model Data Inputs'!$B$71))</f>
        <v>1.1030337692339809</v>
      </c>
      <c r="T305" s="136">
        <f>VLOOKUP($A305,'Regional Cost Adjustment'!$A$4:$C$52,3,FALSE)</f>
        <v>1.17</v>
      </c>
      <c r="U305" s="123">
        <f>((($I305/$L305)*'Model Data Inputs'!$B$85)+((SUM(J305:K305)/$L305)*'Model Data Inputs'!$C$85))*$R305*$T305</f>
        <v>7226.5752772581318</v>
      </c>
      <c r="V305" s="140">
        <f>((($I305/$L305)*'Model Data Inputs'!$B$86)+((SUM(J305:K305)/$L305)*'Model Data Inputs'!$C$86))*$R305</f>
        <v>1641.8459994936507</v>
      </c>
      <c r="W305" s="140">
        <f t="shared" si="66"/>
        <v>8868.421276751782</v>
      </c>
      <c r="X305" s="140">
        <f t="shared" si="59"/>
        <v>3166596.1587327602</v>
      </c>
      <c r="Y305" s="140">
        <f t="shared" si="60"/>
        <v>719436.66754412395</v>
      </c>
      <c r="Z305" s="123">
        <f>IF((SUM(X305:Y305))&lt;(AVERAGE('Elementary Size Adjustment'!$B$66,'Secondary Size Adjustment'!$B$66)),(AVERAGE('Elementary Size Adjustment'!$B$66,'Secondary Size Adjustment'!$B$66)),SUM(X305:Y305))</f>
        <v>3886032.8262768844</v>
      </c>
      <c r="AA305" s="137">
        <f>'Model Data Inputs'!$B$71*S305*L305</f>
        <v>91833.800783083541</v>
      </c>
      <c r="AB305" s="137">
        <f>L305*'Model Data Inputs'!$B$72</f>
        <v>10954.691666666666</v>
      </c>
      <c r="AC305" s="137">
        <f>L305*'Model Data Inputs'!$B$73</f>
        <v>109546.91666666666</v>
      </c>
      <c r="AD305" s="137">
        <f>L305*'Model Data Inputs'!$B$74</f>
        <v>54773.458333333328</v>
      </c>
      <c r="AE305" s="137">
        <f>$I305*'Model Data Inputs'!$B$76</f>
        <v>10424.484589999998</v>
      </c>
      <c r="AF305" s="137">
        <f>VLOOKUP($J305,'Student Activities MS&amp;HS Tables'!$M$7:$O$1267,3)</f>
        <v>0</v>
      </c>
      <c r="AG305" s="137">
        <f>VLOOKUP($K305,'Student Activities MS&amp;HS Tables'!$I$7:$K$3007,3)</f>
        <v>0</v>
      </c>
      <c r="AH305" s="137">
        <f t="shared" si="61"/>
        <v>10424.484589999998</v>
      </c>
      <c r="AI305" s="123">
        <f t="shared" si="67"/>
        <v>4163566.1783166351</v>
      </c>
      <c r="AJ305" s="123">
        <f>(('Model Data Inputs'!$B$90*(('Model Data Inputs'!$B$87*('School Level Inst. Resources'!I305/'School Level Inst. Resources'!L305))+('Model Data Inputs'!$C$87*(SUM('School Level Inst. Resources'!J305:K305)/'School Level Inst. Resources'!L305))))*T305*M305)</f>
        <v>480952.87621644413</v>
      </c>
      <c r="AK305" s="123">
        <f>(('Model Data Inputs'!$B$91*(('Model Data Inputs'!$B$87*('School Level Inst. Resources'!I305/'School Level Inst. Resources'!L305))+('Model Data Inputs'!$C$87*(SUM('School Level Inst. Resources'!J305:K305)/'School Level Inst. Resources'!L305))))*T305*N305)</f>
        <v>118823.6517711215</v>
      </c>
      <c r="AL305" s="137">
        <f>(K305*'Model Data Inputs'!$B$94)*T305</f>
        <v>0</v>
      </c>
      <c r="AM305" s="137">
        <f>K305*'Model Data Inputs'!$B$95</f>
        <v>0</v>
      </c>
      <c r="AN305" s="137">
        <f t="shared" si="68"/>
        <v>0</v>
      </c>
      <c r="AO305" s="137">
        <f>('School Level Inst. Resources'!K305*'Model Data Inputs'!$B$96)+('School Level Inst. Resources'!J305*'Model Data Inputs'!$B$97)</f>
        <v>0</v>
      </c>
      <c r="AP305" s="137">
        <f>$L305*'Model Data Inputs'!$B$100</f>
        <v>17527.506666666664</v>
      </c>
      <c r="AQ305" s="137">
        <f t="shared" si="69"/>
        <v>4780870.2129708678</v>
      </c>
      <c r="AR305" s="141">
        <f t="shared" si="62"/>
        <v>10910.554031197138</v>
      </c>
    </row>
    <row r="306" spans="1:44" s="40" customFormat="1" ht="12.75" customHeight="1" x14ac:dyDescent="0.2">
      <c r="A306" s="20" t="s">
        <v>90</v>
      </c>
      <c r="B306" s="20" t="s">
        <v>91</v>
      </c>
      <c r="C306" s="20" t="s">
        <v>979</v>
      </c>
      <c r="D306" s="20" t="s">
        <v>980</v>
      </c>
      <c r="E306" s="138" t="s">
        <v>522</v>
      </c>
      <c r="F306" s="138" t="str">
        <f>IF(AND(SUM('School Level ADM'!$F306:$J306)=0,SUM('School Level ADM'!$O306:$R306)=0,'School Level ADM'!$K306&gt;0,'School Level ADM'!$N306&gt;0),"T","F")</f>
        <v>F</v>
      </c>
      <c r="G306" s="138" t="str">
        <f>IF(AND(SUM('School Level ADM'!$M306:$R306)=0,'School Level ADM'!$L306&gt;0),"T","F")</f>
        <v>F</v>
      </c>
      <c r="H306" s="138" t="str">
        <f t="shared" si="56"/>
        <v>E</v>
      </c>
      <c r="I306" s="139">
        <f>IF($F306="T",SUM('School Level ADM'!$F306:$J306),IF($G306="T",SUM('School Level ADM'!$F306:$L306),SUM('School Level ADM'!$F306:$K306,0)))</f>
        <v>334.57152380952385</v>
      </c>
      <c r="J306" s="139">
        <f>'School Level ADM'!$S306-$I306-$K306</f>
        <v>0</v>
      </c>
      <c r="K306" s="139">
        <f>IF(SUM('School Level ADM'!$N306:$R306)='School Level ADM'!$S306,SUM('School Level ADM'!$N306:$R306),IF(OR(SUM('School Level ADM'!$F306:$O306)='School Level ADM'!$S306,SUM('School Level ADM'!$G306:$O306)='School Level ADM'!$S306,SUM('School Level ADM'!$H306:$O306)='School Level ADM'!$S306,SUM('School Level ADM'!$I306:$O306)='School Level ADM'!$S306,SUM('School Level ADM'!$J306:$O306)='School Level ADM'!$S306,SUM('School Level ADM'!$K306:$O306)='School Level ADM'!$S306,SUM('School Level ADM'!$L306:$O306)='School Level ADM'!$S306,SUM('School Level ADM'!$M306:$O306)='School Level ADM'!$S306,SUM('School Level ADM'!$N306:$O306)='School Level ADM'!$S306),0,SUM('School Level ADM'!$O306:$R306)))</f>
        <v>0</v>
      </c>
      <c r="L306" s="139">
        <f t="shared" si="57"/>
        <v>334.57152380952385</v>
      </c>
      <c r="M306" s="24">
        <f>'Student At-Risk and ELL Proxy'!S306</f>
        <v>100.71428571428572</v>
      </c>
      <c r="N306" s="24">
        <f>'Student At-Risk and ELL Proxy'!AH306</f>
        <v>41</v>
      </c>
      <c r="O306" s="136">
        <f t="shared" si="63"/>
        <v>0.97</v>
      </c>
      <c r="P306" s="136" t="str">
        <f t="shared" si="64"/>
        <v/>
      </c>
      <c r="Q306" s="136" t="str">
        <f t="shared" si="65"/>
        <v/>
      </c>
      <c r="R306" s="136">
        <f t="shared" si="58"/>
        <v>0.97</v>
      </c>
      <c r="S306" s="136">
        <f>IF(SUM(3515.4*((VLOOKUP($A306,'District Level ADM'!$A$4:$F$52,6,FALSE))^-0.327)/'Model Data Inputs'!$B$71)&lt;1,1,(3515.4*((VLOOKUP($A306,'District Level ADM'!$A$4:$F$52,6,FALSE))^-0.327)/'Model Data Inputs'!$B$71))</f>
        <v>1.1030337692339809</v>
      </c>
      <c r="T306" s="136">
        <f>VLOOKUP($A306,'Regional Cost Adjustment'!$A$4:$C$52,3,FALSE)</f>
        <v>1.17</v>
      </c>
      <c r="U306" s="123">
        <f>((($I306/$L306)*'Model Data Inputs'!$B$85)+((SUM(J306:K306)/$L306)*'Model Data Inputs'!$C$85))*$R306*$T306</f>
        <v>7226.5752772581318</v>
      </c>
      <c r="V306" s="140">
        <f>((($I306/$L306)*'Model Data Inputs'!$B$86)+((SUM(J306:K306)/$L306)*'Model Data Inputs'!$C$86))*$R306</f>
        <v>1641.8459994936507</v>
      </c>
      <c r="W306" s="140">
        <f t="shared" si="66"/>
        <v>8868.421276751782</v>
      </c>
      <c r="X306" s="140">
        <f t="shared" si="59"/>
        <v>2417806.3024364854</v>
      </c>
      <c r="Y306" s="140">
        <f t="shared" si="60"/>
        <v>549314.91791116144</v>
      </c>
      <c r="Z306" s="123">
        <f>IF((SUM(X306:Y306))&lt;(AVERAGE('Elementary Size Adjustment'!$B$66,'Secondary Size Adjustment'!$B$66)),(AVERAGE('Elementary Size Adjustment'!$B$66,'Secondary Size Adjustment'!$B$66)),SUM(X306:Y306))</f>
        <v>2967121.2203476466</v>
      </c>
      <c r="AA306" s="137">
        <f>'Model Data Inputs'!$B$71*S306*L306</f>
        <v>70118.30090733539</v>
      </c>
      <c r="AB306" s="137">
        <f>L306*'Model Data Inputs'!$B$72</f>
        <v>8364.2880952380965</v>
      </c>
      <c r="AC306" s="137">
        <f>L306*'Model Data Inputs'!$B$73</f>
        <v>83642.880952380961</v>
      </c>
      <c r="AD306" s="137">
        <f>L306*'Model Data Inputs'!$B$74</f>
        <v>41821.440476190481</v>
      </c>
      <c r="AE306" s="137">
        <f>$I306*'Model Data Inputs'!$B$76</f>
        <v>7959.4565514285723</v>
      </c>
      <c r="AF306" s="137">
        <f>VLOOKUP($J306,'Student Activities MS&amp;HS Tables'!$M$7:$O$1267,3)</f>
        <v>0</v>
      </c>
      <c r="AG306" s="137">
        <f>VLOOKUP($K306,'Student Activities MS&amp;HS Tables'!$I$7:$K$3007,3)</f>
        <v>0</v>
      </c>
      <c r="AH306" s="137">
        <f t="shared" si="61"/>
        <v>7959.4565514285723</v>
      </c>
      <c r="AI306" s="123">
        <f t="shared" si="67"/>
        <v>3179027.5873302198</v>
      </c>
      <c r="AJ306" s="123">
        <f>(('Model Data Inputs'!$B$90*(('Model Data Inputs'!$B$87*('School Level Inst. Resources'!I306/'School Level Inst. Resources'!L306))+('Model Data Inputs'!$C$87*(SUM('School Level Inst. Resources'!J306:K306)/'School Level Inst. Resources'!L306))))*T306*M306)</f>
        <v>284934.26700217911</v>
      </c>
      <c r="AK306" s="123">
        <f>(('Model Data Inputs'!$B$91*(('Model Data Inputs'!$B$87*('School Level Inst. Resources'!I306/'School Level Inst. Resources'!L306))+('Model Data Inputs'!$C$87*(SUM('School Level Inst. Resources'!J306:K306)/'School Level Inst. Resources'!L306))))*T306*N306)</f>
        <v>115994.51720514242</v>
      </c>
      <c r="AL306" s="137">
        <f>(K306*'Model Data Inputs'!$B$94)*T306</f>
        <v>0</v>
      </c>
      <c r="AM306" s="137">
        <f>K306*'Model Data Inputs'!$B$95</f>
        <v>0</v>
      </c>
      <c r="AN306" s="137">
        <f t="shared" si="68"/>
        <v>0</v>
      </c>
      <c r="AO306" s="137">
        <f>('School Level Inst. Resources'!K306*'Model Data Inputs'!$B$96)+('School Level Inst. Resources'!J306*'Model Data Inputs'!$B$97)</f>
        <v>0</v>
      </c>
      <c r="AP306" s="137">
        <f>$L306*'Model Data Inputs'!$B$100</f>
        <v>13382.860952380954</v>
      </c>
      <c r="AQ306" s="137">
        <f t="shared" si="69"/>
        <v>3593339.2324899225</v>
      </c>
      <c r="AR306" s="141">
        <f t="shared" si="62"/>
        <v>10740.122744384127</v>
      </c>
    </row>
    <row r="307" spans="1:44" s="40" customFormat="1" ht="12.75" customHeight="1" x14ac:dyDescent="0.2">
      <c r="A307" s="20" t="s">
        <v>90</v>
      </c>
      <c r="B307" s="20" t="s">
        <v>91</v>
      </c>
      <c r="C307" s="20" t="s">
        <v>981</v>
      </c>
      <c r="D307" s="20" t="s">
        <v>982</v>
      </c>
      <c r="E307" s="138" t="s">
        <v>522</v>
      </c>
      <c r="F307" s="138" t="str">
        <f>IF(AND(SUM('School Level ADM'!$F307:$J307)=0,SUM('School Level ADM'!$O307:$R307)=0,'School Level ADM'!$K307&gt;0,'School Level ADM'!$N307&gt;0),"T","F")</f>
        <v>F</v>
      </c>
      <c r="G307" s="138" t="str">
        <f>IF(AND(SUM('School Level ADM'!$M307:$R307)=0,'School Level ADM'!$L307&gt;0),"T","F")</f>
        <v>F</v>
      </c>
      <c r="H307" s="138" t="str">
        <f t="shared" si="56"/>
        <v>E</v>
      </c>
      <c r="I307" s="139">
        <f>IF($F307="T",SUM('School Level ADM'!$F307:$J307),IF($G307="T",SUM('School Level ADM'!$F307:$L307),SUM('School Level ADM'!$F307:$K307,0)))</f>
        <v>392.51919047619049</v>
      </c>
      <c r="J307" s="139">
        <f>'School Level ADM'!$S307-$I307-$K307</f>
        <v>0</v>
      </c>
      <c r="K307" s="139">
        <f>IF(SUM('School Level ADM'!$N307:$R307)='School Level ADM'!$S307,SUM('School Level ADM'!$N307:$R307),IF(OR(SUM('School Level ADM'!$F307:$O307)='School Level ADM'!$S307,SUM('School Level ADM'!$G307:$O307)='School Level ADM'!$S307,SUM('School Level ADM'!$H307:$O307)='School Level ADM'!$S307,SUM('School Level ADM'!$I307:$O307)='School Level ADM'!$S307,SUM('School Level ADM'!$J307:$O307)='School Level ADM'!$S307,SUM('School Level ADM'!$K307:$O307)='School Level ADM'!$S307,SUM('School Level ADM'!$L307:$O307)='School Level ADM'!$S307,SUM('School Level ADM'!$M307:$O307)='School Level ADM'!$S307,SUM('School Level ADM'!$N307:$O307)='School Level ADM'!$S307),0,SUM('School Level ADM'!$O307:$R307)))</f>
        <v>0</v>
      </c>
      <c r="L307" s="139">
        <f t="shared" si="57"/>
        <v>392.51919047619049</v>
      </c>
      <c r="M307" s="24">
        <f>'Student At-Risk and ELL Proxy'!S307</f>
        <v>190.71428571428572</v>
      </c>
      <c r="N307" s="24">
        <f>'Student At-Risk and ELL Proxy'!AH307</f>
        <v>66</v>
      </c>
      <c r="O307" s="136">
        <f t="shared" si="63"/>
        <v>0.97</v>
      </c>
      <c r="P307" s="136" t="str">
        <f t="shared" si="64"/>
        <v/>
      </c>
      <c r="Q307" s="136" t="str">
        <f t="shared" si="65"/>
        <v/>
      </c>
      <c r="R307" s="136">
        <f t="shared" si="58"/>
        <v>0.97</v>
      </c>
      <c r="S307" s="136">
        <f>IF(SUM(3515.4*((VLOOKUP($A307,'District Level ADM'!$A$4:$F$52,6,FALSE))^-0.327)/'Model Data Inputs'!$B$71)&lt;1,1,(3515.4*((VLOOKUP($A307,'District Level ADM'!$A$4:$F$52,6,FALSE))^-0.327)/'Model Data Inputs'!$B$71))</f>
        <v>1.1030337692339809</v>
      </c>
      <c r="T307" s="136">
        <f>VLOOKUP($A307,'Regional Cost Adjustment'!$A$4:$C$52,3,FALSE)</f>
        <v>1.17</v>
      </c>
      <c r="U307" s="123">
        <f>((($I307/$L307)*'Model Data Inputs'!$B$85)+((SUM(J307:K307)/$L307)*'Model Data Inputs'!$C$85))*$R307*$T307</f>
        <v>7226.5752772581318</v>
      </c>
      <c r="V307" s="140">
        <f>((($I307/$L307)*'Model Data Inputs'!$B$86)+((SUM(J307:K307)/$L307)*'Model Data Inputs'!$C$86))*$R307</f>
        <v>1641.8459994936507</v>
      </c>
      <c r="W307" s="140">
        <f t="shared" si="66"/>
        <v>8868.421276751782</v>
      </c>
      <c r="X307" s="140">
        <f t="shared" si="59"/>
        <v>2836569.4777446138</v>
      </c>
      <c r="Y307" s="140">
        <f t="shared" si="60"/>
        <v>644456.06260781956</v>
      </c>
      <c r="Z307" s="123">
        <f>IF((SUM(X307:Y307))&lt;(AVERAGE('Elementary Size Adjustment'!$B$66,'Secondary Size Adjustment'!$B$66)),(AVERAGE('Elementary Size Adjustment'!$B$66,'Secondary Size Adjustment'!$B$66)),SUM(X307:Y307))</f>
        <v>3481025.5403524335</v>
      </c>
      <c r="AA307" s="137">
        <f>'Model Data Inputs'!$B$71*S307*L307</f>
        <v>82262.765211848426</v>
      </c>
      <c r="AB307" s="137">
        <f>L307*'Model Data Inputs'!$B$72</f>
        <v>9812.9797619047622</v>
      </c>
      <c r="AC307" s="137">
        <f>L307*'Model Data Inputs'!$B$73</f>
        <v>98129.797619047618</v>
      </c>
      <c r="AD307" s="137">
        <f>L307*'Model Data Inputs'!$B$74</f>
        <v>49064.898809523809</v>
      </c>
      <c r="AE307" s="137">
        <f>$I307*'Model Data Inputs'!$B$76</f>
        <v>9338.0315414285706</v>
      </c>
      <c r="AF307" s="137">
        <f>VLOOKUP($J307,'Student Activities MS&amp;HS Tables'!$M$7:$O$1267,3)</f>
        <v>0</v>
      </c>
      <c r="AG307" s="137">
        <f>VLOOKUP($K307,'Student Activities MS&amp;HS Tables'!$I$7:$K$3007,3)</f>
        <v>0</v>
      </c>
      <c r="AH307" s="137">
        <f t="shared" si="61"/>
        <v>9338.0315414285706</v>
      </c>
      <c r="AI307" s="123">
        <f t="shared" si="67"/>
        <v>3729634.0132961865</v>
      </c>
      <c r="AJ307" s="123">
        <f>(('Model Data Inputs'!$B$90*(('Model Data Inputs'!$B$87*('School Level Inst. Resources'!I307/'School Level Inst. Resources'!L307))+('Model Data Inputs'!$C$87*(SUM('School Level Inst. Resources'!J307:K307)/'School Level Inst. Resources'!L307))))*T307*M307)</f>
        <v>539556.37794029654</v>
      </c>
      <c r="AK307" s="123">
        <f>(('Model Data Inputs'!$B$91*(('Model Data Inputs'!$B$87*('School Level Inst. Resources'!I307/'School Level Inst. Resources'!L307))+('Model Data Inputs'!$C$87*(SUM('School Level Inst. Resources'!J307:K307)/'School Level Inst. Resources'!L307))))*T307*N307)</f>
        <v>186722.88135461949</v>
      </c>
      <c r="AL307" s="137">
        <f>(K307*'Model Data Inputs'!$B$94)*T307</f>
        <v>0</v>
      </c>
      <c r="AM307" s="137">
        <f>K307*'Model Data Inputs'!$B$95</f>
        <v>0</v>
      </c>
      <c r="AN307" s="137">
        <f t="shared" si="68"/>
        <v>0</v>
      </c>
      <c r="AO307" s="137">
        <f>('School Level Inst. Resources'!K307*'Model Data Inputs'!$B$96)+('School Level Inst. Resources'!J307*'Model Data Inputs'!$B$97)</f>
        <v>0</v>
      </c>
      <c r="AP307" s="137">
        <f>$L307*'Model Data Inputs'!$B$100</f>
        <v>15700.76761904762</v>
      </c>
      <c r="AQ307" s="137">
        <f t="shared" si="69"/>
        <v>4471614.0402101502</v>
      </c>
      <c r="AR307" s="141">
        <f t="shared" si="62"/>
        <v>11392.090243499548</v>
      </c>
    </row>
    <row r="308" spans="1:44" s="40" customFormat="1" ht="12.75" customHeight="1" x14ac:dyDescent="0.2">
      <c r="A308" s="20" t="s">
        <v>90</v>
      </c>
      <c r="B308" s="20" t="s">
        <v>91</v>
      </c>
      <c r="C308" s="20" t="s">
        <v>983</v>
      </c>
      <c r="D308" s="20" t="s">
        <v>984</v>
      </c>
      <c r="E308" s="138" t="s">
        <v>386</v>
      </c>
      <c r="F308" s="138" t="str">
        <f>IF(AND(SUM('School Level ADM'!$F308:$J308)=0,SUM('School Level ADM'!$O308:$R308)=0,'School Level ADM'!$K308&gt;0,'School Level ADM'!$N308&gt;0),"T","F")</f>
        <v>F</v>
      </c>
      <c r="G308" s="138" t="str">
        <f>IF(AND(SUM('School Level ADM'!$M308:$R308)=0,'School Level ADM'!$L308&gt;0),"T","F")</f>
        <v>F</v>
      </c>
      <c r="H308" s="138" t="str">
        <f t="shared" si="56"/>
        <v>M</v>
      </c>
      <c r="I308" s="139">
        <f>IF($F308="T",SUM('School Level ADM'!$F308:$J308),IF($G308="T",SUM('School Level ADM'!$F308:$L308),SUM('School Level ADM'!$F308:$K308,0)))</f>
        <v>0</v>
      </c>
      <c r="J308" s="139">
        <f>'School Level ADM'!$S308-$I308-$K308</f>
        <v>806.00900000000001</v>
      </c>
      <c r="K308" s="139">
        <f>IF(SUM('School Level ADM'!$N308:$R308)='School Level ADM'!$S308,SUM('School Level ADM'!$N308:$R308),IF(OR(SUM('School Level ADM'!$F308:$O308)='School Level ADM'!$S308,SUM('School Level ADM'!$G308:$O308)='School Level ADM'!$S308,SUM('School Level ADM'!$H308:$O308)='School Level ADM'!$S308,SUM('School Level ADM'!$I308:$O308)='School Level ADM'!$S308,SUM('School Level ADM'!$J308:$O308)='School Level ADM'!$S308,SUM('School Level ADM'!$K308:$O308)='School Level ADM'!$S308,SUM('School Level ADM'!$L308:$O308)='School Level ADM'!$S308,SUM('School Level ADM'!$M308:$O308)='School Level ADM'!$S308,SUM('School Level ADM'!$N308:$O308)='School Level ADM'!$S308),0,SUM('School Level ADM'!$O308:$R308)))</f>
        <v>0</v>
      </c>
      <c r="L308" s="139">
        <f t="shared" si="57"/>
        <v>806.00900000000001</v>
      </c>
      <c r="M308" s="24">
        <f>'Student At-Risk and ELL Proxy'!S308</f>
        <v>351</v>
      </c>
      <c r="N308" s="24">
        <f>'Student At-Risk and ELL Proxy'!AH308</f>
        <v>39</v>
      </c>
      <c r="O308" s="136" t="str">
        <f t="shared" si="63"/>
        <v/>
      </c>
      <c r="P308" s="136">
        <f t="shared" si="64"/>
        <v>0.97</v>
      </c>
      <c r="Q308" s="136" t="str">
        <f t="shared" si="65"/>
        <v/>
      </c>
      <c r="R308" s="136">
        <f t="shared" si="58"/>
        <v>0.97</v>
      </c>
      <c r="S308" s="136">
        <f>IF(SUM(3515.4*((VLOOKUP($A308,'District Level ADM'!$A$4:$F$52,6,FALSE))^-0.327)/'Model Data Inputs'!$B$71)&lt;1,1,(3515.4*((VLOOKUP($A308,'District Level ADM'!$A$4:$F$52,6,FALSE))^-0.327)/'Model Data Inputs'!$B$71))</f>
        <v>1.1030337692339809</v>
      </c>
      <c r="T308" s="136">
        <f>VLOOKUP($A308,'Regional Cost Adjustment'!$A$4:$C$52,3,FALSE)</f>
        <v>1.17</v>
      </c>
      <c r="U308" s="123">
        <f>((($I308/$L308)*'Model Data Inputs'!$B$85)+((SUM(J308:K308)/$L308)*'Model Data Inputs'!$C$85))*$R308*$T308</f>
        <v>6108.9277915599478</v>
      </c>
      <c r="V308" s="140">
        <f>((($I308/$L308)*'Model Data Inputs'!$B$86)+((SUM(J308:K308)/$L308)*'Model Data Inputs'!$C$86))*$R308</f>
        <v>1390.1145343996893</v>
      </c>
      <c r="W308" s="140">
        <f t="shared" si="66"/>
        <v>7499.0423259596373</v>
      </c>
      <c r="X308" s="140">
        <f t="shared" si="59"/>
        <v>4923850.7803474423</v>
      </c>
      <c r="Y308" s="140">
        <f t="shared" si="60"/>
        <v>1120444.8257569592</v>
      </c>
      <c r="Z308" s="123">
        <f>IF((SUM(X308:Y308))&lt;(AVERAGE('Elementary Size Adjustment'!$B$66,'Secondary Size Adjustment'!$B$66)),(AVERAGE('Elementary Size Adjustment'!$B$66,'Secondary Size Adjustment'!$B$66)),SUM(X308:Y308))</f>
        <v>6044295.6061044019</v>
      </c>
      <c r="AA308" s="137">
        <f>'Model Data Inputs'!$B$71*S308*L308</f>
        <v>168920.47760823724</v>
      </c>
      <c r="AB308" s="137">
        <f>L308*'Model Data Inputs'!$B$72</f>
        <v>20150.224999999999</v>
      </c>
      <c r="AC308" s="137">
        <f>L308*'Model Data Inputs'!$B$73</f>
        <v>201502.25</v>
      </c>
      <c r="AD308" s="137">
        <f>L308*'Model Data Inputs'!$B$74</f>
        <v>100751.125</v>
      </c>
      <c r="AE308" s="137">
        <f>$I308*'Model Data Inputs'!$B$76</f>
        <v>0</v>
      </c>
      <c r="AF308" s="137">
        <f>VLOOKUP($J308,'Student Activities MS&amp;HS Tables'!$M$7:$O$1267,3)</f>
        <v>197494.18</v>
      </c>
      <c r="AG308" s="137">
        <f>VLOOKUP($K308,'Student Activities MS&amp;HS Tables'!$I$7:$K$3007,3)</f>
        <v>0</v>
      </c>
      <c r="AH308" s="137">
        <f t="shared" si="61"/>
        <v>197494.18</v>
      </c>
      <c r="AI308" s="123">
        <f t="shared" si="67"/>
        <v>6733113.8637126386</v>
      </c>
      <c r="AJ308" s="123">
        <f>(('Model Data Inputs'!$B$90*(('Model Data Inputs'!$B$87*('School Level Inst. Resources'!I308/'School Level Inst. Resources'!L308))+('Model Data Inputs'!$C$87*(SUM('School Level Inst. Resources'!J308:K308)/'School Level Inst. Resources'!L308))))*T308*M308)</f>
        <v>839725.35794210189</v>
      </c>
      <c r="AK308" s="123">
        <f>(('Model Data Inputs'!$B$91*(('Model Data Inputs'!$B$87*('School Level Inst. Resources'!I308/'School Level Inst. Resources'!L308))+('Model Data Inputs'!$C$87*(SUM('School Level Inst. Resources'!J308:K308)/'School Level Inst. Resources'!L308))))*T308*N308)</f>
        <v>93302.817549122425</v>
      </c>
      <c r="AL308" s="137">
        <f>(K308*'Model Data Inputs'!$B$94)*T308</f>
        <v>0</v>
      </c>
      <c r="AM308" s="137">
        <f>K308*'Model Data Inputs'!$B$95</f>
        <v>0</v>
      </c>
      <c r="AN308" s="137">
        <f t="shared" si="68"/>
        <v>0</v>
      </c>
      <c r="AO308" s="137">
        <f>('School Level Inst. Resources'!K308*'Model Data Inputs'!$B$96)+('School Level Inst. Resources'!J308*'Model Data Inputs'!$B$97)</f>
        <v>20150.224999999999</v>
      </c>
      <c r="AP308" s="137">
        <f>$L308*'Model Data Inputs'!$B$100</f>
        <v>32240.36</v>
      </c>
      <c r="AQ308" s="137">
        <f t="shared" si="69"/>
        <v>7718532.6242038626</v>
      </c>
      <c r="AR308" s="141">
        <f t="shared" si="62"/>
        <v>9576.2362755302511</v>
      </c>
    </row>
    <row r="309" spans="1:44" s="40" customFormat="1" ht="12.75" customHeight="1" x14ac:dyDescent="0.2">
      <c r="A309" s="20" t="s">
        <v>90</v>
      </c>
      <c r="B309" s="20" t="s">
        <v>91</v>
      </c>
      <c r="C309" s="20" t="s">
        <v>985</v>
      </c>
      <c r="D309" s="20" t="s">
        <v>986</v>
      </c>
      <c r="E309" s="138" t="s">
        <v>386</v>
      </c>
      <c r="F309" s="138" t="str">
        <f>IF(AND(SUM('School Level ADM'!$F309:$J309)=0,SUM('School Level ADM'!$O309:$R309)=0,'School Level ADM'!$K309&gt;0,'School Level ADM'!$N309&gt;0),"T","F")</f>
        <v>F</v>
      </c>
      <c r="G309" s="138" t="str">
        <f>IF(AND(SUM('School Level ADM'!$M309:$R309)=0,'School Level ADM'!$L309&gt;0),"T","F")</f>
        <v>F</v>
      </c>
      <c r="H309" s="138" t="str">
        <f t="shared" si="56"/>
        <v>M</v>
      </c>
      <c r="I309" s="139">
        <f>IF($F309="T",SUM('School Level ADM'!$F309:$J309),IF($G309="T",SUM('School Level ADM'!$F309:$L309),SUM('School Level ADM'!$F309:$K309,0)))</f>
        <v>0</v>
      </c>
      <c r="J309" s="139">
        <f>'School Level ADM'!$S309-$I309-$K309</f>
        <v>7.3913333333333338</v>
      </c>
      <c r="K309" s="139">
        <f>IF(SUM('School Level ADM'!$N309:$R309)='School Level ADM'!$S309,SUM('School Level ADM'!$N309:$R309),IF(OR(SUM('School Level ADM'!$F309:$O309)='School Level ADM'!$S309,SUM('School Level ADM'!$G309:$O309)='School Level ADM'!$S309,SUM('School Level ADM'!$H309:$O309)='School Level ADM'!$S309,SUM('School Level ADM'!$I309:$O309)='School Level ADM'!$S309,SUM('School Level ADM'!$J309:$O309)='School Level ADM'!$S309,SUM('School Level ADM'!$K309:$O309)='School Level ADM'!$S309,SUM('School Level ADM'!$L309:$O309)='School Level ADM'!$S309,SUM('School Level ADM'!$M309:$O309)='School Level ADM'!$S309,SUM('School Level ADM'!$N309:$O309)='School Level ADM'!$S309),0,SUM('School Level ADM'!$O309:$R309)))</f>
        <v>0</v>
      </c>
      <c r="L309" s="139">
        <f t="shared" si="57"/>
        <v>7.3913333333333338</v>
      </c>
      <c r="M309" s="24">
        <f>'Student At-Risk and ELL Proxy'!S309</f>
        <v>3</v>
      </c>
      <c r="N309" s="24">
        <f>'Student At-Risk and ELL Proxy'!AH309</f>
        <v>0</v>
      </c>
      <c r="O309" s="136" t="str">
        <f t="shared" si="63"/>
        <v/>
      </c>
      <c r="P309" s="136">
        <f t="shared" si="64"/>
        <v>4.5225252004336065</v>
      </c>
      <c r="Q309" s="136" t="str">
        <f t="shared" si="65"/>
        <v/>
      </c>
      <c r="R309" s="136">
        <f t="shared" si="58"/>
        <v>4.5225252004336065</v>
      </c>
      <c r="S309" s="136">
        <f>IF(SUM(3515.4*((VLOOKUP($A309,'District Level ADM'!$A$4:$F$52,6,FALSE))^-0.327)/'Model Data Inputs'!$B$71)&lt;1,1,(3515.4*((VLOOKUP($A309,'District Level ADM'!$A$4:$F$52,6,FALSE))^-0.327)/'Model Data Inputs'!$B$71))</f>
        <v>1.1030337692339809</v>
      </c>
      <c r="T309" s="136">
        <f>VLOOKUP($A309,'Regional Cost Adjustment'!$A$4:$C$52,3,FALSE)</f>
        <v>1.17</v>
      </c>
      <c r="U309" s="123">
        <f>((($I309/$L309)*'Model Data Inputs'!$B$85)+((SUM(J309:K309)/$L309)*'Model Data Inputs'!$C$85))*$R309*$T309</f>
        <v>28482.247304081535</v>
      </c>
      <c r="V309" s="140">
        <f>((($I309/$L309)*'Model Data Inputs'!$B$86)+((SUM(J309:K309)/$L309)*'Model Data Inputs'!$C$86))*$R309</f>
        <v>6481.2659931047683</v>
      </c>
      <c r="W309" s="140">
        <f t="shared" si="66"/>
        <v>34963.513297186306</v>
      </c>
      <c r="X309" s="140">
        <f t="shared" si="59"/>
        <v>210521.78390690134</v>
      </c>
      <c r="Y309" s="140">
        <f t="shared" si="60"/>
        <v>47905.197377035045</v>
      </c>
      <c r="Z309" s="123">
        <f>IF((SUM(X309:Y309))&lt;(AVERAGE('Elementary Size Adjustment'!$B$66,'Secondary Size Adjustment'!$B$66)),(AVERAGE('Elementary Size Adjustment'!$B$66,'Secondary Size Adjustment'!$B$66)),SUM(X309:Y309))</f>
        <v>258426.98128393639</v>
      </c>
      <c r="AA309" s="137">
        <f>'Model Data Inputs'!$B$71*S309*L309</f>
        <v>1549.0491506029721</v>
      </c>
      <c r="AB309" s="137">
        <f>L309*'Model Data Inputs'!$B$72</f>
        <v>184.78333333333333</v>
      </c>
      <c r="AC309" s="137">
        <f>L309*'Model Data Inputs'!$B$73</f>
        <v>1847.8333333333335</v>
      </c>
      <c r="AD309" s="137">
        <f>L309*'Model Data Inputs'!$B$74</f>
        <v>923.91666666666674</v>
      </c>
      <c r="AE309" s="137">
        <f>$I309*'Model Data Inputs'!$B$76</f>
        <v>0</v>
      </c>
      <c r="AF309" s="137">
        <f>VLOOKUP($J309,'Student Activities MS&amp;HS Tables'!$M$7:$O$1267,3)</f>
        <v>5377.8899999999994</v>
      </c>
      <c r="AG309" s="137">
        <f>VLOOKUP($K309,'Student Activities MS&amp;HS Tables'!$I$7:$K$3007,3)</f>
        <v>0</v>
      </c>
      <c r="AH309" s="137">
        <f t="shared" si="61"/>
        <v>5377.8899999999994</v>
      </c>
      <c r="AI309" s="123">
        <f t="shared" si="67"/>
        <v>268310.45376787271</v>
      </c>
      <c r="AJ309" s="123">
        <f>(('Model Data Inputs'!$B$90*(('Model Data Inputs'!$B$87*('School Level Inst. Resources'!I309/'School Level Inst. Resources'!L309))+('Model Data Inputs'!$C$87*(SUM('School Level Inst. Resources'!J309:K309)/'School Level Inst. Resources'!L309))))*T309*M309)</f>
        <v>7177.1398114709555</v>
      </c>
      <c r="AK309" s="123">
        <f>(('Model Data Inputs'!$B$91*(('Model Data Inputs'!$B$87*('School Level Inst. Resources'!I309/'School Level Inst. Resources'!L309))+('Model Data Inputs'!$C$87*(SUM('School Level Inst. Resources'!J309:K309)/'School Level Inst. Resources'!L309))))*T309*N309)</f>
        <v>0</v>
      </c>
      <c r="AL309" s="137">
        <f>(K309*'Model Data Inputs'!$B$94)*T309</f>
        <v>0</v>
      </c>
      <c r="AM309" s="137">
        <f>K309*'Model Data Inputs'!$B$95</f>
        <v>0</v>
      </c>
      <c r="AN309" s="137">
        <f t="shared" si="68"/>
        <v>0</v>
      </c>
      <c r="AO309" s="137">
        <f>('School Level Inst. Resources'!K309*'Model Data Inputs'!$B$96)+('School Level Inst. Resources'!J309*'Model Data Inputs'!$B$97)</f>
        <v>184.78333333333333</v>
      </c>
      <c r="AP309" s="137">
        <f>$L309*'Model Data Inputs'!$B$100</f>
        <v>295.65333333333336</v>
      </c>
      <c r="AQ309" s="137">
        <f t="shared" si="69"/>
        <v>275968.03024601028</v>
      </c>
      <c r="AR309" s="141">
        <f t="shared" si="62"/>
        <v>37336.704732480866</v>
      </c>
    </row>
    <row r="310" spans="1:44" s="40" customFormat="1" ht="12.75" customHeight="1" x14ac:dyDescent="0.2">
      <c r="A310" s="20" t="s">
        <v>90</v>
      </c>
      <c r="B310" s="20" t="s">
        <v>91</v>
      </c>
      <c r="C310" s="20" t="s">
        <v>987</v>
      </c>
      <c r="D310" s="20" t="s">
        <v>988</v>
      </c>
      <c r="E310" s="138" t="s">
        <v>383</v>
      </c>
      <c r="F310" s="138" t="str">
        <f>IF(AND(SUM('School Level ADM'!$F310:$J310)=0,SUM('School Level ADM'!$O310:$R310)=0,'School Level ADM'!$K310&gt;0,'School Level ADM'!$N310&gt;0),"T","F")</f>
        <v>F</v>
      </c>
      <c r="G310" s="138" t="str">
        <f>IF(AND(SUM('School Level ADM'!$M310:$R310)=0,'School Level ADM'!$L310&gt;0),"T","F")</f>
        <v>F</v>
      </c>
      <c r="H310" s="138" t="str">
        <f t="shared" si="56"/>
        <v>M</v>
      </c>
      <c r="I310" s="139">
        <f>IF($F310="T",SUM('School Level ADM'!$F310:$J310),IF($G310="T",SUM('School Level ADM'!$F310:$L310),SUM('School Level ADM'!$F310:$K310,0)))</f>
        <v>0</v>
      </c>
      <c r="J310" s="139">
        <f>'School Level ADM'!$S310-$I310-$K310</f>
        <v>44.502000000000002</v>
      </c>
      <c r="K310" s="139">
        <f>IF(SUM('School Level ADM'!$N310:$R310)='School Level ADM'!$S310,SUM('School Level ADM'!$N310:$R310),IF(OR(SUM('School Level ADM'!$F310:$O310)='School Level ADM'!$S310,SUM('School Level ADM'!$G310:$O310)='School Level ADM'!$S310,SUM('School Level ADM'!$H310:$O310)='School Level ADM'!$S310,SUM('School Level ADM'!$I310:$O310)='School Level ADM'!$S310,SUM('School Level ADM'!$J310:$O310)='School Level ADM'!$S310,SUM('School Level ADM'!$K310:$O310)='School Level ADM'!$S310,SUM('School Level ADM'!$L310:$O310)='School Level ADM'!$S310,SUM('School Level ADM'!$M310:$O310)='School Level ADM'!$S310,SUM('School Level ADM'!$N310:$O310)='School Level ADM'!$S310),0,SUM('School Level ADM'!$O310:$R310)))</f>
        <v>0</v>
      </c>
      <c r="L310" s="139">
        <f t="shared" si="57"/>
        <v>44.502000000000002</v>
      </c>
      <c r="M310" s="24">
        <f>'Student At-Risk and ELL Proxy'!S310</f>
        <v>14</v>
      </c>
      <c r="N310" s="24">
        <f>'Student At-Risk and ELL Proxy'!AH310</f>
        <v>0</v>
      </c>
      <c r="O310" s="136" t="str">
        <f t="shared" si="63"/>
        <v/>
      </c>
      <c r="P310" s="136">
        <f t="shared" si="64"/>
        <v>2.4083604102137679</v>
      </c>
      <c r="Q310" s="136" t="str">
        <f t="shared" si="65"/>
        <v/>
      </c>
      <c r="R310" s="136">
        <f t="shared" si="58"/>
        <v>2.4083604102137679</v>
      </c>
      <c r="S310" s="136">
        <f>IF(SUM(3515.4*((VLOOKUP($A310,'District Level ADM'!$A$4:$F$52,6,FALSE))^-0.327)/'Model Data Inputs'!$B$71)&lt;1,1,(3515.4*((VLOOKUP($A310,'District Level ADM'!$A$4:$F$52,6,FALSE))^-0.327)/'Model Data Inputs'!$B$71))</f>
        <v>1.1030337692339809</v>
      </c>
      <c r="T310" s="136">
        <f>VLOOKUP($A310,'Regional Cost Adjustment'!$A$4:$C$52,3,FALSE)</f>
        <v>1.17</v>
      </c>
      <c r="U310" s="123">
        <f>((($I310/$L310)*'Model Data Inputs'!$B$85)+((SUM(J310:K310)/$L310)*'Model Data Inputs'!$C$85))*$R310*$T310</f>
        <v>15167.525610358356</v>
      </c>
      <c r="V310" s="140">
        <f>((($I310/$L310)*'Model Data Inputs'!$B$86)+((SUM(J310:K310)/$L310)*'Model Data Inputs'!$C$86))*$R310</f>
        <v>3451.4400106298526</v>
      </c>
      <c r="W310" s="140">
        <f t="shared" si="66"/>
        <v>18618.965620988209</v>
      </c>
      <c r="X310" s="140">
        <f t="shared" si="59"/>
        <v>674985.22471216763</v>
      </c>
      <c r="Y310" s="140">
        <f t="shared" si="60"/>
        <v>153595.9833530497</v>
      </c>
      <c r="Z310" s="123">
        <f>IF((SUM(X310:Y310))&lt;(AVERAGE('Elementary Size Adjustment'!$B$66,'Secondary Size Adjustment'!$B$66)),(AVERAGE('Elementary Size Adjustment'!$B$66,'Secondary Size Adjustment'!$B$66)),SUM(X310:Y310))</f>
        <v>828581.20806521736</v>
      </c>
      <c r="AA310" s="137">
        <f>'Model Data Inputs'!$B$71*S310*L310</f>
        <v>9326.569671705618</v>
      </c>
      <c r="AB310" s="137">
        <f>L310*'Model Data Inputs'!$B$72</f>
        <v>1112.55</v>
      </c>
      <c r="AC310" s="137">
        <f>L310*'Model Data Inputs'!$B$73</f>
        <v>11125.5</v>
      </c>
      <c r="AD310" s="137">
        <f>L310*'Model Data Inputs'!$B$74</f>
        <v>5562.75</v>
      </c>
      <c r="AE310" s="137">
        <f>$I310*'Model Data Inputs'!$B$76</f>
        <v>0</v>
      </c>
      <c r="AF310" s="137">
        <f>VLOOKUP($J310,'Student Activities MS&amp;HS Tables'!$M$7:$O$1267,3)</f>
        <v>29931.439999999999</v>
      </c>
      <c r="AG310" s="137">
        <f>VLOOKUP($K310,'Student Activities MS&amp;HS Tables'!$I$7:$K$3007,3)</f>
        <v>0</v>
      </c>
      <c r="AH310" s="137">
        <f t="shared" si="61"/>
        <v>29931.439999999999</v>
      </c>
      <c r="AI310" s="123">
        <f t="shared" si="67"/>
        <v>885640.01773692295</v>
      </c>
      <c r="AJ310" s="123">
        <f>(('Model Data Inputs'!$B$90*(('Model Data Inputs'!$B$87*('School Level Inst. Resources'!I310/'School Level Inst. Resources'!L310))+('Model Data Inputs'!$C$87*(SUM('School Level Inst. Resources'!J310:K310)/'School Level Inst. Resources'!L310))))*T310*M310)</f>
        <v>33493.319120197797</v>
      </c>
      <c r="AK310" s="123">
        <f>(('Model Data Inputs'!$B$91*(('Model Data Inputs'!$B$87*('School Level Inst. Resources'!I310/'School Level Inst. Resources'!L310))+('Model Data Inputs'!$C$87*(SUM('School Level Inst. Resources'!J310:K310)/'School Level Inst. Resources'!L310))))*T310*N310)</f>
        <v>0</v>
      </c>
      <c r="AL310" s="137">
        <f>(K310*'Model Data Inputs'!$B$94)*T310</f>
        <v>0</v>
      </c>
      <c r="AM310" s="137">
        <f>K310*'Model Data Inputs'!$B$95</f>
        <v>0</v>
      </c>
      <c r="AN310" s="137">
        <f t="shared" si="68"/>
        <v>0</v>
      </c>
      <c r="AO310" s="137">
        <f>('School Level Inst. Resources'!K310*'Model Data Inputs'!$B$96)+('School Level Inst. Resources'!J310*'Model Data Inputs'!$B$97)</f>
        <v>1112.55</v>
      </c>
      <c r="AP310" s="137">
        <f>$L310*'Model Data Inputs'!$B$100</f>
        <v>1780.0800000000002</v>
      </c>
      <c r="AQ310" s="137">
        <f t="shared" si="69"/>
        <v>922025.96685712074</v>
      </c>
      <c r="AR310" s="141">
        <f t="shared" si="62"/>
        <v>20718.753468543451</v>
      </c>
    </row>
    <row r="311" spans="1:44" s="40" customFormat="1" ht="12.75" customHeight="1" x14ac:dyDescent="0.2">
      <c r="A311" s="20" t="s">
        <v>90</v>
      </c>
      <c r="B311" s="20" t="s">
        <v>91</v>
      </c>
      <c r="C311" s="20" t="s">
        <v>989</v>
      </c>
      <c r="D311" s="20" t="s">
        <v>990</v>
      </c>
      <c r="E311" s="138" t="s">
        <v>389</v>
      </c>
      <c r="F311" s="138" t="str">
        <f>IF(AND(SUM('School Level ADM'!$F311:$J311)=0,SUM('School Level ADM'!$O311:$R311)=0,'School Level ADM'!$K311&gt;0,'School Level ADM'!$N311&gt;0),"T","F")</f>
        <v>F</v>
      </c>
      <c r="G311" s="138" t="str">
        <f>IF(AND(SUM('School Level ADM'!$M311:$R311)=0,'School Level ADM'!$L311&gt;0),"T","F")</f>
        <v>F</v>
      </c>
      <c r="H311" s="138" t="str">
        <f t="shared" si="56"/>
        <v>H</v>
      </c>
      <c r="I311" s="139">
        <f>IF($F311="T",SUM('School Level ADM'!$F311:$J311),IF($G311="T",SUM('School Level ADM'!$F311:$L311),SUM('School Level ADM'!$F311:$K311,0)))</f>
        <v>0</v>
      </c>
      <c r="J311" s="139">
        <f>'School Level ADM'!$S311-$I311-$K311</f>
        <v>0</v>
      </c>
      <c r="K311" s="139">
        <f>IF(SUM('School Level ADM'!$N311:$R311)='School Level ADM'!$S311,SUM('School Level ADM'!$N311:$R311),IF(OR(SUM('School Level ADM'!$F311:$O311)='School Level ADM'!$S311,SUM('School Level ADM'!$G311:$O311)='School Level ADM'!$S311,SUM('School Level ADM'!$H311:$O311)='School Level ADM'!$S311,SUM('School Level ADM'!$I311:$O311)='School Level ADM'!$S311,SUM('School Level ADM'!$J311:$O311)='School Level ADM'!$S311,SUM('School Level ADM'!$K311:$O311)='School Level ADM'!$S311,SUM('School Level ADM'!$L311:$O311)='School Level ADM'!$S311,SUM('School Level ADM'!$M311:$O311)='School Level ADM'!$S311,SUM('School Level ADM'!$N311:$O311)='School Level ADM'!$S311),0,SUM('School Level ADM'!$O311:$R311)))</f>
        <v>54.31666666666667</v>
      </c>
      <c r="L311" s="139">
        <f t="shared" si="57"/>
        <v>54.31666666666667</v>
      </c>
      <c r="M311" s="24">
        <f>'Student At-Risk and ELL Proxy'!S311</f>
        <v>8</v>
      </c>
      <c r="N311" s="24">
        <f>'Student At-Risk and ELL Proxy'!AH311</f>
        <v>0</v>
      </c>
      <c r="O311" s="136" t="str">
        <f t="shared" si="63"/>
        <v/>
      </c>
      <c r="P311" s="136">
        <f t="shared" si="64"/>
        <v>2.2456453629048925</v>
      </c>
      <c r="Q311" s="136" t="str">
        <f t="shared" si="65"/>
        <v/>
      </c>
      <c r="R311" s="136">
        <f t="shared" si="58"/>
        <v>2.2456453629048925</v>
      </c>
      <c r="S311" s="136">
        <f>IF(SUM(3515.4*((VLOOKUP($A311,'District Level ADM'!$A$4:$F$52,6,FALSE))^-0.327)/'Model Data Inputs'!$B$71)&lt;1,1,(3515.4*((VLOOKUP($A311,'District Level ADM'!$A$4:$F$52,6,FALSE))^-0.327)/'Model Data Inputs'!$B$71))</f>
        <v>1.1030337692339809</v>
      </c>
      <c r="T311" s="136">
        <f>VLOOKUP($A311,'Regional Cost Adjustment'!$A$4:$C$52,3,FALSE)</f>
        <v>1.17</v>
      </c>
      <c r="U311" s="123">
        <f>((($I311/$L311)*'Model Data Inputs'!$B$85)+((SUM(J311:K311)/$L311)*'Model Data Inputs'!$C$85))*$R311*$T311</f>
        <v>14142.768420038581</v>
      </c>
      <c r="V311" s="140">
        <f>((($I311/$L311)*'Model Data Inputs'!$B$86)+((SUM(J311:K311)/$L311)*'Model Data Inputs'!$C$86))*$R311</f>
        <v>3218.2518124550065</v>
      </c>
      <c r="W311" s="140">
        <f t="shared" si="66"/>
        <v>17361.020232493589</v>
      </c>
      <c r="X311" s="140">
        <f t="shared" si="59"/>
        <v>768188.03801509563</v>
      </c>
      <c r="Y311" s="140">
        <f t="shared" si="60"/>
        <v>174804.71094651445</v>
      </c>
      <c r="Z311" s="123">
        <f>IF((SUM(X311:Y311))&lt;(AVERAGE('Elementary Size Adjustment'!$B$66,'Secondary Size Adjustment'!$B$66)),(AVERAGE('Elementary Size Adjustment'!$B$66,'Secondary Size Adjustment'!$B$66)),SUM(X311:Y311))</f>
        <v>942992.74896161002</v>
      </c>
      <c r="AA311" s="137">
        <f>'Model Data Inputs'!$B$71*S311*L311</f>
        <v>11383.492337456224</v>
      </c>
      <c r="AB311" s="137">
        <f>L311*'Model Data Inputs'!$B$72</f>
        <v>1357.9166666666667</v>
      </c>
      <c r="AC311" s="137">
        <f>L311*'Model Data Inputs'!$B$73</f>
        <v>13579.166666666668</v>
      </c>
      <c r="AD311" s="137">
        <f>L311*'Model Data Inputs'!$B$74</f>
        <v>6789.5833333333339</v>
      </c>
      <c r="AE311" s="137">
        <f>$I311*'Model Data Inputs'!$B$76</f>
        <v>0</v>
      </c>
      <c r="AF311" s="137">
        <f>VLOOKUP($J311,'Student Activities MS&amp;HS Tables'!$M$7:$O$1267,3)</f>
        <v>0</v>
      </c>
      <c r="AG311" s="137">
        <f>VLOOKUP($K311,'Student Activities MS&amp;HS Tables'!$I$7:$K$3007,3)</f>
        <v>95963.4</v>
      </c>
      <c r="AH311" s="137">
        <f t="shared" si="61"/>
        <v>95963.4</v>
      </c>
      <c r="AI311" s="123">
        <f t="shared" si="67"/>
        <v>1072066.3079657329</v>
      </c>
      <c r="AJ311" s="123">
        <f>(('Model Data Inputs'!$B$90*(('Model Data Inputs'!$B$87*('School Level Inst. Resources'!I311/'School Level Inst. Resources'!L311))+('Model Data Inputs'!$C$87*(SUM('School Level Inst. Resources'!J311:K311)/'School Level Inst. Resources'!L311))))*T311*M311)</f>
        <v>19139.039497255882</v>
      </c>
      <c r="AK311" s="123">
        <f>(('Model Data Inputs'!$B$91*(('Model Data Inputs'!$B$87*('School Level Inst. Resources'!I311/'School Level Inst. Resources'!L311))+('Model Data Inputs'!$C$87*(SUM('School Level Inst. Resources'!J311:K311)/'School Level Inst. Resources'!L311))))*T311*N311)</f>
        <v>0</v>
      </c>
      <c r="AL311" s="137">
        <f>(K311*'Model Data Inputs'!$B$94)*T311</f>
        <v>10489.985842927501</v>
      </c>
      <c r="AM311" s="137">
        <f>K311*'Model Data Inputs'!$B$95</f>
        <v>2276.4019945833334</v>
      </c>
      <c r="AN311" s="137">
        <f t="shared" si="68"/>
        <v>12766.387837510834</v>
      </c>
      <c r="AO311" s="137">
        <f>('School Level Inst. Resources'!K311*'Model Data Inputs'!$B$96)+('School Level Inst. Resources'!J311*'Model Data Inputs'!$B$97)</f>
        <v>5431.666666666667</v>
      </c>
      <c r="AP311" s="137">
        <f>$L311*'Model Data Inputs'!$B$100</f>
        <v>2172.666666666667</v>
      </c>
      <c r="AQ311" s="137">
        <f t="shared" si="69"/>
        <v>1111576.068633833</v>
      </c>
      <c r="AR311" s="141">
        <f t="shared" si="62"/>
        <v>20464.732776320951</v>
      </c>
    </row>
    <row r="312" spans="1:44" s="40" customFormat="1" ht="12.75" customHeight="1" x14ac:dyDescent="0.2">
      <c r="A312" s="20" t="s">
        <v>90</v>
      </c>
      <c r="B312" s="20" t="s">
        <v>91</v>
      </c>
      <c r="C312" s="20" t="s">
        <v>991</v>
      </c>
      <c r="D312" s="20" t="s">
        <v>992</v>
      </c>
      <c r="E312" s="138" t="s">
        <v>389</v>
      </c>
      <c r="F312" s="138" t="str">
        <f>IF(AND(SUM('School Level ADM'!$F312:$J312)=0,SUM('School Level ADM'!$O312:$R312)=0,'School Level ADM'!$K312&gt;0,'School Level ADM'!$N312&gt;0),"T","F")</f>
        <v>F</v>
      </c>
      <c r="G312" s="138" t="str">
        <f>IF(AND(SUM('School Level ADM'!$M312:$R312)=0,'School Level ADM'!$L312&gt;0),"T","F")</f>
        <v>F</v>
      </c>
      <c r="H312" s="138" t="str">
        <f t="shared" si="56"/>
        <v>H</v>
      </c>
      <c r="I312" s="139">
        <f>IF($F312="T",SUM('School Level ADM'!$F312:$J312),IF($G312="T",SUM('School Level ADM'!$F312:$L312),SUM('School Level ADM'!$F312:$K312,0)))</f>
        <v>0</v>
      </c>
      <c r="J312" s="139">
        <f>'School Level ADM'!$S312-$I312-$K312</f>
        <v>0</v>
      </c>
      <c r="K312" s="139">
        <f>IF(SUM('School Level ADM'!$N312:$R312)='School Level ADM'!$S312,SUM('School Level ADM'!$N312:$R312),IF(OR(SUM('School Level ADM'!$F312:$O312)='School Level ADM'!$S312,SUM('School Level ADM'!$G312:$O312)='School Level ADM'!$S312,SUM('School Level ADM'!$H312:$O312)='School Level ADM'!$S312,SUM('School Level ADM'!$I312:$O312)='School Level ADM'!$S312,SUM('School Level ADM'!$J312:$O312)='School Level ADM'!$S312,SUM('School Level ADM'!$K312:$O312)='School Level ADM'!$S312,SUM('School Level ADM'!$L312:$O312)='School Level ADM'!$S312,SUM('School Level ADM'!$M312:$O312)='School Level ADM'!$S312,SUM('School Level ADM'!$N312:$O312)='School Level ADM'!$S312),0,SUM('School Level ADM'!$O312:$R312)))</f>
        <v>1348.7190000000001</v>
      </c>
      <c r="L312" s="139">
        <f t="shared" si="57"/>
        <v>1348.7190000000001</v>
      </c>
      <c r="M312" s="24">
        <f>'Student At-Risk and ELL Proxy'!S312</f>
        <v>507</v>
      </c>
      <c r="N312" s="24">
        <f>'Student At-Risk and ELL Proxy'!AH312</f>
        <v>71</v>
      </c>
      <c r="O312" s="136" t="str">
        <f t="shared" si="63"/>
        <v/>
      </c>
      <c r="P312" s="136">
        <f t="shared" si="64"/>
        <v>0.97</v>
      </c>
      <c r="Q312" s="136" t="str">
        <f t="shared" si="65"/>
        <v/>
      </c>
      <c r="R312" s="136">
        <f t="shared" si="58"/>
        <v>0.97</v>
      </c>
      <c r="S312" s="136">
        <f>IF(SUM(3515.4*((VLOOKUP($A312,'District Level ADM'!$A$4:$F$52,6,FALSE))^-0.327)/'Model Data Inputs'!$B$71)&lt;1,1,(3515.4*((VLOOKUP($A312,'District Level ADM'!$A$4:$F$52,6,FALSE))^-0.327)/'Model Data Inputs'!$B$71))</f>
        <v>1.1030337692339809</v>
      </c>
      <c r="T312" s="136">
        <f>VLOOKUP($A312,'Regional Cost Adjustment'!$A$4:$C$52,3,FALSE)</f>
        <v>1.17</v>
      </c>
      <c r="U312" s="123">
        <f>((($I312/$L312)*'Model Data Inputs'!$B$85)+((SUM(J312:K312)/$L312)*'Model Data Inputs'!$C$85))*$R312*$T312</f>
        <v>6108.9277915599478</v>
      </c>
      <c r="V312" s="140">
        <f>((($I312/$L312)*'Model Data Inputs'!$B$86)+((SUM(J312:K312)/$L312)*'Model Data Inputs'!$C$86))*$R312</f>
        <v>1390.1145343996893</v>
      </c>
      <c r="W312" s="140">
        <f t="shared" si="66"/>
        <v>7499.0423259596373</v>
      </c>
      <c r="X312" s="140">
        <f t="shared" si="59"/>
        <v>8239226.9821049413</v>
      </c>
      <c r="Y312" s="140">
        <f t="shared" si="60"/>
        <v>1874873.8847210146</v>
      </c>
      <c r="Z312" s="123">
        <f>IF((SUM(X312:Y312))&lt;(AVERAGE('Elementary Size Adjustment'!$B$66,'Secondary Size Adjustment'!$B$66)),(AVERAGE('Elementary Size Adjustment'!$B$66,'Secondary Size Adjustment'!$B$66)),SUM(X312:Y312))</f>
        <v>10114100.866825957</v>
      </c>
      <c r="AA312" s="137">
        <f>'Model Data Inputs'!$B$71*S312*L312</f>
        <v>282659.69441942225</v>
      </c>
      <c r="AB312" s="137">
        <f>L312*'Model Data Inputs'!$B$72</f>
        <v>33717.974999999999</v>
      </c>
      <c r="AC312" s="137">
        <f>L312*'Model Data Inputs'!$B$73</f>
        <v>337179.75</v>
      </c>
      <c r="AD312" s="137">
        <f>L312*'Model Data Inputs'!$B$74</f>
        <v>168589.875</v>
      </c>
      <c r="AE312" s="137">
        <f>$I312*'Model Data Inputs'!$B$76</f>
        <v>0</v>
      </c>
      <c r="AF312" s="137">
        <f>VLOOKUP($J312,'Student Activities MS&amp;HS Tables'!$M$7:$O$1267,3)</f>
        <v>0</v>
      </c>
      <c r="AG312" s="137">
        <f>VLOOKUP($K312,'Student Activities MS&amp;HS Tables'!$I$7:$K$3007,3)</f>
        <v>801561.24</v>
      </c>
      <c r="AH312" s="137">
        <f t="shared" si="61"/>
        <v>801561.24</v>
      </c>
      <c r="AI312" s="123">
        <f t="shared" si="67"/>
        <v>11737809.40124538</v>
      </c>
      <c r="AJ312" s="123">
        <f>(('Model Data Inputs'!$B$90*(('Model Data Inputs'!$B$87*('School Level Inst. Resources'!I312/'School Level Inst. Resources'!L312))+('Model Data Inputs'!$C$87*(SUM('School Level Inst. Resources'!J312:K312)/'School Level Inst. Resources'!L312))))*T312*M312)</f>
        <v>1212936.6281385915</v>
      </c>
      <c r="AK312" s="123">
        <f>(('Model Data Inputs'!$B$91*(('Model Data Inputs'!$B$87*('School Level Inst. Resources'!I312/'School Level Inst. Resources'!L312))+('Model Data Inputs'!$C$87*(SUM('School Level Inst. Resources'!J312:K312)/'School Level Inst. Resources'!L312))))*T312*N312)</f>
        <v>169858.97553814595</v>
      </c>
      <c r="AL312" s="137">
        <f>(K312*'Model Data Inputs'!$B$94)*T312</f>
        <v>260473.33322038664</v>
      </c>
      <c r="AM312" s="137">
        <f>K312*'Model Data Inputs'!$B$95</f>
        <v>56524.577264175001</v>
      </c>
      <c r="AN312" s="137">
        <f t="shared" si="68"/>
        <v>316997.91048456164</v>
      </c>
      <c r="AO312" s="137">
        <f>('School Level Inst. Resources'!K312*'Model Data Inputs'!$B$96)+('School Level Inst. Resources'!J312*'Model Data Inputs'!$B$97)</f>
        <v>134871.9</v>
      </c>
      <c r="AP312" s="137">
        <f>$L312*'Model Data Inputs'!$B$100</f>
        <v>53948.76</v>
      </c>
      <c r="AQ312" s="137">
        <f t="shared" si="69"/>
        <v>13626423.57540668</v>
      </c>
      <c r="AR312" s="141">
        <f t="shared" si="62"/>
        <v>10103.233939320704</v>
      </c>
    </row>
    <row r="313" spans="1:44" s="40" customFormat="1" ht="12.75" customHeight="1" x14ac:dyDescent="0.2">
      <c r="A313" s="20" t="s">
        <v>90</v>
      </c>
      <c r="B313" s="20" t="s">
        <v>91</v>
      </c>
      <c r="C313" s="20" t="s">
        <v>993</v>
      </c>
      <c r="D313" s="20" t="s">
        <v>994</v>
      </c>
      <c r="E313" s="138" t="s">
        <v>389</v>
      </c>
      <c r="F313" s="138" t="str">
        <f>IF(AND(SUM('School Level ADM'!$F313:$J313)=0,SUM('School Level ADM'!$O313:$R313)=0,'School Level ADM'!$K313&gt;0,'School Level ADM'!$N313&gt;0),"T","F")</f>
        <v>F</v>
      </c>
      <c r="G313" s="138" t="str">
        <f>IF(AND(SUM('School Level ADM'!$M313:$R313)=0,'School Level ADM'!$L313&gt;0),"T","F")</f>
        <v>F</v>
      </c>
      <c r="H313" s="138" t="str">
        <f t="shared" si="56"/>
        <v>H</v>
      </c>
      <c r="I313" s="139">
        <f>IF($F313="T",SUM('School Level ADM'!$F313:$J313),IF($G313="T",SUM('School Level ADM'!$F313:$L313),SUM('School Level ADM'!$F313:$K313,0)))</f>
        <v>0</v>
      </c>
      <c r="J313" s="139">
        <f>'School Level ADM'!$S313-$I313-$K313</f>
        <v>0</v>
      </c>
      <c r="K313" s="139">
        <f>IF(SUM('School Level ADM'!$N313:$R313)='School Level ADM'!$S313,SUM('School Level ADM'!$N313:$R313),IF(OR(SUM('School Level ADM'!$F313:$O313)='School Level ADM'!$S313,SUM('School Level ADM'!$G313:$O313)='School Level ADM'!$S313,SUM('School Level ADM'!$H313:$O313)='School Level ADM'!$S313,SUM('School Level ADM'!$I313:$O313)='School Level ADM'!$S313,SUM('School Level ADM'!$J313:$O313)='School Level ADM'!$S313,SUM('School Level ADM'!$K313:$O313)='School Level ADM'!$S313,SUM('School Level ADM'!$L313:$O313)='School Level ADM'!$S313,SUM('School Level ADM'!$M313:$O313)='School Level ADM'!$S313,SUM('School Level ADM'!$N313:$O313)='School Level ADM'!$S313),0,SUM('School Level ADM'!$O313:$R313)))</f>
        <v>90.953333333333333</v>
      </c>
      <c r="L313" s="139">
        <f t="shared" si="57"/>
        <v>90.953333333333333</v>
      </c>
      <c r="M313" s="24">
        <f>'Student At-Risk and ELL Proxy'!S313</f>
        <v>45</v>
      </c>
      <c r="N313" s="24">
        <f>'Student At-Risk and ELL Proxy'!AH313</f>
        <v>1</v>
      </c>
      <c r="O313" s="136" t="str">
        <f t="shared" si="63"/>
        <v/>
      </c>
      <c r="P313" s="136">
        <f t="shared" si="64"/>
        <v>1.8739472366880634</v>
      </c>
      <c r="Q313" s="136" t="str">
        <f t="shared" si="65"/>
        <v/>
      </c>
      <c r="R313" s="136">
        <f t="shared" si="58"/>
        <v>1.8739472366880634</v>
      </c>
      <c r="S313" s="136">
        <f>IF(SUM(3515.4*((VLOOKUP($A313,'District Level ADM'!$A$4:$F$52,6,FALSE))^-0.327)/'Model Data Inputs'!$B$71)&lt;1,1,(3515.4*((VLOOKUP($A313,'District Level ADM'!$A$4:$F$52,6,FALSE))^-0.327)/'Model Data Inputs'!$B$71))</f>
        <v>1.1030337692339809</v>
      </c>
      <c r="T313" s="136">
        <f>VLOOKUP($A313,'Regional Cost Adjustment'!$A$4:$C$52,3,FALSE)</f>
        <v>1.17</v>
      </c>
      <c r="U313" s="123">
        <f>((($I313/$L313)*'Model Data Inputs'!$B$85)+((SUM(J313:K313)/$L313)*'Model Data Inputs'!$C$85))*$R313*$T313</f>
        <v>11801.864282598639</v>
      </c>
      <c r="V313" s="140">
        <f>((($I313/$L313)*'Model Data Inputs'!$B$86)+((SUM(J313:K313)/$L313)*'Model Data Inputs'!$C$86))*$R313</f>
        <v>2685.5683406373319</v>
      </c>
      <c r="W313" s="140">
        <f t="shared" si="66"/>
        <v>14487.432623235971</v>
      </c>
      <c r="X313" s="140">
        <f t="shared" si="59"/>
        <v>1073418.8960499549</v>
      </c>
      <c r="Y313" s="140">
        <f t="shared" si="60"/>
        <v>244261.39247543411</v>
      </c>
      <c r="Z313" s="123">
        <f>IF((SUM(X313:Y313))&lt;(AVERAGE('Elementary Size Adjustment'!$B$66,'Secondary Size Adjustment'!$B$66)),(AVERAGE('Elementary Size Adjustment'!$B$66,'Secondary Size Adjustment'!$B$66)),SUM(X313:Y313))</f>
        <v>1317680.288525389</v>
      </c>
      <c r="AA313" s="137">
        <f>'Model Data Inputs'!$B$71*S313*L313</f>
        <v>19061.673637301657</v>
      </c>
      <c r="AB313" s="137">
        <f>L313*'Model Data Inputs'!$B$72</f>
        <v>2273.8333333333335</v>
      </c>
      <c r="AC313" s="137">
        <f>L313*'Model Data Inputs'!$B$73</f>
        <v>22738.333333333332</v>
      </c>
      <c r="AD313" s="137">
        <f>L313*'Model Data Inputs'!$B$74</f>
        <v>11369.166666666666</v>
      </c>
      <c r="AE313" s="137">
        <f>$I313*'Model Data Inputs'!$B$76</f>
        <v>0</v>
      </c>
      <c r="AF313" s="137">
        <f>VLOOKUP($J313,'Student Activities MS&amp;HS Tables'!$M$7:$O$1267,3)</f>
        <v>0</v>
      </c>
      <c r="AG313" s="137">
        <f>VLOOKUP($K313,'Student Activities MS&amp;HS Tables'!$I$7:$K$3007,3)</f>
        <v>145260.9</v>
      </c>
      <c r="AH313" s="137">
        <f t="shared" si="61"/>
        <v>145260.9</v>
      </c>
      <c r="AI313" s="123">
        <f t="shared" si="67"/>
        <v>1518384.1954960239</v>
      </c>
      <c r="AJ313" s="123">
        <f>(('Model Data Inputs'!$B$90*(('Model Data Inputs'!$B$87*('School Level Inst. Resources'!I313/'School Level Inst. Resources'!L313))+('Model Data Inputs'!$C$87*(SUM('School Level Inst. Resources'!J313:K313)/'School Level Inst. Resources'!L313))))*T313*M313)</f>
        <v>107657.09717206434</v>
      </c>
      <c r="AK313" s="123">
        <f>(('Model Data Inputs'!$B$91*(('Model Data Inputs'!$B$87*('School Level Inst. Resources'!I313/'School Level Inst. Resources'!L313))+('Model Data Inputs'!$C$87*(SUM('School Level Inst. Resources'!J313:K313)/'School Level Inst. Resources'!L313))))*T313*N313)</f>
        <v>2392.3799371569853</v>
      </c>
      <c r="AL313" s="137">
        <f>(K313*'Model Data Inputs'!$B$94)*T313</f>
        <v>17565.495778467</v>
      </c>
      <c r="AM313" s="137">
        <f>K313*'Model Data Inputs'!$B$95</f>
        <v>3811.8382831666663</v>
      </c>
      <c r="AN313" s="137">
        <f t="shared" si="68"/>
        <v>21377.334061633668</v>
      </c>
      <c r="AO313" s="137">
        <f>('School Level Inst. Resources'!K313*'Model Data Inputs'!$B$96)+('School Level Inst. Resources'!J313*'Model Data Inputs'!$B$97)</f>
        <v>9095.3333333333339</v>
      </c>
      <c r="AP313" s="137">
        <f>$L313*'Model Data Inputs'!$B$100</f>
        <v>3638.1333333333332</v>
      </c>
      <c r="AQ313" s="137">
        <f t="shared" si="69"/>
        <v>1662544.4733335453</v>
      </c>
      <c r="AR313" s="141">
        <f t="shared" si="62"/>
        <v>18279.093381223469</v>
      </c>
    </row>
    <row r="314" spans="1:44" s="40" customFormat="1" ht="12.75" customHeight="1" x14ac:dyDescent="0.2">
      <c r="A314" s="20" t="s">
        <v>92</v>
      </c>
      <c r="B314" s="20" t="s">
        <v>93</v>
      </c>
      <c r="C314" s="20" t="s">
        <v>995</v>
      </c>
      <c r="D314" s="20" t="s">
        <v>996</v>
      </c>
      <c r="E314" s="138" t="s">
        <v>522</v>
      </c>
      <c r="F314" s="138" t="str">
        <f>IF(AND(SUM('School Level ADM'!$F314:$J314)=0,SUM('School Level ADM'!$O314:$R314)=0,'School Level ADM'!$K314&gt;0,'School Level ADM'!$N314&gt;0),"T","F")</f>
        <v>F</v>
      </c>
      <c r="G314" s="138" t="str">
        <f>IF(AND(SUM('School Level ADM'!$M314:$R314)=0,'School Level ADM'!$L314&gt;0),"T","F")</f>
        <v>F</v>
      </c>
      <c r="H314" s="138" t="str">
        <f t="shared" si="56"/>
        <v>E</v>
      </c>
      <c r="I314" s="139">
        <f>IF($F314="T",SUM('School Level ADM'!$F314:$J314),IF($G314="T",SUM('School Level ADM'!$F314:$L314),SUM('School Level ADM'!$F314:$K314,0)))</f>
        <v>3.2943333333333333</v>
      </c>
      <c r="J314" s="139">
        <f>'School Level ADM'!$S314-$I314-$K314</f>
        <v>0</v>
      </c>
      <c r="K314" s="139">
        <f>IF(SUM('School Level ADM'!$N314:$R314)='School Level ADM'!$S314,SUM('School Level ADM'!$N314:$R314),IF(OR(SUM('School Level ADM'!$F314:$O314)='School Level ADM'!$S314,SUM('School Level ADM'!$G314:$O314)='School Level ADM'!$S314,SUM('School Level ADM'!$H314:$O314)='School Level ADM'!$S314,SUM('School Level ADM'!$I314:$O314)='School Level ADM'!$S314,SUM('School Level ADM'!$J314:$O314)='School Level ADM'!$S314,SUM('School Level ADM'!$K314:$O314)='School Level ADM'!$S314,SUM('School Level ADM'!$L314:$O314)='School Level ADM'!$S314,SUM('School Level ADM'!$M314:$O314)='School Level ADM'!$S314,SUM('School Level ADM'!$N314:$O314)='School Level ADM'!$S314),0,SUM('School Level ADM'!$O314:$R314)))</f>
        <v>0</v>
      </c>
      <c r="L314" s="139">
        <f t="shared" si="57"/>
        <v>3.2943333333333333</v>
      </c>
      <c r="M314" s="24">
        <f>'Student At-Risk and ELL Proxy'!S314</f>
        <v>3</v>
      </c>
      <c r="N314" s="24">
        <f>'Student At-Risk and ELL Proxy'!AH314</f>
        <v>0</v>
      </c>
      <c r="O314" s="136">
        <f t="shared" si="63"/>
        <v>5.9781172600915804</v>
      </c>
      <c r="P314" s="136" t="str">
        <f t="shared" si="64"/>
        <v/>
      </c>
      <c r="Q314" s="136" t="str">
        <f t="shared" si="65"/>
        <v/>
      </c>
      <c r="R314" s="136">
        <f t="shared" si="58"/>
        <v>5.9781172600915804</v>
      </c>
      <c r="S314" s="136">
        <f>IF(SUM(3515.4*((VLOOKUP($A314,'District Level ADM'!$A$4:$F$52,6,FALSE))^-0.327)/'Model Data Inputs'!$B$71)&lt;1,1,(3515.4*((VLOOKUP($A314,'District Level ADM'!$A$4:$F$52,6,FALSE))^-0.327)/'Model Data Inputs'!$B$71))</f>
        <v>1.4102512875167312</v>
      </c>
      <c r="T314" s="136">
        <f>VLOOKUP($A314,'Regional Cost Adjustment'!$A$4:$C$52,3,FALSE)</f>
        <v>1.17</v>
      </c>
      <c r="U314" s="123">
        <f>((($I314/$L314)*'Model Data Inputs'!$B$85)+((SUM(J314:K314)/$L314)*'Model Data Inputs'!$C$85))*$R314*$T314</f>
        <v>44537.437521987566</v>
      </c>
      <c r="V314" s="140">
        <f>((($I314/$L314)*'Model Data Inputs'!$B$86)+((SUM(J314:K314)/$L314)*'Model Data Inputs'!$C$86))*$R314</f>
        <v>10118.709183490006</v>
      </c>
      <c r="W314" s="140">
        <f t="shared" si="66"/>
        <v>54656.146705477571</v>
      </c>
      <c r="X314" s="140">
        <f t="shared" si="59"/>
        <v>146721.16500993437</v>
      </c>
      <c r="Y314" s="140">
        <f t="shared" si="60"/>
        <v>33334.400953477241</v>
      </c>
      <c r="Z314" s="123">
        <f>IF((SUM(X314:Y314))&lt;(AVERAGE('Elementary Size Adjustment'!$B$66,'Secondary Size Adjustment'!$B$66)),(AVERAGE('Elementary Size Adjustment'!$B$66,'Secondary Size Adjustment'!$B$66)),SUM(X314:Y314))</f>
        <v>180055.56596341162</v>
      </c>
      <c r="AA314" s="137">
        <f>'Model Data Inputs'!$B$71*S314*L314</f>
        <v>882.70918672009748</v>
      </c>
      <c r="AB314" s="137">
        <f>L314*'Model Data Inputs'!$B$72</f>
        <v>82.358333333333334</v>
      </c>
      <c r="AC314" s="137">
        <f>L314*'Model Data Inputs'!$B$73</f>
        <v>823.58333333333337</v>
      </c>
      <c r="AD314" s="137">
        <f>L314*'Model Data Inputs'!$B$74</f>
        <v>411.79166666666669</v>
      </c>
      <c r="AE314" s="137">
        <f>$I314*'Model Data Inputs'!$B$76</f>
        <v>78.372190000000003</v>
      </c>
      <c r="AF314" s="137">
        <f>VLOOKUP($J314,'Student Activities MS&amp;HS Tables'!$M$7:$O$1267,3)</f>
        <v>0</v>
      </c>
      <c r="AG314" s="137">
        <f>VLOOKUP($K314,'Student Activities MS&amp;HS Tables'!$I$7:$K$3007,3)</f>
        <v>0</v>
      </c>
      <c r="AH314" s="137">
        <f t="shared" si="61"/>
        <v>78.372190000000003</v>
      </c>
      <c r="AI314" s="123">
        <f t="shared" si="67"/>
        <v>182334.38067346506</v>
      </c>
      <c r="AJ314" s="123">
        <f>(('Model Data Inputs'!$B$90*(('Model Data Inputs'!$B$87*('School Level Inst. Resources'!I314/'School Level Inst. Resources'!L314))+('Model Data Inputs'!$C$87*(SUM('School Level Inst. Resources'!J314:K314)/'School Level Inst. Resources'!L314))))*T314*M314)</f>
        <v>8487.4036979372504</v>
      </c>
      <c r="AK314" s="123">
        <f>(('Model Data Inputs'!$B$91*(('Model Data Inputs'!$B$87*('School Level Inst. Resources'!I314/'School Level Inst. Resources'!L314))+('Model Data Inputs'!$C$87*(SUM('School Level Inst. Resources'!J314:K314)/'School Level Inst. Resources'!L314))))*T314*N314)</f>
        <v>0</v>
      </c>
      <c r="AL314" s="137">
        <f>(K314*'Model Data Inputs'!$B$94)*T314</f>
        <v>0</v>
      </c>
      <c r="AM314" s="137">
        <f>K314*'Model Data Inputs'!$B$95</f>
        <v>0</v>
      </c>
      <c r="AN314" s="137">
        <f t="shared" si="68"/>
        <v>0</v>
      </c>
      <c r="AO314" s="137">
        <f>('School Level Inst. Resources'!K314*'Model Data Inputs'!$B$96)+('School Level Inst. Resources'!J314*'Model Data Inputs'!$B$97)</f>
        <v>0</v>
      </c>
      <c r="AP314" s="137">
        <f>$L314*'Model Data Inputs'!$B$100</f>
        <v>131.77333333333334</v>
      </c>
      <c r="AQ314" s="137">
        <f t="shared" si="69"/>
        <v>190953.55770473566</v>
      </c>
      <c r="AR314" s="141">
        <f t="shared" si="62"/>
        <v>57964.249025013356</v>
      </c>
    </row>
    <row r="315" spans="1:44" s="40" customFormat="1" ht="12.75" customHeight="1" x14ac:dyDescent="0.2">
      <c r="A315" s="20" t="s">
        <v>92</v>
      </c>
      <c r="B315" s="20" t="s">
        <v>93</v>
      </c>
      <c r="C315" s="20" t="s">
        <v>997</v>
      </c>
      <c r="D315" s="20" t="s">
        <v>998</v>
      </c>
      <c r="E315" s="138" t="s">
        <v>522</v>
      </c>
      <c r="F315" s="138" t="str">
        <f>IF(AND(SUM('School Level ADM'!$F315:$J315)=0,SUM('School Level ADM'!$O315:$R315)=0,'School Level ADM'!$K315&gt;0,'School Level ADM'!$N315&gt;0),"T","F")</f>
        <v>F</v>
      </c>
      <c r="G315" s="138" t="str">
        <f>IF(AND(SUM('School Level ADM'!$M315:$R315)=0,'School Level ADM'!$L315&gt;0),"T","F")</f>
        <v>F</v>
      </c>
      <c r="H315" s="138" t="str">
        <f t="shared" si="56"/>
        <v>E</v>
      </c>
      <c r="I315" s="139">
        <f>IF($F315="T",SUM('School Level ADM'!$F315:$J315),IF($G315="T",SUM('School Level ADM'!$F315:$L315),SUM('School Level ADM'!$F315:$K315,0)))</f>
        <v>256.57466666666664</v>
      </c>
      <c r="J315" s="139">
        <f>'School Level ADM'!$S315-$I315-$K315</f>
        <v>0</v>
      </c>
      <c r="K315" s="139">
        <f>IF(SUM('School Level ADM'!$N315:$R315)='School Level ADM'!$S315,SUM('School Level ADM'!$N315:$R315),IF(OR(SUM('School Level ADM'!$F315:$O315)='School Level ADM'!$S315,SUM('School Level ADM'!$G315:$O315)='School Level ADM'!$S315,SUM('School Level ADM'!$H315:$O315)='School Level ADM'!$S315,SUM('School Level ADM'!$I315:$O315)='School Level ADM'!$S315,SUM('School Level ADM'!$J315:$O315)='School Level ADM'!$S315,SUM('School Level ADM'!$K315:$O315)='School Level ADM'!$S315,SUM('School Level ADM'!$L315:$O315)='School Level ADM'!$S315,SUM('School Level ADM'!$M315:$O315)='School Level ADM'!$S315,SUM('School Level ADM'!$N315:$O315)='School Level ADM'!$S315),0,SUM('School Level ADM'!$O315:$R315)))</f>
        <v>0</v>
      </c>
      <c r="L315" s="139">
        <f t="shared" si="57"/>
        <v>256.57466666666664</v>
      </c>
      <c r="M315" s="24">
        <f>'Student At-Risk and ELL Proxy'!S315</f>
        <v>70</v>
      </c>
      <c r="N315" s="24">
        <f>'Student At-Risk and ELL Proxy'!AH315</f>
        <v>5</v>
      </c>
      <c r="O315" s="136">
        <f t="shared" si="63"/>
        <v>1.0562551240869109</v>
      </c>
      <c r="P315" s="136" t="str">
        <f t="shared" si="64"/>
        <v/>
      </c>
      <c r="Q315" s="136" t="str">
        <f t="shared" si="65"/>
        <v/>
      </c>
      <c r="R315" s="136">
        <f t="shared" si="58"/>
        <v>1.0562551240869109</v>
      </c>
      <c r="S315" s="136">
        <f>IF(SUM(3515.4*((VLOOKUP($A315,'District Level ADM'!$A$4:$F$52,6,FALSE))^-0.327)/'Model Data Inputs'!$B$71)&lt;1,1,(3515.4*((VLOOKUP($A315,'District Level ADM'!$A$4:$F$52,6,FALSE))^-0.327)/'Model Data Inputs'!$B$71))</f>
        <v>1.4102512875167312</v>
      </c>
      <c r="T315" s="136">
        <f>VLOOKUP($A315,'Regional Cost Adjustment'!$A$4:$C$52,3,FALSE)</f>
        <v>1.17</v>
      </c>
      <c r="U315" s="123">
        <f>((($I315/$L315)*'Model Data Inputs'!$B$85)+((SUM(J315:K315)/$L315)*'Model Data Inputs'!$C$85))*$R315*$T315</f>
        <v>7869.182645570816</v>
      </c>
      <c r="V315" s="140">
        <f>((($I315/$L315)*'Model Data Inputs'!$B$86)+((SUM(J315:K315)/$L315)*'Model Data Inputs'!$C$86))*$R315</f>
        <v>1787.84355662553</v>
      </c>
      <c r="W315" s="140">
        <f t="shared" si="66"/>
        <v>9657.0262021963463</v>
      </c>
      <c r="X315" s="140">
        <f t="shared" si="59"/>
        <v>2019032.91422645</v>
      </c>
      <c r="Y315" s="140">
        <f t="shared" si="60"/>
        <v>458715.36459334311</v>
      </c>
      <c r="Z315" s="123">
        <f>IF((SUM(X315:Y315))&lt;(AVERAGE('Elementary Size Adjustment'!$B$66,'Secondary Size Adjustment'!$B$66)),(AVERAGE('Elementary Size Adjustment'!$B$66,'Secondary Size Adjustment'!$B$66)),SUM(X315:Y315))</f>
        <v>2477748.2788197929</v>
      </c>
      <c r="AA315" s="137">
        <f>'Model Data Inputs'!$B$71*S315*L315</f>
        <v>68748.603262060133</v>
      </c>
      <c r="AB315" s="137">
        <f>L315*'Model Data Inputs'!$B$72</f>
        <v>6414.3666666666659</v>
      </c>
      <c r="AC315" s="137">
        <f>L315*'Model Data Inputs'!$B$73</f>
        <v>64143.666666666664</v>
      </c>
      <c r="AD315" s="137">
        <f>L315*'Model Data Inputs'!$B$74</f>
        <v>32071.833333333332</v>
      </c>
      <c r="AE315" s="137">
        <f>$I315*'Model Data Inputs'!$B$76</f>
        <v>6103.9113199999993</v>
      </c>
      <c r="AF315" s="137">
        <f>VLOOKUP($J315,'Student Activities MS&amp;HS Tables'!$M$7:$O$1267,3)</f>
        <v>0</v>
      </c>
      <c r="AG315" s="137">
        <f>VLOOKUP($K315,'Student Activities MS&amp;HS Tables'!$I$7:$K$3007,3)</f>
        <v>0</v>
      </c>
      <c r="AH315" s="137">
        <f t="shared" si="61"/>
        <v>6103.9113199999993</v>
      </c>
      <c r="AI315" s="123">
        <f t="shared" si="67"/>
        <v>2655230.6600685199</v>
      </c>
      <c r="AJ315" s="123">
        <f>(('Model Data Inputs'!$B$90*(('Model Data Inputs'!$B$87*('School Level Inst. Resources'!I315/'School Level Inst. Resources'!L315))+('Model Data Inputs'!$C$87*(SUM('School Level Inst. Resources'!J315:K315)/'School Level Inst. Resources'!L315))))*T315*M315)</f>
        <v>198039.41961853582</v>
      </c>
      <c r="AK315" s="123">
        <f>(('Model Data Inputs'!$B$91*(('Model Data Inputs'!$B$87*('School Level Inst. Resources'!I315/'School Level Inst. Resources'!L315))+('Model Data Inputs'!$C$87*(SUM('School Level Inst. Resources'!J315:K315)/'School Level Inst. Resources'!L315))))*T315*N315)</f>
        <v>14145.672829895415</v>
      </c>
      <c r="AL315" s="137">
        <f>(K315*'Model Data Inputs'!$B$94)*T315</f>
        <v>0</v>
      </c>
      <c r="AM315" s="137">
        <f>K315*'Model Data Inputs'!$B$95</f>
        <v>0</v>
      </c>
      <c r="AN315" s="137">
        <f t="shared" si="68"/>
        <v>0</v>
      </c>
      <c r="AO315" s="137">
        <f>('School Level Inst. Resources'!K315*'Model Data Inputs'!$B$96)+('School Level Inst. Resources'!J315*'Model Data Inputs'!$B$97)</f>
        <v>0</v>
      </c>
      <c r="AP315" s="137">
        <f>$L315*'Model Data Inputs'!$B$100</f>
        <v>10262.986666666666</v>
      </c>
      <c r="AQ315" s="137">
        <f t="shared" si="69"/>
        <v>2877678.7391836178</v>
      </c>
      <c r="AR315" s="141">
        <f t="shared" si="62"/>
        <v>11215.755540363629</v>
      </c>
    </row>
    <row r="316" spans="1:44" s="40" customFormat="1" ht="12.75" customHeight="1" x14ac:dyDescent="0.2">
      <c r="A316" s="20" t="s">
        <v>92</v>
      </c>
      <c r="B316" s="20" t="s">
        <v>93</v>
      </c>
      <c r="C316" s="20" t="s">
        <v>999</v>
      </c>
      <c r="D316" s="20" t="s">
        <v>1000</v>
      </c>
      <c r="E316" s="138" t="s">
        <v>354</v>
      </c>
      <c r="F316" s="138" t="str">
        <f>IF(AND(SUM('School Level ADM'!$F316:$J316)=0,SUM('School Level ADM'!$O316:$R316)=0,'School Level ADM'!$K316&gt;0,'School Level ADM'!$N316&gt;0),"T","F")</f>
        <v>F</v>
      </c>
      <c r="G316" s="138" t="str">
        <f>IF(AND(SUM('School Level ADM'!$M316:$R316)=0,'School Level ADM'!$L316&gt;0),"T","F")</f>
        <v>F</v>
      </c>
      <c r="H316" s="138" t="str">
        <f t="shared" si="56"/>
        <v>E</v>
      </c>
      <c r="I316" s="139">
        <f>IF($F316="T",SUM('School Level ADM'!$F316:$J316),IF($G316="T",SUM('School Level ADM'!$F316:$L316),SUM('School Level ADM'!$F316:$K316,0)))</f>
        <v>17.387000000000004</v>
      </c>
      <c r="J316" s="139">
        <f>'School Level ADM'!$S316-$I316-$K316</f>
        <v>0</v>
      </c>
      <c r="K316" s="139">
        <f>IF(SUM('School Level ADM'!$N316:$R316)='School Level ADM'!$S316,SUM('School Level ADM'!$N316:$R316),IF(OR(SUM('School Level ADM'!$F316:$O316)='School Level ADM'!$S316,SUM('School Level ADM'!$G316:$O316)='School Level ADM'!$S316,SUM('School Level ADM'!$H316:$O316)='School Level ADM'!$S316,SUM('School Level ADM'!$I316:$O316)='School Level ADM'!$S316,SUM('School Level ADM'!$J316:$O316)='School Level ADM'!$S316,SUM('School Level ADM'!$K316:$O316)='School Level ADM'!$S316,SUM('School Level ADM'!$L316:$O316)='School Level ADM'!$S316,SUM('School Level ADM'!$M316:$O316)='School Level ADM'!$S316,SUM('School Level ADM'!$N316:$O316)='School Level ADM'!$S316),0,SUM('School Level ADM'!$O316:$R316)))</f>
        <v>0</v>
      </c>
      <c r="L316" s="139">
        <f t="shared" si="57"/>
        <v>17.387000000000004</v>
      </c>
      <c r="M316" s="24">
        <f>'Student At-Risk and ELL Proxy'!S316</f>
        <v>10</v>
      </c>
      <c r="N316" s="24">
        <f>'Student At-Risk and ELL Proxy'!AH316</f>
        <v>0</v>
      </c>
      <c r="O316" s="136">
        <f t="shared" si="63"/>
        <v>3.0833760751543933</v>
      </c>
      <c r="P316" s="136" t="str">
        <f t="shared" si="64"/>
        <v/>
      </c>
      <c r="Q316" s="136" t="str">
        <f t="shared" si="65"/>
        <v/>
      </c>
      <c r="R316" s="136">
        <f t="shared" si="58"/>
        <v>3.0833760751543933</v>
      </c>
      <c r="S316" s="136">
        <f>IF(SUM(3515.4*((VLOOKUP($A316,'District Level ADM'!$A$4:$F$52,6,FALSE))^-0.327)/'Model Data Inputs'!$B$71)&lt;1,1,(3515.4*((VLOOKUP($A316,'District Level ADM'!$A$4:$F$52,6,FALSE))^-0.327)/'Model Data Inputs'!$B$71))</f>
        <v>1.4102512875167312</v>
      </c>
      <c r="T316" s="136">
        <f>VLOOKUP($A316,'Regional Cost Adjustment'!$A$4:$C$52,3,FALSE)</f>
        <v>1.17</v>
      </c>
      <c r="U316" s="123">
        <f>((($I316/$L316)*'Model Data Inputs'!$B$85)+((SUM(J316:K316)/$L316)*'Model Data Inputs'!$C$85))*$R316*$T316</f>
        <v>22971.391046597888</v>
      </c>
      <c r="V316" s="140">
        <f>((($I316/$L316)*'Model Data Inputs'!$B$86)+((SUM(J316:K316)/$L316)*'Model Data Inputs'!$C$86))*$R316</f>
        <v>5218.9986329140975</v>
      </c>
      <c r="W316" s="140">
        <f t="shared" si="66"/>
        <v>28190.389679511987</v>
      </c>
      <c r="X316" s="140">
        <f t="shared" si="59"/>
        <v>399403.57612719759</v>
      </c>
      <c r="Y316" s="140">
        <f t="shared" si="60"/>
        <v>90742.729230477431</v>
      </c>
      <c r="Z316" s="123">
        <f>IF((SUM(X316:Y316))&lt;(AVERAGE('Elementary Size Adjustment'!$B$66,'Secondary Size Adjustment'!$B$66)),(AVERAGE('Elementary Size Adjustment'!$B$66,'Secondary Size Adjustment'!$B$66)),SUM(X316:Y316))</f>
        <v>490146.30535767501</v>
      </c>
      <c r="AA316" s="137">
        <f>'Model Data Inputs'!$B$71*S316*L316</f>
        <v>4658.8074358501481</v>
      </c>
      <c r="AB316" s="137">
        <f>L316*'Model Data Inputs'!$B$72</f>
        <v>434.67500000000013</v>
      </c>
      <c r="AC316" s="137">
        <f>L316*'Model Data Inputs'!$B$73</f>
        <v>4346.7500000000009</v>
      </c>
      <c r="AD316" s="137">
        <f>L316*'Model Data Inputs'!$B$74</f>
        <v>2173.3750000000005</v>
      </c>
      <c r="AE316" s="137">
        <f>$I316*'Model Data Inputs'!$B$76</f>
        <v>413.63673000000006</v>
      </c>
      <c r="AF316" s="137">
        <f>VLOOKUP($J316,'Student Activities MS&amp;HS Tables'!$M$7:$O$1267,3)</f>
        <v>0</v>
      </c>
      <c r="AG316" s="137">
        <f>VLOOKUP($K316,'Student Activities MS&amp;HS Tables'!$I$7:$K$3007,3)</f>
        <v>0</v>
      </c>
      <c r="AH316" s="137">
        <f t="shared" si="61"/>
        <v>413.63673000000006</v>
      </c>
      <c r="AI316" s="123">
        <f t="shared" si="67"/>
        <v>502173.54952352517</v>
      </c>
      <c r="AJ316" s="123">
        <f>(('Model Data Inputs'!$B$90*(('Model Data Inputs'!$B$87*('School Level Inst. Resources'!I316/'School Level Inst. Resources'!L316))+('Model Data Inputs'!$C$87*(SUM('School Level Inst. Resources'!J316:K316)/'School Level Inst. Resources'!L316))))*T316*M316)</f>
        <v>28291.34565979083</v>
      </c>
      <c r="AK316" s="123">
        <f>(('Model Data Inputs'!$B$91*(('Model Data Inputs'!$B$87*('School Level Inst. Resources'!I316/'School Level Inst. Resources'!L316))+('Model Data Inputs'!$C$87*(SUM('School Level Inst. Resources'!J316:K316)/'School Level Inst. Resources'!L316))))*T316*N316)</f>
        <v>0</v>
      </c>
      <c r="AL316" s="137">
        <f>(K316*'Model Data Inputs'!$B$94)*T316</f>
        <v>0</v>
      </c>
      <c r="AM316" s="137">
        <f>K316*'Model Data Inputs'!$B$95</f>
        <v>0</v>
      </c>
      <c r="AN316" s="137">
        <f t="shared" si="68"/>
        <v>0</v>
      </c>
      <c r="AO316" s="137">
        <f>('School Level Inst. Resources'!K316*'Model Data Inputs'!$B$96)+('School Level Inst. Resources'!J316*'Model Data Inputs'!$B$97)</f>
        <v>0</v>
      </c>
      <c r="AP316" s="137">
        <f>$L316*'Model Data Inputs'!$B$100</f>
        <v>695.48000000000013</v>
      </c>
      <c r="AQ316" s="137">
        <f t="shared" si="69"/>
        <v>531160.37518331595</v>
      </c>
      <c r="AR316" s="141">
        <f t="shared" si="62"/>
        <v>30549.282520464476</v>
      </c>
    </row>
    <row r="317" spans="1:44" s="40" customFormat="1" ht="12.75" customHeight="1" x14ac:dyDescent="0.2">
      <c r="A317" s="20" t="s">
        <v>92</v>
      </c>
      <c r="B317" s="20" t="s">
        <v>93</v>
      </c>
      <c r="C317" s="20" t="s">
        <v>1001</v>
      </c>
      <c r="D317" s="20" t="s">
        <v>1002</v>
      </c>
      <c r="E317" s="138" t="s">
        <v>376</v>
      </c>
      <c r="F317" s="138" t="str">
        <f>IF(AND(SUM('School Level ADM'!$F317:$J317)=0,SUM('School Level ADM'!$O317:$R317)=0,'School Level ADM'!$K317&gt;0,'School Level ADM'!$N317&gt;0),"T","F")</f>
        <v>F</v>
      </c>
      <c r="G317" s="138" t="str">
        <f>IF(AND(SUM('School Level ADM'!$M317:$R317)=0,'School Level ADM'!$L317&gt;0),"T","F")</f>
        <v>F</v>
      </c>
      <c r="H317" s="138" t="str">
        <f t="shared" si="56"/>
        <v>E</v>
      </c>
      <c r="I317" s="139">
        <f>IF($F317="T",SUM('School Level ADM'!$F317:$J317),IF($G317="T",SUM('School Level ADM'!$F317:$L317),SUM('School Level ADM'!$F317:$K317,0)))</f>
        <v>1.5653333333333332</v>
      </c>
      <c r="J317" s="139">
        <f>'School Level ADM'!$S317-$I317-$K317</f>
        <v>0</v>
      </c>
      <c r="K317" s="139">
        <f>IF(SUM('School Level ADM'!$N317:$R317)='School Level ADM'!$S317,SUM('School Level ADM'!$N317:$R317),IF(OR(SUM('School Level ADM'!$F317:$O317)='School Level ADM'!$S317,SUM('School Level ADM'!$G317:$O317)='School Level ADM'!$S317,SUM('School Level ADM'!$H317:$O317)='School Level ADM'!$S317,SUM('School Level ADM'!$I317:$O317)='School Level ADM'!$S317,SUM('School Level ADM'!$J317:$O317)='School Level ADM'!$S317,SUM('School Level ADM'!$K317:$O317)='School Level ADM'!$S317,SUM('School Level ADM'!$L317:$O317)='School Level ADM'!$S317,SUM('School Level ADM'!$M317:$O317)='School Level ADM'!$S317,SUM('School Level ADM'!$N317:$O317)='School Level ADM'!$S317),0,SUM('School Level ADM'!$O317:$R317)))</f>
        <v>0</v>
      </c>
      <c r="L317" s="139">
        <f t="shared" si="57"/>
        <v>1.5653333333333332</v>
      </c>
      <c r="M317" s="24">
        <f>'Student At-Risk and ELL Proxy'!S317</f>
        <v>0</v>
      </c>
      <c r="N317" s="24">
        <f>'Student At-Risk and ELL Proxy'!AH317</f>
        <v>0</v>
      </c>
      <c r="O317" s="136">
        <f t="shared" si="63"/>
        <v>8.0386365030344997</v>
      </c>
      <c r="P317" s="136" t="str">
        <f t="shared" si="64"/>
        <v/>
      </c>
      <c r="Q317" s="136" t="str">
        <f t="shared" si="65"/>
        <v/>
      </c>
      <c r="R317" s="136">
        <f t="shared" si="58"/>
        <v>8.0386365030344997</v>
      </c>
      <c r="S317" s="136">
        <f>IF(SUM(3515.4*((VLOOKUP($A317,'District Level ADM'!$A$4:$F$52,6,FALSE))^-0.327)/'Model Data Inputs'!$B$71)&lt;1,1,(3515.4*((VLOOKUP($A317,'District Level ADM'!$A$4:$F$52,6,FALSE))^-0.327)/'Model Data Inputs'!$B$71))</f>
        <v>1.4102512875167312</v>
      </c>
      <c r="T317" s="136">
        <f>VLOOKUP($A317,'Regional Cost Adjustment'!$A$4:$C$52,3,FALSE)</f>
        <v>1.17</v>
      </c>
      <c r="U317" s="123">
        <f>((($I317/$L317)*'Model Data Inputs'!$B$85)+((SUM(J317:K317)/$L317)*'Model Data Inputs'!$C$85))*$R317*$T317</f>
        <v>59888.465789375128</v>
      </c>
      <c r="V317" s="140">
        <f>((($I317/$L317)*'Model Data Inputs'!$B$86)+((SUM(J317:K317)/$L317)*'Model Data Inputs'!$C$86))*$R317</f>
        <v>13606.395034938992</v>
      </c>
      <c r="W317" s="140">
        <f t="shared" si="66"/>
        <v>73494.860824314121</v>
      </c>
      <c r="X317" s="140">
        <f t="shared" si="59"/>
        <v>93745.411782301861</v>
      </c>
      <c r="Y317" s="140">
        <f t="shared" si="60"/>
        <v>21298.543694691169</v>
      </c>
      <c r="Z317" s="123">
        <f>IF((SUM(X317:Y317))&lt;(AVERAGE('Elementary Size Adjustment'!$B$66,'Secondary Size Adjustment'!$B$66)),(AVERAGE('Elementary Size Adjustment'!$B$66,'Secondary Size Adjustment'!$B$66)),SUM(X317:Y317))</f>
        <v>143474.22151540525</v>
      </c>
      <c r="AA317" s="137">
        <f>'Model Data Inputs'!$B$71*S317*L317</f>
        <v>419.4275362579761</v>
      </c>
      <c r="AB317" s="137">
        <f>L317*'Model Data Inputs'!$B$72</f>
        <v>39.133333333333333</v>
      </c>
      <c r="AC317" s="137">
        <f>L317*'Model Data Inputs'!$B$73</f>
        <v>391.33333333333331</v>
      </c>
      <c r="AD317" s="137">
        <f>L317*'Model Data Inputs'!$B$74</f>
        <v>195.66666666666666</v>
      </c>
      <c r="AE317" s="137">
        <f>$I317*'Model Data Inputs'!$B$76</f>
        <v>37.239279999999994</v>
      </c>
      <c r="AF317" s="137">
        <f>VLOOKUP($J317,'Student Activities MS&amp;HS Tables'!$M$7:$O$1267,3)</f>
        <v>0</v>
      </c>
      <c r="AG317" s="137">
        <f>VLOOKUP($K317,'Student Activities MS&amp;HS Tables'!$I$7:$K$3007,3)</f>
        <v>0</v>
      </c>
      <c r="AH317" s="137">
        <f t="shared" si="61"/>
        <v>37.239279999999994</v>
      </c>
      <c r="AI317" s="123">
        <f t="shared" si="67"/>
        <v>144557.02166499657</v>
      </c>
      <c r="AJ317" s="123">
        <f>(('Model Data Inputs'!$B$90*(('Model Data Inputs'!$B$87*('School Level Inst. Resources'!I317/'School Level Inst. Resources'!L317))+('Model Data Inputs'!$C$87*(SUM('School Level Inst. Resources'!J317:K317)/'School Level Inst. Resources'!L317))))*T317*M317)</f>
        <v>0</v>
      </c>
      <c r="AK317" s="123">
        <f>(('Model Data Inputs'!$B$91*(('Model Data Inputs'!$B$87*('School Level Inst. Resources'!I317/'School Level Inst. Resources'!L317))+('Model Data Inputs'!$C$87*(SUM('School Level Inst. Resources'!J317:K317)/'School Level Inst. Resources'!L317))))*T317*N317)</f>
        <v>0</v>
      </c>
      <c r="AL317" s="137">
        <f>(K317*'Model Data Inputs'!$B$94)*T317</f>
        <v>0</v>
      </c>
      <c r="AM317" s="137">
        <f>K317*'Model Data Inputs'!$B$95</f>
        <v>0</v>
      </c>
      <c r="AN317" s="137">
        <f t="shared" si="68"/>
        <v>0</v>
      </c>
      <c r="AO317" s="137">
        <f>('School Level Inst. Resources'!K317*'Model Data Inputs'!$B$96)+('School Level Inst. Resources'!J317*'Model Data Inputs'!$B$97)</f>
        <v>0</v>
      </c>
      <c r="AP317" s="137">
        <f>$L317*'Model Data Inputs'!$B$100</f>
        <v>62.61333333333333</v>
      </c>
      <c r="AQ317" s="137">
        <f t="shared" si="69"/>
        <v>144619.63499832992</v>
      </c>
      <c r="AR317" s="141">
        <f t="shared" si="62"/>
        <v>92389.034283430534</v>
      </c>
    </row>
    <row r="318" spans="1:44" s="40" customFormat="1" ht="12.75" customHeight="1" x14ac:dyDescent="0.2">
      <c r="A318" s="20" t="s">
        <v>92</v>
      </c>
      <c r="B318" s="20" t="s">
        <v>93</v>
      </c>
      <c r="C318" s="20" t="s">
        <v>1003</v>
      </c>
      <c r="D318" s="20" t="s">
        <v>1004</v>
      </c>
      <c r="E318" s="138" t="s">
        <v>522</v>
      </c>
      <c r="F318" s="138" t="str">
        <f>IF(AND(SUM('School Level ADM'!$F318:$J318)=0,SUM('School Level ADM'!$O318:$R318)=0,'School Level ADM'!$K318&gt;0,'School Level ADM'!$N318&gt;0),"T","F")</f>
        <v>F</v>
      </c>
      <c r="G318" s="138" t="str">
        <f>IF(AND(SUM('School Level ADM'!$M318:$R318)=0,'School Level ADM'!$L318&gt;0),"T","F")</f>
        <v>F</v>
      </c>
      <c r="H318" s="138" t="str">
        <f t="shared" si="56"/>
        <v>E</v>
      </c>
      <c r="I318" s="139">
        <f>IF($F318="T",SUM('School Level ADM'!$F318:$J318),IF($G318="T",SUM('School Level ADM'!$F318:$L318),SUM('School Level ADM'!$F318:$K318,0)))</f>
        <v>207.09133333333332</v>
      </c>
      <c r="J318" s="139">
        <f>'School Level ADM'!$S318-$I318-$K318</f>
        <v>0</v>
      </c>
      <c r="K318" s="139">
        <f>IF(SUM('School Level ADM'!$N318:$R318)='School Level ADM'!$S318,SUM('School Level ADM'!$N318:$R318),IF(OR(SUM('School Level ADM'!$F318:$O318)='School Level ADM'!$S318,SUM('School Level ADM'!$G318:$O318)='School Level ADM'!$S318,SUM('School Level ADM'!$H318:$O318)='School Level ADM'!$S318,SUM('School Level ADM'!$I318:$O318)='School Level ADM'!$S318,SUM('School Level ADM'!$J318:$O318)='School Level ADM'!$S318,SUM('School Level ADM'!$K318:$O318)='School Level ADM'!$S318,SUM('School Level ADM'!$L318:$O318)='School Level ADM'!$S318,SUM('School Level ADM'!$M318:$O318)='School Level ADM'!$S318,SUM('School Level ADM'!$N318:$O318)='School Level ADM'!$S318),0,SUM('School Level ADM'!$O318:$R318)))</f>
        <v>0</v>
      </c>
      <c r="L318" s="139">
        <f t="shared" si="57"/>
        <v>207.09133333333332</v>
      </c>
      <c r="M318" s="24">
        <f>'Student At-Risk and ELL Proxy'!S318</f>
        <v>58</v>
      </c>
      <c r="N318" s="24">
        <f>'Student At-Risk and ELL Proxy'!AH318</f>
        <v>0</v>
      </c>
      <c r="O318" s="136">
        <f t="shared" si="63"/>
        <v>1.1502797245243115</v>
      </c>
      <c r="P318" s="136" t="str">
        <f t="shared" si="64"/>
        <v/>
      </c>
      <c r="Q318" s="136" t="str">
        <f t="shared" si="65"/>
        <v/>
      </c>
      <c r="R318" s="136">
        <f t="shared" si="58"/>
        <v>1.1502797245243115</v>
      </c>
      <c r="S318" s="136">
        <f>IF(SUM(3515.4*((VLOOKUP($A318,'District Level ADM'!$A$4:$F$52,6,FALSE))^-0.327)/'Model Data Inputs'!$B$71)&lt;1,1,(3515.4*((VLOOKUP($A318,'District Level ADM'!$A$4:$F$52,6,FALSE))^-0.327)/'Model Data Inputs'!$B$71))</f>
        <v>1.4102512875167312</v>
      </c>
      <c r="T318" s="136">
        <f>VLOOKUP($A318,'Regional Cost Adjustment'!$A$4:$C$52,3,FALSE)</f>
        <v>1.17</v>
      </c>
      <c r="U318" s="123">
        <f>((($I318/$L318)*'Model Data Inputs'!$B$85)+((SUM(J318:K318)/$L318)*'Model Data Inputs'!$C$85))*$R318*$T318</f>
        <v>8569.6732156481285</v>
      </c>
      <c r="V318" s="140">
        <f>((($I318/$L318)*'Model Data Inputs'!$B$86)+((SUM(J318:K318)/$L318)*'Model Data Inputs'!$C$86))*$R318</f>
        <v>1946.9919216586591</v>
      </c>
      <c r="W318" s="140">
        <f t="shared" si="66"/>
        <v>10516.665137306787</v>
      </c>
      <c r="X318" s="140">
        <f t="shared" si="59"/>
        <v>1774705.0524595249</v>
      </c>
      <c r="Y318" s="140">
        <f t="shared" si="60"/>
        <v>403205.15304552059</v>
      </c>
      <c r="Z318" s="123">
        <f>IF((SUM(X318:Y318))&lt;(AVERAGE('Elementary Size Adjustment'!$B$66,'Secondary Size Adjustment'!$B$66)),(AVERAGE('Elementary Size Adjustment'!$B$66,'Secondary Size Adjustment'!$B$66)),SUM(X318:Y318))</f>
        <v>2177910.2055050456</v>
      </c>
      <c r="AA318" s="137">
        <f>'Model Data Inputs'!$B$71*S318*L318</f>
        <v>55489.655698709081</v>
      </c>
      <c r="AB318" s="137">
        <f>L318*'Model Data Inputs'!$B$72</f>
        <v>5177.2833333333328</v>
      </c>
      <c r="AC318" s="137">
        <f>L318*'Model Data Inputs'!$B$73</f>
        <v>51772.833333333328</v>
      </c>
      <c r="AD318" s="137">
        <f>L318*'Model Data Inputs'!$B$74</f>
        <v>25886.416666666664</v>
      </c>
      <c r="AE318" s="137">
        <f>$I318*'Model Data Inputs'!$B$76</f>
        <v>4926.7028199999995</v>
      </c>
      <c r="AF318" s="137">
        <f>VLOOKUP($J318,'Student Activities MS&amp;HS Tables'!$M$7:$O$1267,3)</f>
        <v>0</v>
      </c>
      <c r="AG318" s="137">
        <f>VLOOKUP($K318,'Student Activities MS&amp;HS Tables'!$I$7:$K$3007,3)</f>
        <v>0</v>
      </c>
      <c r="AH318" s="137">
        <f t="shared" si="61"/>
        <v>4926.7028199999995</v>
      </c>
      <c r="AI318" s="123">
        <f t="shared" si="67"/>
        <v>2321163.0973570878</v>
      </c>
      <c r="AJ318" s="123">
        <f>(('Model Data Inputs'!$B$90*(('Model Data Inputs'!$B$87*('School Level Inst. Resources'!I318/'School Level Inst. Resources'!L318))+('Model Data Inputs'!$C$87*(SUM('School Level Inst. Resources'!J318:K318)/'School Level Inst. Resources'!L318))))*T318*M318)</f>
        <v>164089.80482678683</v>
      </c>
      <c r="AK318" s="123">
        <f>(('Model Data Inputs'!$B$91*(('Model Data Inputs'!$B$87*('School Level Inst. Resources'!I318/'School Level Inst. Resources'!L318))+('Model Data Inputs'!$C$87*(SUM('School Level Inst. Resources'!J318:K318)/'School Level Inst. Resources'!L318))))*T318*N318)</f>
        <v>0</v>
      </c>
      <c r="AL318" s="137">
        <f>(K318*'Model Data Inputs'!$B$94)*T318</f>
        <v>0</v>
      </c>
      <c r="AM318" s="137">
        <f>K318*'Model Data Inputs'!$B$95</f>
        <v>0</v>
      </c>
      <c r="AN318" s="137">
        <f t="shared" si="68"/>
        <v>0</v>
      </c>
      <c r="AO318" s="137">
        <f>('School Level Inst. Resources'!K318*'Model Data Inputs'!$B$96)+('School Level Inst. Resources'!J318*'Model Data Inputs'!$B$97)</f>
        <v>0</v>
      </c>
      <c r="AP318" s="137">
        <f>$L318*'Model Data Inputs'!$B$100</f>
        <v>8283.6533333333336</v>
      </c>
      <c r="AQ318" s="137">
        <f t="shared" si="69"/>
        <v>2493536.5555172078</v>
      </c>
      <c r="AR318" s="141">
        <f t="shared" si="62"/>
        <v>12040.757647272578</v>
      </c>
    </row>
    <row r="319" spans="1:44" s="40" customFormat="1" ht="12.75" customHeight="1" x14ac:dyDescent="0.2">
      <c r="A319" s="20" t="s">
        <v>92</v>
      </c>
      <c r="B319" s="20" t="s">
        <v>93</v>
      </c>
      <c r="C319" s="20" t="s">
        <v>1005</v>
      </c>
      <c r="D319" s="20" t="s">
        <v>597</v>
      </c>
      <c r="E319" s="138" t="s">
        <v>522</v>
      </c>
      <c r="F319" s="138" t="str">
        <f>IF(AND(SUM('School Level ADM'!$F319:$J319)=0,SUM('School Level ADM'!$O319:$R319)=0,'School Level ADM'!$K319&gt;0,'School Level ADM'!$N319&gt;0),"T","F")</f>
        <v>F</v>
      </c>
      <c r="G319" s="138" t="str">
        <f>IF(AND(SUM('School Level ADM'!$M319:$R319)=0,'School Level ADM'!$L319&gt;0),"T","F")</f>
        <v>F</v>
      </c>
      <c r="H319" s="138" t="str">
        <f t="shared" si="56"/>
        <v>E</v>
      </c>
      <c r="I319" s="139">
        <f>IF($F319="T",SUM('School Level ADM'!$F319:$J319),IF($G319="T",SUM('School Level ADM'!$F319:$L319),SUM('School Level ADM'!$F319:$K319,0)))</f>
        <v>237.21499999999997</v>
      </c>
      <c r="J319" s="139">
        <f>'School Level ADM'!$S319-$I319-$K319</f>
        <v>0</v>
      </c>
      <c r="K319" s="139">
        <f>IF(SUM('School Level ADM'!$N319:$R319)='School Level ADM'!$S319,SUM('School Level ADM'!$N319:$R319),IF(OR(SUM('School Level ADM'!$F319:$O319)='School Level ADM'!$S319,SUM('School Level ADM'!$G319:$O319)='School Level ADM'!$S319,SUM('School Level ADM'!$H319:$O319)='School Level ADM'!$S319,SUM('School Level ADM'!$I319:$O319)='School Level ADM'!$S319,SUM('School Level ADM'!$J319:$O319)='School Level ADM'!$S319,SUM('School Level ADM'!$K319:$O319)='School Level ADM'!$S319,SUM('School Level ADM'!$L319:$O319)='School Level ADM'!$S319,SUM('School Level ADM'!$M319:$O319)='School Level ADM'!$S319,SUM('School Level ADM'!$N319:$O319)='School Level ADM'!$S319),0,SUM('School Level ADM'!$O319:$R319)))</f>
        <v>0</v>
      </c>
      <c r="L319" s="139">
        <f t="shared" si="57"/>
        <v>237.21499999999997</v>
      </c>
      <c r="M319" s="24">
        <f>'Student At-Risk and ELL Proxy'!S319</f>
        <v>78</v>
      </c>
      <c r="N319" s="24">
        <f>'Student At-Risk and ELL Proxy'!AH319</f>
        <v>46</v>
      </c>
      <c r="O319" s="136">
        <f t="shared" si="63"/>
        <v>1.0897561681111161</v>
      </c>
      <c r="P319" s="136" t="str">
        <f t="shared" si="64"/>
        <v/>
      </c>
      <c r="Q319" s="136" t="str">
        <f t="shared" si="65"/>
        <v/>
      </c>
      <c r="R319" s="136">
        <f t="shared" si="58"/>
        <v>1.0897561681111161</v>
      </c>
      <c r="S319" s="136">
        <f>IF(SUM(3515.4*((VLOOKUP($A319,'District Level ADM'!$A$4:$F$52,6,FALSE))^-0.327)/'Model Data Inputs'!$B$71)&lt;1,1,(3515.4*((VLOOKUP($A319,'District Level ADM'!$A$4:$F$52,6,FALSE))^-0.327)/'Model Data Inputs'!$B$71))</f>
        <v>1.4102512875167312</v>
      </c>
      <c r="T319" s="136">
        <f>VLOOKUP($A319,'Regional Cost Adjustment'!$A$4:$C$52,3,FALSE)</f>
        <v>1.17</v>
      </c>
      <c r="U319" s="123">
        <f>((($I319/$L319)*'Model Data Inputs'!$B$85)+((SUM(J319:K319)/$L319)*'Model Data Inputs'!$C$85))*$R319*$T319</f>
        <v>8118.7680234137615</v>
      </c>
      <c r="V319" s="140">
        <f>((($I319/$L319)*'Model Data Inputs'!$B$86)+((SUM(J319:K319)/$L319)*'Model Data Inputs'!$C$86))*$R319</f>
        <v>1844.5482526152227</v>
      </c>
      <c r="W319" s="140">
        <f t="shared" si="66"/>
        <v>9963.3162760289852</v>
      </c>
      <c r="X319" s="140">
        <f t="shared" si="59"/>
        <v>1925893.5566740953</v>
      </c>
      <c r="Y319" s="140">
        <f t="shared" si="60"/>
        <v>437554.51374412002</v>
      </c>
      <c r="Z319" s="123">
        <f>IF((SUM(X319:Y319))&lt;(AVERAGE('Elementary Size Adjustment'!$B$66,'Secondary Size Adjustment'!$B$66)),(AVERAGE('Elementary Size Adjustment'!$B$66,'Secondary Size Adjustment'!$B$66)),SUM(X319:Y319))</f>
        <v>2363448.0704182154</v>
      </c>
      <c r="AA319" s="137">
        <f>'Model Data Inputs'!$B$71*S319*L319</f>
        <v>63561.224241973461</v>
      </c>
      <c r="AB319" s="137">
        <f>L319*'Model Data Inputs'!$B$72</f>
        <v>5930.3749999999991</v>
      </c>
      <c r="AC319" s="137">
        <f>L319*'Model Data Inputs'!$B$73</f>
        <v>59303.749999999993</v>
      </c>
      <c r="AD319" s="137">
        <f>L319*'Model Data Inputs'!$B$74</f>
        <v>29651.874999999996</v>
      </c>
      <c r="AE319" s="137">
        <f>$I319*'Model Data Inputs'!$B$76</f>
        <v>5643.3448499999995</v>
      </c>
      <c r="AF319" s="137">
        <f>VLOOKUP($J319,'Student Activities MS&amp;HS Tables'!$M$7:$O$1267,3)</f>
        <v>0</v>
      </c>
      <c r="AG319" s="137">
        <f>VLOOKUP($K319,'Student Activities MS&amp;HS Tables'!$I$7:$K$3007,3)</f>
        <v>0</v>
      </c>
      <c r="AH319" s="137">
        <f t="shared" si="61"/>
        <v>5643.3448499999995</v>
      </c>
      <c r="AI319" s="123">
        <f t="shared" si="67"/>
        <v>2527538.6395101887</v>
      </c>
      <c r="AJ319" s="123">
        <f>(('Model Data Inputs'!$B$90*(('Model Data Inputs'!$B$87*('School Level Inst. Resources'!I319/'School Level Inst. Resources'!L319))+('Model Data Inputs'!$C$87*(SUM('School Level Inst. Resources'!J319:K319)/'School Level Inst. Resources'!L319))))*T319*M319)</f>
        <v>220672.49614636847</v>
      </c>
      <c r="AK319" s="123">
        <f>(('Model Data Inputs'!$B$91*(('Model Data Inputs'!$B$87*('School Level Inst. Resources'!I319/'School Level Inst. Resources'!L319))+('Model Data Inputs'!$C$87*(SUM('School Level Inst. Resources'!J319:K319)/'School Level Inst. Resources'!L319))))*T319*N319)</f>
        <v>130140.19003503783</v>
      </c>
      <c r="AL319" s="137">
        <f>(K319*'Model Data Inputs'!$B$94)*T319</f>
        <v>0</v>
      </c>
      <c r="AM319" s="137">
        <f>K319*'Model Data Inputs'!$B$95</f>
        <v>0</v>
      </c>
      <c r="AN319" s="137">
        <f t="shared" si="68"/>
        <v>0</v>
      </c>
      <c r="AO319" s="137">
        <f>('School Level Inst. Resources'!K319*'Model Data Inputs'!$B$96)+('School Level Inst. Resources'!J319*'Model Data Inputs'!$B$97)</f>
        <v>0</v>
      </c>
      <c r="AP319" s="137">
        <f>$L319*'Model Data Inputs'!$B$100</f>
        <v>9488.5999999999985</v>
      </c>
      <c r="AQ319" s="137">
        <f t="shared" si="69"/>
        <v>2887839.9256915948</v>
      </c>
      <c r="AR319" s="141">
        <f t="shared" si="62"/>
        <v>12173.934724581477</v>
      </c>
    </row>
    <row r="320" spans="1:44" s="40" customFormat="1" ht="12.75" customHeight="1" x14ac:dyDescent="0.2">
      <c r="A320" s="20" t="s">
        <v>92</v>
      </c>
      <c r="B320" s="20" t="s">
        <v>93</v>
      </c>
      <c r="C320" s="20" t="s">
        <v>1006</v>
      </c>
      <c r="D320" s="20" t="s">
        <v>1007</v>
      </c>
      <c r="E320" s="138" t="s">
        <v>522</v>
      </c>
      <c r="F320" s="138" t="str">
        <f>IF(AND(SUM('School Level ADM'!$F320:$J320)=0,SUM('School Level ADM'!$O320:$R320)=0,'School Level ADM'!$K320&gt;0,'School Level ADM'!$N320&gt;0),"T","F")</f>
        <v>F</v>
      </c>
      <c r="G320" s="138" t="str">
        <f>IF(AND(SUM('School Level ADM'!$M320:$R320)=0,'School Level ADM'!$L320&gt;0),"T","F")</f>
        <v>F</v>
      </c>
      <c r="H320" s="138" t="str">
        <f t="shared" si="56"/>
        <v>E</v>
      </c>
      <c r="I320" s="139">
        <f>IF($F320="T",SUM('School Level ADM'!$F320:$J320),IF($G320="T",SUM('School Level ADM'!$F320:$L320),SUM('School Level ADM'!$F320:$K320,0)))</f>
        <v>302.39499999999998</v>
      </c>
      <c r="J320" s="139">
        <f>'School Level ADM'!$S320-$I320-$K320</f>
        <v>0</v>
      </c>
      <c r="K320" s="139">
        <f>IF(SUM('School Level ADM'!$N320:$R320)='School Level ADM'!$S320,SUM('School Level ADM'!$N320:$R320),IF(OR(SUM('School Level ADM'!$F320:$O320)='School Level ADM'!$S320,SUM('School Level ADM'!$G320:$O320)='School Level ADM'!$S320,SUM('School Level ADM'!$H320:$O320)='School Level ADM'!$S320,SUM('School Level ADM'!$I320:$O320)='School Level ADM'!$S320,SUM('School Level ADM'!$J320:$O320)='School Level ADM'!$S320,SUM('School Level ADM'!$K320:$O320)='School Level ADM'!$S320,SUM('School Level ADM'!$L320:$O320)='School Level ADM'!$S320,SUM('School Level ADM'!$M320:$O320)='School Level ADM'!$S320,SUM('School Level ADM'!$N320:$O320)='School Level ADM'!$S320),0,SUM('School Level ADM'!$O320:$R320)))</f>
        <v>0</v>
      </c>
      <c r="L320" s="139">
        <f t="shared" si="57"/>
        <v>302.39499999999998</v>
      </c>
      <c r="M320" s="24">
        <f>'Student At-Risk and ELL Proxy'!S320</f>
        <v>133</v>
      </c>
      <c r="N320" s="24">
        <f>'Student At-Risk and ELL Proxy'!AH320</f>
        <v>7</v>
      </c>
      <c r="O320" s="136">
        <f t="shared" si="63"/>
        <v>0.98938931858111157</v>
      </c>
      <c r="P320" s="136" t="str">
        <f t="shared" si="64"/>
        <v/>
      </c>
      <c r="Q320" s="136" t="str">
        <f t="shared" si="65"/>
        <v/>
      </c>
      <c r="R320" s="136">
        <f t="shared" si="58"/>
        <v>0.98938931858111157</v>
      </c>
      <c r="S320" s="136">
        <f>IF(SUM(3515.4*((VLOOKUP($A320,'District Level ADM'!$A$4:$F$52,6,FALSE))^-0.327)/'Model Data Inputs'!$B$71)&lt;1,1,(3515.4*((VLOOKUP($A320,'District Level ADM'!$A$4:$F$52,6,FALSE))^-0.327)/'Model Data Inputs'!$B$71))</f>
        <v>1.4102512875167312</v>
      </c>
      <c r="T320" s="136">
        <f>VLOOKUP($A320,'Regional Cost Adjustment'!$A$4:$C$52,3,FALSE)</f>
        <v>1.17</v>
      </c>
      <c r="U320" s="123">
        <f>((($I320/$L320)*'Model Data Inputs'!$B$85)+((SUM(J320:K320)/$L320)*'Model Data Inputs'!$C$85))*$R320*$T320</f>
        <v>7371.0272054036395</v>
      </c>
      <c r="V320" s="140">
        <f>((($I320/$L320)*'Model Data Inputs'!$B$86)+((SUM(J320:K320)/$L320)*'Model Data Inputs'!$C$86))*$R320</f>
        <v>1674.6648398496361</v>
      </c>
      <c r="W320" s="140">
        <f t="shared" si="66"/>
        <v>9045.6920452532759</v>
      </c>
      <c r="X320" s="140">
        <f t="shared" si="59"/>
        <v>2228961.7717780336</v>
      </c>
      <c r="Y320" s="140">
        <f t="shared" si="60"/>
        <v>506410.27424633066</v>
      </c>
      <c r="Z320" s="123">
        <f>IF((SUM(X320:Y320))&lt;(AVERAGE('Elementary Size Adjustment'!$B$66,'Secondary Size Adjustment'!$B$66)),(AVERAGE('Elementary Size Adjustment'!$B$66,'Secondary Size Adjustment'!$B$66)),SUM(X320:Y320))</f>
        <v>2735372.0460243644</v>
      </c>
      <c r="AA320" s="137">
        <f>'Model Data Inputs'!$B$71*S320*L320</f>
        <v>81026.058236838173</v>
      </c>
      <c r="AB320" s="137">
        <f>L320*'Model Data Inputs'!$B$72</f>
        <v>7559.875</v>
      </c>
      <c r="AC320" s="137">
        <f>L320*'Model Data Inputs'!$B$73</f>
        <v>75598.75</v>
      </c>
      <c r="AD320" s="137">
        <f>L320*'Model Data Inputs'!$B$74</f>
        <v>37799.375</v>
      </c>
      <c r="AE320" s="137">
        <f>$I320*'Model Data Inputs'!$B$76</f>
        <v>7193.9770499999995</v>
      </c>
      <c r="AF320" s="137">
        <f>VLOOKUP($J320,'Student Activities MS&amp;HS Tables'!$M$7:$O$1267,3)</f>
        <v>0</v>
      </c>
      <c r="AG320" s="137">
        <f>VLOOKUP($K320,'Student Activities MS&amp;HS Tables'!$I$7:$K$3007,3)</f>
        <v>0</v>
      </c>
      <c r="AH320" s="137">
        <f t="shared" si="61"/>
        <v>7193.9770499999995</v>
      </c>
      <c r="AI320" s="123">
        <f t="shared" si="67"/>
        <v>2944550.0813112026</v>
      </c>
      <c r="AJ320" s="123">
        <f>(('Model Data Inputs'!$B$90*(('Model Data Inputs'!$B$87*('School Level Inst. Resources'!I320/'School Level Inst. Resources'!L320))+('Model Data Inputs'!$C$87*(SUM('School Level Inst. Resources'!J320:K320)/'School Level Inst. Resources'!L320))))*T320*M320)</f>
        <v>376274.89727521804</v>
      </c>
      <c r="AK320" s="123">
        <f>(('Model Data Inputs'!$B$91*(('Model Data Inputs'!$B$87*('School Level Inst. Resources'!I320/'School Level Inst. Resources'!L320))+('Model Data Inputs'!$C$87*(SUM('School Level Inst. Resources'!J320:K320)/'School Level Inst. Resources'!L320))))*T320*N320)</f>
        <v>19803.941961853583</v>
      </c>
      <c r="AL320" s="137">
        <f>(K320*'Model Data Inputs'!$B$94)*T320</f>
        <v>0</v>
      </c>
      <c r="AM320" s="137">
        <f>K320*'Model Data Inputs'!$B$95</f>
        <v>0</v>
      </c>
      <c r="AN320" s="137">
        <f t="shared" si="68"/>
        <v>0</v>
      </c>
      <c r="AO320" s="137">
        <f>('School Level Inst. Resources'!K320*'Model Data Inputs'!$B$96)+('School Level Inst. Resources'!J320*'Model Data Inputs'!$B$97)</f>
        <v>0</v>
      </c>
      <c r="AP320" s="137">
        <f>$L320*'Model Data Inputs'!$B$100</f>
        <v>12095.8</v>
      </c>
      <c r="AQ320" s="137">
        <f t="shared" si="69"/>
        <v>3352724.720548274</v>
      </c>
      <c r="AR320" s="141">
        <f t="shared" si="62"/>
        <v>11087.235968016252</v>
      </c>
    </row>
    <row r="321" spans="1:44" s="40" customFormat="1" ht="12.75" customHeight="1" x14ac:dyDescent="0.2">
      <c r="A321" s="20" t="s">
        <v>92</v>
      </c>
      <c r="B321" s="20" t="s">
        <v>93</v>
      </c>
      <c r="C321" s="20" t="s">
        <v>1008</v>
      </c>
      <c r="D321" s="20" t="s">
        <v>1009</v>
      </c>
      <c r="E321" s="138" t="s">
        <v>525</v>
      </c>
      <c r="F321" s="138" t="str">
        <f>IF(AND(SUM('School Level ADM'!$F321:$J321)=0,SUM('School Level ADM'!$O321:$R321)=0,'School Level ADM'!$K321&gt;0,'School Level ADM'!$N321&gt;0),"T","F")</f>
        <v>F</v>
      </c>
      <c r="G321" s="138" t="str">
        <f>IF(AND(SUM('School Level ADM'!$M321:$R321)=0,'School Level ADM'!$L321&gt;0),"T","F")</f>
        <v>T</v>
      </c>
      <c r="H321" s="138" t="str">
        <f t="shared" si="56"/>
        <v>E</v>
      </c>
      <c r="I321" s="139">
        <f>IF($F321="T",SUM('School Level ADM'!$F321:$J321),IF($G321="T",SUM('School Level ADM'!$F321:$L321),SUM('School Level ADM'!$F321:$K321,0)))</f>
        <v>388.65499999999997</v>
      </c>
      <c r="J321" s="139">
        <f>'School Level ADM'!$S321-$I321-$K321</f>
        <v>0</v>
      </c>
      <c r="K321" s="139">
        <f>IF(SUM('School Level ADM'!$N321:$R321)='School Level ADM'!$S321,SUM('School Level ADM'!$N321:$R321),IF(OR(SUM('School Level ADM'!$F321:$O321)='School Level ADM'!$S321,SUM('School Level ADM'!$G321:$O321)='School Level ADM'!$S321,SUM('School Level ADM'!$H321:$O321)='School Level ADM'!$S321,SUM('School Level ADM'!$I321:$O321)='School Level ADM'!$S321,SUM('School Level ADM'!$J321:$O321)='School Level ADM'!$S321,SUM('School Level ADM'!$K321:$O321)='School Level ADM'!$S321,SUM('School Level ADM'!$L321:$O321)='School Level ADM'!$S321,SUM('School Level ADM'!$M321:$O321)='School Level ADM'!$S321,SUM('School Level ADM'!$N321:$O321)='School Level ADM'!$S321),0,SUM('School Level ADM'!$O321:$R321)))</f>
        <v>0</v>
      </c>
      <c r="L321" s="139">
        <f t="shared" si="57"/>
        <v>388.65499999999997</v>
      </c>
      <c r="M321" s="24">
        <f>'Student At-Risk and ELL Proxy'!S321</f>
        <v>135</v>
      </c>
      <c r="N321" s="24">
        <f>'Student At-Risk and ELL Proxy'!AH321</f>
        <v>10</v>
      </c>
      <c r="O321" s="136">
        <f t="shared" si="63"/>
        <v>0.97</v>
      </c>
      <c r="P321" s="136" t="str">
        <f t="shared" si="64"/>
        <v/>
      </c>
      <c r="Q321" s="136" t="str">
        <f t="shared" si="65"/>
        <v/>
      </c>
      <c r="R321" s="136">
        <f t="shared" si="58"/>
        <v>0.97</v>
      </c>
      <c r="S321" s="136">
        <f>IF(SUM(3515.4*((VLOOKUP($A321,'District Level ADM'!$A$4:$F$52,6,FALSE))^-0.327)/'Model Data Inputs'!$B$71)&lt;1,1,(3515.4*((VLOOKUP($A321,'District Level ADM'!$A$4:$F$52,6,FALSE))^-0.327)/'Model Data Inputs'!$B$71))</f>
        <v>1.4102512875167312</v>
      </c>
      <c r="T321" s="136">
        <f>VLOOKUP($A321,'Regional Cost Adjustment'!$A$4:$C$52,3,FALSE)</f>
        <v>1.17</v>
      </c>
      <c r="U321" s="123">
        <f>((($I321/$L321)*'Model Data Inputs'!$B$85)+((SUM(J321:K321)/$L321)*'Model Data Inputs'!$C$85))*$R321*$T321</f>
        <v>7226.5752772581318</v>
      </c>
      <c r="V321" s="140">
        <f>((($I321/$L321)*'Model Data Inputs'!$B$86)+((SUM(J321:K321)/$L321)*'Model Data Inputs'!$C$86))*$R321</f>
        <v>1641.8459994936507</v>
      </c>
      <c r="W321" s="140">
        <f t="shared" si="66"/>
        <v>8868.421276751782</v>
      </c>
      <c r="X321" s="140">
        <f t="shared" si="59"/>
        <v>2808644.6143827592</v>
      </c>
      <c r="Y321" s="140">
        <f t="shared" si="60"/>
        <v>638111.65693320474</v>
      </c>
      <c r="Z321" s="123">
        <f>IF((SUM(X321:Y321))&lt;(AVERAGE('Elementary Size Adjustment'!$B$66,'Secondary Size Adjustment'!$B$66)),(AVERAGE('Elementary Size Adjustment'!$B$66,'Secondary Size Adjustment'!$B$66)),SUM(X321:Y321))</f>
        <v>3446756.2713159639</v>
      </c>
      <c r="AA321" s="137">
        <f>'Model Data Inputs'!$B$71*S321*L321</f>
        <v>104139.23068846489</v>
      </c>
      <c r="AB321" s="137">
        <f>L321*'Model Data Inputs'!$B$72</f>
        <v>9716.375</v>
      </c>
      <c r="AC321" s="137">
        <f>L321*'Model Data Inputs'!$B$73</f>
        <v>97163.75</v>
      </c>
      <c r="AD321" s="137">
        <f>L321*'Model Data Inputs'!$B$74</f>
        <v>48581.875</v>
      </c>
      <c r="AE321" s="137">
        <f>$I321*'Model Data Inputs'!$B$76</f>
        <v>9246.1024499999985</v>
      </c>
      <c r="AF321" s="137">
        <f>VLOOKUP($J321,'Student Activities MS&amp;HS Tables'!$M$7:$O$1267,3)</f>
        <v>0</v>
      </c>
      <c r="AG321" s="137">
        <f>VLOOKUP($K321,'Student Activities MS&amp;HS Tables'!$I$7:$K$3007,3)</f>
        <v>0</v>
      </c>
      <c r="AH321" s="137">
        <f t="shared" si="61"/>
        <v>9246.1024499999985</v>
      </c>
      <c r="AI321" s="123">
        <f t="shared" si="67"/>
        <v>3715603.6044544289</v>
      </c>
      <c r="AJ321" s="123">
        <f>(('Model Data Inputs'!$B$90*(('Model Data Inputs'!$B$87*('School Level Inst. Resources'!I321/'School Level Inst. Resources'!L321))+('Model Data Inputs'!$C$87*(SUM('School Level Inst. Resources'!J321:K321)/'School Level Inst. Resources'!L321))))*T321*M321)</f>
        <v>381933.16640717624</v>
      </c>
      <c r="AK321" s="123">
        <f>(('Model Data Inputs'!$B$91*(('Model Data Inputs'!$B$87*('School Level Inst. Resources'!I321/'School Level Inst. Resources'!L321))+('Model Data Inputs'!$C$87*(SUM('School Level Inst. Resources'!J321:K321)/'School Level Inst. Resources'!L321))))*T321*N321)</f>
        <v>28291.34565979083</v>
      </c>
      <c r="AL321" s="137">
        <f>(K321*'Model Data Inputs'!$B$94)*T321</f>
        <v>0</v>
      </c>
      <c r="AM321" s="137">
        <f>K321*'Model Data Inputs'!$B$95</f>
        <v>0</v>
      </c>
      <c r="AN321" s="137">
        <f t="shared" si="68"/>
        <v>0</v>
      </c>
      <c r="AO321" s="137">
        <f>('School Level Inst. Resources'!K321*'Model Data Inputs'!$B$96)+('School Level Inst. Resources'!J321*'Model Data Inputs'!$B$97)</f>
        <v>0</v>
      </c>
      <c r="AP321" s="137">
        <f>$L321*'Model Data Inputs'!$B$100</f>
        <v>15546.199999999999</v>
      </c>
      <c r="AQ321" s="137">
        <f t="shared" si="69"/>
        <v>4141374.3165213964</v>
      </c>
      <c r="AR321" s="141">
        <f t="shared" si="62"/>
        <v>10655.656858965913</v>
      </c>
    </row>
    <row r="322" spans="1:44" s="40" customFormat="1" ht="12.75" customHeight="1" x14ac:dyDescent="0.2">
      <c r="A322" s="20" t="s">
        <v>92</v>
      </c>
      <c r="B322" s="20" t="s">
        <v>93</v>
      </c>
      <c r="C322" s="20" t="s">
        <v>1010</v>
      </c>
      <c r="D322" s="20" t="s">
        <v>1011</v>
      </c>
      <c r="E322" s="138" t="s">
        <v>386</v>
      </c>
      <c r="F322" s="138" t="str">
        <f>IF(AND(SUM('School Level ADM'!$F322:$J322)=0,SUM('School Level ADM'!$O322:$R322)=0,'School Level ADM'!$K322&gt;0,'School Level ADM'!$N322&gt;0),"T","F")</f>
        <v>F</v>
      </c>
      <c r="G322" s="138" t="str">
        <f>IF(AND(SUM('School Level ADM'!$M322:$R322)=0,'School Level ADM'!$L322&gt;0),"T","F")</f>
        <v>F</v>
      </c>
      <c r="H322" s="138" t="str">
        <f t="shared" si="56"/>
        <v>M</v>
      </c>
      <c r="I322" s="139">
        <f>IF($F322="T",SUM('School Level ADM'!$F322:$J322),IF($G322="T",SUM('School Level ADM'!$F322:$L322),SUM('School Level ADM'!$F322:$K322,0)))</f>
        <v>0</v>
      </c>
      <c r="J322" s="139">
        <f>'School Level ADM'!$S322-$I322-$K322</f>
        <v>395.8846666666667</v>
      </c>
      <c r="K322" s="139">
        <f>IF(SUM('School Level ADM'!$N322:$R322)='School Level ADM'!$S322,SUM('School Level ADM'!$N322:$R322),IF(OR(SUM('School Level ADM'!$F322:$O322)='School Level ADM'!$S322,SUM('School Level ADM'!$G322:$O322)='School Level ADM'!$S322,SUM('School Level ADM'!$H322:$O322)='School Level ADM'!$S322,SUM('School Level ADM'!$I322:$O322)='School Level ADM'!$S322,SUM('School Level ADM'!$J322:$O322)='School Level ADM'!$S322,SUM('School Level ADM'!$K322:$O322)='School Level ADM'!$S322,SUM('School Level ADM'!$L322:$O322)='School Level ADM'!$S322,SUM('School Level ADM'!$M322:$O322)='School Level ADM'!$S322,SUM('School Level ADM'!$N322:$O322)='School Level ADM'!$S322),0,SUM('School Level ADM'!$O322:$R322)))</f>
        <v>0</v>
      </c>
      <c r="L322" s="139">
        <f t="shared" si="57"/>
        <v>395.8846666666667</v>
      </c>
      <c r="M322" s="24">
        <f>'Student At-Risk and ELL Proxy'!S322</f>
        <v>114</v>
      </c>
      <c r="N322" s="24">
        <f>'Student At-Risk and ELL Proxy'!AH322</f>
        <v>6</v>
      </c>
      <c r="O322" s="136" t="str">
        <f t="shared" si="63"/>
        <v/>
      </c>
      <c r="P322" s="136">
        <f t="shared" si="64"/>
        <v>1.1182942380280976</v>
      </c>
      <c r="Q322" s="136" t="str">
        <f t="shared" si="65"/>
        <v/>
      </c>
      <c r="R322" s="136">
        <f t="shared" si="58"/>
        <v>1.1182942380280976</v>
      </c>
      <c r="S322" s="136">
        <f>IF(SUM(3515.4*((VLOOKUP($A322,'District Level ADM'!$A$4:$F$52,6,FALSE))^-0.327)/'Model Data Inputs'!$B$71)&lt;1,1,(3515.4*((VLOOKUP($A322,'District Level ADM'!$A$4:$F$52,6,FALSE))^-0.327)/'Model Data Inputs'!$B$71))</f>
        <v>1.4102512875167312</v>
      </c>
      <c r="T322" s="136">
        <f>VLOOKUP($A322,'Regional Cost Adjustment'!$A$4:$C$52,3,FALSE)</f>
        <v>1.17</v>
      </c>
      <c r="U322" s="123">
        <f>((($I322/$L322)*'Model Data Inputs'!$B$85)+((SUM(J322:K322)/$L322)*'Model Data Inputs'!$C$85))*$R322*$T322</f>
        <v>7042.8646905476307</v>
      </c>
      <c r="V322" s="140">
        <f>((($I322/$L322)*'Model Data Inputs'!$B$86)+((SUM(J322:K322)/$L322)*'Model Data Inputs'!$C$86))*$R322</f>
        <v>1602.6361587817364</v>
      </c>
      <c r="W322" s="140">
        <f t="shared" si="66"/>
        <v>8645.5008493293681</v>
      </c>
      <c r="X322" s="140">
        <f t="shared" si="59"/>
        <v>2788162.1403958853</v>
      </c>
      <c r="Y322" s="140">
        <f t="shared" si="60"/>
        <v>634459.08150725486</v>
      </c>
      <c r="Z322" s="123">
        <f>IF((SUM(X322:Y322))&lt;(AVERAGE('Elementary Size Adjustment'!$B$66,'Secondary Size Adjustment'!$B$66)),(AVERAGE('Elementary Size Adjustment'!$B$66,'Secondary Size Adjustment'!$B$66)),SUM(X322:Y322))</f>
        <v>3422621.2219031402</v>
      </c>
      <c r="AA322" s="137">
        <f>'Model Data Inputs'!$B$71*S322*L322</f>
        <v>106076.40356621175</v>
      </c>
      <c r="AB322" s="137">
        <f>L322*'Model Data Inputs'!$B$72</f>
        <v>9897.1166666666668</v>
      </c>
      <c r="AC322" s="137">
        <f>L322*'Model Data Inputs'!$B$73</f>
        <v>98971.166666666672</v>
      </c>
      <c r="AD322" s="137">
        <f>L322*'Model Data Inputs'!$B$74</f>
        <v>49485.583333333336</v>
      </c>
      <c r="AE322" s="137">
        <f>$I322*'Model Data Inputs'!$B$76</f>
        <v>0</v>
      </c>
      <c r="AF322" s="137">
        <f>VLOOKUP($J322,'Student Activities MS&amp;HS Tables'!$M$7:$O$1267,3)</f>
        <v>113862.7</v>
      </c>
      <c r="AG322" s="137">
        <f>VLOOKUP($K322,'Student Activities MS&amp;HS Tables'!$I$7:$K$3007,3)</f>
        <v>0</v>
      </c>
      <c r="AH322" s="137">
        <f t="shared" si="61"/>
        <v>113862.7</v>
      </c>
      <c r="AI322" s="123">
        <f t="shared" si="67"/>
        <v>3800914.192136019</v>
      </c>
      <c r="AJ322" s="123">
        <f>(('Model Data Inputs'!$B$90*(('Model Data Inputs'!$B$87*('School Level Inst. Resources'!I322/'School Level Inst. Resources'!L322))+('Model Data Inputs'!$C$87*(SUM('School Level Inst. Resources'!J322:K322)/'School Level Inst. Resources'!L322))))*T322*M322)</f>
        <v>272731.31283589633</v>
      </c>
      <c r="AK322" s="123">
        <f>(('Model Data Inputs'!$B$91*(('Model Data Inputs'!$B$87*('School Level Inst. Resources'!I322/'School Level Inst. Resources'!L322))+('Model Data Inputs'!$C$87*(SUM('School Level Inst. Resources'!J322:K322)/'School Level Inst. Resources'!L322))))*T322*N322)</f>
        <v>14354.279622941911</v>
      </c>
      <c r="AL322" s="137">
        <f>(K322*'Model Data Inputs'!$B$94)*T322</f>
        <v>0</v>
      </c>
      <c r="AM322" s="137">
        <f>K322*'Model Data Inputs'!$B$95</f>
        <v>0</v>
      </c>
      <c r="AN322" s="137">
        <f t="shared" si="68"/>
        <v>0</v>
      </c>
      <c r="AO322" s="137">
        <f>('School Level Inst. Resources'!K322*'Model Data Inputs'!$B$96)+('School Level Inst. Resources'!J322*'Model Data Inputs'!$B$97)</f>
        <v>9897.1166666666668</v>
      </c>
      <c r="AP322" s="137">
        <f>$L322*'Model Data Inputs'!$B$100</f>
        <v>15835.386666666669</v>
      </c>
      <c r="AQ322" s="137">
        <f t="shared" si="69"/>
        <v>4113732.2879281905</v>
      </c>
      <c r="AR322" s="141">
        <f t="shared" si="62"/>
        <v>10391.239253001775</v>
      </c>
    </row>
    <row r="323" spans="1:44" s="40" customFormat="1" ht="12.75" customHeight="1" x14ac:dyDescent="0.2">
      <c r="A323" s="20" t="s">
        <v>92</v>
      </c>
      <c r="B323" s="20" t="s">
        <v>93</v>
      </c>
      <c r="C323" s="20" t="s">
        <v>1012</v>
      </c>
      <c r="D323" s="20" t="s">
        <v>1013</v>
      </c>
      <c r="E323" s="138" t="s">
        <v>389</v>
      </c>
      <c r="F323" s="138" t="str">
        <f>IF(AND(SUM('School Level ADM'!$F323:$J323)=0,SUM('School Level ADM'!$O323:$R323)=0,'School Level ADM'!$K323&gt;0,'School Level ADM'!$N323&gt;0),"T","F")</f>
        <v>F</v>
      </c>
      <c r="G323" s="138" t="str">
        <f>IF(AND(SUM('School Level ADM'!$M323:$R323)=0,'School Level ADM'!$L323&gt;0),"T","F")</f>
        <v>F</v>
      </c>
      <c r="H323" s="138" t="str">
        <f t="shared" si="56"/>
        <v>H</v>
      </c>
      <c r="I323" s="139">
        <f>IF($F323="T",SUM('School Level ADM'!$F323:$J323),IF($G323="T",SUM('School Level ADM'!$F323:$L323),SUM('School Level ADM'!$F323:$K323,0)))</f>
        <v>0</v>
      </c>
      <c r="J323" s="139">
        <f>'School Level ADM'!$S323-$I323-$K323</f>
        <v>0</v>
      </c>
      <c r="K323" s="139">
        <f>IF(SUM('School Level ADM'!$N323:$R323)='School Level ADM'!$S323,SUM('School Level ADM'!$N323:$R323),IF(OR(SUM('School Level ADM'!$F323:$O323)='School Level ADM'!$S323,SUM('School Level ADM'!$G323:$O323)='School Level ADM'!$S323,SUM('School Level ADM'!$H323:$O323)='School Level ADM'!$S323,SUM('School Level ADM'!$I323:$O323)='School Level ADM'!$S323,SUM('School Level ADM'!$J323:$O323)='School Level ADM'!$S323,SUM('School Level ADM'!$K323:$O323)='School Level ADM'!$S323,SUM('School Level ADM'!$L323:$O323)='School Level ADM'!$S323,SUM('School Level ADM'!$M323:$O323)='School Level ADM'!$S323,SUM('School Level ADM'!$N323:$O323)='School Level ADM'!$S323),0,SUM('School Level ADM'!$O323:$R323)))</f>
        <v>764.18633333333332</v>
      </c>
      <c r="L323" s="139">
        <f t="shared" si="57"/>
        <v>764.18633333333332</v>
      </c>
      <c r="M323" s="24">
        <f>'Student At-Risk and ELL Proxy'!S323</f>
        <v>193</v>
      </c>
      <c r="N323" s="24">
        <f>'Student At-Risk and ELL Proxy'!AH323</f>
        <v>29</v>
      </c>
      <c r="O323" s="136" t="str">
        <f t="shared" si="63"/>
        <v/>
      </c>
      <c r="P323" s="136">
        <f t="shared" si="64"/>
        <v>0.97</v>
      </c>
      <c r="Q323" s="136" t="str">
        <f t="shared" si="65"/>
        <v/>
      </c>
      <c r="R323" s="136">
        <f t="shared" si="58"/>
        <v>0.97</v>
      </c>
      <c r="S323" s="136">
        <f>IF(SUM(3515.4*((VLOOKUP($A323,'District Level ADM'!$A$4:$F$52,6,FALSE))^-0.327)/'Model Data Inputs'!$B$71)&lt;1,1,(3515.4*((VLOOKUP($A323,'District Level ADM'!$A$4:$F$52,6,FALSE))^-0.327)/'Model Data Inputs'!$B$71))</f>
        <v>1.4102512875167312</v>
      </c>
      <c r="T323" s="136">
        <f>VLOOKUP($A323,'Regional Cost Adjustment'!$A$4:$C$52,3,FALSE)</f>
        <v>1.17</v>
      </c>
      <c r="U323" s="123">
        <f>((($I323/$L323)*'Model Data Inputs'!$B$85)+((SUM(J323:K323)/$L323)*'Model Data Inputs'!$C$85))*$R323*$T323</f>
        <v>6108.9277915599478</v>
      </c>
      <c r="V323" s="140">
        <f>((($I323/$L323)*'Model Data Inputs'!$B$86)+((SUM(J323:K323)/$L323)*'Model Data Inputs'!$C$86))*$R323</f>
        <v>1390.1145343996893</v>
      </c>
      <c r="W323" s="140">
        <f t="shared" si="66"/>
        <v>7499.0423259596373</v>
      </c>
      <c r="X323" s="140">
        <f t="shared" si="59"/>
        <v>4668359.1296302937</v>
      </c>
      <c r="Y323" s="140">
        <f t="shared" si="60"/>
        <v>1062306.5289562724</v>
      </c>
      <c r="Z323" s="123">
        <f>IF((SUM(X323:Y323))&lt;(AVERAGE('Elementary Size Adjustment'!$B$66,'Secondary Size Adjustment'!$B$66)),(AVERAGE('Elementary Size Adjustment'!$B$66,'Secondary Size Adjustment'!$B$66)),SUM(X323:Y323))</f>
        <v>5730665.6585865663</v>
      </c>
      <c r="AA323" s="137">
        <f>'Model Data Inputs'!$B$71*S323*L323</f>
        <v>204762.00449234442</v>
      </c>
      <c r="AB323" s="137">
        <f>L323*'Model Data Inputs'!$B$72</f>
        <v>19104.658333333333</v>
      </c>
      <c r="AC323" s="137">
        <f>L323*'Model Data Inputs'!$B$73</f>
        <v>191046.58333333334</v>
      </c>
      <c r="AD323" s="137">
        <f>L323*'Model Data Inputs'!$B$74</f>
        <v>95523.291666666672</v>
      </c>
      <c r="AE323" s="137">
        <f>$I323*'Model Data Inputs'!$B$76</f>
        <v>0</v>
      </c>
      <c r="AF323" s="137">
        <f>VLOOKUP($J323,'Student Activities MS&amp;HS Tables'!$M$7:$O$1267,3)</f>
        <v>0</v>
      </c>
      <c r="AG323" s="137">
        <f>VLOOKUP($K323,'Student Activities MS&amp;HS Tables'!$I$7:$K$3007,3)</f>
        <v>525823</v>
      </c>
      <c r="AH323" s="137">
        <f t="shared" si="61"/>
        <v>525823</v>
      </c>
      <c r="AI323" s="123">
        <f t="shared" si="67"/>
        <v>6766925.1964122439</v>
      </c>
      <c r="AJ323" s="123">
        <f>(('Model Data Inputs'!$B$90*(('Model Data Inputs'!$B$87*('School Level Inst. Resources'!I323/'School Level Inst. Resources'!L323))+('Model Data Inputs'!$C$87*(SUM('School Level Inst. Resources'!J323:K323)/'School Level Inst. Resources'!L323))))*T323*M323)</f>
        <v>461729.32787129818</v>
      </c>
      <c r="AK323" s="123">
        <f>(('Model Data Inputs'!$B$91*(('Model Data Inputs'!$B$87*('School Level Inst. Resources'!I323/'School Level Inst. Resources'!L323))+('Model Data Inputs'!$C$87*(SUM('School Level Inst. Resources'!J323:K323)/'School Level Inst. Resources'!L323))))*T323*N323)</f>
        <v>69379.018177552571</v>
      </c>
      <c r="AL323" s="137">
        <f>(K323*'Model Data Inputs'!$B$94)*T323</f>
        <v>147584.60542544353</v>
      </c>
      <c r="AM323" s="137">
        <f>K323*'Model Data Inputs'!$B$95</f>
        <v>32026.915497391663</v>
      </c>
      <c r="AN323" s="137">
        <f t="shared" si="68"/>
        <v>179611.52092283519</v>
      </c>
      <c r="AO323" s="137">
        <f>('School Level Inst. Resources'!K323*'Model Data Inputs'!$B$96)+('School Level Inst. Resources'!J323*'Model Data Inputs'!$B$97)</f>
        <v>76418.633333333331</v>
      </c>
      <c r="AP323" s="137">
        <f>$L323*'Model Data Inputs'!$B$100</f>
        <v>30567.453333333331</v>
      </c>
      <c r="AQ323" s="137">
        <f t="shared" si="69"/>
        <v>7584631.1500505963</v>
      </c>
      <c r="AR323" s="141">
        <f t="shared" si="62"/>
        <v>9925.1070311175372</v>
      </c>
    </row>
    <row r="324" spans="1:44" s="40" customFormat="1" ht="12.75" customHeight="1" x14ac:dyDescent="0.2">
      <c r="A324" s="20" t="s">
        <v>92</v>
      </c>
      <c r="B324" s="20" t="s">
        <v>93</v>
      </c>
      <c r="C324" s="20" t="s">
        <v>1014</v>
      </c>
      <c r="D324" s="20" t="s">
        <v>1015</v>
      </c>
      <c r="E324" s="138" t="s">
        <v>389</v>
      </c>
      <c r="F324" s="138" t="str">
        <f>IF(AND(SUM('School Level ADM'!$F324:$J324)=0,SUM('School Level ADM'!$O324:$R324)=0,'School Level ADM'!$K324&gt;0,'School Level ADM'!$N324&gt;0),"T","F")</f>
        <v>F</v>
      </c>
      <c r="G324" s="138" t="str">
        <f>IF(AND(SUM('School Level ADM'!$M324:$R324)=0,'School Level ADM'!$L324&gt;0),"T","F")</f>
        <v>F</v>
      </c>
      <c r="H324" s="138" t="str">
        <f t="shared" si="56"/>
        <v>H</v>
      </c>
      <c r="I324" s="139">
        <f>IF($F324="T",SUM('School Level ADM'!$F324:$J324),IF($G324="T",SUM('School Level ADM'!$F324:$L324),SUM('School Level ADM'!$F324:$K324,0)))</f>
        <v>0</v>
      </c>
      <c r="J324" s="139">
        <f>'School Level ADM'!$S324-$I324-$K324</f>
        <v>0</v>
      </c>
      <c r="K324" s="139">
        <f>IF(SUM('School Level ADM'!$N324:$R324)='School Level ADM'!$S324,SUM('School Level ADM'!$N324:$R324),IF(OR(SUM('School Level ADM'!$F324:$O324)='School Level ADM'!$S324,SUM('School Level ADM'!$G324:$O324)='School Level ADM'!$S324,SUM('School Level ADM'!$H324:$O324)='School Level ADM'!$S324,SUM('School Level ADM'!$I324:$O324)='School Level ADM'!$S324,SUM('School Level ADM'!$J324:$O324)='School Level ADM'!$S324,SUM('School Level ADM'!$K324:$O324)='School Level ADM'!$S324,SUM('School Level ADM'!$L324:$O324)='School Level ADM'!$S324,SUM('School Level ADM'!$M324:$O324)='School Level ADM'!$S324,SUM('School Level ADM'!$N324:$O324)='School Level ADM'!$S324),0,SUM('School Level ADM'!$O324:$R324)))</f>
        <v>48.337666666666671</v>
      </c>
      <c r="L324" s="139">
        <f t="shared" si="57"/>
        <v>48.337666666666671</v>
      </c>
      <c r="M324" s="24">
        <f>'Student At-Risk and ELL Proxy'!S324</f>
        <v>46</v>
      </c>
      <c r="N324" s="24">
        <f>'Student At-Risk and ELL Proxy'!AH324</f>
        <v>0</v>
      </c>
      <c r="O324" s="136" t="str">
        <f t="shared" si="63"/>
        <v/>
      </c>
      <c r="P324" s="136">
        <f t="shared" si="64"/>
        <v>2.339475059757957</v>
      </c>
      <c r="Q324" s="136" t="str">
        <f t="shared" si="65"/>
        <v/>
      </c>
      <c r="R324" s="136">
        <f t="shared" si="58"/>
        <v>2.339475059757957</v>
      </c>
      <c r="S324" s="136">
        <f>IF(SUM(3515.4*((VLOOKUP($A324,'District Level ADM'!$A$4:$F$52,6,FALSE))^-0.327)/'Model Data Inputs'!$B$71)&lt;1,1,(3515.4*((VLOOKUP($A324,'District Level ADM'!$A$4:$F$52,6,FALSE))^-0.327)/'Model Data Inputs'!$B$71))</f>
        <v>1.4102512875167312</v>
      </c>
      <c r="T324" s="136">
        <f>VLOOKUP($A324,'Regional Cost Adjustment'!$A$4:$C$52,3,FALSE)</f>
        <v>1.17</v>
      </c>
      <c r="U324" s="123">
        <f>((($I324/$L324)*'Model Data Inputs'!$B$85)+((SUM(J324:K324)/$L324)*'Model Data Inputs'!$C$85))*$R324*$T324</f>
        <v>14733.695062079129</v>
      </c>
      <c r="V324" s="140">
        <f>((($I324/$L324)*'Model Data Inputs'!$B$86)+((SUM(J324:K324)/$L324)*'Model Data Inputs'!$C$86))*$R324</f>
        <v>3352.7198798300183</v>
      </c>
      <c r="W324" s="140">
        <f t="shared" si="66"/>
        <v>18086.414941909148</v>
      </c>
      <c r="X324" s="140">
        <f t="shared" si="59"/>
        <v>712192.44067909359</v>
      </c>
      <c r="Y324" s="140">
        <f t="shared" si="60"/>
        <v>162062.65597793015</v>
      </c>
      <c r="Z324" s="123">
        <f>IF((SUM(X324:Y324))&lt;(AVERAGE('Elementary Size Adjustment'!$B$66,'Secondary Size Adjustment'!$B$66)),(AVERAGE('Elementary Size Adjustment'!$B$66,'Secondary Size Adjustment'!$B$66)),SUM(X324:Y324))</f>
        <v>874255.09665702377</v>
      </c>
      <c r="AA324" s="137">
        <f>'Model Data Inputs'!$B$71*S324*L324</f>
        <v>12951.968763922039</v>
      </c>
      <c r="AB324" s="137">
        <f>L324*'Model Data Inputs'!$B$72</f>
        <v>1208.4416666666668</v>
      </c>
      <c r="AC324" s="137">
        <f>L324*'Model Data Inputs'!$B$73</f>
        <v>12084.416666666668</v>
      </c>
      <c r="AD324" s="137">
        <f>L324*'Model Data Inputs'!$B$74</f>
        <v>6042.2083333333339</v>
      </c>
      <c r="AE324" s="137">
        <f>$I324*'Model Data Inputs'!$B$76</f>
        <v>0</v>
      </c>
      <c r="AF324" s="137">
        <f>VLOOKUP($J324,'Student Activities MS&amp;HS Tables'!$M$7:$O$1267,3)</f>
        <v>0</v>
      </c>
      <c r="AG324" s="137">
        <f>VLOOKUP($K324,'Student Activities MS&amp;HS Tables'!$I$7:$K$3007,3)</f>
        <v>86605.92</v>
      </c>
      <c r="AH324" s="137">
        <f t="shared" si="61"/>
        <v>86605.92</v>
      </c>
      <c r="AI324" s="123">
        <f t="shared" si="67"/>
        <v>993148.05208761245</v>
      </c>
      <c r="AJ324" s="123">
        <f>(('Model Data Inputs'!$B$90*(('Model Data Inputs'!$B$87*('School Level Inst. Resources'!I324/'School Level Inst. Resources'!L324))+('Model Data Inputs'!$C$87*(SUM('School Level Inst. Resources'!J324:K324)/'School Level Inst. Resources'!L324))))*T324*M324)</f>
        <v>110049.47710922132</v>
      </c>
      <c r="AK324" s="123">
        <f>(('Model Data Inputs'!$B$91*(('Model Data Inputs'!$B$87*('School Level Inst. Resources'!I324/'School Level Inst. Resources'!L324))+('Model Data Inputs'!$C$87*(SUM('School Level Inst. Resources'!J324:K324)/'School Level Inst. Resources'!L324))))*T324*N324)</f>
        <v>0</v>
      </c>
      <c r="AL324" s="137">
        <f>(K324*'Model Data Inputs'!$B$94)*T324</f>
        <v>9335.2827065998499</v>
      </c>
      <c r="AM324" s="137">
        <f>K324*'Model Data Inputs'!$B$95</f>
        <v>2025.8231509083334</v>
      </c>
      <c r="AN324" s="137">
        <f t="shared" si="68"/>
        <v>11361.105857508184</v>
      </c>
      <c r="AO324" s="137">
        <f>('School Level Inst. Resources'!K324*'Model Data Inputs'!$B$96)+('School Level Inst. Resources'!J324*'Model Data Inputs'!$B$97)</f>
        <v>4833.7666666666673</v>
      </c>
      <c r="AP324" s="137">
        <f>$L324*'Model Data Inputs'!$B$100</f>
        <v>1933.5066666666669</v>
      </c>
      <c r="AQ324" s="137">
        <f t="shared" si="69"/>
        <v>1121325.9083876752</v>
      </c>
      <c r="AR324" s="141">
        <f t="shared" si="62"/>
        <v>23197.766580672251</v>
      </c>
    </row>
    <row r="325" spans="1:44" s="40" customFormat="1" ht="12.75" customHeight="1" x14ac:dyDescent="0.2">
      <c r="A325" s="20" t="s">
        <v>94</v>
      </c>
      <c r="B325" s="20" t="s">
        <v>95</v>
      </c>
      <c r="C325" s="20" t="s">
        <v>1016</v>
      </c>
      <c r="D325" s="20" t="s">
        <v>1017</v>
      </c>
      <c r="E325" s="138" t="s">
        <v>357</v>
      </c>
      <c r="F325" s="138" t="str">
        <f>IF(AND(SUM('School Level ADM'!$F325:$J325)=0,SUM('School Level ADM'!$O325:$R325)=0,'School Level ADM'!$K325&gt;0,'School Level ADM'!$N325&gt;0),"T","F")</f>
        <v>F</v>
      </c>
      <c r="G325" s="138" t="str">
        <f>IF(AND(SUM('School Level ADM'!$M325:$R325)=0,'School Level ADM'!$L325&gt;0),"T","F")</f>
        <v>T</v>
      </c>
      <c r="H325" s="138" t="str">
        <f t="shared" ref="H325:H359" si="70">IF($K325&gt;0,"H",IF($J325&gt;0,"M","E"))</f>
        <v>E</v>
      </c>
      <c r="I325" s="139">
        <f>IF($F325="T",SUM('School Level ADM'!$F325:$J325),IF($G325="T",SUM('School Level ADM'!$F325:$L325),SUM('School Level ADM'!$F325:$K325,0)))</f>
        <v>46.295000000000002</v>
      </c>
      <c r="J325" s="139">
        <f>'School Level ADM'!$S325-$I325-$K325</f>
        <v>0</v>
      </c>
      <c r="K325" s="139">
        <f>IF(SUM('School Level ADM'!$N325:$R325)='School Level ADM'!$S325,SUM('School Level ADM'!$N325:$R325),IF(OR(SUM('School Level ADM'!$F325:$O325)='School Level ADM'!$S325,SUM('School Level ADM'!$G325:$O325)='School Level ADM'!$S325,SUM('School Level ADM'!$H325:$O325)='School Level ADM'!$S325,SUM('School Level ADM'!$I325:$O325)='School Level ADM'!$S325,SUM('School Level ADM'!$J325:$O325)='School Level ADM'!$S325,SUM('School Level ADM'!$K325:$O325)='School Level ADM'!$S325,SUM('School Level ADM'!$L325:$O325)='School Level ADM'!$S325,SUM('School Level ADM'!$M325:$O325)='School Level ADM'!$S325,SUM('School Level ADM'!$N325:$O325)='School Level ADM'!$S325),0,SUM('School Level ADM'!$O325:$R325)))</f>
        <v>0</v>
      </c>
      <c r="L325" s="139">
        <f t="shared" ref="L325:L359" si="71">SUM($I325:$K325)</f>
        <v>46.295000000000002</v>
      </c>
      <c r="M325" s="24">
        <f>'Student At-Risk and ELL Proxy'!S325</f>
        <v>6</v>
      </c>
      <c r="N325" s="24">
        <f>'Student At-Risk and ELL Proxy'!AH325</f>
        <v>0</v>
      </c>
      <c r="O325" s="136">
        <f t="shared" si="63"/>
        <v>2.0881098566142189</v>
      </c>
      <c r="P325" s="136" t="str">
        <f t="shared" si="64"/>
        <v/>
      </c>
      <c r="Q325" s="136" t="str">
        <f t="shared" si="65"/>
        <v/>
      </c>
      <c r="R325" s="136">
        <f t="shared" ref="R325:R359" si="72">(IF(E325="K-12",Q325,IF(E325="p-12",Q325,IF(O325="",P325,IF(P325="",O325,(O325*(I325/L325))+(P325*(SUM(J325:K325)/L325)))))))</f>
        <v>2.0881098566142189</v>
      </c>
      <c r="S325" s="136">
        <f>IF(SUM(3515.4*((VLOOKUP($A325,'District Level ADM'!$A$4:$F$52,6,FALSE))^-0.327)/'Model Data Inputs'!$B$71)&lt;1,1,(3515.4*((VLOOKUP($A325,'District Level ADM'!$A$4:$F$52,6,FALSE))^-0.327)/'Model Data Inputs'!$B$71))</f>
        <v>1.3773253195283854</v>
      </c>
      <c r="T325" s="136">
        <f>VLOOKUP($A325,'Regional Cost Adjustment'!$A$4:$C$52,3,FALSE)</f>
        <v>1.1200000000000001</v>
      </c>
      <c r="U325" s="123">
        <f>((($I325/$L325)*'Model Data Inputs'!$B$85)+((SUM(J325:K325)/$L325)*'Model Data Inputs'!$C$85))*$R325*$T325</f>
        <v>14891.76934877806</v>
      </c>
      <c r="V325" s="140">
        <f>((($I325/$L325)*'Model Data Inputs'!$B$86)+((SUM(J325:K325)/$L325)*'Model Data Inputs'!$C$86))*$R325</f>
        <v>3534.3864067889854</v>
      </c>
      <c r="W325" s="140">
        <f t="shared" si="66"/>
        <v>18426.155755567044</v>
      </c>
      <c r="X325" s="140">
        <f t="shared" ref="X325:X359" si="73">U325*L325</f>
        <v>689414.46200168028</v>
      </c>
      <c r="Y325" s="140">
        <f t="shared" ref="Y325:Y359" si="74">V325*L325</f>
        <v>163624.4187022961</v>
      </c>
      <c r="Z325" s="123">
        <f>IF((SUM(X325:Y325))&lt;(AVERAGE('Elementary Size Adjustment'!$B$66,'Secondary Size Adjustment'!$B$66)),(AVERAGE('Elementary Size Adjustment'!$B$66,'Secondary Size Adjustment'!$B$66)),SUM(X325:Y325))</f>
        <v>853038.88070397638</v>
      </c>
      <c r="AA325" s="137">
        <f>'Model Data Inputs'!$B$71*S325*L325</f>
        <v>12115.022376837655</v>
      </c>
      <c r="AB325" s="137">
        <f>L325*'Model Data Inputs'!$B$72</f>
        <v>1157.375</v>
      </c>
      <c r="AC325" s="137">
        <f>L325*'Model Data Inputs'!$B$73</f>
        <v>11573.75</v>
      </c>
      <c r="AD325" s="137">
        <f>L325*'Model Data Inputs'!$B$74</f>
        <v>5786.875</v>
      </c>
      <c r="AE325" s="137">
        <f>$I325*'Model Data Inputs'!$B$76</f>
        <v>1101.35805</v>
      </c>
      <c r="AF325" s="137">
        <f>VLOOKUP($J325,'Student Activities MS&amp;HS Tables'!$M$7:$O$1267,3)</f>
        <v>0</v>
      </c>
      <c r="AG325" s="137">
        <f>VLOOKUP($K325,'Student Activities MS&amp;HS Tables'!$I$7:$K$3007,3)</f>
        <v>0</v>
      </c>
      <c r="AH325" s="137">
        <f t="shared" ref="AH325:AH359" si="75">SUM(AE325:AG325)</f>
        <v>1101.35805</v>
      </c>
      <c r="AI325" s="123">
        <f t="shared" si="67"/>
        <v>884773.26113081409</v>
      </c>
      <c r="AJ325" s="123">
        <f>(('Model Data Inputs'!$B$90*(('Model Data Inputs'!$B$87*('School Level Inst. Resources'!I325/'School Level Inst. Resources'!L325))+('Model Data Inputs'!$C$87*(SUM('School Level Inst. Resources'!J325:K325)/'School Level Inst. Resources'!L325))))*T325*M325)</f>
        <v>16249.388276392685</v>
      </c>
      <c r="AK325" s="123">
        <f>(('Model Data Inputs'!$B$91*(('Model Data Inputs'!$B$87*('School Level Inst. Resources'!I325/'School Level Inst. Resources'!L325))+('Model Data Inputs'!$C$87*(SUM('School Level Inst. Resources'!J325:K325)/'School Level Inst. Resources'!L325))))*T325*N325)</f>
        <v>0</v>
      </c>
      <c r="AL325" s="137">
        <f>(K325*'Model Data Inputs'!$B$94)*T325</f>
        <v>0</v>
      </c>
      <c r="AM325" s="137">
        <f>K325*'Model Data Inputs'!$B$95</f>
        <v>0</v>
      </c>
      <c r="AN325" s="137">
        <f t="shared" si="68"/>
        <v>0</v>
      </c>
      <c r="AO325" s="137">
        <f>('School Level Inst. Resources'!K325*'Model Data Inputs'!$B$96)+('School Level Inst. Resources'!J325*'Model Data Inputs'!$B$97)</f>
        <v>0</v>
      </c>
      <c r="AP325" s="137">
        <f>$L325*'Model Data Inputs'!$B$100</f>
        <v>1851.8000000000002</v>
      </c>
      <c r="AQ325" s="137">
        <f t="shared" si="69"/>
        <v>902874.44940720685</v>
      </c>
      <c r="AR325" s="141">
        <f t="shared" ref="AR325:AR359" si="76">AQ325/L325</f>
        <v>19502.634180952733</v>
      </c>
    </row>
    <row r="326" spans="1:44" s="40" customFormat="1" ht="12.75" customHeight="1" x14ac:dyDescent="0.2">
      <c r="A326" s="20" t="s">
        <v>94</v>
      </c>
      <c r="B326" s="20" t="s">
        <v>95</v>
      </c>
      <c r="C326" s="20" t="s">
        <v>1018</v>
      </c>
      <c r="D326" s="20" t="s">
        <v>1019</v>
      </c>
      <c r="E326" s="138" t="s">
        <v>354</v>
      </c>
      <c r="F326" s="138" t="str">
        <f>IF(AND(SUM('School Level ADM'!$F326:$J326)=0,SUM('School Level ADM'!$O326:$R326)=0,'School Level ADM'!$K326&gt;0,'School Level ADM'!$N326&gt;0),"T","F")</f>
        <v>F</v>
      </c>
      <c r="G326" s="138" t="str">
        <f>IF(AND(SUM('School Level ADM'!$M326:$R326)=0,'School Level ADM'!$L326&gt;0),"T","F")</f>
        <v>F</v>
      </c>
      <c r="H326" s="138" t="str">
        <f t="shared" si="70"/>
        <v>E</v>
      </c>
      <c r="I326" s="139">
        <f>IF($F326="T",SUM('School Level ADM'!$F326:$J326),IF($G326="T",SUM('School Level ADM'!$F326:$L326),SUM('School Level ADM'!$F326:$K326,0)))</f>
        <v>51.220000000000006</v>
      </c>
      <c r="J326" s="139">
        <f>'School Level ADM'!$S326-$I326-$K326</f>
        <v>0</v>
      </c>
      <c r="K326" s="139">
        <f>IF(SUM('School Level ADM'!$N326:$R326)='School Level ADM'!$S326,SUM('School Level ADM'!$N326:$R326),IF(OR(SUM('School Level ADM'!$F326:$O326)='School Level ADM'!$S326,SUM('School Level ADM'!$G326:$O326)='School Level ADM'!$S326,SUM('School Level ADM'!$H326:$O326)='School Level ADM'!$S326,SUM('School Level ADM'!$I326:$O326)='School Level ADM'!$S326,SUM('School Level ADM'!$J326:$O326)='School Level ADM'!$S326,SUM('School Level ADM'!$K326:$O326)='School Level ADM'!$S326,SUM('School Level ADM'!$L326:$O326)='School Level ADM'!$S326,SUM('School Level ADM'!$M326:$O326)='School Level ADM'!$S326,SUM('School Level ADM'!$N326:$O326)='School Level ADM'!$S326),0,SUM('School Level ADM'!$O326:$R326)))</f>
        <v>0</v>
      </c>
      <c r="L326" s="139">
        <f t="shared" si="71"/>
        <v>51.220000000000006</v>
      </c>
      <c r="M326" s="24">
        <f>'Student At-Risk and ELL Proxy'!S326</f>
        <v>0</v>
      </c>
      <c r="N326" s="24">
        <f>'Student At-Risk and ELL Proxy'!AH326</f>
        <v>0</v>
      </c>
      <c r="O326" s="136">
        <f t="shared" ref="O326:O359" si="77">IF(E326="K-12","",IF(E326="p-12","",IF(I326&lt;0.1,"",IF(SUM(77441*(L326^-0.398))/8060&lt;0.97,0.97,(77441*(L326^-0.398)/8060)))))</f>
        <v>2.0057599721944137</v>
      </c>
      <c r="P326" s="136" t="str">
        <f t="shared" ref="P326:P359" si="78">IF(E326="K-12","",IF(E326="p-12","",IF(SUM(J326:K326)&lt;0.1,"",IF(SUM(62206*(L326^-0.351)/6816)&lt;0.97,0.97,(62206*(L326^-0.351)/6816)))))</f>
        <v/>
      </c>
      <c r="Q326" s="136" t="str">
        <f t="shared" ref="Q326:Q359" si="79">IF(E326="K-12",((((77441*(I326^-0.398))/8060)*I326)+((62206*((J326)^-0.351))/6816)*J326+((62206*((K326)^-0.351))/6816)*K326)/L326,IF(E326="p-12",((((77441*(I326^-0.398))/8060)*I326)+((62206*((J326)^-0.351))/6816)*J326+((62206*((K326)^-0.351))/6816)*K326)/L326,""))</f>
        <v/>
      </c>
      <c r="R326" s="136">
        <f t="shared" si="72"/>
        <v>2.0057599721944137</v>
      </c>
      <c r="S326" s="136">
        <f>IF(SUM(3515.4*((VLOOKUP($A326,'District Level ADM'!$A$4:$F$52,6,FALSE))^-0.327)/'Model Data Inputs'!$B$71)&lt;1,1,(3515.4*((VLOOKUP($A326,'District Level ADM'!$A$4:$F$52,6,FALSE))^-0.327)/'Model Data Inputs'!$B$71))</f>
        <v>1.3773253195283854</v>
      </c>
      <c r="T326" s="136">
        <f>VLOOKUP($A326,'Regional Cost Adjustment'!$A$4:$C$52,3,FALSE)</f>
        <v>1.1200000000000001</v>
      </c>
      <c r="U326" s="123">
        <f>((($I326/$L326)*'Model Data Inputs'!$B$85)+((SUM(J326:K326)/$L326)*'Model Data Inputs'!$C$85))*$R326*$T326</f>
        <v>14304.474824596884</v>
      </c>
      <c r="V326" s="140">
        <f>((($I326/$L326)*'Model Data Inputs'!$B$86)+((SUM(J326:K326)/$L326)*'Model Data Inputs'!$C$86))*$R326</f>
        <v>3394.9989549400971</v>
      </c>
      <c r="W326" s="140">
        <f t="shared" ref="W326:W359" si="80">SUM(U326:V326)</f>
        <v>17699.47377953698</v>
      </c>
      <c r="X326" s="140">
        <f t="shared" si="73"/>
        <v>732675.20051585243</v>
      </c>
      <c r="Y326" s="140">
        <f t="shared" si="74"/>
        <v>173891.84647203179</v>
      </c>
      <c r="Z326" s="123">
        <f>IF((SUM(X326:Y326))&lt;(AVERAGE('Elementary Size Adjustment'!$B$66,'Secondary Size Adjustment'!$B$66)),(AVERAGE('Elementary Size Adjustment'!$B$66,'Secondary Size Adjustment'!$B$66)),SUM(X326:Y326))</f>
        <v>906567.04698788421</v>
      </c>
      <c r="AA326" s="137">
        <f>'Model Data Inputs'!$B$71*S326*L326</f>
        <v>13403.854544586342</v>
      </c>
      <c r="AB326" s="137">
        <f>L326*'Model Data Inputs'!$B$72</f>
        <v>1280.5000000000002</v>
      </c>
      <c r="AC326" s="137">
        <f>L326*'Model Data Inputs'!$B$73</f>
        <v>12805.000000000002</v>
      </c>
      <c r="AD326" s="137">
        <f>L326*'Model Data Inputs'!$B$74</f>
        <v>6402.5000000000009</v>
      </c>
      <c r="AE326" s="137">
        <f>$I326*'Model Data Inputs'!$B$76</f>
        <v>1218.5238000000002</v>
      </c>
      <c r="AF326" s="137">
        <f>VLOOKUP($J326,'Student Activities MS&amp;HS Tables'!$M$7:$O$1267,3)</f>
        <v>0</v>
      </c>
      <c r="AG326" s="137">
        <f>VLOOKUP($K326,'Student Activities MS&amp;HS Tables'!$I$7:$K$3007,3)</f>
        <v>0</v>
      </c>
      <c r="AH326" s="137">
        <f t="shared" si="75"/>
        <v>1218.5238000000002</v>
      </c>
      <c r="AI326" s="123">
        <f t="shared" ref="AI326:AI359" si="81">SUM(Z326:AD326)+AH326</f>
        <v>941677.42533247056</v>
      </c>
      <c r="AJ326" s="123">
        <f>(('Model Data Inputs'!$B$90*(('Model Data Inputs'!$B$87*('School Level Inst. Resources'!I326/'School Level Inst. Resources'!L326))+('Model Data Inputs'!$C$87*(SUM('School Level Inst. Resources'!J326:K326)/'School Level Inst. Resources'!L326))))*T326*M326)</f>
        <v>0</v>
      </c>
      <c r="AK326" s="123">
        <f>(('Model Data Inputs'!$B$91*(('Model Data Inputs'!$B$87*('School Level Inst. Resources'!I326/'School Level Inst. Resources'!L326))+('Model Data Inputs'!$C$87*(SUM('School Level Inst. Resources'!J326:K326)/'School Level Inst. Resources'!L326))))*T326*N326)</f>
        <v>0</v>
      </c>
      <c r="AL326" s="137">
        <f>(K326*'Model Data Inputs'!$B$94)*T326</f>
        <v>0</v>
      </c>
      <c r="AM326" s="137">
        <f>K326*'Model Data Inputs'!$B$95</f>
        <v>0</v>
      </c>
      <c r="AN326" s="137">
        <f t="shared" ref="AN326:AN359" si="82">SUM(AL326:AM326)</f>
        <v>0</v>
      </c>
      <c r="AO326" s="137">
        <f>('School Level Inst. Resources'!K326*'Model Data Inputs'!$B$96)+('School Level Inst. Resources'!J326*'Model Data Inputs'!$B$97)</f>
        <v>0</v>
      </c>
      <c r="AP326" s="137">
        <f>$L326*'Model Data Inputs'!$B$100</f>
        <v>2048.8000000000002</v>
      </c>
      <c r="AQ326" s="137">
        <f t="shared" ref="AQ326:AQ359" si="83">SUM(AI326:AK326,AN326:AP326)</f>
        <v>943726.22533247061</v>
      </c>
      <c r="AR326" s="141">
        <f t="shared" si="76"/>
        <v>18424.955590247373</v>
      </c>
    </row>
    <row r="327" spans="1:44" s="40" customFormat="1" ht="12.75" customHeight="1" x14ac:dyDescent="0.2">
      <c r="A327" s="20" t="s">
        <v>94</v>
      </c>
      <c r="B327" s="20" t="s">
        <v>95</v>
      </c>
      <c r="C327" s="20" t="s">
        <v>1020</v>
      </c>
      <c r="D327" s="20" t="s">
        <v>1021</v>
      </c>
      <c r="E327" s="138" t="s">
        <v>354</v>
      </c>
      <c r="F327" s="138" t="str">
        <f>IF(AND(SUM('School Level ADM'!$F327:$J327)=0,SUM('School Level ADM'!$O327:$R327)=0,'School Level ADM'!$K327&gt;0,'School Level ADM'!$N327&gt;0),"T","F")</f>
        <v>F</v>
      </c>
      <c r="G327" s="138" t="str">
        <f>IF(AND(SUM('School Level ADM'!$M327:$R327)=0,'School Level ADM'!$L327&gt;0),"T","F")</f>
        <v>F</v>
      </c>
      <c r="H327" s="138" t="str">
        <f t="shared" si="70"/>
        <v>E</v>
      </c>
      <c r="I327" s="139">
        <f>IF($F327="T",SUM('School Level ADM'!$F327:$J327),IF($G327="T",SUM('School Level ADM'!$F327:$L327),SUM('School Level ADM'!$F327:$K327,0)))</f>
        <v>17.73</v>
      </c>
      <c r="J327" s="139">
        <f>'School Level ADM'!$S327-$I327-$K327</f>
        <v>0</v>
      </c>
      <c r="K327" s="139">
        <f>IF(SUM('School Level ADM'!$N327:$R327)='School Level ADM'!$S327,SUM('School Level ADM'!$N327:$R327),IF(OR(SUM('School Level ADM'!$F327:$O327)='School Level ADM'!$S327,SUM('School Level ADM'!$G327:$O327)='School Level ADM'!$S327,SUM('School Level ADM'!$H327:$O327)='School Level ADM'!$S327,SUM('School Level ADM'!$I327:$O327)='School Level ADM'!$S327,SUM('School Level ADM'!$J327:$O327)='School Level ADM'!$S327,SUM('School Level ADM'!$K327:$O327)='School Level ADM'!$S327,SUM('School Level ADM'!$L327:$O327)='School Level ADM'!$S327,SUM('School Level ADM'!$M327:$O327)='School Level ADM'!$S327,SUM('School Level ADM'!$N327:$O327)='School Level ADM'!$S327),0,SUM('School Level ADM'!$O327:$R327)))</f>
        <v>0</v>
      </c>
      <c r="L327" s="139">
        <f t="shared" si="71"/>
        <v>17.73</v>
      </c>
      <c r="M327" s="24">
        <f>'Student At-Risk and ELL Proxy'!S327</f>
        <v>0</v>
      </c>
      <c r="N327" s="24">
        <f>'Student At-Risk and ELL Proxy'!AH327</f>
        <v>0</v>
      </c>
      <c r="O327" s="136">
        <f t="shared" si="77"/>
        <v>3.0594956061781589</v>
      </c>
      <c r="P327" s="136" t="str">
        <f t="shared" si="78"/>
        <v/>
      </c>
      <c r="Q327" s="136" t="str">
        <f t="shared" si="79"/>
        <v/>
      </c>
      <c r="R327" s="136">
        <f t="shared" si="72"/>
        <v>3.0594956061781589</v>
      </c>
      <c r="S327" s="136">
        <f>IF(SUM(3515.4*((VLOOKUP($A327,'District Level ADM'!$A$4:$F$52,6,FALSE))^-0.327)/'Model Data Inputs'!$B$71)&lt;1,1,(3515.4*((VLOOKUP($A327,'District Level ADM'!$A$4:$F$52,6,FALSE))^-0.327)/'Model Data Inputs'!$B$71))</f>
        <v>1.3773253195283854</v>
      </c>
      <c r="T327" s="136">
        <f>VLOOKUP($A327,'Regional Cost Adjustment'!$A$4:$C$52,3,FALSE)</f>
        <v>1.1200000000000001</v>
      </c>
      <c r="U327" s="123">
        <f>((($I327/$L327)*'Model Data Inputs'!$B$85)+((SUM(J327:K327)/$L327)*'Model Data Inputs'!$C$85))*$R327*$T327</f>
        <v>21819.399370433875</v>
      </c>
      <c r="V327" s="140">
        <f>((($I327/$L327)*'Model Data Inputs'!$B$86)+((SUM(J327:K327)/$L327)*'Model Data Inputs'!$C$86))*$R327</f>
        <v>5178.5779602804241</v>
      </c>
      <c r="W327" s="140">
        <f t="shared" si="80"/>
        <v>26997.9773307143</v>
      </c>
      <c r="X327" s="140">
        <f t="shared" si="73"/>
        <v>386857.9508377926</v>
      </c>
      <c r="Y327" s="140">
        <f t="shared" si="74"/>
        <v>91816.187235771926</v>
      </c>
      <c r="Z327" s="123">
        <f>IF((SUM(X327:Y327))&lt;(AVERAGE('Elementary Size Adjustment'!$B$66,'Secondary Size Adjustment'!$B$66)),(AVERAGE('Elementary Size Adjustment'!$B$66,'Secondary Size Adjustment'!$B$66)),SUM(X327:Y327))</f>
        <v>478674.13807356451</v>
      </c>
      <c r="AA327" s="137">
        <f>'Model Data Inputs'!$B$71*S327*L327</f>
        <v>4639.795803895272</v>
      </c>
      <c r="AB327" s="137">
        <f>L327*'Model Data Inputs'!$B$72</f>
        <v>443.25</v>
      </c>
      <c r="AC327" s="137">
        <f>L327*'Model Data Inputs'!$B$73</f>
        <v>4432.5</v>
      </c>
      <c r="AD327" s="137">
        <f>L327*'Model Data Inputs'!$B$74</f>
        <v>2216.25</v>
      </c>
      <c r="AE327" s="137">
        <f>$I327*'Model Data Inputs'!$B$76</f>
        <v>421.79669999999999</v>
      </c>
      <c r="AF327" s="137">
        <f>VLOOKUP($J327,'Student Activities MS&amp;HS Tables'!$M$7:$O$1267,3)</f>
        <v>0</v>
      </c>
      <c r="AG327" s="137">
        <f>VLOOKUP($K327,'Student Activities MS&amp;HS Tables'!$I$7:$K$3007,3)</f>
        <v>0</v>
      </c>
      <c r="AH327" s="137">
        <f t="shared" si="75"/>
        <v>421.79669999999999</v>
      </c>
      <c r="AI327" s="123">
        <f t="shared" si="81"/>
        <v>490827.73057745979</v>
      </c>
      <c r="AJ327" s="123">
        <f>(('Model Data Inputs'!$B$90*(('Model Data Inputs'!$B$87*('School Level Inst. Resources'!I327/'School Level Inst. Resources'!L327))+('Model Data Inputs'!$C$87*(SUM('School Level Inst. Resources'!J327:K327)/'School Level Inst. Resources'!L327))))*T327*M327)</f>
        <v>0</v>
      </c>
      <c r="AK327" s="123">
        <f>(('Model Data Inputs'!$B$91*(('Model Data Inputs'!$B$87*('School Level Inst. Resources'!I327/'School Level Inst. Resources'!L327))+('Model Data Inputs'!$C$87*(SUM('School Level Inst. Resources'!J327:K327)/'School Level Inst. Resources'!L327))))*T327*N327)</f>
        <v>0</v>
      </c>
      <c r="AL327" s="137">
        <f>(K327*'Model Data Inputs'!$B$94)*T327</f>
        <v>0</v>
      </c>
      <c r="AM327" s="137">
        <f>K327*'Model Data Inputs'!$B$95</f>
        <v>0</v>
      </c>
      <c r="AN327" s="137">
        <f t="shared" si="82"/>
        <v>0</v>
      </c>
      <c r="AO327" s="137">
        <f>('School Level Inst. Resources'!K327*'Model Data Inputs'!$B$96)+('School Level Inst. Resources'!J327*'Model Data Inputs'!$B$97)</f>
        <v>0</v>
      </c>
      <c r="AP327" s="137">
        <f>$L327*'Model Data Inputs'!$B$100</f>
        <v>709.2</v>
      </c>
      <c r="AQ327" s="137">
        <f t="shared" si="83"/>
        <v>491536.9305774598</v>
      </c>
      <c r="AR327" s="141">
        <f t="shared" si="76"/>
        <v>27723.459141424693</v>
      </c>
    </row>
    <row r="328" spans="1:44" s="40" customFormat="1" ht="12.75" customHeight="1" x14ac:dyDescent="0.2">
      <c r="A328" s="20" t="s">
        <v>94</v>
      </c>
      <c r="B328" s="20" t="s">
        <v>95</v>
      </c>
      <c r="C328" s="20" t="s">
        <v>1022</v>
      </c>
      <c r="D328" s="20" t="s">
        <v>1023</v>
      </c>
      <c r="E328" s="138" t="s">
        <v>354</v>
      </c>
      <c r="F328" s="138" t="str">
        <f>IF(AND(SUM('School Level ADM'!$F328:$J328)=0,SUM('School Level ADM'!$O328:$R328)=0,'School Level ADM'!$K328&gt;0,'School Level ADM'!$N328&gt;0),"T","F")</f>
        <v>F</v>
      </c>
      <c r="G328" s="138" t="str">
        <f>IF(AND(SUM('School Level ADM'!$M328:$R328)=0,'School Level ADM'!$L328&gt;0),"T","F")</f>
        <v>F</v>
      </c>
      <c r="H328" s="138" t="str">
        <f t="shared" si="70"/>
        <v>E</v>
      </c>
      <c r="I328" s="139">
        <f>IF($F328="T",SUM('School Level ADM'!$F328:$J328),IF($G328="T",SUM('School Level ADM'!$F328:$L328),SUM('School Level ADM'!$F328:$K328,0)))</f>
        <v>220.64000000000004</v>
      </c>
      <c r="J328" s="139">
        <f>'School Level ADM'!$S328-$I328-$K328</f>
        <v>0</v>
      </c>
      <c r="K328" s="139">
        <f>IF(SUM('School Level ADM'!$N328:$R328)='School Level ADM'!$S328,SUM('School Level ADM'!$N328:$R328),IF(OR(SUM('School Level ADM'!$F328:$O328)='School Level ADM'!$S328,SUM('School Level ADM'!$G328:$O328)='School Level ADM'!$S328,SUM('School Level ADM'!$H328:$O328)='School Level ADM'!$S328,SUM('School Level ADM'!$I328:$O328)='School Level ADM'!$S328,SUM('School Level ADM'!$J328:$O328)='School Level ADM'!$S328,SUM('School Level ADM'!$K328:$O328)='School Level ADM'!$S328,SUM('School Level ADM'!$L328:$O328)='School Level ADM'!$S328,SUM('School Level ADM'!$M328:$O328)='School Level ADM'!$S328,SUM('School Level ADM'!$N328:$O328)='School Level ADM'!$S328),0,SUM('School Level ADM'!$O328:$R328)))</f>
        <v>0</v>
      </c>
      <c r="L328" s="139">
        <f t="shared" si="71"/>
        <v>220.64000000000004</v>
      </c>
      <c r="M328" s="24">
        <f>'Student At-Risk and ELL Proxy'!S328</f>
        <v>17</v>
      </c>
      <c r="N328" s="24">
        <f>'Student At-Risk and ELL Proxy'!AH328</f>
        <v>1</v>
      </c>
      <c r="O328" s="136">
        <f t="shared" si="77"/>
        <v>1.1216299039386719</v>
      </c>
      <c r="P328" s="136" t="str">
        <f t="shared" si="78"/>
        <v/>
      </c>
      <c r="Q328" s="136" t="str">
        <f t="shared" si="79"/>
        <v/>
      </c>
      <c r="R328" s="136">
        <f t="shared" si="72"/>
        <v>1.1216299039386719</v>
      </c>
      <c r="S328" s="136">
        <f>IF(SUM(3515.4*((VLOOKUP($A328,'District Level ADM'!$A$4:$F$52,6,FALSE))^-0.327)/'Model Data Inputs'!$B$71)&lt;1,1,(3515.4*((VLOOKUP($A328,'District Level ADM'!$A$4:$F$52,6,FALSE))^-0.327)/'Model Data Inputs'!$B$71))</f>
        <v>1.3773253195283854</v>
      </c>
      <c r="T328" s="136">
        <f>VLOOKUP($A328,'Regional Cost Adjustment'!$A$4:$C$52,3,FALSE)</f>
        <v>1.1200000000000001</v>
      </c>
      <c r="U328" s="123">
        <f>((($I328/$L328)*'Model Data Inputs'!$B$85)+((SUM(J328:K328)/$L328)*'Model Data Inputs'!$C$85))*$R328*$T328</f>
        <v>7999.1259900616933</v>
      </c>
      <c r="V328" s="140">
        <f>((($I328/$L328)*'Model Data Inputs'!$B$86)+((SUM(J328:K328)/$L328)*'Model Data Inputs'!$C$86))*$R328</f>
        <v>1898.4985264888207</v>
      </c>
      <c r="W328" s="140">
        <f t="shared" si="80"/>
        <v>9897.6245165505134</v>
      </c>
      <c r="X328" s="140">
        <f t="shared" si="73"/>
        <v>1764927.1584472123</v>
      </c>
      <c r="Y328" s="140">
        <f t="shared" si="74"/>
        <v>418884.7148844935</v>
      </c>
      <c r="Z328" s="123">
        <f>IF((SUM(X328:Y328))&lt;(AVERAGE('Elementary Size Adjustment'!$B$66,'Secondary Size Adjustment'!$B$66)),(AVERAGE('Elementary Size Adjustment'!$B$66,'Secondary Size Adjustment'!$B$66)),SUM(X328:Y328))</f>
        <v>2183811.873331706</v>
      </c>
      <c r="AA328" s="137">
        <f>'Model Data Inputs'!$B$71*S328*L328</f>
        <v>57739.681115141168</v>
      </c>
      <c r="AB328" s="137">
        <f>L328*'Model Data Inputs'!$B$72</f>
        <v>5516.0000000000009</v>
      </c>
      <c r="AC328" s="137">
        <f>L328*'Model Data Inputs'!$B$73</f>
        <v>55160.000000000007</v>
      </c>
      <c r="AD328" s="137">
        <f>L328*'Model Data Inputs'!$B$74</f>
        <v>27580.000000000004</v>
      </c>
      <c r="AE328" s="137">
        <f>$I328*'Model Data Inputs'!$B$76</f>
        <v>5249.0256000000008</v>
      </c>
      <c r="AF328" s="137">
        <f>VLOOKUP($J328,'Student Activities MS&amp;HS Tables'!$M$7:$O$1267,3)</f>
        <v>0</v>
      </c>
      <c r="AG328" s="137">
        <f>VLOOKUP($K328,'Student Activities MS&amp;HS Tables'!$I$7:$K$3007,3)</f>
        <v>0</v>
      </c>
      <c r="AH328" s="137">
        <f t="shared" si="75"/>
        <v>5249.0256000000008</v>
      </c>
      <c r="AI328" s="123">
        <f t="shared" si="81"/>
        <v>2335056.580046847</v>
      </c>
      <c r="AJ328" s="123">
        <f>(('Model Data Inputs'!$B$90*(('Model Data Inputs'!$B$87*('School Level Inst. Resources'!I328/'School Level Inst. Resources'!L328))+('Model Data Inputs'!$C$87*(SUM('School Level Inst. Resources'!J328:K328)/'School Level Inst. Resources'!L328))))*T328*M328)</f>
        <v>46039.933449779273</v>
      </c>
      <c r="AK328" s="123">
        <f>(('Model Data Inputs'!$B$91*(('Model Data Inputs'!$B$87*('School Level Inst. Resources'!I328/'School Level Inst. Resources'!L328))+('Model Data Inputs'!$C$87*(SUM('School Level Inst. Resources'!J328:K328)/'School Level Inst. Resources'!L328))))*T328*N328)</f>
        <v>2708.231379398781</v>
      </c>
      <c r="AL328" s="137">
        <f>(K328*'Model Data Inputs'!$B$94)*T328</f>
        <v>0</v>
      </c>
      <c r="AM328" s="137">
        <f>K328*'Model Data Inputs'!$B$95</f>
        <v>0</v>
      </c>
      <c r="AN328" s="137">
        <f t="shared" si="82"/>
        <v>0</v>
      </c>
      <c r="AO328" s="137">
        <f>('School Level Inst. Resources'!K328*'Model Data Inputs'!$B$96)+('School Level Inst. Resources'!J328*'Model Data Inputs'!$B$97)</f>
        <v>0</v>
      </c>
      <c r="AP328" s="137">
        <f>$L328*'Model Data Inputs'!$B$100</f>
        <v>8825.6000000000022</v>
      </c>
      <c r="AQ328" s="137">
        <f t="shared" si="83"/>
        <v>2392630.3448760249</v>
      </c>
      <c r="AR328" s="141">
        <f t="shared" si="76"/>
        <v>10844.046160605621</v>
      </c>
    </row>
    <row r="329" spans="1:44" s="40" customFormat="1" ht="12.75" customHeight="1" x14ac:dyDescent="0.2">
      <c r="A329" s="20" t="s">
        <v>94</v>
      </c>
      <c r="B329" s="20" t="s">
        <v>95</v>
      </c>
      <c r="C329" s="20" t="s">
        <v>1024</v>
      </c>
      <c r="D329" s="20" t="s">
        <v>1025</v>
      </c>
      <c r="E329" s="138" t="s">
        <v>354</v>
      </c>
      <c r="F329" s="138" t="str">
        <f>IF(AND(SUM('School Level ADM'!$F329:$J329)=0,SUM('School Level ADM'!$O329:$R329)=0,'School Level ADM'!$K329&gt;0,'School Level ADM'!$N329&gt;0),"T","F")</f>
        <v>F</v>
      </c>
      <c r="G329" s="138" t="str">
        <f>IF(AND(SUM('School Level ADM'!$M329:$R329)=0,'School Level ADM'!$L329&gt;0),"T","F")</f>
        <v>F</v>
      </c>
      <c r="H329" s="138" t="str">
        <f t="shared" si="70"/>
        <v>E</v>
      </c>
      <c r="I329" s="139">
        <f>IF($F329="T",SUM('School Level ADM'!$F329:$J329),IF($G329="T",SUM('School Level ADM'!$F329:$L329),SUM('School Level ADM'!$F329:$K329,0)))</f>
        <v>524.02</v>
      </c>
      <c r="J329" s="139">
        <f>'School Level ADM'!$S329-$I329-$K329</f>
        <v>0</v>
      </c>
      <c r="K329" s="139">
        <f>IF(SUM('School Level ADM'!$N329:$R329)='School Level ADM'!$S329,SUM('School Level ADM'!$N329:$R329),IF(OR(SUM('School Level ADM'!$F329:$O329)='School Level ADM'!$S329,SUM('School Level ADM'!$G329:$O329)='School Level ADM'!$S329,SUM('School Level ADM'!$H329:$O329)='School Level ADM'!$S329,SUM('School Level ADM'!$I329:$O329)='School Level ADM'!$S329,SUM('School Level ADM'!$J329:$O329)='School Level ADM'!$S329,SUM('School Level ADM'!$K329:$O329)='School Level ADM'!$S329,SUM('School Level ADM'!$L329:$O329)='School Level ADM'!$S329,SUM('School Level ADM'!$M329:$O329)='School Level ADM'!$S329,SUM('School Level ADM'!$N329:$O329)='School Level ADM'!$S329),0,SUM('School Level ADM'!$O329:$R329)))</f>
        <v>0</v>
      </c>
      <c r="L329" s="139">
        <f t="shared" si="71"/>
        <v>524.02</v>
      </c>
      <c r="M329" s="24">
        <f>'Student At-Risk and ELL Proxy'!S329</f>
        <v>235</v>
      </c>
      <c r="N329" s="24">
        <f>'Student At-Risk and ELL Proxy'!AH329</f>
        <v>196</v>
      </c>
      <c r="O329" s="136">
        <f t="shared" si="77"/>
        <v>0.97</v>
      </c>
      <c r="P329" s="136" t="str">
        <f t="shared" si="78"/>
        <v/>
      </c>
      <c r="Q329" s="136" t="str">
        <f t="shared" si="79"/>
        <v/>
      </c>
      <c r="R329" s="136">
        <f t="shared" si="72"/>
        <v>0.97</v>
      </c>
      <c r="S329" s="136">
        <f>IF(SUM(3515.4*((VLOOKUP($A329,'District Level ADM'!$A$4:$F$52,6,FALSE))^-0.327)/'Model Data Inputs'!$B$71)&lt;1,1,(3515.4*((VLOOKUP($A329,'District Level ADM'!$A$4:$F$52,6,FALSE))^-0.327)/'Model Data Inputs'!$B$71))</f>
        <v>1.3773253195283854</v>
      </c>
      <c r="T329" s="136">
        <f>VLOOKUP($A329,'Regional Cost Adjustment'!$A$4:$C$52,3,FALSE)</f>
        <v>1.1200000000000001</v>
      </c>
      <c r="U329" s="123">
        <f>((($I329/$L329)*'Model Data Inputs'!$B$85)+((SUM(J329:K329)/$L329)*'Model Data Inputs'!$C$85))*$R329*$T329</f>
        <v>6917.7472739565037</v>
      </c>
      <c r="V329" s="140">
        <f>((($I329/$L329)*'Model Data Inputs'!$B$86)+((SUM(J329:K329)/$L329)*'Model Data Inputs'!$C$86))*$R329</f>
        <v>1641.8459994936507</v>
      </c>
      <c r="W329" s="140">
        <f t="shared" si="80"/>
        <v>8559.5932734501548</v>
      </c>
      <c r="X329" s="140">
        <f t="shared" si="73"/>
        <v>3625037.9264986869</v>
      </c>
      <c r="Y329" s="140">
        <f t="shared" si="74"/>
        <v>860360.14065466274</v>
      </c>
      <c r="Z329" s="123">
        <f>IF((SUM(X329:Y329))&lt;(AVERAGE('Elementary Size Adjustment'!$B$66,'Secondary Size Adjustment'!$B$66)),(AVERAGE('Elementary Size Adjustment'!$B$66,'Secondary Size Adjustment'!$B$66)),SUM(X329:Y329))</f>
        <v>4485398.0671533495</v>
      </c>
      <c r="AA329" s="137">
        <f>'Model Data Inputs'!$B$71*S329*L329</f>
        <v>137131.74264846023</v>
      </c>
      <c r="AB329" s="137">
        <f>L329*'Model Data Inputs'!$B$72</f>
        <v>13100.5</v>
      </c>
      <c r="AC329" s="137">
        <f>L329*'Model Data Inputs'!$B$73</f>
        <v>131005</v>
      </c>
      <c r="AD329" s="137">
        <f>L329*'Model Data Inputs'!$B$74</f>
        <v>65502.5</v>
      </c>
      <c r="AE329" s="137">
        <f>$I329*'Model Data Inputs'!$B$76</f>
        <v>12466.435799999999</v>
      </c>
      <c r="AF329" s="137">
        <f>VLOOKUP($J329,'Student Activities MS&amp;HS Tables'!$M$7:$O$1267,3)</f>
        <v>0</v>
      </c>
      <c r="AG329" s="137">
        <f>VLOOKUP($K329,'Student Activities MS&amp;HS Tables'!$I$7:$K$3007,3)</f>
        <v>0</v>
      </c>
      <c r="AH329" s="137">
        <f t="shared" si="75"/>
        <v>12466.435799999999</v>
      </c>
      <c r="AI329" s="123">
        <f t="shared" si="81"/>
        <v>4844604.2456018096</v>
      </c>
      <c r="AJ329" s="123">
        <f>(('Model Data Inputs'!$B$90*(('Model Data Inputs'!$B$87*('School Level Inst. Resources'!I329/'School Level Inst. Resources'!L329))+('Model Data Inputs'!$C$87*(SUM('School Level Inst. Resources'!J329:K329)/'School Level Inst. Resources'!L329))))*T329*M329)</f>
        <v>636434.3741587135</v>
      </c>
      <c r="AK329" s="123">
        <f>(('Model Data Inputs'!$B$91*(('Model Data Inputs'!$B$87*('School Level Inst. Resources'!I329/'School Level Inst. Resources'!L329))+('Model Data Inputs'!$C$87*(SUM('School Level Inst. Resources'!J329:K329)/'School Level Inst. Resources'!L329))))*T329*N329)</f>
        <v>530813.35036216106</v>
      </c>
      <c r="AL329" s="137">
        <f>(K329*'Model Data Inputs'!$B$94)*T329</f>
        <v>0</v>
      </c>
      <c r="AM329" s="137">
        <f>K329*'Model Data Inputs'!$B$95</f>
        <v>0</v>
      </c>
      <c r="AN329" s="137">
        <f t="shared" si="82"/>
        <v>0</v>
      </c>
      <c r="AO329" s="137">
        <f>('School Level Inst. Resources'!K329*'Model Data Inputs'!$B$96)+('School Level Inst. Resources'!J329*'Model Data Inputs'!$B$97)</f>
        <v>0</v>
      </c>
      <c r="AP329" s="137">
        <f>$L329*'Model Data Inputs'!$B$100</f>
        <v>20960.8</v>
      </c>
      <c r="AQ329" s="137">
        <f t="shared" si="83"/>
        <v>6032812.7701226836</v>
      </c>
      <c r="AR329" s="141">
        <f t="shared" si="76"/>
        <v>11512.562058934171</v>
      </c>
    </row>
    <row r="330" spans="1:44" s="40" customFormat="1" ht="12.75" customHeight="1" x14ac:dyDescent="0.2">
      <c r="A330" s="20" t="s">
        <v>94</v>
      </c>
      <c r="B330" s="20" t="s">
        <v>95</v>
      </c>
      <c r="C330" s="20" t="s">
        <v>1026</v>
      </c>
      <c r="D330" s="20" t="s">
        <v>597</v>
      </c>
      <c r="E330" s="138" t="s">
        <v>354</v>
      </c>
      <c r="F330" s="138" t="str">
        <f>IF(AND(SUM('School Level ADM'!$F330:$J330)=0,SUM('School Level ADM'!$O330:$R330)=0,'School Level ADM'!$K330&gt;0,'School Level ADM'!$N330&gt;0),"T","F")</f>
        <v>F</v>
      </c>
      <c r="G330" s="138" t="str">
        <f>IF(AND(SUM('School Level ADM'!$M330:$R330)=0,'School Level ADM'!$L330&gt;0),"T","F")</f>
        <v>F</v>
      </c>
      <c r="H330" s="138" t="str">
        <f t="shared" si="70"/>
        <v>E</v>
      </c>
      <c r="I330" s="139">
        <f>IF($F330="T",SUM('School Level ADM'!$F330:$J330),IF($G330="T",SUM('School Level ADM'!$F330:$L330),SUM('School Level ADM'!$F330:$K330,0)))</f>
        <v>561.45000000000016</v>
      </c>
      <c r="J330" s="139">
        <f>'School Level ADM'!$S330-$I330-$K330</f>
        <v>0</v>
      </c>
      <c r="K330" s="139">
        <f>IF(SUM('School Level ADM'!$N330:$R330)='School Level ADM'!$S330,SUM('School Level ADM'!$N330:$R330),IF(OR(SUM('School Level ADM'!$F330:$O330)='School Level ADM'!$S330,SUM('School Level ADM'!$G330:$O330)='School Level ADM'!$S330,SUM('School Level ADM'!$H330:$O330)='School Level ADM'!$S330,SUM('School Level ADM'!$I330:$O330)='School Level ADM'!$S330,SUM('School Level ADM'!$J330:$O330)='School Level ADM'!$S330,SUM('School Level ADM'!$K330:$O330)='School Level ADM'!$S330,SUM('School Level ADM'!$L330:$O330)='School Level ADM'!$S330,SUM('School Level ADM'!$M330:$O330)='School Level ADM'!$S330,SUM('School Level ADM'!$N330:$O330)='School Level ADM'!$S330),0,SUM('School Level ADM'!$O330:$R330)))</f>
        <v>0</v>
      </c>
      <c r="L330" s="139">
        <f t="shared" si="71"/>
        <v>561.45000000000016</v>
      </c>
      <c r="M330" s="24">
        <f>'Student At-Risk and ELL Proxy'!S330</f>
        <v>233</v>
      </c>
      <c r="N330" s="24">
        <f>'Student At-Risk and ELL Proxy'!AH330</f>
        <v>209</v>
      </c>
      <c r="O330" s="136">
        <f t="shared" si="77"/>
        <v>0.97</v>
      </c>
      <c r="P330" s="136" t="str">
        <f t="shared" si="78"/>
        <v/>
      </c>
      <c r="Q330" s="136" t="str">
        <f t="shared" si="79"/>
        <v/>
      </c>
      <c r="R330" s="136">
        <f t="shared" si="72"/>
        <v>0.97</v>
      </c>
      <c r="S330" s="136">
        <f>IF(SUM(3515.4*((VLOOKUP($A330,'District Level ADM'!$A$4:$F$52,6,FALSE))^-0.327)/'Model Data Inputs'!$B$71)&lt;1,1,(3515.4*((VLOOKUP($A330,'District Level ADM'!$A$4:$F$52,6,FALSE))^-0.327)/'Model Data Inputs'!$B$71))</f>
        <v>1.3773253195283854</v>
      </c>
      <c r="T330" s="136">
        <f>VLOOKUP($A330,'Regional Cost Adjustment'!$A$4:$C$52,3,FALSE)</f>
        <v>1.1200000000000001</v>
      </c>
      <c r="U330" s="123">
        <f>((($I330/$L330)*'Model Data Inputs'!$B$85)+((SUM(J330:K330)/$L330)*'Model Data Inputs'!$C$85))*$R330*$T330</f>
        <v>6917.7472739565037</v>
      </c>
      <c r="V330" s="140">
        <f>((($I330/$L330)*'Model Data Inputs'!$B$86)+((SUM(J330:K330)/$L330)*'Model Data Inputs'!$C$86))*$R330</f>
        <v>1641.8459994936507</v>
      </c>
      <c r="W330" s="140">
        <f t="shared" si="80"/>
        <v>8559.5932734501548</v>
      </c>
      <c r="X330" s="140">
        <f t="shared" si="73"/>
        <v>3883969.2069628802</v>
      </c>
      <c r="Y330" s="140">
        <f t="shared" si="74"/>
        <v>921814.43641571037</v>
      </c>
      <c r="Z330" s="123">
        <f>IF((SUM(X330:Y330))&lt;(AVERAGE('Elementary Size Adjustment'!$B$66,'Secondary Size Adjustment'!$B$66)),(AVERAGE('Elementary Size Adjustment'!$B$66,'Secondary Size Adjustment'!$B$66)),SUM(X330:Y330))</f>
        <v>4805783.6433785902</v>
      </c>
      <c r="AA330" s="137">
        <f>'Model Data Inputs'!$B$71*S330*L330</f>
        <v>146926.8671233503</v>
      </c>
      <c r="AB330" s="137">
        <f>L330*'Model Data Inputs'!$B$72</f>
        <v>14036.250000000004</v>
      </c>
      <c r="AC330" s="137">
        <f>L330*'Model Data Inputs'!$B$73</f>
        <v>140362.50000000003</v>
      </c>
      <c r="AD330" s="137">
        <f>L330*'Model Data Inputs'!$B$74</f>
        <v>70181.250000000015</v>
      </c>
      <c r="AE330" s="137">
        <f>$I330*'Model Data Inputs'!$B$76</f>
        <v>13356.895500000004</v>
      </c>
      <c r="AF330" s="137">
        <f>VLOOKUP($J330,'Student Activities MS&amp;HS Tables'!$M$7:$O$1267,3)</f>
        <v>0</v>
      </c>
      <c r="AG330" s="137">
        <f>VLOOKUP($K330,'Student Activities MS&amp;HS Tables'!$I$7:$K$3007,3)</f>
        <v>0</v>
      </c>
      <c r="AH330" s="137">
        <f t="shared" si="75"/>
        <v>13356.895500000004</v>
      </c>
      <c r="AI330" s="123">
        <f t="shared" si="81"/>
        <v>5190647.4060019404</v>
      </c>
      <c r="AJ330" s="123">
        <f>(('Model Data Inputs'!$B$90*(('Model Data Inputs'!$B$87*('School Level Inst. Resources'!I330/'School Level Inst. Resources'!L330))+('Model Data Inputs'!$C$87*(SUM('School Level Inst. Resources'!J330:K330)/'School Level Inst. Resources'!L330))))*T330*M330)</f>
        <v>631017.91139991593</v>
      </c>
      <c r="AK330" s="123">
        <f>(('Model Data Inputs'!$B$91*(('Model Data Inputs'!$B$87*('School Level Inst. Resources'!I330/'School Level Inst. Resources'!L330))+('Model Data Inputs'!$C$87*(SUM('School Level Inst. Resources'!J330:K330)/'School Level Inst. Resources'!L330))))*T330*N330)</f>
        <v>566020.35829434521</v>
      </c>
      <c r="AL330" s="137">
        <f>(K330*'Model Data Inputs'!$B$94)*T330</f>
        <v>0</v>
      </c>
      <c r="AM330" s="137">
        <f>K330*'Model Data Inputs'!$B$95</f>
        <v>0</v>
      </c>
      <c r="AN330" s="137">
        <f t="shared" si="82"/>
        <v>0</v>
      </c>
      <c r="AO330" s="137">
        <f>('School Level Inst. Resources'!K330*'Model Data Inputs'!$B$96)+('School Level Inst. Resources'!J330*'Model Data Inputs'!$B$97)</f>
        <v>0</v>
      </c>
      <c r="AP330" s="137">
        <f>$L330*'Model Data Inputs'!$B$100</f>
        <v>22458.000000000007</v>
      </c>
      <c r="AQ330" s="137">
        <f t="shared" si="83"/>
        <v>6410143.6756962016</v>
      </c>
      <c r="AR330" s="141">
        <f t="shared" si="76"/>
        <v>11417.122941840234</v>
      </c>
    </row>
    <row r="331" spans="1:44" s="40" customFormat="1" ht="12.75" customHeight="1" x14ac:dyDescent="0.2">
      <c r="A331" s="20" t="s">
        <v>94</v>
      </c>
      <c r="B331" s="20" t="s">
        <v>95</v>
      </c>
      <c r="C331" s="20" t="s">
        <v>1027</v>
      </c>
      <c r="D331" s="20" t="s">
        <v>1028</v>
      </c>
      <c r="E331" s="138" t="s">
        <v>383</v>
      </c>
      <c r="F331" s="138" t="str">
        <f>IF(AND(SUM('School Level ADM'!$F331:$J331)=0,SUM('School Level ADM'!$O331:$R331)=0,'School Level ADM'!$K331&gt;0,'School Level ADM'!$N331&gt;0),"T","F")</f>
        <v>F</v>
      </c>
      <c r="G331" s="138" t="str">
        <f>IF(AND(SUM('School Level ADM'!$M331:$R331)=0,'School Level ADM'!$L331&gt;0),"T","F")</f>
        <v>F</v>
      </c>
      <c r="H331" s="138" t="str">
        <f t="shared" si="70"/>
        <v>M</v>
      </c>
      <c r="I331" s="139">
        <f>IF($F331="T",SUM('School Level ADM'!$F331:$J331),IF($G331="T",SUM('School Level ADM'!$F331:$L331),SUM('School Level ADM'!$F331:$K331,0)))</f>
        <v>0</v>
      </c>
      <c r="J331" s="139">
        <f>'School Level ADM'!$S331-$I331-$K331</f>
        <v>682.60500000000002</v>
      </c>
      <c r="K331" s="139">
        <f>IF(SUM('School Level ADM'!$N331:$R331)='School Level ADM'!$S331,SUM('School Level ADM'!$N331:$R331),IF(OR(SUM('School Level ADM'!$F331:$O331)='School Level ADM'!$S331,SUM('School Level ADM'!$G331:$O331)='School Level ADM'!$S331,SUM('School Level ADM'!$H331:$O331)='School Level ADM'!$S331,SUM('School Level ADM'!$I331:$O331)='School Level ADM'!$S331,SUM('School Level ADM'!$J331:$O331)='School Level ADM'!$S331,SUM('School Level ADM'!$K331:$O331)='School Level ADM'!$S331,SUM('School Level ADM'!$L331:$O331)='School Level ADM'!$S331,SUM('School Level ADM'!$M331:$O331)='School Level ADM'!$S331,SUM('School Level ADM'!$N331:$O331)='School Level ADM'!$S331),0,SUM('School Level ADM'!$O331:$R331)))</f>
        <v>0</v>
      </c>
      <c r="L331" s="139">
        <f t="shared" si="71"/>
        <v>682.60500000000002</v>
      </c>
      <c r="M331" s="24">
        <f>'Student At-Risk and ELL Proxy'!S331</f>
        <v>187</v>
      </c>
      <c r="N331" s="24">
        <f>'Student At-Risk and ELL Proxy'!AH331</f>
        <v>78</v>
      </c>
      <c r="O331" s="136" t="str">
        <f t="shared" si="77"/>
        <v/>
      </c>
      <c r="P331" s="136">
        <f t="shared" si="78"/>
        <v>0.97</v>
      </c>
      <c r="Q331" s="136" t="str">
        <f t="shared" si="79"/>
        <v/>
      </c>
      <c r="R331" s="136">
        <f t="shared" si="72"/>
        <v>0.97</v>
      </c>
      <c r="S331" s="136">
        <f>IF(SUM(3515.4*((VLOOKUP($A331,'District Level ADM'!$A$4:$F$52,6,FALSE))^-0.327)/'Model Data Inputs'!$B$71)&lt;1,1,(3515.4*((VLOOKUP($A331,'District Level ADM'!$A$4:$F$52,6,FALSE))^-0.327)/'Model Data Inputs'!$B$71))</f>
        <v>1.3773253195283854</v>
      </c>
      <c r="T331" s="136">
        <f>VLOOKUP($A331,'Regional Cost Adjustment'!$A$4:$C$52,3,FALSE)</f>
        <v>1.1200000000000001</v>
      </c>
      <c r="U331" s="123">
        <f>((($I331/$L331)*'Model Data Inputs'!$B$85)+((SUM(J331:K331)/$L331)*'Model Data Inputs'!$C$85))*$R331*$T331</f>
        <v>5847.8625013223445</v>
      </c>
      <c r="V331" s="140">
        <f>((($I331/$L331)*'Model Data Inputs'!$B$86)+((SUM(J331:K331)/$L331)*'Model Data Inputs'!$C$86))*$R331</f>
        <v>1390.1145343996893</v>
      </c>
      <c r="W331" s="140">
        <f t="shared" si="80"/>
        <v>7237.9770357220341</v>
      </c>
      <c r="X331" s="140">
        <f t="shared" si="73"/>
        <v>3991780.1827151389</v>
      </c>
      <c r="Y331" s="140">
        <f t="shared" si="74"/>
        <v>948899.13175389997</v>
      </c>
      <c r="Z331" s="123">
        <f>IF((SUM(X331:Y331))&lt;(AVERAGE('Elementary Size Adjustment'!$B$66,'Secondary Size Adjustment'!$B$66)),(AVERAGE('Elementary Size Adjustment'!$B$66,'Secondary Size Adjustment'!$B$66)),SUM(X331:Y331))</f>
        <v>4940679.3144690385</v>
      </c>
      <c r="AA331" s="137">
        <f>'Model Data Inputs'!$B$71*S331*L331</f>
        <v>178632.13844996796</v>
      </c>
      <c r="AB331" s="137">
        <f>L331*'Model Data Inputs'!$B$72</f>
        <v>17065.125</v>
      </c>
      <c r="AC331" s="137">
        <f>L331*'Model Data Inputs'!$B$73</f>
        <v>170651.25</v>
      </c>
      <c r="AD331" s="137">
        <f>L331*'Model Data Inputs'!$B$74</f>
        <v>85325.625</v>
      </c>
      <c r="AE331" s="137">
        <f>$I331*'Model Data Inputs'!$B$76</f>
        <v>0</v>
      </c>
      <c r="AF331" s="137">
        <f>VLOOKUP($J331,'Student Activities MS&amp;HS Tables'!$M$7:$O$1267,3)</f>
        <v>175089.86000000002</v>
      </c>
      <c r="AG331" s="137">
        <f>VLOOKUP($K331,'Student Activities MS&amp;HS Tables'!$I$7:$K$3007,3)</f>
        <v>0</v>
      </c>
      <c r="AH331" s="137">
        <f t="shared" si="75"/>
        <v>175089.86000000002</v>
      </c>
      <c r="AI331" s="123">
        <f t="shared" si="81"/>
        <v>5567443.3129190067</v>
      </c>
      <c r="AJ331" s="123">
        <f>(('Model Data Inputs'!$B$90*(('Model Data Inputs'!$B$87*('School Level Inst. Resources'!I331/'School Level Inst. Resources'!L331))+('Model Data Inputs'!$C$87*(SUM('School Level Inst. Resources'!J331:K331)/'School Level Inst. Resources'!L331))))*T331*M331)</f>
        <v>428256.45644287096</v>
      </c>
      <c r="AK331" s="123">
        <f>(('Model Data Inputs'!$B$91*(('Model Data Inputs'!$B$87*('School Level Inst. Resources'!I331/'School Level Inst. Resources'!L331))+('Model Data Inputs'!$C$87*(SUM('School Level Inst. Resources'!J331:K331)/'School Level Inst. Resources'!L331))))*T331*N331)</f>
        <v>178631.03530772158</v>
      </c>
      <c r="AL331" s="137">
        <f>(K331*'Model Data Inputs'!$B$94)*T331</f>
        <v>0</v>
      </c>
      <c r="AM331" s="137">
        <f>K331*'Model Data Inputs'!$B$95</f>
        <v>0</v>
      </c>
      <c r="AN331" s="137">
        <f t="shared" si="82"/>
        <v>0</v>
      </c>
      <c r="AO331" s="137">
        <f>('School Level Inst. Resources'!K331*'Model Data Inputs'!$B$96)+('School Level Inst. Resources'!J331*'Model Data Inputs'!$B$97)</f>
        <v>17065.125</v>
      </c>
      <c r="AP331" s="137">
        <f>$L331*'Model Data Inputs'!$B$100</f>
        <v>27304.2</v>
      </c>
      <c r="AQ331" s="137">
        <f t="shared" si="83"/>
        <v>6218700.1296695992</v>
      </c>
      <c r="AR331" s="141">
        <f t="shared" si="76"/>
        <v>9110.2469651842566</v>
      </c>
    </row>
    <row r="332" spans="1:44" s="40" customFormat="1" ht="12.75" customHeight="1" x14ac:dyDescent="0.2">
      <c r="A332" s="20" t="s">
        <v>94</v>
      </c>
      <c r="B332" s="20" t="s">
        <v>95</v>
      </c>
      <c r="C332" s="20" t="s">
        <v>1029</v>
      </c>
      <c r="D332" s="20" t="s">
        <v>1030</v>
      </c>
      <c r="E332" s="138" t="s">
        <v>389</v>
      </c>
      <c r="F332" s="138" t="str">
        <f>IF(AND(SUM('School Level ADM'!$F332:$J332)=0,SUM('School Level ADM'!$O332:$R332)=0,'School Level ADM'!$K332&gt;0,'School Level ADM'!$N332&gt;0),"T","F")</f>
        <v>F</v>
      </c>
      <c r="G332" s="138" t="str">
        <f>IF(AND(SUM('School Level ADM'!$M332:$R332)=0,'School Level ADM'!$L332&gt;0),"T","F")</f>
        <v>F</v>
      </c>
      <c r="H332" s="138" t="str">
        <f t="shared" si="70"/>
        <v>H</v>
      </c>
      <c r="I332" s="139">
        <f>IF($F332="T",SUM('School Level ADM'!$F332:$J332),IF($G332="T",SUM('School Level ADM'!$F332:$L332),SUM('School Level ADM'!$F332:$K332,0)))</f>
        <v>0</v>
      </c>
      <c r="J332" s="139">
        <f>'School Level ADM'!$S332-$I332-$K332</f>
        <v>0</v>
      </c>
      <c r="K332" s="139">
        <f>IF(SUM('School Level ADM'!$N332:$R332)='School Level ADM'!$S332,SUM('School Level ADM'!$N332:$R332),IF(OR(SUM('School Level ADM'!$F332:$O332)='School Level ADM'!$S332,SUM('School Level ADM'!$G332:$O332)='School Level ADM'!$S332,SUM('School Level ADM'!$H332:$O332)='School Level ADM'!$S332,SUM('School Level ADM'!$I332:$O332)='School Level ADM'!$S332,SUM('School Level ADM'!$J332:$O332)='School Level ADM'!$S332,SUM('School Level ADM'!$K332:$O332)='School Level ADM'!$S332,SUM('School Level ADM'!$L332:$O332)='School Level ADM'!$S332,SUM('School Level ADM'!$M332:$O332)='School Level ADM'!$S332,SUM('School Level ADM'!$N332:$O332)='School Level ADM'!$S332),0,SUM('School Level ADM'!$O332:$R332)))</f>
        <v>668.81499999999994</v>
      </c>
      <c r="L332" s="139">
        <f t="shared" si="71"/>
        <v>668.81499999999994</v>
      </c>
      <c r="M332" s="24">
        <f>'Student At-Risk and ELL Proxy'!S332</f>
        <v>178</v>
      </c>
      <c r="N332" s="24">
        <f>'Student At-Risk and ELL Proxy'!AH332</f>
        <v>62</v>
      </c>
      <c r="O332" s="136" t="str">
        <f t="shared" si="77"/>
        <v/>
      </c>
      <c r="P332" s="136">
        <f t="shared" si="78"/>
        <v>0.97</v>
      </c>
      <c r="Q332" s="136" t="str">
        <f t="shared" si="79"/>
        <v/>
      </c>
      <c r="R332" s="136">
        <f t="shared" si="72"/>
        <v>0.97</v>
      </c>
      <c r="S332" s="136">
        <f>IF(SUM(3515.4*((VLOOKUP($A332,'District Level ADM'!$A$4:$F$52,6,FALSE))^-0.327)/'Model Data Inputs'!$B$71)&lt;1,1,(3515.4*((VLOOKUP($A332,'District Level ADM'!$A$4:$F$52,6,FALSE))^-0.327)/'Model Data Inputs'!$B$71))</f>
        <v>1.3773253195283854</v>
      </c>
      <c r="T332" s="136">
        <f>VLOOKUP($A332,'Regional Cost Adjustment'!$A$4:$C$52,3,FALSE)</f>
        <v>1.1200000000000001</v>
      </c>
      <c r="U332" s="123">
        <f>((($I332/$L332)*'Model Data Inputs'!$B$85)+((SUM(J332:K332)/$L332)*'Model Data Inputs'!$C$85))*$R332*$T332</f>
        <v>5847.8625013223445</v>
      </c>
      <c r="V332" s="140">
        <f>((($I332/$L332)*'Model Data Inputs'!$B$86)+((SUM(J332:K332)/$L332)*'Model Data Inputs'!$C$86))*$R332</f>
        <v>1390.1145343996893</v>
      </c>
      <c r="W332" s="140">
        <f t="shared" si="80"/>
        <v>7237.9770357220341</v>
      </c>
      <c r="X332" s="140">
        <f t="shared" si="73"/>
        <v>3911138.1588219036</v>
      </c>
      <c r="Y332" s="140">
        <f t="shared" si="74"/>
        <v>929729.45232452813</v>
      </c>
      <c r="Z332" s="123">
        <f>IF((SUM(X332:Y332))&lt;(AVERAGE('Elementary Size Adjustment'!$B$66,'Secondary Size Adjustment'!$B$66)),(AVERAGE('Elementary Size Adjustment'!$B$66,'Secondary Size Adjustment'!$B$66)),SUM(X332:Y332))</f>
        <v>4840867.6111464314</v>
      </c>
      <c r="AA332" s="137">
        <f>'Model Data Inputs'!$B$71*S332*L332</f>
        <v>175023.40838027163</v>
      </c>
      <c r="AB332" s="137">
        <f>L332*'Model Data Inputs'!$B$72</f>
        <v>16720.375</v>
      </c>
      <c r="AC332" s="137">
        <f>L332*'Model Data Inputs'!$B$73</f>
        <v>167203.74999999997</v>
      </c>
      <c r="AD332" s="137">
        <f>L332*'Model Data Inputs'!$B$74</f>
        <v>83601.874999999985</v>
      </c>
      <c r="AE332" s="137">
        <f>$I332*'Model Data Inputs'!$B$76</f>
        <v>0</v>
      </c>
      <c r="AF332" s="137">
        <f>VLOOKUP($J332,'Student Activities MS&amp;HS Tables'!$M$7:$O$1267,3)</f>
        <v>0</v>
      </c>
      <c r="AG332" s="137">
        <f>VLOOKUP($K332,'Student Activities MS&amp;HS Tables'!$I$7:$K$3007,3)</f>
        <v>471861.84</v>
      </c>
      <c r="AH332" s="137">
        <f t="shared" si="75"/>
        <v>471861.84</v>
      </c>
      <c r="AI332" s="123">
        <f t="shared" si="81"/>
        <v>5755278.8595267031</v>
      </c>
      <c r="AJ332" s="123">
        <f>(('Model Data Inputs'!$B$90*(('Model Data Inputs'!$B$87*('School Level Inst. Resources'!I332/'School Level Inst. Resources'!L332))+('Model Data Inputs'!$C$87*(SUM('School Level Inst. Resources'!J332:K332)/'School Level Inst. Resources'!L332))))*T332*M332)</f>
        <v>407645.18313813384</v>
      </c>
      <c r="AK332" s="123">
        <f>(('Model Data Inputs'!$B$91*(('Model Data Inputs'!$B$87*('School Level Inst. Resources'!I332/'School Level Inst. Resources'!L332))+('Model Data Inputs'!$C$87*(SUM('School Level Inst. Resources'!J332:K332)/'School Level Inst. Resources'!L332))))*T332*N332)</f>
        <v>141988.77165485561</v>
      </c>
      <c r="AL332" s="137">
        <f>(K332*'Model Data Inputs'!$B$94)*T332</f>
        <v>123645.967652844</v>
      </c>
      <c r="AM332" s="137">
        <f>K332*'Model Data Inputs'!$B$95</f>
        <v>28029.919607374995</v>
      </c>
      <c r="AN332" s="137">
        <f t="shared" si="82"/>
        <v>151675.88726021899</v>
      </c>
      <c r="AO332" s="137">
        <f>('School Level Inst. Resources'!K332*'Model Data Inputs'!$B$96)+('School Level Inst. Resources'!J332*'Model Data Inputs'!$B$97)</f>
        <v>66881.5</v>
      </c>
      <c r="AP332" s="137">
        <f>$L332*'Model Data Inputs'!$B$100</f>
        <v>26752.6</v>
      </c>
      <c r="AQ332" s="137">
        <f t="shared" si="83"/>
        <v>6550222.8015799113</v>
      </c>
      <c r="AR332" s="141">
        <f t="shared" si="76"/>
        <v>9793.7737664076194</v>
      </c>
    </row>
    <row r="333" spans="1:44" s="40" customFormat="1" ht="12.75" customHeight="1" x14ac:dyDescent="0.2">
      <c r="A333" s="20" t="s">
        <v>94</v>
      </c>
      <c r="B333" s="20" t="s">
        <v>95</v>
      </c>
      <c r="C333" s="20" t="s">
        <v>1031</v>
      </c>
      <c r="D333" s="20" t="s">
        <v>1032</v>
      </c>
      <c r="E333" s="138" t="s">
        <v>389</v>
      </c>
      <c r="F333" s="138" t="str">
        <f>IF(AND(SUM('School Level ADM'!$F333:$J333)=0,SUM('School Level ADM'!$O333:$R333)=0,'School Level ADM'!$K333&gt;0,'School Level ADM'!$N333&gt;0),"T","F")</f>
        <v>F</v>
      </c>
      <c r="G333" s="138" t="str">
        <f>IF(AND(SUM('School Level ADM'!$M333:$R333)=0,'School Level ADM'!$L333&gt;0),"T","F")</f>
        <v>F</v>
      </c>
      <c r="H333" s="138" t="str">
        <f t="shared" si="70"/>
        <v>H</v>
      </c>
      <c r="I333" s="139">
        <f>IF($F333="T",SUM('School Level ADM'!$F333:$J333),IF($G333="T",SUM('School Level ADM'!$F333:$L333),SUM('School Level ADM'!$F333:$K333,0)))</f>
        <v>0</v>
      </c>
      <c r="J333" s="139">
        <f>'School Level ADM'!$S333-$I333-$K333</f>
        <v>0</v>
      </c>
      <c r="K333" s="139">
        <f>IF(SUM('School Level ADM'!$N333:$R333)='School Level ADM'!$S333,SUM('School Level ADM'!$N333:$R333),IF(OR(SUM('School Level ADM'!$F333:$O333)='School Level ADM'!$S333,SUM('School Level ADM'!$G333:$O333)='School Level ADM'!$S333,SUM('School Level ADM'!$H333:$O333)='School Level ADM'!$S333,SUM('School Level ADM'!$I333:$O333)='School Level ADM'!$S333,SUM('School Level ADM'!$J333:$O333)='School Level ADM'!$S333,SUM('School Level ADM'!$K333:$O333)='School Level ADM'!$S333,SUM('School Level ADM'!$L333:$O333)='School Level ADM'!$S333,SUM('School Level ADM'!$M333:$O333)='School Level ADM'!$S333,SUM('School Level ADM'!$N333:$O333)='School Level ADM'!$S333),0,SUM('School Level ADM'!$O333:$R333)))</f>
        <v>46.295000000000002</v>
      </c>
      <c r="L333" s="139">
        <f t="shared" si="71"/>
        <v>46.295000000000002</v>
      </c>
      <c r="M333" s="24">
        <f>'Student At-Risk and ELL Proxy'!S333</f>
        <v>49</v>
      </c>
      <c r="N333" s="24">
        <f>'Student At-Risk and ELL Proxy'!AH333</f>
        <v>16</v>
      </c>
      <c r="O333" s="136" t="str">
        <f t="shared" si="77"/>
        <v/>
      </c>
      <c r="P333" s="136">
        <f t="shared" si="78"/>
        <v>2.3752002441516953</v>
      </c>
      <c r="Q333" s="136" t="str">
        <f t="shared" si="79"/>
        <v/>
      </c>
      <c r="R333" s="136">
        <f t="shared" si="72"/>
        <v>2.3752002441516953</v>
      </c>
      <c r="S333" s="136">
        <f>IF(SUM(3515.4*((VLOOKUP($A333,'District Level ADM'!$A$4:$F$52,6,FALSE))^-0.327)/'Model Data Inputs'!$B$71)&lt;1,1,(3515.4*((VLOOKUP($A333,'District Level ADM'!$A$4:$F$52,6,FALSE))^-0.327)/'Model Data Inputs'!$B$71))</f>
        <v>1.3773253195283854</v>
      </c>
      <c r="T333" s="136">
        <f>VLOOKUP($A333,'Regional Cost Adjustment'!$A$4:$C$52,3,FALSE)</f>
        <v>1.1200000000000001</v>
      </c>
      <c r="U333" s="123">
        <f>((($I333/$L333)*'Model Data Inputs'!$B$85)+((SUM(J333:K333)/$L333)*'Model Data Inputs'!$C$85))*$R333*$T333</f>
        <v>14319.427258666368</v>
      </c>
      <c r="V333" s="140">
        <f>((($I333/$L333)*'Model Data Inputs'!$B$86)+((SUM(J333:K333)/$L333)*'Model Data Inputs'!$C$86))*$R333</f>
        <v>3403.9179190772811</v>
      </c>
      <c r="W333" s="140">
        <f t="shared" si="80"/>
        <v>17723.345177743649</v>
      </c>
      <c r="X333" s="140">
        <f t="shared" si="73"/>
        <v>662917.88493995951</v>
      </c>
      <c r="Y333" s="140">
        <f t="shared" si="74"/>
        <v>157584.38006368274</v>
      </c>
      <c r="Z333" s="123">
        <f>IF((SUM(X333:Y333))&lt;(AVERAGE('Elementary Size Adjustment'!$B$66,'Secondary Size Adjustment'!$B$66)),(AVERAGE('Elementary Size Adjustment'!$B$66,'Secondary Size Adjustment'!$B$66)),SUM(X333:Y333))</f>
        <v>820502.2650036423</v>
      </c>
      <c r="AA333" s="137">
        <f>'Model Data Inputs'!$B$71*S333*L333</f>
        <v>12115.022376837655</v>
      </c>
      <c r="AB333" s="137">
        <f>L333*'Model Data Inputs'!$B$72</f>
        <v>1157.375</v>
      </c>
      <c r="AC333" s="137">
        <f>L333*'Model Data Inputs'!$B$73</f>
        <v>11573.75</v>
      </c>
      <c r="AD333" s="137">
        <f>L333*'Model Data Inputs'!$B$74</f>
        <v>5786.875</v>
      </c>
      <c r="AE333" s="137">
        <f>$I333*'Model Data Inputs'!$B$76</f>
        <v>0</v>
      </c>
      <c r="AF333" s="137">
        <f>VLOOKUP($J333,'Student Activities MS&amp;HS Tables'!$M$7:$O$1267,3)</f>
        <v>0</v>
      </c>
      <c r="AG333" s="137">
        <f>VLOOKUP($K333,'Student Activities MS&amp;HS Tables'!$I$7:$K$3007,3)</f>
        <v>83414.099999999991</v>
      </c>
      <c r="AH333" s="137">
        <f t="shared" si="75"/>
        <v>83414.099999999991</v>
      </c>
      <c r="AI333" s="123">
        <f t="shared" si="81"/>
        <v>934549.38738047995</v>
      </c>
      <c r="AJ333" s="123">
        <f>(('Model Data Inputs'!$B$90*(('Model Data Inputs'!$B$87*('School Level Inst. Resources'!I333/'School Level Inst. Resources'!L333))+('Model Data Inputs'!$C$87*(SUM('School Level Inst. Resources'!J333:K333)/'School Level Inst. Resources'!L333))))*T333*M333)</f>
        <v>112216.93243690202</v>
      </c>
      <c r="AK333" s="123">
        <f>(('Model Data Inputs'!$B$91*(('Model Data Inputs'!$B$87*('School Level Inst. Resources'!I333/'School Level Inst. Resources'!L333))+('Model Data Inputs'!$C$87*(SUM('School Level Inst. Resources'!J333:K333)/'School Level Inst. Resources'!L333))))*T333*N333)</f>
        <v>36642.263652865964</v>
      </c>
      <c r="AL333" s="137">
        <f>(K333*'Model Data Inputs'!$B$94)*T333</f>
        <v>8558.7046828920011</v>
      </c>
      <c r="AM333" s="137">
        <f>K333*'Model Data Inputs'!$B$95</f>
        <v>1940.2153483750001</v>
      </c>
      <c r="AN333" s="137">
        <f t="shared" si="82"/>
        <v>10498.920031267002</v>
      </c>
      <c r="AO333" s="137">
        <f>('School Level Inst. Resources'!K333*'Model Data Inputs'!$B$96)+('School Level Inst. Resources'!J333*'Model Data Inputs'!$B$97)</f>
        <v>4629.5</v>
      </c>
      <c r="AP333" s="137">
        <f>$L333*'Model Data Inputs'!$B$100</f>
        <v>1851.8000000000002</v>
      </c>
      <c r="AQ333" s="137">
        <f t="shared" si="83"/>
        <v>1100388.803501515</v>
      </c>
      <c r="AR333" s="141">
        <f t="shared" si="76"/>
        <v>23769.063689416027</v>
      </c>
    </row>
    <row r="334" spans="1:44" s="40" customFormat="1" ht="12.75" customHeight="1" x14ac:dyDescent="0.2">
      <c r="A334" s="20" t="s">
        <v>96</v>
      </c>
      <c r="B334" s="20" t="s">
        <v>97</v>
      </c>
      <c r="C334" s="20" t="s">
        <v>1033</v>
      </c>
      <c r="D334" s="20" t="s">
        <v>845</v>
      </c>
      <c r="E334" s="138" t="s">
        <v>354</v>
      </c>
      <c r="F334" s="138" t="str">
        <f>IF(AND(SUM('School Level ADM'!$F334:$J334)=0,SUM('School Level ADM'!$O334:$R334)=0,'School Level ADM'!$K334&gt;0,'School Level ADM'!$N334&gt;0),"T","F")</f>
        <v>F</v>
      </c>
      <c r="G334" s="138" t="str">
        <f>IF(AND(SUM('School Level ADM'!$M334:$R334)=0,'School Level ADM'!$L334&gt;0),"T","F")</f>
        <v>F</v>
      </c>
      <c r="H334" s="138" t="str">
        <f t="shared" si="70"/>
        <v>E</v>
      </c>
      <c r="I334" s="139">
        <f>IF($F334="T",SUM('School Level ADM'!$F334:$J334),IF($G334="T",SUM('School Level ADM'!$F334:$L334),SUM('School Level ADM'!$F334:$K334,0)))</f>
        <v>205.03033333333332</v>
      </c>
      <c r="J334" s="139">
        <f>'School Level ADM'!$S334-$I334-$K334</f>
        <v>0</v>
      </c>
      <c r="K334" s="139">
        <f>IF(SUM('School Level ADM'!$N334:$R334)='School Level ADM'!$S334,SUM('School Level ADM'!$N334:$R334),IF(OR(SUM('School Level ADM'!$F334:$O334)='School Level ADM'!$S334,SUM('School Level ADM'!$G334:$O334)='School Level ADM'!$S334,SUM('School Level ADM'!$H334:$O334)='School Level ADM'!$S334,SUM('School Level ADM'!$I334:$O334)='School Level ADM'!$S334,SUM('School Level ADM'!$J334:$O334)='School Level ADM'!$S334,SUM('School Level ADM'!$K334:$O334)='School Level ADM'!$S334,SUM('School Level ADM'!$L334:$O334)='School Level ADM'!$S334,SUM('School Level ADM'!$M334:$O334)='School Level ADM'!$S334,SUM('School Level ADM'!$N334:$O334)='School Level ADM'!$S334),0,SUM('School Level ADM'!$O334:$R334)))</f>
        <v>0</v>
      </c>
      <c r="L334" s="139">
        <f t="shared" si="71"/>
        <v>205.03033333333332</v>
      </c>
      <c r="M334" s="24">
        <f>'Student At-Risk and ELL Proxy'!S334</f>
        <v>103</v>
      </c>
      <c r="N334" s="24">
        <f>'Student At-Risk and ELL Proxy'!AH334</f>
        <v>10</v>
      </c>
      <c r="O334" s="136">
        <f t="shared" si="77"/>
        <v>1.154867872345221</v>
      </c>
      <c r="P334" s="136" t="str">
        <f t="shared" si="78"/>
        <v/>
      </c>
      <c r="Q334" s="136" t="str">
        <f t="shared" si="79"/>
        <v/>
      </c>
      <c r="R334" s="136">
        <f t="shared" si="72"/>
        <v>1.154867872345221</v>
      </c>
      <c r="S334" s="136">
        <f>IF(SUM(3515.4*((VLOOKUP($A334,'District Level ADM'!$A$4:$F$52,6,FALSE))^-0.327)/'Model Data Inputs'!$B$71)&lt;1,1,(3515.4*((VLOOKUP($A334,'District Level ADM'!$A$4:$F$52,6,FALSE))^-0.327)/'Model Data Inputs'!$B$71))</f>
        <v>1.3942224612583372</v>
      </c>
      <c r="T334" s="136">
        <f>VLOOKUP($A334,'Regional Cost Adjustment'!$A$4:$C$52,3,FALSE)</f>
        <v>0.98</v>
      </c>
      <c r="U334" s="123">
        <f>((($I334/$L334)*'Model Data Inputs'!$B$85)+((SUM(J334:K334)/$L334)*'Model Data Inputs'!$C$85))*$R334*$T334</f>
        <v>7206.6480064268935</v>
      </c>
      <c r="V334" s="140">
        <f>((($I334/$L334)*'Model Data Inputs'!$B$86)+((SUM(J334:K334)/$L334)*'Model Data Inputs'!$C$86))*$R334</f>
        <v>1954.7579341791186</v>
      </c>
      <c r="W334" s="140">
        <f t="shared" si="80"/>
        <v>9161.4059406060114</v>
      </c>
      <c r="X334" s="140">
        <f t="shared" si="73"/>
        <v>1477581.442973708</v>
      </c>
      <c r="Y334" s="140">
        <f t="shared" si="74"/>
        <v>400784.67083072272</v>
      </c>
      <c r="Z334" s="123">
        <f>IF((SUM(X334:Y334))&lt;(AVERAGE('Elementary Size Adjustment'!$B$66,'Secondary Size Adjustment'!$B$66)),(AVERAGE('Elementary Size Adjustment'!$B$66,'Secondary Size Adjustment'!$B$66)),SUM(X334:Y334))</f>
        <v>1878366.1138044307</v>
      </c>
      <c r="AA334" s="137">
        <f>'Model Data Inputs'!$B$71*S334*L334</f>
        <v>54313.000234797284</v>
      </c>
      <c r="AB334" s="137">
        <f>L334*'Model Data Inputs'!$B$72</f>
        <v>5125.7583333333332</v>
      </c>
      <c r="AC334" s="137">
        <f>L334*'Model Data Inputs'!$B$73</f>
        <v>51257.583333333328</v>
      </c>
      <c r="AD334" s="137">
        <f>L334*'Model Data Inputs'!$B$74</f>
        <v>25628.791666666664</v>
      </c>
      <c r="AE334" s="137">
        <f>$I334*'Model Data Inputs'!$B$76</f>
        <v>4877.6716299999998</v>
      </c>
      <c r="AF334" s="137">
        <f>VLOOKUP($J334,'Student Activities MS&amp;HS Tables'!$M$7:$O$1267,3)</f>
        <v>0</v>
      </c>
      <c r="AG334" s="137">
        <f>VLOOKUP($K334,'Student Activities MS&amp;HS Tables'!$I$7:$K$3007,3)</f>
        <v>0</v>
      </c>
      <c r="AH334" s="137">
        <f t="shared" si="75"/>
        <v>4877.6716299999998</v>
      </c>
      <c r="AI334" s="123">
        <f t="shared" si="81"/>
        <v>2019568.9190025614</v>
      </c>
      <c r="AJ334" s="123">
        <f>(('Model Data Inputs'!$B$90*(('Model Data Inputs'!$B$87*('School Level Inst. Resources'!I334/'School Level Inst. Resources'!L334))+('Model Data Inputs'!$C$87*(SUM('School Level Inst. Resources'!J334:K334)/'School Level Inst. Resources'!L334))))*T334*M334)</f>
        <v>244079.35306831513</v>
      </c>
      <c r="AK334" s="123">
        <f>(('Model Data Inputs'!$B$91*(('Model Data Inputs'!$B$87*('School Level Inst. Resources'!I334/'School Level Inst. Resources'!L334))+('Model Data Inputs'!$C$87*(SUM('School Level Inst. Resources'!J334:K334)/'School Level Inst. Resources'!L334))))*T334*N334)</f>
        <v>23697.024569739333</v>
      </c>
      <c r="AL334" s="137">
        <f>(K334*'Model Data Inputs'!$B$94)*T334</f>
        <v>0</v>
      </c>
      <c r="AM334" s="137">
        <f>K334*'Model Data Inputs'!$B$95</f>
        <v>0</v>
      </c>
      <c r="AN334" s="137">
        <f t="shared" si="82"/>
        <v>0</v>
      </c>
      <c r="AO334" s="137">
        <f>('School Level Inst. Resources'!K334*'Model Data Inputs'!$B$96)+('School Level Inst. Resources'!J334*'Model Data Inputs'!$B$97)</f>
        <v>0</v>
      </c>
      <c r="AP334" s="137">
        <f>$L334*'Model Data Inputs'!$B$100</f>
        <v>8201.2133333333331</v>
      </c>
      <c r="AQ334" s="137">
        <f t="shared" si="83"/>
        <v>2295546.5099739488</v>
      </c>
      <c r="AR334" s="141">
        <f t="shared" si="76"/>
        <v>11196.131190217135</v>
      </c>
    </row>
    <row r="335" spans="1:44" s="40" customFormat="1" ht="12.75" customHeight="1" x14ac:dyDescent="0.2">
      <c r="A335" s="20" t="s">
        <v>96</v>
      </c>
      <c r="B335" s="20" t="s">
        <v>97</v>
      </c>
      <c r="C335" s="20" t="s">
        <v>1034</v>
      </c>
      <c r="D335" s="20" t="s">
        <v>1035</v>
      </c>
      <c r="E335" s="138" t="s">
        <v>354</v>
      </c>
      <c r="F335" s="138" t="str">
        <f>IF(AND(SUM('School Level ADM'!$F335:$J335)=0,SUM('School Level ADM'!$O335:$R335)=0,'School Level ADM'!$K335&gt;0,'School Level ADM'!$N335&gt;0),"T","F")</f>
        <v>F</v>
      </c>
      <c r="G335" s="138" t="str">
        <f>IF(AND(SUM('School Level ADM'!$M335:$R335)=0,'School Level ADM'!$L335&gt;0),"T","F")</f>
        <v>F</v>
      </c>
      <c r="H335" s="138" t="str">
        <f t="shared" si="70"/>
        <v>E</v>
      </c>
      <c r="I335" s="139">
        <f>IF($F335="T",SUM('School Level ADM'!$F335:$J335),IF($G335="T",SUM('School Level ADM'!$F335:$L335),SUM('School Level ADM'!$F335:$K335,0)))</f>
        <v>475.61866666666668</v>
      </c>
      <c r="J335" s="139">
        <f>'School Level ADM'!$S335-$I335-$K335</f>
        <v>0</v>
      </c>
      <c r="K335" s="139">
        <f>IF(SUM('School Level ADM'!$N335:$R335)='School Level ADM'!$S335,SUM('School Level ADM'!$N335:$R335),IF(OR(SUM('School Level ADM'!$F335:$O335)='School Level ADM'!$S335,SUM('School Level ADM'!$G335:$O335)='School Level ADM'!$S335,SUM('School Level ADM'!$H335:$O335)='School Level ADM'!$S335,SUM('School Level ADM'!$I335:$O335)='School Level ADM'!$S335,SUM('School Level ADM'!$J335:$O335)='School Level ADM'!$S335,SUM('School Level ADM'!$K335:$O335)='School Level ADM'!$S335,SUM('School Level ADM'!$L335:$O335)='School Level ADM'!$S335,SUM('School Level ADM'!$M335:$O335)='School Level ADM'!$S335,SUM('School Level ADM'!$N335:$O335)='School Level ADM'!$S335),0,SUM('School Level ADM'!$O335:$R335)))</f>
        <v>0</v>
      </c>
      <c r="L335" s="139">
        <f t="shared" si="71"/>
        <v>475.61866666666668</v>
      </c>
      <c r="M335" s="24">
        <f>'Student At-Risk and ELL Proxy'!S335</f>
        <v>235</v>
      </c>
      <c r="N335" s="24">
        <f>'Student At-Risk and ELL Proxy'!AH335</f>
        <v>48</v>
      </c>
      <c r="O335" s="136">
        <f t="shared" si="77"/>
        <v>0.97</v>
      </c>
      <c r="P335" s="136" t="str">
        <f t="shared" si="78"/>
        <v/>
      </c>
      <c r="Q335" s="136" t="str">
        <f t="shared" si="79"/>
        <v/>
      </c>
      <c r="R335" s="136">
        <f t="shared" si="72"/>
        <v>0.97</v>
      </c>
      <c r="S335" s="136">
        <f>IF(SUM(3515.4*((VLOOKUP($A335,'District Level ADM'!$A$4:$F$52,6,FALSE))^-0.327)/'Model Data Inputs'!$B$71)&lt;1,1,(3515.4*((VLOOKUP($A335,'District Level ADM'!$A$4:$F$52,6,FALSE))^-0.327)/'Model Data Inputs'!$B$71))</f>
        <v>1.3942224612583372</v>
      </c>
      <c r="T335" s="136">
        <f>VLOOKUP($A335,'Regional Cost Adjustment'!$A$4:$C$52,3,FALSE)</f>
        <v>0.98</v>
      </c>
      <c r="U335" s="123">
        <f>((($I335/$L335)*'Model Data Inputs'!$B$85)+((SUM(J335:K335)/$L335)*'Model Data Inputs'!$C$85))*$R335*$T335</f>
        <v>6053.0288647119396</v>
      </c>
      <c r="V335" s="140">
        <f>((($I335/$L335)*'Model Data Inputs'!$B$86)+((SUM(J335:K335)/$L335)*'Model Data Inputs'!$C$86))*$R335</f>
        <v>1641.8459994936507</v>
      </c>
      <c r="W335" s="140">
        <f t="shared" si="80"/>
        <v>7694.8748642055907</v>
      </c>
      <c r="X335" s="140">
        <f t="shared" si="73"/>
        <v>2878933.51792914</v>
      </c>
      <c r="Y335" s="140">
        <f t="shared" si="74"/>
        <v>780892.60515117086</v>
      </c>
      <c r="Z335" s="123">
        <f>IF((SUM(X335:Y335))&lt;(AVERAGE('Elementary Size Adjustment'!$B$66,'Secondary Size Adjustment'!$B$66)),(AVERAGE('Elementary Size Adjustment'!$B$66,'Secondary Size Adjustment'!$B$66)),SUM(X335:Y335))</f>
        <v>3659826.1230803109</v>
      </c>
      <c r="AA335" s="137">
        <f>'Model Data Inputs'!$B$71*S335*L335</f>
        <v>125992.46333147766</v>
      </c>
      <c r="AB335" s="137">
        <f>L335*'Model Data Inputs'!$B$72</f>
        <v>11890.466666666667</v>
      </c>
      <c r="AC335" s="137">
        <f>L335*'Model Data Inputs'!$B$73</f>
        <v>118904.66666666667</v>
      </c>
      <c r="AD335" s="137">
        <f>L335*'Model Data Inputs'!$B$74</f>
        <v>59452.333333333336</v>
      </c>
      <c r="AE335" s="137">
        <f>$I335*'Model Data Inputs'!$B$76</f>
        <v>11314.968080000001</v>
      </c>
      <c r="AF335" s="137">
        <f>VLOOKUP($J335,'Student Activities MS&amp;HS Tables'!$M$7:$O$1267,3)</f>
        <v>0</v>
      </c>
      <c r="AG335" s="137">
        <f>VLOOKUP($K335,'Student Activities MS&amp;HS Tables'!$I$7:$K$3007,3)</f>
        <v>0</v>
      </c>
      <c r="AH335" s="137">
        <f t="shared" si="75"/>
        <v>11314.968080000001</v>
      </c>
      <c r="AI335" s="123">
        <f t="shared" si="81"/>
        <v>3987381.0211584554</v>
      </c>
      <c r="AJ335" s="123">
        <f>(('Model Data Inputs'!$B$90*(('Model Data Inputs'!$B$87*('School Level Inst. Resources'!I335/'School Level Inst. Resources'!L335))+('Model Data Inputs'!$C$87*(SUM('School Level Inst. Resources'!J335:K335)/'School Level Inst. Resources'!L335))))*T335*M335)</f>
        <v>556880.07738887437</v>
      </c>
      <c r="AK335" s="123">
        <f>(('Model Data Inputs'!$B$91*(('Model Data Inputs'!$B$87*('School Level Inst. Resources'!I335/'School Level Inst. Resources'!L335))+('Model Data Inputs'!$C$87*(SUM('School Level Inst. Resources'!J335:K335)/'School Level Inst. Resources'!L335))))*T335*N335)</f>
        <v>113745.7179347488</v>
      </c>
      <c r="AL335" s="137">
        <f>(K335*'Model Data Inputs'!$B$94)*T335</f>
        <v>0</v>
      </c>
      <c r="AM335" s="137">
        <f>K335*'Model Data Inputs'!$B$95</f>
        <v>0</v>
      </c>
      <c r="AN335" s="137">
        <f t="shared" si="82"/>
        <v>0</v>
      </c>
      <c r="AO335" s="137">
        <f>('School Level Inst. Resources'!K335*'Model Data Inputs'!$B$96)+('School Level Inst. Resources'!J335*'Model Data Inputs'!$B$97)</f>
        <v>0</v>
      </c>
      <c r="AP335" s="137">
        <f>$L335*'Model Data Inputs'!$B$100</f>
        <v>19024.746666666666</v>
      </c>
      <c r="AQ335" s="137">
        <f t="shared" si="83"/>
        <v>4677031.5631487463</v>
      </c>
      <c r="AR335" s="141">
        <f t="shared" si="76"/>
        <v>9833.574438798476</v>
      </c>
    </row>
    <row r="336" spans="1:44" s="40" customFormat="1" ht="12.75" customHeight="1" x14ac:dyDescent="0.2">
      <c r="A336" s="20" t="s">
        <v>96</v>
      </c>
      <c r="B336" s="20" t="s">
        <v>97</v>
      </c>
      <c r="C336" s="20" t="s">
        <v>1036</v>
      </c>
      <c r="D336" s="20" t="s">
        <v>1037</v>
      </c>
      <c r="E336" s="138" t="s">
        <v>354</v>
      </c>
      <c r="F336" s="138" t="str">
        <f>IF(AND(SUM('School Level ADM'!$F336:$J336)=0,SUM('School Level ADM'!$O336:$R336)=0,'School Level ADM'!$K336&gt;0,'School Level ADM'!$N336&gt;0),"T","F")</f>
        <v>F</v>
      </c>
      <c r="G336" s="138" t="str">
        <f>IF(AND(SUM('School Level ADM'!$M336:$R336)=0,'School Level ADM'!$L336&gt;0),"T","F")</f>
        <v>F</v>
      </c>
      <c r="H336" s="138" t="str">
        <f t="shared" si="70"/>
        <v>E</v>
      </c>
      <c r="I336" s="139">
        <f>IF($F336="T",SUM('School Level ADM'!$F336:$J336),IF($G336="T",SUM('School Level ADM'!$F336:$L336),SUM('School Level ADM'!$F336:$K336,0)))</f>
        <v>321.59966666666668</v>
      </c>
      <c r="J336" s="139">
        <f>'School Level ADM'!$S336-$I336-$K336</f>
        <v>0</v>
      </c>
      <c r="K336" s="139">
        <f>IF(SUM('School Level ADM'!$N336:$R336)='School Level ADM'!$S336,SUM('School Level ADM'!$N336:$R336),IF(OR(SUM('School Level ADM'!$F336:$O336)='School Level ADM'!$S336,SUM('School Level ADM'!$G336:$O336)='School Level ADM'!$S336,SUM('School Level ADM'!$H336:$O336)='School Level ADM'!$S336,SUM('School Level ADM'!$I336:$O336)='School Level ADM'!$S336,SUM('School Level ADM'!$J336:$O336)='School Level ADM'!$S336,SUM('School Level ADM'!$K336:$O336)='School Level ADM'!$S336,SUM('School Level ADM'!$L336:$O336)='School Level ADM'!$S336,SUM('School Level ADM'!$M336:$O336)='School Level ADM'!$S336,SUM('School Level ADM'!$N336:$O336)='School Level ADM'!$S336),0,SUM('School Level ADM'!$O336:$R336)))</f>
        <v>0</v>
      </c>
      <c r="L336" s="139">
        <f t="shared" si="71"/>
        <v>321.59966666666668</v>
      </c>
      <c r="M336" s="24">
        <f>'Student At-Risk and ELL Proxy'!S336</f>
        <v>200</v>
      </c>
      <c r="N336" s="24">
        <f>'Student At-Risk and ELL Proxy'!AH336</f>
        <v>65</v>
      </c>
      <c r="O336" s="136">
        <f t="shared" si="77"/>
        <v>0.97</v>
      </c>
      <c r="P336" s="136" t="str">
        <f t="shared" si="78"/>
        <v/>
      </c>
      <c r="Q336" s="136" t="str">
        <f t="shared" si="79"/>
        <v/>
      </c>
      <c r="R336" s="136">
        <f t="shared" si="72"/>
        <v>0.97</v>
      </c>
      <c r="S336" s="136">
        <f>IF(SUM(3515.4*((VLOOKUP($A336,'District Level ADM'!$A$4:$F$52,6,FALSE))^-0.327)/'Model Data Inputs'!$B$71)&lt;1,1,(3515.4*((VLOOKUP($A336,'District Level ADM'!$A$4:$F$52,6,FALSE))^-0.327)/'Model Data Inputs'!$B$71))</f>
        <v>1.3942224612583372</v>
      </c>
      <c r="T336" s="136">
        <f>VLOOKUP($A336,'Regional Cost Adjustment'!$A$4:$C$52,3,FALSE)</f>
        <v>0.98</v>
      </c>
      <c r="U336" s="123">
        <f>((($I336/$L336)*'Model Data Inputs'!$B$85)+((SUM(J336:K336)/$L336)*'Model Data Inputs'!$C$85))*$R336*$T336</f>
        <v>6053.0288647119396</v>
      </c>
      <c r="V336" s="140">
        <f>((($I336/$L336)*'Model Data Inputs'!$B$86)+((SUM(J336:K336)/$L336)*'Model Data Inputs'!$C$86))*$R336</f>
        <v>1641.8459994936507</v>
      </c>
      <c r="W336" s="140">
        <f t="shared" si="80"/>
        <v>7694.8748642055907</v>
      </c>
      <c r="X336" s="140">
        <f t="shared" si="73"/>
        <v>1946652.0652150717</v>
      </c>
      <c r="Y336" s="140">
        <f t="shared" si="74"/>
        <v>528017.12615515827</v>
      </c>
      <c r="Z336" s="123">
        <f>IF((SUM(X336:Y336))&lt;(AVERAGE('Elementary Size Adjustment'!$B$66,'Secondary Size Adjustment'!$B$66)),(AVERAGE('Elementary Size Adjustment'!$B$66,'Secondary Size Adjustment'!$B$66)),SUM(X336:Y336))</f>
        <v>2474669.1913702302</v>
      </c>
      <c r="AA336" s="137">
        <f>'Model Data Inputs'!$B$71*S336*L336</f>
        <v>85192.480971973564</v>
      </c>
      <c r="AB336" s="137">
        <f>L336*'Model Data Inputs'!$B$72</f>
        <v>8039.9916666666668</v>
      </c>
      <c r="AC336" s="137">
        <f>L336*'Model Data Inputs'!$B$73</f>
        <v>80399.916666666672</v>
      </c>
      <c r="AD336" s="137">
        <f>L336*'Model Data Inputs'!$B$74</f>
        <v>40199.958333333336</v>
      </c>
      <c r="AE336" s="137">
        <f>$I336*'Model Data Inputs'!$B$76</f>
        <v>7650.8560699999998</v>
      </c>
      <c r="AF336" s="137">
        <f>VLOOKUP($J336,'Student Activities MS&amp;HS Tables'!$M$7:$O$1267,3)</f>
        <v>0</v>
      </c>
      <c r="AG336" s="137">
        <f>VLOOKUP($K336,'Student Activities MS&amp;HS Tables'!$I$7:$K$3007,3)</f>
        <v>0</v>
      </c>
      <c r="AH336" s="137">
        <f t="shared" si="75"/>
        <v>7650.8560699999998</v>
      </c>
      <c r="AI336" s="123">
        <f t="shared" si="81"/>
        <v>2696152.3950788705</v>
      </c>
      <c r="AJ336" s="123">
        <f>(('Model Data Inputs'!$B$90*(('Model Data Inputs'!$B$87*('School Level Inst. Resources'!I336/'School Level Inst. Resources'!L336))+('Model Data Inputs'!$C$87*(SUM('School Level Inst. Resources'!J336:K336)/'School Level Inst. Resources'!L336))))*T336*M336)</f>
        <v>473940.49139478663</v>
      </c>
      <c r="AK336" s="123">
        <f>(('Model Data Inputs'!$B$91*(('Model Data Inputs'!$B$87*('School Level Inst. Resources'!I336/'School Level Inst. Resources'!L336))+('Model Data Inputs'!$C$87*(SUM('School Level Inst. Resources'!J336:K336)/'School Level Inst. Resources'!L336))))*T336*N336)</f>
        <v>154030.65970330566</v>
      </c>
      <c r="AL336" s="137">
        <f>(K336*'Model Data Inputs'!$B$94)*T336</f>
        <v>0</v>
      </c>
      <c r="AM336" s="137">
        <f>K336*'Model Data Inputs'!$B$95</f>
        <v>0</v>
      </c>
      <c r="AN336" s="137">
        <f t="shared" si="82"/>
        <v>0</v>
      </c>
      <c r="AO336" s="137">
        <f>('School Level Inst. Resources'!K336*'Model Data Inputs'!$B$96)+('School Level Inst. Resources'!J336*'Model Data Inputs'!$B$97)</f>
        <v>0</v>
      </c>
      <c r="AP336" s="137">
        <f>$L336*'Model Data Inputs'!$B$100</f>
        <v>12863.986666666668</v>
      </c>
      <c r="AQ336" s="137">
        <f t="shared" si="83"/>
        <v>3336987.5328436294</v>
      </c>
      <c r="AR336" s="141">
        <f t="shared" si="76"/>
        <v>10376.215769845208</v>
      </c>
    </row>
    <row r="337" spans="1:44" s="40" customFormat="1" ht="12.75" customHeight="1" x14ac:dyDescent="0.2">
      <c r="A337" s="20" t="s">
        <v>96</v>
      </c>
      <c r="B337" s="20" t="s">
        <v>97</v>
      </c>
      <c r="C337" s="20" t="s">
        <v>1038</v>
      </c>
      <c r="D337" s="20" t="s">
        <v>1039</v>
      </c>
      <c r="E337" s="138" t="s">
        <v>354</v>
      </c>
      <c r="F337" s="138" t="str">
        <f>IF(AND(SUM('School Level ADM'!$F337:$J337)=0,SUM('School Level ADM'!$O337:$R337)=0,'School Level ADM'!$K337&gt;0,'School Level ADM'!$N337&gt;0),"T","F")</f>
        <v>F</v>
      </c>
      <c r="G337" s="138" t="str">
        <f>IF(AND(SUM('School Level ADM'!$M337:$R337)=0,'School Level ADM'!$L337&gt;0),"T","F")</f>
        <v>F</v>
      </c>
      <c r="H337" s="138" t="str">
        <f t="shared" si="70"/>
        <v>E</v>
      </c>
      <c r="I337" s="139">
        <f>IF($F337="T",SUM('School Level ADM'!$F337:$J337),IF($G337="T",SUM('School Level ADM'!$F337:$L337),SUM('School Level ADM'!$F337:$K337,0)))</f>
        <v>302.17166666666662</v>
      </c>
      <c r="J337" s="139">
        <f>'School Level ADM'!$S337-$I337-$K337</f>
        <v>0</v>
      </c>
      <c r="K337" s="139">
        <f>IF(SUM('School Level ADM'!$N337:$R337)='School Level ADM'!$S337,SUM('School Level ADM'!$N337:$R337),IF(OR(SUM('School Level ADM'!$F337:$O337)='School Level ADM'!$S337,SUM('School Level ADM'!$G337:$O337)='School Level ADM'!$S337,SUM('School Level ADM'!$H337:$O337)='School Level ADM'!$S337,SUM('School Level ADM'!$I337:$O337)='School Level ADM'!$S337,SUM('School Level ADM'!$J337:$O337)='School Level ADM'!$S337,SUM('School Level ADM'!$K337:$O337)='School Level ADM'!$S337,SUM('School Level ADM'!$L337:$O337)='School Level ADM'!$S337,SUM('School Level ADM'!$M337:$O337)='School Level ADM'!$S337,SUM('School Level ADM'!$N337:$O337)='School Level ADM'!$S337),0,SUM('School Level ADM'!$O337:$R337)))</f>
        <v>0</v>
      </c>
      <c r="L337" s="139">
        <f t="shared" si="71"/>
        <v>302.17166666666662</v>
      </c>
      <c r="M337" s="24">
        <f>'Student At-Risk and ELL Proxy'!S337</f>
        <v>141</v>
      </c>
      <c r="N337" s="24">
        <f>'Student At-Risk and ELL Proxy'!AH337</f>
        <v>28</v>
      </c>
      <c r="O337" s="136">
        <f t="shared" si="77"/>
        <v>0.98968029212833297</v>
      </c>
      <c r="P337" s="136" t="str">
        <f t="shared" si="78"/>
        <v/>
      </c>
      <c r="Q337" s="136" t="str">
        <f t="shared" si="79"/>
        <v/>
      </c>
      <c r="R337" s="136">
        <f t="shared" si="72"/>
        <v>0.98968029212833297</v>
      </c>
      <c r="S337" s="136">
        <f>IF(SUM(3515.4*((VLOOKUP($A337,'District Level ADM'!$A$4:$F$52,6,FALSE))^-0.327)/'Model Data Inputs'!$B$71)&lt;1,1,(3515.4*((VLOOKUP($A337,'District Level ADM'!$A$4:$F$52,6,FALSE))^-0.327)/'Model Data Inputs'!$B$71))</f>
        <v>1.3942224612583372</v>
      </c>
      <c r="T337" s="136">
        <f>VLOOKUP($A337,'Regional Cost Adjustment'!$A$4:$C$52,3,FALSE)</f>
        <v>0.98</v>
      </c>
      <c r="U337" s="123">
        <f>((($I337/$L337)*'Model Data Inputs'!$B$85)+((SUM(J337:K337)/$L337)*'Model Data Inputs'!$C$85))*$R337*$T337</f>
        <v>6175.8385310199428</v>
      </c>
      <c r="V337" s="140">
        <f>((($I337/$L337)*'Model Data Inputs'!$B$86)+((SUM(J337:K337)/$L337)*'Model Data Inputs'!$C$86))*$R337</f>
        <v>1675.1573488748566</v>
      </c>
      <c r="W337" s="140">
        <f t="shared" si="80"/>
        <v>7850.9958798947991</v>
      </c>
      <c r="X337" s="140">
        <f t="shared" si="73"/>
        <v>1866163.4219825142</v>
      </c>
      <c r="Y337" s="140">
        <f t="shared" si="74"/>
        <v>506185.08803843014</v>
      </c>
      <c r="Z337" s="123">
        <f>IF((SUM(X337:Y337))&lt;(AVERAGE('Elementary Size Adjustment'!$B$66,'Secondary Size Adjustment'!$B$66)),(AVERAGE('Elementary Size Adjustment'!$B$66,'Secondary Size Adjustment'!$B$66)),SUM(X337:Y337))</f>
        <v>2372348.5100209443</v>
      </c>
      <c r="AA337" s="137">
        <f>'Model Data Inputs'!$B$71*S337*L337</f>
        <v>80045.959716281417</v>
      </c>
      <c r="AB337" s="137">
        <f>L337*'Model Data Inputs'!$B$72</f>
        <v>7554.2916666666661</v>
      </c>
      <c r="AC337" s="137">
        <f>L337*'Model Data Inputs'!$B$73</f>
        <v>75542.916666666657</v>
      </c>
      <c r="AD337" s="137">
        <f>L337*'Model Data Inputs'!$B$74</f>
        <v>37771.458333333328</v>
      </c>
      <c r="AE337" s="137">
        <f>$I337*'Model Data Inputs'!$B$76</f>
        <v>7188.6639499999983</v>
      </c>
      <c r="AF337" s="137">
        <f>VLOOKUP($J337,'Student Activities MS&amp;HS Tables'!$M$7:$O$1267,3)</f>
        <v>0</v>
      </c>
      <c r="AG337" s="137">
        <f>VLOOKUP($K337,'Student Activities MS&amp;HS Tables'!$I$7:$K$3007,3)</f>
        <v>0</v>
      </c>
      <c r="AH337" s="137">
        <f t="shared" si="75"/>
        <v>7188.6639499999983</v>
      </c>
      <c r="AI337" s="123">
        <f t="shared" si="81"/>
        <v>2580451.8003538921</v>
      </c>
      <c r="AJ337" s="123">
        <f>(('Model Data Inputs'!$B$90*(('Model Data Inputs'!$B$87*('School Level Inst. Resources'!I337/'School Level Inst. Resources'!L337))+('Model Data Inputs'!$C$87*(SUM('School Level Inst. Resources'!J337:K337)/'School Level Inst. Resources'!L337))))*T337*M337)</f>
        <v>334128.04643332458</v>
      </c>
      <c r="AK337" s="123">
        <f>(('Model Data Inputs'!$B$91*(('Model Data Inputs'!$B$87*('School Level Inst. Resources'!I337/'School Level Inst. Resources'!L337))+('Model Data Inputs'!$C$87*(SUM('School Level Inst. Resources'!J337:K337)/'School Level Inst. Resources'!L337))))*T337*N337)</f>
        <v>66351.668795270132</v>
      </c>
      <c r="AL337" s="137">
        <f>(K337*'Model Data Inputs'!$B$94)*T337</f>
        <v>0</v>
      </c>
      <c r="AM337" s="137">
        <f>K337*'Model Data Inputs'!$B$95</f>
        <v>0</v>
      </c>
      <c r="AN337" s="137">
        <f t="shared" si="82"/>
        <v>0</v>
      </c>
      <c r="AO337" s="137">
        <f>('School Level Inst. Resources'!K337*'Model Data Inputs'!$B$96)+('School Level Inst. Resources'!J337*'Model Data Inputs'!$B$97)</f>
        <v>0</v>
      </c>
      <c r="AP337" s="137">
        <f>$L337*'Model Data Inputs'!$B$100</f>
        <v>12086.866666666665</v>
      </c>
      <c r="AQ337" s="137">
        <f t="shared" si="83"/>
        <v>2993018.3822491532</v>
      </c>
      <c r="AR337" s="141">
        <f t="shared" si="76"/>
        <v>9905.026554163429</v>
      </c>
    </row>
    <row r="338" spans="1:44" s="40" customFormat="1" ht="12.75" customHeight="1" x14ac:dyDescent="0.2">
      <c r="A338" s="20" t="s">
        <v>96</v>
      </c>
      <c r="B338" s="20" t="s">
        <v>97</v>
      </c>
      <c r="C338" s="20" t="s">
        <v>1040</v>
      </c>
      <c r="D338" s="20" t="s">
        <v>1041</v>
      </c>
      <c r="E338" s="138" t="s">
        <v>383</v>
      </c>
      <c r="F338" s="138" t="str">
        <f>IF(AND(SUM('School Level ADM'!$F338:$J338)=0,SUM('School Level ADM'!$O338:$R338)=0,'School Level ADM'!$K338&gt;0,'School Level ADM'!$N338&gt;0),"T","F")</f>
        <v>F</v>
      </c>
      <c r="G338" s="138" t="str">
        <f>IF(AND(SUM('School Level ADM'!$M338:$R338)=0,'School Level ADM'!$L338&gt;0),"T","F")</f>
        <v>F</v>
      </c>
      <c r="H338" s="138" t="str">
        <f t="shared" si="70"/>
        <v>M</v>
      </c>
      <c r="I338" s="139">
        <f>IF($F338="T",SUM('School Level ADM'!$F338:$J338),IF($G338="T",SUM('School Level ADM'!$F338:$L338),SUM('School Level ADM'!$F338:$K338,0)))</f>
        <v>0</v>
      </c>
      <c r="J338" s="139">
        <f>'School Level ADM'!$S338-$I338-$K338</f>
        <v>311.23766666666666</v>
      </c>
      <c r="K338" s="139">
        <f>IF(SUM('School Level ADM'!$N338:$R338)='School Level ADM'!$S338,SUM('School Level ADM'!$N338:$R338),IF(OR(SUM('School Level ADM'!$F338:$O338)='School Level ADM'!$S338,SUM('School Level ADM'!$G338:$O338)='School Level ADM'!$S338,SUM('School Level ADM'!$H338:$O338)='School Level ADM'!$S338,SUM('School Level ADM'!$I338:$O338)='School Level ADM'!$S338,SUM('School Level ADM'!$J338:$O338)='School Level ADM'!$S338,SUM('School Level ADM'!$K338:$O338)='School Level ADM'!$S338,SUM('School Level ADM'!$L338:$O338)='School Level ADM'!$S338,SUM('School Level ADM'!$M338:$O338)='School Level ADM'!$S338,SUM('School Level ADM'!$N338:$O338)='School Level ADM'!$S338),0,SUM('School Level ADM'!$O338:$R338)))</f>
        <v>0</v>
      </c>
      <c r="L338" s="139">
        <f t="shared" si="71"/>
        <v>311.23766666666666</v>
      </c>
      <c r="M338" s="24">
        <f>'Student At-Risk and ELL Proxy'!S338</f>
        <v>147</v>
      </c>
      <c r="N338" s="24">
        <f>'Student At-Risk and ELL Proxy'!AH338</f>
        <v>9</v>
      </c>
      <c r="O338" s="136" t="str">
        <f t="shared" si="77"/>
        <v/>
      </c>
      <c r="P338" s="136">
        <f t="shared" si="78"/>
        <v>1.2168228300157231</v>
      </c>
      <c r="Q338" s="136" t="str">
        <f t="shared" si="79"/>
        <v/>
      </c>
      <c r="R338" s="136">
        <f t="shared" si="72"/>
        <v>1.2168228300157231</v>
      </c>
      <c r="S338" s="136">
        <f>IF(SUM(3515.4*((VLOOKUP($A338,'District Level ADM'!$A$4:$F$52,6,FALSE))^-0.327)/'Model Data Inputs'!$B$71)&lt;1,1,(3515.4*((VLOOKUP($A338,'District Level ADM'!$A$4:$F$52,6,FALSE))^-0.327)/'Model Data Inputs'!$B$71))</f>
        <v>1.3942224612583372</v>
      </c>
      <c r="T338" s="136">
        <f>VLOOKUP($A338,'Regional Cost Adjustment'!$A$4:$C$52,3,FALSE)</f>
        <v>0.98</v>
      </c>
      <c r="U338" s="123">
        <f>((($I338/$L338)*'Model Data Inputs'!$B$85)+((SUM(J338:K338)/$L338)*'Model Data Inputs'!$C$85))*$R338*$T338</f>
        <v>6418.9031171150973</v>
      </c>
      <c r="V338" s="140">
        <f>((($I338/$L338)*'Model Data Inputs'!$B$86)+((SUM(J338:K338)/$L338)*'Model Data Inputs'!$C$86))*$R338</f>
        <v>1743.8382492723911</v>
      </c>
      <c r="W338" s="140">
        <f t="shared" si="80"/>
        <v>8162.7413663874886</v>
      </c>
      <c r="X338" s="140">
        <f t="shared" si="73"/>
        <v>1997804.4287302962</v>
      </c>
      <c r="Y338" s="140">
        <f t="shared" si="74"/>
        <v>542748.14774762397</v>
      </c>
      <c r="Z338" s="123">
        <f>IF((SUM(X338:Y338))&lt;(AVERAGE('Elementary Size Adjustment'!$B$66,'Secondary Size Adjustment'!$B$66)),(AVERAGE('Elementary Size Adjustment'!$B$66,'Secondary Size Adjustment'!$B$66)),SUM(X338:Y338))</f>
        <v>2540552.5764779202</v>
      </c>
      <c r="AA338" s="137">
        <f>'Model Data Inputs'!$B$71*S338*L338</f>
        <v>82447.563674697361</v>
      </c>
      <c r="AB338" s="137">
        <f>L338*'Model Data Inputs'!$B$72</f>
        <v>7780.9416666666666</v>
      </c>
      <c r="AC338" s="137">
        <f>L338*'Model Data Inputs'!$B$73</f>
        <v>77809.416666666657</v>
      </c>
      <c r="AD338" s="137">
        <f>L338*'Model Data Inputs'!$B$74</f>
        <v>38904.708333333328</v>
      </c>
      <c r="AE338" s="137">
        <f>$I338*'Model Data Inputs'!$B$76</f>
        <v>0</v>
      </c>
      <c r="AF338" s="137">
        <f>VLOOKUP($J338,'Student Activities MS&amp;HS Tables'!$M$7:$O$1267,3)</f>
        <v>93312.44</v>
      </c>
      <c r="AG338" s="137">
        <f>VLOOKUP($K338,'Student Activities MS&amp;HS Tables'!$I$7:$K$3007,3)</f>
        <v>0</v>
      </c>
      <c r="AH338" s="137">
        <f t="shared" si="75"/>
        <v>93312.44</v>
      </c>
      <c r="AI338" s="123">
        <f t="shared" si="81"/>
        <v>2840807.6468192842</v>
      </c>
      <c r="AJ338" s="123">
        <f>(('Model Data Inputs'!$B$90*(('Model Data Inputs'!$B$87*('School Level Inst. Resources'!I338/'School Level Inst. Resources'!L338))+('Model Data Inputs'!$C$87*(SUM('School Level Inst. Resources'!J338:K338)/'School Level Inst. Resources'!L338))))*T338*M338)</f>
        <v>294569.44764686777</v>
      </c>
      <c r="AK338" s="123">
        <f>(('Model Data Inputs'!$B$91*(('Model Data Inputs'!$B$87*('School Level Inst. Resources'!I338/'School Level Inst. Resources'!L338))+('Model Data Inputs'!$C$87*(SUM('School Level Inst. Resources'!J338:K338)/'School Level Inst. Resources'!L338))))*T338*N338)</f>
        <v>18034.864141644965</v>
      </c>
      <c r="AL338" s="137">
        <f>(K338*'Model Data Inputs'!$B$94)*T338</f>
        <v>0</v>
      </c>
      <c r="AM338" s="137">
        <f>K338*'Model Data Inputs'!$B$95</f>
        <v>0</v>
      </c>
      <c r="AN338" s="137">
        <f t="shared" si="82"/>
        <v>0</v>
      </c>
      <c r="AO338" s="137">
        <f>('School Level Inst. Resources'!K338*'Model Data Inputs'!$B$96)+('School Level Inst. Resources'!J338*'Model Data Inputs'!$B$97)</f>
        <v>7780.9416666666666</v>
      </c>
      <c r="AP338" s="137">
        <f>$L338*'Model Data Inputs'!$B$100</f>
        <v>12449.506666666666</v>
      </c>
      <c r="AQ338" s="137">
        <f t="shared" si="83"/>
        <v>3173642.4069411308</v>
      </c>
      <c r="AR338" s="141">
        <f t="shared" si="76"/>
        <v>10196.845519793977</v>
      </c>
    </row>
    <row r="339" spans="1:44" s="40" customFormat="1" ht="12.75" customHeight="1" x14ac:dyDescent="0.2">
      <c r="A339" s="20" t="s">
        <v>96</v>
      </c>
      <c r="B339" s="20" t="s">
        <v>97</v>
      </c>
      <c r="C339" s="20" t="s">
        <v>1042</v>
      </c>
      <c r="D339" s="20" t="s">
        <v>1043</v>
      </c>
      <c r="E339" s="138" t="s">
        <v>383</v>
      </c>
      <c r="F339" s="138" t="str">
        <f>IF(AND(SUM('School Level ADM'!$F339:$J339)=0,SUM('School Level ADM'!$O339:$R339)=0,'School Level ADM'!$K339&gt;0,'School Level ADM'!$N339&gt;0),"T","F")</f>
        <v>F</v>
      </c>
      <c r="G339" s="138" t="str">
        <f>IF(AND(SUM('School Level ADM'!$M339:$R339)=0,'School Level ADM'!$L339&gt;0),"T","F")</f>
        <v>F</v>
      </c>
      <c r="H339" s="138" t="str">
        <f t="shared" si="70"/>
        <v>M</v>
      </c>
      <c r="I339" s="139">
        <f>IF($F339="T",SUM('School Level ADM'!$F339:$J339),IF($G339="T",SUM('School Level ADM'!$F339:$L339),SUM('School Level ADM'!$F339:$K339,0)))</f>
        <v>0</v>
      </c>
      <c r="J339" s="139">
        <f>'School Level ADM'!$S339-$I339-$K339</f>
        <v>307.37599999999998</v>
      </c>
      <c r="K339" s="139">
        <f>IF(SUM('School Level ADM'!$N339:$R339)='School Level ADM'!$S339,SUM('School Level ADM'!$N339:$R339),IF(OR(SUM('School Level ADM'!$F339:$O339)='School Level ADM'!$S339,SUM('School Level ADM'!$G339:$O339)='School Level ADM'!$S339,SUM('School Level ADM'!$H339:$O339)='School Level ADM'!$S339,SUM('School Level ADM'!$I339:$O339)='School Level ADM'!$S339,SUM('School Level ADM'!$J339:$O339)='School Level ADM'!$S339,SUM('School Level ADM'!$K339:$O339)='School Level ADM'!$S339,SUM('School Level ADM'!$L339:$O339)='School Level ADM'!$S339,SUM('School Level ADM'!$M339:$O339)='School Level ADM'!$S339,SUM('School Level ADM'!$N339:$O339)='School Level ADM'!$S339),0,SUM('School Level ADM'!$O339:$R339)))</f>
        <v>0</v>
      </c>
      <c r="L339" s="139">
        <f t="shared" si="71"/>
        <v>307.37599999999998</v>
      </c>
      <c r="M339" s="24">
        <f>'Student At-Risk and ELL Proxy'!S339</f>
        <v>165</v>
      </c>
      <c r="N339" s="24">
        <f>'Student At-Risk and ELL Proxy'!AH339</f>
        <v>21</v>
      </c>
      <c r="O339" s="136" t="str">
        <f t="shared" si="77"/>
        <v/>
      </c>
      <c r="P339" s="136">
        <f t="shared" si="78"/>
        <v>1.2221669637641086</v>
      </c>
      <c r="Q339" s="136" t="str">
        <f t="shared" si="79"/>
        <v/>
      </c>
      <c r="R339" s="136">
        <f t="shared" si="72"/>
        <v>1.2221669637641086</v>
      </c>
      <c r="S339" s="136">
        <f>IF(SUM(3515.4*((VLOOKUP($A339,'District Level ADM'!$A$4:$F$52,6,FALSE))^-0.327)/'Model Data Inputs'!$B$71)&lt;1,1,(3515.4*((VLOOKUP($A339,'District Level ADM'!$A$4:$F$52,6,FALSE))^-0.327)/'Model Data Inputs'!$B$71))</f>
        <v>1.3942224612583372</v>
      </c>
      <c r="T339" s="136">
        <f>VLOOKUP($A339,'Regional Cost Adjustment'!$A$4:$C$52,3,FALSE)</f>
        <v>0.98</v>
      </c>
      <c r="U339" s="123">
        <f>((($I339/$L339)*'Model Data Inputs'!$B$85)+((SUM(J339:K339)/$L339)*'Model Data Inputs'!$C$85))*$R339*$T339</f>
        <v>6447.0941371466242</v>
      </c>
      <c r="V339" s="140">
        <f>((($I339/$L339)*'Model Data Inputs'!$B$86)+((SUM(J339:K339)/$L339)*'Model Data Inputs'!$C$86))*$R339</f>
        <v>1751.4969688573462</v>
      </c>
      <c r="W339" s="140">
        <f t="shared" si="80"/>
        <v>8198.5911060039707</v>
      </c>
      <c r="X339" s="140">
        <f t="shared" si="73"/>
        <v>1981682.0074995805</v>
      </c>
      <c r="Y339" s="140">
        <f t="shared" si="74"/>
        <v>538368.13229949563</v>
      </c>
      <c r="Z339" s="123">
        <f>IF((SUM(X339:Y339))&lt;(AVERAGE('Elementary Size Adjustment'!$B$66,'Secondary Size Adjustment'!$B$66)),(AVERAGE('Elementary Size Adjustment'!$B$66,'Secondary Size Adjustment'!$B$66)),SUM(X339:Y339))</f>
        <v>2520050.1397990761</v>
      </c>
      <c r="AA339" s="137">
        <f>'Model Data Inputs'!$B$71*S339*L339</f>
        <v>81424.599417831094</v>
      </c>
      <c r="AB339" s="137">
        <f>L339*'Model Data Inputs'!$B$72</f>
        <v>7684.4</v>
      </c>
      <c r="AC339" s="137">
        <f>L339*'Model Data Inputs'!$B$73</f>
        <v>76844</v>
      </c>
      <c r="AD339" s="137">
        <f>L339*'Model Data Inputs'!$B$74</f>
        <v>38422</v>
      </c>
      <c r="AE339" s="137">
        <f>$I339*'Model Data Inputs'!$B$76</f>
        <v>0</v>
      </c>
      <c r="AF339" s="137">
        <f>VLOOKUP($J339,'Student Activities MS&amp;HS Tables'!$M$7:$O$1267,3)</f>
        <v>92947.319999999992</v>
      </c>
      <c r="AG339" s="137">
        <f>VLOOKUP($K339,'Student Activities MS&amp;HS Tables'!$I$7:$K$3007,3)</f>
        <v>0</v>
      </c>
      <c r="AH339" s="137">
        <f t="shared" si="75"/>
        <v>92947.319999999992</v>
      </c>
      <c r="AI339" s="123">
        <f t="shared" si="81"/>
        <v>2817372.4592169072</v>
      </c>
      <c r="AJ339" s="123">
        <f>(('Model Data Inputs'!$B$90*(('Model Data Inputs'!$B$87*('School Level Inst. Resources'!I339/'School Level Inst. Resources'!L339))+('Model Data Inputs'!$C$87*(SUM('School Level Inst. Resources'!J339:K339)/'School Level Inst. Resources'!L339))))*T339*M339)</f>
        <v>330639.17593015771</v>
      </c>
      <c r="AK339" s="123">
        <f>(('Model Data Inputs'!$B$91*(('Model Data Inputs'!$B$87*('School Level Inst. Resources'!I339/'School Level Inst. Resources'!L339))+('Model Data Inputs'!$C$87*(SUM('School Level Inst. Resources'!J339:K339)/'School Level Inst. Resources'!L339))))*T339*N339)</f>
        <v>42081.349663838257</v>
      </c>
      <c r="AL339" s="137">
        <f>(K339*'Model Data Inputs'!$B$94)*T339</f>
        <v>0</v>
      </c>
      <c r="AM339" s="137">
        <f>K339*'Model Data Inputs'!$B$95</f>
        <v>0</v>
      </c>
      <c r="AN339" s="137">
        <f t="shared" si="82"/>
        <v>0</v>
      </c>
      <c r="AO339" s="137">
        <f>('School Level Inst. Resources'!K339*'Model Data Inputs'!$B$96)+('School Level Inst. Resources'!J339*'Model Data Inputs'!$B$97)</f>
        <v>7684.4</v>
      </c>
      <c r="AP339" s="137">
        <f>$L339*'Model Data Inputs'!$B$100</f>
        <v>12295.039999999999</v>
      </c>
      <c r="AQ339" s="137">
        <f t="shared" si="83"/>
        <v>3210072.4248109031</v>
      </c>
      <c r="AR339" s="141">
        <f t="shared" si="76"/>
        <v>10443.471269100071</v>
      </c>
    </row>
    <row r="340" spans="1:44" s="40" customFormat="1" ht="12.75" customHeight="1" x14ac:dyDescent="0.2">
      <c r="A340" s="20" t="s">
        <v>96</v>
      </c>
      <c r="B340" s="20" t="s">
        <v>97</v>
      </c>
      <c r="C340" s="20" t="s">
        <v>1044</v>
      </c>
      <c r="D340" s="20" t="s">
        <v>1045</v>
      </c>
      <c r="E340" s="138" t="s">
        <v>389</v>
      </c>
      <c r="F340" s="138" t="str">
        <f>IF(AND(SUM('School Level ADM'!$F340:$J340)=0,SUM('School Level ADM'!$O340:$R340)=0,'School Level ADM'!$K340&gt;0,'School Level ADM'!$N340&gt;0),"T","F")</f>
        <v>F</v>
      </c>
      <c r="G340" s="138" t="str">
        <f>IF(AND(SUM('School Level ADM'!$M340:$R340)=0,'School Level ADM'!$L340&gt;0),"T","F")</f>
        <v>F</v>
      </c>
      <c r="H340" s="138" t="str">
        <f t="shared" si="70"/>
        <v>H</v>
      </c>
      <c r="I340" s="139">
        <f>IF($F340="T",SUM('School Level ADM'!$F340:$J340),IF($G340="T",SUM('School Level ADM'!$F340:$L340),SUM('School Level ADM'!$F340:$K340,0)))</f>
        <v>0</v>
      </c>
      <c r="J340" s="139">
        <f>'School Level ADM'!$S340-$I340-$K340</f>
        <v>0</v>
      </c>
      <c r="K340" s="139">
        <f>IF(SUM('School Level ADM'!$N340:$R340)='School Level ADM'!$S340,SUM('School Level ADM'!$N340:$R340),IF(OR(SUM('School Level ADM'!$F340:$O340)='School Level ADM'!$S340,SUM('School Level ADM'!$G340:$O340)='School Level ADM'!$S340,SUM('School Level ADM'!$H340:$O340)='School Level ADM'!$S340,SUM('School Level ADM'!$I340:$O340)='School Level ADM'!$S340,SUM('School Level ADM'!$J340:$O340)='School Level ADM'!$S340,SUM('School Level ADM'!$K340:$O340)='School Level ADM'!$S340,SUM('School Level ADM'!$L340:$O340)='School Level ADM'!$S340,SUM('School Level ADM'!$M340:$O340)='School Level ADM'!$S340,SUM('School Level ADM'!$N340:$O340)='School Level ADM'!$S340),0,SUM('School Level ADM'!$O340:$R340)))</f>
        <v>736.125</v>
      </c>
      <c r="L340" s="139">
        <f t="shared" si="71"/>
        <v>736.125</v>
      </c>
      <c r="M340" s="24">
        <f>'Student At-Risk and ELL Proxy'!S340</f>
        <v>281</v>
      </c>
      <c r="N340" s="24">
        <f>'Student At-Risk and ELL Proxy'!AH340</f>
        <v>38</v>
      </c>
      <c r="O340" s="136" t="str">
        <f t="shared" si="77"/>
        <v/>
      </c>
      <c r="P340" s="136">
        <f t="shared" si="78"/>
        <v>0.97</v>
      </c>
      <c r="Q340" s="136" t="str">
        <f t="shared" si="79"/>
        <v/>
      </c>
      <c r="R340" s="136">
        <f t="shared" si="72"/>
        <v>0.97</v>
      </c>
      <c r="S340" s="136">
        <f>IF(SUM(3515.4*((VLOOKUP($A340,'District Level ADM'!$A$4:$F$52,6,FALSE))^-0.327)/'Model Data Inputs'!$B$71)&lt;1,1,(3515.4*((VLOOKUP($A340,'District Level ADM'!$A$4:$F$52,6,FALSE))^-0.327)/'Model Data Inputs'!$B$71))</f>
        <v>1.3942224612583372</v>
      </c>
      <c r="T340" s="136">
        <f>VLOOKUP($A340,'Regional Cost Adjustment'!$A$4:$C$52,3,FALSE)</f>
        <v>0.98</v>
      </c>
      <c r="U340" s="123">
        <f>((($I340/$L340)*'Model Data Inputs'!$B$85)+((SUM(J340:K340)/$L340)*'Model Data Inputs'!$C$85))*$R340*$T340</f>
        <v>5116.8796886570508</v>
      </c>
      <c r="V340" s="140">
        <f>((($I340/$L340)*'Model Data Inputs'!$B$86)+((SUM(J340:K340)/$L340)*'Model Data Inputs'!$C$86))*$R340</f>
        <v>1390.1145343996893</v>
      </c>
      <c r="W340" s="140">
        <f t="shared" si="80"/>
        <v>6506.9942230567403</v>
      </c>
      <c r="X340" s="140">
        <f t="shared" si="73"/>
        <v>3766663.0608126717</v>
      </c>
      <c r="Y340" s="140">
        <f t="shared" si="74"/>
        <v>1023298.0616349713</v>
      </c>
      <c r="Z340" s="123">
        <f>IF((SUM(X340:Y340))&lt;(AVERAGE('Elementary Size Adjustment'!$B$66,'Secondary Size Adjustment'!$B$66)),(AVERAGE('Elementary Size Adjustment'!$B$66,'Secondary Size Adjustment'!$B$66)),SUM(X340:Y340))</f>
        <v>4789961.1224476434</v>
      </c>
      <c r="AA340" s="137">
        <f>'Model Data Inputs'!$B$71*S340*L340</f>
        <v>195001.18176582077</v>
      </c>
      <c r="AB340" s="137">
        <f>L340*'Model Data Inputs'!$B$72</f>
        <v>18403.125</v>
      </c>
      <c r="AC340" s="137">
        <f>L340*'Model Data Inputs'!$B$73</f>
        <v>184031.25</v>
      </c>
      <c r="AD340" s="137">
        <f>L340*'Model Data Inputs'!$B$74</f>
        <v>92015.625</v>
      </c>
      <c r="AE340" s="137">
        <f>$I340*'Model Data Inputs'!$B$76</f>
        <v>0</v>
      </c>
      <c r="AF340" s="137">
        <f>VLOOKUP($J340,'Student Activities MS&amp;HS Tables'!$M$7:$O$1267,3)</f>
        <v>0</v>
      </c>
      <c r="AG340" s="137">
        <f>VLOOKUP($K340,'Student Activities MS&amp;HS Tables'!$I$7:$K$3007,3)</f>
        <v>510445.43999999994</v>
      </c>
      <c r="AH340" s="137">
        <f t="shared" si="75"/>
        <v>510445.43999999994</v>
      </c>
      <c r="AI340" s="123">
        <f t="shared" si="81"/>
        <v>5789857.7442134637</v>
      </c>
      <c r="AJ340" s="123">
        <f>(('Model Data Inputs'!$B$90*(('Model Data Inputs'!$B$87*('School Level Inst. Resources'!I340/'School Level Inst. Resources'!L340))+('Model Data Inputs'!$C$87*(SUM('School Level Inst. Resources'!J340:K340)/'School Level Inst. Resources'!L340))))*T340*M340)</f>
        <v>563088.53597802611</v>
      </c>
      <c r="AK340" s="123">
        <f>(('Model Data Inputs'!$B$91*(('Model Data Inputs'!$B$87*('School Level Inst. Resources'!I340/'School Level Inst. Resources'!L340))+('Model Data Inputs'!$C$87*(SUM('School Level Inst. Resources'!J340:K340)/'School Level Inst. Resources'!L340))))*T340*N340)</f>
        <v>76147.204153612081</v>
      </c>
      <c r="AL340" s="137">
        <f>(K340*'Model Data Inputs'!$B$94)*T340</f>
        <v>119078.55976038751</v>
      </c>
      <c r="AM340" s="137">
        <f>K340*'Model Data Inputs'!$B$95</f>
        <v>30850.869928124997</v>
      </c>
      <c r="AN340" s="137">
        <f t="shared" si="82"/>
        <v>149929.42968851249</v>
      </c>
      <c r="AO340" s="137">
        <f>('School Level Inst. Resources'!K340*'Model Data Inputs'!$B$96)+('School Level Inst. Resources'!J340*'Model Data Inputs'!$B$97)</f>
        <v>73612.5</v>
      </c>
      <c r="AP340" s="137">
        <f>$L340*'Model Data Inputs'!$B$100</f>
        <v>29445</v>
      </c>
      <c r="AQ340" s="137">
        <f t="shared" si="83"/>
        <v>6682080.4140336141</v>
      </c>
      <c r="AR340" s="141">
        <f t="shared" si="76"/>
        <v>9077.3719328016487</v>
      </c>
    </row>
    <row r="341" spans="1:44" s="40" customFormat="1" ht="12.75" customHeight="1" x14ac:dyDescent="0.2">
      <c r="A341" s="20" t="s">
        <v>96</v>
      </c>
      <c r="B341" s="20" t="s">
        <v>97</v>
      </c>
      <c r="C341" s="20" t="s">
        <v>1046</v>
      </c>
      <c r="D341" s="20" t="s">
        <v>1047</v>
      </c>
      <c r="E341" s="138" t="s">
        <v>465</v>
      </c>
      <c r="F341" s="138" t="str">
        <f>IF(AND(SUM('School Level ADM'!$F341:$J341)=0,SUM('School Level ADM'!$O341:$R341)=0,'School Level ADM'!$K341&gt;0,'School Level ADM'!$N341&gt;0),"T","F")</f>
        <v>F</v>
      </c>
      <c r="G341" s="138" t="str">
        <f>IF(AND(SUM('School Level ADM'!$M341:$R341)=0,'School Level ADM'!$L341&gt;0),"T","F")</f>
        <v>F</v>
      </c>
      <c r="H341" s="138" t="str">
        <f t="shared" si="70"/>
        <v>H</v>
      </c>
      <c r="I341" s="139">
        <f>IF($F341="T",SUM('School Level ADM'!$F341:$J341),IF($G341="T",SUM('School Level ADM'!$F341:$L341),SUM('School Level ADM'!$F341:$K341,0)))</f>
        <v>0</v>
      </c>
      <c r="J341" s="139">
        <f>'School Level ADM'!$S341-$I341-$K341</f>
        <v>6.7273333333333341</v>
      </c>
      <c r="K341" s="139">
        <f>IF(SUM('School Level ADM'!$N341:$R341)='School Level ADM'!$S341,SUM('School Level ADM'!$N341:$R341),IF(OR(SUM('School Level ADM'!$F341:$O341)='School Level ADM'!$S341,SUM('School Level ADM'!$G341:$O341)='School Level ADM'!$S341,SUM('School Level ADM'!$H341:$O341)='School Level ADM'!$S341,SUM('School Level ADM'!$I341:$O341)='School Level ADM'!$S341,SUM('School Level ADM'!$J341:$O341)='School Level ADM'!$S341,SUM('School Level ADM'!$K341:$O341)='School Level ADM'!$S341,SUM('School Level ADM'!$L341:$O341)='School Level ADM'!$S341,SUM('School Level ADM'!$M341:$O341)='School Level ADM'!$S341,SUM('School Level ADM'!$N341:$O341)='School Level ADM'!$S341),0,SUM('School Level ADM'!$O341:$R341)))</f>
        <v>49.99966666666667</v>
      </c>
      <c r="L341" s="139">
        <f t="shared" si="71"/>
        <v>56.727000000000004</v>
      </c>
      <c r="M341" s="24">
        <f>'Student At-Risk and ELL Proxy'!S341</f>
        <v>51</v>
      </c>
      <c r="N341" s="24">
        <f>'Student At-Risk and ELL Proxy'!AH341</f>
        <v>0</v>
      </c>
      <c r="O341" s="136" t="str">
        <f t="shared" si="77"/>
        <v/>
      </c>
      <c r="P341" s="136">
        <f t="shared" si="78"/>
        <v>2.211680906375566</v>
      </c>
      <c r="Q341" s="136" t="str">
        <f t="shared" si="79"/>
        <v/>
      </c>
      <c r="R341" s="136">
        <f t="shared" si="72"/>
        <v>2.211680906375566</v>
      </c>
      <c r="S341" s="136">
        <f>IF(SUM(3515.4*((VLOOKUP($A341,'District Level ADM'!$A$4:$F$52,6,FALSE))^-0.327)/'Model Data Inputs'!$B$71)&lt;1,1,(3515.4*((VLOOKUP($A341,'District Level ADM'!$A$4:$F$52,6,FALSE))^-0.327)/'Model Data Inputs'!$B$71))</f>
        <v>1.3942224612583372</v>
      </c>
      <c r="T341" s="136">
        <f>VLOOKUP($A341,'Regional Cost Adjustment'!$A$4:$C$52,3,FALSE)</f>
        <v>0.98</v>
      </c>
      <c r="U341" s="123">
        <f>((($I341/$L341)*'Model Data Inputs'!$B$85)+((SUM(J341:K341)/$L341)*'Model Data Inputs'!$C$85))*$R341*$T341</f>
        <v>11666.91248208634</v>
      </c>
      <c r="V341" s="140">
        <f>((($I341/$L341)*'Model Data Inputs'!$B$86)+((SUM(J341:K341)/$L341)*'Model Data Inputs'!$C$86))*$R341</f>
        <v>3169.5770859865497</v>
      </c>
      <c r="W341" s="140">
        <f t="shared" si="80"/>
        <v>14836.48956807289</v>
      </c>
      <c r="X341" s="140">
        <f t="shared" si="73"/>
        <v>661828.94437131181</v>
      </c>
      <c r="Y341" s="140">
        <f t="shared" si="74"/>
        <v>179800.59935675902</v>
      </c>
      <c r="Z341" s="123">
        <f>IF((SUM(X341:Y341))&lt;(AVERAGE('Elementary Size Adjustment'!$B$66,'Secondary Size Adjustment'!$B$66)),(AVERAGE('Elementary Size Adjustment'!$B$66,'Secondary Size Adjustment'!$B$66)),SUM(X341:Y341))</f>
        <v>841629.5437280708</v>
      </c>
      <c r="AA341" s="137">
        <f>'Model Data Inputs'!$B$71*S341*L341</f>
        <v>15027.110936362324</v>
      </c>
      <c r="AB341" s="137">
        <f>L341*'Model Data Inputs'!$B$72</f>
        <v>1418.1750000000002</v>
      </c>
      <c r="AC341" s="137">
        <f>L341*'Model Data Inputs'!$B$73</f>
        <v>14181.750000000002</v>
      </c>
      <c r="AD341" s="137">
        <f>L341*'Model Data Inputs'!$B$74</f>
        <v>7090.8750000000009</v>
      </c>
      <c r="AE341" s="137">
        <f>$I341*'Model Data Inputs'!$B$76</f>
        <v>0</v>
      </c>
      <c r="AF341" s="137">
        <f>VLOOKUP($J341,'Student Activities MS&amp;HS Tables'!$M$7:$O$1267,3)</f>
        <v>4623.8999999999996</v>
      </c>
      <c r="AG341" s="137">
        <f>VLOOKUP($K341,'Student Activities MS&amp;HS Tables'!$I$7:$K$3007,3)</f>
        <v>88188.24</v>
      </c>
      <c r="AH341" s="137">
        <f t="shared" si="75"/>
        <v>92812.14</v>
      </c>
      <c r="AI341" s="123">
        <f t="shared" si="81"/>
        <v>972159.59466443316</v>
      </c>
      <c r="AJ341" s="123">
        <f>(('Model Data Inputs'!$B$90*(('Model Data Inputs'!$B$87*('School Level Inst. Resources'!I341/'School Level Inst. Resources'!L341))+('Model Data Inputs'!$C$87*(SUM('School Level Inst. Resources'!J341:K341)/'School Level Inst. Resources'!L341))))*T341*M341)</f>
        <v>102197.56346932147</v>
      </c>
      <c r="AK341" s="123">
        <f>(('Model Data Inputs'!$B$91*(('Model Data Inputs'!$B$87*('School Level Inst. Resources'!I341/'School Level Inst. Resources'!L341))+('Model Data Inputs'!$C$87*(SUM('School Level Inst. Resources'!J341:K341)/'School Level Inst. Resources'!L341))))*T341*N341)</f>
        <v>0</v>
      </c>
      <c r="AL341" s="137">
        <f>(K341*'Model Data Inputs'!$B$94)*T341</f>
        <v>8088.1484736507009</v>
      </c>
      <c r="AM341" s="137">
        <f>K341*'Model Data Inputs'!$B$95</f>
        <v>2095.4772800583332</v>
      </c>
      <c r="AN341" s="137">
        <f t="shared" si="82"/>
        <v>10183.625753709035</v>
      </c>
      <c r="AO341" s="137">
        <f>('School Level Inst. Resources'!K341*'Model Data Inputs'!$B$96)+('School Level Inst. Resources'!J341*'Model Data Inputs'!$B$97)</f>
        <v>5168.1500000000005</v>
      </c>
      <c r="AP341" s="137">
        <f>$L341*'Model Data Inputs'!$B$100</f>
        <v>2269.08</v>
      </c>
      <c r="AQ341" s="137">
        <f t="shared" si="83"/>
        <v>1091978.0138874636</v>
      </c>
      <c r="AR341" s="141">
        <f t="shared" si="76"/>
        <v>19249.704970956751</v>
      </c>
    </row>
    <row r="342" spans="1:44" s="40" customFormat="1" ht="12.75" customHeight="1" x14ac:dyDescent="0.2">
      <c r="A342" s="20" t="s">
        <v>98</v>
      </c>
      <c r="B342" s="20" t="s">
        <v>99</v>
      </c>
      <c r="C342" s="20" t="s">
        <v>1048</v>
      </c>
      <c r="D342" s="20" t="s">
        <v>1049</v>
      </c>
      <c r="E342" s="138" t="s">
        <v>376</v>
      </c>
      <c r="F342" s="138" t="str">
        <f>IF(AND(SUM('School Level ADM'!$F342:$J342)=0,SUM('School Level ADM'!$O342:$R342)=0,'School Level ADM'!$K342&gt;0,'School Level ADM'!$N342&gt;0),"T","F")</f>
        <v>F</v>
      </c>
      <c r="G342" s="138" t="str">
        <f>IF(AND(SUM('School Level ADM'!$M342:$R342)=0,'School Level ADM'!$L342&gt;0),"T","F")</f>
        <v>F</v>
      </c>
      <c r="H342" s="138" t="str">
        <f t="shared" si="70"/>
        <v>M</v>
      </c>
      <c r="I342" s="139">
        <f>IF($F342="T",SUM('School Level ADM'!$F342:$J342),IF($G342="T",SUM('School Level ADM'!$F342:$L342),SUM('School Level ADM'!$F342:$K342,0)))</f>
        <v>398.67966666666666</v>
      </c>
      <c r="J342" s="139">
        <f>'School Level ADM'!$S342-$I342-$K342</f>
        <v>207.16233333333332</v>
      </c>
      <c r="K342" s="139">
        <f>IF(SUM('School Level ADM'!$N342:$R342)='School Level ADM'!$S342,SUM('School Level ADM'!$N342:$R342),IF(OR(SUM('School Level ADM'!$F342:$O342)='School Level ADM'!$S342,SUM('School Level ADM'!$G342:$O342)='School Level ADM'!$S342,SUM('School Level ADM'!$H342:$O342)='School Level ADM'!$S342,SUM('School Level ADM'!$I342:$O342)='School Level ADM'!$S342,SUM('School Level ADM'!$J342:$O342)='School Level ADM'!$S342,SUM('School Level ADM'!$K342:$O342)='School Level ADM'!$S342,SUM('School Level ADM'!$L342:$O342)='School Level ADM'!$S342,SUM('School Level ADM'!$M342:$O342)='School Level ADM'!$S342,SUM('School Level ADM'!$N342:$O342)='School Level ADM'!$S342),0,SUM('School Level ADM'!$O342:$R342)))</f>
        <v>0</v>
      </c>
      <c r="L342" s="139">
        <f t="shared" si="71"/>
        <v>605.84199999999998</v>
      </c>
      <c r="M342" s="24">
        <f>'Student At-Risk and ELL Proxy'!S342</f>
        <v>169</v>
      </c>
      <c r="N342" s="24">
        <f>'Student At-Risk and ELL Proxy'!AH342</f>
        <v>0</v>
      </c>
      <c r="O342" s="136">
        <f t="shared" si="77"/>
        <v>0.97</v>
      </c>
      <c r="P342" s="136">
        <f t="shared" si="78"/>
        <v>0.97</v>
      </c>
      <c r="Q342" s="136" t="str">
        <f t="shared" si="79"/>
        <v/>
      </c>
      <c r="R342" s="136">
        <f t="shared" si="72"/>
        <v>0.97</v>
      </c>
      <c r="S342" s="136">
        <f>IF(SUM(3515.4*((VLOOKUP($A342,'District Level ADM'!$A$4:$F$52,6,FALSE))^-0.327)/'Model Data Inputs'!$B$71)&lt;1,1,(3515.4*((VLOOKUP($A342,'District Level ADM'!$A$4:$F$52,6,FALSE))^-0.327)/'Model Data Inputs'!$B$71))</f>
        <v>2.0495739938451534</v>
      </c>
      <c r="T342" s="136">
        <f>VLOOKUP($A342,'Regional Cost Adjustment'!$A$4:$C$52,3,FALSE)</f>
        <v>0.98</v>
      </c>
      <c r="U342" s="123">
        <f>((($I342/$L342)*'Model Data Inputs'!$B$85)+((SUM(J342:K342)/$L342)*'Model Data Inputs'!$C$85))*$R342*$T342</f>
        <v>5732.9209031318442</v>
      </c>
      <c r="V342" s="140">
        <f>((($I342/$L342)*'Model Data Inputs'!$B$86)+((SUM(J342:K342)/$L342)*'Model Data Inputs'!$C$86))*$R342</f>
        <v>1555.768643215473</v>
      </c>
      <c r="W342" s="140">
        <f t="shared" si="80"/>
        <v>7288.6895463473174</v>
      </c>
      <c r="X342" s="140">
        <f t="shared" si="73"/>
        <v>3473244.2657952025</v>
      </c>
      <c r="Y342" s="140">
        <f t="shared" si="74"/>
        <v>942549.98634294863</v>
      </c>
      <c r="Z342" s="123">
        <f>IF((SUM(X342:Y342))&lt;(AVERAGE('Elementary Size Adjustment'!$B$66,'Secondary Size Adjustment'!$B$66)),(AVERAGE('Elementary Size Adjustment'!$B$66,'Secondary Size Adjustment'!$B$66)),SUM(X342:Y342))</f>
        <v>4415794.2521381509</v>
      </c>
      <c r="AA342" s="137">
        <f>'Model Data Inputs'!$B$71*S342*L342</f>
        <v>235926.42144003575</v>
      </c>
      <c r="AB342" s="137">
        <f>L342*'Model Data Inputs'!$B$72</f>
        <v>15146.05</v>
      </c>
      <c r="AC342" s="137">
        <f>L342*'Model Data Inputs'!$B$73</f>
        <v>151460.5</v>
      </c>
      <c r="AD342" s="137">
        <f>L342*'Model Data Inputs'!$B$74</f>
        <v>75730.25</v>
      </c>
      <c r="AE342" s="137">
        <f>$I342*'Model Data Inputs'!$B$76</f>
        <v>9484.5892700000004</v>
      </c>
      <c r="AF342" s="137">
        <f>VLOOKUP($J342,'Student Activities MS&amp;HS Tables'!$M$7:$O$1267,3)</f>
        <v>77300.009999999995</v>
      </c>
      <c r="AG342" s="137">
        <f>VLOOKUP($K342,'Student Activities MS&amp;HS Tables'!$I$7:$K$3007,3)</f>
        <v>0</v>
      </c>
      <c r="AH342" s="137">
        <f t="shared" si="75"/>
        <v>86784.599269999992</v>
      </c>
      <c r="AI342" s="123">
        <f t="shared" si="81"/>
        <v>4980842.0728481868</v>
      </c>
      <c r="AJ342" s="123">
        <f>(('Model Data Inputs'!$B$90*(('Model Data Inputs'!$B$87*('School Level Inst. Resources'!I342/'School Level Inst. Resources'!L342))+('Model Data Inputs'!$C$87*(SUM('School Level Inst. Resources'!J342:K342)/'School Level Inst. Resources'!L342))))*T342*M342)</f>
        <v>379339.18618101912</v>
      </c>
      <c r="AK342" s="123">
        <f>(('Model Data Inputs'!$B$91*(('Model Data Inputs'!$B$87*('School Level Inst. Resources'!I342/'School Level Inst. Resources'!L342))+('Model Data Inputs'!$C$87*(SUM('School Level Inst. Resources'!J342:K342)/'School Level Inst. Resources'!L342))))*T342*N342)</f>
        <v>0</v>
      </c>
      <c r="AL342" s="137">
        <f>(K342*'Model Data Inputs'!$B$94)*T342</f>
        <v>0</v>
      </c>
      <c r="AM342" s="137">
        <f>K342*'Model Data Inputs'!$B$95</f>
        <v>0</v>
      </c>
      <c r="AN342" s="137">
        <f t="shared" si="82"/>
        <v>0</v>
      </c>
      <c r="AO342" s="137">
        <f>('School Level Inst. Resources'!K342*'Model Data Inputs'!$B$96)+('School Level Inst. Resources'!J342*'Model Data Inputs'!$B$97)</f>
        <v>5179.0583333333334</v>
      </c>
      <c r="AP342" s="137">
        <f>$L342*'Model Data Inputs'!$B$100</f>
        <v>24233.68</v>
      </c>
      <c r="AQ342" s="137">
        <f t="shared" si="83"/>
        <v>5389593.9973625392</v>
      </c>
      <c r="AR342" s="141">
        <f t="shared" si="76"/>
        <v>8896.0388968782936</v>
      </c>
    </row>
    <row r="343" spans="1:44" s="40" customFormat="1" ht="12.75" customHeight="1" x14ac:dyDescent="0.2">
      <c r="A343" s="20" t="s">
        <v>98</v>
      </c>
      <c r="B343" s="20" t="s">
        <v>99</v>
      </c>
      <c r="C343" s="20" t="s">
        <v>1050</v>
      </c>
      <c r="D343" s="20" t="s">
        <v>1051</v>
      </c>
      <c r="E343" s="138" t="s">
        <v>389</v>
      </c>
      <c r="F343" s="138" t="str">
        <f>IF(AND(SUM('School Level ADM'!$F343:$J343)=0,SUM('School Level ADM'!$O343:$R343)=0,'School Level ADM'!$K343&gt;0,'School Level ADM'!$N343&gt;0),"T","F")</f>
        <v>F</v>
      </c>
      <c r="G343" s="138" t="str">
        <f>IF(AND(SUM('School Level ADM'!$M343:$R343)=0,'School Level ADM'!$L343&gt;0),"T","F")</f>
        <v>F</v>
      </c>
      <c r="H343" s="138" t="str">
        <f t="shared" si="70"/>
        <v>H</v>
      </c>
      <c r="I343" s="139">
        <f>IF($F343="T",SUM('School Level ADM'!$F343:$J343),IF($G343="T",SUM('School Level ADM'!$F343:$L343),SUM('School Level ADM'!$F343:$K343,0)))</f>
        <v>0</v>
      </c>
      <c r="J343" s="139">
        <f>'School Level ADM'!$S343-$I343-$K343</f>
        <v>0</v>
      </c>
      <c r="K343" s="139">
        <f>IF(SUM('School Level ADM'!$N343:$R343)='School Level ADM'!$S343,SUM('School Level ADM'!$N343:$R343),IF(OR(SUM('School Level ADM'!$F343:$O343)='School Level ADM'!$S343,SUM('School Level ADM'!$G343:$O343)='School Level ADM'!$S343,SUM('School Level ADM'!$H343:$O343)='School Level ADM'!$S343,SUM('School Level ADM'!$I343:$O343)='School Level ADM'!$S343,SUM('School Level ADM'!$J343:$O343)='School Level ADM'!$S343,SUM('School Level ADM'!$K343:$O343)='School Level ADM'!$S343,SUM('School Level ADM'!$L343:$O343)='School Level ADM'!$S343,SUM('School Level ADM'!$M343:$O343)='School Level ADM'!$S343,SUM('School Level ADM'!$N343:$O343)='School Level ADM'!$S343),0,SUM('School Level ADM'!$O343:$R343)))</f>
        <v>230.13499999999999</v>
      </c>
      <c r="L343" s="139">
        <f t="shared" si="71"/>
        <v>230.13499999999999</v>
      </c>
      <c r="M343" s="24">
        <f>'Student At-Risk and ELL Proxy'!S343</f>
        <v>42</v>
      </c>
      <c r="N343" s="24">
        <f>'Student At-Risk and ELL Proxy'!AH343</f>
        <v>0</v>
      </c>
      <c r="O343" s="136" t="str">
        <f t="shared" si="77"/>
        <v/>
      </c>
      <c r="P343" s="136">
        <f t="shared" si="78"/>
        <v>1.3528410597998086</v>
      </c>
      <c r="Q343" s="136" t="str">
        <f t="shared" si="79"/>
        <v/>
      </c>
      <c r="R343" s="136">
        <f t="shared" si="72"/>
        <v>1.3528410597998086</v>
      </c>
      <c r="S343" s="136">
        <f>IF(SUM(3515.4*((VLOOKUP($A343,'District Level ADM'!$A$4:$F$52,6,FALSE))^-0.327)/'Model Data Inputs'!$B$71)&lt;1,1,(3515.4*((VLOOKUP($A343,'District Level ADM'!$A$4:$F$52,6,FALSE))^-0.327)/'Model Data Inputs'!$B$71))</f>
        <v>2.0495739938451534</v>
      </c>
      <c r="T343" s="136">
        <f>VLOOKUP($A343,'Regional Cost Adjustment'!$A$4:$C$52,3,FALSE)</f>
        <v>0.98</v>
      </c>
      <c r="U343" s="123">
        <f>((($I343/$L343)*'Model Data Inputs'!$B$85)+((SUM(J343:K343)/$L343)*'Model Data Inputs'!$C$85))*$R343*$T343</f>
        <v>7136.4174648153812</v>
      </c>
      <c r="V343" s="140">
        <f>((($I343/$L343)*'Model Data Inputs'!$B$86)+((SUM(J343:K343)/$L343)*'Model Data Inputs'!$C$86))*$R343</f>
        <v>1938.7670308870033</v>
      </c>
      <c r="W343" s="140">
        <f t="shared" si="80"/>
        <v>9075.1844957023841</v>
      </c>
      <c r="X343" s="140">
        <f t="shared" si="73"/>
        <v>1642339.4332652877</v>
      </c>
      <c r="Y343" s="140">
        <f t="shared" si="74"/>
        <v>446178.15065318049</v>
      </c>
      <c r="Z343" s="123">
        <f>IF((SUM(X343:Y343))&lt;(AVERAGE('Elementary Size Adjustment'!$B$66,'Secondary Size Adjustment'!$B$66)),(AVERAGE('Elementary Size Adjustment'!$B$66,'Secondary Size Adjustment'!$B$66)),SUM(X343:Y343))</f>
        <v>2088517.5839184681</v>
      </c>
      <c r="AA343" s="137">
        <f>'Model Data Inputs'!$B$71*S343*L343</f>
        <v>89618.955103975328</v>
      </c>
      <c r="AB343" s="137">
        <f>L343*'Model Data Inputs'!$B$72</f>
        <v>5753.375</v>
      </c>
      <c r="AC343" s="137">
        <f>L343*'Model Data Inputs'!$B$73</f>
        <v>57533.75</v>
      </c>
      <c r="AD343" s="137">
        <f>L343*'Model Data Inputs'!$B$74</f>
        <v>28766.875</v>
      </c>
      <c r="AE343" s="137">
        <f>$I343*'Model Data Inputs'!$B$76</f>
        <v>0</v>
      </c>
      <c r="AF343" s="137">
        <f>VLOOKUP($J343,'Student Activities MS&amp;HS Tables'!$M$7:$O$1267,3)</f>
        <v>0</v>
      </c>
      <c r="AG343" s="137">
        <f>VLOOKUP($K343,'Student Activities MS&amp;HS Tables'!$I$7:$K$3007,3)</f>
        <v>276788.90000000002</v>
      </c>
      <c r="AH343" s="137">
        <f t="shared" si="75"/>
        <v>276788.90000000002</v>
      </c>
      <c r="AI343" s="123">
        <f t="shared" si="81"/>
        <v>2546979.4390224433</v>
      </c>
      <c r="AJ343" s="123">
        <f>(('Model Data Inputs'!$B$90*(('Model Data Inputs'!$B$87*('School Level Inst. Resources'!I343/'School Level Inst. Resources'!L343))+('Model Data Inputs'!$C$87*(SUM('School Level Inst. Resources'!J343:K343)/'School Level Inst. Resources'!L343))))*T343*M343)</f>
        <v>84162.699327676513</v>
      </c>
      <c r="AK343" s="123">
        <f>(('Model Data Inputs'!$B$91*(('Model Data Inputs'!$B$87*('School Level Inst. Resources'!I343/'School Level Inst. Resources'!L343))+('Model Data Inputs'!$C$87*(SUM('School Level Inst. Resources'!J343:K343)/'School Level Inst. Resources'!L343))))*T343*N343)</f>
        <v>0</v>
      </c>
      <c r="AL343" s="137">
        <f>(K343*'Model Data Inputs'!$B$94)*T343</f>
        <v>37227.569163466498</v>
      </c>
      <c r="AM343" s="137">
        <f>K343*'Model Data Inputs'!$B$95</f>
        <v>9644.917576374999</v>
      </c>
      <c r="AN343" s="137">
        <f t="shared" si="82"/>
        <v>46872.486739841494</v>
      </c>
      <c r="AO343" s="137">
        <f>('School Level Inst. Resources'!K343*'Model Data Inputs'!$B$96)+('School Level Inst. Resources'!J343*'Model Data Inputs'!$B$97)</f>
        <v>23013.5</v>
      </c>
      <c r="AP343" s="137">
        <f>$L343*'Model Data Inputs'!$B$100</f>
        <v>9205.4</v>
      </c>
      <c r="AQ343" s="137">
        <f t="shared" si="83"/>
        <v>2710233.525089961</v>
      </c>
      <c r="AR343" s="141">
        <f t="shared" si="76"/>
        <v>11776.711604449394</v>
      </c>
    </row>
    <row r="344" spans="1:44" s="40" customFormat="1" ht="12.75" customHeight="1" x14ac:dyDescent="0.2">
      <c r="A344" s="20" t="s">
        <v>100</v>
      </c>
      <c r="B344" s="20" t="s">
        <v>101</v>
      </c>
      <c r="C344" s="20" t="s">
        <v>1052</v>
      </c>
      <c r="D344" s="20" t="s">
        <v>1053</v>
      </c>
      <c r="E344" s="138" t="s">
        <v>522</v>
      </c>
      <c r="F344" s="138" t="str">
        <f>IF(AND(SUM('School Level ADM'!$F344:$J344)=0,SUM('School Level ADM'!$O344:$R344)=0,'School Level ADM'!$K344&gt;0,'School Level ADM'!$N344&gt;0),"T","F")</f>
        <v>F</v>
      </c>
      <c r="G344" s="138" t="str">
        <f>IF(AND(SUM('School Level ADM'!$M344:$R344)=0,'School Level ADM'!$L344&gt;0),"T","F")</f>
        <v>F</v>
      </c>
      <c r="H344" s="138" t="str">
        <f t="shared" si="70"/>
        <v>E</v>
      </c>
      <c r="I344" s="139">
        <f>IF($F344="T",SUM('School Level ADM'!$F344:$J344),IF($G344="T",SUM('School Level ADM'!$F344:$L344),SUM('School Level ADM'!$F344:$K344,0)))</f>
        <v>277.77</v>
      </c>
      <c r="J344" s="139">
        <f>'School Level ADM'!$S344-$I344-$K344</f>
        <v>0</v>
      </c>
      <c r="K344" s="139">
        <f>IF(SUM('School Level ADM'!$N344:$R344)='School Level ADM'!$S344,SUM('School Level ADM'!$N344:$R344),IF(OR(SUM('School Level ADM'!$F344:$O344)='School Level ADM'!$S344,SUM('School Level ADM'!$G344:$O344)='School Level ADM'!$S344,SUM('School Level ADM'!$H344:$O344)='School Level ADM'!$S344,SUM('School Level ADM'!$I344:$O344)='School Level ADM'!$S344,SUM('School Level ADM'!$J344:$O344)='School Level ADM'!$S344,SUM('School Level ADM'!$K344:$O344)='School Level ADM'!$S344,SUM('School Level ADM'!$L344:$O344)='School Level ADM'!$S344,SUM('School Level ADM'!$M344:$O344)='School Level ADM'!$S344,SUM('School Level ADM'!$N344:$O344)='School Level ADM'!$S344),0,SUM('School Level ADM'!$O344:$R344)))</f>
        <v>0</v>
      </c>
      <c r="L344" s="139">
        <f t="shared" si="71"/>
        <v>277.77</v>
      </c>
      <c r="M344" s="24">
        <f>'Student At-Risk and ELL Proxy'!S344</f>
        <v>72</v>
      </c>
      <c r="N344" s="24">
        <f>'Student At-Risk and ELL Proxy'!AH344</f>
        <v>4</v>
      </c>
      <c r="O344" s="136">
        <f t="shared" si="77"/>
        <v>1.0234087969956223</v>
      </c>
      <c r="P344" s="136" t="str">
        <f t="shared" si="78"/>
        <v/>
      </c>
      <c r="Q344" s="136" t="str">
        <f t="shared" si="79"/>
        <v/>
      </c>
      <c r="R344" s="136">
        <f t="shared" si="72"/>
        <v>1.0234087969956223</v>
      </c>
      <c r="S344" s="136">
        <f>IF(SUM(3515.4*((VLOOKUP($A344,'District Level ADM'!$A$4:$F$52,6,FALSE))^-0.327)/'Model Data Inputs'!$B$71)&lt;1,1,(3515.4*((VLOOKUP($A344,'District Level ADM'!$A$4:$F$52,6,FALSE))^-0.327)/'Model Data Inputs'!$B$71))</f>
        <v>2.1444739188725586</v>
      </c>
      <c r="T344" s="136">
        <f>VLOOKUP($A344,'Regional Cost Adjustment'!$A$4:$C$52,3,FALSE)</f>
        <v>0.98</v>
      </c>
      <c r="U344" s="123">
        <f>((($I344/$L344)*'Model Data Inputs'!$B$85)+((SUM(J344:K344)/$L344)*'Model Data Inputs'!$C$85))*$R344*$T344</f>
        <v>6386.3123593965192</v>
      </c>
      <c r="V344" s="140">
        <f>((($I344/$L344)*'Model Data Inputs'!$B$86)+((SUM(J344:K344)/$L344)*'Model Data Inputs'!$C$86))*$R344</f>
        <v>1732.2470507153319</v>
      </c>
      <c r="W344" s="140">
        <f t="shared" si="80"/>
        <v>8118.5594101118513</v>
      </c>
      <c r="X344" s="140">
        <f t="shared" si="73"/>
        <v>1773925.9840695711</v>
      </c>
      <c r="Y344" s="140">
        <f t="shared" si="74"/>
        <v>481166.26327719772</v>
      </c>
      <c r="Z344" s="123">
        <f>IF((SUM(X344:Y344))&lt;(AVERAGE('Elementary Size Adjustment'!$B$66,'Secondary Size Adjustment'!$B$66)),(AVERAGE('Elementary Size Adjustment'!$B$66,'Secondary Size Adjustment'!$B$66)),SUM(X344:Y344))</f>
        <v>2255092.2473467691</v>
      </c>
      <c r="AA344" s="137">
        <f>'Model Data Inputs'!$B$71*S344*L344</f>
        <v>113177.39888459381</v>
      </c>
      <c r="AB344" s="137">
        <f>L344*'Model Data Inputs'!$B$72</f>
        <v>6944.25</v>
      </c>
      <c r="AC344" s="137">
        <f>L344*'Model Data Inputs'!$B$73</f>
        <v>69442.5</v>
      </c>
      <c r="AD344" s="137">
        <f>L344*'Model Data Inputs'!$B$74</f>
        <v>34721.25</v>
      </c>
      <c r="AE344" s="137">
        <f>$I344*'Model Data Inputs'!$B$76</f>
        <v>6608.1482999999989</v>
      </c>
      <c r="AF344" s="137">
        <f>VLOOKUP($J344,'Student Activities MS&amp;HS Tables'!$M$7:$O$1267,3)</f>
        <v>0</v>
      </c>
      <c r="AG344" s="137">
        <f>VLOOKUP($K344,'Student Activities MS&amp;HS Tables'!$I$7:$K$3007,3)</f>
        <v>0</v>
      </c>
      <c r="AH344" s="137">
        <f t="shared" si="75"/>
        <v>6608.1482999999989</v>
      </c>
      <c r="AI344" s="123">
        <f t="shared" si="81"/>
        <v>2485985.7945313631</v>
      </c>
      <c r="AJ344" s="123">
        <f>(('Model Data Inputs'!$B$90*(('Model Data Inputs'!$B$87*('School Level Inst. Resources'!I344/'School Level Inst. Resources'!L344))+('Model Data Inputs'!$C$87*(SUM('School Level Inst. Resources'!J344:K344)/'School Level Inst. Resources'!L344))))*T344*M344)</f>
        <v>170618.5769021232</v>
      </c>
      <c r="AK344" s="123">
        <f>(('Model Data Inputs'!$B$91*(('Model Data Inputs'!$B$87*('School Level Inst. Resources'!I344/'School Level Inst. Resources'!L344))+('Model Data Inputs'!$C$87*(SUM('School Level Inst. Resources'!J344:K344)/'School Level Inst. Resources'!L344))))*T344*N344)</f>
        <v>9478.8098278957332</v>
      </c>
      <c r="AL344" s="137">
        <f>(K344*'Model Data Inputs'!$B$94)*T344</f>
        <v>0</v>
      </c>
      <c r="AM344" s="137">
        <f>K344*'Model Data Inputs'!$B$95</f>
        <v>0</v>
      </c>
      <c r="AN344" s="137">
        <f t="shared" si="82"/>
        <v>0</v>
      </c>
      <c r="AO344" s="137">
        <f>('School Level Inst. Resources'!K344*'Model Data Inputs'!$B$96)+('School Level Inst. Resources'!J344*'Model Data Inputs'!$B$97)</f>
        <v>0</v>
      </c>
      <c r="AP344" s="137">
        <f>$L344*'Model Data Inputs'!$B$100</f>
        <v>11110.8</v>
      </c>
      <c r="AQ344" s="137">
        <f t="shared" si="83"/>
        <v>2677193.9812613819</v>
      </c>
      <c r="AR344" s="141">
        <f t="shared" si="76"/>
        <v>9638.1682012506099</v>
      </c>
    </row>
    <row r="345" spans="1:44" s="40" customFormat="1" ht="12.75" customHeight="1" x14ac:dyDescent="0.2">
      <c r="A345" s="20" t="s">
        <v>100</v>
      </c>
      <c r="B345" s="20" t="s">
        <v>101</v>
      </c>
      <c r="C345" s="20" t="s">
        <v>1054</v>
      </c>
      <c r="D345" s="20" t="s">
        <v>1055</v>
      </c>
      <c r="E345" s="138" t="s">
        <v>643</v>
      </c>
      <c r="F345" s="138" t="str">
        <f>IF(AND(SUM('School Level ADM'!$F345:$J345)=0,SUM('School Level ADM'!$O345:$R345)=0,'School Level ADM'!$K345&gt;0,'School Level ADM'!$N345&gt;0),"T","F")</f>
        <v>T</v>
      </c>
      <c r="G345" s="138" t="str">
        <f>IF(AND(SUM('School Level ADM'!$M345:$R345)=0,'School Level ADM'!$L345&gt;0),"T","F")</f>
        <v>F</v>
      </c>
      <c r="H345" s="138" t="str">
        <f t="shared" si="70"/>
        <v>M</v>
      </c>
      <c r="I345" s="139">
        <f>IF($F345="T",SUM('School Level ADM'!$F345:$J345),IF($G345="T",SUM('School Level ADM'!$F345:$L345),SUM('School Level ADM'!$F345:$K345,0)))</f>
        <v>0</v>
      </c>
      <c r="J345" s="139">
        <f>'School Level ADM'!$S345-$I345-$K345</f>
        <v>234.43</v>
      </c>
      <c r="K345" s="139">
        <f>IF(SUM('School Level ADM'!$N345:$R345)='School Level ADM'!$S345,SUM('School Level ADM'!$N345:$R345),IF(OR(SUM('School Level ADM'!$F345:$O345)='School Level ADM'!$S345,SUM('School Level ADM'!$G345:$O345)='School Level ADM'!$S345,SUM('School Level ADM'!$H345:$O345)='School Level ADM'!$S345,SUM('School Level ADM'!$I345:$O345)='School Level ADM'!$S345,SUM('School Level ADM'!$J345:$O345)='School Level ADM'!$S345,SUM('School Level ADM'!$K345:$O345)='School Level ADM'!$S345,SUM('School Level ADM'!$L345:$O345)='School Level ADM'!$S345,SUM('School Level ADM'!$M345:$O345)='School Level ADM'!$S345,SUM('School Level ADM'!$N345:$O345)='School Level ADM'!$S345),0,SUM('School Level ADM'!$O345:$R345)))</f>
        <v>0</v>
      </c>
      <c r="L345" s="139">
        <f t="shared" si="71"/>
        <v>234.43</v>
      </c>
      <c r="M345" s="24">
        <f>'Student At-Risk and ELL Proxy'!S345</f>
        <v>72</v>
      </c>
      <c r="N345" s="24">
        <f>'Student At-Risk and ELL Proxy'!AH345</f>
        <v>3</v>
      </c>
      <c r="O345" s="136" t="str">
        <f t="shared" si="77"/>
        <v/>
      </c>
      <c r="P345" s="136">
        <f t="shared" si="78"/>
        <v>1.3440891194282523</v>
      </c>
      <c r="Q345" s="136" t="str">
        <f t="shared" si="79"/>
        <v/>
      </c>
      <c r="R345" s="136">
        <f t="shared" si="72"/>
        <v>1.3440891194282523</v>
      </c>
      <c r="S345" s="136">
        <f>IF(SUM(3515.4*((VLOOKUP($A345,'District Level ADM'!$A$4:$F$52,6,FALSE))^-0.327)/'Model Data Inputs'!$B$71)&lt;1,1,(3515.4*((VLOOKUP($A345,'District Level ADM'!$A$4:$F$52,6,FALSE))^-0.327)/'Model Data Inputs'!$B$71))</f>
        <v>2.1444739188725586</v>
      </c>
      <c r="T345" s="136">
        <f>VLOOKUP($A345,'Regional Cost Adjustment'!$A$4:$C$52,3,FALSE)</f>
        <v>0.98</v>
      </c>
      <c r="U345" s="123">
        <f>((($I345/$L345)*'Model Data Inputs'!$B$85)+((SUM(J345:K345)/$L345)*'Model Data Inputs'!$C$85))*$R345*$T345</f>
        <v>7090.2498092240876</v>
      </c>
      <c r="V345" s="140">
        <f>((($I345/$L345)*'Model Data Inputs'!$B$86)+((SUM(J345:K345)/$L345)*'Model Data Inputs'!$C$86))*$R345</f>
        <v>1926.2245571605088</v>
      </c>
      <c r="W345" s="140">
        <f t="shared" si="80"/>
        <v>9016.4743663845966</v>
      </c>
      <c r="X345" s="140">
        <f t="shared" si="73"/>
        <v>1662167.262776403</v>
      </c>
      <c r="Y345" s="140">
        <f t="shared" si="74"/>
        <v>451564.82293513807</v>
      </c>
      <c r="Z345" s="123">
        <f>IF((SUM(X345:Y345))&lt;(AVERAGE('Elementary Size Adjustment'!$B$66,'Secondary Size Adjustment'!$B$66)),(AVERAGE('Elementary Size Adjustment'!$B$66,'Secondary Size Adjustment'!$B$66)),SUM(X345:Y345))</f>
        <v>2113732.0857115411</v>
      </c>
      <c r="AA345" s="137">
        <f>'Model Data Inputs'!$B$71*S345*L345</f>
        <v>95518.513952245848</v>
      </c>
      <c r="AB345" s="137">
        <f>L345*'Model Data Inputs'!$B$72</f>
        <v>5860.75</v>
      </c>
      <c r="AC345" s="137">
        <f>L345*'Model Data Inputs'!$B$73</f>
        <v>58607.5</v>
      </c>
      <c r="AD345" s="137">
        <f>L345*'Model Data Inputs'!$B$74</f>
        <v>29303.75</v>
      </c>
      <c r="AE345" s="137">
        <f>$I345*'Model Data Inputs'!$B$76</f>
        <v>0</v>
      </c>
      <c r="AF345" s="137">
        <f>VLOOKUP($J345,'Student Activities MS&amp;HS Tables'!$M$7:$O$1267,3)</f>
        <v>82454.58</v>
      </c>
      <c r="AG345" s="137">
        <f>VLOOKUP($K345,'Student Activities MS&amp;HS Tables'!$I$7:$K$3007,3)</f>
        <v>0</v>
      </c>
      <c r="AH345" s="137">
        <f t="shared" si="75"/>
        <v>82454.58</v>
      </c>
      <c r="AI345" s="123">
        <f t="shared" si="81"/>
        <v>2385477.1796637871</v>
      </c>
      <c r="AJ345" s="123">
        <f>(('Model Data Inputs'!$B$90*(('Model Data Inputs'!$B$87*('School Level Inst. Resources'!I345/'School Level Inst. Resources'!L345))+('Model Data Inputs'!$C$87*(SUM('School Level Inst. Resources'!J345:K345)/'School Level Inst. Resources'!L345))))*T345*M345)</f>
        <v>144278.91313315972</v>
      </c>
      <c r="AK345" s="123">
        <f>(('Model Data Inputs'!$B$91*(('Model Data Inputs'!$B$87*('School Level Inst. Resources'!I345/'School Level Inst. Resources'!L345))+('Model Data Inputs'!$C$87*(SUM('School Level Inst. Resources'!J345:K345)/'School Level Inst. Resources'!L345))))*T345*N345)</f>
        <v>6011.6213805483221</v>
      </c>
      <c r="AL345" s="137">
        <f>(K345*'Model Data Inputs'!$B$94)*T345</f>
        <v>0</v>
      </c>
      <c r="AM345" s="137">
        <f>K345*'Model Data Inputs'!$B$95</f>
        <v>0</v>
      </c>
      <c r="AN345" s="137">
        <f t="shared" si="82"/>
        <v>0</v>
      </c>
      <c r="AO345" s="137">
        <f>('School Level Inst. Resources'!K345*'Model Data Inputs'!$B$96)+('School Level Inst. Resources'!J345*'Model Data Inputs'!$B$97)</f>
        <v>5860.75</v>
      </c>
      <c r="AP345" s="137">
        <f>$L345*'Model Data Inputs'!$B$100</f>
        <v>9377.2000000000007</v>
      </c>
      <c r="AQ345" s="137">
        <f t="shared" si="83"/>
        <v>2551005.6641774955</v>
      </c>
      <c r="AR345" s="141">
        <f t="shared" si="76"/>
        <v>10881.737252815319</v>
      </c>
    </row>
    <row r="346" spans="1:44" s="40" customFormat="1" ht="12.75" customHeight="1" x14ac:dyDescent="0.2">
      <c r="A346" s="20" t="s">
        <v>100</v>
      </c>
      <c r="B346" s="20" t="s">
        <v>101</v>
      </c>
      <c r="C346" s="20" t="s">
        <v>1056</v>
      </c>
      <c r="D346" s="20" t="s">
        <v>1057</v>
      </c>
      <c r="E346" s="138" t="s">
        <v>389</v>
      </c>
      <c r="F346" s="138" t="str">
        <f>IF(AND(SUM('School Level ADM'!$F346:$J346)=0,SUM('School Level ADM'!$O346:$R346)=0,'School Level ADM'!$K346&gt;0,'School Level ADM'!$N346&gt;0),"T","F")</f>
        <v>F</v>
      </c>
      <c r="G346" s="138" t="str">
        <f>IF(AND(SUM('School Level ADM'!$M346:$R346)=0,'School Level ADM'!$L346&gt;0),"T","F")</f>
        <v>F</v>
      </c>
      <c r="H346" s="138" t="str">
        <f t="shared" si="70"/>
        <v>H</v>
      </c>
      <c r="I346" s="139">
        <f>IF($F346="T",SUM('School Level ADM'!$F346:$J346),IF($G346="T",SUM('School Level ADM'!$F346:$L346),SUM('School Level ADM'!$F346:$K346,0)))</f>
        <v>0</v>
      </c>
      <c r="J346" s="139">
        <f>'School Level ADM'!$S346-$I346-$K346</f>
        <v>0</v>
      </c>
      <c r="K346" s="139">
        <f>IF(SUM('School Level ADM'!$N346:$R346)='School Level ADM'!$S346,SUM('School Level ADM'!$N346:$R346),IF(OR(SUM('School Level ADM'!$F346:$O346)='School Level ADM'!$S346,SUM('School Level ADM'!$G346:$O346)='School Level ADM'!$S346,SUM('School Level ADM'!$H346:$O346)='School Level ADM'!$S346,SUM('School Level ADM'!$I346:$O346)='School Level ADM'!$S346,SUM('School Level ADM'!$J346:$O346)='School Level ADM'!$S346,SUM('School Level ADM'!$K346:$O346)='School Level ADM'!$S346,SUM('School Level ADM'!$L346:$O346)='School Level ADM'!$S346,SUM('School Level ADM'!$M346:$O346)='School Level ADM'!$S346,SUM('School Level ADM'!$N346:$O346)='School Level ADM'!$S346),0,SUM('School Level ADM'!$O346:$R346)))</f>
        <v>215.71500000000003</v>
      </c>
      <c r="L346" s="139">
        <f t="shared" si="71"/>
        <v>215.71500000000003</v>
      </c>
      <c r="M346" s="24">
        <f>'Student At-Risk and ELL Proxy'!S346</f>
        <v>37</v>
      </c>
      <c r="N346" s="24">
        <f>'Student At-Risk and ELL Proxy'!AH346</f>
        <v>0</v>
      </c>
      <c r="O346" s="136" t="str">
        <f t="shared" si="77"/>
        <v/>
      </c>
      <c r="P346" s="136">
        <f t="shared" si="78"/>
        <v>1.3839190675669415</v>
      </c>
      <c r="Q346" s="136" t="str">
        <f t="shared" si="79"/>
        <v/>
      </c>
      <c r="R346" s="136">
        <f t="shared" si="72"/>
        <v>1.3839190675669415</v>
      </c>
      <c r="S346" s="136">
        <f>IF(SUM(3515.4*((VLOOKUP($A346,'District Level ADM'!$A$4:$F$52,6,FALSE))^-0.327)/'Model Data Inputs'!$B$71)&lt;1,1,(3515.4*((VLOOKUP($A346,'District Level ADM'!$A$4:$F$52,6,FALSE))^-0.327)/'Model Data Inputs'!$B$71))</f>
        <v>2.1444739188725586</v>
      </c>
      <c r="T346" s="136">
        <f>VLOOKUP($A346,'Regional Cost Adjustment'!$A$4:$C$52,3,FALSE)</f>
        <v>0.98</v>
      </c>
      <c r="U346" s="123">
        <f>((($I346/$L346)*'Model Data Inputs'!$B$85)+((SUM(J346:K346)/$L346)*'Model Data Inputs'!$C$85))*$R346*$T346</f>
        <v>7300.3581109056586</v>
      </c>
      <c r="V346" s="140">
        <f>((($I346/$L346)*'Model Data Inputs'!$B$86)+((SUM(J346:K346)/$L346)*'Model Data Inputs'!$C$86))*$R346</f>
        <v>1983.3051652140939</v>
      </c>
      <c r="W346" s="140">
        <f t="shared" si="80"/>
        <v>9283.6632761197525</v>
      </c>
      <c r="X346" s="140">
        <f t="shared" si="73"/>
        <v>1574796.7498940143</v>
      </c>
      <c r="Y346" s="140">
        <f t="shared" si="74"/>
        <v>427828.67371415836</v>
      </c>
      <c r="Z346" s="123">
        <f>IF((SUM(X346:Y346))&lt;(AVERAGE('Elementary Size Adjustment'!$B$66,'Secondary Size Adjustment'!$B$66)),(AVERAGE('Elementary Size Adjustment'!$B$66,'Secondary Size Adjustment'!$B$66)),SUM(X346:Y346))</f>
        <v>2002625.4236081727</v>
      </c>
      <c r="AA346" s="137">
        <f>'Model Data Inputs'!$B$71*S346*L346</f>
        <v>87893.086367822878</v>
      </c>
      <c r="AB346" s="137">
        <f>L346*'Model Data Inputs'!$B$72</f>
        <v>5392.8750000000009</v>
      </c>
      <c r="AC346" s="137">
        <f>L346*'Model Data Inputs'!$B$73</f>
        <v>53928.750000000007</v>
      </c>
      <c r="AD346" s="137">
        <f>L346*'Model Data Inputs'!$B$74</f>
        <v>26964.375000000004</v>
      </c>
      <c r="AE346" s="137">
        <f>$I346*'Model Data Inputs'!$B$76</f>
        <v>0</v>
      </c>
      <c r="AF346" s="137">
        <f>VLOOKUP($J346,'Student Activities MS&amp;HS Tables'!$M$7:$O$1267,3)</f>
        <v>0</v>
      </c>
      <c r="AG346" s="137">
        <f>VLOOKUP($K346,'Student Activities MS&amp;HS Tables'!$I$7:$K$3007,3)</f>
        <v>266041</v>
      </c>
      <c r="AH346" s="137">
        <f t="shared" si="75"/>
        <v>266041</v>
      </c>
      <c r="AI346" s="123">
        <f t="shared" si="81"/>
        <v>2442845.5099759959</v>
      </c>
      <c r="AJ346" s="123">
        <f>(('Model Data Inputs'!$B$90*(('Model Data Inputs'!$B$87*('School Level Inst. Resources'!I346/'School Level Inst. Resources'!L346))+('Model Data Inputs'!$C$87*(SUM('School Level Inst. Resources'!J346:K346)/'School Level Inst. Resources'!L346))))*T346*M346)</f>
        <v>74143.330360095977</v>
      </c>
      <c r="AK346" s="123">
        <f>(('Model Data Inputs'!$B$91*(('Model Data Inputs'!$B$87*('School Level Inst. Resources'!I346/'School Level Inst. Resources'!L346))+('Model Data Inputs'!$C$87*(SUM('School Level Inst. Resources'!J346:K346)/'School Level Inst. Resources'!L346))))*T346*N346)</f>
        <v>0</v>
      </c>
      <c r="AL346" s="137">
        <f>(K346*'Model Data Inputs'!$B$94)*T346</f>
        <v>34894.931592748508</v>
      </c>
      <c r="AM346" s="137">
        <f>K346*'Model Data Inputs'!$B$95</f>
        <v>9040.5778998750011</v>
      </c>
      <c r="AN346" s="137">
        <f t="shared" si="82"/>
        <v>43935.509492623511</v>
      </c>
      <c r="AO346" s="137">
        <f>('School Level Inst. Resources'!K346*'Model Data Inputs'!$B$96)+('School Level Inst. Resources'!J346*'Model Data Inputs'!$B$97)</f>
        <v>21571.500000000004</v>
      </c>
      <c r="AP346" s="137">
        <f>$L346*'Model Data Inputs'!$B$100</f>
        <v>8628.6000000000022</v>
      </c>
      <c r="AQ346" s="137">
        <f t="shared" si="83"/>
        <v>2591124.4498287155</v>
      </c>
      <c r="AR346" s="141">
        <f t="shared" si="76"/>
        <v>12011.795423724428</v>
      </c>
    </row>
    <row r="347" spans="1:44" s="40" customFormat="1" ht="12.75" customHeight="1" x14ac:dyDescent="0.2">
      <c r="A347" s="20" t="s">
        <v>102</v>
      </c>
      <c r="B347" s="20" t="s">
        <v>103</v>
      </c>
      <c r="C347" s="20" t="s">
        <v>1058</v>
      </c>
      <c r="D347" s="20" t="s">
        <v>1059</v>
      </c>
      <c r="E347" s="138" t="s">
        <v>499</v>
      </c>
      <c r="F347" s="138" t="str">
        <f>IF(AND(SUM('School Level ADM'!$F347:$J347)=0,SUM('School Level ADM'!$O347:$R347)=0,'School Level ADM'!$K347&gt;0,'School Level ADM'!$N347&gt;0),"T","F")</f>
        <v>F</v>
      </c>
      <c r="G347" s="138" t="str">
        <f>IF(AND(SUM('School Level ADM'!$M347:$R347)=0,'School Level ADM'!$L347&gt;0),"T","F")</f>
        <v>F</v>
      </c>
      <c r="H347" s="138" t="str">
        <f t="shared" si="70"/>
        <v>E</v>
      </c>
      <c r="I347" s="139">
        <f>IF($F347="T",SUM('School Level ADM'!$F347:$J347),IF($G347="T",SUM('School Level ADM'!$F347:$L347),SUM('School Level ADM'!$F347:$K347,0)))</f>
        <v>190.28300000000002</v>
      </c>
      <c r="J347" s="139">
        <f>'School Level ADM'!$S347-$I347-$K347</f>
        <v>0</v>
      </c>
      <c r="K347" s="139">
        <f>IF(SUM('School Level ADM'!$N347:$R347)='School Level ADM'!$S347,SUM('School Level ADM'!$N347:$R347),IF(OR(SUM('School Level ADM'!$F347:$O347)='School Level ADM'!$S347,SUM('School Level ADM'!$G347:$O347)='School Level ADM'!$S347,SUM('School Level ADM'!$H347:$O347)='School Level ADM'!$S347,SUM('School Level ADM'!$I347:$O347)='School Level ADM'!$S347,SUM('School Level ADM'!$J347:$O347)='School Level ADM'!$S347,SUM('School Level ADM'!$K347:$O347)='School Level ADM'!$S347,SUM('School Level ADM'!$L347:$O347)='School Level ADM'!$S347,SUM('School Level ADM'!$M347:$O347)='School Level ADM'!$S347,SUM('School Level ADM'!$N347:$O347)='School Level ADM'!$S347),0,SUM('School Level ADM'!$O347:$R347)))</f>
        <v>0</v>
      </c>
      <c r="L347" s="139">
        <f t="shared" si="71"/>
        <v>190.28300000000002</v>
      </c>
      <c r="M347" s="24">
        <f>'Student At-Risk and ELL Proxy'!S347</f>
        <v>94</v>
      </c>
      <c r="N347" s="24">
        <f>'Student At-Risk and ELL Proxy'!AH347</f>
        <v>9</v>
      </c>
      <c r="O347" s="136">
        <f t="shared" si="77"/>
        <v>1.1896924750439477</v>
      </c>
      <c r="P347" s="136" t="str">
        <f t="shared" si="78"/>
        <v/>
      </c>
      <c r="Q347" s="136" t="str">
        <f t="shared" si="79"/>
        <v/>
      </c>
      <c r="R347" s="136">
        <f t="shared" si="72"/>
        <v>1.1896924750439477</v>
      </c>
      <c r="S347" s="136">
        <f>IF(SUM(3515.4*((VLOOKUP($A347,'District Level ADM'!$A$4:$F$52,6,FALSE))^-0.327)/'Model Data Inputs'!$B$71)&lt;1,1,(3515.4*((VLOOKUP($A347,'District Level ADM'!$A$4:$F$52,6,FALSE))^-0.327)/'Model Data Inputs'!$B$71))</f>
        <v>1.7701713280247553</v>
      </c>
      <c r="T347" s="136">
        <f>VLOOKUP($A347,'Regional Cost Adjustment'!$A$4:$C$52,3,FALSE)</f>
        <v>0.95</v>
      </c>
      <c r="U347" s="123">
        <f>((($I347/$L347)*'Model Data Inputs'!$B$85)+((SUM(J347:K347)/$L347)*'Model Data Inputs'!$C$85))*$R347*$T347</f>
        <v>7196.6976088712645</v>
      </c>
      <c r="V347" s="140">
        <f>((($I347/$L347)*'Model Data Inputs'!$B$86)+((SUM(J347:K347)/$L347)*'Model Data Inputs'!$C$86))*$R347</f>
        <v>2013.702918328459</v>
      </c>
      <c r="W347" s="140">
        <f t="shared" si="80"/>
        <v>9210.400527199723</v>
      </c>
      <c r="X347" s="140">
        <f t="shared" si="73"/>
        <v>1369409.211108851</v>
      </c>
      <c r="Y347" s="140">
        <f t="shared" si="74"/>
        <v>383173.43240829417</v>
      </c>
      <c r="Z347" s="123">
        <f>IF((SUM(X347:Y347))&lt;(AVERAGE('Elementary Size Adjustment'!$B$66,'Secondary Size Adjustment'!$B$66)),(AVERAGE('Elementary Size Adjustment'!$B$66,'Secondary Size Adjustment'!$B$66)),SUM(X347:Y347))</f>
        <v>1752582.6435171452</v>
      </c>
      <c r="AA347" s="137">
        <f>'Model Data Inputs'!$B$71*S347*L347</f>
        <v>63998.367054001559</v>
      </c>
      <c r="AB347" s="137">
        <f>L347*'Model Data Inputs'!$B$72</f>
        <v>4757.0750000000007</v>
      </c>
      <c r="AC347" s="137">
        <f>L347*'Model Data Inputs'!$B$73</f>
        <v>47570.750000000007</v>
      </c>
      <c r="AD347" s="137">
        <f>L347*'Model Data Inputs'!$B$74</f>
        <v>23785.375000000004</v>
      </c>
      <c r="AE347" s="137">
        <f>$I347*'Model Data Inputs'!$B$76</f>
        <v>4526.8325700000005</v>
      </c>
      <c r="AF347" s="137">
        <f>VLOOKUP($J347,'Student Activities MS&amp;HS Tables'!$M$7:$O$1267,3)</f>
        <v>0</v>
      </c>
      <c r="AG347" s="137">
        <f>VLOOKUP($K347,'Student Activities MS&amp;HS Tables'!$I$7:$K$3007,3)</f>
        <v>0</v>
      </c>
      <c r="AH347" s="137">
        <f t="shared" si="75"/>
        <v>4526.8325700000005</v>
      </c>
      <c r="AI347" s="123">
        <f t="shared" si="81"/>
        <v>1897221.0431411469</v>
      </c>
      <c r="AJ347" s="123">
        <f>(('Model Data Inputs'!$B$90*(('Model Data Inputs'!$B$87*('School Level Inst. Resources'!I347/'School Level Inst. Resources'!L347))+('Model Data Inputs'!$C$87*(SUM('School Level Inst. Resources'!J347:K347)/'School Level Inst. Resources'!L347))))*T347*M347)</f>
        <v>215933.09123242064</v>
      </c>
      <c r="AK347" s="123">
        <f>(('Model Data Inputs'!$B$91*(('Model Data Inputs'!$B$87*('School Level Inst. Resources'!I347/'School Level Inst. Resources'!L347))+('Model Data Inputs'!$C$87*(SUM('School Level Inst. Resources'!J347:K347)/'School Level Inst. Resources'!L347))))*T347*N347)</f>
        <v>20674.444905231765</v>
      </c>
      <c r="AL347" s="137">
        <f>(K347*'Model Data Inputs'!$B$94)*T347</f>
        <v>0</v>
      </c>
      <c r="AM347" s="137">
        <f>K347*'Model Data Inputs'!$B$95</f>
        <v>0</v>
      </c>
      <c r="AN347" s="137">
        <f t="shared" si="82"/>
        <v>0</v>
      </c>
      <c r="AO347" s="137">
        <f>('School Level Inst. Resources'!K347*'Model Data Inputs'!$B$96)+('School Level Inst. Resources'!J347*'Model Data Inputs'!$B$97)</f>
        <v>0</v>
      </c>
      <c r="AP347" s="137">
        <f>$L347*'Model Data Inputs'!$B$100</f>
        <v>7611.3200000000006</v>
      </c>
      <c r="AQ347" s="137">
        <f t="shared" si="83"/>
        <v>2141439.8992787991</v>
      </c>
      <c r="AR347" s="141">
        <f t="shared" si="76"/>
        <v>11253.9738141547</v>
      </c>
    </row>
    <row r="348" spans="1:44" s="40" customFormat="1" ht="12.75" customHeight="1" x14ac:dyDescent="0.2">
      <c r="A348" s="20" t="s">
        <v>102</v>
      </c>
      <c r="B348" s="20" t="s">
        <v>103</v>
      </c>
      <c r="C348" s="20" t="s">
        <v>1060</v>
      </c>
      <c r="D348" s="20" t="s">
        <v>1061</v>
      </c>
      <c r="E348" s="138" t="s">
        <v>513</v>
      </c>
      <c r="F348" s="138" t="str">
        <f>IF(AND(SUM('School Level ADM'!$F348:$J348)=0,SUM('School Level ADM'!$O348:$R348)=0,'School Level ADM'!$K348&gt;0,'School Level ADM'!$N348&gt;0),"T","F")</f>
        <v>F</v>
      </c>
      <c r="G348" s="138" t="str">
        <f>IF(AND(SUM('School Level ADM'!$M348:$R348)=0,'School Level ADM'!$L348&gt;0),"T","F")</f>
        <v>F</v>
      </c>
      <c r="H348" s="138" t="str">
        <f t="shared" si="70"/>
        <v>E</v>
      </c>
      <c r="I348" s="139">
        <f>IF($F348="T",SUM('School Level ADM'!$F348:$J348),IF($G348="T",SUM('School Level ADM'!$F348:$L348),SUM('School Level ADM'!$F348:$K348,0)))</f>
        <v>179.23366666666669</v>
      </c>
      <c r="J348" s="139">
        <f>'School Level ADM'!$S348-$I348-$K348</f>
        <v>0</v>
      </c>
      <c r="K348" s="139">
        <f>IF(SUM('School Level ADM'!$N348:$R348)='School Level ADM'!$S348,SUM('School Level ADM'!$N348:$R348),IF(OR(SUM('School Level ADM'!$F348:$O348)='School Level ADM'!$S348,SUM('School Level ADM'!$G348:$O348)='School Level ADM'!$S348,SUM('School Level ADM'!$H348:$O348)='School Level ADM'!$S348,SUM('School Level ADM'!$I348:$O348)='School Level ADM'!$S348,SUM('School Level ADM'!$J348:$O348)='School Level ADM'!$S348,SUM('School Level ADM'!$K348:$O348)='School Level ADM'!$S348,SUM('School Level ADM'!$L348:$O348)='School Level ADM'!$S348,SUM('School Level ADM'!$M348:$O348)='School Level ADM'!$S348,SUM('School Level ADM'!$N348:$O348)='School Level ADM'!$S348),0,SUM('School Level ADM'!$O348:$R348)))</f>
        <v>0</v>
      </c>
      <c r="L348" s="139">
        <f t="shared" si="71"/>
        <v>179.23366666666669</v>
      </c>
      <c r="M348" s="24">
        <f>'Student At-Risk and ELL Proxy'!S348</f>
        <v>78</v>
      </c>
      <c r="N348" s="24">
        <f>'Student At-Risk and ELL Proxy'!AH348</f>
        <v>9</v>
      </c>
      <c r="O348" s="136">
        <f t="shared" si="77"/>
        <v>1.2183579850935333</v>
      </c>
      <c r="P348" s="136" t="str">
        <f t="shared" si="78"/>
        <v/>
      </c>
      <c r="Q348" s="136" t="str">
        <f t="shared" si="79"/>
        <v/>
      </c>
      <c r="R348" s="136">
        <f t="shared" si="72"/>
        <v>1.2183579850935333</v>
      </c>
      <c r="S348" s="136">
        <f>IF(SUM(3515.4*((VLOOKUP($A348,'District Level ADM'!$A$4:$F$52,6,FALSE))^-0.327)/'Model Data Inputs'!$B$71)&lt;1,1,(3515.4*((VLOOKUP($A348,'District Level ADM'!$A$4:$F$52,6,FALSE))^-0.327)/'Model Data Inputs'!$B$71))</f>
        <v>1.7701713280247553</v>
      </c>
      <c r="T348" s="136">
        <f>VLOOKUP($A348,'Regional Cost Adjustment'!$A$4:$C$52,3,FALSE)</f>
        <v>0.95</v>
      </c>
      <c r="U348" s="123">
        <f>((($I348/$L348)*'Model Data Inputs'!$B$85)+((SUM(J348:K348)/$L348)*'Model Data Inputs'!$C$85))*$R348*$T348</f>
        <v>7370.1012505336257</v>
      </c>
      <c r="V348" s="140">
        <f>((($I348/$L348)*'Model Data Inputs'!$B$86)+((SUM(J348:K348)/$L348)*'Model Data Inputs'!$C$86))*$R348</f>
        <v>2062.2228698731574</v>
      </c>
      <c r="W348" s="140">
        <f t="shared" si="80"/>
        <v>9432.3241204067835</v>
      </c>
      <c r="X348" s="140">
        <f t="shared" si="73"/>
        <v>1320970.2708377272</v>
      </c>
      <c r="Y348" s="140">
        <f t="shared" si="74"/>
        <v>369619.76645122224</v>
      </c>
      <c r="Z348" s="123">
        <f>IF((SUM(X348:Y348))&lt;(AVERAGE('Elementary Size Adjustment'!$B$66,'Secondary Size Adjustment'!$B$66)),(AVERAGE('Elementary Size Adjustment'!$B$66,'Secondary Size Adjustment'!$B$66)),SUM(X348:Y348))</f>
        <v>1690590.0372889494</v>
      </c>
      <c r="AA348" s="137">
        <f>'Model Data Inputs'!$B$71*S348*L348</f>
        <v>60282.116572515144</v>
      </c>
      <c r="AB348" s="137">
        <f>L348*'Model Data Inputs'!$B$72</f>
        <v>4480.8416666666672</v>
      </c>
      <c r="AC348" s="137">
        <f>L348*'Model Data Inputs'!$B$73</f>
        <v>44808.416666666672</v>
      </c>
      <c r="AD348" s="137">
        <f>L348*'Model Data Inputs'!$B$74</f>
        <v>22404.208333333336</v>
      </c>
      <c r="AE348" s="137">
        <f>$I348*'Model Data Inputs'!$B$76</f>
        <v>4263.9689300000009</v>
      </c>
      <c r="AF348" s="137">
        <f>VLOOKUP($J348,'Student Activities MS&amp;HS Tables'!$M$7:$O$1267,3)</f>
        <v>0</v>
      </c>
      <c r="AG348" s="137">
        <f>VLOOKUP($K348,'Student Activities MS&amp;HS Tables'!$I$7:$K$3007,3)</f>
        <v>0</v>
      </c>
      <c r="AH348" s="137">
        <f t="shared" si="75"/>
        <v>4263.9689300000009</v>
      </c>
      <c r="AI348" s="123">
        <f t="shared" si="81"/>
        <v>1826829.589458131</v>
      </c>
      <c r="AJ348" s="123">
        <f>(('Model Data Inputs'!$B$90*(('Model Data Inputs'!$B$87*('School Level Inst. Resources'!I348/'School Level Inst. Resources'!L348))+('Model Data Inputs'!$C$87*(SUM('School Level Inst. Resources'!J348:K348)/'School Level Inst. Resources'!L348))))*T348*M348)</f>
        <v>179178.52251200864</v>
      </c>
      <c r="AK348" s="123">
        <f>(('Model Data Inputs'!$B$91*(('Model Data Inputs'!$B$87*('School Level Inst. Resources'!I348/'School Level Inst. Resources'!L348))+('Model Data Inputs'!$C$87*(SUM('School Level Inst. Resources'!J348:K348)/'School Level Inst. Resources'!L348))))*T348*N348)</f>
        <v>20674.444905231765</v>
      </c>
      <c r="AL348" s="137">
        <f>(K348*'Model Data Inputs'!$B$94)*T348</f>
        <v>0</v>
      </c>
      <c r="AM348" s="137">
        <f>K348*'Model Data Inputs'!$B$95</f>
        <v>0</v>
      </c>
      <c r="AN348" s="137">
        <f t="shared" si="82"/>
        <v>0</v>
      </c>
      <c r="AO348" s="137">
        <f>('School Level Inst. Resources'!K348*'Model Data Inputs'!$B$96)+('School Level Inst. Resources'!J348*'Model Data Inputs'!$B$97)</f>
        <v>0</v>
      </c>
      <c r="AP348" s="137">
        <f>$L348*'Model Data Inputs'!$B$100</f>
        <v>7169.3466666666682</v>
      </c>
      <c r="AQ348" s="137">
        <f t="shared" si="83"/>
        <v>2033851.9035420381</v>
      </c>
      <c r="AR348" s="141">
        <f t="shared" si="76"/>
        <v>11347.488121885794</v>
      </c>
    </row>
    <row r="349" spans="1:44" s="40" customFormat="1" ht="12.75" customHeight="1" x14ac:dyDescent="0.2">
      <c r="A349" s="20" t="s">
        <v>102</v>
      </c>
      <c r="B349" s="20" t="s">
        <v>103</v>
      </c>
      <c r="C349" s="20" t="s">
        <v>1062</v>
      </c>
      <c r="D349" s="20" t="s">
        <v>1063</v>
      </c>
      <c r="E349" s="138" t="s">
        <v>508</v>
      </c>
      <c r="F349" s="138" t="str">
        <f>IF(AND(SUM('School Level ADM'!$F349:$J349)=0,SUM('School Level ADM'!$O349:$R349)=0,'School Level ADM'!$K349&gt;0,'School Level ADM'!$N349&gt;0),"T","F")</f>
        <v>F</v>
      </c>
      <c r="G349" s="138" t="str">
        <f>IF(AND(SUM('School Level ADM'!$M349:$R349)=0,'School Level ADM'!$L349&gt;0),"T","F")</f>
        <v>F</v>
      </c>
      <c r="H349" s="138" t="str">
        <f t="shared" si="70"/>
        <v>E</v>
      </c>
      <c r="I349" s="139">
        <f>IF($F349="T",SUM('School Level ADM'!$F349:$J349),IF($G349="T",SUM('School Level ADM'!$F349:$L349),SUM('School Level ADM'!$F349:$K349,0)))</f>
        <v>218.02300000000002</v>
      </c>
      <c r="J349" s="139">
        <f>'School Level ADM'!$S349-$I349-$K349</f>
        <v>0</v>
      </c>
      <c r="K349" s="139">
        <f>IF(SUM('School Level ADM'!$N349:$R349)='School Level ADM'!$S349,SUM('School Level ADM'!$N349:$R349),IF(OR(SUM('School Level ADM'!$F349:$O349)='School Level ADM'!$S349,SUM('School Level ADM'!$G349:$O349)='School Level ADM'!$S349,SUM('School Level ADM'!$H349:$O349)='School Level ADM'!$S349,SUM('School Level ADM'!$I349:$O349)='School Level ADM'!$S349,SUM('School Level ADM'!$J349:$O349)='School Level ADM'!$S349,SUM('School Level ADM'!$K349:$O349)='School Level ADM'!$S349,SUM('School Level ADM'!$L349:$O349)='School Level ADM'!$S349,SUM('School Level ADM'!$M349:$O349)='School Level ADM'!$S349,SUM('School Level ADM'!$N349:$O349)='School Level ADM'!$S349),0,SUM('School Level ADM'!$O349:$R349)))</f>
        <v>0</v>
      </c>
      <c r="L349" s="139">
        <f t="shared" si="71"/>
        <v>218.02300000000002</v>
      </c>
      <c r="M349" s="24">
        <f>'Student At-Risk and ELL Proxy'!S349</f>
        <v>109</v>
      </c>
      <c r="N349" s="24">
        <f>'Student At-Risk and ELL Proxy'!AH349</f>
        <v>9</v>
      </c>
      <c r="O349" s="136">
        <f t="shared" si="77"/>
        <v>1.1269690540542494</v>
      </c>
      <c r="P349" s="136" t="str">
        <f t="shared" si="78"/>
        <v/>
      </c>
      <c r="Q349" s="136" t="str">
        <f t="shared" si="79"/>
        <v/>
      </c>
      <c r="R349" s="136">
        <f t="shared" si="72"/>
        <v>1.1269690540542494</v>
      </c>
      <c r="S349" s="136">
        <f>IF(SUM(3515.4*((VLOOKUP($A349,'District Level ADM'!$A$4:$F$52,6,FALSE))^-0.327)/'Model Data Inputs'!$B$71)&lt;1,1,(3515.4*((VLOOKUP($A349,'District Level ADM'!$A$4:$F$52,6,FALSE))^-0.327)/'Model Data Inputs'!$B$71))</f>
        <v>1.7701713280247553</v>
      </c>
      <c r="T349" s="136">
        <f>VLOOKUP($A349,'Regional Cost Adjustment'!$A$4:$C$52,3,FALSE)</f>
        <v>0.95</v>
      </c>
      <c r="U349" s="123">
        <f>((($I349/$L349)*'Model Data Inputs'!$B$85)+((SUM(J349:K349)/$L349)*'Model Data Inputs'!$C$85))*$R349*$T349</f>
        <v>6817.2705692574245</v>
      </c>
      <c r="V349" s="140">
        <f>((($I349/$L349)*'Model Data Inputs'!$B$86)+((SUM(J349:K349)/$L349)*'Model Data Inputs'!$C$86))*$R349</f>
        <v>1907.5357040743434</v>
      </c>
      <c r="W349" s="140">
        <f t="shared" si="80"/>
        <v>8724.8062733317674</v>
      </c>
      <c r="X349" s="140">
        <f t="shared" si="73"/>
        <v>1486321.7813212117</v>
      </c>
      <c r="Y349" s="140">
        <f t="shared" si="74"/>
        <v>415886.65680940059</v>
      </c>
      <c r="Z349" s="123">
        <f>IF((SUM(X349:Y349))&lt;(AVERAGE('Elementary Size Adjustment'!$B$66,'Secondary Size Adjustment'!$B$66)),(AVERAGE('Elementary Size Adjustment'!$B$66,'Secondary Size Adjustment'!$B$66)),SUM(X349:Y349))</f>
        <v>1902208.4381306123</v>
      </c>
      <c r="AA349" s="137">
        <f>'Model Data Inputs'!$B$71*S349*L349</f>
        <v>73328.232055488843</v>
      </c>
      <c r="AB349" s="137">
        <f>L349*'Model Data Inputs'!$B$72</f>
        <v>5450.5750000000007</v>
      </c>
      <c r="AC349" s="137">
        <f>L349*'Model Data Inputs'!$B$73</f>
        <v>54505.750000000007</v>
      </c>
      <c r="AD349" s="137">
        <f>L349*'Model Data Inputs'!$B$74</f>
        <v>27252.875000000004</v>
      </c>
      <c r="AE349" s="137">
        <f>$I349*'Model Data Inputs'!$B$76</f>
        <v>5186.7671700000001</v>
      </c>
      <c r="AF349" s="137">
        <f>VLOOKUP($J349,'Student Activities MS&amp;HS Tables'!$M$7:$O$1267,3)</f>
        <v>0</v>
      </c>
      <c r="AG349" s="137">
        <f>VLOOKUP($K349,'Student Activities MS&amp;HS Tables'!$I$7:$K$3007,3)</f>
        <v>0</v>
      </c>
      <c r="AH349" s="137">
        <f t="shared" si="75"/>
        <v>5186.7671700000001</v>
      </c>
      <c r="AI349" s="123">
        <f t="shared" si="81"/>
        <v>2067932.6373561008</v>
      </c>
      <c r="AJ349" s="123">
        <f>(('Model Data Inputs'!$B$90*(('Model Data Inputs'!$B$87*('School Level Inst. Resources'!I349/'School Level Inst. Resources'!L349))+('Model Data Inputs'!$C$87*(SUM('School Level Inst. Resources'!J349:K349)/'School Level Inst. Resources'!L349))))*T349*M349)</f>
        <v>250390.49940780693</v>
      </c>
      <c r="AK349" s="123">
        <f>(('Model Data Inputs'!$B$91*(('Model Data Inputs'!$B$87*('School Level Inst. Resources'!I349/'School Level Inst. Resources'!L349))+('Model Data Inputs'!$C$87*(SUM('School Level Inst. Resources'!J349:K349)/'School Level Inst. Resources'!L349))))*T349*N349)</f>
        <v>20674.444905231765</v>
      </c>
      <c r="AL349" s="137">
        <f>(K349*'Model Data Inputs'!$B$94)*T349</f>
        <v>0</v>
      </c>
      <c r="AM349" s="137">
        <f>K349*'Model Data Inputs'!$B$95</f>
        <v>0</v>
      </c>
      <c r="AN349" s="137">
        <f t="shared" si="82"/>
        <v>0</v>
      </c>
      <c r="AO349" s="137">
        <f>('School Level Inst. Resources'!K349*'Model Data Inputs'!$B$96)+('School Level Inst. Resources'!J349*'Model Data Inputs'!$B$97)</f>
        <v>0</v>
      </c>
      <c r="AP349" s="137">
        <f>$L349*'Model Data Inputs'!$B$100</f>
        <v>8720.9200000000019</v>
      </c>
      <c r="AQ349" s="137">
        <f t="shared" si="83"/>
        <v>2347718.5016691396</v>
      </c>
      <c r="AR349" s="141">
        <f t="shared" si="76"/>
        <v>10768.214829027851</v>
      </c>
    </row>
    <row r="350" spans="1:44" s="40" customFormat="1" ht="12.75" customHeight="1" x14ac:dyDescent="0.2">
      <c r="A350" s="20" t="s">
        <v>102</v>
      </c>
      <c r="B350" s="20" t="s">
        <v>103</v>
      </c>
      <c r="C350" s="20" t="s">
        <v>1064</v>
      </c>
      <c r="D350" s="20" t="s">
        <v>1065</v>
      </c>
      <c r="E350" s="138" t="s">
        <v>383</v>
      </c>
      <c r="F350" s="138" t="str">
        <f>IF(AND(SUM('School Level ADM'!$F350:$J350)=0,SUM('School Level ADM'!$O350:$R350)=0,'School Level ADM'!$K350&gt;0,'School Level ADM'!$N350&gt;0),"T","F")</f>
        <v>F</v>
      </c>
      <c r="G350" s="138" t="str">
        <f>IF(AND(SUM('School Level ADM'!$M350:$R350)=0,'School Level ADM'!$L350&gt;0),"T","F")</f>
        <v>F</v>
      </c>
      <c r="H350" s="138" t="str">
        <f t="shared" si="70"/>
        <v>M</v>
      </c>
      <c r="I350" s="139">
        <f>IF($F350="T",SUM('School Level ADM'!$F350:$J350),IF($G350="T",SUM('School Level ADM'!$F350:$L350),SUM('School Level ADM'!$F350:$K350,0)))</f>
        <v>0</v>
      </c>
      <c r="J350" s="139">
        <f>'School Level ADM'!$S350-$I350-$K350</f>
        <v>329.89</v>
      </c>
      <c r="K350" s="139">
        <f>IF(SUM('School Level ADM'!$N350:$R350)='School Level ADM'!$S350,SUM('School Level ADM'!$N350:$R350),IF(OR(SUM('School Level ADM'!$F350:$O350)='School Level ADM'!$S350,SUM('School Level ADM'!$G350:$O350)='School Level ADM'!$S350,SUM('School Level ADM'!$H350:$O350)='School Level ADM'!$S350,SUM('School Level ADM'!$I350:$O350)='School Level ADM'!$S350,SUM('School Level ADM'!$J350:$O350)='School Level ADM'!$S350,SUM('School Level ADM'!$K350:$O350)='School Level ADM'!$S350,SUM('School Level ADM'!$L350:$O350)='School Level ADM'!$S350,SUM('School Level ADM'!$M350:$O350)='School Level ADM'!$S350,SUM('School Level ADM'!$N350:$O350)='School Level ADM'!$S350),0,SUM('School Level ADM'!$O350:$R350)))</f>
        <v>0</v>
      </c>
      <c r="L350" s="139">
        <f t="shared" si="71"/>
        <v>329.89</v>
      </c>
      <c r="M350" s="24">
        <f>'Student At-Risk and ELL Proxy'!S350</f>
        <v>145</v>
      </c>
      <c r="N350" s="24">
        <f>'Student At-Risk and ELL Proxy'!AH350</f>
        <v>7</v>
      </c>
      <c r="O350" s="136" t="str">
        <f t="shared" si="77"/>
        <v/>
      </c>
      <c r="P350" s="136">
        <f t="shared" si="78"/>
        <v>1.1922164841547314</v>
      </c>
      <c r="Q350" s="136" t="str">
        <f t="shared" si="79"/>
        <v/>
      </c>
      <c r="R350" s="136">
        <f t="shared" si="72"/>
        <v>1.1922164841547314</v>
      </c>
      <c r="S350" s="136">
        <f>IF(SUM(3515.4*((VLOOKUP($A350,'District Level ADM'!$A$4:$F$52,6,FALSE))^-0.327)/'Model Data Inputs'!$B$71)&lt;1,1,(3515.4*((VLOOKUP($A350,'District Level ADM'!$A$4:$F$52,6,FALSE))^-0.327)/'Model Data Inputs'!$B$71))</f>
        <v>1.7701713280247553</v>
      </c>
      <c r="T350" s="136">
        <f>VLOOKUP($A350,'Regional Cost Adjustment'!$A$4:$C$52,3,FALSE)</f>
        <v>0.95</v>
      </c>
      <c r="U350" s="123">
        <f>((($I350/$L350)*'Model Data Inputs'!$B$85)+((SUM(J350:K350)/$L350)*'Model Data Inputs'!$C$85))*$R350*$T350</f>
        <v>6096.5778420374418</v>
      </c>
      <c r="V350" s="140">
        <f>((($I350/$L350)*'Model Data Inputs'!$B$86)+((SUM(J350:K350)/$L350)*'Model Data Inputs'!$C$86))*$R350</f>
        <v>1708.5747038911227</v>
      </c>
      <c r="W350" s="140">
        <f t="shared" si="80"/>
        <v>7805.152545928564</v>
      </c>
      <c r="X350" s="140">
        <f t="shared" si="73"/>
        <v>2011200.0643097316</v>
      </c>
      <c r="Y350" s="140">
        <f t="shared" si="74"/>
        <v>563641.70906664245</v>
      </c>
      <c r="Z350" s="123">
        <f>IF((SUM(X350:Y350))&lt;(AVERAGE('Elementary Size Adjustment'!$B$66,'Secondary Size Adjustment'!$B$66)),(AVERAGE('Elementary Size Adjustment'!$B$66,'Secondary Size Adjustment'!$B$66)),SUM(X350:Y350))</f>
        <v>2574841.773376374</v>
      </c>
      <c r="AA350" s="137">
        <f>'Model Data Inputs'!$B$71*S350*L350</f>
        <v>110952.74568639643</v>
      </c>
      <c r="AB350" s="137">
        <f>L350*'Model Data Inputs'!$B$72</f>
        <v>8247.25</v>
      </c>
      <c r="AC350" s="137">
        <f>L350*'Model Data Inputs'!$B$73</f>
        <v>82472.5</v>
      </c>
      <c r="AD350" s="137">
        <f>L350*'Model Data Inputs'!$B$74</f>
        <v>41236.25</v>
      </c>
      <c r="AE350" s="137">
        <f>$I350*'Model Data Inputs'!$B$76</f>
        <v>0</v>
      </c>
      <c r="AF350" s="137">
        <f>VLOOKUP($J350,'Student Activities MS&amp;HS Tables'!$M$7:$O$1267,3)</f>
        <v>97298.46</v>
      </c>
      <c r="AG350" s="137">
        <f>VLOOKUP($K350,'Student Activities MS&amp;HS Tables'!$I$7:$K$3007,3)</f>
        <v>0</v>
      </c>
      <c r="AH350" s="137">
        <f t="shared" si="75"/>
        <v>97298.46</v>
      </c>
      <c r="AI350" s="123">
        <f t="shared" si="81"/>
        <v>2915048.9790627705</v>
      </c>
      <c r="AJ350" s="123">
        <f>(('Model Data Inputs'!$B$90*(('Model Data Inputs'!$B$87*('School Level Inst. Resources'!I350/'School Level Inst. Resources'!L350))+('Model Data Inputs'!$C$87*(SUM('School Level Inst. Resources'!J350:K350)/'School Level Inst. Resources'!L350))))*T350*M350)</f>
        <v>281666.95413963648</v>
      </c>
      <c r="AK350" s="123">
        <f>(('Model Data Inputs'!$B$91*(('Model Data Inputs'!$B$87*('School Level Inst. Resources'!I350/'School Level Inst. Resources'!L350))+('Model Data Inputs'!$C$87*(SUM('School Level Inst. Resources'!J350:K350)/'School Level Inst. Resources'!L350))))*T350*N350)</f>
        <v>13597.715027430728</v>
      </c>
      <c r="AL350" s="137">
        <f>(K350*'Model Data Inputs'!$B$94)*T350</f>
        <v>0</v>
      </c>
      <c r="AM350" s="137">
        <f>K350*'Model Data Inputs'!$B$95</f>
        <v>0</v>
      </c>
      <c r="AN350" s="137">
        <f t="shared" si="82"/>
        <v>0</v>
      </c>
      <c r="AO350" s="137">
        <f>('School Level Inst. Resources'!K350*'Model Data Inputs'!$B$96)+('School Level Inst. Resources'!J350*'Model Data Inputs'!$B$97)</f>
        <v>8247.25</v>
      </c>
      <c r="AP350" s="137">
        <f>$L350*'Model Data Inputs'!$B$100</f>
        <v>13195.599999999999</v>
      </c>
      <c r="AQ350" s="137">
        <f t="shared" si="83"/>
        <v>3231756.4982298375</v>
      </c>
      <c r="AR350" s="141">
        <f t="shared" si="76"/>
        <v>9796.466998786982</v>
      </c>
    </row>
    <row r="351" spans="1:44" s="40" customFormat="1" ht="12.75" customHeight="1" x14ac:dyDescent="0.2">
      <c r="A351" s="20" t="s">
        <v>102</v>
      </c>
      <c r="B351" s="20" t="s">
        <v>103</v>
      </c>
      <c r="C351" s="20" t="s">
        <v>1066</v>
      </c>
      <c r="D351" s="20" t="s">
        <v>1067</v>
      </c>
      <c r="E351" s="138" t="s">
        <v>389</v>
      </c>
      <c r="F351" s="138" t="str">
        <f>IF(AND(SUM('School Level ADM'!$F351:$J351)=0,SUM('School Level ADM'!$O351:$R351)=0,'School Level ADM'!$K351&gt;0,'School Level ADM'!$N351&gt;0),"T","F")</f>
        <v>F</v>
      </c>
      <c r="G351" s="138" t="str">
        <f>IF(AND(SUM('School Level ADM'!$M351:$R351)=0,'School Level ADM'!$L351&gt;0),"T","F")</f>
        <v>F</v>
      </c>
      <c r="H351" s="138" t="str">
        <f t="shared" si="70"/>
        <v>H</v>
      </c>
      <c r="I351" s="139">
        <f>IF($F351="T",SUM('School Level ADM'!$F351:$J351),IF($G351="T",SUM('School Level ADM'!$F351:$L351),SUM('School Level ADM'!$F351:$K351,0)))</f>
        <v>0</v>
      </c>
      <c r="J351" s="139">
        <f>'School Level ADM'!$S351-$I351-$K351</f>
        <v>0</v>
      </c>
      <c r="K351" s="139">
        <f>IF(SUM('School Level ADM'!$N351:$R351)='School Level ADM'!$S351,SUM('School Level ADM'!$N351:$R351),IF(OR(SUM('School Level ADM'!$F351:$O351)='School Level ADM'!$S351,SUM('School Level ADM'!$G351:$O351)='School Level ADM'!$S351,SUM('School Level ADM'!$H351:$O351)='School Level ADM'!$S351,SUM('School Level ADM'!$I351:$O351)='School Level ADM'!$S351,SUM('School Level ADM'!$J351:$O351)='School Level ADM'!$S351,SUM('School Level ADM'!$K351:$O351)='School Level ADM'!$S351,SUM('School Level ADM'!$L351:$O351)='School Level ADM'!$S351,SUM('School Level ADM'!$M351:$O351)='School Level ADM'!$S351,SUM('School Level ADM'!$N351:$O351)='School Level ADM'!$S351),0,SUM('School Level ADM'!$O351:$R351)))</f>
        <v>391.26233333333329</v>
      </c>
      <c r="L351" s="139">
        <f t="shared" si="71"/>
        <v>391.26233333333329</v>
      </c>
      <c r="M351" s="24">
        <f>'Student At-Risk and ELL Proxy'!S351</f>
        <v>152</v>
      </c>
      <c r="N351" s="24">
        <f>'Student At-Risk and ELL Proxy'!AH351</f>
        <v>5</v>
      </c>
      <c r="O351" s="136" t="str">
        <f t="shared" si="77"/>
        <v/>
      </c>
      <c r="P351" s="136">
        <f t="shared" si="78"/>
        <v>1.1229137817043993</v>
      </c>
      <c r="Q351" s="136" t="str">
        <f t="shared" si="79"/>
        <v/>
      </c>
      <c r="R351" s="136">
        <f t="shared" si="72"/>
        <v>1.1229137817043993</v>
      </c>
      <c r="S351" s="136">
        <f>IF(SUM(3515.4*((VLOOKUP($A351,'District Level ADM'!$A$4:$F$52,6,FALSE))^-0.327)/'Model Data Inputs'!$B$71)&lt;1,1,(3515.4*((VLOOKUP($A351,'District Level ADM'!$A$4:$F$52,6,FALSE))^-0.327)/'Model Data Inputs'!$B$71))</f>
        <v>1.7701713280247553</v>
      </c>
      <c r="T351" s="136">
        <f>VLOOKUP($A351,'Regional Cost Adjustment'!$A$4:$C$52,3,FALSE)</f>
        <v>0.95</v>
      </c>
      <c r="U351" s="123">
        <f>((($I351/$L351)*'Model Data Inputs'!$B$85)+((SUM(J351:K351)/$L351)*'Model Data Inputs'!$C$85))*$R351*$T351</f>
        <v>5742.1880766152972</v>
      </c>
      <c r="V351" s="140">
        <f>((($I351/$L351)*'Model Data Inputs'!$B$86)+((SUM(J351:K351)/$L351)*'Model Data Inputs'!$C$86))*$R351</f>
        <v>1609.2564627061911</v>
      </c>
      <c r="W351" s="140">
        <f t="shared" si="80"/>
        <v>7351.4445393214883</v>
      </c>
      <c r="X351" s="140">
        <f t="shared" si="73"/>
        <v>2246701.9052953464</v>
      </c>
      <c r="Y351" s="140">
        <f t="shared" si="74"/>
        <v>629641.43853017059</v>
      </c>
      <c r="Z351" s="123">
        <f>IF((SUM(X351:Y351))&lt;(AVERAGE('Elementary Size Adjustment'!$B$66,'Secondary Size Adjustment'!$B$66)),(AVERAGE('Elementary Size Adjustment'!$B$66,'Secondary Size Adjustment'!$B$66)),SUM(X351:Y351))</f>
        <v>2876343.3438255172</v>
      </c>
      <c r="AA351" s="137">
        <f>'Model Data Inputs'!$B$71*S351*L351</f>
        <v>131594.25919851891</v>
      </c>
      <c r="AB351" s="137">
        <f>L351*'Model Data Inputs'!$B$72</f>
        <v>9781.5583333333325</v>
      </c>
      <c r="AC351" s="137">
        <f>L351*'Model Data Inputs'!$B$73</f>
        <v>97815.583333333328</v>
      </c>
      <c r="AD351" s="137">
        <f>L351*'Model Data Inputs'!$B$74</f>
        <v>48907.791666666664</v>
      </c>
      <c r="AE351" s="137">
        <f>$I351*'Model Data Inputs'!$B$76</f>
        <v>0</v>
      </c>
      <c r="AF351" s="137">
        <f>VLOOKUP($J351,'Student Activities MS&amp;HS Tables'!$M$7:$O$1267,3)</f>
        <v>0</v>
      </c>
      <c r="AG351" s="137">
        <f>VLOOKUP($K351,'Student Activities MS&amp;HS Tables'!$I$7:$K$3007,3)</f>
        <v>367203.74</v>
      </c>
      <c r="AH351" s="137">
        <f t="shared" si="75"/>
        <v>367203.74</v>
      </c>
      <c r="AI351" s="123">
        <f t="shared" si="81"/>
        <v>3531646.2763573695</v>
      </c>
      <c r="AJ351" s="123">
        <f>(('Model Data Inputs'!$B$90*(('Model Data Inputs'!$B$87*('School Level Inst. Resources'!I351/'School Level Inst. Resources'!L351))+('Model Data Inputs'!$C$87*(SUM('School Level Inst. Resources'!J351:K351)/'School Level Inst. Resources'!L351))))*T351*M351)</f>
        <v>295264.66916706722</v>
      </c>
      <c r="AK351" s="123">
        <f>(('Model Data Inputs'!$B$91*(('Model Data Inputs'!$B$87*('School Level Inst. Resources'!I351/'School Level Inst. Resources'!L351))+('Model Data Inputs'!$C$87*(SUM('School Level Inst. Resources'!J351:K351)/'School Level Inst. Resources'!L351))))*T351*N351)</f>
        <v>9712.6535910219482</v>
      </c>
      <c r="AL351" s="137">
        <f>(K351*'Model Data Inputs'!$B$94)*T351</f>
        <v>61354.663152305242</v>
      </c>
      <c r="AM351" s="137">
        <f>K351*'Model Data Inputs'!$B$95</f>
        <v>16397.735919091665</v>
      </c>
      <c r="AN351" s="137">
        <f t="shared" si="82"/>
        <v>77752.399071396911</v>
      </c>
      <c r="AO351" s="137">
        <f>('School Level Inst. Resources'!K351*'Model Data Inputs'!$B$96)+('School Level Inst. Resources'!J351*'Model Data Inputs'!$B$97)</f>
        <v>39126.23333333333</v>
      </c>
      <c r="AP351" s="137">
        <f>$L351*'Model Data Inputs'!$B$100</f>
        <v>15650.493333333332</v>
      </c>
      <c r="AQ351" s="137">
        <f t="shared" si="83"/>
        <v>3969152.7248535221</v>
      </c>
      <c r="AR351" s="141">
        <f t="shared" si="76"/>
        <v>10144.479513370456</v>
      </c>
    </row>
    <row r="352" spans="1:44" s="40" customFormat="1" ht="12.75" customHeight="1" x14ac:dyDescent="0.2">
      <c r="A352" s="20" t="s">
        <v>104</v>
      </c>
      <c r="B352" s="20" t="s">
        <v>105</v>
      </c>
      <c r="C352" s="20" t="s">
        <v>1068</v>
      </c>
      <c r="D352" s="20" t="s">
        <v>1069</v>
      </c>
      <c r="E352" s="138" t="s">
        <v>474</v>
      </c>
      <c r="F352" s="138" t="str">
        <f>IF(AND(SUM('School Level ADM'!$F352:$J352)=0,SUM('School Level ADM'!$O352:$R352)=0,'School Level ADM'!$K352&gt;0,'School Level ADM'!$N352&gt;0),"T","F")</f>
        <v>F</v>
      </c>
      <c r="G352" s="138" t="str">
        <f>IF(AND(SUM('School Level ADM'!$M352:$R352)=0,'School Level ADM'!$L352&gt;0),"T","F")</f>
        <v>F</v>
      </c>
      <c r="H352" s="138" t="str">
        <f t="shared" si="70"/>
        <v>H</v>
      </c>
      <c r="I352" s="139">
        <f>IF($F352="T",SUM('School Level ADM'!$F352:$J352),IF($G352="T",SUM('School Level ADM'!$F352:$L352),SUM('School Level ADM'!$F352:$K352,0)))</f>
        <v>46.226666666666667</v>
      </c>
      <c r="J352" s="139">
        <f>'School Level ADM'!$S352-$I352-$K352</f>
        <v>24.500999999999991</v>
      </c>
      <c r="K352" s="139">
        <f>IF(SUM('School Level ADM'!$N352:$R352)='School Level ADM'!$S352,SUM('School Level ADM'!$N352:$R352),IF(OR(SUM('School Level ADM'!$F352:$O352)='School Level ADM'!$S352,SUM('School Level ADM'!$G352:$O352)='School Level ADM'!$S352,SUM('School Level ADM'!$H352:$O352)='School Level ADM'!$S352,SUM('School Level ADM'!$I352:$O352)='School Level ADM'!$S352,SUM('School Level ADM'!$J352:$O352)='School Level ADM'!$S352,SUM('School Level ADM'!$K352:$O352)='School Level ADM'!$S352,SUM('School Level ADM'!$L352:$O352)='School Level ADM'!$S352,SUM('School Level ADM'!$M352:$O352)='School Level ADM'!$S352,SUM('School Level ADM'!$N352:$O352)='School Level ADM'!$S352),0,SUM('School Level ADM'!$O352:$R352)))</f>
        <v>36.433</v>
      </c>
      <c r="L352" s="139">
        <f t="shared" si="71"/>
        <v>107.16066666666666</v>
      </c>
      <c r="M352" s="24">
        <f>'Student At-Risk and ELL Proxy'!S352</f>
        <v>31</v>
      </c>
      <c r="N352" s="24">
        <f>'Student At-Risk and ELL Proxy'!AH352</f>
        <v>0</v>
      </c>
      <c r="O352" s="136" t="str">
        <f t="shared" si="77"/>
        <v/>
      </c>
      <c r="P352" s="136" t="str">
        <f t="shared" si="78"/>
        <v/>
      </c>
      <c r="Q352" s="136">
        <f t="shared" si="79"/>
        <v>2.4586279756423859</v>
      </c>
      <c r="R352" s="136">
        <f t="shared" si="72"/>
        <v>2.4586279756423859</v>
      </c>
      <c r="S352" s="136">
        <f>IF(SUM(3515.4*((VLOOKUP($A352,'District Level ADM'!$A$4:$F$52,6,FALSE))^-0.327)/'Model Data Inputs'!$B$71)&lt;1,1,(3515.4*((VLOOKUP($A352,'District Level ADM'!$A$4:$F$52,6,FALSE))^-0.327)/'Model Data Inputs'!$B$71))</f>
        <v>4.0123570179854013</v>
      </c>
      <c r="T352" s="136">
        <f>VLOOKUP($A352,'Regional Cost Adjustment'!$A$4:$C$52,3,FALSE)</f>
        <v>0.95</v>
      </c>
      <c r="U352" s="123">
        <f>((($I352/$L352)*'Model Data Inputs'!$B$85)+((SUM(J352:K352)/$L352)*'Model Data Inputs'!$C$85))*$R352*$T352</f>
        <v>13564.812384912168</v>
      </c>
      <c r="V352" s="140">
        <f>((($I352/$L352)*'Model Data Inputs'!$B$86)+((SUM(J352:K352)/$L352)*'Model Data Inputs'!$C$86))*$R352</f>
        <v>3798.7215175387109</v>
      </c>
      <c r="W352" s="140">
        <f t="shared" si="80"/>
        <v>17363.533902450879</v>
      </c>
      <c r="X352" s="140">
        <f t="shared" si="73"/>
        <v>1453614.3383754443</v>
      </c>
      <c r="Y352" s="140">
        <f t="shared" si="74"/>
        <v>407073.53030045994</v>
      </c>
      <c r="Z352" s="123">
        <f>IF((SUM(X352:Y352))&lt;(AVERAGE('Elementary Size Adjustment'!$B$66,'Secondary Size Adjustment'!$B$66)),(AVERAGE('Elementary Size Adjustment'!$B$66,'Secondary Size Adjustment'!$B$66)),SUM(X352:Y352))</f>
        <v>1860687.8686759043</v>
      </c>
      <c r="AA352" s="137">
        <f>'Model Data Inputs'!$B$71*S352*L352</f>
        <v>81693.702060878903</v>
      </c>
      <c r="AB352" s="137">
        <f>L352*'Model Data Inputs'!$B$72</f>
        <v>2679.0166666666664</v>
      </c>
      <c r="AC352" s="137">
        <f>L352*'Model Data Inputs'!$B$73</f>
        <v>26790.166666666664</v>
      </c>
      <c r="AD352" s="137">
        <f>L352*'Model Data Inputs'!$B$74</f>
        <v>13395.083333333332</v>
      </c>
      <c r="AE352" s="137">
        <f>$I352*'Model Data Inputs'!$B$76</f>
        <v>1099.7323999999999</v>
      </c>
      <c r="AF352" s="137">
        <f>VLOOKUP($J352,'Student Activities MS&amp;HS Tables'!$M$7:$O$1267,3)</f>
        <v>17467.920000000002</v>
      </c>
      <c r="AG352" s="137">
        <f>VLOOKUP($K352,'Student Activities MS&amp;HS Tables'!$I$7:$K$3007,3)</f>
        <v>66911.400000000009</v>
      </c>
      <c r="AH352" s="137">
        <f t="shared" si="75"/>
        <v>85479.052400000015</v>
      </c>
      <c r="AI352" s="123">
        <f t="shared" si="81"/>
        <v>2070724.8898034499</v>
      </c>
      <c r="AJ352" s="123">
        <f>(('Model Data Inputs'!$B$90*(('Model Data Inputs'!$B$87*('School Level Inst. Resources'!I352/'School Level Inst. Resources'!L352))+('Model Data Inputs'!$C$87*(SUM('School Level Inst. Resources'!J352:K352)/'School Level Inst. Resources'!L352))))*T352*M352)</f>
        <v>64960.807966649678</v>
      </c>
      <c r="AK352" s="123">
        <f>(('Model Data Inputs'!$B$91*(('Model Data Inputs'!$B$87*('School Level Inst. Resources'!I352/'School Level Inst. Resources'!L352))+('Model Data Inputs'!$C$87*(SUM('School Level Inst. Resources'!J352:K352)/'School Level Inst. Resources'!L352))))*T352*N352)</f>
        <v>0</v>
      </c>
      <c r="AL352" s="137">
        <f>(K352*'Model Data Inputs'!$B$94)*T352</f>
        <v>5713.1347747792497</v>
      </c>
      <c r="AM352" s="137">
        <f>K352*'Model Data Inputs'!$B$95</f>
        <v>1526.9006542249999</v>
      </c>
      <c r="AN352" s="137">
        <f t="shared" si="82"/>
        <v>7240.0354290042496</v>
      </c>
      <c r="AO352" s="137">
        <f>('School Level Inst. Resources'!K352*'Model Data Inputs'!$B$96)+('School Level Inst. Resources'!J352*'Model Data Inputs'!$B$97)</f>
        <v>4255.8249999999998</v>
      </c>
      <c r="AP352" s="137">
        <f>$L352*'Model Data Inputs'!$B$100</f>
        <v>4286.4266666666663</v>
      </c>
      <c r="AQ352" s="137">
        <f t="shared" si="83"/>
        <v>2151467.9848657707</v>
      </c>
      <c r="AR352" s="141">
        <f t="shared" si="76"/>
        <v>20077.03061010356</v>
      </c>
    </row>
    <row r="353" spans="1:234" s="40" customFormat="1" ht="12.75" customHeight="1" x14ac:dyDescent="0.2">
      <c r="A353" s="20" t="s">
        <v>106</v>
      </c>
      <c r="B353" s="20" t="s">
        <v>107</v>
      </c>
      <c r="C353" s="20" t="s">
        <v>1070</v>
      </c>
      <c r="D353" s="20" t="s">
        <v>1071</v>
      </c>
      <c r="E353" s="138" t="s">
        <v>622</v>
      </c>
      <c r="F353" s="138" t="str">
        <f>IF(AND(SUM('School Level ADM'!$F353:$J353)=0,SUM('School Level ADM'!$O353:$R353)=0,'School Level ADM'!$K353&gt;0,'School Level ADM'!$N353&gt;0),"T","F")</f>
        <v>F</v>
      </c>
      <c r="G353" s="138" t="str">
        <f>IF(AND(SUM('School Level ADM'!$M353:$R353)=0,'School Level ADM'!$L353&gt;0),"T","F")</f>
        <v>F</v>
      </c>
      <c r="H353" s="138" t="str">
        <f t="shared" si="70"/>
        <v>E</v>
      </c>
      <c r="I353" s="139">
        <f>IF($F353="T",SUM('School Level ADM'!$F353:$J353),IF($G353="T",SUM('School Level ADM'!$F353:$L353),SUM('School Level ADM'!$F353:$K353,0)))</f>
        <v>178.10266666666666</v>
      </c>
      <c r="J353" s="139">
        <f>'School Level ADM'!$S353-$I353-$K353</f>
        <v>0</v>
      </c>
      <c r="K353" s="139">
        <f>IF(SUM('School Level ADM'!$N353:$R353)='School Level ADM'!$S353,SUM('School Level ADM'!$N353:$R353),IF(OR(SUM('School Level ADM'!$F353:$O353)='School Level ADM'!$S353,SUM('School Level ADM'!$G353:$O353)='School Level ADM'!$S353,SUM('School Level ADM'!$H353:$O353)='School Level ADM'!$S353,SUM('School Level ADM'!$I353:$O353)='School Level ADM'!$S353,SUM('School Level ADM'!$J353:$O353)='School Level ADM'!$S353,SUM('School Level ADM'!$K353:$O353)='School Level ADM'!$S353,SUM('School Level ADM'!$L353:$O353)='School Level ADM'!$S353,SUM('School Level ADM'!$M353:$O353)='School Level ADM'!$S353,SUM('School Level ADM'!$N353:$O353)='School Level ADM'!$S353),0,SUM('School Level ADM'!$O353:$R353)))</f>
        <v>0</v>
      </c>
      <c r="L353" s="139">
        <f t="shared" si="71"/>
        <v>178.10266666666666</v>
      </c>
      <c r="M353" s="24">
        <f>'Student At-Risk and ELL Proxy'!S353</f>
        <v>71</v>
      </c>
      <c r="N353" s="24">
        <f>'Student At-Risk and ELL Proxy'!AH353</f>
        <v>2</v>
      </c>
      <c r="O353" s="136">
        <f t="shared" si="77"/>
        <v>1.2214314061284197</v>
      </c>
      <c r="P353" s="136" t="str">
        <f t="shared" si="78"/>
        <v/>
      </c>
      <c r="Q353" s="136" t="str">
        <f t="shared" si="79"/>
        <v/>
      </c>
      <c r="R353" s="136">
        <f t="shared" si="72"/>
        <v>1.2214314061284197</v>
      </c>
      <c r="S353" s="136">
        <f>IF(SUM(3515.4*((VLOOKUP($A353,'District Level ADM'!$A$4:$F$52,6,FALSE))^-0.327)/'Model Data Inputs'!$B$71)&lt;1,1,(3515.4*((VLOOKUP($A353,'District Level ADM'!$A$4:$F$52,6,FALSE))^-0.327)/'Model Data Inputs'!$B$71))</f>
        <v>2.1096788177199444</v>
      </c>
      <c r="T353" s="136">
        <f>VLOOKUP($A353,'Regional Cost Adjustment'!$A$4:$C$52,3,FALSE)</f>
        <v>0.91</v>
      </c>
      <c r="U353" s="123">
        <f>((($I353/$L353)*'Model Data Inputs'!$B$85)+((SUM(J353:K353)/$L353)*'Model Data Inputs'!$C$85))*$R353*$T353</f>
        <v>7077.5901508316065</v>
      </c>
      <c r="V353" s="140">
        <f>((($I353/$L353)*'Model Data Inputs'!$B$86)+((SUM(J353:K353)/$L353)*'Model Data Inputs'!$C$86))*$R353</f>
        <v>2067.4250183586087</v>
      </c>
      <c r="W353" s="140">
        <f t="shared" si="80"/>
        <v>9145.0151691902156</v>
      </c>
      <c r="X353" s="140">
        <f t="shared" si="73"/>
        <v>1260537.6794368445</v>
      </c>
      <c r="Y353" s="140">
        <f t="shared" si="74"/>
        <v>368213.90890305047</v>
      </c>
      <c r="Z353" s="123">
        <f>IF((SUM(X353:Y353))&lt;(AVERAGE('Elementary Size Adjustment'!$B$66,'Secondary Size Adjustment'!$B$66)),(AVERAGE('Elementary Size Adjustment'!$B$66,'Secondary Size Adjustment'!$B$66)),SUM(X353:Y353))</f>
        <v>1628751.588339895</v>
      </c>
      <c r="AA353" s="137">
        <f>'Model Data Inputs'!$B$71*S353*L353</f>
        <v>71390.490416759509</v>
      </c>
      <c r="AB353" s="137">
        <f>L353*'Model Data Inputs'!$B$72</f>
        <v>4452.5666666666666</v>
      </c>
      <c r="AC353" s="137">
        <f>L353*'Model Data Inputs'!$B$73</f>
        <v>44525.666666666664</v>
      </c>
      <c r="AD353" s="137">
        <f>L353*'Model Data Inputs'!$B$74</f>
        <v>22262.833333333332</v>
      </c>
      <c r="AE353" s="137">
        <f>$I353*'Model Data Inputs'!$B$76</f>
        <v>4237.0624399999997</v>
      </c>
      <c r="AF353" s="137">
        <f>VLOOKUP($J353,'Student Activities MS&amp;HS Tables'!$M$7:$O$1267,3)</f>
        <v>0</v>
      </c>
      <c r="AG353" s="137">
        <f>VLOOKUP($K353,'Student Activities MS&amp;HS Tables'!$I$7:$K$3007,3)</f>
        <v>0</v>
      </c>
      <c r="AH353" s="137">
        <f t="shared" si="75"/>
        <v>4237.0624399999997</v>
      </c>
      <c r="AI353" s="123">
        <f t="shared" si="81"/>
        <v>1775620.2078633213</v>
      </c>
      <c r="AJ353" s="123">
        <f>(('Model Data Inputs'!$B$90*(('Model Data Inputs'!$B$87*('School Level Inst. Resources'!I353/'School Level Inst. Resources'!L353))+('Model Data Inputs'!$C$87*(SUM('School Level Inst. Resources'!J353:K353)/'School Level Inst. Resources'!L353))))*T353*M353)</f>
        <v>156231.09769906715</v>
      </c>
      <c r="AK353" s="123">
        <f>(('Model Data Inputs'!$B$91*(('Model Data Inputs'!$B$87*('School Level Inst. Resources'!I353/'School Level Inst. Resources'!L353))+('Model Data Inputs'!$C$87*(SUM('School Level Inst. Resources'!J353:K353)/'School Level Inst. Resources'!L353))))*T353*N353)</f>
        <v>4400.8759915230185</v>
      </c>
      <c r="AL353" s="137">
        <f>(K353*'Model Data Inputs'!$B$94)*T353</f>
        <v>0</v>
      </c>
      <c r="AM353" s="137">
        <f>K353*'Model Data Inputs'!$B$95</f>
        <v>0</v>
      </c>
      <c r="AN353" s="137">
        <f t="shared" si="82"/>
        <v>0</v>
      </c>
      <c r="AO353" s="137">
        <f>('School Level Inst. Resources'!K353*'Model Data Inputs'!$B$96)+('School Level Inst. Resources'!J353*'Model Data Inputs'!$B$97)</f>
        <v>0</v>
      </c>
      <c r="AP353" s="137">
        <f>$L353*'Model Data Inputs'!$B$100</f>
        <v>7124.1066666666666</v>
      </c>
      <c r="AQ353" s="137">
        <f t="shared" si="83"/>
        <v>1943376.2882205781</v>
      </c>
      <c r="AR353" s="141">
        <f t="shared" si="76"/>
        <v>10911.550762222791</v>
      </c>
    </row>
    <row r="354" spans="1:234" s="40" customFormat="1" ht="12.75" customHeight="1" x14ac:dyDescent="0.2">
      <c r="A354" s="20" t="s">
        <v>106</v>
      </c>
      <c r="B354" s="20" t="s">
        <v>107</v>
      </c>
      <c r="C354" s="20" t="s">
        <v>1072</v>
      </c>
      <c r="D354" s="20" t="s">
        <v>1073</v>
      </c>
      <c r="E354" s="138" t="s">
        <v>625</v>
      </c>
      <c r="F354" s="138" t="str">
        <f>IF(AND(SUM('School Level ADM'!$F354:$J354)=0,SUM('School Level ADM'!$O354:$R354)=0,'School Level ADM'!$K354&gt;0,'School Level ADM'!$N354&gt;0),"T","F")</f>
        <v>F</v>
      </c>
      <c r="G354" s="138" t="str">
        <f>IF(AND(SUM('School Level ADM'!$M354:$R354)=0,'School Level ADM'!$L354&gt;0),"T","F")</f>
        <v>F</v>
      </c>
      <c r="H354" s="138" t="str">
        <f t="shared" si="70"/>
        <v>E</v>
      </c>
      <c r="I354" s="139">
        <f>IF($F354="T",SUM('School Level ADM'!$F354:$J354),IF($G354="T",SUM('School Level ADM'!$F354:$L354),SUM('School Level ADM'!$F354:$K354,0)))</f>
        <v>174.08866666666665</v>
      </c>
      <c r="J354" s="139">
        <f>'School Level ADM'!$S354-$I354-$K354</f>
        <v>0</v>
      </c>
      <c r="K354" s="139">
        <f>IF(SUM('School Level ADM'!$N354:$R354)='School Level ADM'!$S354,SUM('School Level ADM'!$N354:$R354),IF(OR(SUM('School Level ADM'!$F354:$O354)='School Level ADM'!$S354,SUM('School Level ADM'!$G354:$O354)='School Level ADM'!$S354,SUM('School Level ADM'!$H354:$O354)='School Level ADM'!$S354,SUM('School Level ADM'!$I354:$O354)='School Level ADM'!$S354,SUM('School Level ADM'!$J354:$O354)='School Level ADM'!$S354,SUM('School Level ADM'!$K354:$O354)='School Level ADM'!$S354,SUM('School Level ADM'!$L354:$O354)='School Level ADM'!$S354,SUM('School Level ADM'!$M354:$O354)='School Level ADM'!$S354,SUM('School Level ADM'!$N354:$O354)='School Level ADM'!$S354),0,SUM('School Level ADM'!$O354:$R354)))</f>
        <v>0</v>
      </c>
      <c r="L354" s="139">
        <f t="shared" si="71"/>
        <v>174.08866666666665</v>
      </c>
      <c r="M354" s="24">
        <f>'Student At-Risk and ELL Proxy'!S354</f>
        <v>56</v>
      </c>
      <c r="N354" s="24">
        <f>'Student At-Risk and ELL Proxy'!AH354</f>
        <v>2</v>
      </c>
      <c r="O354" s="136">
        <f t="shared" si="77"/>
        <v>1.2325633557811617</v>
      </c>
      <c r="P354" s="136" t="str">
        <f t="shared" si="78"/>
        <v/>
      </c>
      <c r="Q354" s="136" t="str">
        <f t="shared" si="79"/>
        <v/>
      </c>
      <c r="R354" s="136">
        <f t="shared" si="72"/>
        <v>1.2325633557811617</v>
      </c>
      <c r="S354" s="136">
        <f>IF(SUM(3515.4*((VLOOKUP($A354,'District Level ADM'!$A$4:$F$52,6,FALSE))^-0.327)/'Model Data Inputs'!$B$71)&lt;1,1,(3515.4*((VLOOKUP($A354,'District Level ADM'!$A$4:$F$52,6,FALSE))^-0.327)/'Model Data Inputs'!$B$71))</f>
        <v>2.1096788177199444</v>
      </c>
      <c r="T354" s="136">
        <f>VLOOKUP($A354,'Regional Cost Adjustment'!$A$4:$C$52,3,FALSE)</f>
        <v>0.91</v>
      </c>
      <c r="U354" s="123">
        <f>((($I354/$L354)*'Model Data Inputs'!$B$85)+((SUM(J354:K354)/$L354)*'Model Data Inputs'!$C$85))*$R354*$T354</f>
        <v>7142.0942865747129</v>
      </c>
      <c r="V354" s="140">
        <f>((($I354/$L354)*'Model Data Inputs'!$B$86)+((SUM(J354:K354)/$L354)*'Model Data Inputs'!$C$86))*$R354</f>
        <v>2086.2672317647107</v>
      </c>
      <c r="W354" s="140">
        <f t="shared" si="80"/>
        <v>9228.3615183394231</v>
      </c>
      <c r="X354" s="140">
        <f t="shared" si="73"/>
        <v>1243357.6715574097</v>
      </c>
      <c r="Y354" s="140">
        <f t="shared" si="74"/>
        <v>363195.48068827612</v>
      </c>
      <c r="Z354" s="123">
        <f>IF((SUM(X354:Y354))&lt;(AVERAGE('Elementary Size Adjustment'!$B$66,'Secondary Size Adjustment'!$B$66)),(AVERAGE('Elementary Size Adjustment'!$B$66,'Secondary Size Adjustment'!$B$66)),SUM(X354:Y354))</f>
        <v>1606553.1522456859</v>
      </c>
      <c r="AA354" s="137">
        <f>'Model Data Inputs'!$B$71*S354*L354</f>
        <v>69781.522769637217</v>
      </c>
      <c r="AB354" s="137">
        <f>L354*'Model Data Inputs'!$B$72</f>
        <v>4352.2166666666662</v>
      </c>
      <c r="AC354" s="137">
        <f>L354*'Model Data Inputs'!$B$73</f>
        <v>43522.166666666664</v>
      </c>
      <c r="AD354" s="137">
        <f>L354*'Model Data Inputs'!$B$74</f>
        <v>21761.083333333332</v>
      </c>
      <c r="AE354" s="137">
        <f>$I354*'Model Data Inputs'!$B$76</f>
        <v>4141.5693799999999</v>
      </c>
      <c r="AF354" s="137">
        <f>VLOOKUP($J354,'Student Activities MS&amp;HS Tables'!$M$7:$O$1267,3)</f>
        <v>0</v>
      </c>
      <c r="AG354" s="137">
        <f>VLOOKUP($K354,'Student Activities MS&amp;HS Tables'!$I$7:$K$3007,3)</f>
        <v>0</v>
      </c>
      <c r="AH354" s="137">
        <f t="shared" si="75"/>
        <v>4141.5693799999999</v>
      </c>
      <c r="AI354" s="123">
        <f t="shared" si="81"/>
        <v>1750111.7110619897</v>
      </c>
      <c r="AJ354" s="123">
        <f>(('Model Data Inputs'!$B$90*(('Model Data Inputs'!$B$87*('School Level Inst. Resources'!I354/'School Level Inst. Resources'!L354))+('Model Data Inputs'!$C$87*(SUM('School Level Inst. Resources'!J354:K354)/'School Level Inst. Resources'!L354))))*T354*M354)</f>
        <v>123224.52776264452</v>
      </c>
      <c r="AK354" s="123">
        <f>(('Model Data Inputs'!$B$91*(('Model Data Inputs'!$B$87*('School Level Inst. Resources'!I354/'School Level Inst. Resources'!L354))+('Model Data Inputs'!$C$87*(SUM('School Level Inst. Resources'!J354:K354)/'School Level Inst. Resources'!L354))))*T354*N354)</f>
        <v>4400.8759915230185</v>
      </c>
      <c r="AL354" s="137">
        <f>(K354*'Model Data Inputs'!$B$94)*T354</f>
        <v>0</v>
      </c>
      <c r="AM354" s="137">
        <f>K354*'Model Data Inputs'!$B$95</f>
        <v>0</v>
      </c>
      <c r="AN354" s="137">
        <f t="shared" si="82"/>
        <v>0</v>
      </c>
      <c r="AO354" s="137">
        <f>('School Level Inst. Resources'!K354*'Model Data Inputs'!$B$96)+('School Level Inst. Resources'!J354*'Model Data Inputs'!$B$97)</f>
        <v>0</v>
      </c>
      <c r="AP354" s="137">
        <f>$L354*'Model Data Inputs'!$B$100</f>
        <v>6963.5466666666662</v>
      </c>
      <c r="AQ354" s="137">
        <f t="shared" si="83"/>
        <v>1884700.6614828238</v>
      </c>
      <c r="AR354" s="141">
        <f t="shared" si="76"/>
        <v>10826.096250662444</v>
      </c>
    </row>
    <row r="355" spans="1:234" s="40" customFormat="1" ht="12.75" customHeight="1" x14ac:dyDescent="0.2">
      <c r="A355" s="20" t="s">
        <v>106</v>
      </c>
      <c r="B355" s="20" t="s">
        <v>107</v>
      </c>
      <c r="C355" s="20" t="s">
        <v>1074</v>
      </c>
      <c r="D355" s="20" t="s">
        <v>1075</v>
      </c>
      <c r="E355" s="138" t="s">
        <v>383</v>
      </c>
      <c r="F355" s="138" t="str">
        <f>IF(AND(SUM('School Level ADM'!$F355:$J355)=0,SUM('School Level ADM'!$O355:$R355)=0,'School Level ADM'!$K355&gt;0,'School Level ADM'!$N355&gt;0),"T","F")</f>
        <v>F</v>
      </c>
      <c r="G355" s="138" t="str">
        <f>IF(AND(SUM('School Level ADM'!$M355:$R355)=0,'School Level ADM'!$L355&gt;0),"T","F")</f>
        <v>F</v>
      </c>
      <c r="H355" s="138" t="str">
        <f t="shared" si="70"/>
        <v>M</v>
      </c>
      <c r="I355" s="139">
        <f>IF($F355="T",SUM('School Level ADM'!$F355:$J355),IF($G355="T",SUM('School Level ADM'!$F355:$L355),SUM('School Level ADM'!$F355:$K355,0)))</f>
        <v>0</v>
      </c>
      <c r="J355" s="139">
        <f>'School Level ADM'!$S355-$I355-$K355</f>
        <v>200.97966666666667</v>
      </c>
      <c r="K355" s="139">
        <f>IF(SUM('School Level ADM'!$N355:$R355)='School Level ADM'!$S355,SUM('School Level ADM'!$N355:$R355),IF(OR(SUM('School Level ADM'!$F355:$O355)='School Level ADM'!$S355,SUM('School Level ADM'!$G355:$O355)='School Level ADM'!$S355,SUM('School Level ADM'!$H355:$O355)='School Level ADM'!$S355,SUM('School Level ADM'!$I355:$O355)='School Level ADM'!$S355,SUM('School Level ADM'!$J355:$O355)='School Level ADM'!$S355,SUM('School Level ADM'!$K355:$O355)='School Level ADM'!$S355,SUM('School Level ADM'!$L355:$O355)='School Level ADM'!$S355,SUM('School Level ADM'!$M355:$O355)='School Level ADM'!$S355,SUM('School Level ADM'!$N355:$O355)='School Level ADM'!$S355),0,SUM('School Level ADM'!$O355:$R355)))</f>
        <v>0</v>
      </c>
      <c r="L355" s="139">
        <f t="shared" si="71"/>
        <v>200.97966666666667</v>
      </c>
      <c r="M355" s="24">
        <f>'Student At-Risk and ELL Proxy'!S355</f>
        <v>72</v>
      </c>
      <c r="N355" s="24">
        <f>'Student At-Risk and ELL Proxy'!AH355</f>
        <v>1</v>
      </c>
      <c r="O355" s="136" t="str">
        <f t="shared" si="77"/>
        <v/>
      </c>
      <c r="P355" s="136">
        <f t="shared" si="78"/>
        <v>1.4187187209803236</v>
      </c>
      <c r="Q355" s="136" t="str">
        <f t="shared" si="79"/>
        <v/>
      </c>
      <c r="R355" s="136">
        <f t="shared" si="72"/>
        <v>1.4187187209803236</v>
      </c>
      <c r="S355" s="136">
        <f>IF(SUM(3515.4*((VLOOKUP($A355,'District Level ADM'!$A$4:$F$52,6,FALSE))^-0.327)/'Model Data Inputs'!$B$71)&lt;1,1,(3515.4*((VLOOKUP($A355,'District Level ADM'!$A$4:$F$52,6,FALSE))^-0.327)/'Model Data Inputs'!$B$71))</f>
        <v>2.1096788177199444</v>
      </c>
      <c r="T355" s="136">
        <f>VLOOKUP($A355,'Regional Cost Adjustment'!$A$4:$C$52,3,FALSE)</f>
        <v>0.91</v>
      </c>
      <c r="U355" s="123">
        <f>((($I355/$L355)*'Model Data Inputs'!$B$85)+((SUM(J355:K355)/$L355)*'Model Data Inputs'!$C$85))*$R355*$T355</f>
        <v>6949.364439979563</v>
      </c>
      <c r="V355" s="140">
        <f>((($I355/$L355)*'Model Data Inputs'!$B$86)+((SUM(J355:K355)/$L355)*'Model Data Inputs'!$C$86))*$R355</f>
        <v>2033.176818824418</v>
      </c>
      <c r="W355" s="140">
        <f t="shared" si="80"/>
        <v>8982.5412588039817</v>
      </c>
      <c r="X355" s="140">
        <f t="shared" si="73"/>
        <v>1396680.9486922794</v>
      </c>
      <c r="Y355" s="140">
        <f t="shared" si="74"/>
        <v>408627.19932172529</v>
      </c>
      <c r="Z355" s="123">
        <f>IF((SUM(X355:Y355))&lt;(AVERAGE('Elementary Size Adjustment'!$B$66,'Secondary Size Adjustment'!$B$66)),(AVERAGE('Elementary Size Adjustment'!$B$66,'Secondary Size Adjustment'!$B$66)),SUM(X355:Y355))</f>
        <v>1805308.1480140048</v>
      </c>
      <c r="AA355" s="137">
        <f>'Model Data Inputs'!$B$71*S355*L355</f>
        <v>80560.483656225551</v>
      </c>
      <c r="AB355" s="137">
        <f>L355*'Model Data Inputs'!$B$72</f>
        <v>5024.4916666666668</v>
      </c>
      <c r="AC355" s="137">
        <f>L355*'Model Data Inputs'!$B$73</f>
        <v>50244.916666666672</v>
      </c>
      <c r="AD355" s="137">
        <f>L355*'Model Data Inputs'!$B$74</f>
        <v>25122.458333333336</v>
      </c>
      <c r="AE355" s="137">
        <f>$I355*'Model Data Inputs'!$B$76</f>
        <v>0</v>
      </c>
      <c r="AF355" s="137">
        <f>VLOOKUP($J355,'Student Activities MS&amp;HS Tables'!$M$7:$O$1267,3)</f>
        <v>76906</v>
      </c>
      <c r="AG355" s="137">
        <f>VLOOKUP($K355,'Student Activities MS&amp;HS Tables'!$I$7:$K$3007,3)</f>
        <v>0</v>
      </c>
      <c r="AH355" s="137">
        <f t="shared" si="75"/>
        <v>76906</v>
      </c>
      <c r="AI355" s="123">
        <f t="shared" si="81"/>
        <v>2043166.498336897</v>
      </c>
      <c r="AJ355" s="123">
        <f>(('Model Data Inputs'!$B$90*(('Model Data Inputs'!$B$87*('School Level Inst. Resources'!I355/'School Level Inst. Resources'!L355))+('Model Data Inputs'!$C$87*(SUM('School Level Inst. Resources'!J355:K355)/'School Level Inst. Resources'!L355))))*T355*M355)</f>
        <v>133973.27648079119</v>
      </c>
      <c r="AK355" s="123">
        <f>(('Model Data Inputs'!$B$91*(('Model Data Inputs'!$B$87*('School Level Inst. Resources'!I355/'School Level Inst. Resources'!L355))+('Model Data Inputs'!$C$87*(SUM('School Level Inst. Resources'!J355:K355)/'School Level Inst. Resources'!L355))))*T355*N355)</f>
        <v>1860.7399511220997</v>
      </c>
      <c r="AL355" s="137">
        <f>(K355*'Model Data Inputs'!$B$94)*T355</f>
        <v>0</v>
      </c>
      <c r="AM355" s="137">
        <f>K355*'Model Data Inputs'!$B$95</f>
        <v>0</v>
      </c>
      <c r="AN355" s="137">
        <f t="shared" si="82"/>
        <v>0</v>
      </c>
      <c r="AO355" s="137">
        <f>('School Level Inst. Resources'!K355*'Model Data Inputs'!$B$96)+('School Level Inst. Resources'!J355*'Model Data Inputs'!$B$97)</f>
        <v>5024.4916666666668</v>
      </c>
      <c r="AP355" s="137">
        <f>$L355*'Model Data Inputs'!$B$100</f>
        <v>8039.1866666666665</v>
      </c>
      <c r="AQ355" s="137">
        <f t="shared" si="83"/>
        <v>2192064.1931021437</v>
      </c>
      <c r="AR355" s="141">
        <f t="shared" si="76"/>
        <v>10906.895356423172</v>
      </c>
    </row>
    <row r="356" spans="1:234" s="40" customFormat="1" ht="12.75" customHeight="1" x14ac:dyDescent="0.2">
      <c r="A356" s="20" t="s">
        <v>106</v>
      </c>
      <c r="B356" s="20" t="s">
        <v>107</v>
      </c>
      <c r="C356" s="20" t="s">
        <v>1076</v>
      </c>
      <c r="D356" s="20" t="s">
        <v>1077</v>
      </c>
      <c r="E356" s="138" t="s">
        <v>389</v>
      </c>
      <c r="F356" s="138" t="str">
        <f>IF(AND(SUM('School Level ADM'!$F356:$J356)=0,SUM('School Level ADM'!$O356:$R356)=0,'School Level ADM'!$K356&gt;0,'School Level ADM'!$N356&gt;0),"T","F")</f>
        <v>F</v>
      </c>
      <c r="G356" s="138" t="str">
        <f>IF(AND(SUM('School Level ADM'!$M356:$R356)=0,'School Level ADM'!$L356&gt;0),"T","F")</f>
        <v>F</v>
      </c>
      <c r="H356" s="138" t="str">
        <f t="shared" si="70"/>
        <v>H</v>
      </c>
      <c r="I356" s="139">
        <f>IF($F356="T",SUM('School Level ADM'!$F356:$J356),IF($G356="T",SUM('School Level ADM'!$F356:$L356),SUM('School Level ADM'!$F356:$K356,0)))</f>
        <v>0</v>
      </c>
      <c r="J356" s="139">
        <f>'School Level ADM'!$S356-$I356-$K356</f>
        <v>0</v>
      </c>
      <c r="K356" s="139">
        <f>IF(SUM('School Level ADM'!$N356:$R356)='School Level ADM'!$S356,SUM('School Level ADM'!$N356:$R356),IF(OR(SUM('School Level ADM'!$F356:$O356)='School Level ADM'!$S356,SUM('School Level ADM'!$G356:$O356)='School Level ADM'!$S356,SUM('School Level ADM'!$H356:$O356)='School Level ADM'!$S356,SUM('School Level ADM'!$I356:$O356)='School Level ADM'!$S356,SUM('School Level ADM'!$J356:$O356)='School Level ADM'!$S356,SUM('School Level ADM'!$K356:$O356)='School Level ADM'!$S356,SUM('School Level ADM'!$L356:$O356)='School Level ADM'!$S356,SUM('School Level ADM'!$M356:$O356)='School Level ADM'!$S356,SUM('School Level ADM'!$N356:$O356)='School Level ADM'!$S356),0,SUM('School Level ADM'!$O356:$R356)))</f>
        <v>212.08500000000001</v>
      </c>
      <c r="L356" s="139">
        <f t="shared" si="71"/>
        <v>212.08500000000001</v>
      </c>
      <c r="M356" s="24">
        <f>'Student At-Risk and ELL Proxy'!S356</f>
        <v>59</v>
      </c>
      <c r="N356" s="24">
        <f>'Student At-Risk and ELL Proxy'!AH356</f>
        <v>1</v>
      </c>
      <c r="O356" s="136" t="str">
        <f t="shared" si="77"/>
        <v/>
      </c>
      <c r="P356" s="136">
        <f t="shared" si="78"/>
        <v>1.3921874055183572</v>
      </c>
      <c r="Q356" s="136" t="str">
        <f t="shared" si="79"/>
        <v/>
      </c>
      <c r="R356" s="136">
        <f t="shared" si="72"/>
        <v>1.3921874055183572</v>
      </c>
      <c r="S356" s="136">
        <f>IF(SUM(3515.4*((VLOOKUP($A356,'District Level ADM'!$A$4:$F$52,6,FALSE))^-0.327)/'Model Data Inputs'!$B$71)&lt;1,1,(3515.4*((VLOOKUP($A356,'District Level ADM'!$A$4:$F$52,6,FALSE))^-0.327)/'Model Data Inputs'!$B$71))</f>
        <v>2.1096788177199444</v>
      </c>
      <c r="T356" s="136">
        <f>VLOOKUP($A356,'Regional Cost Adjustment'!$A$4:$C$52,3,FALSE)</f>
        <v>0.91</v>
      </c>
      <c r="U356" s="123">
        <f>((($I356/$L356)*'Model Data Inputs'!$B$85)+((SUM(J356:K356)/$L356)*'Model Data Inputs'!$C$85))*$R356*$T356</f>
        <v>6819.4050777108632</v>
      </c>
      <c r="V356" s="140">
        <f>((($I356/$L356)*'Model Data Inputs'!$B$86)+((SUM(J356:K356)/$L356)*'Model Data Inputs'!$C$86))*$R356</f>
        <v>1995.1545845559408</v>
      </c>
      <c r="W356" s="140">
        <f t="shared" si="80"/>
        <v>8814.5596622668036</v>
      </c>
      <c r="X356" s="140">
        <f t="shared" si="73"/>
        <v>1446293.5259063086</v>
      </c>
      <c r="Y356" s="140">
        <f t="shared" si="74"/>
        <v>423142.3600655467</v>
      </c>
      <c r="Z356" s="123">
        <f>IF((SUM(X356:Y356))&lt;(AVERAGE('Elementary Size Adjustment'!$B$66,'Secondary Size Adjustment'!$B$66)),(AVERAGE('Elementary Size Adjustment'!$B$66,'Secondary Size Adjustment'!$B$66)),SUM(X356:Y356))</f>
        <v>1869435.8859718554</v>
      </c>
      <c r="AA356" s="137">
        <f>'Model Data Inputs'!$B$71*S356*L356</f>
        <v>85011.934090665542</v>
      </c>
      <c r="AB356" s="137">
        <f>L356*'Model Data Inputs'!$B$72</f>
        <v>5302.125</v>
      </c>
      <c r="AC356" s="137">
        <f>L356*'Model Data Inputs'!$B$73</f>
        <v>53021.25</v>
      </c>
      <c r="AD356" s="137">
        <f>L356*'Model Data Inputs'!$B$74</f>
        <v>26510.625</v>
      </c>
      <c r="AE356" s="137">
        <f>$I356*'Model Data Inputs'!$B$76</f>
        <v>0</v>
      </c>
      <c r="AF356" s="137">
        <f>VLOOKUP($J356,'Student Activities MS&amp;HS Tables'!$M$7:$O$1267,3)</f>
        <v>0</v>
      </c>
      <c r="AG356" s="137">
        <f>VLOOKUP($K356,'Student Activities MS&amp;HS Tables'!$I$7:$K$3007,3)</f>
        <v>263770.40000000002</v>
      </c>
      <c r="AH356" s="137">
        <f t="shared" si="75"/>
        <v>263770.40000000002</v>
      </c>
      <c r="AI356" s="123">
        <f t="shared" si="81"/>
        <v>2303052.2200625208</v>
      </c>
      <c r="AJ356" s="123">
        <f>(('Model Data Inputs'!$B$90*(('Model Data Inputs'!$B$87*('School Level Inst. Resources'!I356/'School Level Inst. Resources'!L356))+('Model Data Inputs'!$C$87*(SUM('School Level Inst. Resources'!J356:K356)/'School Level Inst. Resources'!L356))))*T356*M356)</f>
        <v>109783.65711620387</v>
      </c>
      <c r="AK356" s="123">
        <f>(('Model Data Inputs'!$B$91*(('Model Data Inputs'!$B$87*('School Level Inst. Resources'!I356/'School Level Inst. Resources'!L356))+('Model Data Inputs'!$C$87*(SUM('School Level Inst. Resources'!J356:K356)/'School Level Inst. Resources'!L356))))*T356*N356)</f>
        <v>1860.7399511220997</v>
      </c>
      <c r="AL356" s="137">
        <f>(K356*'Model Data Inputs'!$B$94)*T356</f>
        <v>31857.176091809255</v>
      </c>
      <c r="AM356" s="137">
        <f>K356*'Model Data Inputs'!$B$95</f>
        <v>8888.4452351250002</v>
      </c>
      <c r="AN356" s="137">
        <f t="shared" si="82"/>
        <v>40745.621326934255</v>
      </c>
      <c r="AO356" s="137">
        <f>('School Level Inst. Resources'!K356*'Model Data Inputs'!$B$96)+('School Level Inst. Resources'!J356*'Model Data Inputs'!$B$97)</f>
        <v>21208.5</v>
      </c>
      <c r="AP356" s="137">
        <f>$L356*'Model Data Inputs'!$B$100</f>
        <v>8483.4</v>
      </c>
      <c r="AQ356" s="137">
        <f t="shared" si="83"/>
        <v>2485134.1384567809</v>
      </c>
      <c r="AR356" s="141">
        <f t="shared" si="76"/>
        <v>11717.63273431304</v>
      </c>
    </row>
    <row r="357" spans="1:234" s="40" customFormat="1" ht="12.75" customHeight="1" x14ac:dyDescent="0.2">
      <c r="A357" s="20" t="s">
        <v>108</v>
      </c>
      <c r="B357" s="20" t="s">
        <v>109</v>
      </c>
      <c r="C357" s="20" t="s">
        <v>1078</v>
      </c>
      <c r="D357" s="20" t="s">
        <v>1079</v>
      </c>
      <c r="E357" s="138" t="s">
        <v>354</v>
      </c>
      <c r="F357" s="138" t="str">
        <f>IF(AND(SUM('School Level ADM'!$F357:$J357)=0,SUM('School Level ADM'!$O357:$R357)=0,'School Level ADM'!$K357&gt;0,'School Level ADM'!$N357&gt;0),"T","F")</f>
        <v>F</v>
      </c>
      <c r="G357" s="138" t="str">
        <f>IF(AND(SUM('School Level ADM'!$M357:$R357)=0,'School Level ADM'!$L357&gt;0),"T","F")</f>
        <v>F</v>
      </c>
      <c r="H357" s="138" t="str">
        <f t="shared" si="70"/>
        <v>E</v>
      </c>
      <c r="I357" s="139">
        <f>IF($F357="T",SUM('School Level ADM'!$F357:$J357),IF($G357="T",SUM('School Level ADM'!$F357:$L357),SUM('School Level ADM'!$F357:$K357,0)))</f>
        <v>123.24099999999999</v>
      </c>
      <c r="J357" s="139">
        <f>'School Level ADM'!$S357-$I357-$K357</f>
        <v>0</v>
      </c>
      <c r="K357" s="139">
        <f>IF(SUM('School Level ADM'!$N357:$R357)='School Level ADM'!$S357,SUM('School Level ADM'!$N357:$R357),IF(OR(SUM('School Level ADM'!$F357:$O357)='School Level ADM'!$S357,SUM('School Level ADM'!$G357:$O357)='School Level ADM'!$S357,SUM('School Level ADM'!$H357:$O357)='School Level ADM'!$S357,SUM('School Level ADM'!$I357:$O357)='School Level ADM'!$S357,SUM('School Level ADM'!$J357:$O357)='School Level ADM'!$S357,SUM('School Level ADM'!$K357:$O357)='School Level ADM'!$S357,SUM('School Level ADM'!$L357:$O357)='School Level ADM'!$S357,SUM('School Level ADM'!$M357:$O357)='School Level ADM'!$S357,SUM('School Level ADM'!$N357:$O357)='School Level ADM'!$S357),0,SUM('School Level ADM'!$O357:$R357)))</f>
        <v>0</v>
      </c>
      <c r="L357" s="139">
        <f t="shared" si="71"/>
        <v>123.24099999999999</v>
      </c>
      <c r="M357" s="24">
        <f>'Student At-Risk and ELL Proxy'!S357</f>
        <v>53</v>
      </c>
      <c r="N357" s="24">
        <f>'Student At-Risk and ELL Proxy'!AH357</f>
        <v>0</v>
      </c>
      <c r="O357" s="136">
        <f t="shared" si="77"/>
        <v>1.4142146622184397</v>
      </c>
      <c r="P357" s="136" t="str">
        <f t="shared" si="78"/>
        <v/>
      </c>
      <c r="Q357" s="136" t="str">
        <f t="shared" si="79"/>
        <v/>
      </c>
      <c r="R357" s="136">
        <f t="shared" si="72"/>
        <v>1.4142146622184397</v>
      </c>
      <c r="S357" s="136">
        <f>IF(SUM(3515.4*((VLOOKUP($A357,'District Level ADM'!$A$4:$F$52,6,FALSE))^-0.327)/'Model Data Inputs'!$B$71)&lt;1,1,(3515.4*((VLOOKUP($A357,'District Level ADM'!$A$4:$F$52,6,FALSE))^-0.327)/'Model Data Inputs'!$B$71))</f>
        <v>3.0183923366172825</v>
      </c>
      <c r="T357" s="136">
        <f>VLOOKUP($A357,'Regional Cost Adjustment'!$A$4:$C$52,3,FALSE)</f>
        <v>0.91</v>
      </c>
      <c r="U357" s="123">
        <f>((($I357/$L357)*'Model Data Inputs'!$B$85)+((SUM(J357:K357)/$L357)*'Model Data Inputs'!$C$85))*$R357*$T357</f>
        <v>8194.6736544176583</v>
      </c>
      <c r="V357" s="140">
        <f>((($I357/$L357)*'Model Data Inputs'!$B$86)+((SUM(J357:K357)/$L357)*'Model Data Inputs'!$C$86))*$R357</f>
        <v>2393.7347274109379</v>
      </c>
      <c r="W357" s="140">
        <f t="shared" si="80"/>
        <v>10588.408381828596</v>
      </c>
      <c r="X357" s="140">
        <f t="shared" si="73"/>
        <v>1009919.7758440865</v>
      </c>
      <c r="Y357" s="140">
        <f t="shared" si="74"/>
        <v>295006.26154085138</v>
      </c>
      <c r="Z357" s="123">
        <f>IF((SUM(X357:Y357))&lt;(AVERAGE('Elementary Size Adjustment'!$B$66,'Secondary Size Adjustment'!$B$66)),(AVERAGE('Elementary Size Adjustment'!$B$66,'Secondary Size Adjustment'!$B$66)),SUM(X357:Y357))</f>
        <v>1304926.037384938</v>
      </c>
      <c r="AA357" s="137">
        <f>'Model Data Inputs'!$B$71*S357*L357</f>
        <v>70678.041091839594</v>
      </c>
      <c r="AB357" s="137">
        <f>L357*'Model Data Inputs'!$B$72</f>
        <v>3081.0249999999996</v>
      </c>
      <c r="AC357" s="137">
        <f>L357*'Model Data Inputs'!$B$73</f>
        <v>30810.249999999996</v>
      </c>
      <c r="AD357" s="137">
        <f>L357*'Model Data Inputs'!$B$74</f>
        <v>15405.124999999998</v>
      </c>
      <c r="AE357" s="137">
        <f>$I357*'Model Data Inputs'!$B$76</f>
        <v>2931.9033899999995</v>
      </c>
      <c r="AF357" s="137">
        <f>VLOOKUP($J357,'Student Activities MS&amp;HS Tables'!$M$7:$O$1267,3)</f>
        <v>0</v>
      </c>
      <c r="AG357" s="137">
        <f>VLOOKUP($K357,'Student Activities MS&amp;HS Tables'!$I$7:$K$3007,3)</f>
        <v>0</v>
      </c>
      <c r="AH357" s="137">
        <f t="shared" si="75"/>
        <v>2931.9033899999995</v>
      </c>
      <c r="AI357" s="123">
        <f t="shared" si="81"/>
        <v>1427832.3818667775</v>
      </c>
      <c r="AJ357" s="123">
        <f>(('Model Data Inputs'!$B$90*(('Model Data Inputs'!$B$87*('School Level Inst. Resources'!I357/'School Level Inst. Resources'!L357))+('Model Data Inputs'!$C$87*(SUM('School Level Inst. Resources'!J357:K357)/'School Level Inst. Resources'!L357))))*T357*M357)</f>
        <v>116623.21377536</v>
      </c>
      <c r="AK357" s="123">
        <f>(('Model Data Inputs'!$B$91*(('Model Data Inputs'!$B$87*('School Level Inst. Resources'!I357/'School Level Inst. Resources'!L357))+('Model Data Inputs'!$C$87*(SUM('School Level Inst. Resources'!J357:K357)/'School Level Inst. Resources'!L357))))*T357*N357)</f>
        <v>0</v>
      </c>
      <c r="AL357" s="137">
        <f>(K357*'Model Data Inputs'!$B$94)*T357</f>
        <v>0</v>
      </c>
      <c r="AM357" s="137">
        <f>K357*'Model Data Inputs'!$B$95</f>
        <v>0</v>
      </c>
      <c r="AN357" s="137">
        <f t="shared" si="82"/>
        <v>0</v>
      </c>
      <c r="AO357" s="137">
        <f>('School Level Inst. Resources'!K357*'Model Data Inputs'!$B$96)+('School Level Inst. Resources'!J357*'Model Data Inputs'!$B$97)</f>
        <v>0</v>
      </c>
      <c r="AP357" s="137">
        <f>$L357*'Model Data Inputs'!$B$100</f>
        <v>4929.6399999999994</v>
      </c>
      <c r="AQ357" s="137">
        <f t="shared" si="83"/>
        <v>1549385.2356421375</v>
      </c>
      <c r="AR357" s="141">
        <f t="shared" si="76"/>
        <v>12571.994998759646</v>
      </c>
    </row>
    <row r="358" spans="1:234" s="40" customFormat="1" ht="12.75" customHeight="1" x14ac:dyDescent="0.2">
      <c r="A358" s="20" t="s">
        <v>108</v>
      </c>
      <c r="B358" s="20" t="s">
        <v>109</v>
      </c>
      <c r="C358" s="20" t="s">
        <v>1080</v>
      </c>
      <c r="D358" s="20" t="s">
        <v>1081</v>
      </c>
      <c r="E358" s="138" t="s">
        <v>383</v>
      </c>
      <c r="F358" s="138" t="str">
        <f>IF(AND(SUM('School Level ADM'!$F358:$J358)=0,SUM('School Level ADM'!$O358:$R358)=0,'School Level ADM'!$K358&gt;0,'School Level ADM'!$N358&gt;0),"T","F")</f>
        <v>F</v>
      </c>
      <c r="G358" s="138" t="str">
        <f>IF(AND(SUM('School Level ADM'!$M358:$R358)=0,'School Level ADM'!$L358&gt;0),"T","F")</f>
        <v>F</v>
      </c>
      <c r="H358" s="138" t="str">
        <f t="shared" si="70"/>
        <v>M</v>
      </c>
      <c r="I358" s="139">
        <f>IF($F358="T",SUM('School Level ADM'!$F358:$J358),IF($G358="T",SUM('School Level ADM'!$F358:$L358),SUM('School Level ADM'!$F358:$K358,0)))</f>
        <v>0</v>
      </c>
      <c r="J358" s="139">
        <f>'School Level ADM'!$S358-$I358-$K358</f>
        <v>51.810666666666663</v>
      </c>
      <c r="K358" s="139">
        <f>IF(SUM('School Level ADM'!$N358:$R358)='School Level ADM'!$S358,SUM('School Level ADM'!$N358:$R358),IF(OR(SUM('School Level ADM'!$F358:$O358)='School Level ADM'!$S358,SUM('School Level ADM'!$G358:$O358)='School Level ADM'!$S358,SUM('School Level ADM'!$H358:$O358)='School Level ADM'!$S358,SUM('School Level ADM'!$I358:$O358)='School Level ADM'!$S358,SUM('School Level ADM'!$J358:$O358)='School Level ADM'!$S358,SUM('School Level ADM'!$K358:$O358)='School Level ADM'!$S358,SUM('School Level ADM'!$L358:$O358)='School Level ADM'!$S358,SUM('School Level ADM'!$M358:$O358)='School Level ADM'!$S358,SUM('School Level ADM'!$N358:$O358)='School Level ADM'!$S358),0,SUM('School Level ADM'!$O358:$R358)))</f>
        <v>0</v>
      </c>
      <c r="L358" s="139">
        <f t="shared" si="71"/>
        <v>51.810666666666663</v>
      </c>
      <c r="M358" s="24">
        <f>'Student At-Risk and ELL Proxy'!S358</f>
        <v>20</v>
      </c>
      <c r="N358" s="24">
        <f>'Student At-Risk and ELL Proxy'!AH358</f>
        <v>0</v>
      </c>
      <c r="O358" s="136" t="str">
        <f t="shared" si="77"/>
        <v/>
      </c>
      <c r="P358" s="136">
        <f t="shared" si="78"/>
        <v>2.2831874148175908</v>
      </c>
      <c r="Q358" s="136" t="str">
        <f t="shared" si="79"/>
        <v/>
      </c>
      <c r="R358" s="136">
        <f t="shared" si="72"/>
        <v>2.2831874148175908</v>
      </c>
      <c r="S358" s="136">
        <f>IF(SUM(3515.4*((VLOOKUP($A358,'District Level ADM'!$A$4:$F$52,6,FALSE))^-0.327)/'Model Data Inputs'!$B$71)&lt;1,1,(3515.4*((VLOOKUP($A358,'District Level ADM'!$A$4:$F$52,6,FALSE))^-0.327)/'Model Data Inputs'!$B$71))</f>
        <v>3.0183923366172825</v>
      </c>
      <c r="T358" s="136">
        <f>VLOOKUP($A358,'Regional Cost Adjustment'!$A$4:$C$52,3,FALSE)</f>
        <v>0.91</v>
      </c>
      <c r="U358" s="123">
        <f>((($I358/$L358)*'Model Data Inputs'!$B$85)+((SUM(J358:K358)/$L358)*'Model Data Inputs'!$C$85))*$R358*$T358</f>
        <v>11183.824669190568</v>
      </c>
      <c r="V358" s="140">
        <f>((($I358/$L358)*'Model Data Inputs'!$B$86)+((SUM(J358:K358)/$L358)*'Model Data Inputs'!$C$86))*$R358</f>
        <v>3272.0536186560676</v>
      </c>
      <c r="W358" s="140">
        <f t="shared" si="80"/>
        <v>14455.878287846635</v>
      </c>
      <c r="X358" s="140">
        <f t="shared" si="73"/>
        <v>579441.4119938761</v>
      </c>
      <c r="Y358" s="140">
        <f t="shared" si="74"/>
        <v>169527.27935164995</v>
      </c>
      <c r="Z358" s="123">
        <f>IF((SUM(X358:Y358))&lt;(AVERAGE('Elementary Size Adjustment'!$B$66,'Secondary Size Adjustment'!$B$66)),(AVERAGE('Elementary Size Adjustment'!$B$66,'Secondary Size Adjustment'!$B$66)),SUM(X358:Y358))</f>
        <v>748968.69134552602</v>
      </c>
      <c r="AA358" s="137">
        <f>'Model Data Inputs'!$B$71*S358*L358</f>
        <v>29713.134652122837</v>
      </c>
      <c r="AB358" s="137">
        <f>L358*'Model Data Inputs'!$B$72</f>
        <v>1295.2666666666667</v>
      </c>
      <c r="AC358" s="137">
        <f>L358*'Model Data Inputs'!$B$73</f>
        <v>12952.666666666666</v>
      </c>
      <c r="AD358" s="137">
        <f>L358*'Model Data Inputs'!$B$74</f>
        <v>6476.333333333333</v>
      </c>
      <c r="AE358" s="137">
        <f>$I358*'Model Data Inputs'!$B$76</f>
        <v>0</v>
      </c>
      <c r="AF358" s="137">
        <f>VLOOKUP($J358,'Student Activities MS&amp;HS Tables'!$M$7:$O$1267,3)</f>
        <v>33844.11</v>
      </c>
      <c r="AG358" s="137">
        <f>VLOOKUP($K358,'Student Activities MS&amp;HS Tables'!$I$7:$K$3007,3)</f>
        <v>0</v>
      </c>
      <c r="AH358" s="137">
        <f t="shared" si="75"/>
        <v>33844.11</v>
      </c>
      <c r="AI358" s="123">
        <f t="shared" si="81"/>
        <v>833250.20266431558</v>
      </c>
      <c r="AJ358" s="123">
        <f>(('Model Data Inputs'!$B$90*(('Model Data Inputs'!$B$87*('School Level Inst. Resources'!I358/'School Level Inst. Resources'!L358))+('Model Data Inputs'!$C$87*(SUM('School Level Inst. Resources'!J358:K358)/'School Level Inst. Resources'!L358))))*T358*M358)</f>
        <v>37214.799022441992</v>
      </c>
      <c r="AK358" s="123">
        <f>(('Model Data Inputs'!$B$91*(('Model Data Inputs'!$B$87*('School Level Inst. Resources'!I358/'School Level Inst. Resources'!L358))+('Model Data Inputs'!$C$87*(SUM('School Level Inst. Resources'!J358:K358)/'School Level Inst. Resources'!L358))))*T358*N358)</f>
        <v>0</v>
      </c>
      <c r="AL358" s="137">
        <f>(K358*'Model Data Inputs'!$B$94)*T358</f>
        <v>0</v>
      </c>
      <c r="AM358" s="137">
        <f>K358*'Model Data Inputs'!$B$95</f>
        <v>0</v>
      </c>
      <c r="AN358" s="137">
        <f t="shared" si="82"/>
        <v>0</v>
      </c>
      <c r="AO358" s="137">
        <f>('School Level Inst. Resources'!K358*'Model Data Inputs'!$B$96)+('School Level Inst. Resources'!J358*'Model Data Inputs'!$B$97)</f>
        <v>1295.2666666666667</v>
      </c>
      <c r="AP358" s="137">
        <f>$L358*'Model Data Inputs'!$B$100</f>
        <v>2072.4266666666663</v>
      </c>
      <c r="AQ358" s="137">
        <f t="shared" si="83"/>
        <v>873832.69502009091</v>
      </c>
      <c r="AR358" s="141">
        <f t="shared" si="76"/>
        <v>16865.884020409394</v>
      </c>
    </row>
    <row r="359" spans="1:234" s="40" customFormat="1" ht="12.75" customHeight="1" x14ac:dyDescent="0.2">
      <c r="A359" s="20" t="s">
        <v>108</v>
      </c>
      <c r="B359" s="20" t="s">
        <v>109</v>
      </c>
      <c r="C359" s="20" t="s">
        <v>1082</v>
      </c>
      <c r="D359" s="20" t="s">
        <v>1083</v>
      </c>
      <c r="E359" s="138" t="s">
        <v>389</v>
      </c>
      <c r="F359" s="138" t="str">
        <f>IF(AND(SUM('School Level ADM'!$F359:$J359)=0,SUM('School Level ADM'!$O359:$R359)=0,'School Level ADM'!$K359&gt;0,'School Level ADM'!$N359&gt;0),"T","F")</f>
        <v>F</v>
      </c>
      <c r="G359" s="138" t="str">
        <f>IF(AND(SUM('School Level ADM'!$M359:$R359)=0,'School Level ADM'!$L359&gt;0),"T","F")</f>
        <v>F</v>
      </c>
      <c r="H359" s="138" t="str">
        <f t="shared" si="70"/>
        <v>H</v>
      </c>
      <c r="I359" s="139">
        <f>IF($F359="T",SUM('School Level ADM'!$F359:$J359),IF($G359="T",SUM('School Level ADM'!$F359:$L359),SUM('School Level ADM'!$F359:$K359,0)))</f>
        <v>0</v>
      </c>
      <c r="J359" s="139">
        <f>'School Level ADM'!$S359-$I359-$K359</f>
        <v>0</v>
      </c>
      <c r="K359" s="139">
        <f>IF(SUM('School Level ADM'!$N359:$R359)='School Level ADM'!$S359,SUM('School Level ADM'!$N359:$R359),IF(OR(SUM('School Level ADM'!$F359:$O359)='School Level ADM'!$S359,SUM('School Level ADM'!$G359:$O359)='School Level ADM'!$S359,SUM('School Level ADM'!$H359:$O359)='School Level ADM'!$S359,SUM('School Level ADM'!$I359:$O359)='School Level ADM'!$S359,SUM('School Level ADM'!$J359:$O359)='School Level ADM'!$S359,SUM('School Level ADM'!$K359:$O359)='School Level ADM'!$S359,SUM('School Level ADM'!$L359:$O359)='School Level ADM'!$S359,SUM('School Level ADM'!$M359:$O359)='School Level ADM'!$S359,SUM('School Level ADM'!$N359:$O359)='School Level ADM'!$S359),0,SUM('School Level ADM'!$O359:$R359)))</f>
        <v>80.86</v>
      </c>
      <c r="L359" s="139">
        <f t="shared" si="71"/>
        <v>80.86</v>
      </c>
      <c r="M359" s="24">
        <f>'Student At-Risk and ELL Proxy'!S359</f>
        <v>24</v>
      </c>
      <c r="N359" s="24">
        <f>'Student At-Risk and ELL Proxy'!AH359</f>
        <v>0</v>
      </c>
      <c r="O359" s="136" t="str">
        <f t="shared" si="77"/>
        <v/>
      </c>
      <c r="P359" s="136">
        <f t="shared" si="78"/>
        <v>1.9529366358554296</v>
      </c>
      <c r="Q359" s="136" t="str">
        <f t="shared" si="79"/>
        <v/>
      </c>
      <c r="R359" s="136">
        <f t="shared" si="72"/>
        <v>1.9529366358554296</v>
      </c>
      <c r="S359" s="136">
        <f>IF(SUM(3515.4*((VLOOKUP($A359,'District Level ADM'!$A$4:$F$52,6,FALSE))^-0.327)/'Model Data Inputs'!$B$71)&lt;1,1,(3515.4*((VLOOKUP($A359,'District Level ADM'!$A$4:$F$52,6,FALSE))^-0.327)/'Model Data Inputs'!$B$71))</f>
        <v>3.0183923366172825</v>
      </c>
      <c r="T359" s="136">
        <f>VLOOKUP($A359,'Regional Cost Adjustment'!$A$4:$C$52,3,FALSE)</f>
        <v>0.91</v>
      </c>
      <c r="U359" s="123">
        <f>((($I359/$L359)*'Model Data Inputs'!$B$85)+((SUM(J359:K359)/$L359)*'Model Data Inputs'!$C$85))*$R359*$T359</f>
        <v>9566.1445852840534</v>
      </c>
      <c r="V359" s="140">
        <f>((($I359/$L359)*'Model Data Inputs'!$B$86)+((SUM(J359:K359)/$L359)*'Model Data Inputs'!$C$86))*$R359</f>
        <v>2798.7686621281096</v>
      </c>
      <c r="W359" s="140">
        <f t="shared" si="80"/>
        <v>12364.913247412163</v>
      </c>
      <c r="X359" s="140">
        <f t="shared" si="73"/>
        <v>773518.45116606855</v>
      </c>
      <c r="Y359" s="140">
        <f t="shared" si="74"/>
        <v>226308.43401967894</v>
      </c>
      <c r="Z359" s="123">
        <f>IF((SUM(X359:Y359))&lt;(AVERAGE('Elementary Size Adjustment'!$B$66,'Secondary Size Adjustment'!$B$66)),(AVERAGE('Elementary Size Adjustment'!$B$66,'Secondary Size Adjustment'!$B$66)),SUM(X359:Y359))</f>
        <v>999826.88518574752</v>
      </c>
      <c r="AA359" s="137">
        <f>'Model Data Inputs'!$B$71*S359*L359</f>
        <v>46372.768824385959</v>
      </c>
      <c r="AB359" s="137">
        <f>L359*'Model Data Inputs'!$B$72</f>
        <v>2021.5</v>
      </c>
      <c r="AC359" s="137">
        <f>L359*'Model Data Inputs'!$B$73</f>
        <v>20215</v>
      </c>
      <c r="AD359" s="137">
        <f>L359*'Model Data Inputs'!$B$74</f>
        <v>10107.5</v>
      </c>
      <c r="AE359" s="137">
        <f>$I359*'Model Data Inputs'!$B$76</f>
        <v>0</v>
      </c>
      <c r="AF359" s="137">
        <f>VLOOKUP($J359,'Student Activities MS&amp;HS Tables'!$M$7:$O$1267,3)</f>
        <v>0</v>
      </c>
      <c r="AG359" s="137">
        <f>VLOOKUP($K359,'Student Activities MS&amp;HS Tables'!$I$7:$K$3007,3)</f>
        <v>132744.79999999999</v>
      </c>
      <c r="AH359" s="137">
        <f t="shared" si="75"/>
        <v>132744.79999999999</v>
      </c>
      <c r="AI359" s="123">
        <f t="shared" si="81"/>
        <v>1211288.4540101334</v>
      </c>
      <c r="AJ359" s="123">
        <f>(('Model Data Inputs'!$B$90*(('Model Data Inputs'!$B$87*('School Level Inst. Resources'!I359/'School Level Inst. Resources'!L359))+('Model Data Inputs'!$C$87*(SUM('School Level Inst. Resources'!J359:K359)/'School Level Inst. Resources'!L359))))*T359*M359)</f>
        <v>44657.758826930396</v>
      </c>
      <c r="AK359" s="123">
        <f>(('Model Data Inputs'!$B$91*(('Model Data Inputs'!$B$87*('School Level Inst. Resources'!I359/'School Level Inst. Resources'!L359))+('Model Data Inputs'!$C$87*(SUM('School Level Inst. Resources'!J359:K359)/'School Level Inst. Resources'!L359))))*T359*N359)</f>
        <v>0</v>
      </c>
      <c r="AL359" s="137">
        <f>(K359*'Model Data Inputs'!$B$94)*T359</f>
        <v>12145.937990823</v>
      </c>
      <c r="AM359" s="137">
        <f>K359*'Model Data Inputs'!$B$95</f>
        <v>3388.8284494999998</v>
      </c>
      <c r="AN359" s="137">
        <f t="shared" si="82"/>
        <v>15534.766440323001</v>
      </c>
      <c r="AO359" s="137">
        <f>('School Level Inst. Resources'!K359*'Model Data Inputs'!$B$96)+('School Level Inst. Resources'!J359*'Model Data Inputs'!$B$97)</f>
        <v>8086</v>
      </c>
      <c r="AP359" s="137">
        <f>$L359*'Model Data Inputs'!$B$100</f>
        <v>3234.4</v>
      </c>
      <c r="AQ359" s="137">
        <f t="shared" si="83"/>
        <v>1282801.3792773867</v>
      </c>
      <c r="AR359" s="141">
        <f t="shared" si="76"/>
        <v>15864.474143920192</v>
      </c>
    </row>
    <row r="360" spans="1:234" ht="12.75" customHeight="1" x14ac:dyDescent="0.2"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G360" s="10"/>
      <c r="AH360" s="10"/>
      <c r="AI360" s="10"/>
      <c r="AJ360" s="10"/>
      <c r="AK360" s="10"/>
      <c r="AL360" s="10"/>
      <c r="AM360" s="10"/>
      <c r="AN360" s="10"/>
      <c r="AO360" s="10"/>
      <c r="AP360" s="10"/>
      <c r="AQ360" s="10"/>
      <c r="AR360" s="10"/>
    </row>
    <row r="361" spans="1:234" ht="13.5" customHeight="1" thickBot="1" x14ac:dyDescent="0.25">
      <c r="E361" s="143"/>
      <c r="F361" s="144">
        <f>COUNTIF(F$5:F$359,"T")</f>
        <v>2</v>
      </c>
      <c r="G361" s="144">
        <f>COUNTIF(G$5:G$359,"T")</f>
        <v>67</v>
      </c>
      <c r="H361" s="145"/>
      <c r="I361" s="146">
        <f>SUM(I$5:I$359)</f>
        <v>47217.993666666669</v>
      </c>
      <c r="J361" s="146">
        <f t="shared" ref="J361:L361" si="84">SUM(J$5:J$359)</f>
        <v>18682.628333333341</v>
      </c>
      <c r="K361" s="146">
        <f t="shared" si="84"/>
        <v>26468.673000000006</v>
      </c>
      <c r="L361" s="146">
        <f t="shared" si="84"/>
        <v>92369.294999999955</v>
      </c>
      <c r="M361" s="147">
        <f>SUM(M$5:M$359)</f>
        <v>38165.249446300033</v>
      </c>
      <c r="N361" s="147">
        <f>SUM(N$5:N$359)</f>
        <v>3512</v>
      </c>
      <c r="O361" s="148"/>
      <c r="P361" s="148"/>
      <c r="Q361" s="148"/>
      <c r="R361" s="148"/>
      <c r="S361" s="148"/>
      <c r="T361" s="148"/>
      <c r="U361" s="149"/>
      <c r="V361" s="149"/>
      <c r="W361" s="149"/>
      <c r="X361" s="149">
        <f t="shared" ref="X361:AQ361" si="85">SUM(X5:X359)</f>
        <v>621665037.20776284</v>
      </c>
      <c r="Y361" s="149">
        <f t="shared" si="85"/>
        <v>161573570.16103128</v>
      </c>
      <c r="Z361" s="149">
        <f t="shared" si="85"/>
        <v>783450152.35259414</v>
      </c>
      <c r="AA361" s="149">
        <f t="shared" si="85"/>
        <v>24602600.590830758</v>
      </c>
      <c r="AB361" s="149">
        <f t="shared" si="85"/>
        <v>2309232.3750000005</v>
      </c>
      <c r="AC361" s="149">
        <f t="shared" si="85"/>
        <v>23092323.750000004</v>
      </c>
      <c r="AD361" s="149">
        <f t="shared" si="85"/>
        <v>11546161.875000002</v>
      </c>
      <c r="AE361" s="149">
        <f t="shared" si="85"/>
        <v>1123316.0693300001</v>
      </c>
      <c r="AF361" s="149">
        <f t="shared" si="85"/>
        <v>6102522.7600000007</v>
      </c>
      <c r="AG361" s="149">
        <f t="shared" si="85"/>
        <v>22801299.409999985</v>
      </c>
      <c r="AH361" s="149">
        <f t="shared" si="85"/>
        <v>30027138.239330016</v>
      </c>
      <c r="AI361" s="149">
        <f t="shared" si="85"/>
        <v>875027609.18275523</v>
      </c>
      <c r="AJ361" s="149">
        <f t="shared" si="85"/>
        <v>87813143.945538461</v>
      </c>
      <c r="AK361" s="149">
        <f t="shared" si="85"/>
        <v>8613082.7120067291</v>
      </c>
      <c r="AL361" s="149">
        <f t="shared" si="85"/>
        <v>4478186.2132527428</v>
      </c>
      <c r="AM361" s="149"/>
      <c r="AN361" s="149"/>
      <c r="AO361" s="149"/>
      <c r="AP361" s="149">
        <f t="shared" si="85"/>
        <v>3694771.8000000003</v>
      </c>
      <c r="AQ361" s="149">
        <f t="shared" si="85"/>
        <v>983850024.31529832</v>
      </c>
      <c r="AR361" s="149">
        <f>AQ361/L361</f>
        <v>10651.267007237619</v>
      </c>
    </row>
    <row r="362" spans="1:234" ht="13.5" customHeight="1" thickTop="1" x14ac:dyDescent="0.2"/>
    <row r="363" spans="1:234" x14ac:dyDescent="0.2">
      <c r="X363" s="7"/>
      <c r="Y363" s="5"/>
      <c r="Z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150"/>
      <c r="AS363" s="150"/>
      <c r="AT363" s="150"/>
      <c r="AU363" s="150"/>
      <c r="AV363" s="150"/>
      <c r="AW363" s="150"/>
      <c r="AX363" s="150"/>
      <c r="AY363" s="150"/>
      <c r="AZ363" s="150"/>
      <c r="BA363" s="150"/>
      <c r="BB363" s="150"/>
      <c r="BC363" s="150"/>
      <c r="BD363" s="150"/>
      <c r="BE363" s="150"/>
      <c r="BF363" s="150"/>
      <c r="BG363" s="150"/>
      <c r="BH363" s="150"/>
      <c r="BI363" s="150"/>
      <c r="BJ363" s="150"/>
      <c r="BK363" s="150"/>
      <c r="BL363" s="150"/>
      <c r="BM363" s="150"/>
      <c r="BN363" s="150"/>
      <c r="BO363" s="150"/>
      <c r="BP363" s="150"/>
      <c r="BQ363" s="150"/>
      <c r="BR363" s="150"/>
      <c r="BS363" s="150"/>
      <c r="BT363" s="150"/>
      <c r="BU363" s="150"/>
      <c r="BV363" s="150"/>
      <c r="BW363" s="150"/>
      <c r="BX363" s="150"/>
      <c r="BY363" s="150"/>
      <c r="BZ363" s="150"/>
      <c r="CA363" s="150"/>
      <c r="CB363" s="150"/>
      <c r="CC363" s="150"/>
      <c r="CD363" s="150"/>
      <c r="CE363" s="150"/>
      <c r="CF363" s="150"/>
      <c r="CG363" s="150"/>
      <c r="CH363" s="150"/>
      <c r="CI363" s="150"/>
      <c r="CJ363" s="150"/>
      <c r="CK363" s="150"/>
      <c r="CL363" s="150"/>
      <c r="CM363" s="150"/>
      <c r="CN363" s="150"/>
      <c r="CO363" s="150"/>
      <c r="CP363" s="150"/>
      <c r="CQ363" s="150"/>
      <c r="CR363" s="150"/>
      <c r="CS363" s="150"/>
      <c r="CT363" s="150"/>
      <c r="CU363" s="150"/>
      <c r="CV363" s="150"/>
      <c r="CW363" s="150"/>
      <c r="CX363" s="150"/>
      <c r="CY363" s="150"/>
      <c r="CZ363" s="150"/>
      <c r="DA363" s="150"/>
      <c r="DB363" s="150"/>
      <c r="DC363" s="150"/>
      <c r="DD363" s="150"/>
      <c r="DE363" s="150"/>
      <c r="DF363" s="150"/>
      <c r="DG363" s="150"/>
      <c r="DH363" s="150"/>
      <c r="DI363" s="150"/>
      <c r="DJ363" s="150"/>
      <c r="DK363" s="150"/>
      <c r="DL363" s="150"/>
      <c r="DM363" s="150"/>
      <c r="DN363" s="150"/>
      <c r="DO363" s="150"/>
      <c r="DP363" s="150"/>
      <c r="DQ363" s="150"/>
      <c r="DR363" s="150"/>
      <c r="DS363" s="150"/>
      <c r="DT363" s="7"/>
      <c r="DU363" s="7"/>
      <c r="DV363" s="7"/>
      <c r="DW363" s="7"/>
      <c r="DX363" s="7"/>
      <c r="DY363" s="7"/>
      <c r="DZ363" s="7"/>
      <c r="EA363" s="7"/>
      <c r="EB363" s="7"/>
      <c r="EC363" s="7"/>
      <c r="ED363" s="7"/>
      <c r="EE363" s="7"/>
      <c r="EF363" s="7"/>
      <c r="EG363" s="7"/>
      <c r="EH363" s="7"/>
      <c r="EI363" s="7"/>
      <c r="EJ363" s="7"/>
      <c r="EK363" s="7"/>
      <c r="EL363" s="7"/>
      <c r="EM363" s="7"/>
      <c r="EN363" s="7"/>
      <c r="EO363" s="7"/>
      <c r="EP363" s="7"/>
      <c r="EQ363" s="7"/>
      <c r="ER363" s="7"/>
      <c r="ES363" s="7"/>
      <c r="ET363" s="7"/>
      <c r="EU363" s="7"/>
      <c r="EV363" s="7"/>
      <c r="EW363" s="7"/>
      <c r="EX363" s="7"/>
      <c r="EY363" s="7"/>
      <c r="EZ363" s="7"/>
      <c r="FA363" s="7"/>
      <c r="FB363" s="7"/>
      <c r="FC363" s="7"/>
      <c r="FD363" s="7"/>
      <c r="FE363" s="7"/>
      <c r="FF363" s="7"/>
      <c r="FG363" s="7"/>
      <c r="FH363" s="7"/>
      <c r="FI363" s="7"/>
      <c r="FJ363" s="7"/>
      <c r="FK363" s="7"/>
      <c r="FL363" s="7"/>
      <c r="FM363" s="7"/>
      <c r="FN363" s="7"/>
      <c r="FO363" s="7"/>
      <c r="FP363" s="7"/>
      <c r="FQ363" s="7"/>
      <c r="FR363" s="7"/>
      <c r="FS363" s="7"/>
      <c r="FT363" s="7"/>
      <c r="FU363" s="7"/>
      <c r="FV363" s="7"/>
      <c r="FW363" s="7"/>
      <c r="FX363" s="7"/>
      <c r="FY363" s="7"/>
      <c r="FZ363" s="7"/>
      <c r="GA363" s="7"/>
      <c r="GB363" s="7"/>
      <c r="GC363" s="7"/>
      <c r="GD363" s="7"/>
      <c r="GE363" s="7"/>
      <c r="GF363" s="7"/>
      <c r="GG363" s="7"/>
      <c r="GH363" s="7"/>
      <c r="GI363" s="7"/>
      <c r="GJ363" s="7"/>
      <c r="GK363" s="7"/>
      <c r="GL363" s="7"/>
      <c r="GM363" s="7"/>
      <c r="GN363" s="7"/>
      <c r="GO363" s="7"/>
      <c r="GP363" s="7"/>
      <c r="GQ363" s="7"/>
      <c r="GR363" s="7"/>
      <c r="GS363" s="7"/>
      <c r="GT363" s="7"/>
      <c r="GU363" s="7"/>
      <c r="GV363" s="7"/>
      <c r="GW363" s="7"/>
      <c r="GX363" s="7"/>
      <c r="GY363" s="7"/>
      <c r="GZ363" s="7"/>
      <c r="HA363" s="7"/>
      <c r="HB363" s="7"/>
      <c r="HC363" s="7"/>
      <c r="HD363" s="7"/>
      <c r="HE363" s="7"/>
      <c r="HF363" s="7"/>
      <c r="HG363" s="7"/>
      <c r="HH363" s="7"/>
      <c r="HI363" s="7"/>
      <c r="HJ363" s="7"/>
      <c r="HK363" s="7"/>
      <c r="HL363" s="7"/>
      <c r="HM363" s="7"/>
      <c r="HN363" s="7"/>
      <c r="HO363" s="7"/>
      <c r="HP363" s="7"/>
      <c r="HQ363" s="7"/>
      <c r="HR363" s="7"/>
      <c r="HS363" s="7"/>
      <c r="HT363" s="7"/>
      <c r="HU363" s="7"/>
      <c r="HV363" s="7"/>
      <c r="HW363" s="7"/>
      <c r="HX363" s="7"/>
      <c r="HY363" s="7"/>
      <c r="HZ363" s="7"/>
    </row>
    <row r="364" spans="1:234" x14ac:dyDescent="0.2">
      <c r="Z364" s="7"/>
      <c r="AA364" s="10"/>
    </row>
    <row r="367" spans="1:234" x14ac:dyDescent="0.2">
      <c r="Z367" s="151"/>
    </row>
    <row r="368" spans="1:234" x14ac:dyDescent="0.2">
      <c r="Z368" s="40"/>
    </row>
    <row r="369" spans="26:26" x14ac:dyDescent="0.2">
      <c r="Z369" s="40"/>
    </row>
  </sheetData>
  <sheetProtection algorithmName="SHA-512" hashValue="KZ5TOB1UoxIGOrMEaTK3XQd3TuWoVZhs0ypnYPxP5nHe9YH6m8DWcl/33yMddd0t0MatgKQ/XANuloePQoTm0w==" saltValue="KNacMg2kaoj22nXasNaOew==" spinCount="100000" sheet="1" objects="1" scenarios="1"/>
  <mergeCells count="8">
    <mergeCell ref="AQ3:AQ4"/>
    <mergeCell ref="AR3:AR4"/>
    <mergeCell ref="A1:E1"/>
    <mergeCell ref="U3:W3"/>
    <mergeCell ref="X3:Z3"/>
    <mergeCell ref="AA3:AH3"/>
    <mergeCell ref="AI3:AI4"/>
    <mergeCell ref="AJ3:AP3"/>
  </mergeCells>
  <pageMargins left="0.5" right="0.5" top="0.5" bottom="0.5" header="0.25" footer="0.25"/>
  <pageSetup scale="61" fitToWidth="15" fitToHeight="6" orientation="landscape" r:id="rId1"/>
  <headerFooter>
    <oddHeader>&amp;L&amp;"Calibri,Bold"&amp;12School Level Instructional Resources Worksheet</oddHead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3007"/>
  <sheetViews>
    <sheetView showGridLines="0" zoomScale="85" zoomScaleNormal="85" zoomScalePageLayoutView="85" workbookViewId="0">
      <pane ySplit="6" topLeftCell="A7" activePane="bottomLeft" state="frozen"/>
      <selection sqref="A1:M1"/>
      <selection pane="bottomLeft" activeCell="F7" sqref="F7"/>
    </sheetView>
  </sheetViews>
  <sheetFormatPr defaultColWidth="8.85546875" defaultRowHeight="12.75" x14ac:dyDescent="0.2"/>
  <cols>
    <col min="1" max="3" width="11.7109375" customWidth="1"/>
    <col min="4" max="4" width="1.7109375" customWidth="1"/>
    <col min="5" max="7" width="11.7109375" customWidth="1"/>
    <col min="8" max="8" width="1.7109375" customWidth="1"/>
    <col min="9" max="11" width="11.7109375" customWidth="1"/>
    <col min="12" max="12" width="1.7109375" customWidth="1"/>
    <col min="13" max="15" width="11.7109375" customWidth="1"/>
  </cols>
  <sheetData>
    <row r="1" spans="1:15" ht="15.75" x14ac:dyDescent="0.25">
      <c r="A1" s="104" t="s">
        <v>1084</v>
      </c>
      <c r="B1" s="104"/>
      <c r="C1" s="104"/>
      <c r="D1" s="104"/>
      <c r="E1" s="104"/>
      <c r="F1" s="104"/>
      <c r="G1" s="104"/>
      <c r="H1" s="104"/>
    </row>
    <row r="2" spans="1:15" s="125" customFormat="1" ht="15" x14ac:dyDescent="0.25">
      <c r="A2" s="152"/>
      <c r="B2" s="152"/>
      <c r="C2" s="152"/>
      <c r="D2" s="152"/>
      <c r="E2" s="152"/>
      <c r="F2" s="152"/>
      <c r="G2" s="152"/>
      <c r="I2" s="152"/>
      <c r="J2" s="152"/>
      <c r="K2" s="152"/>
      <c r="L2" s="152"/>
      <c r="M2" s="152"/>
      <c r="N2" s="152"/>
      <c r="O2" s="152"/>
    </row>
    <row r="3" spans="1:15" s="125" customFormat="1" ht="15.75" thickBot="1" x14ac:dyDescent="0.3">
      <c r="A3" s="481" t="s">
        <v>1085</v>
      </c>
      <c r="B3" s="481"/>
      <c r="C3" s="481"/>
      <c r="D3" s="481"/>
      <c r="E3" s="481"/>
      <c r="F3" s="481"/>
      <c r="G3" s="481"/>
      <c r="I3" s="481" t="s">
        <v>1086</v>
      </c>
      <c r="J3" s="481"/>
      <c r="K3" s="481"/>
      <c r="L3" s="481"/>
      <c r="M3" s="481"/>
      <c r="N3" s="481"/>
      <c r="O3" s="481"/>
    </row>
    <row r="4" spans="1:15" ht="13.5" thickBot="1" x14ac:dyDescent="0.25"/>
    <row r="5" spans="1:15" x14ac:dyDescent="0.2">
      <c r="A5" s="482" t="s">
        <v>1087</v>
      </c>
      <c r="B5" s="483"/>
      <c r="C5" s="484"/>
      <c r="D5" s="153"/>
      <c r="E5" s="482" t="s">
        <v>1088</v>
      </c>
      <c r="F5" s="483"/>
      <c r="G5" s="484"/>
      <c r="I5" s="482" t="s">
        <v>1087</v>
      </c>
      <c r="J5" s="483"/>
      <c r="K5" s="484"/>
      <c r="L5" s="153"/>
      <c r="M5" s="482" t="s">
        <v>1088</v>
      </c>
      <c r="N5" s="483"/>
      <c r="O5" s="484"/>
    </row>
    <row r="6" spans="1:15" ht="38.25" x14ac:dyDescent="0.2">
      <c r="A6" s="154" t="s">
        <v>1089</v>
      </c>
      <c r="B6" s="155" t="s">
        <v>1090</v>
      </c>
      <c r="C6" s="156" t="s">
        <v>1091</v>
      </c>
      <c r="D6" s="157"/>
      <c r="E6" s="154" t="s">
        <v>1089</v>
      </c>
      <c r="F6" s="155" t="s">
        <v>1090</v>
      </c>
      <c r="G6" s="156" t="s">
        <v>1091</v>
      </c>
      <c r="I6" s="154" t="s">
        <v>1089</v>
      </c>
      <c r="J6" s="155" t="s">
        <v>1090</v>
      </c>
      <c r="K6" s="156" t="s">
        <v>1091</v>
      </c>
      <c r="L6" s="157"/>
      <c r="M6" s="154" t="s">
        <v>1089</v>
      </c>
      <c r="N6" s="155" t="s">
        <v>1090</v>
      </c>
      <c r="O6" s="156" t="s">
        <v>1091</v>
      </c>
    </row>
    <row r="7" spans="1:15" x14ac:dyDescent="0.2">
      <c r="A7" s="158">
        <v>0</v>
      </c>
      <c r="B7" s="159">
        <v>0</v>
      </c>
      <c r="C7" s="160">
        <f>A7*B7</f>
        <v>0</v>
      </c>
      <c r="D7" s="153"/>
      <c r="E7" s="161">
        <v>0</v>
      </c>
      <c r="F7" s="162">
        <v>0</v>
      </c>
      <c r="G7" s="163">
        <f>E7*F7</f>
        <v>0</v>
      </c>
      <c r="I7" s="158">
        <v>0</v>
      </c>
      <c r="J7" s="159">
        <f>ROUND(B7*('Model Data Inputs'!$E$184*'Model Data Inputs'!$E$185*'Model Data Inputs'!$E$186*'Model Data Inputs'!$E$187),2)</f>
        <v>0</v>
      </c>
      <c r="K7" s="160">
        <f>I7*J7</f>
        <v>0</v>
      </c>
      <c r="L7" s="153"/>
      <c r="M7" s="161">
        <v>0</v>
      </c>
      <c r="N7" s="164">
        <f>ROUND(F7*('Model Data Inputs'!$E$184*'Model Data Inputs'!$E$185*'Model Data Inputs'!$E$186*'Model Data Inputs'!$E$187),2)</f>
        <v>0</v>
      </c>
      <c r="O7" s="163">
        <f>M7*N7</f>
        <v>0</v>
      </c>
    </row>
    <row r="8" spans="1:15" x14ac:dyDescent="0.2">
      <c r="A8" s="165">
        <v>1</v>
      </c>
      <c r="B8" s="159">
        <v>2017.2234439721424</v>
      </c>
      <c r="C8" s="160">
        <f t="shared" ref="C8:C71" si="0">A8*B8</f>
        <v>2017.2234439721424</v>
      </c>
      <c r="D8" s="153"/>
      <c r="E8" s="166">
        <v>1</v>
      </c>
      <c r="F8" s="162">
        <v>782.53790172718607</v>
      </c>
      <c r="G8" s="163">
        <f t="shared" ref="G8:G71" si="1">E8*F8</f>
        <v>782.53790172718607</v>
      </c>
      <c r="I8" s="165">
        <v>1</v>
      </c>
      <c r="J8" s="167">
        <f>ROUND(B8*('Model Data Inputs'!$E$184*'Model Data Inputs'!$E$185*'Model Data Inputs'!$E$186*'Model Data Inputs'!$E$187),2)</f>
        <v>2017.22</v>
      </c>
      <c r="K8" s="160">
        <f t="shared" ref="K8:K71" si="2">I8*J8</f>
        <v>2017.22</v>
      </c>
      <c r="L8" s="153"/>
      <c r="M8" s="166">
        <v>1</v>
      </c>
      <c r="N8" s="164">
        <f>ROUND(F8*('Model Data Inputs'!$E$184*'Model Data Inputs'!$E$185*'Model Data Inputs'!$E$186*'Model Data Inputs'!$E$187),2)</f>
        <v>782.54</v>
      </c>
      <c r="O8" s="163">
        <f t="shared" ref="O8:O71" si="3">M8*N8</f>
        <v>782.54</v>
      </c>
    </row>
    <row r="9" spans="1:15" x14ac:dyDescent="0.2">
      <c r="A9" s="165">
        <v>2</v>
      </c>
      <c r="B9" s="159">
        <v>2012.6929063013401</v>
      </c>
      <c r="C9" s="160">
        <f t="shared" si="0"/>
        <v>4025.3858126026803</v>
      </c>
      <c r="D9" s="153"/>
      <c r="E9" s="166">
        <v>2</v>
      </c>
      <c r="F9" s="162">
        <v>780.15936707148057</v>
      </c>
      <c r="G9" s="163">
        <f t="shared" si="1"/>
        <v>1560.3187341429611</v>
      </c>
      <c r="I9" s="165">
        <v>2</v>
      </c>
      <c r="J9" s="167">
        <f>ROUND(B9*('Model Data Inputs'!$E$184*'Model Data Inputs'!$E$185*'Model Data Inputs'!$E$186*'Model Data Inputs'!$E$187),2)</f>
        <v>2012.69</v>
      </c>
      <c r="K9" s="160">
        <f t="shared" si="2"/>
        <v>4025.38</v>
      </c>
      <c r="L9" s="153"/>
      <c r="M9" s="166">
        <v>2</v>
      </c>
      <c r="N9" s="164">
        <f>ROUND(F9*('Model Data Inputs'!$E$184*'Model Data Inputs'!$E$185*'Model Data Inputs'!$E$186*'Model Data Inputs'!$E$187),2)</f>
        <v>780.16</v>
      </c>
      <c r="O9" s="163">
        <f t="shared" si="3"/>
        <v>1560.32</v>
      </c>
    </row>
    <row r="10" spans="1:15" x14ac:dyDescent="0.2">
      <c r="A10" s="165">
        <v>3</v>
      </c>
      <c r="B10" s="159">
        <v>2008.1623686305384</v>
      </c>
      <c r="C10" s="160">
        <f t="shared" si="0"/>
        <v>6024.4871058916151</v>
      </c>
      <c r="D10" s="153"/>
      <c r="E10" s="166">
        <v>3</v>
      </c>
      <c r="F10" s="162">
        <v>777.78083241577474</v>
      </c>
      <c r="G10" s="163">
        <f t="shared" si="1"/>
        <v>2333.342497247324</v>
      </c>
      <c r="I10" s="165">
        <v>3</v>
      </c>
      <c r="J10" s="167">
        <f>ROUND(B10*('Model Data Inputs'!$E$184*'Model Data Inputs'!$E$185*'Model Data Inputs'!$E$186*'Model Data Inputs'!$E$187),2)</f>
        <v>2008.16</v>
      </c>
      <c r="K10" s="160">
        <f t="shared" si="2"/>
        <v>6024.4800000000005</v>
      </c>
      <c r="L10" s="153"/>
      <c r="M10" s="166">
        <v>3</v>
      </c>
      <c r="N10" s="164">
        <f>ROUND(F10*('Model Data Inputs'!$E$184*'Model Data Inputs'!$E$185*'Model Data Inputs'!$E$186*'Model Data Inputs'!$E$187),2)</f>
        <v>777.78</v>
      </c>
      <c r="O10" s="163">
        <f t="shared" si="3"/>
        <v>2333.34</v>
      </c>
    </row>
    <row r="11" spans="1:15" x14ac:dyDescent="0.2">
      <c r="A11" s="165">
        <v>4</v>
      </c>
      <c r="B11" s="159">
        <v>2003.6318309597368</v>
      </c>
      <c r="C11" s="160">
        <f t="shared" si="0"/>
        <v>8014.5273238389473</v>
      </c>
      <c r="D11" s="153"/>
      <c r="E11" s="166">
        <v>4</v>
      </c>
      <c r="F11" s="162">
        <v>775.40229776006902</v>
      </c>
      <c r="G11" s="163">
        <f t="shared" si="1"/>
        <v>3101.6091910402761</v>
      </c>
      <c r="I11" s="165">
        <v>4</v>
      </c>
      <c r="J11" s="167">
        <f>ROUND(B11*('Model Data Inputs'!$E$184*'Model Data Inputs'!$E$185*'Model Data Inputs'!$E$186*'Model Data Inputs'!$E$187),2)</f>
        <v>2003.63</v>
      </c>
      <c r="K11" s="160">
        <f t="shared" si="2"/>
        <v>8014.52</v>
      </c>
      <c r="L11" s="153"/>
      <c r="M11" s="166">
        <v>4</v>
      </c>
      <c r="N11" s="164">
        <f>ROUND(F11*('Model Data Inputs'!$E$184*'Model Data Inputs'!$E$185*'Model Data Inputs'!$E$186*'Model Data Inputs'!$E$187),2)</f>
        <v>775.4</v>
      </c>
      <c r="O11" s="163">
        <f t="shared" si="3"/>
        <v>3101.6</v>
      </c>
    </row>
    <row r="12" spans="1:15" x14ac:dyDescent="0.2">
      <c r="A12" s="165">
        <v>5</v>
      </c>
      <c r="B12" s="159">
        <v>1999.1012932889341</v>
      </c>
      <c r="C12" s="160">
        <f t="shared" si="0"/>
        <v>9995.5064664446709</v>
      </c>
      <c r="D12" s="153"/>
      <c r="E12" s="166">
        <v>5</v>
      </c>
      <c r="F12" s="162">
        <v>773.0237631043633</v>
      </c>
      <c r="G12" s="163">
        <f t="shared" si="1"/>
        <v>3865.1188155218165</v>
      </c>
      <c r="I12" s="165">
        <v>5</v>
      </c>
      <c r="J12" s="167">
        <f>ROUND(B12*('Model Data Inputs'!$E$184*'Model Data Inputs'!$E$185*'Model Data Inputs'!$E$186*'Model Data Inputs'!$E$187),2)</f>
        <v>1999.1</v>
      </c>
      <c r="K12" s="160">
        <f t="shared" si="2"/>
        <v>9995.5</v>
      </c>
      <c r="L12" s="153"/>
      <c r="M12" s="166">
        <v>5</v>
      </c>
      <c r="N12" s="164">
        <f>ROUND(F12*('Model Data Inputs'!$E$184*'Model Data Inputs'!$E$185*'Model Data Inputs'!$E$186*'Model Data Inputs'!$E$187),2)</f>
        <v>773.02</v>
      </c>
      <c r="O12" s="163">
        <f t="shared" si="3"/>
        <v>3865.1</v>
      </c>
    </row>
    <row r="13" spans="1:15" x14ac:dyDescent="0.2">
      <c r="A13" s="165">
        <v>6</v>
      </c>
      <c r="B13" s="159">
        <v>1994.5707556181317</v>
      </c>
      <c r="C13" s="160">
        <f t="shared" si="0"/>
        <v>11967.42453370879</v>
      </c>
      <c r="D13" s="153"/>
      <c r="E13" s="166">
        <v>6</v>
      </c>
      <c r="F13" s="162">
        <v>770.64522844865735</v>
      </c>
      <c r="G13" s="163">
        <f t="shared" si="1"/>
        <v>4623.8713706919443</v>
      </c>
      <c r="I13" s="165">
        <v>6</v>
      </c>
      <c r="J13" s="167">
        <f>ROUND(B13*('Model Data Inputs'!$E$184*'Model Data Inputs'!$E$185*'Model Data Inputs'!$E$186*'Model Data Inputs'!$E$187),2)</f>
        <v>1994.57</v>
      </c>
      <c r="K13" s="160">
        <f t="shared" si="2"/>
        <v>11967.42</v>
      </c>
      <c r="L13" s="153"/>
      <c r="M13" s="166">
        <v>6</v>
      </c>
      <c r="N13" s="164">
        <f>ROUND(F13*('Model Data Inputs'!$E$184*'Model Data Inputs'!$E$185*'Model Data Inputs'!$E$186*'Model Data Inputs'!$E$187),2)</f>
        <v>770.65</v>
      </c>
      <c r="O13" s="163">
        <f t="shared" si="3"/>
        <v>4623.8999999999996</v>
      </c>
    </row>
    <row r="14" spans="1:15" x14ac:dyDescent="0.2">
      <c r="A14" s="165">
        <v>7</v>
      </c>
      <c r="B14" s="159">
        <v>1990.0402179473301</v>
      </c>
      <c r="C14" s="160">
        <f t="shared" si="0"/>
        <v>13930.281525631312</v>
      </c>
      <c r="D14" s="153"/>
      <c r="E14" s="166">
        <v>7</v>
      </c>
      <c r="F14" s="162">
        <v>768.26669379295174</v>
      </c>
      <c r="G14" s="163">
        <f t="shared" si="1"/>
        <v>5377.8668565506623</v>
      </c>
      <c r="I14" s="165">
        <v>7</v>
      </c>
      <c r="J14" s="167">
        <f>ROUND(B14*('Model Data Inputs'!$E$184*'Model Data Inputs'!$E$185*'Model Data Inputs'!$E$186*'Model Data Inputs'!$E$187),2)</f>
        <v>1990.04</v>
      </c>
      <c r="K14" s="160">
        <f t="shared" si="2"/>
        <v>13930.279999999999</v>
      </c>
      <c r="L14" s="153"/>
      <c r="M14" s="166">
        <v>7</v>
      </c>
      <c r="N14" s="164">
        <f>ROUND(F14*('Model Data Inputs'!$E$184*'Model Data Inputs'!$E$185*'Model Data Inputs'!$E$186*'Model Data Inputs'!$E$187),2)</f>
        <v>768.27</v>
      </c>
      <c r="O14" s="163">
        <f t="shared" si="3"/>
        <v>5377.8899999999994</v>
      </c>
    </row>
    <row r="15" spans="1:15" x14ac:dyDescent="0.2">
      <c r="A15" s="165">
        <v>8</v>
      </c>
      <c r="B15" s="159">
        <v>1985.5096802765279</v>
      </c>
      <c r="C15" s="160">
        <f t="shared" si="0"/>
        <v>15884.077442212223</v>
      </c>
      <c r="D15" s="153"/>
      <c r="E15" s="166">
        <v>8</v>
      </c>
      <c r="F15" s="162">
        <v>765.88815913724591</v>
      </c>
      <c r="G15" s="163">
        <f t="shared" si="1"/>
        <v>6127.1052730979673</v>
      </c>
      <c r="I15" s="165">
        <v>8</v>
      </c>
      <c r="J15" s="167">
        <f>ROUND(B15*('Model Data Inputs'!$E$184*'Model Data Inputs'!$E$185*'Model Data Inputs'!$E$186*'Model Data Inputs'!$E$187),2)</f>
        <v>1985.51</v>
      </c>
      <c r="K15" s="160">
        <f t="shared" si="2"/>
        <v>15884.08</v>
      </c>
      <c r="L15" s="153"/>
      <c r="M15" s="166">
        <v>8</v>
      </c>
      <c r="N15" s="164">
        <f>ROUND(F15*('Model Data Inputs'!$E$184*'Model Data Inputs'!$E$185*'Model Data Inputs'!$E$186*'Model Data Inputs'!$E$187),2)</f>
        <v>765.89</v>
      </c>
      <c r="O15" s="163">
        <f t="shared" si="3"/>
        <v>6127.12</v>
      </c>
    </row>
    <row r="16" spans="1:15" x14ac:dyDescent="0.2">
      <c r="A16" s="165">
        <v>9</v>
      </c>
      <c r="B16" s="159">
        <v>1980.9791426057259</v>
      </c>
      <c r="C16" s="160">
        <f t="shared" si="0"/>
        <v>17828.812283451534</v>
      </c>
      <c r="D16" s="153"/>
      <c r="E16" s="166">
        <v>9</v>
      </c>
      <c r="F16" s="162">
        <v>763.5096244815403</v>
      </c>
      <c r="G16" s="163">
        <f t="shared" si="1"/>
        <v>6871.5866203338628</v>
      </c>
      <c r="I16" s="165">
        <v>9</v>
      </c>
      <c r="J16" s="167">
        <f>ROUND(B16*('Model Data Inputs'!$E$184*'Model Data Inputs'!$E$185*'Model Data Inputs'!$E$186*'Model Data Inputs'!$E$187),2)</f>
        <v>1980.98</v>
      </c>
      <c r="K16" s="160">
        <f t="shared" si="2"/>
        <v>17828.82</v>
      </c>
      <c r="L16" s="153"/>
      <c r="M16" s="166">
        <v>9</v>
      </c>
      <c r="N16" s="164">
        <f>ROUND(F16*('Model Data Inputs'!$E$184*'Model Data Inputs'!$E$185*'Model Data Inputs'!$E$186*'Model Data Inputs'!$E$187),2)</f>
        <v>763.51</v>
      </c>
      <c r="O16" s="163">
        <f t="shared" si="3"/>
        <v>6871.59</v>
      </c>
    </row>
    <row r="17" spans="1:15" x14ac:dyDescent="0.2">
      <c r="A17" s="165">
        <v>10</v>
      </c>
      <c r="B17" s="159">
        <v>1976.4486049349239</v>
      </c>
      <c r="C17" s="160">
        <f t="shared" si="0"/>
        <v>19764.486049349238</v>
      </c>
      <c r="D17" s="153"/>
      <c r="E17" s="166">
        <v>10</v>
      </c>
      <c r="F17" s="162">
        <v>761.13108982583458</v>
      </c>
      <c r="G17" s="163">
        <f t="shared" si="1"/>
        <v>7611.3108982583453</v>
      </c>
      <c r="I17" s="165">
        <v>10</v>
      </c>
      <c r="J17" s="167">
        <f>ROUND(B17*('Model Data Inputs'!$E$184*'Model Data Inputs'!$E$185*'Model Data Inputs'!$E$186*'Model Data Inputs'!$E$187),2)</f>
        <v>1976.45</v>
      </c>
      <c r="K17" s="160">
        <f t="shared" si="2"/>
        <v>19764.5</v>
      </c>
      <c r="L17" s="153"/>
      <c r="M17" s="166">
        <v>10</v>
      </c>
      <c r="N17" s="164">
        <f>ROUND(F17*('Model Data Inputs'!$E$184*'Model Data Inputs'!$E$185*'Model Data Inputs'!$E$186*'Model Data Inputs'!$E$187),2)</f>
        <v>761.13</v>
      </c>
      <c r="O17" s="163">
        <f t="shared" si="3"/>
        <v>7611.3</v>
      </c>
    </row>
    <row r="18" spans="1:15" x14ac:dyDescent="0.2">
      <c r="A18" s="168">
        <v>11</v>
      </c>
      <c r="B18" s="159">
        <v>1971.9180672641216</v>
      </c>
      <c r="C18" s="169">
        <f t="shared" si="0"/>
        <v>21691.098739905337</v>
      </c>
      <c r="D18" s="153"/>
      <c r="E18" s="170">
        <v>11</v>
      </c>
      <c r="F18" s="162">
        <v>758.75255517012852</v>
      </c>
      <c r="G18" s="171">
        <f t="shared" si="1"/>
        <v>8346.2781068714139</v>
      </c>
      <c r="I18" s="168">
        <v>11</v>
      </c>
      <c r="J18" s="167">
        <f>ROUND(B18*('Model Data Inputs'!$E$184*'Model Data Inputs'!$E$185*'Model Data Inputs'!$E$186*'Model Data Inputs'!$E$187),2)</f>
        <v>1971.92</v>
      </c>
      <c r="K18" s="169">
        <f t="shared" si="2"/>
        <v>21691.120000000003</v>
      </c>
      <c r="L18" s="153"/>
      <c r="M18" s="170">
        <v>11</v>
      </c>
      <c r="N18" s="164">
        <f>ROUND(F18*('Model Data Inputs'!$E$184*'Model Data Inputs'!$E$185*'Model Data Inputs'!$E$186*'Model Data Inputs'!$E$187),2)</f>
        <v>758.75</v>
      </c>
      <c r="O18" s="171">
        <f t="shared" si="3"/>
        <v>8346.25</v>
      </c>
    </row>
    <row r="19" spans="1:15" x14ac:dyDescent="0.2">
      <c r="A19" s="168">
        <v>12</v>
      </c>
      <c r="B19" s="159">
        <v>1967.3875295933194</v>
      </c>
      <c r="C19" s="169">
        <f t="shared" si="0"/>
        <v>23608.650355119833</v>
      </c>
      <c r="D19" s="153"/>
      <c r="E19" s="170">
        <v>12</v>
      </c>
      <c r="F19" s="162">
        <v>756.37402051442325</v>
      </c>
      <c r="G19" s="171">
        <f t="shared" si="1"/>
        <v>9076.4882461730795</v>
      </c>
      <c r="I19" s="168">
        <v>12</v>
      </c>
      <c r="J19" s="167">
        <f>ROUND(B19*('Model Data Inputs'!$E$184*'Model Data Inputs'!$E$185*'Model Data Inputs'!$E$186*'Model Data Inputs'!$E$187),2)</f>
        <v>1967.39</v>
      </c>
      <c r="K19" s="169">
        <f t="shared" si="2"/>
        <v>23608.68</v>
      </c>
      <c r="L19" s="153"/>
      <c r="M19" s="170">
        <v>12</v>
      </c>
      <c r="N19" s="164">
        <f>ROUND(F19*('Model Data Inputs'!$E$184*'Model Data Inputs'!$E$185*'Model Data Inputs'!$E$186*'Model Data Inputs'!$E$187),2)</f>
        <v>756.37</v>
      </c>
      <c r="O19" s="171">
        <f t="shared" si="3"/>
        <v>9076.44</v>
      </c>
    </row>
    <row r="20" spans="1:15" x14ac:dyDescent="0.2">
      <c r="A20" s="168">
        <v>13</v>
      </c>
      <c r="B20" s="159">
        <v>1962.8569919225176</v>
      </c>
      <c r="C20" s="169">
        <f t="shared" si="0"/>
        <v>25517.140894992728</v>
      </c>
      <c r="D20" s="153"/>
      <c r="E20" s="170">
        <v>13</v>
      </c>
      <c r="F20" s="162">
        <v>753.9954858587173</v>
      </c>
      <c r="G20" s="171">
        <f t="shared" si="1"/>
        <v>9801.9413161633256</v>
      </c>
      <c r="I20" s="168">
        <v>13</v>
      </c>
      <c r="J20" s="167">
        <f>ROUND(B20*('Model Data Inputs'!$E$184*'Model Data Inputs'!$E$185*'Model Data Inputs'!$E$186*'Model Data Inputs'!$E$187),2)</f>
        <v>1962.86</v>
      </c>
      <c r="K20" s="169">
        <f t="shared" si="2"/>
        <v>25517.18</v>
      </c>
      <c r="L20" s="153"/>
      <c r="M20" s="170">
        <v>13</v>
      </c>
      <c r="N20" s="164">
        <f>ROUND(F20*('Model Data Inputs'!$E$184*'Model Data Inputs'!$E$185*'Model Data Inputs'!$E$186*'Model Data Inputs'!$E$187),2)</f>
        <v>754</v>
      </c>
      <c r="O20" s="171">
        <f t="shared" si="3"/>
        <v>9802</v>
      </c>
    </row>
    <row r="21" spans="1:15" x14ac:dyDescent="0.2">
      <c r="A21" s="168">
        <v>14</v>
      </c>
      <c r="B21" s="159">
        <v>1958.3264542517152</v>
      </c>
      <c r="C21" s="169">
        <f t="shared" si="0"/>
        <v>27416.570359524012</v>
      </c>
      <c r="D21" s="153"/>
      <c r="E21" s="170">
        <v>14</v>
      </c>
      <c r="F21" s="162">
        <v>751.61695120301147</v>
      </c>
      <c r="G21" s="171">
        <f t="shared" si="1"/>
        <v>10522.63731684216</v>
      </c>
      <c r="I21" s="168">
        <v>14</v>
      </c>
      <c r="J21" s="167">
        <f>ROUND(B21*('Model Data Inputs'!$E$184*'Model Data Inputs'!$E$185*'Model Data Inputs'!$E$186*'Model Data Inputs'!$E$187),2)</f>
        <v>1958.33</v>
      </c>
      <c r="K21" s="169">
        <f t="shared" si="2"/>
        <v>27416.62</v>
      </c>
      <c r="L21" s="153"/>
      <c r="M21" s="170">
        <v>14</v>
      </c>
      <c r="N21" s="164">
        <f>ROUND(F21*('Model Data Inputs'!$E$184*'Model Data Inputs'!$E$185*'Model Data Inputs'!$E$186*'Model Data Inputs'!$E$187),2)</f>
        <v>751.62</v>
      </c>
      <c r="O21" s="171">
        <f t="shared" si="3"/>
        <v>10522.68</v>
      </c>
    </row>
    <row r="22" spans="1:15" x14ac:dyDescent="0.2">
      <c r="A22" s="168">
        <v>15</v>
      </c>
      <c r="B22" s="159">
        <v>1953.7959165809134</v>
      </c>
      <c r="C22" s="169">
        <f t="shared" si="0"/>
        <v>29306.938748713699</v>
      </c>
      <c r="D22" s="153"/>
      <c r="E22" s="170">
        <v>15</v>
      </c>
      <c r="F22" s="162">
        <v>749.23841654730586</v>
      </c>
      <c r="G22" s="171">
        <f t="shared" si="1"/>
        <v>11238.576248209589</v>
      </c>
      <c r="I22" s="168">
        <v>15</v>
      </c>
      <c r="J22" s="167">
        <f>ROUND(B22*('Model Data Inputs'!$E$184*'Model Data Inputs'!$E$185*'Model Data Inputs'!$E$186*'Model Data Inputs'!$E$187),2)</f>
        <v>1953.8</v>
      </c>
      <c r="K22" s="169">
        <f t="shared" si="2"/>
        <v>29307</v>
      </c>
      <c r="L22" s="153"/>
      <c r="M22" s="170">
        <v>15</v>
      </c>
      <c r="N22" s="164">
        <f>ROUND(F22*('Model Data Inputs'!$E$184*'Model Data Inputs'!$E$185*'Model Data Inputs'!$E$186*'Model Data Inputs'!$E$187),2)</f>
        <v>749.24</v>
      </c>
      <c r="O22" s="171">
        <f t="shared" si="3"/>
        <v>11238.6</v>
      </c>
    </row>
    <row r="23" spans="1:15" x14ac:dyDescent="0.2">
      <c r="A23" s="168">
        <v>16</v>
      </c>
      <c r="B23" s="159">
        <v>1949.2653789101114</v>
      </c>
      <c r="C23" s="169">
        <f t="shared" si="0"/>
        <v>31188.246062561782</v>
      </c>
      <c r="D23" s="153"/>
      <c r="E23" s="170">
        <v>16</v>
      </c>
      <c r="F23" s="162">
        <v>746.85988189160014</v>
      </c>
      <c r="G23" s="171">
        <f t="shared" si="1"/>
        <v>11949.758110265602</v>
      </c>
      <c r="I23" s="168">
        <v>16</v>
      </c>
      <c r="J23" s="167">
        <f>ROUND(B23*('Model Data Inputs'!$E$184*'Model Data Inputs'!$E$185*'Model Data Inputs'!$E$186*'Model Data Inputs'!$E$187),2)</f>
        <v>1949.27</v>
      </c>
      <c r="K23" s="169">
        <f t="shared" si="2"/>
        <v>31188.32</v>
      </c>
      <c r="L23" s="153"/>
      <c r="M23" s="170">
        <v>16</v>
      </c>
      <c r="N23" s="164">
        <f>ROUND(F23*('Model Data Inputs'!$E$184*'Model Data Inputs'!$E$185*'Model Data Inputs'!$E$186*'Model Data Inputs'!$E$187),2)</f>
        <v>746.86</v>
      </c>
      <c r="O23" s="171">
        <f t="shared" si="3"/>
        <v>11949.76</v>
      </c>
    </row>
    <row r="24" spans="1:15" x14ac:dyDescent="0.2">
      <c r="A24" s="168">
        <v>17</v>
      </c>
      <c r="B24" s="159">
        <v>1944.7348412393089</v>
      </c>
      <c r="C24" s="169">
        <f t="shared" si="0"/>
        <v>33060.492301068254</v>
      </c>
      <c r="D24" s="153"/>
      <c r="E24" s="170">
        <v>17</v>
      </c>
      <c r="F24" s="162">
        <v>744.4813472358943</v>
      </c>
      <c r="G24" s="171">
        <f t="shared" si="1"/>
        <v>12656.182903010204</v>
      </c>
      <c r="I24" s="168">
        <v>17</v>
      </c>
      <c r="J24" s="167">
        <f>ROUND(B24*('Model Data Inputs'!$E$184*'Model Data Inputs'!$E$185*'Model Data Inputs'!$E$186*'Model Data Inputs'!$E$187),2)</f>
        <v>1944.73</v>
      </c>
      <c r="K24" s="169">
        <f t="shared" si="2"/>
        <v>33060.410000000003</v>
      </c>
      <c r="L24" s="153"/>
      <c r="M24" s="170">
        <v>17</v>
      </c>
      <c r="N24" s="164">
        <f>ROUND(F24*('Model Data Inputs'!$E$184*'Model Data Inputs'!$E$185*'Model Data Inputs'!$E$186*'Model Data Inputs'!$E$187),2)</f>
        <v>744.48</v>
      </c>
      <c r="O24" s="171">
        <f t="shared" si="3"/>
        <v>12656.16</v>
      </c>
    </row>
    <row r="25" spans="1:15" x14ac:dyDescent="0.2">
      <c r="A25" s="168">
        <v>18</v>
      </c>
      <c r="B25" s="159">
        <v>1940.2043035685069</v>
      </c>
      <c r="C25" s="169">
        <f t="shared" si="0"/>
        <v>34923.677464233122</v>
      </c>
      <c r="D25" s="153"/>
      <c r="E25" s="170">
        <v>18</v>
      </c>
      <c r="F25" s="162">
        <v>742.10281258018858</v>
      </c>
      <c r="G25" s="171">
        <f t="shared" si="1"/>
        <v>13357.850626443395</v>
      </c>
      <c r="I25" s="168">
        <v>18</v>
      </c>
      <c r="J25" s="167">
        <f>ROUND(B25*('Model Data Inputs'!$E$184*'Model Data Inputs'!$E$185*'Model Data Inputs'!$E$186*'Model Data Inputs'!$E$187),2)</f>
        <v>1940.2</v>
      </c>
      <c r="K25" s="169">
        <f t="shared" si="2"/>
        <v>34923.599999999999</v>
      </c>
      <c r="L25" s="153"/>
      <c r="M25" s="170">
        <v>18</v>
      </c>
      <c r="N25" s="164">
        <f>ROUND(F25*('Model Data Inputs'!$E$184*'Model Data Inputs'!$E$185*'Model Data Inputs'!$E$186*'Model Data Inputs'!$E$187),2)</f>
        <v>742.1</v>
      </c>
      <c r="O25" s="171">
        <f t="shared" si="3"/>
        <v>13357.800000000001</v>
      </c>
    </row>
    <row r="26" spans="1:15" x14ac:dyDescent="0.2">
      <c r="A26" s="168">
        <v>19</v>
      </c>
      <c r="B26" s="159">
        <v>1935.6737658977052</v>
      </c>
      <c r="C26" s="169">
        <f t="shared" si="0"/>
        <v>36777.8015520564</v>
      </c>
      <c r="D26" s="153"/>
      <c r="E26" s="170">
        <v>19</v>
      </c>
      <c r="F26" s="162">
        <v>739.72427792448286</v>
      </c>
      <c r="G26" s="171">
        <f t="shared" si="1"/>
        <v>14054.761280565175</v>
      </c>
      <c r="I26" s="168">
        <v>19</v>
      </c>
      <c r="J26" s="167">
        <f>ROUND(B26*('Model Data Inputs'!$E$184*'Model Data Inputs'!$E$185*'Model Data Inputs'!$E$186*'Model Data Inputs'!$E$187),2)</f>
        <v>1935.67</v>
      </c>
      <c r="K26" s="169">
        <f t="shared" si="2"/>
        <v>36777.730000000003</v>
      </c>
      <c r="L26" s="153"/>
      <c r="M26" s="170">
        <v>19</v>
      </c>
      <c r="N26" s="164">
        <f>ROUND(F26*('Model Data Inputs'!$E$184*'Model Data Inputs'!$E$185*'Model Data Inputs'!$E$186*'Model Data Inputs'!$E$187),2)</f>
        <v>739.72</v>
      </c>
      <c r="O26" s="171">
        <f t="shared" si="3"/>
        <v>14054.68</v>
      </c>
    </row>
    <row r="27" spans="1:15" x14ac:dyDescent="0.2">
      <c r="A27" s="168">
        <v>20</v>
      </c>
      <c r="B27" s="159">
        <v>1931.1432282269031</v>
      </c>
      <c r="C27" s="169">
        <f t="shared" si="0"/>
        <v>38622.86456453806</v>
      </c>
      <c r="D27" s="153"/>
      <c r="E27" s="170">
        <v>20</v>
      </c>
      <c r="F27" s="162">
        <v>737.34574326877703</v>
      </c>
      <c r="G27" s="171">
        <f t="shared" si="1"/>
        <v>14746.91486537554</v>
      </c>
      <c r="I27" s="168">
        <v>20</v>
      </c>
      <c r="J27" s="167">
        <f>ROUND(B27*('Model Data Inputs'!$E$184*'Model Data Inputs'!$E$185*'Model Data Inputs'!$E$186*'Model Data Inputs'!$E$187),2)</f>
        <v>1931.14</v>
      </c>
      <c r="K27" s="169">
        <f t="shared" si="2"/>
        <v>38622.800000000003</v>
      </c>
      <c r="L27" s="153"/>
      <c r="M27" s="170">
        <v>20</v>
      </c>
      <c r="N27" s="164">
        <f>ROUND(F27*('Model Data Inputs'!$E$184*'Model Data Inputs'!$E$185*'Model Data Inputs'!$E$186*'Model Data Inputs'!$E$187),2)</f>
        <v>737.35</v>
      </c>
      <c r="O27" s="171">
        <f t="shared" si="3"/>
        <v>14747</v>
      </c>
    </row>
    <row r="28" spans="1:15" x14ac:dyDescent="0.2">
      <c r="A28" s="168">
        <v>21</v>
      </c>
      <c r="B28" s="159">
        <v>1926.6126905561007</v>
      </c>
      <c r="C28" s="169">
        <f t="shared" si="0"/>
        <v>40458.866501678116</v>
      </c>
      <c r="D28" s="153"/>
      <c r="E28" s="170">
        <v>21</v>
      </c>
      <c r="F28" s="162">
        <v>734.96720861307153</v>
      </c>
      <c r="G28" s="171">
        <f t="shared" si="1"/>
        <v>15434.311380874502</v>
      </c>
      <c r="I28" s="168">
        <v>21</v>
      </c>
      <c r="J28" s="167">
        <f>ROUND(B28*('Model Data Inputs'!$E$184*'Model Data Inputs'!$E$185*'Model Data Inputs'!$E$186*'Model Data Inputs'!$E$187),2)</f>
        <v>1926.61</v>
      </c>
      <c r="K28" s="169">
        <f t="shared" si="2"/>
        <v>40458.81</v>
      </c>
      <c r="L28" s="153"/>
      <c r="M28" s="170">
        <v>21</v>
      </c>
      <c r="N28" s="164">
        <f>ROUND(F28*('Model Data Inputs'!$E$184*'Model Data Inputs'!$E$185*'Model Data Inputs'!$E$186*'Model Data Inputs'!$E$187),2)</f>
        <v>734.97</v>
      </c>
      <c r="O28" s="171">
        <f t="shared" si="3"/>
        <v>15434.37</v>
      </c>
    </row>
    <row r="29" spans="1:15" x14ac:dyDescent="0.2">
      <c r="A29" s="168">
        <v>22</v>
      </c>
      <c r="B29" s="159">
        <v>1922.0821528852989</v>
      </c>
      <c r="C29" s="169">
        <f t="shared" si="0"/>
        <v>42285.807363476575</v>
      </c>
      <c r="D29" s="153"/>
      <c r="E29" s="170">
        <v>22</v>
      </c>
      <c r="F29" s="162">
        <v>732.5886739573657</v>
      </c>
      <c r="G29" s="171">
        <f t="shared" si="1"/>
        <v>16116.950827062046</v>
      </c>
      <c r="I29" s="168">
        <v>22</v>
      </c>
      <c r="J29" s="167">
        <f>ROUND(B29*('Model Data Inputs'!$E$184*'Model Data Inputs'!$E$185*'Model Data Inputs'!$E$186*'Model Data Inputs'!$E$187),2)</f>
        <v>1922.08</v>
      </c>
      <c r="K29" s="169">
        <f t="shared" si="2"/>
        <v>42285.759999999995</v>
      </c>
      <c r="L29" s="153"/>
      <c r="M29" s="170">
        <v>22</v>
      </c>
      <c r="N29" s="164">
        <f>ROUND(F29*('Model Data Inputs'!$E$184*'Model Data Inputs'!$E$185*'Model Data Inputs'!$E$186*'Model Data Inputs'!$E$187),2)</f>
        <v>732.59</v>
      </c>
      <c r="O29" s="171">
        <f t="shared" si="3"/>
        <v>16116.980000000001</v>
      </c>
    </row>
    <row r="30" spans="1:15" x14ac:dyDescent="0.2">
      <c r="A30" s="168">
        <v>23</v>
      </c>
      <c r="B30" s="159">
        <v>1917.5516152144971</v>
      </c>
      <c r="C30" s="169">
        <f t="shared" si="0"/>
        <v>44103.687149933437</v>
      </c>
      <c r="D30" s="153"/>
      <c r="E30" s="170">
        <v>23</v>
      </c>
      <c r="F30" s="162">
        <v>730.21013930165986</v>
      </c>
      <c r="G30" s="171">
        <f t="shared" si="1"/>
        <v>16794.833203938178</v>
      </c>
      <c r="I30" s="168">
        <v>23</v>
      </c>
      <c r="J30" s="167">
        <f>ROUND(B30*('Model Data Inputs'!$E$184*'Model Data Inputs'!$E$185*'Model Data Inputs'!$E$186*'Model Data Inputs'!$E$187),2)</f>
        <v>1917.55</v>
      </c>
      <c r="K30" s="169">
        <f t="shared" si="2"/>
        <v>44103.65</v>
      </c>
      <c r="L30" s="153"/>
      <c r="M30" s="170">
        <v>23</v>
      </c>
      <c r="N30" s="164">
        <f>ROUND(F30*('Model Data Inputs'!$E$184*'Model Data Inputs'!$E$185*'Model Data Inputs'!$E$186*'Model Data Inputs'!$E$187),2)</f>
        <v>730.21</v>
      </c>
      <c r="O30" s="171">
        <f t="shared" si="3"/>
        <v>16794.830000000002</v>
      </c>
    </row>
    <row r="31" spans="1:15" x14ac:dyDescent="0.2">
      <c r="A31" s="168">
        <v>24</v>
      </c>
      <c r="B31" s="159">
        <v>1913.0210775436944</v>
      </c>
      <c r="C31" s="169">
        <f t="shared" si="0"/>
        <v>45912.505861048667</v>
      </c>
      <c r="D31" s="153"/>
      <c r="E31" s="170">
        <v>24</v>
      </c>
      <c r="F31" s="162">
        <v>727.83160464595426</v>
      </c>
      <c r="G31" s="171">
        <f t="shared" si="1"/>
        <v>17467.958511502904</v>
      </c>
      <c r="I31" s="168">
        <v>24</v>
      </c>
      <c r="J31" s="167">
        <f>ROUND(B31*('Model Data Inputs'!$E$184*'Model Data Inputs'!$E$185*'Model Data Inputs'!$E$186*'Model Data Inputs'!$E$187),2)</f>
        <v>1913.02</v>
      </c>
      <c r="K31" s="169">
        <f t="shared" si="2"/>
        <v>45912.479999999996</v>
      </c>
      <c r="L31" s="153"/>
      <c r="M31" s="170">
        <v>24</v>
      </c>
      <c r="N31" s="164">
        <f>ROUND(F31*('Model Data Inputs'!$E$184*'Model Data Inputs'!$E$185*'Model Data Inputs'!$E$186*'Model Data Inputs'!$E$187),2)</f>
        <v>727.83</v>
      </c>
      <c r="O31" s="171">
        <f t="shared" si="3"/>
        <v>17467.920000000002</v>
      </c>
    </row>
    <row r="32" spans="1:15" x14ac:dyDescent="0.2">
      <c r="A32" s="168">
        <v>25</v>
      </c>
      <c r="B32" s="159">
        <v>1908.4905398728922</v>
      </c>
      <c r="C32" s="169">
        <f t="shared" si="0"/>
        <v>47712.263496822306</v>
      </c>
      <c r="D32" s="153"/>
      <c r="E32" s="170">
        <v>25</v>
      </c>
      <c r="F32" s="162">
        <v>725.45306999024842</v>
      </c>
      <c r="G32" s="171">
        <f t="shared" si="1"/>
        <v>18136.326749756212</v>
      </c>
      <c r="I32" s="168">
        <v>25</v>
      </c>
      <c r="J32" s="167">
        <f>ROUND(B32*('Model Data Inputs'!$E$184*'Model Data Inputs'!$E$185*'Model Data Inputs'!$E$186*'Model Data Inputs'!$E$187),2)</f>
        <v>1908.49</v>
      </c>
      <c r="K32" s="169">
        <f t="shared" si="2"/>
        <v>47712.25</v>
      </c>
      <c r="L32" s="153"/>
      <c r="M32" s="170">
        <v>25</v>
      </c>
      <c r="N32" s="164">
        <f>ROUND(F32*('Model Data Inputs'!$E$184*'Model Data Inputs'!$E$185*'Model Data Inputs'!$E$186*'Model Data Inputs'!$E$187),2)</f>
        <v>725.45</v>
      </c>
      <c r="O32" s="171">
        <f t="shared" si="3"/>
        <v>18136.25</v>
      </c>
    </row>
    <row r="33" spans="1:15" x14ac:dyDescent="0.2">
      <c r="A33" s="168">
        <v>26</v>
      </c>
      <c r="B33" s="159">
        <v>1903.9600022020904</v>
      </c>
      <c r="C33" s="169">
        <f t="shared" si="0"/>
        <v>49502.96005725435</v>
      </c>
      <c r="D33" s="153"/>
      <c r="E33" s="170">
        <v>26</v>
      </c>
      <c r="F33" s="162">
        <v>723.07453533454304</v>
      </c>
      <c r="G33" s="171">
        <f t="shared" si="1"/>
        <v>18799.93791869812</v>
      </c>
      <c r="I33" s="168">
        <v>26</v>
      </c>
      <c r="J33" s="167">
        <f>ROUND(B33*('Model Data Inputs'!$E$184*'Model Data Inputs'!$E$185*'Model Data Inputs'!$E$186*'Model Data Inputs'!$E$187),2)</f>
        <v>1903.96</v>
      </c>
      <c r="K33" s="169">
        <f t="shared" si="2"/>
        <v>49502.96</v>
      </c>
      <c r="L33" s="153"/>
      <c r="M33" s="170">
        <v>26</v>
      </c>
      <c r="N33" s="164">
        <f>ROUND(F33*('Model Data Inputs'!$E$184*'Model Data Inputs'!$E$185*'Model Data Inputs'!$E$186*'Model Data Inputs'!$E$187),2)</f>
        <v>723.07</v>
      </c>
      <c r="O33" s="171">
        <f t="shared" si="3"/>
        <v>18799.82</v>
      </c>
    </row>
    <row r="34" spans="1:15" x14ac:dyDescent="0.2">
      <c r="A34" s="168">
        <v>27</v>
      </c>
      <c r="B34" s="159">
        <v>1899.4294645312882</v>
      </c>
      <c r="C34" s="169">
        <f t="shared" si="0"/>
        <v>51284.595542344781</v>
      </c>
      <c r="D34" s="153"/>
      <c r="E34" s="170">
        <v>27</v>
      </c>
      <c r="F34" s="162">
        <v>720.69600067883709</v>
      </c>
      <c r="G34" s="171">
        <f t="shared" si="1"/>
        <v>19458.792018328601</v>
      </c>
      <c r="I34" s="168">
        <v>27</v>
      </c>
      <c r="J34" s="167">
        <f>ROUND(B34*('Model Data Inputs'!$E$184*'Model Data Inputs'!$E$185*'Model Data Inputs'!$E$186*'Model Data Inputs'!$E$187),2)</f>
        <v>1899.43</v>
      </c>
      <c r="K34" s="169">
        <f t="shared" si="2"/>
        <v>51284.61</v>
      </c>
      <c r="L34" s="153"/>
      <c r="M34" s="170">
        <v>27</v>
      </c>
      <c r="N34" s="164">
        <f>ROUND(F34*('Model Data Inputs'!$E$184*'Model Data Inputs'!$E$185*'Model Data Inputs'!$E$186*'Model Data Inputs'!$E$187),2)</f>
        <v>720.7</v>
      </c>
      <c r="O34" s="171">
        <f t="shared" si="3"/>
        <v>19458.900000000001</v>
      </c>
    </row>
    <row r="35" spans="1:15" x14ac:dyDescent="0.2">
      <c r="A35" s="168">
        <v>28</v>
      </c>
      <c r="B35" s="159">
        <v>1894.8989268604864</v>
      </c>
      <c r="C35" s="169">
        <f t="shared" si="0"/>
        <v>53057.169952093624</v>
      </c>
      <c r="D35" s="153"/>
      <c r="E35" s="170">
        <v>28</v>
      </c>
      <c r="F35" s="162">
        <v>718.31746602313126</v>
      </c>
      <c r="G35" s="171">
        <f t="shared" si="1"/>
        <v>20112.889048647674</v>
      </c>
      <c r="I35" s="168">
        <v>28</v>
      </c>
      <c r="J35" s="167">
        <f>ROUND(B35*('Model Data Inputs'!$E$184*'Model Data Inputs'!$E$185*'Model Data Inputs'!$E$186*'Model Data Inputs'!$E$187),2)</f>
        <v>1894.9</v>
      </c>
      <c r="K35" s="169">
        <f t="shared" si="2"/>
        <v>53057.200000000004</v>
      </c>
      <c r="L35" s="153"/>
      <c r="M35" s="170">
        <v>28</v>
      </c>
      <c r="N35" s="164">
        <f>ROUND(F35*('Model Data Inputs'!$E$184*'Model Data Inputs'!$E$185*'Model Data Inputs'!$E$186*'Model Data Inputs'!$E$187),2)</f>
        <v>718.32</v>
      </c>
      <c r="O35" s="171">
        <f t="shared" si="3"/>
        <v>20112.960000000003</v>
      </c>
    </row>
    <row r="36" spans="1:15" x14ac:dyDescent="0.2">
      <c r="A36" s="168">
        <v>29</v>
      </c>
      <c r="B36" s="159">
        <v>1890.3683891896842</v>
      </c>
      <c r="C36" s="169">
        <f t="shared" si="0"/>
        <v>54820.68328650084</v>
      </c>
      <c r="D36" s="153"/>
      <c r="E36" s="170">
        <v>29</v>
      </c>
      <c r="F36" s="162">
        <v>715.93893136742565</v>
      </c>
      <c r="G36" s="171">
        <f t="shared" si="1"/>
        <v>20762.229009655344</v>
      </c>
      <c r="I36" s="168">
        <v>29</v>
      </c>
      <c r="J36" s="167">
        <f>ROUND(B36*('Model Data Inputs'!$E$184*'Model Data Inputs'!$E$185*'Model Data Inputs'!$E$186*'Model Data Inputs'!$E$187),2)</f>
        <v>1890.37</v>
      </c>
      <c r="K36" s="169">
        <f t="shared" si="2"/>
        <v>54820.729999999996</v>
      </c>
      <c r="L36" s="153"/>
      <c r="M36" s="170">
        <v>29</v>
      </c>
      <c r="N36" s="164">
        <f>ROUND(F36*('Model Data Inputs'!$E$184*'Model Data Inputs'!$E$185*'Model Data Inputs'!$E$186*'Model Data Inputs'!$E$187),2)</f>
        <v>715.94</v>
      </c>
      <c r="O36" s="171">
        <f t="shared" si="3"/>
        <v>20762.260000000002</v>
      </c>
    </row>
    <row r="37" spans="1:15" x14ac:dyDescent="0.2">
      <c r="A37" s="168">
        <v>30</v>
      </c>
      <c r="B37" s="159">
        <v>1885.837851518882</v>
      </c>
      <c r="C37" s="169">
        <f t="shared" si="0"/>
        <v>56575.13554556646</v>
      </c>
      <c r="D37" s="153"/>
      <c r="E37" s="170">
        <v>30</v>
      </c>
      <c r="F37" s="162">
        <v>713.56039671171993</v>
      </c>
      <c r="G37" s="171">
        <f t="shared" si="1"/>
        <v>21406.811901351597</v>
      </c>
      <c r="I37" s="168">
        <v>30</v>
      </c>
      <c r="J37" s="167">
        <f>ROUND(B37*('Model Data Inputs'!$E$184*'Model Data Inputs'!$E$185*'Model Data Inputs'!$E$186*'Model Data Inputs'!$E$187),2)</f>
        <v>1885.84</v>
      </c>
      <c r="K37" s="169">
        <f t="shared" si="2"/>
        <v>56575.199999999997</v>
      </c>
      <c r="L37" s="153"/>
      <c r="M37" s="170">
        <v>30</v>
      </c>
      <c r="N37" s="164">
        <f>ROUND(F37*('Model Data Inputs'!$E$184*'Model Data Inputs'!$E$185*'Model Data Inputs'!$E$186*'Model Data Inputs'!$E$187),2)</f>
        <v>713.56</v>
      </c>
      <c r="O37" s="171">
        <f t="shared" si="3"/>
        <v>21406.799999999999</v>
      </c>
    </row>
    <row r="38" spans="1:15" x14ac:dyDescent="0.2">
      <c r="A38" s="168">
        <v>31</v>
      </c>
      <c r="B38" s="159">
        <v>1881.3073138480802</v>
      </c>
      <c r="C38" s="169">
        <f t="shared" si="0"/>
        <v>58320.526729290483</v>
      </c>
      <c r="D38" s="153"/>
      <c r="E38" s="170">
        <v>31</v>
      </c>
      <c r="F38" s="162">
        <v>711.1818620560141</v>
      </c>
      <c r="G38" s="171">
        <f t="shared" si="1"/>
        <v>22046.637723736436</v>
      </c>
      <c r="I38" s="168">
        <v>31</v>
      </c>
      <c r="J38" s="167">
        <f>ROUND(B38*('Model Data Inputs'!$E$184*'Model Data Inputs'!$E$185*'Model Data Inputs'!$E$186*'Model Data Inputs'!$E$187),2)</f>
        <v>1881.31</v>
      </c>
      <c r="K38" s="169">
        <f t="shared" si="2"/>
        <v>58320.61</v>
      </c>
      <c r="L38" s="153"/>
      <c r="M38" s="170">
        <v>31</v>
      </c>
      <c r="N38" s="164">
        <f>ROUND(F38*('Model Data Inputs'!$E$184*'Model Data Inputs'!$E$185*'Model Data Inputs'!$E$186*'Model Data Inputs'!$E$187),2)</f>
        <v>711.18</v>
      </c>
      <c r="O38" s="171">
        <f t="shared" si="3"/>
        <v>22046.579999999998</v>
      </c>
    </row>
    <row r="39" spans="1:15" x14ac:dyDescent="0.2">
      <c r="A39" s="168">
        <v>32</v>
      </c>
      <c r="B39" s="159">
        <v>1876.7767761772782</v>
      </c>
      <c r="C39" s="169">
        <f t="shared" si="0"/>
        <v>60056.856837672902</v>
      </c>
      <c r="D39" s="153"/>
      <c r="E39" s="170">
        <v>32</v>
      </c>
      <c r="F39" s="162">
        <v>708.80332740030826</v>
      </c>
      <c r="G39" s="171">
        <f t="shared" si="1"/>
        <v>22681.706476809864</v>
      </c>
      <c r="I39" s="168">
        <v>32</v>
      </c>
      <c r="J39" s="167">
        <f>ROUND(B39*('Model Data Inputs'!$E$184*'Model Data Inputs'!$E$185*'Model Data Inputs'!$E$186*'Model Data Inputs'!$E$187),2)</f>
        <v>1876.78</v>
      </c>
      <c r="K39" s="169">
        <f t="shared" si="2"/>
        <v>60056.959999999999</v>
      </c>
      <c r="L39" s="153"/>
      <c r="M39" s="170">
        <v>32</v>
      </c>
      <c r="N39" s="164">
        <f>ROUND(F39*('Model Data Inputs'!$E$184*'Model Data Inputs'!$E$185*'Model Data Inputs'!$E$186*'Model Data Inputs'!$E$187),2)</f>
        <v>708.8</v>
      </c>
      <c r="O39" s="171">
        <f t="shared" si="3"/>
        <v>22681.599999999999</v>
      </c>
    </row>
    <row r="40" spans="1:15" x14ac:dyDescent="0.2">
      <c r="A40" s="168">
        <v>33</v>
      </c>
      <c r="B40" s="159">
        <v>1872.2462385064757</v>
      </c>
      <c r="C40" s="169">
        <f t="shared" si="0"/>
        <v>61784.125870713702</v>
      </c>
      <c r="D40" s="153"/>
      <c r="E40" s="170">
        <v>33</v>
      </c>
      <c r="F40" s="162">
        <v>706.42479274460266</v>
      </c>
      <c r="G40" s="171">
        <f t="shared" si="1"/>
        <v>23312.018160571886</v>
      </c>
      <c r="I40" s="168">
        <v>33</v>
      </c>
      <c r="J40" s="167">
        <f>ROUND(B40*('Model Data Inputs'!$E$184*'Model Data Inputs'!$E$185*'Model Data Inputs'!$E$186*'Model Data Inputs'!$E$187),2)</f>
        <v>1872.25</v>
      </c>
      <c r="K40" s="169">
        <f t="shared" si="2"/>
        <v>61784.25</v>
      </c>
      <c r="L40" s="153"/>
      <c r="M40" s="170">
        <v>33</v>
      </c>
      <c r="N40" s="164">
        <f>ROUND(F40*('Model Data Inputs'!$E$184*'Model Data Inputs'!$E$185*'Model Data Inputs'!$E$186*'Model Data Inputs'!$E$187),2)</f>
        <v>706.42</v>
      </c>
      <c r="O40" s="171">
        <f t="shared" si="3"/>
        <v>23311.859999999997</v>
      </c>
    </row>
    <row r="41" spans="1:15" x14ac:dyDescent="0.2">
      <c r="A41" s="168">
        <v>34</v>
      </c>
      <c r="B41" s="159">
        <v>1867.7157008356739</v>
      </c>
      <c r="C41" s="169">
        <f t="shared" si="0"/>
        <v>63502.333828412913</v>
      </c>
      <c r="D41" s="153"/>
      <c r="E41" s="170">
        <v>34</v>
      </c>
      <c r="F41" s="162">
        <v>704.04625808889682</v>
      </c>
      <c r="G41" s="171">
        <f t="shared" si="1"/>
        <v>23937.572775022491</v>
      </c>
      <c r="I41" s="168">
        <v>34</v>
      </c>
      <c r="J41" s="167">
        <f>ROUND(B41*('Model Data Inputs'!$E$184*'Model Data Inputs'!$E$185*'Model Data Inputs'!$E$186*'Model Data Inputs'!$E$187),2)</f>
        <v>1867.72</v>
      </c>
      <c r="K41" s="169">
        <f t="shared" si="2"/>
        <v>63502.48</v>
      </c>
      <c r="L41" s="153"/>
      <c r="M41" s="170">
        <v>34</v>
      </c>
      <c r="N41" s="164">
        <f>ROUND(F41*('Model Data Inputs'!$E$184*'Model Data Inputs'!$E$185*'Model Data Inputs'!$E$186*'Model Data Inputs'!$E$187),2)</f>
        <v>704.05</v>
      </c>
      <c r="O41" s="171">
        <f t="shared" si="3"/>
        <v>23937.699999999997</v>
      </c>
    </row>
    <row r="42" spans="1:15" x14ac:dyDescent="0.2">
      <c r="A42" s="168">
        <v>35</v>
      </c>
      <c r="B42" s="159">
        <v>1863.1851631648717</v>
      </c>
      <c r="C42" s="169">
        <f t="shared" si="0"/>
        <v>65211.480710770513</v>
      </c>
      <c r="D42" s="153"/>
      <c r="E42" s="170">
        <v>35</v>
      </c>
      <c r="F42" s="162">
        <v>701.66772343319121</v>
      </c>
      <c r="G42" s="171">
        <f t="shared" si="1"/>
        <v>24558.370320161692</v>
      </c>
      <c r="I42" s="168">
        <v>35</v>
      </c>
      <c r="J42" s="167">
        <f>ROUND(B42*('Model Data Inputs'!$E$184*'Model Data Inputs'!$E$185*'Model Data Inputs'!$E$186*'Model Data Inputs'!$E$187),2)</f>
        <v>1863.19</v>
      </c>
      <c r="K42" s="169">
        <f t="shared" si="2"/>
        <v>65211.65</v>
      </c>
      <c r="L42" s="153"/>
      <c r="M42" s="170">
        <v>35</v>
      </c>
      <c r="N42" s="164">
        <f>ROUND(F42*('Model Data Inputs'!$E$184*'Model Data Inputs'!$E$185*'Model Data Inputs'!$E$186*'Model Data Inputs'!$E$187),2)</f>
        <v>701.67</v>
      </c>
      <c r="O42" s="171">
        <f t="shared" si="3"/>
        <v>24558.449999999997</v>
      </c>
    </row>
    <row r="43" spans="1:15" x14ac:dyDescent="0.2">
      <c r="A43" s="168">
        <v>36</v>
      </c>
      <c r="B43" s="159">
        <v>1858.6546254940699</v>
      </c>
      <c r="C43" s="169">
        <f t="shared" si="0"/>
        <v>66911.566517786516</v>
      </c>
      <c r="D43" s="153"/>
      <c r="E43" s="170">
        <v>36</v>
      </c>
      <c r="F43" s="162">
        <v>699.28918877748561</v>
      </c>
      <c r="G43" s="171">
        <f t="shared" si="1"/>
        <v>25174.410795989483</v>
      </c>
      <c r="I43" s="168">
        <v>36</v>
      </c>
      <c r="J43" s="167">
        <f>ROUND(B43*('Model Data Inputs'!$E$184*'Model Data Inputs'!$E$185*'Model Data Inputs'!$E$186*'Model Data Inputs'!$E$187),2)</f>
        <v>1858.65</v>
      </c>
      <c r="K43" s="169">
        <f t="shared" si="2"/>
        <v>66911.400000000009</v>
      </c>
      <c r="L43" s="153"/>
      <c r="M43" s="170">
        <v>36</v>
      </c>
      <c r="N43" s="164">
        <f>ROUND(F43*('Model Data Inputs'!$E$184*'Model Data Inputs'!$E$185*'Model Data Inputs'!$E$186*'Model Data Inputs'!$E$187),2)</f>
        <v>699.29</v>
      </c>
      <c r="O43" s="171">
        <f t="shared" si="3"/>
        <v>25174.44</v>
      </c>
    </row>
    <row r="44" spans="1:15" x14ac:dyDescent="0.2">
      <c r="A44" s="168">
        <v>37</v>
      </c>
      <c r="B44" s="159">
        <v>1854.1240878232677</v>
      </c>
      <c r="C44" s="169">
        <f t="shared" si="0"/>
        <v>68602.591249460907</v>
      </c>
      <c r="D44" s="153"/>
      <c r="E44" s="170">
        <v>37</v>
      </c>
      <c r="F44" s="162">
        <v>696.91065412177988</v>
      </c>
      <c r="G44" s="171">
        <f t="shared" si="1"/>
        <v>25785.694202505856</v>
      </c>
      <c r="I44" s="168">
        <v>37</v>
      </c>
      <c r="J44" s="167">
        <f>ROUND(B44*('Model Data Inputs'!$E$184*'Model Data Inputs'!$E$185*'Model Data Inputs'!$E$186*'Model Data Inputs'!$E$187),2)</f>
        <v>1854.12</v>
      </c>
      <c r="K44" s="169">
        <f t="shared" si="2"/>
        <v>68602.44</v>
      </c>
      <c r="L44" s="153"/>
      <c r="M44" s="170">
        <v>37</v>
      </c>
      <c r="N44" s="164">
        <f>ROUND(F44*('Model Data Inputs'!$E$184*'Model Data Inputs'!$E$185*'Model Data Inputs'!$E$186*'Model Data Inputs'!$E$187),2)</f>
        <v>696.91</v>
      </c>
      <c r="O44" s="171">
        <f t="shared" si="3"/>
        <v>25785.67</v>
      </c>
    </row>
    <row r="45" spans="1:15" x14ac:dyDescent="0.2">
      <c r="A45" s="168">
        <v>38</v>
      </c>
      <c r="B45" s="159">
        <v>1849.5935501524657</v>
      </c>
      <c r="C45" s="169">
        <f t="shared" si="0"/>
        <v>70284.554905793702</v>
      </c>
      <c r="D45" s="153"/>
      <c r="E45" s="170">
        <v>38</v>
      </c>
      <c r="F45" s="162">
        <v>694.53211946607394</v>
      </c>
      <c r="G45" s="171">
        <f t="shared" si="1"/>
        <v>26392.220539710808</v>
      </c>
      <c r="I45" s="168">
        <v>38</v>
      </c>
      <c r="J45" s="167">
        <f>ROUND(B45*('Model Data Inputs'!$E$184*'Model Data Inputs'!$E$185*'Model Data Inputs'!$E$186*'Model Data Inputs'!$E$187),2)</f>
        <v>1849.59</v>
      </c>
      <c r="K45" s="169">
        <f t="shared" si="2"/>
        <v>70284.42</v>
      </c>
      <c r="L45" s="153"/>
      <c r="M45" s="170">
        <v>38</v>
      </c>
      <c r="N45" s="164">
        <f>ROUND(F45*('Model Data Inputs'!$E$184*'Model Data Inputs'!$E$185*'Model Data Inputs'!$E$186*'Model Data Inputs'!$E$187),2)</f>
        <v>694.53</v>
      </c>
      <c r="O45" s="171">
        <f t="shared" si="3"/>
        <v>26392.14</v>
      </c>
    </row>
    <row r="46" spans="1:15" x14ac:dyDescent="0.2">
      <c r="A46" s="168">
        <v>39</v>
      </c>
      <c r="B46" s="159">
        <v>1845.0630124816632</v>
      </c>
      <c r="C46" s="169">
        <f t="shared" si="0"/>
        <v>71957.457486784871</v>
      </c>
      <c r="D46" s="153"/>
      <c r="E46" s="170">
        <v>39</v>
      </c>
      <c r="F46" s="162">
        <v>692.15358481036844</v>
      </c>
      <c r="G46" s="171">
        <f t="shared" si="1"/>
        <v>26993.989807604368</v>
      </c>
      <c r="I46" s="168">
        <v>39</v>
      </c>
      <c r="J46" s="167">
        <f>ROUND(B46*('Model Data Inputs'!$E$184*'Model Data Inputs'!$E$185*'Model Data Inputs'!$E$186*'Model Data Inputs'!$E$187),2)</f>
        <v>1845.06</v>
      </c>
      <c r="K46" s="169">
        <f t="shared" si="2"/>
        <v>71957.34</v>
      </c>
      <c r="L46" s="153"/>
      <c r="M46" s="170">
        <v>39</v>
      </c>
      <c r="N46" s="164">
        <f>ROUND(F46*('Model Data Inputs'!$E$184*'Model Data Inputs'!$E$185*'Model Data Inputs'!$E$186*'Model Data Inputs'!$E$187),2)</f>
        <v>692.15</v>
      </c>
      <c r="O46" s="171">
        <f t="shared" si="3"/>
        <v>26993.85</v>
      </c>
    </row>
    <row r="47" spans="1:15" x14ac:dyDescent="0.2">
      <c r="A47" s="168">
        <v>40</v>
      </c>
      <c r="B47" s="159">
        <v>1840.5324748108615</v>
      </c>
      <c r="C47" s="169">
        <f t="shared" si="0"/>
        <v>73621.298992434458</v>
      </c>
      <c r="D47" s="153"/>
      <c r="E47" s="170">
        <v>40</v>
      </c>
      <c r="F47" s="162">
        <v>689.77505015466272</v>
      </c>
      <c r="G47" s="171">
        <f t="shared" si="1"/>
        <v>27591.002006186507</v>
      </c>
      <c r="I47" s="168">
        <v>40</v>
      </c>
      <c r="J47" s="167">
        <f>ROUND(B47*('Model Data Inputs'!$E$184*'Model Data Inputs'!$E$185*'Model Data Inputs'!$E$186*'Model Data Inputs'!$E$187),2)</f>
        <v>1840.53</v>
      </c>
      <c r="K47" s="169">
        <f t="shared" si="2"/>
        <v>73621.2</v>
      </c>
      <c r="L47" s="153"/>
      <c r="M47" s="170">
        <v>40</v>
      </c>
      <c r="N47" s="164">
        <f>ROUND(F47*('Model Data Inputs'!$E$184*'Model Data Inputs'!$E$185*'Model Data Inputs'!$E$186*'Model Data Inputs'!$E$187),2)</f>
        <v>689.78</v>
      </c>
      <c r="O47" s="171">
        <f t="shared" si="3"/>
        <v>27591.199999999997</v>
      </c>
    </row>
    <row r="48" spans="1:15" x14ac:dyDescent="0.2">
      <c r="A48" s="168">
        <v>41</v>
      </c>
      <c r="B48" s="159">
        <v>1836.0019371400595</v>
      </c>
      <c r="C48" s="169">
        <f t="shared" si="0"/>
        <v>75276.079422742434</v>
      </c>
      <c r="D48" s="153"/>
      <c r="E48" s="170">
        <v>41</v>
      </c>
      <c r="F48" s="162">
        <v>687.39651549895677</v>
      </c>
      <c r="G48" s="171">
        <f t="shared" si="1"/>
        <v>28183.257135457228</v>
      </c>
      <c r="I48" s="168">
        <v>41</v>
      </c>
      <c r="J48" s="167">
        <f>ROUND(B48*('Model Data Inputs'!$E$184*'Model Data Inputs'!$E$185*'Model Data Inputs'!$E$186*'Model Data Inputs'!$E$187),2)</f>
        <v>1836</v>
      </c>
      <c r="K48" s="169">
        <f t="shared" si="2"/>
        <v>75276</v>
      </c>
      <c r="L48" s="153"/>
      <c r="M48" s="170">
        <v>41</v>
      </c>
      <c r="N48" s="164">
        <f>ROUND(F48*('Model Data Inputs'!$E$184*'Model Data Inputs'!$E$185*'Model Data Inputs'!$E$186*'Model Data Inputs'!$E$187),2)</f>
        <v>687.4</v>
      </c>
      <c r="O48" s="171">
        <f t="shared" si="3"/>
        <v>28183.399999999998</v>
      </c>
    </row>
    <row r="49" spans="1:15" x14ac:dyDescent="0.2">
      <c r="A49" s="168">
        <v>42</v>
      </c>
      <c r="B49" s="159">
        <v>1831.4713994692574</v>
      </c>
      <c r="C49" s="169">
        <f t="shared" si="0"/>
        <v>76921.798777708813</v>
      </c>
      <c r="D49" s="153"/>
      <c r="E49" s="170">
        <v>42</v>
      </c>
      <c r="F49" s="162">
        <v>685.01798084325105</v>
      </c>
      <c r="G49" s="171">
        <f t="shared" si="1"/>
        <v>28770.755195416543</v>
      </c>
      <c r="I49" s="168">
        <v>42</v>
      </c>
      <c r="J49" s="167">
        <f>ROUND(B49*('Model Data Inputs'!$E$184*'Model Data Inputs'!$E$185*'Model Data Inputs'!$E$186*'Model Data Inputs'!$E$187),2)</f>
        <v>1831.47</v>
      </c>
      <c r="K49" s="169">
        <f t="shared" si="2"/>
        <v>76921.740000000005</v>
      </c>
      <c r="L49" s="153"/>
      <c r="M49" s="170">
        <v>42</v>
      </c>
      <c r="N49" s="164">
        <f>ROUND(F49*('Model Data Inputs'!$E$184*'Model Data Inputs'!$E$185*'Model Data Inputs'!$E$186*'Model Data Inputs'!$E$187),2)</f>
        <v>685.02</v>
      </c>
      <c r="O49" s="171">
        <f t="shared" si="3"/>
        <v>28770.84</v>
      </c>
    </row>
    <row r="50" spans="1:15" x14ac:dyDescent="0.2">
      <c r="A50" s="168">
        <v>43</v>
      </c>
      <c r="B50" s="159">
        <v>1826.9408617984552</v>
      </c>
      <c r="C50" s="169">
        <f t="shared" si="0"/>
        <v>78558.45705733358</v>
      </c>
      <c r="D50" s="153"/>
      <c r="E50" s="170">
        <v>43</v>
      </c>
      <c r="F50" s="162">
        <v>682.63944618754545</v>
      </c>
      <c r="G50" s="171">
        <f t="shared" si="1"/>
        <v>29353.496186064454</v>
      </c>
      <c r="I50" s="168">
        <v>43</v>
      </c>
      <c r="J50" s="167">
        <f>ROUND(B50*('Model Data Inputs'!$E$184*'Model Data Inputs'!$E$185*'Model Data Inputs'!$E$186*'Model Data Inputs'!$E$187),2)</f>
        <v>1826.94</v>
      </c>
      <c r="K50" s="169">
        <f t="shared" si="2"/>
        <v>78558.42</v>
      </c>
      <c r="L50" s="153"/>
      <c r="M50" s="170">
        <v>43</v>
      </c>
      <c r="N50" s="164">
        <f>ROUND(F50*('Model Data Inputs'!$E$184*'Model Data Inputs'!$E$185*'Model Data Inputs'!$E$186*'Model Data Inputs'!$E$187),2)</f>
        <v>682.64</v>
      </c>
      <c r="O50" s="171">
        <f t="shared" si="3"/>
        <v>29353.52</v>
      </c>
    </row>
    <row r="51" spans="1:15" x14ac:dyDescent="0.2">
      <c r="A51" s="168">
        <v>44</v>
      </c>
      <c r="B51" s="159">
        <v>1822.4103241276528</v>
      </c>
      <c r="C51" s="169">
        <f t="shared" si="0"/>
        <v>80186.054261616722</v>
      </c>
      <c r="D51" s="153"/>
      <c r="E51" s="170">
        <v>44</v>
      </c>
      <c r="F51" s="162">
        <v>680.26091153183961</v>
      </c>
      <c r="G51" s="171">
        <f t="shared" si="1"/>
        <v>29931.480107400945</v>
      </c>
      <c r="I51" s="168">
        <v>44</v>
      </c>
      <c r="J51" s="167">
        <f>ROUND(B51*('Model Data Inputs'!$E$184*'Model Data Inputs'!$E$185*'Model Data Inputs'!$E$186*'Model Data Inputs'!$E$187),2)</f>
        <v>1822.41</v>
      </c>
      <c r="K51" s="169">
        <f t="shared" si="2"/>
        <v>80186.040000000008</v>
      </c>
      <c r="L51" s="153"/>
      <c r="M51" s="170">
        <v>44</v>
      </c>
      <c r="N51" s="164">
        <f>ROUND(F51*('Model Data Inputs'!$E$184*'Model Data Inputs'!$E$185*'Model Data Inputs'!$E$186*'Model Data Inputs'!$E$187),2)</f>
        <v>680.26</v>
      </c>
      <c r="O51" s="171">
        <f t="shared" si="3"/>
        <v>29931.439999999999</v>
      </c>
    </row>
    <row r="52" spans="1:15" x14ac:dyDescent="0.2">
      <c r="A52" s="168">
        <v>45</v>
      </c>
      <c r="B52" s="159">
        <v>1817.8797864568514</v>
      </c>
      <c r="C52" s="169">
        <f t="shared" si="0"/>
        <v>81804.590390558311</v>
      </c>
      <c r="D52" s="153"/>
      <c r="E52" s="170">
        <v>45</v>
      </c>
      <c r="F52" s="162">
        <v>677.88237687613378</v>
      </c>
      <c r="G52" s="171">
        <f t="shared" si="1"/>
        <v>30504.706959426021</v>
      </c>
      <c r="I52" s="168">
        <v>45</v>
      </c>
      <c r="J52" s="167">
        <f>ROUND(B52*('Model Data Inputs'!$E$184*'Model Data Inputs'!$E$185*'Model Data Inputs'!$E$186*'Model Data Inputs'!$E$187),2)</f>
        <v>1817.88</v>
      </c>
      <c r="K52" s="169">
        <f t="shared" si="2"/>
        <v>81804.600000000006</v>
      </c>
      <c r="L52" s="153"/>
      <c r="M52" s="170">
        <v>45</v>
      </c>
      <c r="N52" s="164">
        <f>ROUND(F52*('Model Data Inputs'!$E$184*'Model Data Inputs'!$E$185*'Model Data Inputs'!$E$186*'Model Data Inputs'!$E$187),2)</f>
        <v>677.88</v>
      </c>
      <c r="O52" s="171">
        <f t="shared" si="3"/>
        <v>30504.6</v>
      </c>
    </row>
    <row r="53" spans="1:15" x14ac:dyDescent="0.2">
      <c r="A53" s="168">
        <v>46</v>
      </c>
      <c r="B53" s="159">
        <v>1813.3492487860487</v>
      </c>
      <c r="C53" s="169">
        <f t="shared" si="0"/>
        <v>83414.065444158245</v>
      </c>
      <c r="D53" s="153"/>
      <c r="E53" s="170">
        <v>46</v>
      </c>
      <c r="F53" s="162">
        <v>675.5038422204284</v>
      </c>
      <c r="G53" s="171">
        <f t="shared" si="1"/>
        <v>31073.176742139705</v>
      </c>
      <c r="I53" s="168">
        <v>46</v>
      </c>
      <c r="J53" s="167">
        <f>ROUND(B53*('Model Data Inputs'!$E$184*'Model Data Inputs'!$E$185*'Model Data Inputs'!$E$186*'Model Data Inputs'!$E$187),2)</f>
        <v>1813.35</v>
      </c>
      <c r="K53" s="169">
        <f t="shared" si="2"/>
        <v>83414.099999999991</v>
      </c>
      <c r="L53" s="153"/>
      <c r="M53" s="170">
        <v>46</v>
      </c>
      <c r="N53" s="164">
        <f>ROUND(F53*('Model Data Inputs'!$E$184*'Model Data Inputs'!$E$185*'Model Data Inputs'!$E$186*'Model Data Inputs'!$E$187),2)</f>
        <v>675.5</v>
      </c>
      <c r="O53" s="171">
        <f t="shared" si="3"/>
        <v>31073</v>
      </c>
    </row>
    <row r="54" spans="1:15" x14ac:dyDescent="0.2">
      <c r="A54" s="168">
        <v>47</v>
      </c>
      <c r="B54" s="159">
        <v>1808.8187111152467</v>
      </c>
      <c r="C54" s="169">
        <f t="shared" si="0"/>
        <v>85014.479422416596</v>
      </c>
      <c r="D54" s="153"/>
      <c r="E54" s="170">
        <v>47</v>
      </c>
      <c r="F54" s="162">
        <v>673.12530756472233</v>
      </c>
      <c r="G54" s="171">
        <f t="shared" si="1"/>
        <v>31636.88945554195</v>
      </c>
      <c r="I54" s="168">
        <v>47</v>
      </c>
      <c r="J54" s="167">
        <f>ROUND(B54*('Model Data Inputs'!$E$184*'Model Data Inputs'!$E$185*'Model Data Inputs'!$E$186*'Model Data Inputs'!$E$187),2)</f>
        <v>1808.82</v>
      </c>
      <c r="K54" s="169">
        <f t="shared" si="2"/>
        <v>85014.54</v>
      </c>
      <c r="L54" s="153"/>
      <c r="M54" s="170">
        <v>47</v>
      </c>
      <c r="N54" s="164">
        <f>ROUND(F54*('Model Data Inputs'!$E$184*'Model Data Inputs'!$E$185*'Model Data Inputs'!$E$186*'Model Data Inputs'!$E$187),2)</f>
        <v>673.13</v>
      </c>
      <c r="O54" s="171">
        <f t="shared" si="3"/>
        <v>31637.11</v>
      </c>
    </row>
    <row r="55" spans="1:15" x14ac:dyDescent="0.2">
      <c r="A55" s="168">
        <v>48</v>
      </c>
      <c r="B55" s="159">
        <v>1804.2881734444452</v>
      </c>
      <c r="C55" s="169">
        <f t="shared" si="0"/>
        <v>86605.832325333366</v>
      </c>
      <c r="D55" s="153"/>
      <c r="E55" s="170">
        <v>48</v>
      </c>
      <c r="F55" s="162">
        <v>670.7467729090165</v>
      </c>
      <c r="G55" s="171">
        <f t="shared" si="1"/>
        <v>32195.845099632792</v>
      </c>
      <c r="I55" s="168">
        <v>48</v>
      </c>
      <c r="J55" s="167">
        <f>ROUND(B55*('Model Data Inputs'!$E$184*'Model Data Inputs'!$E$185*'Model Data Inputs'!$E$186*'Model Data Inputs'!$E$187),2)</f>
        <v>1804.29</v>
      </c>
      <c r="K55" s="169">
        <f t="shared" si="2"/>
        <v>86605.92</v>
      </c>
      <c r="L55" s="153"/>
      <c r="M55" s="170">
        <v>48</v>
      </c>
      <c r="N55" s="164">
        <f>ROUND(F55*('Model Data Inputs'!$E$184*'Model Data Inputs'!$E$185*'Model Data Inputs'!$E$186*'Model Data Inputs'!$E$187),2)</f>
        <v>670.75</v>
      </c>
      <c r="O55" s="171">
        <f t="shared" si="3"/>
        <v>32196</v>
      </c>
    </row>
    <row r="56" spans="1:15" x14ac:dyDescent="0.2">
      <c r="A56" s="168">
        <v>49</v>
      </c>
      <c r="B56" s="159">
        <v>1799.7576357736427</v>
      </c>
      <c r="C56" s="169">
        <f t="shared" si="0"/>
        <v>88188.124152908495</v>
      </c>
      <c r="D56" s="153"/>
      <c r="E56" s="170">
        <v>49</v>
      </c>
      <c r="F56" s="162">
        <v>668.36823825331089</v>
      </c>
      <c r="G56" s="171">
        <f t="shared" si="1"/>
        <v>32750.043674412234</v>
      </c>
      <c r="I56" s="168">
        <v>49</v>
      </c>
      <c r="J56" s="167">
        <f>ROUND(B56*('Model Data Inputs'!$E$184*'Model Data Inputs'!$E$185*'Model Data Inputs'!$E$186*'Model Data Inputs'!$E$187),2)</f>
        <v>1799.76</v>
      </c>
      <c r="K56" s="169">
        <f t="shared" si="2"/>
        <v>88188.24</v>
      </c>
      <c r="L56" s="153"/>
      <c r="M56" s="170">
        <v>49</v>
      </c>
      <c r="N56" s="164">
        <f>ROUND(F56*('Model Data Inputs'!$E$184*'Model Data Inputs'!$E$185*'Model Data Inputs'!$E$186*'Model Data Inputs'!$E$187),2)</f>
        <v>668.37</v>
      </c>
      <c r="O56" s="171">
        <f t="shared" si="3"/>
        <v>32750.13</v>
      </c>
    </row>
    <row r="57" spans="1:15" x14ac:dyDescent="0.2">
      <c r="A57" s="168">
        <v>50</v>
      </c>
      <c r="B57" s="159">
        <v>1795.2270981028403</v>
      </c>
      <c r="C57" s="169">
        <f t="shared" si="0"/>
        <v>89761.354905142012</v>
      </c>
      <c r="D57" s="153"/>
      <c r="E57" s="170">
        <v>50</v>
      </c>
      <c r="F57" s="162">
        <v>665.98970359760517</v>
      </c>
      <c r="G57" s="171">
        <f t="shared" si="1"/>
        <v>33299.485179880256</v>
      </c>
      <c r="I57" s="168">
        <v>50</v>
      </c>
      <c r="J57" s="167">
        <f>ROUND(B57*('Model Data Inputs'!$E$184*'Model Data Inputs'!$E$185*'Model Data Inputs'!$E$186*'Model Data Inputs'!$E$187),2)</f>
        <v>1795.23</v>
      </c>
      <c r="K57" s="169">
        <f t="shared" si="2"/>
        <v>89761.5</v>
      </c>
      <c r="L57" s="153"/>
      <c r="M57" s="170">
        <v>50</v>
      </c>
      <c r="N57" s="164">
        <f>ROUND(F57*('Model Data Inputs'!$E$184*'Model Data Inputs'!$E$185*'Model Data Inputs'!$E$186*'Model Data Inputs'!$E$187),2)</f>
        <v>665.99</v>
      </c>
      <c r="O57" s="171">
        <f t="shared" si="3"/>
        <v>33299.5</v>
      </c>
    </row>
    <row r="58" spans="1:15" x14ac:dyDescent="0.2">
      <c r="A58" s="168">
        <v>51</v>
      </c>
      <c r="B58" s="159">
        <v>1790.6965604320387</v>
      </c>
      <c r="C58" s="169">
        <f t="shared" si="0"/>
        <v>91325.524582033977</v>
      </c>
      <c r="D58" s="153"/>
      <c r="E58" s="170">
        <v>51</v>
      </c>
      <c r="F58" s="162">
        <v>663.61116894189956</v>
      </c>
      <c r="G58" s="171">
        <f t="shared" si="1"/>
        <v>33844.169616036881</v>
      </c>
      <c r="I58" s="168">
        <v>51</v>
      </c>
      <c r="J58" s="167">
        <f>ROUND(B58*('Model Data Inputs'!$E$184*'Model Data Inputs'!$E$185*'Model Data Inputs'!$E$186*'Model Data Inputs'!$E$187),2)</f>
        <v>1790.7</v>
      </c>
      <c r="K58" s="169">
        <f t="shared" si="2"/>
        <v>91325.7</v>
      </c>
      <c r="L58" s="153"/>
      <c r="M58" s="170">
        <v>51</v>
      </c>
      <c r="N58" s="164">
        <f>ROUND(F58*('Model Data Inputs'!$E$184*'Model Data Inputs'!$E$185*'Model Data Inputs'!$E$186*'Model Data Inputs'!$E$187),2)</f>
        <v>663.61</v>
      </c>
      <c r="O58" s="171">
        <f t="shared" si="3"/>
        <v>33844.11</v>
      </c>
    </row>
    <row r="59" spans="1:15" x14ac:dyDescent="0.2">
      <c r="A59" s="168">
        <v>52</v>
      </c>
      <c r="B59" s="159">
        <v>1786.1660227612367</v>
      </c>
      <c r="C59" s="169">
        <f t="shared" si="0"/>
        <v>92880.633183584316</v>
      </c>
      <c r="D59" s="153"/>
      <c r="E59" s="170">
        <v>52</v>
      </c>
      <c r="F59" s="162">
        <v>661.23263428619373</v>
      </c>
      <c r="G59" s="171">
        <f t="shared" si="1"/>
        <v>34384.096982882074</v>
      </c>
      <c r="I59" s="168">
        <v>52</v>
      </c>
      <c r="J59" s="167">
        <f>ROUND(B59*('Model Data Inputs'!$E$184*'Model Data Inputs'!$E$185*'Model Data Inputs'!$E$186*'Model Data Inputs'!$E$187),2)</f>
        <v>1786.17</v>
      </c>
      <c r="K59" s="169">
        <f t="shared" si="2"/>
        <v>92880.84</v>
      </c>
      <c r="L59" s="153"/>
      <c r="M59" s="170">
        <v>52</v>
      </c>
      <c r="N59" s="164">
        <f>ROUND(F59*('Model Data Inputs'!$E$184*'Model Data Inputs'!$E$185*'Model Data Inputs'!$E$186*'Model Data Inputs'!$E$187),2)</f>
        <v>661.23</v>
      </c>
      <c r="O59" s="171">
        <f t="shared" si="3"/>
        <v>34383.96</v>
      </c>
    </row>
    <row r="60" spans="1:15" x14ac:dyDescent="0.2">
      <c r="A60" s="168">
        <v>53</v>
      </c>
      <c r="B60" s="159">
        <v>1781.6354850904345</v>
      </c>
      <c r="C60" s="169">
        <f t="shared" si="0"/>
        <v>94426.680709793029</v>
      </c>
      <c r="D60" s="153"/>
      <c r="E60" s="170">
        <v>53</v>
      </c>
      <c r="F60" s="162">
        <v>658.85409963048789</v>
      </c>
      <c r="G60" s="171">
        <f t="shared" si="1"/>
        <v>34919.267280415857</v>
      </c>
      <c r="I60" s="168">
        <v>53</v>
      </c>
      <c r="J60" s="167">
        <f>ROUND(B60*('Model Data Inputs'!$E$184*'Model Data Inputs'!$E$185*'Model Data Inputs'!$E$186*'Model Data Inputs'!$E$187),2)</f>
        <v>1781.64</v>
      </c>
      <c r="K60" s="169">
        <f t="shared" si="2"/>
        <v>94426.92</v>
      </c>
      <c r="L60" s="153"/>
      <c r="M60" s="170">
        <v>53</v>
      </c>
      <c r="N60" s="164">
        <f>ROUND(F60*('Model Data Inputs'!$E$184*'Model Data Inputs'!$E$185*'Model Data Inputs'!$E$186*'Model Data Inputs'!$E$187),2)</f>
        <v>658.85</v>
      </c>
      <c r="O60" s="171">
        <f t="shared" si="3"/>
        <v>34919.050000000003</v>
      </c>
    </row>
    <row r="61" spans="1:15" x14ac:dyDescent="0.2">
      <c r="A61" s="168">
        <v>54</v>
      </c>
      <c r="B61" s="159">
        <v>1777.104947419632</v>
      </c>
      <c r="C61" s="169">
        <f t="shared" si="0"/>
        <v>95963.66716066013</v>
      </c>
      <c r="D61" s="153"/>
      <c r="E61" s="170">
        <v>54</v>
      </c>
      <c r="F61" s="162">
        <v>656.47556497478229</v>
      </c>
      <c r="G61" s="171">
        <f t="shared" si="1"/>
        <v>35449.680508638245</v>
      </c>
      <c r="I61" s="168">
        <v>54</v>
      </c>
      <c r="J61" s="167">
        <f>ROUND(B61*('Model Data Inputs'!$E$184*'Model Data Inputs'!$E$185*'Model Data Inputs'!$E$186*'Model Data Inputs'!$E$187),2)</f>
        <v>1777.1</v>
      </c>
      <c r="K61" s="169">
        <f t="shared" si="2"/>
        <v>95963.4</v>
      </c>
      <c r="L61" s="153"/>
      <c r="M61" s="170">
        <v>54</v>
      </c>
      <c r="N61" s="164">
        <f>ROUND(F61*('Model Data Inputs'!$E$184*'Model Data Inputs'!$E$185*'Model Data Inputs'!$E$186*'Model Data Inputs'!$E$187),2)</f>
        <v>656.48</v>
      </c>
      <c r="O61" s="171">
        <f t="shared" si="3"/>
        <v>35449.919999999998</v>
      </c>
    </row>
    <row r="62" spans="1:15" x14ac:dyDescent="0.2">
      <c r="A62" s="168">
        <v>55</v>
      </c>
      <c r="B62" s="159">
        <v>1772.5744097488305</v>
      </c>
      <c r="C62" s="169">
        <f t="shared" si="0"/>
        <v>97491.592536185679</v>
      </c>
      <c r="D62" s="153"/>
      <c r="E62" s="170">
        <v>55</v>
      </c>
      <c r="F62" s="162">
        <v>654.09703031907645</v>
      </c>
      <c r="G62" s="171">
        <f t="shared" si="1"/>
        <v>35975.336667549207</v>
      </c>
      <c r="I62" s="168">
        <v>55</v>
      </c>
      <c r="J62" s="167">
        <f>ROUND(B62*('Model Data Inputs'!$E$184*'Model Data Inputs'!$E$185*'Model Data Inputs'!$E$186*'Model Data Inputs'!$E$187),2)</f>
        <v>1772.57</v>
      </c>
      <c r="K62" s="169">
        <f t="shared" si="2"/>
        <v>97491.349999999991</v>
      </c>
      <c r="L62" s="153"/>
      <c r="M62" s="170">
        <v>55</v>
      </c>
      <c r="N62" s="164">
        <f>ROUND(F62*('Model Data Inputs'!$E$184*'Model Data Inputs'!$E$185*'Model Data Inputs'!$E$186*'Model Data Inputs'!$E$187),2)</f>
        <v>654.1</v>
      </c>
      <c r="O62" s="171">
        <f t="shared" si="3"/>
        <v>35975.5</v>
      </c>
    </row>
    <row r="63" spans="1:15" x14ac:dyDescent="0.2">
      <c r="A63" s="168">
        <v>56</v>
      </c>
      <c r="B63" s="159">
        <v>1768.043872078028</v>
      </c>
      <c r="C63" s="169">
        <f t="shared" si="0"/>
        <v>99010.456836369573</v>
      </c>
      <c r="D63" s="153"/>
      <c r="E63" s="170">
        <v>56</v>
      </c>
      <c r="F63" s="162">
        <v>651.71849566337062</v>
      </c>
      <c r="G63" s="171">
        <f t="shared" si="1"/>
        <v>36496.235757148752</v>
      </c>
      <c r="I63" s="168">
        <v>56</v>
      </c>
      <c r="J63" s="167">
        <f>ROUND(B63*('Model Data Inputs'!$E$184*'Model Data Inputs'!$E$185*'Model Data Inputs'!$E$186*'Model Data Inputs'!$E$187),2)</f>
        <v>1768.04</v>
      </c>
      <c r="K63" s="169">
        <f t="shared" si="2"/>
        <v>99010.239999999991</v>
      </c>
      <c r="L63" s="153"/>
      <c r="M63" s="170">
        <v>56</v>
      </c>
      <c r="N63" s="164">
        <f>ROUND(F63*('Model Data Inputs'!$E$184*'Model Data Inputs'!$E$185*'Model Data Inputs'!$E$186*'Model Data Inputs'!$E$187),2)</f>
        <v>651.72</v>
      </c>
      <c r="O63" s="171">
        <f t="shared" si="3"/>
        <v>36496.32</v>
      </c>
    </row>
    <row r="64" spans="1:15" x14ac:dyDescent="0.2">
      <c r="A64" s="168">
        <v>57</v>
      </c>
      <c r="B64" s="159">
        <v>1763.5133344072265</v>
      </c>
      <c r="C64" s="169">
        <f t="shared" si="0"/>
        <v>100520.26006121191</v>
      </c>
      <c r="D64" s="153"/>
      <c r="E64" s="170">
        <v>57</v>
      </c>
      <c r="F64" s="162">
        <v>649.33996100766512</v>
      </c>
      <c r="G64" s="171">
        <f t="shared" si="1"/>
        <v>37012.377777436915</v>
      </c>
      <c r="I64" s="168">
        <v>57</v>
      </c>
      <c r="J64" s="167">
        <f>ROUND(B64*('Model Data Inputs'!$E$184*'Model Data Inputs'!$E$185*'Model Data Inputs'!$E$186*'Model Data Inputs'!$E$187),2)</f>
        <v>1763.51</v>
      </c>
      <c r="K64" s="169">
        <f t="shared" si="2"/>
        <v>100520.06999999999</v>
      </c>
      <c r="L64" s="153"/>
      <c r="M64" s="170">
        <v>57</v>
      </c>
      <c r="N64" s="164">
        <f>ROUND(F64*('Model Data Inputs'!$E$184*'Model Data Inputs'!$E$185*'Model Data Inputs'!$E$186*'Model Data Inputs'!$E$187),2)</f>
        <v>649.34</v>
      </c>
      <c r="O64" s="171">
        <f t="shared" si="3"/>
        <v>37012.380000000005</v>
      </c>
    </row>
    <row r="65" spans="1:15" x14ac:dyDescent="0.2">
      <c r="A65" s="168">
        <v>58</v>
      </c>
      <c r="B65" s="159">
        <v>1758.982796736424</v>
      </c>
      <c r="C65" s="169">
        <f t="shared" si="0"/>
        <v>102021.0022107126</v>
      </c>
      <c r="D65" s="153"/>
      <c r="E65" s="170">
        <v>58</v>
      </c>
      <c r="F65" s="162">
        <v>646.96142635195929</v>
      </c>
      <c r="G65" s="171">
        <f t="shared" si="1"/>
        <v>37523.76272841364</v>
      </c>
      <c r="I65" s="168">
        <v>58</v>
      </c>
      <c r="J65" s="167">
        <f>ROUND(B65*('Model Data Inputs'!$E$184*'Model Data Inputs'!$E$185*'Model Data Inputs'!$E$186*'Model Data Inputs'!$E$187),2)</f>
        <v>1758.98</v>
      </c>
      <c r="K65" s="169">
        <f t="shared" si="2"/>
        <v>102020.84</v>
      </c>
      <c r="L65" s="153"/>
      <c r="M65" s="170">
        <v>58</v>
      </c>
      <c r="N65" s="164">
        <f>ROUND(F65*('Model Data Inputs'!$E$184*'Model Data Inputs'!$E$185*'Model Data Inputs'!$E$186*'Model Data Inputs'!$E$187),2)</f>
        <v>646.96</v>
      </c>
      <c r="O65" s="171">
        <f t="shared" si="3"/>
        <v>37523.68</v>
      </c>
    </row>
    <row r="66" spans="1:15" x14ac:dyDescent="0.2">
      <c r="A66" s="168">
        <v>59</v>
      </c>
      <c r="B66" s="159">
        <v>1754.4522590656218</v>
      </c>
      <c r="C66" s="169">
        <f t="shared" si="0"/>
        <v>103512.68328487169</v>
      </c>
      <c r="D66" s="153"/>
      <c r="E66" s="170">
        <v>59</v>
      </c>
      <c r="F66" s="162">
        <v>644.58289169625345</v>
      </c>
      <c r="G66" s="171">
        <f t="shared" si="1"/>
        <v>38030.390610078954</v>
      </c>
      <c r="I66" s="168">
        <v>59</v>
      </c>
      <c r="J66" s="167">
        <f>ROUND(B66*('Model Data Inputs'!$E$184*'Model Data Inputs'!$E$185*'Model Data Inputs'!$E$186*'Model Data Inputs'!$E$187),2)</f>
        <v>1754.45</v>
      </c>
      <c r="K66" s="169">
        <f t="shared" si="2"/>
        <v>103512.55</v>
      </c>
      <c r="L66" s="153"/>
      <c r="M66" s="170">
        <v>59</v>
      </c>
      <c r="N66" s="164">
        <f>ROUND(F66*('Model Data Inputs'!$E$184*'Model Data Inputs'!$E$185*'Model Data Inputs'!$E$186*'Model Data Inputs'!$E$187),2)</f>
        <v>644.58000000000004</v>
      </c>
      <c r="O66" s="171">
        <f t="shared" si="3"/>
        <v>38030.22</v>
      </c>
    </row>
    <row r="67" spans="1:15" x14ac:dyDescent="0.2">
      <c r="A67" s="168">
        <v>60</v>
      </c>
      <c r="B67" s="159">
        <v>1749.92172139482</v>
      </c>
      <c r="C67" s="169">
        <f t="shared" si="0"/>
        <v>104995.30328368919</v>
      </c>
      <c r="D67" s="153"/>
      <c r="E67" s="170">
        <v>60</v>
      </c>
      <c r="F67" s="162">
        <v>642.20435704054796</v>
      </c>
      <c r="G67" s="171">
        <f t="shared" si="1"/>
        <v>38532.261422432879</v>
      </c>
      <c r="I67" s="168">
        <v>60</v>
      </c>
      <c r="J67" s="167">
        <f>ROUND(B67*('Model Data Inputs'!$E$184*'Model Data Inputs'!$E$185*'Model Data Inputs'!$E$186*'Model Data Inputs'!$E$187),2)</f>
        <v>1749.92</v>
      </c>
      <c r="K67" s="169">
        <f t="shared" si="2"/>
        <v>104995.20000000001</v>
      </c>
      <c r="L67" s="153"/>
      <c r="M67" s="170">
        <v>60</v>
      </c>
      <c r="N67" s="164">
        <f>ROUND(F67*('Model Data Inputs'!$E$184*'Model Data Inputs'!$E$185*'Model Data Inputs'!$E$186*'Model Data Inputs'!$E$187),2)</f>
        <v>642.20000000000005</v>
      </c>
      <c r="O67" s="171">
        <f t="shared" si="3"/>
        <v>38532</v>
      </c>
    </row>
    <row r="68" spans="1:15" x14ac:dyDescent="0.2">
      <c r="A68" s="168">
        <v>61</v>
      </c>
      <c r="B68" s="159">
        <v>1745.391183724018</v>
      </c>
      <c r="C68" s="169">
        <f t="shared" si="0"/>
        <v>106468.8622071651</v>
      </c>
      <c r="D68" s="153"/>
      <c r="E68" s="170">
        <v>61</v>
      </c>
      <c r="F68" s="162">
        <v>639.82582238484213</v>
      </c>
      <c r="G68" s="171">
        <f t="shared" si="1"/>
        <v>39029.375165475372</v>
      </c>
      <c r="I68" s="168">
        <v>61</v>
      </c>
      <c r="J68" s="167">
        <f>ROUND(B68*('Model Data Inputs'!$E$184*'Model Data Inputs'!$E$185*'Model Data Inputs'!$E$186*'Model Data Inputs'!$E$187),2)</f>
        <v>1745.39</v>
      </c>
      <c r="K68" s="169">
        <f t="shared" si="2"/>
        <v>106468.79000000001</v>
      </c>
      <c r="L68" s="153"/>
      <c r="M68" s="170">
        <v>61</v>
      </c>
      <c r="N68" s="164">
        <f>ROUND(F68*('Model Data Inputs'!$E$184*'Model Data Inputs'!$E$185*'Model Data Inputs'!$E$186*'Model Data Inputs'!$E$187),2)</f>
        <v>639.83000000000004</v>
      </c>
      <c r="O68" s="171">
        <f t="shared" si="3"/>
        <v>39029.630000000005</v>
      </c>
    </row>
    <row r="69" spans="1:15" x14ac:dyDescent="0.2">
      <c r="A69" s="168">
        <v>62</v>
      </c>
      <c r="B69" s="159">
        <v>1740.860646053216</v>
      </c>
      <c r="C69" s="169">
        <f t="shared" si="0"/>
        <v>107933.36005529939</v>
      </c>
      <c r="D69" s="153"/>
      <c r="E69" s="170">
        <v>62</v>
      </c>
      <c r="F69" s="162">
        <v>637.44728772913641</v>
      </c>
      <c r="G69" s="171">
        <f t="shared" si="1"/>
        <v>39521.731839206455</v>
      </c>
      <c r="I69" s="168">
        <v>62</v>
      </c>
      <c r="J69" s="167">
        <f>ROUND(B69*('Model Data Inputs'!$E$184*'Model Data Inputs'!$E$185*'Model Data Inputs'!$E$186*'Model Data Inputs'!$E$187),2)</f>
        <v>1740.86</v>
      </c>
      <c r="K69" s="169">
        <f t="shared" si="2"/>
        <v>107933.31999999999</v>
      </c>
      <c r="L69" s="153"/>
      <c r="M69" s="170">
        <v>62</v>
      </c>
      <c r="N69" s="164">
        <f>ROUND(F69*('Model Data Inputs'!$E$184*'Model Data Inputs'!$E$185*'Model Data Inputs'!$E$186*'Model Data Inputs'!$E$187),2)</f>
        <v>637.45000000000005</v>
      </c>
      <c r="O69" s="171">
        <f t="shared" si="3"/>
        <v>39521.9</v>
      </c>
    </row>
    <row r="70" spans="1:15" x14ac:dyDescent="0.2">
      <c r="A70" s="168">
        <v>63</v>
      </c>
      <c r="B70" s="159">
        <v>1736.3301083824133</v>
      </c>
      <c r="C70" s="169">
        <f t="shared" si="0"/>
        <v>109388.79682809203</v>
      </c>
      <c r="D70" s="153"/>
      <c r="E70" s="170">
        <v>63</v>
      </c>
      <c r="F70" s="162">
        <v>635.06875307343091</v>
      </c>
      <c r="G70" s="171">
        <f t="shared" si="1"/>
        <v>40009.33144362615</v>
      </c>
      <c r="I70" s="168">
        <v>63</v>
      </c>
      <c r="J70" s="167">
        <f>ROUND(B70*('Model Data Inputs'!$E$184*'Model Data Inputs'!$E$185*'Model Data Inputs'!$E$186*'Model Data Inputs'!$E$187),2)</f>
        <v>1736.33</v>
      </c>
      <c r="K70" s="169">
        <f t="shared" si="2"/>
        <v>109388.79</v>
      </c>
      <c r="L70" s="153"/>
      <c r="M70" s="170">
        <v>63</v>
      </c>
      <c r="N70" s="164">
        <f>ROUND(F70*('Model Data Inputs'!$E$184*'Model Data Inputs'!$E$185*'Model Data Inputs'!$E$186*'Model Data Inputs'!$E$187),2)</f>
        <v>635.07000000000005</v>
      </c>
      <c r="O70" s="171">
        <f t="shared" si="3"/>
        <v>40009.410000000003</v>
      </c>
    </row>
    <row r="71" spans="1:15" x14ac:dyDescent="0.2">
      <c r="A71" s="168">
        <v>64</v>
      </c>
      <c r="B71" s="159">
        <v>1731.7995707116118</v>
      </c>
      <c r="C71" s="169">
        <f t="shared" si="0"/>
        <v>110835.17252554315</v>
      </c>
      <c r="D71" s="153"/>
      <c r="E71" s="170">
        <v>64</v>
      </c>
      <c r="F71" s="162">
        <v>632.69021841772496</v>
      </c>
      <c r="G71" s="171">
        <f t="shared" si="1"/>
        <v>40492.173978734398</v>
      </c>
      <c r="I71" s="168">
        <v>64</v>
      </c>
      <c r="J71" s="167">
        <f>ROUND(B71*('Model Data Inputs'!$E$184*'Model Data Inputs'!$E$185*'Model Data Inputs'!$E$186*'Model Data Inputs'!$E$187),2)</f>
        <v>1731.8</v>
      </c>
      <c r="K71" s="169">
        <f t="shared" si="2"/>
        <v>110835.2</v>
      </c>
      <c r="L71" s="153"/>
      <c r="M71" s="170">
        <v>64</v>
      </c>
      <c r="N71" s="164">
        <f>ROUND(F71*('Model Data Inputs'!$E$184*'Model Data Inputs'!$E$185*'Model Data Inputs'!$E$186*'Model Data Inputs'!$E$187),2)</f>
        <v>632.69000000000005</v>
      </c>
      <c r="O71" s="171">
        <f t="shared" si="3"/>
        <v>40492.160000000003</v>
      </c>
    </row>
    <row r="72" spans="1:15" x14ac:dyDescent="0.2">
      <c r="A72" s="168">
        <v>65</v>
      </c>
      <c r="B72" s="159">
        <v>1727.2690330408095</v>
      </c>
      <c r="C72" s="169">
        <f t="shared" ref="C72:C135" si="4">A72*B72</f>
        <v>112272.48714765262</v>
      </c>
      <c r="D72" s="153"/>
      <c r="E72" s="170">
        <v>65</v>
      </c>
      <c r="F72" s="162">
        <v>630.31168376201913</v>
      </c>
      <c r="G72" s="171">
        <f t="shared" ref="G72:G135" si="5">E72*F72</f>
        <v>40970.259444531242</v>
      </c>
      <c r="I72" s="168">
        <v>65</v>
      </c>
      <c r="J72" s="167">
        <f>ROUND(B72*('Model Data Inputs'!$E$184*'Model Data Inputs'!$E$185*'Model Data Inputs'!$E$186*'Model Data Inputs'!$E$187),2)</f>
        <v>1727.27</v>
      </c>
      <c r="K72" s="169">
        <f t="shared" ref="K72:K135" si="6">I72*J72</f>
        <v>112272.55</v>
      </c>
      <c r="L72" s="153"/>
      <c r="M72" s="170">
        <v>65</v>
      </c>
      <c r="N72" s="164">
        <f>ROUND(F72*('Model Data Inputs'!$E$184*'Model Data Inputs'!$E$185*'Model Data Inputs'!$E$186*'Model Data Inputs'!$E$187),2)</f>
        <v>630.30999999999995</v>
      </c>
      <c r="O72" s="171">
        <f t="shared" ref="O72:O135" si="7">M72*N72</f>
        <v>40970.149999999994</v>
      </c>
    </row>
    <row r="73" spans="1:15" x14ac:dyDescent="0.2">
      <c r="A73" s="168">
        <v>66</v>
      </c>
      <c r="B73" s="159">
        <v>1722.7384953700077</v>
      </c>
      <c r="C73" s="169">
        <f t="shared" si="4"/>
        <v>113700.74069442051</v>
      </c>
      <c r="D73" s="153"/>
      <c r="E73" s="170">
        <v>66</v>
      </c>
      <c r="F73" s="162">
        <v>627.93314910631341</v>
      </c>
      <c r="G73" s="171">
        <f t="shared" si="5"/>
        <v>41443.587841016684</v>
      </c>
      <c r="I73" s="168">
        <v>66</v>
      </c>
      <c r="J73" s="167">
        <f>ROUND(B73*('Model Data Inputs'!$E$184*'Model Data Inputs'!$E$185*'Model Data Inputs'!$E$186*'Model Data Inputs'!$E$187),2)</f>
        <v>1722.74</v>
      </c>
      <c r="K73" s="169">
        <f t="shared" si="6"/>
        <v>113700.84</v>
      </c>
      <c r="L73" s="153"/>
      <c r="M73" s="170">
        <v>66</v>
      </c>
      <c r="N73" s="164">
        <f>ROUND(F73*('Model Data Inputs'!$E$184*'Model Data Inputs'!$E$185*'Model Data Inputs'!$E$186*'Model Data Inputs'!$E$187),2)</f>
        <v>627.92999999999995</v>
      </c>
      <c r="O73" s="171">
        <f t="shared" si="7"/>
        <v>41443.379999999997</v>
      </c>
    </row>
    <row r="74" spans="1:15" x14ac:dyDescent="0.2">
      <c r="A74" s="168">
        <v>67</v>
      </c>
      <c r="B74" s="159">
        <v>1718.2079576992055</v>
      </c>
      <c r="C74" s="169">
        <f t="shared" si="4"/>
        <v>115119.93316584677</v>
      </c>
      <c r="D74" s="153"/>
      <c r="E74" s="170">
        <v>67</v>
      </c>
      <c r="F74" s="162">
        <v>625.55461445060769</v>
      </c>
      <c r="G74" s="171">
        <f t="shared" si="5"/>
        <v>41912.159168190716</v>
      </c>
      <c r="I74" s="168">
        <v>67</v>
      </c>
      <c r="J74" s="167">
        <f>ROUND(B74*('Model Data Inputs'!$E$184*'Model Data Inputs'!$E$185*'Model Data Inputs'!$E$186*'Model Data Inputs'!$E$187),2)</f>
        <v>1718.21</v>
      </c>
      <c r="K74" s="169">
        <f t="shared" si="6"/>
        <v>115120.07</v>
      </c>
      <c r="L74" s="153"/>
      <c r="M74" s="170">
        <v>67</v>
      </c>
      <c r="N74" s="164">
        <f>ROUND(F74*('Model Data Inputs'!$E$184*'Model Data Inputs'!$E$185*'Model Data Inputs'!$E$186*'Model Data Inputs'!$E$187),2)</f>
        <v>625.54999999999995</v>
      </c>
      <c r="O74" s="171">
        <f t="shared" si="7"/>
        <v>41911.85</v>
      </c>
    </row>
    <row r="75" spans="1:15" x14ac:dyDescent="0.2">
      <c r="A75" s="168">
        <v>68</v>
      </c>
      <c r="B75" s="159">
        <v>1713.6774200284033</v>
      </c>
      <c r="C75" s="169">
        <f t="shared" si="4"/>
        <v>116530.06456193142</v>
      </c>
      <c r="D75" s="153"/>
      <c r="E75" s="170">
        <v>68</v>
      </c>
      <c r="F75" s="162">
        <v>623.17607979490208</v>
      </c>
      <c r="G75" s="171">
        <f t="shared" si="5"/>
        <v>42375.973426053344</v>
      </c>
      <c r="I75" s="168">
        <v>68</v>
      </c>
      <c r="J75" s="167">
        <f>ROUND(B75*('Model Data Inputs'!$E$184*'Model Data Inputs'!$E$185*'Model Data Inputs'!$E$186*'Model Data Inputs'!$E$187),2)</f>
        <v>1713.68</v>
      </c>
      <c r="K75" s="169">
        <f t="shared" si="6"/>
        <v>116530.24000000001</v>
      </c>
      <c r="L75" s="153"/>
      <c r="M75" s="170">
        <v>68</v>
      </c>
      <c r="N75" s="164">
        <f>ROUND(F75*('Model Data Inputs'!$E$184*'Model Data Inputs'!$E$185*'Model Data Inputs'!$E$186*'Model Data Inputs'!$E$187),2)</f>
        <v>623.17999999999995</v>
      </c>
      <c r="O75" s="171">
        <f t="shared" si="7"/>
        <v>42376.24</v>
      </c>
    </row>
    <row r="76" spans="1:15" x14ac:dyDescent="0.2">
      <c r="A76" s="168">
        <v>69</v>
      </c>
      <c r="B76" s="159">
        <v>1709.146882357601</v>
      </c>
      <c r="C76" s="169">
        <f t="shared" si="4"/>
        <v>117931.13488267447</v>
      </c>
      <c r="D76" s="153"/>
      <c r="E76" s="170">
        <v>69</v>
      </c>
      <c r="F76" s="162">
        <v>620.79754513919625</v>
      </c>
      <c r="G76" s="171">
        <f t="shared" si="5"/>
        <v>42835.03061460454</v>
      </c>
      <c r="I76" s="168">
        <v>69</v>
      </c>
      <c r="J76" s="167">
        <f>ROUND(B76*('Model Data Inputs'!$E$184*'Model Data Inputs'!$E$185*'Model Data Inputs'!$E$186*'Model Data Inputs'!$E$187),2)</f>
        <v>1709.15</v>
      </c>
      <c r="K76" s="169">
        <f t="shared" si="6"/>
        <v>117931.35</v>
      </c>
      <c r="L76" s="153"/>
      <c r="M76" s="170">
        <v>69</v>
      </c>
      <c r="N76" s="164">
        <f>ROUND(F76*('Model Data Inputs'!$E$184*'Model Data Inputs'!$E$185*'Model Data Inputs'!$E$186*'Model Data Inputs'!$E$187),2)</f>
        <v>620.79999999999995</v>
      </c>
      <c r="O76" s="171">
        <f t="shared" si="7"/>
        <v>42835.199999999997</v>
      </c>
    </row>
    <row r="77" spans="1:15" x14ac:dyDescent="0.2">
      <c r="A77" s="168">
        <v>70</v>
      </c>
      <c r="B77" s="159">
        <v>1704.6163446867993</v>
      </c>
      <c r="C77" s="169">
        <f t="shared" si="4"/>
        <v>119323.14412807595</v>
      </c>
      <c r="D77" s="153"/>
      <c r="E77" s="170">
        <v>70</v>
      </c>
      <c r="F77" s="162">
        <v>618.41901048349064</v>
      </c>
      <c r="G77" s="171">
        <f t="shared" si="5"/>
        <v>43289.330733844341</v>
      </c>
      <c r="I77" s="168">
        <v>70</v>
      </c>
      <c r="J77" s="167">
        <f>ROUND(B77*('Model Data Inputs'!$E$184*'Model Data Inputs'!$E$185*'Model Data Inputs'!$E$186*'Model Data Inputs'!$E$187),2)</f>
        <v>1704.62</v>
      </c>
      <c r="K77" s="169">
        <f t="shared" si="6"/>
        <v>119323.4</v>
      </c>
      <c r="L77" s="153"/>
      <c r="M77" s="170">
        <v>70</v>
      </c>
      <c r="N77" s="164">
        <f>ROUND(F77*('Model Data Inputs'!$E$184*'Model Data Inputs'!$E$185*'Model Data Inputs'!$E$186*'Model Data Inputs'!$E$187),2)</f>
        <v>618.41999999999996</v>
      </c>
      <c r="O77" s="171">
        <f t="shared" si="7"/>
        <v>43289.399999999994</v>
      </c>
    </row>
    <row r="78" spans="1:15" x14ac:dyDescent="0.2">
      <c r="A78" s="168">
        <v>71</v>
      </c>
      <c r="B78" s="159">
        <v>1700.085807015997</v>
      </c>
      <c r="C78" s="169">
        <f t="shared" si="4"/>
        <v>120706.09229813579</v>
      </c>
      <c r="D78" s="153"/>
      <c r="E78" s="170">
        <v>71</v>
      </c>
      <c r="F78" s="162">
        <v>616.0404758277848</v>
      </c>
      <c r="G78" s="171">
        <f t="shared" si="5"/>
        <v>43738.873783772724</v>
      </c>
      <c r="I78" s="168">
        <v>71</v>
      </c>
      <c r="J78" s="167">
        <f>ROUND(B78*('Model Data Inputs'!$E$184*'Model Data Inputs'!$E$185*'Model Data Inputs'!$E$186*'Model Data Inputs'!$E$187),2)</f>
        <v>1700.09</v>
      </c>
      <c r="K78" s="169">
        <f t="shared" si="6"/>
        <v>120706.39</v>
      </c>
      <c r="L78" s="153"/>
      <c r="M78" s="170">
        <v>71</v>
      </c>
      <c r="N78" s="164">
        <f>ROUND(F78*('Model Data Inputs'!$E$184*'Model Data Inputs'!$E$185*'Model Data Inputs'!$E$186*'Model Data Inputs'!$E$187),2)</f>
        <v>616.04</v>
      </c>
      <c r="O78" s="171">
        <f t="shared" si="7"/>
        <v>43738.84</v>
      </c>
    </row>
    <row r="79" spans="1:15" x14ac:dyDescent="0.2">
      <c r="A79" s="168">
        <v>72</v>
      </c>
      <c r="B79" s="159">
        <v>1695.5552693451948</v>
      </c>
      <c r="C79" s="169">
        <f t="shared" si="4"/>
        <v>122079.97939285403</v>
      </c>
      <c r="D79" s="153"/>
      <c r="E79" s="170">
        <v>72</v>
      </c>
      <c r="F79" s="162">
        <v>613.66194117207908</v>
      </c>
      <c r="G79" s="171">
        <f t="shared" si="5"/>
        <v>44183.659764389697</v>
      </c>
      <c r="I79" s="168">
        <v>72</v>
      </c>
      <c r="J79" s="167">
        <f>ROUND(B79*('Model Data Inputs'!$E$184*'Model Data Inputs'!$E$185*'Model Data Inputs'!$E$186*'Model Data Inputs'!$E$187),2)</f>
        <v>1695.56</v>
      </c>
      <c r="K79" s="169">
        <f t="shared" si="6"/>
        <v>122080.31999999999</v>
      </c>
      <c r="L79" s="153"/>
      <c r="M79" s="170">
        <v>72</v>
      </c>
      <c r="N79" s="164">
        <f>ROUND(F79*('Model Data Inputs'!$E$184*'Model Data Inputs'!$E$185*'Model Data Inputs'!$E$186*'Model Data Inputs'!$E$187),2)</f>
        <v>613.66</v>
      </c>
      <c r="O79" s="171">
        <f t="shared" si="7"/>
        <v>44183.519999999997</v>
      </c>
    </row>
    <row r="80" spans="1:15" x14ac:dyDescent="0.2">
      <c r="A80" s="168">
        <v>73</v>
      </c>
      <c r="B80" s="159">
        <v>1691.024731674393</v>
      </c>
      <c r="C80" s="169">
        <f t="shared" si="4"/>
        <v>123444.80541223069</v>
      </c>
      <c r="D80" s="153"/>
      <c r="E80" s="170">
        <v>73</v>
      </c>
      <c r="F80" s="162">
        <v>611.28340651637336</v>
      </c>
      <c r="G80" s="171">
        <f t="shared" si="5"/>
        <v>44623.688675695259</v>
      </c>
      <c r="I80" s="168">
        <v>73</v>
      </c>
      <c r="J80" s="167">
        <f>ROUND(B80*('Model Data Inputs'!$E$184*'Model Data Inputs'!$E$185*'Model Data Inputs'!$E$186*'Model Data Inputs'!$E$187),2)</f>
        <v>1691.02</v>
      </c>
      <c r="K80" s="169">
        <f t="shared" si="6"/>
        <v>123444.45999999999</v>
      </c>
      <c r="L80" s="153"/>
      <c r="M80" s="170">
        <v>73</v>
      </c>
      <c r="N80" s="164">
        <f>ROUND(F80*('Model Data Inputs'!$E$184*'Model Data Inputs'!$E$185*'Model Data Inputs'!$E$186*'Model Data Inputs'!$E$187),2)</f>
        <v>611.28</v>
      </c>
      <c r="O80" s="171">
        <f t="shared" si="7"/>
        <v>44623.439999999995</v>
      </c>
    </row>
    <row r="81" spans="1:15" x14ac:dyDescent="0.2">
      <c r="A81" s="168">
        <v>74</v>
      </c>
      <c r="B81" s="159">
        <v>1686.4941940035908</v>
      </c>
      <c r="C81" s="169">
        <f t="shared" si="4"/>
        <v>124800.57035626571</v>
      </c>
      <c r="D81" s="153"/>
      <c r="E81" s="170">
        <v>74</v>
      </c>
      <c r="F81" s="162">
        <v>608.90487186066764</v>
      </c>
      <c r="G81" s="171">
        <f t="shared" si="5"/>
        <v>45058.960517689404</v>
      </c>
      <c r="I81" s="168">
        <v>74</v>
      </c>
      <c r="J81" s="167">
        <f>ROUND(B81*('Model Data Inputs'!$E$184*'Model Data Inputs'!$E$185*'Model Data Inputs'!$E$186*'Model Data Inputs'!$E$187),2)</f>
        <v>1686.49</v>
      </c>
      <c r="K81" s="169">
        <f t="shared" si="6"/>
        <v>124800.26</v>
      </c>
      <c r="L81" s="153"/>
      <c r="M81" s="170">
        <v>74</v>
      </c>
      <c r="N81" s="164">
        <f>ROUND(F81*('Model Data Inputs'!$E$184*'Model Data Inputs'!$E$185*'Model Data Inputs'!$E$186*'Model Data Inputs'!$E$187),2)</f>
        <v>608.9</v>
      </c>
      <c r="O81" s="171">
        <f t="shared" si="7"/>
        <v>45058.6</v>
      </c>
    </row>
    <row r="82" spans="1:15" x14ac:dyDescent="0.2">
      <c r="A82" s="168">
        <v>75</v>
      </c>
      <c r="B82" s="159">
        <v>1681.963656332789</v>
      </c>
      <c r="C82" s="169">
        <f t="shared" si="4"/>
        <v>126147.27422495918</v>
      </c>
      <c r="D82" s="153"/>
      <c r="E82" s="170">
        <v>75</v>
      </c>
      <c r="F82" s="162">
        <v>606.52633720496192</v>
      </c>
      <c r="G82" s="171">
        <f t="shared" si="5"/>
        <v>45489.475290372146</v>
      </c>
      <c r="I82" s="168">
        <v>75</v>
      </c>
      <c r="J82" s="167">
        <f>ROUND(B82*('Model Data Inputs'!$E$184*'Model Data Inputs'!$E$185*'Model Data Inputs'!$E$186*'Model Data Inputs'!$E$187),2)</f>
        <v>1681.96</v>
      </c>
      <c r="K82" s="169">
        <f t="shared" si="6"/>
        <v>126147</v>
      </c>
      <c r="L82" s="153"/>
      <c r="M82" s="170">
        <v>75</v>
      </c>
      <c r="N82" s="164">
        <f>ROUND(F82*('Model Data Inputs'!$E$184*'Model Data Inputs'!$E$185*'Model Data Inputs'!$E$186*'Model Data Inputs'!$E$187),2)</f>
        <v>606.53</v>
      </c>
      <c r="O82" s="171">
        <f t="shared" si="7"/>
        <v>45489.75</v>
      </c>
    </row>
    <row r="83" spans="1:15" x14ac:dyDescent="0.2">
      <c r="A83" s="168">
        <v>76</v>
      </c>
      <c r="B83" s="159">
        <v>1677.4331186619866</v>
      </c>
      <c r="C83" s="169">
        <f t="shared" si="4"/>
        <v>127484.91701831098</v>
      </c>
      <c r="D83" s="153"/>
      <c r="E83" s="170">
        <v>76</v>
      </c>
      <c r="F83" s="162">
        <v>604.1478025492562</v>
      </c>
      <c r="G83" s="171">
        <f t="shared" si="5"/>
        <v>45915.23299374347</v>
      </c>
      <c r="I83" s="168">
        <v>76</v>
      </c>
      <c r="J83" s="167">
        <f>ROUND(B83*('Model Data Inputs'!$E$184*'Model Data Inputs'!$E$185*'Model Data Inputs'!$E$186*'Model Data Inputs'!$E$187),2)</f>
        <v>1677.43</v>
      </c>
      <c r="K83" s="169">
        <f t="shared" si="6"/>
        <v>127484.68000000001</v>
      </c>
      <c r="L83" s="153"/>
      <c r="M83" s="170">
        <v>76</v>
      </c>
      <c r="N83" s="164">
        <f>ROUND(F83*('Model Data Inputs'!$E$184*'Model Data Inputs'!$E$185*'Model Data Inputs'!$E$186*'Model Data Inputs'!$E$187),2)</f>
        <v>604.15</v>
      </c>
      <c r="O83" s="171">
        <f t="shared" si="7"/>
        <v>45915.4</v>
      </c>
    </row>
    <row r="84" spans="1:15" x14ac:dyDescent="0.2">
      <c r="A84" s="168">
        <v>77</v>
      </c>
      <c r="B84" s="159">
        <v>1672.9025809911843</v>
      </c>
      <c r="C84" s="169">
        <f t="shared" si="4"/>
        <v>128813.4987363212</v>
      </c>
      <c r="D84" s="153"/>
      <c r="E84" s="170">
        <v>77</v>
      </c>
      <c r="F84" s="162">
        <v>601.76926789355048</v>
      </c>
      <c r="G84" s="171">
        <f t="shared" si="5"/>
        <v>46336.233627803384</v>
      </c>
      <c r="I84" s="168">
        <v>77</v>
      </c>
      <c r="J84" s="167">
        <f>ROUND(B84*('Model Data Inputs'!$E$184*'Model Data Inputs'!$E$185*'Model Data Inputs'!$E$186*'Model Data Inputs'!$E$187),2)</f>
        <v>1672.9</v>
      </c>
      <c r="K84" s="169">
        <f t="shared" si="6"/>
        <v>128813.3</v>
      </c>
      <c r="L84" s="153"/>
      <c r="M84" s="170">
        <v>77</v>
      </c>
      <c r="N84" s="164">
        <f>ROUND(F84*('Model Data Inputs'!$E$184*'Model Data Inputs'!$E$185*'Model Data Inputs'!$E$186*'Model Data Inputs'!$E$187),2)</f>
        <v>601.77</v>
      </c>
      <c r="O84" s="171">
        <f t="shared" si="7"/>
        <v>46336.29</v>
      </c>
    </row>
    <row r="85" spans="1:15" x14ac:dyDescent="0.2">
      <c r="A85" s="168">
        <v>78</v>
      </c>
      <c r="B85" s="159">
        <v>1668.3720433203828</v>
      </c>
      <c r="C85" s="169">
        <f t="shared" si="4"/>
        <v>130133.01937898986</v>
      </c>
      <c r="D85" s="153"/>
      <c r="E85" s="170">
        <v>78</v>
      </c>
      <c r="F85" s="162">
        <v>599.39073323784464</v>
      </c>
      <c r="G85" s="171">
        <f t="shared" si="5"/>
        <v>46752.47719255188</v>
      </c>
      <c r="I85" s="168">
        <v>78</v>
      </c>
      <c r="J85" s="167">
        <f>ROUND(B85*('Model Data Inputs'!$E$184*'Model Data Inputs'!$E$185*'Model Data Inputs'!$E$186*'Model Data Inputs'!$E$187),2)</f>
        <v>1668.37</v>
      </c>
      <c r="K85" s="169">
        <f t="shared" si="6"/>
        <v>130132.85999999999</v>
      </c>
      <c r="L85" s="153"/>
      <c r="M85" s="170">
        <v>78</v>
      </c>
      <c r="N85" s="164">
        <f>ROUND(F85*('Model Data Inputs'!$E$184*'Model Data Inputs'!$E$185*'Model Data Inputs'!$E$186*'Model Data Inputs'!$E$187),2)</f>
        <v>599.39</v>
      </c>
      <c r="O85" s="171">
        <f t="shared" si="7"/>
        <v>46752.42</v>
      </c>
    </row>
    <row r="86" spans="1:15" x14ac:dyDescent="0.2">
      <c r="A86" s="168">
        <v>79</v>
      </c>
      <c r="B86" s="159">
        <v>1663.8415056495803</v>
      </c>
      <c r="C86" s="169">
        <f t="shared" si="4"/>
        <v>131443.47894631684</v>
      </c>
      <c r="D86" s="153"/>
      <c r="E86" s="170">
        <v>79</v>
      </c>
      <c r="F86" s="162">
        <v>597.01219858213892</v>
      </c>
      <c r="G86" s="171">
        <f t="shared" si="5"/>
        <v>47163.963687988973</v>
      </c>
      <c r="I86" s="168">
        <v>79</v>
      </c>
      <c r="J86" s="167">
        <f>ROUND(B86*('Model Data Inputs'!$E$184*'Model Data Inputs'!$E$185*'Model Data Inputs'!$E$186*'Model Data Inputs'!$E$187),2)</f>
        <v>1663.84</v>
      </c>
      <c r="K86" s="169">
        <f t="shared" si="6"/>
        <v>131443.35999999999</v>
      </c>
      <c r="L86" s="153"/>
      <c r="M86" s="170">
        <v>79</v>
      </c>
      <c r="N86" s="164">
        <f>ROUND(F86*('Model Data Inputs'!$E$184*'Model Data Inputs'!$E$185*'Model Data Inputs'!$E$186*'Model Data Inputs'!$E$187),2)</f>
        <v>597.01</v>
      </c>
      <c r="O86" s="171">
        <f t="shared" si="7"/>
        <v>47163.79</v>
      </c>
    </row>
    <row r="87" spans="1:15" x14ac:dyDescent="0.2">
      <c r="A87" s="168">
        <v>80</v>
      </c>
      <c r="B87" s="159">
        <v>1659.3109679787783</v>
      </c>
      <c r="C87" s="169">
        <f t="shared" si="4"/>
        <v>132744.87743830227</v>
      </c>
      <c r="D87" s="153"/>
      <c r="E87" s="170">
        <v>80</v>
      </c>
      <c r="F87" s="162">
        <v>594.63366392643309</v>
      </c>
      <c r="G87" s="171">
        <f t="shared" si="5"/>
        <v>47570.693114114649</v>
      </c>
      <c r="I87" s="168">
        <v>80</v>
      </c>
      <c r="J87" s="167">
        <f>ROUND(B87*('Model Data Inputs'!$E$184*'Model Data Inputs'!$E$185*'Model Data Inputs'!$E$186*'Model Data Inputs'!$E$187),2)</f>
        <v>1659.31</v>
      </c>
      <c r="K87" s="169">
        <f t="shared" si="6"/>
        <v>132744.79999999999</v>
      </c>
      <c r="L87" s="153"/>
      <c r="M87" s="170">
        <v>80</v>
      </c>
      <c r="N87" s="164">
        <f>ROUND(F87*('Model Data Inputs'!$E$184*'Model Data Inputs'!$E$185*'Model Data Inputs'!$E$186*'Model Data Inputs'!$E$187),2)</f>
        <v>594.63</v>
      </c>
      <c r="O87" s="171">
        <f t="shared" si="7"/>
        <v>47570.400000000001</v>
      </c>
    </row>
    <row r="88" spans="1:15" x14ac:dyDescent="0.2">
      <c r="A88" s="168">
        <v>81</v>
      </c>
      <c r="B88" s="159">
        <v>1654.7804303079765</v>
      </c>
      <c r="C88" s="169">
        <f t="shared" si="4"/>
        <v>134037.2148549461</v>
      </c>
      <c r="D88" s="153"/>
      <c r="E88" s="170">
        <v>81</v>
      </c>
      <c r="F88" s="162">
        <v>592.25512927072737</v>
      </c>
      <c r="G88" s="171">
        <f t="shared" si="5"/>
        <v>47972.665470928914</v>
      </c>
      <c r="I88" s="168">
        <v>81</v>
      </c>
      <c r="J88" s="167">
        <f>ROUND(B88*('Model Data Inputs'!$E$184*'Model Data Inputs'!$E$185*'Model Data Inputs'!$E$186*'Model Data Inputs'!$E$187),2)</f>
        <v>1654.78</v>
      </c>
      <c r="K88" s="169">
        <f t="shared" si="6"/>
        <v>134037.18</v>
      </c>
      <c r="L88" s="153"/>
      <c r="M88" s="170">
        <v>81</v>
      </c>
      <c r="N88" s="164">
        <f>ROUND(F88*('Model Data Inputs'!$E$184*'Model Data Inputs'!$E$185*'Model Data Inputs'!$E$186*'Model Data Inputs'!$E$187),2)</f>
        <v>592.26</v>
      </c>
      <c r="O88" s="171">
        <f t="shared" si="7"/>
        <v>47973.06</v>
      </c>
    </row>
    <row r="89" spans="1:15" x14ac:dyDescent="0.2">
      <c r="A89" s="168">
        <v>82</v>
      </c>
      <c r="B89" s="159">
        <v>1650.2498926371741</v>
      </c>
      <c r="C89" s="169">
        <f t="shared" si="4"/>
        <v>135320.49119624827</v>
      </c>
      <c r="D89" s="153"/>
      <c r="E89" s="170">
        <v>82</v>
      </c>
      <c r="F89" s="162">
        <v>589.87659461502176</v>
      </c>
      <c r="G89" s="171">
        <f t="shared" si="5"/>
        <v>48369.880758431784</v>
      </c>
      <c r="I89" s="168">
        <v>82</v>
      </c>
      <c r="J89" s="167">
        <f>ROUND(B89*('Model Data Inputs'!$E$184*'Model Data Inputs'!$E$185*'Model Data Inputs'!$E$186*'Model Data Inputs'!$E$187),2)</f>
        <v>1650.25</v>
      </c>
      <c r="K89" s="169">
        <f t="shared" si="6"/>
        <v>135320.5</v>
      </c>
      <c r="L89" s="153"/>
      <c r="M89" s="170">
        <v>82</v>
      </c>
      <c r="N89" s="164">
        <f>ROUND(F89*('Model Data Inputs'!$E$184*'Model Data Inputs'!$E$185*'Model Data Inputs'!$E$186*'Model Data Inputs'!$E$187),2)</f>
        <v>589.88</v>
      </c>
      <c r="O89" s="171">
        <f t="shared" si="7"/>
        <v>48370.159999999996</v>
      </c>
    </row>
    <row r="90" spans="1:15" x14ac:dyDescent="0.2">
      <c r="A90" s="168">
        <v>83</v>
      </c>
      <c r="B90" s="159">
        <v>1645.7193549663718</v>
      </c>
      <c r="C90" s="169">
        <f t="shared" si="4"/>
        <v>136594.70646220885</v>
      </c>
      <c r="D90" s="153"/>
      <c r="E90" s="170">
        <v>83</v>
      </c>
      <c r="F90" s="162">
        <v>587.49805995931592</v>
      </c>
      <c r="G90" s="171">
        <f t="shared" si="5"/>
        <v>48762.338976623221</v>
      </c>
      <c r="I90" s="168">
        <v>83</v>
      </c>
      <c r="J90" s="167">
        <f>ROUND(B90*('Model Data Inputs'!$E$184*'Model Data Inputs'!$E$185*'Model Data Inputs'!$E$186*'Model Data Inputs'!$E$187),2)</f>
        <v>1645.72</v>
      </c>
      <c r="K90" s="169">
        <f t="shared" si="6"/>
        <v>136594.76</v>
      </c>
      <c r="L90" s="153"/>
      <c r="M90" s="170">
        <v>83</v>
      </c>
      <c r="N90" s="164">
        <f>ROUND(F90*('Model Data Inputs'!$E$184*'Model Data Inputs'!$E$185*'Model Data Inputs'!$E$186*'Model Data Inputs'!$E$187),2)</f>
        <v>587.5</v>
      </c>
      <c r="O90" s="171">
        <f t="shared" si="7"/>
        <v>48762.5</v>
      </c>
    </row>
    <row r="91" spans="1:15" x14ac:dyDescent="0.2">
      <c r="A91" s="168">
        <v>84</v>
      </c>
      <c r="B91" s="159">
        <v>1641.1888172955701</v>
      </c>
      <c r="C91" s="169">
        <f t="shared" si="4"/>
        <v>137859.86065282789</v>
      </c>
      <c r="D91" s="153"/>
      <c r="E91" s="170">
        <v>84</v>
      </c>
      <c r="F91" s="162">
        <v>585.11952530361032</v>
      </c>
      <c r="G91" s="171">
        <f t="shared" si="5"/>
        <v>49150.040125503263</v>
      </c>
      <c r="I91" s="168">
        <v>84</v>
      </c>
      <c r="J91" s="167">
        <f>ROUND(B91*('Model Data Inputs'!$E$184*'Model Data Inputs'!$E$185*'Model Data Inputs'!$E$186*'Model Data Inputs'!$E$187),2)</f>
        <v>1641.19</v>
      </c>
      <c r="K91" s="169">
        <f t="shared" si="6"/>
        <v>137859.96</v>
      </c>
      <c r="L91" s="153"/>
      <c r="M91" s="170">
        <v>84</v>
      </c>
      <c r="N91" s="164">
        <f>ROUND(F91*('Model Data Inputs'!$E$184*'Model Data Inputs'!$E$185*'Model Data Inputs'!$E$186*'Model Data Inputs'!$E$187),2)</f>
        <v>585.12</v>
      </c>
      <c r="O91" s="171">
        <f t="shared" si="7"/>
        <v>49150.080000000002</v>
      </c>
    </row>
    <row r="92" spans="1:15" x14ac:dyDescent="0.2">
      <c r="A92" s="168">
        <v>85</v>
      </c>
      <c r="B92" s="159">
        <v>1636.6582796247683</v>
      </c>
      <c r="C92" s="169">
        <f t="shared" si="4"/>
        <v>139115.9537681053</v>
      </c>
      <c r="D92" s="153"/>
      <c r="E92" s="170">
        <v>85</v>
      </c>
      <c r="F92" s="162">
        <v>582.7409906479046</v>
      </c>
      <c r="G92" s="171">
        <f t="shared" si="5"/>
        <v>49532.984205071887</v>
      </c>
      <c r="I92" s="168">
        <v>85</v>
      </c>
      <c r="J92" s="167">
        <f>ROUND(B92*('Model Data Inputs'!$E$184*'Model Data Inputs'!$E$185*'Model Data Inputs'!$E$186*'Model Data Inputs'!$E$187),2)</f>
        <v>1636.66</v>
      </c>
      <c r="K92" s="169">
        <f t="shared" si="6"/>
        <v>139116.1</v>
      </c>
      <c r="L92" s="153"/>
      <c r="M92" s="170">
        <v>85</v>
      </c>
      <c r="N92" s="164">
        <f>ROUND(F92*('Model Data Inputs'!$E$184*'Model Data Inputs'!$E$185*'Model Data Inputs'!$E$186*'Model Data Inputs'!$E$187),2)</f>
        <v>582.74</v>
      </c>
      <c r="O92" s="171">
        <f t="shared" si="7"/>
        <v>49532.9</v>
      </c>
    </row>
    <row r="93" spans="1:15" x14ac:dyDescent="0.2">
      <c r="A93" s="168">
        <v>86</v>
      </c>
      <c r="B93" s="159">
        <v>1632.1277419539661</v>
      </c>
      <c r="C93" s="169">
        <f t="shared" si="4"/>
        <v>140362.98580804109</v>
      </c>
      <c r="D93" s="153"/>
      <c r="E93" s="170">
        <v>86</v>
      </c>
      <c r="F93" s="162">
        <v>580.36245599219865</v>
      </c>
      <c r="G93" s="171">
        <f t="shared" si="5"/>
        <v>49911.171215329086</v>
      </c>
      <c r="I93" s="168">
        <v>86</v>
      </c>
      <c r="J93" s="167">
        <f>ROUND(B93*('Model Data Inputs'!$E$184*'Model Data Inputs'!$E$185*'Model Data Inputs'!$E$186*'Model Data Inputs'!$E$187),2)</f>
        <v>1632.13</v>
      </c>
      <c r="K93" s="169">
        <f t="shared" si="6"/>
        <v>140363.18000000002</v>
      </c>
      <c r="L93" s="153"/>
      <c r="M93" s="170">
        <v>86</v>
      </c>
      <c r="N93" s="164">
        <f>ROUND(F93*('Model Data Inputs'!$E$184*'Model Data Inputs'!$E$185*'Model Data Inputs'!$E$186*'Model Data Inputs'!$E$187),2)</f>
        <v>580.36</v>
      </c>
      <c r="O93" s="171">
        <f t="shared" si="7"/>
        <v>49910.96</v>
      </c>
    </row>
    <row r="94" spans="1:15" x14ac:dyDescent="0.2">
      <c r="A94" s="168">
        <v>87</v>
      </c>
      <c r="B94" s="159">
        <v>1627.597204283164</v>
      </c>
      <c r="C94" s="169">
        <f t="shared" si="4"/>
        <v>141600.95677263528</v>
      </c>
      <c r="D94" s="153"/>
      <c r="E94" s="170">
        <v>87</v>
      </c>
      <c r="F94" s="162">
        <v>577.98392133649315</v>
      </c>
      <c r="G94" s="171">
        <f t="shared" si="5"/>
        <v>50284.601156274904</v>
      </c>
      <c r="I94" s="168">
        <v>87</v>
      </c>
      <c r="J94" s="167">
        <f>ROUND(B94*('Model Data Inputs'!$E$184*'Model Data Inputs'!$E$185*'Model Data Inputs'!$E$186*'Model Data Inputs'!$E$187),2)</f>
        <v>1627.6</v>
      </c>
      <c r="K94" s="169">
        <f t="shared" si="6"/>
        <v>141601.19999999998</v>
      </c>
      <c r="L94" s="153"/>
      <c r="M94" s="170">
        <v>87</v>
      </c>
      <c r="N94" s="164">
        <f>ROUND(F94*('Model Data Inputs'!$E$184*'Model Data Inputs'!$E$185*'Model Data Inputs'!$E$186*'Model Data Inputs'!$E$187),2)</f>
        <v>577.98</v>
      </c>
      <c r="O94" s="171">
        <f t="shared" si="7"/>
        <v>50284.26</v>
      </c>
    </row>
    <row r="95" spans="1:15" x14ac:dyDescent="0.2">
      <c r="A95" s="168">
        <v>88</v>
      </c>
      <c r="B95" s="159">
        <v>1623.0666666123614</v>
      </c>
      <c r="C95" s="169">
        <f t="shared" si="4"/>
        <v>142829.86666188779</v>
      </c>
      <c r="D95" s="153"/>
      <c r="E95" s="170">
        <v>88</v>
      </c>
      <c r="F95" s="162">
        <v>575.60538668078743</v>
      </c>
      <c r="G95" s="171">
        <f t="shared" si="5"/>
        <v>50653.274027909298</v>
      </c>
      <c r="I95" s="168">
        <v>88</v>
      </c>
      <c r="J95" s="167">
        <f>ROUND(B95*('Model Data Inputs'!$E$184*'Model Data Inputs'!$E$185*'Model Data Inputs'!$E$186*'Model Data Inputs'!$E$187),2)</f>
        <v>1623.07</v>
      </c>
      <c r="K95" s="169">
        <f t="shared" si="6"/>
        <v>142830.16</v>
      </c>
      <c r="L95" s="153"/>
      <c r="M95" s="170">
        <v>88</v>
      </c>
      <c r="N95" s="164">
        <f>ROUND(F95*('Model Data Inputs'!$E$184*'Model Data Inputs'!$E$185*'Model Data Inputs'!$E$186*'Model Data Inputs'!$E$187),2)</f>
        <v>575.61</v>
      </c>
      <c r="O95" s="171">
        <f t="shared" si="7"/>
        <v>50653.68</v>
      </c>
    </row>
    <row r="96" spans="1:15" x14ac:dyDescent="0.2">
      <c r="A96" s="168">
        <v>89</v>
      </c>
      <c r="B96" s="159">
        <v>1618.5361289415598</v>
      </c>
      <c r="C96" s="169">
        <f t="shared" si="4"/>
        <v>144049.71547579882</v>
      </c>
      <c r="D96" s="153"/>
      <c r="E96" s="170">
        <v>89</v>
      </c>
      <c r="F96" s="162">
        <v>573.22685202508148</v>
      </c>
      <c r="G96" s="171">
        <f t="shared" si="5"/>
        <v>51017.189830232252</v>
      </c>
      <c r="I96" s="168">
        <v>89</v>
      </c>
      <c r="J96" s="167">
        <f>ROUND(B96*('Model Data Inputs'!$E$184*'Model Data Inputs'!$E$185*'Model Data Inputs'!$E$186*'Model Data Inputs'!$E$187),2)</f>
        <v>1618.54</v>
      </c>
      <c r="K96" s="169">
        <f t="shared" si="6"/>
        <v>144050.06</v>
      </c>
      <c r="L96" s="153"/>
      <c r="M96" s="170">
        <v>89</v>
      </c>
      <c r="N96" s="164">
        <f>ROUND(F96*('Model Data Inputs'!$E$184*'Model Data Inputs'!$E$185*'Model Data Inputs'!$E$186*'Model Data Inputs'!$E$187),2)</f>
        <v>573.23</v>
      </c>
      <c r="O96" s="171">
        <f t="shared" si="7"/>
        <v>51017.47</v>
      </c>
    </row>
    <row r="97" spans="1:15" x14ac:dyDescent="0.2">
      <c r="A97" s="168">
        <v>90</v>
      </c>
      <c r="B97" s="159">
        <v>1614.0055912707578</v>
      </c>
      <c r="C97" s="169">
        <f t="shared" si="4"/>
        <v>145260.50321436819</v>
      </c>
      <c r="D97" s="153"/>
      <c r="E97" s="170">
        <v>90</v>
      </c>
      <c r="F97" s="162">
        <v>570.84831736937576</v>
      </c>
      <c r="G97" s="171">
        <f t="shared" si="5"/>
        <v>51376.348563243817</v>
      </c>
      <c r="I97" s="168">
        <v>90</v>
      </c>
      <c r="J97" s="167">
        <f>ROUND(B97*('Model Data Inputs'!$E$184*'Model Data Inputs'!$E$185*'Model Data Inputs'!$E$186*'Model Data Inputs'!$E$187),2)</f>
        <v>1614.01</v>
      </c>
      <c r="K97" s="169">
        <f t="shared" si="6"/>
        <v>145260.9</v>
      </c>
      <c r="L97" s="153"/>
      <c r="M97" s="170">
        <v>90</v>
      </c>
      <c r="N97" s="164">
        <f>ROUND(F97*('Model Data Inputs'!$E$184*'Model Data Inputs'!$E$185*'Model Data Inputs'!$E$186*'Model Data Inputs'!$E$187),2)</f>
        <v>570.85</v>
      </c>
      <c r="O97" s="171">
        <f t="shared" si="7"/>
        <v>51376.5</v>
      </c>
    </row>
    <row r="98" spans="1:15" x14ac:dyDescent="0.2">
      <c r="A98" s="168">
        <v>91</v>
      </c>
      <c r="B98" s="159">
        <v>1609.4750535999558</v>
      </c>
      <c r="C98" s="169">
        <f t="shared" si="4"/>
        <v>146462.22987759596</v>
      </c>
      <c r="D98" s="153"/>
      <c r="E98" s="170">
        <v>91</v>
      </c>
      <c r="F98" s="162">
        <v>568.46978271367016</v>
      </c>
      <c r="G98" s="171">
        <f t="shared" si="5"/>
        <v>51730.750226943986</v>
      </c>
      <c r="I98" s="168">
        <v>91</v>
      </c>
      <c r="J98" s="167">
        <f>ROUND(B98*('Model Data Inputs'!$E$184*'Model Data Inputs'!$E$185*'Model Data Inputs'!$E$186*'Model Data Inputs'!$E$187),2)</f>
        <v>1609.48</v>
      </c>
      <c r="K98" s="169">
        <f t="shared" si="6"/>
        <v>146462.68</v>
      </c>
      <c r="L98" s="153"/>
      <c r="M98" s="170">
        <v>91</v>
      </c>
      <c r="N98" s="164">
        <f>ROUND(F98*('Model Data Inputs'!$E$184*'Model Data Inputs'!$E$185*'Model Data Inputs'!$E$186*'Model Data Inputs'!$E$187),2)</f>
        <v>568.47</v>
      </c>
      <c r="O98" s="171">
        <f t="shared" si="7"/>
        <v>51730.770000000004</v>
      </c>
    </row>
    <row r="99" spans="1:15" x14ac:dyDescent="0.2">
      <c r="A99" s="168">
        <v>92</v>
      </c>
      <c r="B99" s="159">
        <v>1604.9445159291533</v>
      </c>
      <c r="C99" s="169">
        <f t="shared" si="4"/>
        <v>147654.89546548211</v>
      </c>
      <c r="D99" s="153"/>
      <c r="E99" s="170">
        <v>92</v>
      </c>
      <c r="F99" s="162">
        <v>566.09124805796444</v>
      </c>
      <c r="G99" s="171">
        <f t="shared" si="5"/>
        <v>52080.394821332731</v>
      </c>
      <c r="I99" s="168">
        <v>92</v>
      </c>
      <c r="J99" s="167">
        <f>ROUND(B99*('Model Data Inputs'!$E$184*'Model Data Inputs'!$E$185*'Model Data Inputs'!$E$186*'Model Data Inputs'!$E$187),2)</f>
        <v>1604.94</v>
      </c>
      <c r="K99" s="169">
        <f t="shared" si="6"/>
        <v>147654.48000000001</v>
      </c>
      <c r="L99" s="153"/>
      <c r="M99" s="170">
        <v>92</v>
      </c>
      <c r="N99" s="164">
        <f>ROUND(F99*('Model Data Inputs'!$E$184*'Model Data Inputs'!$E$185*'Model Data Inputs'!$E$186*'Model Data Inputs'!$E$187),2)</f>
        <v>566.09</v>
      </c>
      <c r="O99" s="171">
        <f t="shared" si="7"/>
        <v>52080.280000000006</v>
      </c>
    </row>
    <row r="100" spans="1:15" x14ac:dyDescent="0.2">
      <c r="A100" s="168">
        <v>93</v>
      </c>
      <c r="B100" s="159">
        <v>1600.4139782583511</v>
      </c>
      <c r="C100" s="169">
        <f t="shared" si="4"/>
        <v>148838.49997802667</v>
      </c>
      <c r="D100" s="153"/>
      <c r="E100" s="170">
        <v>93</v>
      </c>
      <c r="F100" s="162">
        <v>563.71271340225871</v>
      </c>
      <c r="G100" s="171">
        <f t="shared" si="5"/>
        <v>52425.282346410058</v>
      </c>
      <c r="I100" s="168">
        <v>93</v>
      </c>
      <c r="J100" s="167">
        <f>ROUND(B100*('Model Data Inputs'!$E$184*'Model Data Inputs'!$E$185*'Model Data Inputs'!$E$186*'Model Data Inputs'!$E$187),2)</f>
        <v>1600.41</v>
      </c>
      <c r="K100" s="169">
        <f t="shared" si="6"/>
        <v>148838.13</v>
      </c>
      <c r="L100" s="153"/>
      <c r="M100" s="170">
        <v>93</v>
      </c>
      <c r="N100" s="164">
        <f>ROUND(F100*('Model Data Inputs'!$E$184*'Model Data Inputs'!$E$185*'Model Data Inputs'!$E$186*'Model Data Inputs'!$E$187),2)</f>
        <v>563.71</v>
      </c>
      <c r="O100" s="171">
        <f t="shared" si="7"/>
        <v>52425.030000000006</v>
      </c>
    </row>
    <row r="101" spans="1:15" x14ac:dyDescent="0.2">
      <c r="A101" s="168">
        <v>94</v>
      </c>
      <c r="B101" s="159">
        <v>1595.8834405875493</v>
      </c>
      <c r="C101" s="169">
        <f t="shared" si="4"/>
        <v>150013.04341522965</v>
      </c>
      <c r="D101" s="153"/>
      <c r="E101" s="170">
        <v>94</v>
      </c>
      <c r="F101" s="162">
        <v>561.33417874655288</v>
      </c>
      <c r="G101" s="171">
        <f t="shared" si="5"/>
        <v>52765.412802175968</v>
      </c>
      <c r="I101" s="168">
        <v>94</v>
      </c>
      <c r="J101" s="167">
        <f>ROUND(B101*('Model Data Inputs'!$E$184*'Model Data Inputs'!$E$185*'Model Data Inputs'!$E$186*'Model Data Inputs'!$E$187),2)</f>
        <v>1595.88</v>
      </c>
      <c r="K101" s="169">
        <f t="shared" si="6"/>
        <v>150012.72</v>
      </c>
      <c r="L101" s="153"/>
      <c r="M101" s="170">
        <v>94</v>
      </c>
      <c r="N101" s="164">
        <f>ROUND(F101*('Model Data Inputs'!$E$184*'Model Data Inputs'!$E$185*'Model Data Inputs'!$E$186*'Model Data Inputs'!$E$187),2)</f>
        <v>561.33000000000004</v>
      </c>
      <c r="O101" s="171">
        <f t="shared" si="7"/>
        <v>52765.020000000004</v>
      </c>
    </row>
    <row r="102" spans="1:15" x14ac:dyDescent="0.2">
      <c r="A102" s="168">
        <v>95</v>
      </c>
      <c r="B102" s="159">
        <v>1591.3529029167471</v>
      </c>
      <c r="C102" s="169">
        <f t="shared" si="4"/>
        <v>151178.52577709098</v>
      </c>
      <c r="D102" s="153"/>
      <c r="E102" s="170">
        <v>95</v>
      </c>
      <c r="F102" s="162">
        <v>558.95564409084727</v>
      </c>
      <c r="G102" s="171">
        <f t="shared" si="5"/>
        <v>53100.786188630489</v>
      </c>
      <c r="I102" s="168">
        <v>95</v>
      </c>
      <c r="J102" s="167">
        <f>ROUND(B102*('Model Data Inputs'!$E$184*'Model Data Inputs'!$E$185*'Model Data Inputs'!$E$186*'Model Data Inputs'!$E$187),2)</f>
        <v>1591.35</v>
      </c>
      <c r="K102" s="169">
        <f t="shared" si="6"/>
        <v>151178.25</v>
      </c>
      <c r="L102" s="153"/>
      <c r="M102" s="170">
        <v>95</v>
      </c>
      <c r="N102" s="164">
        <f>ROUND(F102*('Model Data Inputs'!$E$184*'Model Data Inputs'!$E$185*'Model Data Inputs'!$E$186*'Model Data Inputs'!$E$187),2)</f>
        <v>558.96</v>
      </c>
      <c r="O102" s="171">
        <f t="shared" si="7"/>
        <v>53101.200000000004</v>
      </c>
    </row>
    <row r="103" spans="1:15" x14ac:dyDescent="0.2">
      <c r="A103" s="168">
        <v>96</v>
      </c>
      <c r="B103" s="159">
        <v>1586.8223652459451</v>
      </c>
      <c r="C103" s="169">
        <f t="shared" si="4"/>
        <v>152334.94706361071</v>
      </c>
      <c r="D103" s="153"/>
      <c r="E103" s="170">
        <v>96</v>
      </c>
      <c r="F103" s="162">
        <v>556.57710943514167</v>
      </c>
      <c r="G103" s="171">
        <f t="shared" si="5"/>
        <v>53431.4025057736</v>
      </c>
      <c r="I103" s="168">
        <v>96</v>
      </c>
      <c r="J103" s="167">
        <f>ROUND(B103*('Model Data Inputs'!$E$184*'Model Data Inputs'!$E$185*'Model Data Inputs'!$E$186*'Model Data Inputs'!$E$187),2)</f>
        <v>1586.82</v>
      </c>
      <c r="K103" s="169">
        <f t="shared" si="6"/>
        <v>152334.72</v>
      </c>
      <c r="L103" s="153"/>
      <c r="M103" s="170">
        <v>96</v>
      </c>
      <c r="N103" s="164">
        <f>ROUND(F103*('Model Data Inputs'!$E$184*'Model Data Inputs'!$E$185*'Model Data Inputs'!$E$186*'Model Data Inputs'!$E$187),2)</f>
        <v>556.58000000000004</v>
      </c>
      <c r="O103" s="171">
        <f t="shared" si="7"/>
        <v>53431.680000000008</v>
      </c>
    </row>
    <row r="104" spans="1:15" x14ac:dyDescent="0.2">
      <c r="A104" s="168">
        <v>97</v>
      </c>
      <c r="B104" s="159">
        <v>1582.2918275751431</v>
      </c>
      <c r="C104" s="169">
        <f t="shared" si="4"/>
        <v>153482.30727478888</v>
      </c>
      <c r="D104" s="153"/>
      <c r="E104" s="170">
        <v>97</v>
      </c>
      <c r="F104" s="162">
        <v>554.19857477943572</v>
      </c>
      <c r="G104" s="171">
        <f t="shared" si="5"/>
        <v>53757.261753605264</v>
      </c>
      <c r="I104" s="168">
        <v>97</v>
      </c>
      <c r="J104" s="167">
        <f>ROUND(B104*('Model Data Inputs'!$E$184*'Model Data Inputs'!$E$185*'Model Data Inputs'!$E$186*'Model Data Inputs'!$E$187),2)</f>
        <v>1582.29</v>
      </c>
      <c r="K104" s="169">
        <f t="shared" si="6"/>
        <v>153482.13</v>
      </c>
      <c r="L104" s="153"/>
      <c r="M104" s="170">
        <v>97</v>
      </c>
      <c r="N104" s="164">
        <f>ROUND(F104*('Model Data Inputs'!$E$184*'Model Data Inputs'!$E$185*'Model Data Inputs'!$E$186*'Model Data Inputs'!$E$187),2)</f>
        <v>554.20000000000005</v>
      </c>
      <c r="O104" s="171">
        <f t="shared" si="7"/>
        <v>53757.4</v>
      </c>
    </row>
    <row r="105" spans="1:15" x14ac:dyDescent="0.2">
      <c r="A105" s="168">
        <v>98</v>
      </c>
      <c r="B105" s="159">
        <v>1577.7612899043411</v>
      </c>
      <c r="C105" s="169">
        <f t="shared" si="4"/>
        <v>154620.60641062542</v>
      </c>
      <c r="D105" s="153"/>
      <c r="E105" s="170">
        <v>98</v>
      </c>
      <c r="F105" s="162">
        <v>551.82004012373011</v>
      </c>
      <c r="G105" s="171">
        <f t="shared" si="5"/>
        <v>54078.363932125554</v>
      </c>
      <c r="I105" s="168">
        <v>98</v>
      </c>
      <c r="J105" s="167">
        <f>ROUND(B105*('Model Data Inputs'!$E$184*'Model Data Inputs'!$E$185*'Model Data Inputs'!$E$186*'Model Data Inputs'!$E$187),2)</f>
        <v>1577.76</v>
      </c>
      <c r="K105" s="169">
        <f t="shared" si="6"/>
        <v>154620.48000000001</v>
      </c>
      <c r="L105" s="153"/>
      <c r="M105" s="170">
        <v>98</v>
      </c>
      <c r="N105" s="164">
        <f>ROUND(F105*('Model Data Inputs'!$E$184*'Model Data Inputs'!$E$185*'Model Data Inputs'!$E$186*'Model Data Inputs'!$E$187),2)</f>
        <v>551.82000000000005</v>
      </c>
      <c r="O105" s="171">
        <f t="shared" si="7"/>
        <v>54078.360000000008</v>
      </c>
    </row>
    <row r="106" spans="1:15" x14ac:dyDescent="0.2">
      <c r="A106" s="168">
        <v>99</v>
      </c>
      <c r="B106" s="159">
        <v>1573.2307522335389</v>
      </c>
      <c r="C106" s="169">
        <f t="shared" si="4"/>
        <v>155749.84447112033</v>
      </c>
      <c r="D106" s="153"/>
      <c r="E106" s="170">
        <v>99</v>
      </c>
      <c r="F106" s="162">
        <v>549.44150546802439</v>
      </c>
      <c r="G106" s="171">
        <f t="shared" si="5"/>
        <v>54394.709041334412</v>
      </c>
      <c r="I106" s="168">
        <v>99</v>
      </c>
      <c r="J106" s="167">
        <f>ROUND(B106*('Model Data Inputs'!$E$184*'Model Data Inputs'!$E$185*'Model Data Inputs'!$E$186*'Model Data Inputs'!$E$187),2)</f>
        <v>1573.23</v>
      </c>
      <c r="K106" s="169">
        <f t="shared" si="6"/>
        <v>155749.76999999999</v>
      </c>
      <c r="L106" s="153"/>
      <c r="M106" s="170">
        <v>99</v>
      </c>
      <c r="N106" s="164">
        <f>ROUND(F106*('Model Data Inputs'!$E$184*'Model Data Inputs'!$E$185*'Model Data Inputs'!$E$186*'Model Data Inputs'!$E$187),2)</f>
        <v>549.44000000000005</v>
      </c>
      <c r="O106" s="171">
        <f t="shared" si="7"/>
        <v>54394.560000000005</v>
      </c>
    </row>
    <row r="107" spans="1:15" x14ac:dyDescent="0.2">
      <c r="A107" s="168">
        <v>100</v>
      </c>
      <c r="B107" s="159">
        <v>1568.7002145627368</v>
      </c>
      <c r="C107" s="169">
        <f t="shared" si="4"/>
        <v>156870.02145627368</v>
      </c>
      <c r="D107" s="153"/>
      <c r="E107" s="170">
        <v>100</v>
      </c>
      <c r="F107" s="162">
        <v>547.06297081231855</v>
      </c>
      <c r="G107" s="171">
        <f t="shared" si="5"/>
        <v>54706.297081231853</v>
      </c>
      <c r="I107" s="168">
        <v>100</v>
      </c>
      <c r="J107" s="167">
        <f>ROUND(B107*('Model Data Inputs'!$E$184*'Model Data Inputs'!$E$185*'Model Data Inputs'!$E$186*'Model Data Inputs'!$E$187),2)</f>
        <v>1568.7</v>
      </c>
      <c r="K107" s="169">
        <f t="shared" si="6"/>
        <v>156870</v>
      </c>
      <c r="L107" s="153"/>
      <c r="M107" s="170">
        <v>100</v>
      </c>
      <c r="N107" s="164">
        <f>ROUND(F107*('Model Data Inputs'!$E$184*'Model Data Inputs'!$E$185*'Model Data Inputs'!$E$186*'Model Data Inputs'!$E$187),2)</f>
        <v>547.05999999999995</v>
      </c>
      <c r="O107" s="171">
        <f t="shared" si="7"/>
        <v>54705.999999999993</v>
      </c>
    </row>
    <row r="108" spans="1:15" x14ac:dyDescent="0.2">
      <c r="A108" s="168">
        <v>101</v>
      </c>
      <c r="B108" s="159">
        <v>1564.1696768919344</v>
      </c>
      <c r="C108" s="169">
        <f t="shared" si="4"/>
        <v>157981.13736608537</v>
      </c>
      <c r="D108" s="153"/>
      <c r="E108" s="170">
        <v>101</v>
      </c>
      <c r="F108" s="162">
        <v>544.68443615661272</v>
      </c>
      <c r="G108" s="171">
        <f t="shared" si="5"/>
        <v>55013.128051817883</v>
      </c>
      <c r="I108" s="168">
        <v>101</v>
      </c>
      <c r="J108" s="167">
        <f>ROUND(B108*('Model Data Inputs'!$E$184*'Model Data Inputs'!$E$185*'Model Data Inputs'!$E$186*'Model Data Inputs'!$E$187),2)</f>
        <v>1564.17</v>
      </c>
      <c r="K108" s="169">
        <f t="shared" si="6"/>
        <v>157981.17000000001</v>
      </c>
      <c r="L108" s="153"/>
      <c r="M108" s="170">
        <v>101</v>
      </c>
      <c r="N108" s="164">
        <f>ROUND(F108*('Model Data Inputs'!$E$184*'Model Data Inputs'!$E$185*'Model Data Inputs'!$E$186*'Model Data Inputs'!$E$187),2)</f>
        <v>544.67999999999995</v>
      </c>
      <c r="O108" s="171">
        <f t="shared" si="7"/>
        <v>55012.679999999993</v>
      </c>
    </row>
    <row r="109" spans="1:15" x14ac:dyDescent="0.2">
      <c r="A109" s="168">
        <v>102</v>
      </c>
      <c r="B109" s="159">
        <v>1559.6391392211326</v>
      </c>
      <c r="C109" s="169">
        <f t="shared" si="4"/>
        <v>159083.19220055552</v>
      </c>
      <c r="D109" s="153"/>
      <c r="E109" s="170">
        <v>102</v>
      </c>
      <c r="F109" s="162">
        <v>542.30590150090711</v>
      </c>
      <c r="G109" s="171">
        <f t="shared" si="5"/>
        <v>55315.201953092524</v>
      </c>
      <c r="I109" s="168">
        <v>102</v>
      </c>
      <c r="J109" s="167">
        <f>ROUND(B109*('Model Data Inputs'!$E$184*'Model Data Inputs'!$E$185*'Model Data Inputs'!$E$186*'Model Data Inputs'!$E$187),2)</f>
        <v>1559.64</v>
      </c>
      <c r="K109" s="169">
        <f t="shared" si="6"/>
        <v>159083.28</v>
      </c>
      <c r="L109" s="153"/>
      <c r="M109" s="170">
        <v>102</v>
      </c>
      <c r="N109" s="164">
        <f>ROUND(F109*('Model Data Inputs'!$E$184*'Model Data Inputs'!$E$185*'Model Data Inputs'!$E$186*'Model Data Inputs'!$E$187),2)</f>
        <v>542.30999999999995</v>
      </c>
      <c r="O109" s="171">
        <f t="shared" si="7"/>
        <v>55315.619999999995</v>
      </c>
    </row>
    <row r="110" spans="1:15" x14ac:dyDescent="0.2">
      <c r="A110" s="168">
        <v>103</v>
      </c>
      <c r="B110" s="159">
        <v>1555.1086015503308</v>
      </c>
      <c r="C110" s="169">
        <f t="shared" si="4"/>
        <v>160176.18595968408</v>
      </c>
      <c r="D110" s="153"/>
      <c r="E110" s="170">
        <v>103</v>
      </c>
      <c r="F110" s="162">
        <v>539.9273668452015</v>
      </c>
      <c r="G110" s="171">
        <f t="shared" si="5"/>
        <v>55612.518785055756</v>
      </c>
      <c r="I110" s="168">
        <v>103</v>
      </c>
      <c r="J110" s="167">
        <f>ROUND(B110*('Model Data Inputs'!$E$184*'Model Data Inputs'!$E$185*'Model Data Inputs'!$E$186*'Model Data Inputs'!$E$187),2)</f>
        <v>1555.11</v>
      </c>
      <c r="K110" s="169">
        <f t="shared" si="6"/>
        <v>160176.32999999999</v>
      </c>
      <c r="L110" s="153"/>
      <c r="M110" s="170">
        <v>103</v>
      </c>
      <c r="N110" s="164">
        <f>ROUND(F110*('Model Data Inputs'!$E$184*'Model Data Inputs'!$E$185*'Model Data Inputs'!$E$186*'Model Data Inputs'!$E$187),2)</f>
        <v>539.92999999999995</v>
      </c>
      <c r="O110" s="171">
        <f t="shared" si="7"/>
        <v>55612.789999999994</v>
      </c>
    </row>
    <row r="111" spans="1:15" x14ac:dyDescent="0.2">
      <c r="A111" s="168">
        <v>104</v>
      </c>
      <c r="B111" s="159">
        <v>1550.5780638795286</v>
      </c>
      <c r="C111" s="169">
        <f t="shared" si="4"/>
        <v>161260.11864347098</v>
      </c>
      <c r="D111" s="153"/>
      <c r="E111" s="170">
        <v>104</v>
      </c>
      <c r="F111" s="162">
        <v>537.54883218949556</v>
      </c>
      <c r="G111" s="171">
        <f t="shared" si="5"/>
        <v>55905.078547707541</v>
      </c>
      <c r="I111" s="168">
        <v>104</v>
      </c>
      <c r="J111" s="167">
        <f>ROUND(B111*('Model Data Inputs'!$E$184*'Model Data Inputs'!$E$185*'Model Data Inputs'!$E$186*'Model Data Inputs'!$E$187),2)</f>
        <v>1550.58</v>
      </c>
      <c r="K111" s="169">
        <f t="shared" si="6"/>
        <v>161260.32</v>
      </c>
      <c r="L111" s="153"/>
      <c r="M111" s="170">
        <v>104</v>
      </c>
      <c r="N111" s="164">
        <f>ROUND(F111*('Model Data Inputs'!$E$184*'Model Data Inputs'!$E$185*'Model Data Inputs'!$E$186*'Model Data Inputs'!$E$187),2)</f>
        <v>537.54999999999995</v>
      </c>
      <c r="O111" s="171">
        <f t="shared" si="7"/>
        <v>55905.2</v>
      </c>
    </row>
    <row r="112" spans="1:15" x14ac:dyDescent="0.2">
      <c r="A112" s="168">
        <v>105</v>
      </c>
      <c r="B112" s="159">
        <v>1546.0475262087266</v>
      </c>
      <c r="C112" s="169">
        <f t="shared" si="4"/>
        <v>162334.99025191629</v>
      </c>
      <c r="D112" s="153"/>
      <c r="E112" s="170">
        <v>105</v>
      </c>
      <c r="F112" s="162">
        <v>535.17029753378995</v>
      </c>
      <c r="G112" s="171">
        <f t="shared" si="5"/>
        <v>56192.881241047944</v>
      </c>
      <c r="I112" s="168">
        <v>105</v>
      </c>
      <c r="J112" s="167">
        <f>ROUND(B112*('Model Data Inputs'!$E$184*'Model Data Inputs'!$E$185*'Model Data Inputs'!$E$186*'Model Data Inputs'!$E$187),2)</f>
        <v>1546.05</v>
      </c>
      <c r="K112" s="169">
        <f t="shared" si="6"/>
        <v>162335.25</v>
      </c>
      <c r="L112" s="153"/>
      <c r="M112" s="170">
        <v>105</v>
      </c>
      <c r="N112" s="164">
        <f>ROUND(F112*('Model Data Inputs'!$E$184*'Model Data Inputs'!$E$185*'Model Data Inputs'!$E$186*'Model Data Inputs'!$E$187),2)</f>
        <v>535.16999999999996</v>
      </c>
      <c r="O112" s="171">
        <f t="shared" si="7"/>
        <v>56192.85</v>
      </c>
    </row>
    <row r="113" spans="1:15" x14ac:dyDescent="0.2">
      <c r="A113" s="168">
        <v>106</v>
      </c>
      <c r="B113" s="159">
        <v>1543.2159401644751</v>
      </c>
      <c r="C113" s="169">
        <f t="shared" si="4"/>
        <v>163580.88965743437</v>
      </c>
      <c r="D113" s="153"/>
      <c r="E113" s="170">
        <v>106</v>
      </c>
      <c r="F113" s="162">
        <v>533.5846474055636</v>
      </c>
      <c r="G113" s="171">
        <f t="shared" si="5"/>
        <v>56559.972624989743</v>
      </c>
      <c r="I113" s="168">
        <v>106</v>
      </c>
      <c r="J113" s="167">
        <f>ROUND(B113*('Model Data Inputs'!$E$184*'Model Data Inputs'!$E$185*'Model Data Inputs'!$E$186*'Model Data Inputs'!$E$187),2)</f>
        <v>1543.22</v>
      </c>
      <c r="K113" s="169">
        <f t="shared" si="6"/>
        <v>163581.32</v>
      </c>
      <c r="L113" s="153"/>
      <c r="M113" s="170">
        <v>106</v>
      </c>
      <c r="N113" s="164">
        <f>ROUND(F113*('Model Data Inputs'!$E$184*'Model Data Inputs'!$E$185*'Model Data Inputs'!$E$186*'Model Data Inputs'!$E$187),2)</f>
        <v>533.58000000000004</v>
      </c>
      <c r="O113" s="171">
        <f t="shared" si="7"/>
        <v>56559.48</v>
      </c>
    </row>
    <row r="114" spans="1:15" x14ac:dyDescent="0.2">
      <c r="A114" s="168">
        <v>107</v>
      </c>
      <c r="B114" s="159">
        <v>1540.3843541202241</v>
      </c>
      <c r="C114" s="169">
        <f t="shared" si="4"/>
        <v>164821.12589086397</v>
      </c>
      <c r="D114" s="153"/>
      <c r="E114" s="170">
        <v>107</v>
      </c>
      <c r="F114" s="162">
        <v>531.99899727733748</v>
      </c>
      <c r="G114" s="171">
        <f t="shared" si="5"/>
        <v>56923.892708675114</v>
      </c>
      <c r="I114" s="168">
        <v>107</v>
      </c>
      <c r="J114" s="167">
        <f>ROUND(B114*('Model Data Inputs'!$E$184*'Model Data Inputs'!$E$185*'Model Data Inputs'!$E$186*'Model Data Inputs'!$E$187),2)</f>
        <v>1540.38</v>
      </c>
      <c r="K114" s="169">
        <f t="shared" si="6"/>
        <v>164820.66</v>
      </c>
      <c r="L114" s="153"/>
      <c r="M114" s="170">
        <v>107</v>
      </c>
      <c r="N114" s="164">
        <f>ROUND(F114*('Model Data Inputs'!$E$184*'Model Data Inputs'!$E$185*'Model Data Inputs'!$E$186*'Model Data Inputs'!$E$187),2)</f>
        <v>532</v>
      </c>
      <c r="O114" s="171">
        <f t="shared" si="7"/>
        <v>56924</v>
      </c>
    </row>
    <row r="115" spans="1:15" x14ac:dyDescent="0.2">
      <c r="A115" s="168">
        <v>108</v>
      </c>
      <c r="B115" s="159">
        <v>1537.5527680759728</v>
      </c>
      <c r="C115" s="169">
        <f t="shared" si="4"/>
        <v>166055.69895220507</v>
      </c>
      <c r="D115" s="153"/>
      <c r="E115" s="170">
        <v>108</v>
      </c>
      <c r="F115" s="162">
        <v>530.41334714911125</v>
      </c>
      <c r="G115" s="171">
        <f t="shared" si="5"/>
        <v>57284.641492104012</v>
      </c>
      <c r="I115" s="168">
        <v>108</v>
      </c>
      <c r="J115" s="167">
        <f>ROUND(B115*('Model Data Inputs'!$E$184*'Model Data Inputs'!$E$185*'Model Data Inputs'!$E$186*'Model Data Inputs'!$E$187),2)</f>
        <v>1537.55</v>
      </c>
      <c r="K115" s="169">
        <f t="shared" si="6"/>
        <v>166055.4</v>
      </c>
      <c r="L115" s="153"/>
      <c r="M115" s="170">
        <v>108</v>
      </c>
      <c r="N115" s="164">
        <f>ROUND(F115*('Model Data Inputs'!$E$184*'Model Data Inputs'!$E$185*'Model Data Inputs'!$E$186*'Model Data Inputs'!$E$187),2)</f>
        <v>530.41</v>
      </c>
      <c r="O115" s="171">
        <f t="shared" si="7"/>
        <v>57284.28</v>
      </c>
    </row>
    <row r="116" spans="1:15" x14ac:dyDescent="0.2">
      <c r="A116" s="168">
        <v>109</v>
      </c>
      <c r="B116" s="159">
        <v>1534.7211820317216</v>
      </c>
      <c r="C116" s="169">
        <f t="shared" si="4"/>
        <v>167284.60884145767</v>
      </c>
      <c r="D116" s="153"/>
      <c r="E116" s="170">
        <v>109</v>
      </c>
      <c r="F116" s="162">
        <v>528.8276970208849</v>
      </c>
      <c r="G116" s="171">
        <f t="shared" si="5"/>
        <v>57642.218975276453</v>
      </c>
      <c r="I116" s="168">
        <v>109</v>
      </c>
      <c r="J116" s="167">
        <f>ROUND(B116*('Model Data Inputs'!$E$184*'Model Data Inputs'!$E$185*'Model Data Inputs'!$E$186*'Model Data Inputs'!$E$187),2)</f>
        <v>1534.72</v>
      </c>
      <c r="K116" s="169">
        <f t="shared" si="6"/>
        <v>167284.48000000001</v>
      </c>
      <c r="L116" s="153"/>
      <c r="M116" s="170">
        <v>109</v>
      </c>
      <c r="N116" s="164">
        <f>ROUND(F116*('Model Data Inputs'!$E$184*'Model Data Inputs'!$E$185*'Model Data Inputs'!$E$186*'Model Data Inputs'!$E$187),2)</f>
        <v>528.83000000000004</v>
      </c>
      <c r="O116" s="171">
        <f t="shared" si="7"/>
        <v>57642.47</v>
      </c>
    </row>
    <row r="117" spans="1:15" x14ac:dyDescent="0.2">
      <c r="A117" s="168">
        <v>110</v>
      </c>
      <c r="B117" s="159">
        <v>1531.8895959874703</v>
      </c>
      <c r="C117" s="169">
        <f t="shared" si="4"/>
        <v>168507.85555862173</v>
      </c>
      <c r="D117" s="153"/>
      <c r="E117" s="170">
        <v>110</v>
      </c>
      <c r="F117" s="162">
        <v>527.24204689265878</v>
      </c>
      <c r="G117" s="171">
        <f t="shared" si="5"/>
        <v>57996.625158192466</v>
      </c>
      <c r="I117" s="168">
        <v>110</v>
      </c>
      <c r="J117" s="167">
        <f>ROUND(B117*('Model Data Inputs'!$E$184*'Model Data Inputs'!$E$185*'Model Data Inputs'!$E$186*'Model Data Inputs'!$E$187),2)</f>
        <v>1531.89</v>
      </c>
      <c r="K117" s="169">
        <f t="shared" si="6"/>
        <v>168507.90000000002</v>
      </c>
      <c r="L117" s="153"/>
      <c r="M117" s="170">
        <v>110</v>
      </c>
      <c r="N117" s="164">
        <f>ROUND(F117*('Model Data Inputs'!$E$184*'Model Data Inputs'!$E$185*'Model Data Inputs'!$E$186*'Model Data Inputs'!$E$187),2)</f>
        <v>527.24</v>
      </c>
      <c r="O117" s="171">
        <f t="shared" si="7"/>
        <v>57996.4</v>
      </c>
    </row>
    <row r="118" spans="1:15" x14ac:dyDescent="0.2">
      <c r="A118" s="168">
        <v>111</v>
      </c>
      <c r="B118" s="159">
        <v>1529.0580099432191</v>
      </c>
      <c r="C118" s="169">
        <f t="shared" si="4"/>
        <v>169725.43910369731</v>
      </c>
      <c r="D118" s="153"/>
      <c r="E118" s="170">
        <v>111</v>
      </c>
      <c r="F118" s="162">
        <v>525.65639676443254</v>
      </c>
      <c r="G118" s="171">
        <f t="shared" si="5"/>
        <v>58347.860040852014</v>
      </c>
      <c r="I118" s="168">
        <v>111</v>
      </c>
      <c r="J118" s="167">
        <f>ROUND(B118*('Model Data Inputs'!$E$184*'Model Data Inputs'!$E$185*'Model Data Inputs'!$E$186*'Model Data Inputs'!$E$187),2)</f>
        <v>1529.06</v>
      </c>
      <c r="K118" s="169">
        <f t="shared" si="6"/>
        <v>169725.66</v>
      </c>
      <c r="L118" s="153"/>
      <c r="M118" s="170">
        <v>111</v>
      </c>
      <c r="N118" s="164">
        <f>ROUND(F118*('Model Data Inputs'!$E$184*'Model Data Inputs'!$E$185*'Model Data Inputs'!$E$186*'Model Data Inputs'!$E$187),2)</f>
        <v>525.66</v>
      </c>
      <c r="O118" s="171">
        <f t="shared" si="7"/>
        <v>58348.259999999995</v>
      </c>
    </row>
    <row r="119" spans="1:15" x14ac:dyDescent="0.2">
      <c r="A119" s="168">
        <v>112</v>
      </c>
      <c r="B119" s="159">
        <v>1526.2264238989676</v>
      </c>
      <c r="C119" s="169">
        <f t="shared" si="4"/>
        <v>170937.35947668436</v>
      </c>
      <c r="D119" s="153"/>
      <c r="E119" s="170">
        <v>112</v>
      </c>
      <c r="F119" s="162">
        <v>524.07074663620631</v>
      </c>
      <c r="G119" s="171">
        <f t="shared" si="5"/>
        <v>58695.923623255105</v>
      </c>
      <c r="I119" s="168">
        <v>112</v>
      </c>
      <c r="J119" s="167">
        <f>ROUND(B119*('Model Data Inputs'!$E$184*'Model Data Inputs'!$E$185*'Model Data Inputs'!$E$186*'Model Data Inputs'!$E$187),2)</f>
        <v>1526.23</v>
      </c>
      <c r="K119" s="169">
        <f t="shared" si="6"/>
        <v>170937.76</v>
      </c>
      <c r="L119" s="153"/>
      <c r="M119" s="170">
        <v>112</v>
      </c>
      <c r="N119" s="164">
        <f>ROUND(F119*('Model Data Inputs'!$E$184*'Model Data Inputs'!$E$185*'Model Data Inputs'!$E$186*'Model Data Inputs'!$E$187),2)</f>
        <v>524.07000000000005</v>
      </c>
      <c r="O119" s="171">
        <f t="shared" si="7"/>
        <v>58695.840000000004</v>
      </c>
    </row>
    <row r="120" spans="1:15" x14ac:dyDescent="0.2">
      <c r="A120" s="168">
        <v>113</v>
      </c>
      <c r="B120" s="159">
        <v>1523.3948378547166</v>
      </c>
      <c r="C120" s="169">
        <f t="shared" si="4"/>
        <v>172143.61667758296</v>
      </c>
      <c r="D120" s="153"/>
      <c r="E120" s="170">
        <v>113</v>
      </c>
      <c r="F120" s="162">
        <v>522.48509650797996</v>
      </c>
      <c r="G120" s="171">
        <f t="shared" si="5"/>
        <v>59040.815905401738</v>
      </c>
      <c r="I120" s="168">
        <v>113</v>
      </c>
      <c r="J120" s="167">
        <f>ROUND(B120*('Model Data Inputs'!$E$184*'Model Data Inputs'!$E$185*'Model Data Inputs'!$E$186*'Model Data Inputs'!$E$187),2)</f>
        <v>1523.39</v>
      </c>
      <c r="K120" s="169">
        <f t="shared" si="6"/>
        <v>172143.07</v>
      </c>
      <c r="L120" s="153"/>
      <c r="M120" s="170">
        <v>113</v>
      </c>
      <c r="N120" s="164">
        <f>ROUND(F120*('Model Data Inputs'!$E$184*'Model Data Inputs'!$E$185*'Model Data Inputs'!$E$186*'Model Data Inputs'!$E$187),2)</f>
        <v>522.49</v>
      </c>
      <c r="O120" s="171">
        <f t="shared" si="7"/>
        <v>59041.37</v>
      </c>
    </row>
    <row r="121" spans="1:15" x14ac:dyDescent="0.2">
      <c r="A121" s="168">
        <v>114</v>
      </c>
      <c r="B121" s="159">
        <v>1520.5632518104653</v>
      </c>
      <c r="C121" s="169">
        <f t="shared" si="4"/>
        <v>173344.21070639306</v>
      </c>
      <c r="D121" s="153"/>
      <c r="E121" s="170">
        <v>114</v>
      </c>
      <c r="F121" s="162">
        <v>520.89944637975373</v>
      </c>
      <c r="G121" s="171">
        <f t="shared" si="5"/>
        <v>59382.536887291928</v>
      </c>
      <c r="I121" s="168">
        <v>114</v>
      </c>
      <c r="J121" s="167">
        <f>ROUND(B121*('Model Data Inputs'!$E$184*'Model Data Inputs'!$E$185*'Model Data Inputs'!$E$186*'Model Data Inputs'!$E$187),2)</f>
        <v>1520.56</v>
      </c>
      <c r="K121" s="169">
        <f t="shared" si="6"/>
        <v>173343.84</v>
      </c>
      <c r="L121" s="153"/>
      <c r="M121" s="170">
        <v>114</v>
      </c>
      <c r="N121" s="164">
        <f>ROUND(F121*('Model Data Inputs'!$E$184*'Model Data Inputs'!$E$185*'Model Data Inputs'!$E$186*'Model Data Inputs'!$E$187),2)</f>
        <v>520.9</v>
      </c>
      <c r="O121" s="171">
        <f t="shared" si="7"/>
        <v>59382.6</v>
      </c>
    </row>
    <row r="122" spans="1:15" x14ac:dyDescent="0.2">
      <c r="A122" s="168">
        <v>115</v>
      </c>
      <c r="B122" s="159">
        <v>1517.7316657662141</v>
      </c>
      <c r="C122" s="169">
        <f t="shared" si="4"/>
        <v>174539.14156311462</v>
      </c>
      <c r="D122" s="153"/>
      <c r="E122" s="170">
        <v>115</v>
      </c>
      <c r="F122" s="162">
        <v>519.31379625152749</v>
      </c>
      <c r="G122" s="171">
        <f t="shared" si="5"/>
        <v>59721.086568925661</v>
      </c>
      <c r="I122" s="168">
        <v>115</v>
      </c>
      <c r="J122" s="167">
        <f>ROUND(B122*('Model Data Inputs'!$E$184*'Model Data Inputs'!$E$185*'Model Data Inputs'!$E$186*'Model Data Inputs'!$E$187),2)</f>
        <v>1517.73</v>
      </c>
      <c r="K122" s="169">
        <f t="shared" si="6"/>
        <v>174538.95</v>
      </c>
      <c r="L122" s="153"/>
      <c r="M122" s="170">
        <v>115</v>
      </c>
      <c r="N122" s="164">
        <f>ROUND(F122*('Model Data Inputs'!$E$184*'Model Data Inputs'!$E$185*'Model Data Inputs'!$E$186*'Model Data Inputs'!$E$187),2)</f>
        <v>519.30999999999995</v>
      </c>
      <c r="O122" s="171">
        <f t="shared" si="7"/>
        <v>59720.649999999994</v>
      </c>
    </row>
    <row r="123" spans="1:15" x14ac:dyDescent="0.2">
      <c r="A123" s="168">
        <v>116</v>
      </c>
      <c r="B123" s="159">
        <v>1514.9000797219624</v>
      </c>
      <c r="C123" s="169">
        <f t="shared" si="4"/>
        <v>175728.40924774762</v>
      </c>
      <c r="D123" s="153"/>
      <c r="E123" s="170">
        <v>116</v>
      </c>
      <c r="F123" s="162">
        <v>517.72814612330126</v>
      </c>
      <c r="G123" s="171">
        <f t="shared" si="5"/>
        <v>60056.464950302943</v>
      </c>
      <c r="I123" s="168">
        <v>116</v>
      </c>
      <c r="J123" s="167">
        <f>ROUND(B123*('Model Data Inputs'!$E$184*'Model Data Inputs'!$E$185*'Model Data Inputs'!$E$186*'Model Data Inputs'!$E$187),2)</f>
        <v>1514.9</v>
      </c>
      <c r="K123" s="169">
        <f t="shared" si="6"/>
        <v>175728.40000000002</v>
      </c>
      <c r="L123" s="153"/>
      <c r="M123" s="170">
        <v>116</v>
      </c>
      <c r="N123" s="164">
        <f>ROUND(F123*('Model Data Inputs'!$E$184*'Model Data Inputs'!$E$185*'Model Data Inputs'!$E$186*'Model Data Inputs'!$E$187),2)</f>
        <v>517.73</v>
      </c>
      <c r="O123" s="171">
        <f t="shared" si="7"/>
        <v>60056.68</v>
      </c>
    </row>
    <row r="124" spans="1:15" x14ac:dyDescent="0.2">
      <c r="A124" s="168">
        <v>117</v>
      </c>
      <c r="B124" s="159">
        <v>1512.0684936777116</v>
      </c>
      <c r="C124" s="169">
        <f t="shared" si="4"/>
        <v>176912.01376029226</v>
      </c>
      <c r="D124" s="153"/>
      <c r="E124" s="170">
        <v>117</v>
      </c>
      <c r="F124" s="162">
        <v>516.14249599507514</v>
      </c>
      <c r="G124" s="171">
        <f t="shared" si="5"/>
        <v>60388.67203142379</v>
      </c>
      <c r="I124" s="168">
        <v>117</v>
      </c>
      <c r="J124" s="167">
        <f>ROUND(B124*('Model Data Inputs'!$E$184*'Model Data Inputs'!$E$185*'Model Data Inputs'!$E$186*'Model Data Inputs'!$E$187),2)</f>
        <v>1512.07</v>
      </c>
      <c r="K124" s="169">
        <f t="shared" si="6"/>
        <v>176912.19</v>
      </c>
      <c r="L124" s="153"/>
      <c r="M124" s="170">
        <v>117</v>
      </c>
      <c r="N124" s="164">
        <f>ROUND(F124*('Model Data Inputs'!$E$184*'Model Data Inputs'!$E$185*'Model Data Inputs'!$E$186*'Model Data Inputs'!$E$187),2)</f>
        <v>516.14</v>
      </c>
      <c r="O124" s="171">
        <f t="shared" si="7"/>
        <v>60388.38</v>
      </c>
    </row>
    <row r="125" spans="1:15" x14ac:dyDescent="0.2">
      <c r="A125" s="168">
        <v>118</v>
      </c>
      <c r="B125" s="159">
        <v>1509.2369076334599</v>
      </c>
      <c r="C125" s="169">
        <f t="shared" si="4"/>
        <v>178089.95510074825</v>
      </c>
      <c r="D125" s="153"/>
      <c r="E125" s="170">
        <v>118</v>
      </c>
      <c r="F125" s="162">
        <v>514.5568458668489</v>
      </c>
      <c r="G125" s="171">
        <f t="shared" si="5"/>
        <v>60717.707812288172</v>
      </c>
      <c r="I125" s="168">
        <v>118</v>
      </c>
      <c r="J125" s="167">
        <f>ROUND(B125*('Model Data Inputs'!$E$184*'Model Data Inputs'!$E$185*'Model Data Inputs'!$E$186*'Model Data Inputs'!$E$187),2)</f>
        <v>1509.24</v>
      </c>
      <c r="K125" s="169">
        <f t="shared" si="6"/>
        <v>178090.32</v>
      </c>
      <c r="L125" s="153"/>
      <c r="M125" s="170">
        <v>118</v>
      </c>
      <c r="N125" s="164">
        <f>ROUND(F125*('Model Data Inputs'!$E$184*'Model Data Inputs'!$E$185*'Model Data Inputs'!$E$186*'Model Data Inputs'!$E$187),2)</f>
        <v>514.55999999999995</v>
      </c>
      <c r="O125" s="171">
        <f t="shared" si="7"/>
        <v>60718.079999999994</v>
      </c>
    </row>
    <row r="126" spans="1:15" x14ac:dyDescent="0.2">
      <c r="A126" s="168">
        <v>119</v>
      </c>
      <c r="B126" s="159">
        <v>1506.4053215892088</v>
      </c>
      <c r="C126" s="169">
        <f t="shared" si="4"/>
        <v>179262.23326911585</v>
      </c>
      <c r="D126" s="153"/>
      <c r="E126" s="170">
        <v>119</v>
      </c>
      <c r="F126" s="162">
        <v>512.97119573862267</v>
      </c>
      <c r="G126" s="171">
        <f t="shared" si="5"/>
        <v>61043.572292896097</v>
      </c>
      <c r="I126" s="168">
        <v>119</v>
      </c>
      <c r="J126" s="167">
        <f>ROUND(B126*('Model Data Inputs'!$E$184*'Model Data Inputs'!$E$185*'Model Data Inputs'!$E$186*'Model Data Inputs'!$E$187),2)</f>
        <v>1506.41</v>
      </c>
      <c r="K126" s="169">
        <f t="shared" si="6"/>
        <v>179262.79</v>
      </c>
      <c r="L126" s="153"/>
      <c r="M126" s="170">
        <v>119</v>
      </c>
      <c r="N126" s="164">
        <f>ROUND(F126*('Model Data Inputs'!$E$184*'Model Data Inputs'!$E$185*'Model Data Inputs'!$E$186*'Model Data Inputs'!$E$187),2)</f>
        <v>512.97</v>
      </c>
      <c r="O126" s="171">
        <f t="shared" si="7"/>
        <v>61043.43</v>
      </c>
    </row>
    <row r="127" spans="1:15" x14ac:dyDescent="0.2">
      <c r="A127" s="168">
        <v>120</v>
      </c>
      <c r="B127" s="159">
        <v>1503.5737355449573</v>
      </c>
      <c r="C127" s="169">
        <f t="shared" si="4"/>
        <v>180428.84826539489</v>
      </c>
      <c r="D127" s="153"/>
      <c r="E127" s="170">
        <v>120</v>
      </c>
      <c r="F127" s="162">
        <v>511.38554561039638</v>
      </c>
      <c r="G127" s="171">
        <f t="shared" si="5"/>
        <v>61366.265473247564</v>
      </c>
      <c r="I127" s="168">
        <v>120</v>
      </c>
      <c r="J127" s="167">
        <f>ROUND(B127*('Model Data Inputs'!$E$184*'Model Data Inputs'!$E$185*'Model Data Inputs'!$E$186*'Model Data Inputs'!$E$187),2)</f>
        <v>1503.57</v>
      </c>
      <c r="K127" s="169">
        <f t="shared" si="6"/>
        <v>180428.4</v>
      </c>
      <c r="L127" s="153"/>
      <c r="M127" s="170">
        <v>120</v>
      </c>
      <c r="N127" s="164">
        <f>ROUND(F127*('Model Data Inputs'!$E$184*'Model Data Inputs'!$E$185*'Model Data Inputs'!$E$186*'Model Data Inputs'!$E$187),2)</f>
        <v>511.39</v>
      </c>
      <c r="O127" s="171">
        <f t="shared" si="7"/>
        <v>61366.799999999996</v>
      </c>
    </row>
    <row r="128" spans="1:15" x14ac:dyDescent="0.2">
      <c r="A128" s="168">
        <v>121</v>
      </c>
      <c r="B128" s="159">
        <v>1500.7421495007063</v>
      </c>
      <c r="C128" s="169">
        <f t="shared" si="4"/>
        <v>181589.80008958548</v>
      </c>
      <c r="D128" s="153"/>
      <c r="E128" s="170">
        <v>121</v>
      </c>
      <c r="F128" s="162">
        <v>509.79989548217014</v>
      </c>
      <c r="G128" s="171">
        <f t="shared" si="5"/>
        <v>61685.787353342588</v>
      </c>
      <c r="I128" s="168">
        <v>121</v>
      </c>
      <c r="J128" s="167">
        <f>ROUND(B128*('Model Data Inputs'!$E$184*'Model Data Inputs'!$E$185*'Model Data Inputs'!$E$186*'Model Data Inputs'!$E$187),2)</f>
        <v>1500.74</v>
      </c>
      <c r="K128" s="169">
        <f t="shared" si="6"/>
        <v>181589.54</v>
      </c>
      <c r="L128" s="153"/>
      <c r="M128" s="170">
        <v>121</v>
      </c>
      <c r="N128" s="164">
        <f>ROUND(F128*('Model Data Inputs'!$E$184*'Model Data Inputs'!$E$185*'Model Data Inputs'!$E$186*'Model Data Inputs'!$E$187),2)</f>
        <v>509.8</v>
      </c>
      <c r="O128" s="171">
        <f t="shared" si="7"/>
        <v>61685.8</v>
      </c>
    </row>
    <row r="129" spans="1:15" x14ac:dyDescent="0.2">
      <c r="A129" s="168">
        <v>122</v>
      </c>
      <c r="B129" s="159">
        <v>1497.9105634564546</v>
      </c>
      <c r="C129" s="169">
        <f t="shared" si="4"/>
        <v>182745.08874168748</v>
      </c>
      <c r="D129" s="153"/>
      <c r="E129" s="170">
        <v>122</v>
      </c>
      <c r="F129" s="162">
        <v>508.21424535394397</v>
      </c>
      <c r="G129" s="171">
        <f t="shared" si="5"/>
        <v>62002.137933181162</v>
      </c>
      <c r="I129" s="168">
        <v>122</v>
      </c>
      <c r="J129" s="167">
        <f>ROUND(B129*('Model Data Inputs'!$E$184*'Model Data Inputs'!$E$185*'Model Data Inputs'!$E$186*'Model Data Inputs'!$E$187),2)</f>
        <v>1497.91</v>
      </c>
      <c r="K129" s="169">
        <f t="shared" si="6"/>
        <v>182745.02000000002</v>
      </c>
      <c r="L129" s="153"/>
      <c r="M129" s="170">
        <v>122</v>
      </c>
      <c r="N129" s="164">
        <f>ROUND(F129*('Model Data Inputs'!$E$184*'Model Data Inputs'!$E$185*'Model Data Inputs'!$E$186*'Model Data Inputs'!$E$187),2)</f>
        <v>508.21</v>
      </c>
      <c r="O129" s="171">
        <f t="shared" si="7"/>
        <v>62001.619999999995</v>
      </c>
    </row>
    <row r="130" spans="1:15" x14ac:dyDescent="0.2">
      <c r="A130" s="168">
        <v>123</v>
      </c>
      <c r="B130" s="159">
        <v>1495.0789774122038</v>
      </c>
      <c r="C130" s="169">
        <f t="shared" si="4"/>
        <v>183894.71422170106</v>
      </c>
      <c r="D130" s="153"/>
      <c r="E130" s="170">
        <v>123</v>
      </c>
      <c r="F130" s="162">
        <v>506.62859522571767</v>
      </c>
      <c r="G130" s="171">
        <f t="shared" si="5"/>
        <v>62315.317212763272</v>
      </c>
      <c r="I130" s="168">
        <v>123</v>
      </c>
      <c r="J130" s="167">
        <f>ROUND(B130*('Model Data Inputs'!$E$184*'Model Data Inputs'!$E$185*'Model Data Inputs'!$E$186*'Model Data Inputs'!$E$187),2)</f>
        <v>1495.08</v>
      </c>
      <c r="K130" s="169">
        <f t="shared" si="6"/>
        <v>183894.84</v>
      </c>
      <c r="L130" s="153"/>
      <c r="M130" s="170">
        <v>123</v>
      </c>
      <c r="N130" s="164">
        <f>ROUND(F130*('Model Data Inputs'!$E$184*'Model Data Inputs'!$E$185*'Model Data Inputs'!$E$186*'Model Data Inputs'!$E$187),2)</f>
        <v>506.63</v>
      </c>
      <c r="O130" s="171">
        <f t="shared" si="7"/>
        <v>62315.49</v>
      </c>
    </row>
    <row r="131" spans="1:15" x14ac:dyDescent="0.2">
      <c r="A131" s="168">
        <v>124</v>
      </c>
      <c r="B131" s="159">
        <v>1492.2473913679521</v>
      </c>
      <c r="C131" s="169">
        <f t="shared" si="4"/>
        <v>185038.67652962607</v>
      </c>
      <c r="D131" s="153"/>
      <c r="E131" s="170">
        <v>124</v>
      </c>
      <c r="F131" s="162">
        <v>505.04294509749144</v>
      </c>
      <c r="G131" s="171">
        <f t="shared" si="5"/>
        <v>62625.325192088938</v>
      </c>
      <c r="I131" s="168">
        <v>124</v>
      </c>
      <c r="J131" s="167">
        <f>ROUND(B131*('Model Data Inputs'!$E$184*'Model Data Inputs'!$E$185*'Model Data Inputs'!$E$186*'Model Data Inputs'!$E$187),2)</f>
        <v>1492.25</v>
      </c>
      <c r="K131" s="169">
        <f t="shared" si="6"/>
        <v>185039</v>
      </c>
      <c r="L131" s="153"/>
      <c r="M131" s="170">
        <v>124</v>
      </c>
      <c r="N131" s="164">
        <f>ROUND(F131*('Model Data Inputs'!$E$184*'Model Data Inputs'!$E$185*'Model Data Inputs'!$E$186*'Model Data Inputs'!$E$187),2)</f>
        <v>505.04</v>
      </c>
      <c r="O131" s="171">
        <f t="shared" si="7"/>
        <v>62624.959999999999</v>
      </c>
    </row>
    <row r="132" spans="1:15" x14ac:dyDescent="0.2">
      <c r="A132" s="168">
        <v>125</v>
      </c>
      <c r="B132" s="159">
        <v>1489.4158053237015</v>
      </c>
      <c r="C132" s="169">
        <f t="shared" si="4"/>
        <v>186176.9756654627</v>
      </c>
      <c r="D132" s="153"/>
      <c r="E132" s="170">
        <v>125</v>
      </c>
      <c r="F132" s="162">
        <v>503.45729496926521</v>
      </c>
      <c r="G132" s="171">
        <f t="shared" si="5"/>
        <v>62932.161871158154</v>
      </c>
      <c r="I132" s="168">
        <v>125</v>
      </c>
      <c r="J132" s="167">
        <f>ROUND(B132*('Model Data Inputs'!$E$184*'Model Data Inputs'!$E$185*'Model Data Inputs'!$E$186*'Model Data Inputs'!$E$187),2)</f>
        <v>1489.42</v>
      </c>
      <c r="K132" s="169">
        <f t="shared" si="6"/>
        <v>186177.5</v>
      </c>
      <c r="L132" s="153"/>
      <c r="M132" s="170">
        <v>125</v>
      </c>
      <c r="N132" s="164">
        <f>ROUND(F132*('Model Data Inputs'!$E$184*'Model Data Inputs'!$E$185*'Model Data Inputs'!$E$186*'Model Data Inputs'!$E$187),2)</f>
        <v>503.46</v>
      </c>
      <c r="O132" s="171">
        <f t="shared" si="7"/>
        <v>62932.5</v>
      </c>
    </row>
    <row r="133" spans="1:15" x14ac:dyDescent="0.2">
      <c r="A133" s="168">
        <v>126</v>
      </c>
      <c r="B133" s="159">
        <v>1486.5842192794498</v>
      </c>
      <c r="C133" s="169">
        <f t="shared" si="4"/>
        <v>187309.61162921067</v>
      </c>
      <c r="D133" s="153"/>
      <c r="E133" s="170">
        <v>126</v>
      </c>
      <c r="F133" s="162">
        <v>501.87164484103897</v>
      </c>
      <c r="G133" s="171">
        <f t="shared" si="5"/>
        <v>63235.827249970913</v>
      </c>
      <c r="I133" s="168">
        <v>126</v>
      </c>
      <c r="J133" s="167">
        <f>ROUND(B133*('Model Data Inputs'!$E$184*'Model Data Inputs'!$E$185*'Model Data Inputs'!$E$186*'Model Data Inputs'!$E$187),2)</f>
        <v>1486.58</v>
      </c>
      <c r="K133" s="169">
        <f t="shared" si="6"/>
        <v>187309.08</v>
      </c>
      <c r="L133" s="153"/>
      <c r="M133" s="170">
        <v>126</v>
      </c>
      <c r="N133" s="164">
        <f>ROUND(F133*('Model Data Inputs'!$E$184*'Model Data Inputs'!$E$185*'Model Data Inputs'!$E$186*'Model Data Inputs'!$E$187),2)</f>
        <v>501.87</v>
      </c>
      <c r="O133" s="171">
        <f t="shared" si="7"/>
        <v>63235.62</v>
      </c>
    </row>
    <row r="134" spans="1:15" x14ac:dyDescent="0.2">
      <c r="A134" s="168">
        <v>127</v>
      </c>
      <c r="B134" s="159">
        <v>1483.752633235199</v>
      </c>
      <c r="C134" s="169">
        <f t="shared" si="4"/>
        <v>188436.58442087029</v>
      </c>
      <c r="D134" s="153"/>
      <c r="E134" s="170">
        <v>127</v>
      </c>
      <c r="F134" s="162">
        <v>500.28599471281268</v>
      </c>
      <c r="G134" s="171">
        <f t="shared" si="5"/>
        <v>63536.321328527207</v>
      </c>
      <c r="I134" s="168">
        <v>127</v>
      </c>
      <c r="J134" s="167">
        <f>ROUND(B134*('Model Data Inputs'!$E$184*'Model Data Inputs'!$E$185*'Model Data Inputs'!$E$186*'Model Data Inputs'!$E$187),2)</f>
        <v>1483.75</v>
      </c>
      <c r="K134" s="169">
        <f t="shared" si="6"/>
        <v>188436.25</v>
      </c>
      <c r="L134" s="153"/>
      <c r="M134" s="170">
        <v>127</v>
      </c>
      <c r="N134" s="164">
        <f>ROUND(F134*('Model Data Inputs'!$E$184*'Model Data Inputs'!$E$185*'Model Data Inputs'!$E$186*'Model Data Inputs'!$E$187),2)</f>
        <v>500.29</v>
      </c>
      <c r="O134" s="171">
        <f t="shared" si="7"/>
        <v>63536.83</v>
      </c>
    </row>
    <row r="135" spans="1:15" x14ac:dyDescent="0.2">
      <c r="A135" s="168">
        <v>128</v>
      </c>
      <c r="B135" s="159">
        <v>1480.9210471909473</v>
      </c>
      <c r="C135" s="169">
        <f t="shared" si="4"/>
        <v>189557.89404044126</v>
      </c>
      <c r="D135" s="153"/>
      <c r="E135" s="170">
        <v>128</v>
      </c>
      <c r="F135" s="162">
        <v>498.7003445845865</v>
      </c>
      <c r="G135" s="171">
        <f t="shared" si="5"/>
        <v>63833.644106827072</v>
      </c>
      <c r="I135" s="168">
        <v>128</v>
      </c>
      <c r="J135" s="167">
        <f>ROUND(B135*('Model Data Inputs'!$E$184*'Model Data Inputs'!$E$185*'Model Data Inputs'!$E$186*'Model Data Inputs'!$E$187),2)</f>
        <v>1480.92</v>
      </c>
      <c r="K135" s="169">
        <f t="shared" si="6"/>
        <v>189557.76000000001</v>
      </c>
      <c r="L135" s="153"/>
      <c r="M135" s="170">
        <v>128</v>
      </c>
      <c r="N135" s="164">
        <f>ROUND(F135*('Model Data Inputs'!$E$184*'Model Data Inputs'!$E$185*'Model Data Inputs'!$E$186*'Model Data Inputs'!$E$187),2)</f>
        <v>498.7</v>
      </c>
      <c r="O135" s="171">
        <f t="shared" si="7"/>
        <v>63833.599999999999</v>
      </c>
    </row>
    <row r="136" spans="1:15" x14ac:dyDescent="0.2">
      <c r="A136" s="168">
        <v>129</v>
      </c>
      <c r="B136" s="159">
        <v>1478.0894611466963</v>
      </c>
      <c r="C136" s="169">
        <f t="shared" ref="C136:C199" si="8">A136*B136</f>
        <v>190673.54048792383</v>
      </c>
      <c r="D136" s="153"/>
      <c r="E136" s="170">
        <v>129</v>
      </c>
      <c r="F136" s="162">
        <v>497.11469445636027</v>
      </c>
      <c r="G136" s="171">
        <f t="shared" ref="G136:G199" si="9">E136*F136</f>
        <v>64127.795584870473</v>
      </c>
      <c r="I136" s="168">
        <v>129</v>
      </c>
      <c r="J136" s="167">
        <f>ROUND(B136*('Model Data Inputs'!$E$184*'Model Data Inputs'!$E$185*'Model Data Inputs'!$E$186*'Model Data Inputs'!$E$187),2)</f>
        <v>1478.09</v>
      </c>
      <c r="K136" s="169">
        <f t="shared" ref="K136:K199" si="10">I136*J136</f>
        <v>190673.61</v>
      </c>
      <c r="L136" s="153"/>
      <c r="M136" s="170">
        <v>129</v>
      </c>
      <c r="N136" s="164">
        <f>ROUND(F136*('Model Data Inputs'!$E$184*'Model Data Inputs'!$E$185*'Model Data Inputs'!$E$186*'Model Data Inputs'!$E$187),2)</f>
        <v>497.11</v>
      </c>
      <c r="O136" s="171">
        <f t="shared" ref="O136:O199" si="11">M136*N136</f>
        <v>64127.19</v>
      </c>
    </row>
    <row r="137" spans="1:15" x14ac:dyDescent="0.2">
      <c r="A137" s="168">
        <v>130</v>
      </c>
      <c r="B137" s="159">
        <v>1475.257875102445</v>
      </c>
      <c r="C137" s="169">
        <f t="shared" si="8"/>
        <v>191783.52376331785</v>
      </c>
      <c r="D137" s="153"/>
      <c r="E137" s="170">
        <v>130</v>
      </c>
      <c r="F137" s="162">
        <v>495.52904432813426</v>
      </c>
      <c r="G137" s="171">
        <f t="shared" si="9"/>
        <v>64418.775762657453</v>
      </c>
      <c r="I137" s="168">
        <v>130</v>
      </c>
      <c r="J137" s="167">
        <f>ROUND(B137*('Model Data Inputs'!$E$184*'Model Data Inputs'!$E$185*'Model Data Inputs'!$E$186*'Model Data Inputs'!$E$187),2)</f>
        <v>1475.26</v>
      </c>
      <c r="K137" s="169">
        <f t="shared" si="10"/>
        <v>191783.8</v>
      </c>
      <c r="L137" s="153"/>
      <c r="M137" s="170">
        <v>130</v>
      </c>
      <c r="N137" s="164">
        <f>ROUND(F137*('Model Data Inputs'!$E$184*'Model Data Inputs'!$E$185*'Model Data Inputs'!$E$186*'Model Data Inputs'!$E$187),2)</f>
        <v>495.53</v>
      </c>
      <c r="O137" s="171">
        <f t="shared" si="11"/>
        <v>64418.899999999994</v>
      </c>
    </row>
    <row r="138" spans="1:15" x14ac:dyDescent="0.2">
      <c r="A138" s="168">
        <v>131</v>
      </c>
      <c r="B138" s="159">
        <v>1472.4262890581938</v>
      </c>
      <c r="C138" s="169">
        <f t="shared" si="8"/>
        <v>192887.84386662339</v>
      </c>
      <c r="D138" s="153"/>
      <c r="E138" s="170">
        <v>131</v>
      </c>
      <c r="F138" s="162">
        <v>493.94339419990769</v>
      </c>
      <c r="G138" s="171">
        <f t="shared" si="9"/>
        <v>64706.58464018791</v>
      </c>
      <c r="I138" s="168">
        <v>131</v>
      </c>
      <c r="J138" s="167">
        <f>ROUND(B138*('Model Data Inputs'!$E$184*'Model Data Inputs'!$E$185*'Model Data Inputs'!$E$186*'Model Data Inputs'!$E$187),2)</f>
        <v>1472.43</v>
      </c>
      <c r="K138" s="169">
        <f t="shared" si="10"/>
        <v>192888.33000000002</v>
      </c>
      <c r="L138" s="153"/>
      <c r="M138" s="170">
        <v>131</v>
      </c>
      <c r="N138" s="164">
        <f>ROUND(F138*('Model Data Inputs'!$E$184*'Model Data Inputs'!$E$185*'Model Data Inputs'!$E$186*'Model Data Inputs'!$E$187),2)</f>
        <v>493.94</v>
      </c>
      <c r="O138" s="171">
        <f t="shared" si="11"/>
        <v>64706.14</v>
      </c>
    </row>
    <row r="139" spans="1:15" x14ac:dyDescent="0.2">
      <c r="A139" s="168">
        <v>132</v>
      </c>
      <c r="B139" s="159">
        <v>1469.5947030139423</v>
      </c>
      <c r="C139" s="169">
        <f t="shared" si="8"/>
        <v>193986.50079784039</v>
      </c>
      <c r="D139" s="153"/>
      <c r="E139" s="170">
        <v>132</v>
      </c>
      <c r="F139" s="162">
        <v>492.35774407168157</v>
      </c>
      <c r="G139" s="171">
        <f t="shared" si="9"/>
        <v>64991.222217461967</v>
      </c>
      <c r="I139" s="168">
        <v>132</v>
      </c>
      <c r="J139" s="167">
        <f>ROUND(B139*('Model Data Inputs'!$E$184*'Model Data Inputs'!$E$185*'Model Data Inputs'!$E$186*'Model Data Inputs'!$E$187),2)</f>
        <v>1469.59</v>
      </c>
      <c r="K139" s="169">
        <f t="shared" si="10"/>
        <v>193985.87999999998</v>
      </c>
      <c r="L139" s="153"/>
      <c r="M139" s="170">
        <v>132</v>
      </c>
      <c r="N139" s="164">
        <f>ROUND(F139*('Model Data Inputs'!$E$184*'Model Data Inputs'!$E$185*'Model Data Inputs'!$E$186*'Model Data Inputs'!$E$187),2)</f>
        <v>492.36</v>
      </c>
      <c r="O139" s="171">
        <f t="shared" si="11"/>
        <v>64991.520000000004</v>
      </c>
    </row>
    <row r="140" spans="1:15" x14ac:dyDescent="0.2">
      <c r="A140" s="168">
        <v>133</v>
      </c>
      <c r="B140" s="159">
        <v>1466.7631169696913</v>
      </c>
      <c r="C140" s="169">
        <f t="shared" si="8"/>
        <v>195079.49455696894</v>
      </c>
      <c r="D140" s="153"/>
      <c r="E140" s="170">
        <v>133</v>
      </c>
      <c r="F140" s="162">
        <v>490.77209394345533</v>
      </c>
      <c r="G140" s="171">
        <f t="shared" si="9"/>
        <v>65272.68849447956</v>
      </c>
      <c r="I140" s="168">
        <v>133</v>
      </c>
      <c r="J140" s="167">
        <f>ROUND(B140*('Model Data Inputs'!$E$184*'Model Data Inputs'!$E$185*'Model Data Inputs'!$E$186*'Model Data Inputs'!$E$187),2)</f>
        <v>1466.76</v>
      </c>
      <c r="K140" s="169">
        <f t="shared" si="10"/>
        <v>195079.08</v>
      </c>
      <c r="L140" s="153"/>
      <c r="M140" s="170">
        <v>133</v>
      </c>
      <c r="N140" s="164">
        <f>ROUND(F140*('Model Data Inputs'!$E$184*'Model Data Inputs'!$E$185*'Model Data Inputs'!$E$186*'Model Data Inputs'!$E$187),2)</f>
        <v>490.77</v>
      </c>
      <c r="O140" s="171">
        <f t="shared" si="11"/>
        <v>65272.409999999996</v>
      </c>
    </row>
    <row r="141" spans="1:15" x14ac:dyDescent="0.2">
      <c r="A141" s="168">
        <v>134</v>
      </c>
      <c r="B141" s="159">
        <v>1463.9315309254398</v>
      </c>
      <c r="C141" s="169">
        <f t="shared" si="8"/>
        <v>196166.82514400894</v>
      </c>
      <c r="D141" s="153"/>
      <c r="E141" s="170">
        <v>134</v>
      </c>
      <c r="F141" s="162">
        <v>489.18644381522898</v>
      </c>
      <c r="G141" s="171">
        <f t="shared" si="9"/>
        <v>65550.983471240688</v>
      </c>
      <c r="I141" s="168">
        <v>134</v>
      </c>
      <c r="J141" s="167">
        <f>ROUND(B141*('Model Data Inputs'!$E$184*'Model Data Inputs'!$E$185*'Model Data Inputs'!$E$186*'Model Data Inputs'!$E$187),2)</f>
        <v>1463.93</v>
      </c>
      <c r="K141" s="169">
        <f t="shared" si="10"/>
        <v>196166.62</v>
      </c>
      <c r="L141" s="153"/>
      <c r="M141" s="170">
        <v>134</v>
      </c>
      <c r="N141" s="164">
        <f>ROUND(F141*('Model Data Inputs'!$E$184*'Model Data Inputs'!$E$185*'Model Data Inputs'!$E$186*'Model Data Inputs'!$E$187),2)</f>
        <v>489.19</v>
      </c>
      <c r="O141" s="171">
        <f t="shared" si="11"/>
        <v>65551.460000000006</v>
      </c>
    </row>
    <row r="142" spans="1:15" x14ac:dyDescent="0.2">
      <c r="A142" s="168">
        <v>135</v>
      </c>
      <c r="B142" s="159">
        <v>1461.0999448811885</v>
      </c>
      <c r="C142" s="169">
        <f t="shared" si="8"/>
        <v>197248.49255896045</v>
      </c>
      <c r="D142" s="153"/>
      <c r="E142" s="170">
        <v>135</v>
      </c>
      <c r="F142" s="162">
        <v>487.60079368700286</v>
      </c>
      <c r="G142" s="171">
        <f t="shared" si="9"/>
        <v>65826.107147745381</v>
      </c>
      <c r="I142" s="168">
        <v>135</v>
      </c>
      <c r="J142" s="167">
        <f>ROUND(B142*('Model Data Inputs'!$E$184*'Model Data Inputs'!$E$185*'Model Data Inputs'!$E$186*'Model Data Inputs'!$E$187),2)</f>
        <v>1461.1</v>
      </c>
      <c r="K142" s="169">
        <f t="shared" si="10"/>
        <v>197248.5</v>
      </c>
      <c r="L142" s="153"/>
      <c r="M142" s="170">
        <v>135</v>
      </c>
      <c r="N142" s="164">
        <f>ROUND(F142*('Model Data Inputs'!$E$184*'Model Data Inputs'!$E$185*'Model Data Inputs'!$E$186*'Model Data Inputs'!$E$187),2)</f>
        <v>487.6</v>
      </c>
      <c r="O142" s="171">
        <f t="shared" si="11"/>
        <v>65826</v>
      </c>
    </row>
    <row r="143" spans="1:15" x14ac:dyDescent="0.2">
      <c r="A143" s="168">
        <v>136</v>
      </c>
      <c r="B143" s="159">
        <v>1458.2683588369373</v>
      </c>
      <c r="C143" s="169">
        <f t="shared" si="8"/>
        <v>198324.49680182346</v>
      </c>
      <c r="D143" s="153"/>
      <c r="E143" s="170">
        <v>136</v>
      </c>
      <c r="F143" s="162">
        <v>486.01514355877657</v>
      </c>
      <c r="G143" s="171">
        <f t="shared" si="9"/>
        <v>66098.059523993608</v>
      </c>
      <c r="I143" s="168">
        <v>136</v>
      </c>
      <c r="J143" s="167">
        <f>ROUND(B143*('Model Data Inputs'!$E$184*'Model Data Inputs'!$E$185*'Model Data Inputs'!$E$186*'Model Data Inputs'!$E$187),2)</f>
        <v>1458.27</v>
      </c>
      <c r="K143" s="169">
        <f t="shared" si="10"/>
        <v>198324.72</v>
      </c>
      <c r="L143" s="153"/>
      <c r="M143" s="170">
        <v>136</v>
      </c>
      <c r="N143" s="164">
        <f>ROUND(F143*('Model Data Inputs'!$E$184*'Model Data Inputs'!$E$185*'Model Data Inputs'!$E$186*'Model Data Inputs'!$E$187),2)</f>
        <v>486.02</v>
      </c>
      <c r="O143" s="171">
        <f t="shared" si="11"/>
        <v>66098.720000000001</v>
      </c>
    </row>
    <row r="144" spans="1:15" x14ac:dyDescent="0.2">
      <c r="A144" s="168">
        <v>137</v>
      </c>
      <c r="B144" s="159">
        <v>1455.4367727926863</v>
      </c>
      <c r="C144" s="169">
        <f t="shared" si="8"/>
        <v>199394.83787259803</v>
      </c>
      <c r="D144" s="153"/>
      <c r="E144" s="170">
        <v>137</v>
      </c>
      <c r="F144" s="162">
        <v>484.42949343055045</v>
      </c>
      <c r="G144" s="171">
        <f t="shared" si="9"/>
        <v>66366.840599985415</v>
      </c>
      <c r="I144" s="168">
        <v>137</v>
      </c>
      <c r="J144" s="167">
        <f>ROUND(B144*('Model Data Inputs'!$E$184*'Model Data Inputs'!$E$185*'Model Data Inputs'!$E$186*'Model Data Inputs'!$E$187),2)</f>
        <v>1455.44</v>
      </c>
      <c r="K144" s="169">
        <f t="shared" si="10"/>
        <v>199395.28</v>
      </c>
      <c r="L144" s="153"/>
      <c r="M144" s="170">
        <v>137</v>
      </c>
      <c r="N144" s="164">
        <f>ROUND(F144*('Model Data Inputs'!$E$184*'Model Data Inputs'!$E$185*'Model Data Inputs'!$E$186*'Model Data Inputs'!$E$187),2)</f>
        <v>484.43</v>
      </c>
      <c r="O144" s="171">
        <f t="shared" si="11"/>
        <v>66366.91</v>
      </c>
    </row>
    <row r="145" spans="1:15" x14ac:dyDescent="0.2">
      <c r="A145" s="168">
        <v>138</v>
      </c>
      <c r="B145" s="159">
        <v>1452.6051867484348</v>
      </c>
      <c r="C145" s="169">
        <f t="shared" si="8"/>
        <v>200459.515771284</v>
      </c>
      <c r="D145" s="153"/>
      <c r="E145" s="170">
        <v>138</v>
      </c>
      <c r="F145" s="162">
        <v>482.84384330232422</v>
      </c>
      <c r="G145" s="171">
        <f t="shared" si="9"/>
        <v>66632.450375720742</v>
      </c>
      <c r="I145" s="168">
        <v>138</v>
      </c>
      <c r="J145" s="167">
        <f>ROUND(B145*('Model Data Inputs'!$E$184*'Model Data Inputs'!$E$185*'Model Data Inputs'!$E$186*'Model Data Inputs'!$E$187),2)</f>
        <v>1452.61</v>
      </c>
      <c r="K145" s="169">
        <f t="shared" si="10"/>
        <v>200460.18</v>
      </c>
      <c r="L145" s="153"/>
      <c r="M145" s="170">
        <v>138</v>
      </c>
      <c r="N145" s="164">
        <f>ROUND(F145*('Model Data Inputs'!$E$184*'Model Data Inputs'!$E$185*'Model Data Inputs'!$E$186*'Model Data Inputs'!$E$187),2)</f>
        <v>482.84</v>
      </c>
      <c r="O145" s="171">
        <f t="shared" si="11"/>
        <v>66631.92</v>
      </c>
    </row>
    <row r="146" spans="1:15" x14ac:dyDescent="0.2">
      <c r="A146" s="168">
        <v>139</v>
      </c>
      <c r="B146" s="159">
        <v>1449.7736007041835</v>
      </c>
      <c r="C146" s="169">
        <f t="shared" si="8"/>
        <v>201518.53049788153</v>
      </c>
      <c r="D146" s="153"/>
      <c r="E146" s="170">
        <v>139</v>
      </c>
      <c r="F146" s="162">
        <v>481.25819317409781</v>
      </c>
      <c r="G146" s="171">
        <f t="shared" si="9"/>
        <v>66894.88885119959</v>
      </c>
      <c r="I146" s="168">
        <v>139</v>
      </c>
      <c r="J146" s="167">
        <f>ROUND(B146*('Model Data Inputs'!$E$184*'Model Data Inputs'!$E$185*'Model Data Inputs'!$E$186*'Model Data Inputs'!$E$187),2)</f>
        <v>1449.77</v>
      </c>
      <c r="K146" s="169">
        <f t="shared" si="10"/>
        <v>201518.03</v>
      </c>
      <c r="L146" s="153"/>
      <c r="M146" s="170">
        <v>139</v>
      </c>
      <c r="N146" s="164">
        <f>ROUND(F146*('Model Data Inputs'!$E$184*'Model Data Inputs'!$E$185*'Model Data Inputs'!$E$186*'Model Data Inputs'!$E$187),2)</f>
        <v>481.26</v>
      </c>
      <c r="O146" s="171">
        <f t="shared" si="11"/>
        <v>66895.14</v>
      </c>
    </row>
    <row r="147" spans="1:15" x14ac:dyDescent="0.2">
      <c r="A147" s="168">
        <v>140</v>
      </c>
      <c r="B147" s="159">
        <v>1446.9420146599325</v>
      </c>
      <c r="C147" s="169">
        <f t="shared" si="8"/>
        <v>202571.88205239055</v>
      </c>
      <c r="D147" s="153"/>
      <c r="E147" s="170">
        <v>140</v>
      </c>
      <c r="F147" s="162">
        <v>479.67254304587163</v>
      </c>
      <c r="G147" s="171">
        <f t="shared" si="9"/>
        <v>67154.156026422032</v>
      </c>
      <c r="I147" s="168">
        <v>140</v>
      </c>
      <c r="J147" s="167">
        <f>ROUND(B147*('Model Data Inputs'!$E$184*'Model Data Inputs'!$E$185*'Model Data Inputs'!$E$186*'Model Data Inputs'!$E$187),2)</f>
        <v>1446.94</v>
      </c>
      <c r="K147" s="169">
        <f t="shared" si="10"/>
        <v>202571.6</v>
      </c>
      <c r="L147" s="153"/>
      <c r="M147" s="170">
        <v>140</v>
      </c>
      <c r="N147" s="164">
        <f>ROUND(F147*('Model Data Inputs'!$E$184*'Model Data Inputs'!$E$185*'Model Data Inputs'!$E$186*'Model Data Inputs'!$E$187),2)</f>
        <v>479.67</v>
      </c>
      <c r="O147" s="171">
        <f t="shared" si="11"/>
        <v>67153.8</v>
      </c>
    </row>
    <row r="148" spans="1:15" x14ac:dyDescent="0.2">
      <c r="A148" s="168">
        <v>141</v>
      </c>
      <c r="B148" s="159">
        <v>1444.1104286156808</v>
      </c>
      <c r="C148" s="169">
        <f t="shared" si="8"/>
        <v>203619.570434811</v>
      </c>
      <c r="D148" s="153"/>
      <c r="E148" s="170">
        <v>141</v>
      </c>
      <c r="F148" s="162">
        <v>478.08689291764534</v>
      </c>
      <c r="G148" s="171">
        <f t="shared" si="9"/>
        <v>67410.251901387994</v>
      </c>
      <c r="I148" s="168">
        <v>141</v>
      </c>
      <c r="J148" s="167">
        <f>ROUND(B148*('Model Data Inputs'!$E$184*'Model Data Inputs'!$E$185*'Model Data Inputs'!$E$186*'Model Data Inputs'!$E$187),2)</f>
        <v>1444.11</v>
      </c>
      <c r="K148" s="169">
        <f t="shared" si="10"/>
        <v>203619.50999999998</v>
      </c>
      <c r="L148" s="153"/>
      <c r="M148" s="170">
        <v>141</v>
      </c>
      <c r="N148" s="164">
        <f>ROUND(F148*('Model Data Inputs'!$E$184*'Model Data Inputs'!$E$185*'Model Data Inputs'!$E$186*'Model Data Inputs'!$E$187),2)</f>
        <v>478.09</v>
      </c>
      <c r="O148" s="171">
        <f t="shared" si="11"/>
        <v>67410.69</v>
      </c>
    </row>
    <row r="149" spans="1:15" x14ac:dyDescent="0.2">
      <c r="A149" s="168">
        <v>142</v>
      </c>
      <c r="B149" s="159">
        <v>1441.2788425714298</v>
      </c>
      <c r="C149" s="169">
        <f t="shared" si="8"/>
        <v>204661.59564514304</v>
      </c>
      <c r="D149" s="153"/>
      <c r="E149" s="170">
        <v>142</v>
      </c>
      <c r="F149" s="162">
        <v>476.50124278941917</v>
      </c>
      <c r="G149" s="171">
        <f t="shared" si="9"/>
        <v>67663.17647609752</v>
      </c>
      <c r="I149" s="168">
        <v>142</v>
      </c>
      <c r="J149" s="167">
        <f>ROUND(B149*('Model Data Inputs'!$E$184*'Model Data Inputs'!$E$185*'Model Data Inputs'!$E$186*'Model Data Inputs'!$E$187),2)</f>
        <v>1441.28</v>
      </c>
      <c r="K149" s="169">
        <f t="shared" si="10"/>
        <v>204661.76000000001</v>
      </c>
      <c r="L149" s="153"/>
      <c r="M149" s="170">
        <v>142</v>
      </c>
      <c r="N149" s="164">
        <f>ROUND(F149*('Model Data Inputs'!$E$184*'Model Data Inputs'!$E$185*'Model Data Inputs'!$E$186*'Model Data Inputs'!$E$187),2)</f>
        <v>476.5</v>
      </c>
      <c r="O149" s="171">
        <f t="shared" si="11"/>
        <v>67663</v>
      </c>
    </row>
    <row r="150" spans="1:15" x14ac:dyDescent="0.2">
      <c r="A150" s="168">
        <v>143</v>
      </c>
      <c r="B150" s="159">
        <v>1438.4472565271781</v>
      </c>
      <c r="C150" s="169">
        <f t="shared" si="8"/>
        <v>205697.95768338646</v>
      </c>
      <c r="D150" s="153"/>
      <c r="E150" s="170">
        <v>143</v>
      </c>
      <c r="F150" s="162">
        <v>474.91559266119293</v>
      </c>
      <c r="G150" s="171">
        <f t="shared" si="9"/>
        <v>67912.929750550597</v>
      </c>
      <c r="I150" s="168">
        <v>143</v>
      </c>
      <c r="J150" s="167">
        <f>ROUND(B150*('Model Data Inputs'!$E$184*'Model Data Inputs'!$E$185*'Model Data Inputs'!$E$186*'Model Data Inputs'!$E$187),2)</f>
        <v>1438.45</v>
      </c>
      <c r="K150" s="169">
        <f t="shared" si="10"/>
        <v>205698.35</v>
      </c>
      <c r="L150" s="153"/>
      <c r="M150" s="170">
        <v>143</v>
      </c>
      <c r="N150" s="164">
        <f>ROUND(F150*('Model Data Inputs'!$E$184*'Model Data Inputs'!$E$185*'Model Data Inputs'!$E$186*'Model Data Inputs'!$E$187),2)</f>
        <v>474.92</v>
      </c>
      <c r="O150" s="171">
        <f t="shared" si="11"/>
        <v>67913.56</v>
      </c>
    </row>
    <row r="151" spans="1:15" x14ac:dyDescent="0.2">
      <c r="A151" s="168">
        <v>144</v>
      </c>
      <c r="B151" s="159">
        <v>1435.6156704829273</v>
      </c>
      <c r="C151" s="169">
        <f t="shared" si="8"/>
        <v>206728.65654954151</v>
      </c>
      <c r="D151" s="153"/>
      <c r="E151" s="170">
        <v>144</v>
      </c>
      <c r="F151" s="162">
        <v>473.3299425329667</v>
      </c>
      <c r="G151" s="171">
        <f t="shared" si="9"/>
        <v>68159.511724747208</v>
      </c>
      <c r="I151" s="168">
        <v>144</v>
      </c>
      <c r="J151" s="167">
        <f>ROUND(B151*('Model Data Inputs'!$E$184*'Model Data Inputs'!$E$185*'Model Data Inputs'!$E$186*'Model Data Inputs'!$E$187),2)</f>
        <v>1435.62</v>
      </c>
      <c r="K151" s="169">
        <f t="shared" si="10"/>
        <v>206729.27999999997</v>
      </c>
      <c r="L151" s="153"/>
      <c r="M151" s="170">
        <v>144</v>
      </c>
      <c r="N151" s="164">
        <f>ROUND(F151*('Model Data Inputs'!$E$184*'Model Data Inputs'!$E$185*'Model Data Inputs'!$E$186*'Model Data Inputs'!$E$187),2)</f>
        <v>473.33</v>
      </c>
      <c r="O151" s="171">
        <f t="shared" si="11"/>
        <v>68159.520000000004</v>
      </c>
    </row>
    <row r="152" spans="1:15" x14ac:dyDescent="0.2">
      <c r="A152" s="168">
        <v>145</v>
      </c>
      <c r="B152" s="159">
        <v>1432.7840844386756</v>
      </c>
      <c r="C152" s="169">
        <f t="shared" si="8"/>
        <v>207753.69224360795</v>
      </c>
      <c r="D152" s="153"/>
      <c r="E152" s="170">
        <v>145</v>
      </c>
      <c r="F152" s="162">
        <v>471.74429240474041</v>
      </c>
      <c r="G152" s="171">
        <f t="shared" si="9"/>
        <v>68402.922398687355</v>
      </c>
      <c r="I152" s="168">
        <v>145</v>
      </c>
      <c r="J152" s="167">
        <f>ROUND(B152*('Model Data Inputs'!$E$184*'Model Data Inputs'!$E$185*'Model Data Inputs'!$E$186*'Model Data Inputs'!$E$187),2)</f>
        <v>1432.78</v>
      </c>
      <c r="K152" s="169">
        <f t="shared" si="10"/>
        <v>207753.1</v>
      </c>
      <c r="L152" s="153"/>
      <c r="M152" s="170">
        <v>145</v>
      </c>
      <c r="N152" s="164">
        <f>ROUND(F152*('Model Data Inputs'!$E$184*'Model Data Inputs'!$E$185*'Model Data Inputs'!$E$186*'Model Data Inputs'!$E$187),2)</f>
        <v>471.74</v>
      </c>
      <c r="O152" s="171">
        <f t="shared" si="11"/>
        <v>68402.3</v>
      </c>
    </row>
    <row r="153" spans="1:15" x14ac:dyDescent="0.2">
      <c r="A153" s="168">
        <v>146</v>
      </c>
      <c r="B153" s="159">
        <v>1429.9524983944245</v>
      </c>
      <c r="C153" s="169">
        <f t="shared" si="8"/>
        <v>208773.06476558599</v>
      </c>
      <c r="D153" s="153"/>
      <c r="E153" s="170">
        <v>146</v>
      </c>
      <c r="F153" s="162">
        <v>470.15864227651423</v>
      </c>
      <c r="G153" s="171">
        <f t="shared" si="9"/>
        <v>68643.161772371081</v>
      </c>
      <c r="I153" s="168">
        <v>146</v>
      </c>
      <c r="J153" s="167">
        <f>ROUND(B153*('Model Data Inputs'!$E$184*'Model Data Inputs'!$E$185*'Model Data Inputs'!$E$186*'Model Data Inputs'!$E$187),2)</f>
        <v>1429.95</v>
      </c>
      <c r="K153" s="169">
        <f t="shared" si="10"/>
        <v>208772.7</v>
      </c>
      <c r="L153" s="153"/>
      <c r="M153" s="170">
        <v>146</v>
      </c>
      <c r="N153" s="164">
        <f>ROUND(F153*('Model Data Inputs'!$E$184*'Model Data Inputs'!$E$185*'Model Data Inputs'!$E$186*'Model Data Inputs'!$E$187),2)</f>
        <v>470.16</v>
      </c>
      <c r="O153" s="171">
        <f t="shared" si="11"/>
        <v>68643.360000000001</v>
      </c>
    </row>
    <row r="154" spans="1:15" x14ac:dyDescent="0.2">
      <c r="A154" s="168">
        <v>147</v>
      </c>
      <c r="B154" s="159">
        <v>1427.1209123501731</v>
      </c>
      <c r="C154" s="169">
        <f t="shared" si="8"/>
        <v>209786.77411547545</v>
      </c>
      <c r="D154" s="153"/>
      <c r="E154" s="170">
        <v>147</v>
      </c>
      <c r="F154" s="162">
        <v>468.57299214828799</v>
      </c>
      <c r="G154" s="171">
        <f t="shared" si="9"/>
        <v>68880.229845798342</v>
      </c>
      <c r="I154" s="168">
        <v>147</v>
      </c>
      <c r="J154" s="167">
        <f>ROUND(B154*('Model Data Inputs'!$E$184*'Model Data Inputs'!$E$185*'Model Data Inputs'!$E$186*'Model Data Inputs'!$E$187),2)</f>
        <v>1427.12</v>
      </c>
      <c r="K154" s="169">
        <f t="shared" si="10"/>
        <v>209786.63999999998</v>
      </c>
      <c r="L154" s="153"/>
      <c r="M154" s="170">
        <v>147</v>
      </c>
      <c r="N154" s="164">
        <f>ROUND(F154*('Model Data Inputs'!$E$184*'Model Data Inputs'!$E$185*'Model Data Inputs'!$E$186*'Model Data Inputs'!$E$187),2)</f>
        <v>468.57</v>
      </c>
      <c r="O154" s="171">
        <f t="shared" si="11"/>
        <v>68879.789999999994</v>
      </c>
    </row>
    <row r="155" spans="1:15" x14ac:dyDescent="0.2">
      <c r="A155" s="168">
        <v>148</v>
      </c>
      <c r="B155" s="159">
        <v>1424.2893263059223</v>
      </c>
      <c r="C155" s="169">
        <f t="shared" si="8"/>
        <v>210794.82029327648</v>
      </c>
      <c r="D155" s="153"/>
      <c r="E155" s="170">
        <v>148</v>
      </c>
      <c r="F155" s="162">
        <v>466.98734202006182</v>
      </c>
      <c r="G155" s="171">
        <f t="shared" si="9"/>
        <v>69114.126618969152</v>
      </c>
      <c r="I155" s="168">
        <v>148</v>
      </c>
      <c r="J155" s="167">
        <f>ROUND(B155*('Model Data Inputs'!$E$184*'Model Data Inputs'!$E$185*'Model Data Inputs'!$E$186*'Model Data Inputs'!$E$187),2)</f>
        <v>1424.29</v>
      </c>
      <c r="K155" s="169">
        <f t="shared" si="10"/>
        <v>210794.91999999998</v>
      </c>
      <c r="L155" s="153"/>
      <c r="M155" s="170">
        <v>148</v>
      </c>
      <c r="N155" s="164">
        <f>ROUND(F155*('Model Data Inputs'!$E$184*'Model Data Inputs'!$E$185*'Model Data Inputs'!$E$186*'Model Data Inputs'!$E$187),2)</f>
        <v>466.99</v>
      </c>
      <c r="O155" s="171">
        <f t="shared" si="11"/>
        <v>69114.52</v>
      </c>
    </row>
    <row r="156" spans="1:15" x14ac:dyDescent="0.2">
      <c r="A156" s="168">
        <v>149</v>
      </c>
      <c r="B156" s="159">
        <v>1421.4577402616706</v>
      </c>
      <c r="C156" s="169">
        <f t="shared" si="8"/>
        <v>211797.20329898893</v>
      </c>
      <c r="D156" s="153"/>
      <c r="E156" s="170">
        <v>149</v>
      </c>
      <c r="F156" s="162">
        <v>465.40169189183553</v>
      </c>
      <c r="G156" s="171">
        <f t="shared" si="9"/>
        <v>69344.852091883498</v>
      </c>
      <c r="I156" s="168">
        <v>149</v>
      </c>
      <c r="J156" s="167">
        <f>ROUND(B156*('Model Data Inputs'!$E$184*'Model Data Inputs'!$E$185*'Model Data Inputs'!$E$186*'Model Data Inputs'!$E$187),2)</f>
        <v>1421.46</v>
      </c>
      <c r="K156" s="169">
        <f t="shared" si="10"/>
        <v>211797.54</v>
      </c>
      <c r="L156" s="153"/>
      <c r="M156" s="170">
        <v>149</v>
      </c>
      <c r="N156" s="164">
        <f>ROUND(F156*('Model Data Inputs'!$E$184*'Model Data Inputs'!$E$185*'Model Data Inputs'!$E$186*'Model Data Inputs'!$E$187),2)</f>
        <v>465.4</v>
      </c>
      <c r="O156" s="171">
        <f t="shared" si="11"/>
        <v>69344.599999999991</v>
      </c>
    </row>
    <row r="157" spans="1:15" x14ac:dyDescent="0.2">
      <c r="A157" s="168">
        <v>150</v>
      </c>
      <c r="B157" s="159">
        <v>1418.6261542174198</v>
      </c>
      <c r="C157" s="169">
        <f t="shared" si="8"/>
        <v>212793.92313261295</v>
      </c>
      <c r="D157" s="153"/>
      <c r="E157" s="170">
        <v>150</v>
      </c>
      <c r="F157" s="162">
        <v>463.81604176360923</v>
      </c>
      <c r="G157" s="171">
        <f t="shared" si="9"/>
        <v>69572.40626454138</v>
      </c>
      <c r="I157" s="168">
        <v>150</v>
      </c>
      <c r="J157" s="167">
        <f>ROUND(B157*('Model Data Inputs'!$E$184*'Model Data Inputs'!$E$185*'Model Data Inputs'!$E$186*'Model Data Inputs'!$E$187),2)</f>
        <v>1418.63</v>
      </c>
      <c r="K157" s="169">
        <f t="shared" si="10"/>
        <v>212794.50000000003</v>
      </c>
      <c r="L157" s="153"/>
      <c r="M157" s="170">
        <v>150</v>
      </c>
      <c r="N157" s="164">
        <f>ROUND(F157*('Model Data Inputs'!$E$184*'Model Data Inputs'!$E$185*'Model Data Inputs'!$E$186*'Model Data Inputs'!$E$187),2)</f>
        <v>463.82</v>
      </c>
      <c r="O157" s="171">
        <f t="shared" si="11"/>
        <v>69573</v>
      </c>
    </row>
    <row r="158" spans="1:15" x14ac:dyDescent="0.2">
      <c r="A158" s="168">
        <v>151</v>
      </c>
      <c r="B158" s="159">
        <v>1415.794568173168</v>
      </c>
      <c r="C158" s="169">
        <f t="shared" si="8"/>
        <v>213784.97979414838</v>
      </c>
      <c r="D158" s="153"/>
      <c r="E158" s="170">
        <v>151</v>
      </c>
      <c r="F158" s="162">
        <v>462.230391635383</v>
      </c>
      <c r="G158" s="171">
        <f t="shared" si="9"/>
        <v>69796.78913694284</v>
      </c>
      <c r="I158" s="168">
        <v>151</v>
      </c>
      <c r="J158" s="167">
        <f>ROUND(B158*('Model Data Inputs'!$E$184*'Model Data Inputs'!$E$185*'Model Data Inputs'!$E$186*'Model Data Inputs'!$E$187),2)</f>
        <v>1415.79</v>
      </c>
      <c r="K158" s="169">
        <f t="shared" si="10"/>
        <v>213784.29</v>
      </c>
      <c r="L158" s="153"/>
      <c r="M158" s="170">
        <v>151</v>
      </c>
      <c r="N158" s="164">
        <f>ROUND(F158*('Model Data Inputs'!$E$184*'Model Data Inputs'!$E$185*'Model Data Inputs'!$E$186*'Model Data Inputs'!$E$187),2)</f>
        <v>462.23</v>
      </c>
      <c r="O158" s="171">
        <f t="shared" si="11"/>
        <v>69796.73</v>
      </c>
    </row>
    <row r="159" spans="1:15" x14ac:dyDescent="0.2">
      <c r="A159" s="168">
        <v>152</v>
      </c>
      <c r="B159" s="159">
        <v>1412.962982128917</v>
      </c>
      <c r="C159" s="169">
        <f t="shared" si="8"/>
        <v>214770.3732835954</v>
      </c>
      <c r="D159" s="153"/>
      <c r="E159" s="170">
        <v>152</v>
      </c>
      <c r="F159" s="162">
        <v>460.64474150715682</v>
      </c>
      <c r="G159" s="171">
        <f t="shared" si="9"/>
        <v>70018.000709087835</v>
      </c>
      <c r="I159" s="168">
        <v>152</v>
      </c>
      <c r="J159" s="167">
        <f>ROUND(B159*('Model Data Inputs'!$E$184*'Model Data Inputs'!$E$185*'Model Data Inputs'!$E$186*'Model Data Inputs'!$E$187),2)</f>
        <v>1412.96</v>
      </c>
      <c r="K159" s="169">
        <f t="shared" si="10"/>
        <v>214769.92000000001</v>
      </c>
      <c r="L159" s="153"/>
      <c r="M159" s="170">
        <v>152</v>
      </c>
      <c r="N159" s="164">
        <f>ROUND(F159*('Model Data Inputs'!$E$184*'Model Data Inputs'!$E$185*'Model Data Inputs'!$E$186*'Model Data Inputs'!$E$187),2)</f>
        <v>460.64</v>
      </c>
      <c r="O159" s="171">
        <f t="shared" si="11"/>
        <v>70017.279999999999</v>
      </c>
    </row>
    <row r="160" spans="1:15" x14ac:dyDescent="0.2">
      <c r="A160" s="168">
        <v>153</v>
      </c>
      <c r="B160" s="159">
        <v>1410.1313960846653</v>
      </c>
      <c r="C160" s="169">
        <f t="shared" si="8"/>
        <v>215750.10360095379</v>
      </c>
      <c r="D160" s="153"/>
      <c r="E160" s="170">
        <v>153</v>
      </c>
      <c r="F160" s="162">
        <v>459.05909137893059</v>
      </c>
      <c r="G160" s="171">
        <f t="shared" si="9"/>
        <v>70236.040980976381</v>
      </c>
      <c r="I160" s="168">
        <v>153</v>
      </c>
      <c r="J160" s="167">
        <f>ROUND(B160*('Model Data Inputs'!$E$184*'Model Data Inputs'!$E$185*'Model Data Inputs'!$E$186*'Model Data Inputs'!$E$187),2)</f>
        <v>1410.13</v>
      </c>
      <c r="K160" s="169">
        <f t="shared" si="10"/>
        <v>215749.89</v>
      </c>
      <c r="L160" s="153"/>
      <c r="M160" s="170">
        <v>153</v>
      </c>
      <c r="N160" s="164">
        <f>ROUND(F160*('Model Data Inputs'!$E$184*'Model Data Inputs'!$E$185*'Model Data Inputs'!$E$186*'Model Data Inputs'!$E$187),2)</f>
        <v>459.06</v>
      </c>
      <c r="O160" s="171">
        <f t="shared" si="11"/>
        <v>70236.180000000008</v>
      </c>
    </row>
    <row r="161" spans="1:15" x14ac:dyDescent="0.2">
      <c r="A161" s="168">
        <v>154</v>
      </c>
      <c r="B161" s="159">
        <v>1407.2998100404145</v>
      </c>
      <c r="C161" s="169">
        <f t="shared" si="8"/>
        <v>216724.17074622383</v>
      </c>
      <c r="D161" s="153"/>
      <c r="E161" s="170">
        <v>154</v>
      </c>
      <c r="F161" s="162">
        <v>457.4734412507043</v>
      </c>
      <c r="G161" s="171">
        <f t="shared" si="9"/>
        <v>70450.909952608461</v>
      </c>
      <c r="I161" s="168">
        <v>154</v>
      </c>
      <c r="J161" s="167">
        <f>ROUND(B161*('Model Data Inputs'!$E$184*'Model Data Inputs'!$E$185*'Model Data Inputs'!$E$186*'Model Data Inputs'!$E$187),2)</f>
        <v>1407.3</v>
      </c>
      <c r="K161" s="169">
        <f t="shared" si="10"/>
        <v>216724.19999999998</v>
      </c>
      <c r="L161" s="153"/>
      <c r="M161" s="170">
        <v>154</v>
      </c>
      <c r="N161" s="164">
        <f>ROUND(F161*('Model Data Inputs'!$E$184*'Model Data Inputs'!$E$185*'Model Data Inputs'!$E$186*'Model Data Inputs'!$E$187),2)</f>
        <v>457.47</v>
      </c>
      <c r="O161" s="171">
        <f t="shared" si="11"/>
        <v>70450.38</v>
      </c>
    </row>
    <row r="162" spans="1:15" x14ac:dyDescent="0.2">
      <c r="A162" s="168">
        <v>155</v>
      </c>
      <c r="B162" s="159">
        <v>1404.4682239961624</v>
      </c>
      <c r="C162" s="169">
        <f t="shared" si="8"/>
        <v>217692.57471940515</v>
      </c>
      <c r="D162" s="153"/>
      <c r="E162" s="170">
        <v>155</v>
      </c>
      <c r="F162" s="162">
        <v>455.88779112247857</v>
      </c>
      <c r="G162" s="171">
        <f t="shared" si="9"/>
        <v>70662.607623984179</v>
      </c>
      <c r="I162" s="168">
        <v>155</v>
      </c>
      <c r="J162" s="167">
        <f>ROUND(B162*('Model Data Inputs'!$E$184*'Model Data Inputs'!$E$185*'Model Data Inputs'!$E$186*'Model Data Inputs'!$E$187),2)</f>
        <v>1404.47</v>
      </c>
      <c r="K162" s="169">
        <f t="shared" si="10"/>
        <v>217692.85</v>
      </c>
      <c r="L162" s="153"/>
      <c r="M162" s="170">
        <v>155</v>
      </c>
      <c r="N162" s="164">
        <f>ROUND(F162*('Model Data Inputs'!$E$184*'Model Data Inputs'!$E$185*'Model Data Inputs'!$E$186*'Model Data Inputs'!$E$187),2)</f>
        <v>455.89</v>
      </c>
      <c r="O162" s="171">
        <f t="shared" si="11"/>
        <v>70662.95</v>
      </c>
    </row>
    <row r="163" spans="1:15" x14ac:dyDescent="0.2">
      <c r="A163" s="168">
        <v>156</v>
      </c>
      <c r="B163" s="159">
        <v>1401.636637951912</v>
      </c>
      <c r="C163" s="169">
        <f t="shared" si="8"/>
        <v>218655.31552049826</v>
      </c>
      <c r="D163" s="153"/>
      <c r="E163" s="170">
        <v>156</v>
      </c>
      <c r="F163" s="162">
        <v>454.30214099425183</v>
      </c>
      <c r="G163" s="171">
        <f t="shared" si="9"/>
        <v>70871.133995103286</v>
      </c>
      <c r="I163" s="168">
        <v>156</v>
      </c>
      <c r="J163" s="167">
        <f>ROUND(B163*('Model Data Inputs'!$E$184*'Model Data Inputs'!$E$185*'Model Data Inputs'!$E$186*'Model Data Inputs'!$E$187),2)</f>
        <v>1401.64</v>
      </c>
      <c r="K163" s="169">
        <f t="shared" si="10"/>
        <v>218655.84000000003</v>
      </c>
      <c r="L163" s="153"/>
      <c r="M163" s="170">
        <v>156</v>
      </c>
      <c r="N163" s="164">
        <f>ROUND(F163*('Model Data Inputs'!$E$184*'Model Data Inputs'!$E$185*'Model Data Inputs'!$E$186*'Model Data Inputs'!$E$187),2)</f>
        <v>454.3</v>
      </c>
      <c r="O163" s="171">
        <f t="shared" si="11"/>
        <v>70870.8</v>
      </c>
    </row>
    <row r="164" spans="1:15" x14ac:dyDescent="0.2">
      <c r="A164" s="168">
        <v>157</v>
      </c>
      <c r="B164" s="159">
        <v>1398.8050519076608</v>
      </c>
      <c r="C164" s="169">
        <f t="shared" si="8"/>
        <v>219612.39314950275</v>
      </c>
      <c r="D164" s="153"/>
      <c r="E164" s="170">
        <v>157</v>
      </c>
      <c r="F164" s="162">
        <v>452.71649086602559</v>
      </c>
      <c r="G164" s="171">
        <f t="shared" si="9"/>
        <v>71076.489065966016</v>
      </c>
      <c r="I164" s="168">
        <v>157</v>
      </c>
      <c r="J164" s="167">
        <f>ROUND(B164*('Model Data Inputs'!$E$184*'Model Data Inputs'!$E$185*'Model Data Inputs'!$E$186*'Model Data Inputs'!$E$187),2)</f>
        <v>1398.81</v>
      </c>
      <c r="K164" s="169">
        <f t="shared" si="10"/>
        <v>219613.16999999998</v>
      </c>
      <c r="L164" s="153"/>
      <c r="M164" s="170">
        <v>157</v>
      </c>
      <c r="N164" s="164">
        <f>ROUND(F164*('Model Data Inputs'!$E$184*'Model Data Inputs'!$E$185*'Model Data Inputs'!$E$186*'Model Data Inputs'!$E$187),2)</f>
        <v>452.72</v>
      </c>
      <c r="O164" s="171">
        <f t="shared" si="11"/>
        <v>71077.040000000008</v>
      </c>
    </row>
    <row r="165" spans="1:15" x14ac:dyDescent="0.2">
      <c r="A165" s="168">
        <v>158</v>
      </c>
      <c r="B165" s="159">
        <v>1395.9734658634097</v>
      </c>
      <c r="C165" s="169">
        <f t="shared" si="8"/>
        <v>220563.80760641873</v>
      </c>
      <c r="D165" s="153"/>
      <c r="E165" s="170">
        <v>158</v>
      </c>
      <c r="F165" s="162">
        <v>451.13084073779942</v>
      </c>
      <c r="G165" s="171">
        <f t="shared" si="9"/>
        <v>71278.67283657231</v>
      </c>
      <c r="I165" s="168">
        <v>158</v>
      </c>
      <c r="J165" s="167">
        <f>ROUND(B165*('Model Data Inputs'!$E$184*'Model Data Inputs'!$E$185*'Model Data Inputs'!$E$186*'Model Data Inputs'!$E$187),2)</f>
        <v>1395.97</v>
      </c>
      <c r="K165" s="169">
        <f t="shared" si="10"/>
        <v>220563.26</v>
      </c>
      <c r="L165" s="153"/>
      <c r="M165" s="170">
        <v>158</v>
      </c>
      <c r="N165" s="164">
        <f>ROUND(F165*('Model Data Inputs'!$E$184*'Model Data Inputs'!$E$185*'Model Data Inputs'!$E$186*'Model Data Inputs'!$E$187),2)</f>
        <v>451.13</v>
      </c>
      <c r="O165" s="171">
        <f t="shared" si="11"/>
        <v>71278.539999999994</v>
      </c>
    </row>
    <row r="166" spans="1:15" x14ac:dyDescent="0.2">
      <c r="A166" s="168">
        <v>159</v>
      </c>
      <c r="B166" s="159">
        <v>1393.1418798191582</v>
      </c>
      <c r="C166" s="169">
        <f t="shared" si="8"/>
        <v>221509.55889124615</v>
      </c>
      <c r="D166" s="153"/>
      <c r="E166" s="170">
        <v>159</v>
      </c>
      <c r="F166" s="162">
        <v>449.54519060957313</v>
      </c>
      <c r="G166" s="171">
        <f t="shared" si="9"/>
        <v>71477.685306922125</v>
      </c>
      <c r="I166" s="168">
        <v>159</v>
      </c>
      <c r="J166" s="167">
        <f>ROUND(B166*('Model Data Inputs'!$E$184*'Model Data Inputs'!$E$185*'Model Data Inputs'!$E$186*'Model Data Inputs'!$E$187),2)</f>
        <v>1393.14</v>
      </c>
      <c r="K166" s="169">
        <f t="shared" si="10"/>
        <v>221509.26</v>
      </c>
      <c r="L166" s="153"/>
      <c r="M166" s="170">
        <v>159</v>
      </c>
      <c r="N166" s="164">
        <f>ROUND(F166*('Model Data Inputs'!$E$184*'Model Data Inputs'!$E$185*'Model Data Inputs'!$E$186*'Model Data Inputs'!$E$187),2)</f>
        <v>449.55</v>
      </c>
      <c r="O166" s="171">
        <f t="shared" si="11"/>
        <v>71478.45</v>
      </c>
    </row>
    <row r="167" spans="1:15" x14ac:dyDescent="0.2">
      <c r="A167" s="168">
        <v>160</v>
      </c>
      <c r="B167" s="159">
        <v>1390.3102937749072</v>
      </c>
      <c r="C167" s="169">
        <f t="shared" si="8"/>
        <v>222449.64700398516</v>
      </c>
      <c r="D167" s="153"/>
      <c r="E167" s="170">
        <v>160</v>
      </c>
      <c r="F167" s="162">
        <v>447.95954048134695</v>
      </c>
      <c r="G167" s="171">
        <f t="shared" si="9"/>
        <v>71673.526477015519</v>
      </c>
      <c r="I167" s="168">
        <v>160</v>
      </c>
      <c r="J167" s="167">
        <f>ROUND(B167*('Model Data Inputs'!$E$184*'Model Data Inputs'!$E$185*'Model Data Inputs'!$E$186*'Model Data Inputs'!$E$187),2)</f>
        <v>1390.31</v>
      </c>
      <c r="K167" s="169">
        <f t="shared" si="10"/>
        <v>222449.59999999998</v>
      </c>
      <c r="L167" s="153"/>
      <c r="M167" s="170">
        <v>160</v>
      </c>
      <c r="N167" s="164">
        <f>ROUND(F167*('Model Data Inputs'!$E$184*'Model Data Inputs'!$E$185*'Model Data Inputs'!$E$186*'Model Data Inputs'!$E$187),2)</f>
        <v>447.96</v>
      </c>
      <c r="O167" s="171">
        <f t="shared" si="11"/>
        <v>71673.599999999991</v>
      </c>
    </row>
    <row r="168" spans="1:15" x14ac:dyDescent="0.2">
      <c r="A168" s="168">
        <v>161</v>
      </c>
      <c r="B168" s="159">
        <v>1387.4787077306557</v>
      </c>
      <c r="C168" s="169">
        <f t="shared" si="8"/>
        <v>223384.07194463557</v>
      </c>
      <c r="D168" s="153"/>
      <c r="E168" s="170">
        <v>161</v>
      </c>
      <c r="F168" s="162">
        <v>446.3738903531206</v>
      </c>
      <c r="G168" s="171">
        <f t="shared" si="9"/>
        <v>71866.196346852419</v>
      </c>
      <c r="I168" s="168">
        <v>161</v>
      </c>
      <c r="J168" s="167">
        <f>ROUND(B168*('Model Data Inputs'!$E$184*'Model Data Inputs'!$E$185*'Model Data Inputs'!$E$186*'Model Data Inputs'!$E$187),2)</f>
        <v>1387.48</v>
      </c>
      <c r="K168" s="169">
        <f t="shared" si="10"/>
        <v>223384.28</v>
      </c>
      <c r="L168" s="153"/>
      <c r="M168" s="170">
        <v>161</v>
      </c>
      <c r="N168" s="164">
        <f>ROUND(F168*('Model Data Inputs'!$E$184*'Model Data Inputs'!$E$185*'Model Data Inputs'!$E$186*'Model Data Inputs'!$E$187),2)</f>
        <v>446.37</v>
      </c>
      <c r="O168" s="171">
        <f t="shared" si="11"/>
        <v>71865.570000000007</v>
      </c>
    </row>
    <row r="169" spans="1:15" x14ac:dyDescent="0.2">
      <c r="A169" s="168">
        <v>162</v>
      </c>
      <c r="B169" s="159">
        <v>1384.6471216864045</v>
      </c>
      <c r="C169" s="169">
        <f t="shared" si="8"/>
        <v>224312.83371319753</v>
      </c>
      <c r="D169" s="153"/>
      <c r="E169" s="170">
        <v>162</v>
      </c>
      <c r="F169" s="162">
        <v>444.78824022489448</v>
      </c>
      <c r="G169" s="171">
        <f t="shared" si="9"/>
        <v>72055.694916432913</v>
      </c>
      <c r="I169" s="168">
        <v>162</v>
      </c>
      <c r="J169" s="167">
        <f>ROUND(B169*('Model Data Inputs'!$E$184*'Model Data Inputs'!$E$185*'Model Data Inputs'!$E$186*'Model Data Inputs'!$E$187),2)</f>
        <v>1384.65</v>
      </c>
      <c r="K169" s="169">
        <f t="shared" si="10"/>
        <v>224313.30000000002</v>
      </c>
      <c r="L169" s="153"/>
      <c r="M169" s="170">
        <v>162</v>
      </c>
      <c r="N169" s="164">
        <f>ROUND(F169*('Model Data Inputs'!$E$184*'Model Data Inputs'!$E$185*'Model Data Inputs'!$E$186*'Model Data Inputs'!$E$187),2)</f>
        <v>444.79</v>
      </c>
      <c r="O169" s="171">
        <f t="shared" si="11"/>
        <v>72055.98000000001</v>
      </c>
    </row>
    <row r="170" spans="1:15" x14ac:dyDescent="0.2">
      <c r="A170" s="168">
        <v>163</v>
      </c>
      <c r="B170" s="159">
        <v>1381.815535642153</v>
      </c>
      <c r="C170" s="169">
        <f t="shared" si="8"/>
        <v>225235.93230967093</v>
      </c>
      <c r="D170" s="153"/>
      <c r="E170" s="170">
        <v>163</v>
      </c>
      <c r="F170" s="162">
        <v>443.20259009666825</v>
      </c>
      <c r="G170" s="171">
        <f t="shared" si="9"/>
        <v>72242.022185756927</v>
      </c>
      <c r="I170" s="168">
        <v>163</v>
      </c>
      <c r="J170" s="167">
        <f>ROUND(B170*('Model Data Inputs'!$E$184*'Model Data Inputs'!$E$185*'Model Data Inputs'!$E$186*'Model Data Inputs'!$E$187),2)</f>
        <v>1381.82</v>
      </c>
      <c r="K170" s="169">
        <f t="shared" si="10"/>
        <v>225236.66</v>
      </c>
      <c r="L170" s="153"/>
      <c r="M170" s="170">
        <v>163</v>
      </c>
      <c r="N170" s="164">
        <f>ROUND(F170*('Model Data Inputs'!$E$184*'Model Data Inputs'!$E$185*'Model Data Inputs'!$E$186*'Model Data Inputs'!$E$187),2)</f>
        <v>443.2</v>
      </c>
      <c r="O170" s="171">
        <f t="shared" si="11"/>
        <v>72241.599999999991</v>
      </c>
    </row>
    <row r="171" spans="1:15" x14ac:dyDescent="0.2">
      <c r="A171" s="168">
        <v>164</v>
      </c>
      <c r="B171" s="159">
        <v>1378.983949597902</v>
      </c>
      <c r="C171" s="169">
        <f t="shared" si="8"/>
        <v>226153.36773405594</v>
      </c>
      <c r="D171" s="153"/>
      <c r="E171" s="170">
        <v>164</v>
      </c>
      <c r="F171" s="162">
        <v>441.61693996844195</v>
      </c>
      <c r="G171" s="171">
        <f t="shared" si="9"/>
        <v>72425.178154824476</v>
      </c>
      <c r="I171" s="168">
        <v>164</v>
      </c>
      <c r="J171" s="167">
        <f>ROUND(B171*('Model Data Inputs'!$E$184*'Model Data Inputs'!$E$185*'Model Data Inputs'!$E$186*'Model Data Inputs'!$E$187),2)</f>
        <v>1378.98</v>
      </c>
      <c r="K171" s="169">
        <f t="shared" si="10"/>
        <v>226152.72</v>
      </c>
      <c r="L171" s="153"/>
      <c r="M171" s="170">
        <v>164</v>
      </c>
      <c r="N171" s="164">
        <f>ROUND(F171*('Model Data Inputs'!$E$184*'Model Data Inputs'!$E$185*'Model Data Inputs'!$E$186*'Model Data Inputs'!$E$187),2)</f>
        <v>441.62</v>
      </c>
      <c r="O171" s="171">
        <f t="shared" si="11"/>
        <v>72425.680000000008</v>
      </c>
    </row>
    <row r="172" spans="1:15" x14ac:dyDescent="0.2">
      <c r="A172" s="168">
        <v>165</v>
      </c>
      <c r="B172" s="159">
        <v>1376.1523635536505</v>
      </c>
      <c r="C172" s="169">
        <f t="shared" si="8"/>
        <v>227065.13998635233</v>
      </c>
      <c r="D172" s="153"/>
      <c r="E172" s="170">
        <v>165</v>
      </c>
      <c r="F172" s="162">
        <v>440.03128984021572</v>
      </c>
      <c r="G172" s="171">
        <f t="shared" si="9"/>
        <v>72605.16282363559</v>
      </c>
      <c r="I172" s="168">
        <v>165</v>
      </c>
      <c r="J172" s="167">
        <f>ROUND(B172*('Model Data Inputs'!$E$184*'Model Data Inputs'!$E$185*'Model Data Inputs'!$E$186*'Model Data Inputs'!$E$187),2)</f>
        <v>1376.15</v>
      </c>
      <c r="K172" s="169">
        <f t="shared" si="10"/>
        <v>227064.75000000003</v>
      </c>
      <c r="L172" s="153"/>
      <c r="M172" s="170">
        <v>165</v>
      </c>
      <c r="N172" s="164">
        <f>ROUND(F172*('Model Data Inputs'!$E$184*'Model Data Inputs'!$E$185*'Model Data Inputs'!$E$186*'Model Data Inputs'!$E$187),2)</f>
        <v>440.03</v>
      </c>
      <c r="O172" s="171">
        <f t="shared" si="11"/>
        <v>72604.95</v>
      </c>
    </row>
    <row r="173" spans="1:15" x14ac:dyDescent="0.2">
      <c r="A173" s="168">
        <v>166</v>
      </c>
      <c r="B173" s="159">
        <v>1373.320777509399</v>
      </c>
      <c r="C173" s="169">
        <f t="shared" si="8"/>
        <v>227971.24906656024</v>
      </c>
      <c r="D173" s="153"/>
      <c r="E173" s="170">
        <v>166</v>
      </c>
      <c r="F173" s="162">
        <v>438.44563971198943</v>
      </c>
      <c r="G173" s="171">
        <f t="shared" si="9"/>
        <v>72781.976192190239</v>
      </c>
      <c r="I173" s="168">
        <v>166</v>
      </c>
      <c r="J173" s="167">
        <f>ROUND(B173*('Model Data Inputs'!$E$184*'Model Data Inputs'!$E$185*'Model Data Inputs'!$E$186*'Model Data Inputs'!$E$187),2)</f>
        <v>1373.32</v>
      </c>
      <c r="K173" s="169">
        <f t="shared" si="10"/>
        <v>227971.12</v>
      </c>
      <c r="L173" s="153"/>
      <c r="M173" s="170">
        <v>166</v>
      </c>
      <c r="N173" s="164">
        <f>ROUND(F173*('Model Data Inputs'!$E$184*'Model Data Inputs'!$E$185*'Model Data Inputs'!$E$186*'Model Data Inputs'!$E$187),2)</f>
        <v>438.45</v>
      </c>
      <c r="O173" s="171">
        <f t="shared" si="11"/>
        <v>72782.7</v>
      </c>
    </row>
    <row r="174" spans="1:15" x14ac:dyDescent="0.2">
      <c r="A174" s="168">
        <v>167</v>
      </c>
      <c r="B174" s="159">
        <v>1370.489191465148</v>
      </c>
      <c r="C174" s="169">
        <f t="shared" si="8"/>
        <v>228871.6949746797</v>
      </c>
      <c r="D174" s="153"/>
      <c r="E174" s="170">
        <v>167</v>
      </c>
      <c r="F174" s="162">
        <v>436.85998958376325</v>
      </c>
      <c r="G174" s="171">
        <f t="shared" si="9"/>
        <v>72955.618260488467</v>
      </c>
      <c r="I174" s="168">
        <v>167</v>
      </c>
      <c r="J174" s="167">
        <f>ROUND(B174*('Model Data Inputs'!$E$184*'Model Data Inputs'!$E$185*'Model Data Inputs'!$E$186*'Model Data Inputs'!$E$187),2)</f>
        <v>1370.49</v>
      </c>
      <c r="K174" s="169">
        <f t="shared" si="10"/>
        <v>228871.83</v>
      </c>
      <c r="L174" s="153"/>
      <c r="M174" s="170">
        <v>167</v>
      </c>
      <c r="N174" s="164">
        <f>ROUND(F174*('Model Data Inputs'!$E$184*'Model Data Inputs'!$E$185*'Model Data Inputs'!$E$186*'Model Data Inputs'!$E$187),2)</f>
        <v>436.86</v>
      </c>
      <c r="O174" s="171">
        <f t="shared" si="11"/>
        <v>72955.62</v>
      </c>
    </row>
    <row r="175" spans="1:15" x14ac:dyDescent="0.2">
      <c r="A175" s="168">
        <v>168</v>
      </c>
      <c r="B175" s="159">
        <v>1367.6576054208965</v>
      </c>
      <c r="C175" s="169">
        <f t="shared" si="8"/>
        <v>229766.47771071061</v>
      </c>
      <c r="D175" s="153"/>
      <c r="E175" s="170">
        <v>168</v>
      </c>
      <c r="F175" s="162">
        <v>435.27433945553696</v>
      </c>
      <c r="G175" s="171">
        <f t="shared" si="9"/>
        <v>73126.089028530216</v>
      </c>
      <c r="I175" s="168">
        <v>168</v>
      </c>
      <c r="J175" s="167">
        <f>ROUND(B175*('Model Data Inputs'!$E$184*'Model Data Inputs'!$E$185*'Model Data Inputs'!$E$186*'Model Data Inputs'!$E$187),2)</f>
        <v>1367.66</v>
      </c>
      <c r="K175" s="169">
        <f t="shared" si="10"/>
        <v>229766.88</v>
      </c>
      <c r="L175" s="153"/>
      <c r="M175" s="170">
        <v>168</v>
      </c>
      <c r="N175" s="164">
        <f>ROUND(F175*('Model Data Inputs'!$E$184*'Model Data Inputs'!$E$185*'Model Data Inputs'!$E$186*'Model Data Inputs'!$E$187),2)</f>
        <v>435.27</v>
      </c>
      <c r="O175" s="171">
        <f t="shared" si="11"/>
        <v>73125.36</v>
      </c>
    </row>
    <row r="176" spans="1:15" x14ac:dyDescent="0.2">
      <c r="A176" s="168">
        <v>169</v>
      </c>
      <c r="B176" s="159">
        <v>1364.8260193766455</v>
      </c>
      <c r="C176" s="169">
        <f t="shared" si="8"/>
        <v>230655.59727465309</v>
      </c>
      <c r="D176" s="153"/>
      <c r="E176" s="170">
        <v>169</v>
      </c>
      <c r="F176" s="162">
        <v>433.68868932731078</v>
      </c>
      <c r="G176" s="171">
        <f t="shared" si="9"/>
        <v>73293.388496315529</v>
      </c>
      <c r="I176" s="168">
        <v>169</v>
      </c>
      <c r="J176" s="167">
        <f>ROUND(B176*('Model Data Inputs'!$E$184*'Model Data Inputs'!$E$185*'Model Data Inputs'!$E$186*'Model Data Inputs'!$E$187),2)</f>
        <v>1364.83</v>
      </c>
      <c r="K176" s="169">
        <f t="shared" si="10"/>
        <v>230656.27</v>
      </c>
      <c r="L176" s="153"/>
      <c r="M176" s="170">
        <v>169</v>
      </c>
      <c r="N176" s="164">
        <f>ROUND(F176*('Model Data Inputs'!$E$184*'Model Data Inputs'!$E$185*'Model Data Inputs'!$E$186*'Model Data Inputs'!$E$187),2)</f>
        <v>433.69</v>
      </c>
      <c r="O176" s="171">
        <f t="shared" si="11"/>
        <v>73293.61</v>
      </c>
    </row>
    <row r="177" spans="1:15" x14ac:dyDescent="0.2">
      <c r="A177" s="168">
        <v>170</v>
      </c>
      <c r="B177" s="159">
        <v>1361.9944333323942</v>
      </c>
      <c r="C177" s="169">
        <f t="shared" si="8"/>
        <v>231539.05366650701</v>
      </c>
      <c r="D177" s="153"/>
      <c r="E177" s="170">
        <v>170</v>
      </c>
      <c r="F177" s="162">
        <v>432.10303919908455</v>
      </c>
      <c r="G177" s="171">
        <f t="shared" si="9"/>
        <v>73457.516663844377</v>
      </c>
      <c r="I177" s="168">
        <v>170</v>
      </c>
      <c r="J177" s="167">
        <f>ROUND(B177*('Model Data Inputs'!$E$184*'Model Data Inputs'!$E$185*'Model Data Inputs'!$E$186*'Model Data Inputs'!$E$187),2)</f>
        <v>1361.99</v>
      </c>
      <c r="K177" s="169">
        <f t="shared" si="10"/>
        <v>231538.3</v>
      </c>
      <c r="L177" s="153"/>
      <c r="M177" s="170">
        <v>170</v>
      </c>
      <c r="N177" s="164">
        <f>ROUND(F177*('Model Data Inputs'!$E$184*'Model Data Inputs'!$E$185*'Model Data Inputs'!$E$186*'Model Data Inputs'!$E$187),2)</f>
        <v>432.1</v>
      </c>
      <c r="O177" s="171">
        <f t="shared" si="11"/>
        <v>73457</v>
      </c>
    </row>
    <row r="178" spans="1:15" x14ac:dyDescent="0.2">
      <c r="A178" s="168">
        <v>171</v>
      </c>
      <c r="B178" s="159">
        <v>1359.1628472881432</v>
      </c>
      <c r="C178" s="169">
        <f t="shared" si="8"/>
        <v>232416.84688627248</v>
      </c>
      <c r="D178" s="153"/>
      <c r="E178" s="170">
        <v>171</v>
      </c>
      <c r="F178" s="162">
        <v>430.51738907085826</v>
      </c>
      <c r="G178" s="171">
        <f t="shared" si="9"/>
        <v>73618.473531116761</v>
      </c>
      <c r="I178" s="168">
        <v>171</v>
      </c>
      <c r="J178" s="167">
        <f>ROUND(B178*('Model Data Inputs'!$E$184*'Model Data Inputs'!$E$185*'Model Data Inputs'!$E$186*'Model Data Inputs'!$E$187),2)</f>
        <v>1359.16</v>
      </c>
      <c r="K178" s="169">
        <f t="shared" si="10"/>
        <v>232416.36000000002</v>
      </c>
      <c r="L178" s="153"/>
      <c r="M178" s="170">
        <v>171</v>
      </c>
      <c r="N178" s="164">
        <f>ROUND(F178*('Model Data Inputs'!$E$184*'Model Data Inputs'!$E$185*'Model Data Inputs'!$E$186*'Model Data Inputs'!$E$187),2)</f>
        <v>430.52</v>
      </c>
      <c r="O178" s="171">
        <f t="shared" si="11"/>
        <v>73618.92</v>
      </c>
    </row>
    <row r="179" spans="1:15" x14ac:dyDescent="0.2">
      <c r="A179" s="168">
        <v>172</v>
      </c>
      <c r="B179" s="159">
        <v>1356.3312612438917</v>
      </c>
      <c r="C179" s="169">
        <f t="shared" si="8"/>
        <v>233288.97693394937</v>
      </c>
      <c r="D179" s="153"/>
      <c r="E179" s="170">
        <v>172</v>
      </c>
      <c r="F179" s="162">
        <v>428.93173894263208</v>
      </c>
      <c r="G179" s="171">
        <f t="shared" si="9"/>
        <v>73776.259098132723</v>
      </c>
      <c r="I179" s="168">
        <v>172</v>
      </c>
      <c r="J179" s="167">
        <f>ROUND(B179*('Model Data Inputs'!$E$184*'Model Data Inputs'!$E$185*'Model Data Inputs'!$E$186*'Model Data Inputs'!$E$187),2)</f>
        <v>1356.33</v>
      </c>
      <c r="K179" s="169">
        <f t="shared" si="10"/>
        <v>233288.75999999998</v>
      </c>
      <c r="L179" s="153"/>
      <c r="M179" s="170">
        <v>172</v>
      </c>
      <c r="N179" s="164">
        <f>ROUND(F179*('Model Data Inputs'!$E$184*'Model Data Inputs'!$E$185*'Model Data Inputs'!$E$186*'Model Data Inputs'!$E$187),2)</f>
        <v>428.93</v>
      </c>
      <c r="O179" s="171">
        <f t="shared" si="11"/>
        <v>73775.960000000006</v>
      </c>
    </row>
    <row r="180" spans="1:15" x14ac:dyDescent="0.2">
      <c r="A180" s="168">
        <v>173</v>
      </c>
      <c r="B180" s="159">
        <v>1353.4996751996405</v>
      </c>
      <c r="C180" s="169">
        <f t="shared" si="8"/>
        <v>234155.4438095378</v>
      </c>
      <c r="D180" s="153"/>
      <c r="E180" s="170">
        <v>173</v>
      </c>
      <c r="F180" s="162">
        <v>427.34608881440579</v>
      </c>
      <c r="G180" s="171">
        <f t="shared" si="9"/>
        <v>73930.873364892206</v>
      </c>
      <c r="I180" s="168">
        <v>173</v>
      </c>
      <c r="J180" s="167">
        <f>ROUND(B180*('Model Data Inputs'!$E$184*'Model Data Inputs'!$E$185*'Model Data Inputs'!$E$186*'Model Data Inputs'!$E$187),2)</f>
        <v>1353.5</v>
      </c>
      <c r="K180" s="169">
        <f t="shared" si="10"/>
        <v>234155.5</v>
      </c>
      <c r="L180" s="153"/>
      <c r="M180" s="170">
        <v>173</v>
      </c>
      <c r="N180" s="164">
        <f>ROUND(F180*('Model Data Inputs'!$E$184*'Model Data Inputs'!$E$185*'Model Data Inputs'!$E$186*'Model Data Inputs'!$E$187),2)</f>
        <v>427.35</v>
      </c>
      <c r="O180" s="171">
        <f t="shared" si="11"/>
        <v>73931.55</v>
      </c>
    </row>
    <row r="181" spans="1:15" x14ac:dyDescent="0.2">
      <c r="A181" s="168">
        <v>174</v>
      </c>
      <c r="B181" s="159">
        <v>1350.6680891553892</v>
      </c>
      <c r="C181" s="169">
        <f t="shared" si="8"/>
        <v>235016.24751303773</v>
      </c>
      <c r="D181" s="153"/>
      <c r="E181" s="170">
        <v>174</v>
      </c>
      <c r="F181" s="162">
        <v>425.7604386861795</v>
      </c>
      <c r="G181" s="171">
        <f t="shared" si="9"/>
        <v>74082.316331395239</v>
      </c>
      <c r="I181" s="168">
        <v>174</v>
      </c>
      <c r="J181" s="167">
        <f>ROUND(B181*('Model Data Inputs'!$E$184*'Model Data Inputs'!$E$185*'Model Data Inputs'!$E$186*'Model Data Inputs'!$E$187),2)</f>
        <v>1350.67</v>
      </c>
      <c r="K181" s="169">
        <f t="shared" si="10"/>
        <v>235016.58000000002</v>
      </c>
      <c r="L181" s="153"/>
      <c r="M181" s="170">
        <v>174</v>
      </c>
      <c r="N181" s="164">
        <f>ROUND(F181*('Model Data Inputs'!$E$184*'Model Data Inputs'!$E$185*'Model Data Inputs'!$E$186*'Model Data Inputs'!$E$187),2)</f>
        <v>425.76</v>
      </c>
      <c r="O181" s="171">
        <f t="shared" si="11"/>
        <v>74082.240000000005</v>
      </c>
    </row>
    <row r="182" spans="1:15" x14ac:dyDescent="0.2">
      <c r="A182" s="168">
        <v>175</v>
      </c>
      <c r="B182" s="159">
        <v>1347.836503111138</v>
      </c>
      <c r="C182" s="169">
        <f t="shared" si="8"/>
        <v>235871.38804444915</v>
      </c>
      <c r="D182" s="153"/>
      <c r="E182" s="170">
        <v>175</v>
      </c>
      <c r="F182" s="162">
        <v>424.17478855795338</v>
      </c>
      <c r="G182" s="171">
        <f t="shared" si="9"/>
        <v>74230.587997641836</v>
      </c>
      <c r="I182" s="168">
        <v>175</v>
      </c>
      <c r="J182" s="167">
        <f>ROUND(B182*('Model Data Inputs'!$E$184*'Model Data Inputs'!$E$185*'Model Data Inputs'!$E$186*'Model Data Inputs'!$E$187),2)</f>
        <v>1347.84</v>
      </c>
      <c r="K182" s="169">
        <f t="shared" si="10"/>
        <v>235872</v>
      </c>
      <c r="L182" s="153"/>
      <c r="M182" s="170">
        <v>175</v>
      </c>
      <c r="N182" s="164">
        <f>ROUND(F182*('Model Data Inputs'!$E$184*'Model Data Inputs'!$E$185*'Model Data Inputs'!$E$186*'Model Data Inputs'!$E$187),2)</f>
        <v>424.17</v>
      </c>
      <c r="O182" s="171">
        <f t="shared" si="11"/>
        <v>74229.75</v>
      </c>
    </row>
    <row r="183" spans="1:15" x14ac:dyDescent="0.2">
      <c r="A183" s="168">
        <v>176</v>
      </c>
      <c r="B183" s="159">
        <v>1345.0049170668867</v>
      </c>
      <c r="C183" s="169">
        <f t="shared" si="8"/>
        <v>236720.86540377207</v>
      </c>
      <c r="D183" s="153"/>
      <c r="E183" s="170">
        <v>176</v>
      </c>
      <c r="F183" s="162">
        <v>422.58913842972714</v>
      </c>
      <c r="G183" s="171">
        <f t="shared" si="9"/>
        <v>74375.688363631984</v>
      </c>
      <c r="I183" s="168">
        <v>176</v>
      </c>
      <c r="J183" s="167">
        <f>ROUND(B183*('Model Data Inputs'!$E$184*'Model Data Inputs'!$E$185*'Model Data Inputs'!$E$186*'Model Data Inputs'!$E$187),2)</f>
        <v>1345</v>
      </c>
      <c r="K183" s="169">
        <f t="shared" si="10"/>
        <v>236720</v>
      </c>
      <c r="L183" s="153"/>
      <c r="M183" s="170">
        <v>176</v>
      </c>
      <c r="N183" s="164">
        <f>ROUND(F183*('Model Data Inputs'!$E$184*'Model Data Inputs'!$E$185*'Model Data Inputs'!$E$186*'Model Data Inputs'!$E$187),2)</f>
        <v>422.59</v>
      </c>
      <c r="O183" s="171">
        <f t="shared" si="11"/>
        <v>74375.839999999997</v>
      </c>
    </row>
    <row r="184" spans="1:15" x14ac:dyDescent="0.2">
      <c r="A184" s="168">
        <v>177</v>
      </c>
      <c r="B184" s="159">
        <v>1342.1733310226355</v>
      </c>
      <c r="C184" s="169">
        <f t="shared" si="8"/>
        <v>237564.67959100648</v>
      </c>
      <c r="D184" s="153"/>
      <c r="E184" s="170">
        <v>177</v>
      </c>
      <c r="F184" s="162">
        <v>421.00348830150091</v>
      </c>
      <c r="G184" s="171">
        <f t="shared" si="9"/>
        <v>74517.617429365666</v>
      </c>
      <c r="I184" s="168">
        <v>177</v>
      </c>
      <c r="J184" s="167">
        <f>ROUND(B184*('Model Data Inputs'!$E$184*'Model Data Inputs'!$E$185*'Model Data Inputs'!$E$186*'Model Data Inputs'!$E$187),2)</f>
        <v>1342.17</v>
      </c>
      <c r="K184" s="169">
        <f t="shared" si="10"/>
        <v>237564.09000000003</v>
      </c>
      <c r="L184" s="153"/>
      <c r="M184" s="170">
        <v>177</v>
      </c>
      <c r="N184" s="164">
        <f>ROUND(F184*('Model Data Inputs'!$E$184*'Model Data Inputs'!$E$185*'Model Data Inputs'!$E$186*'Model Data Inputs'!$E$187),2)</f>
        <v>421</v>
      </c>
      <c r="O184" s="171">
        <f t="shared" si="11"/>
        <v>74517</v>
      </c>
    </row>
    <row r="185" spans="1:15" x14ac:dyDescent="0.2">
      <c r="A185" s="168">
        <v>178</v>
      </c>
      <c r="B185" s="159">
        <v>1339.341744978384</v>
      </c>
      <c r="C185" s="169">
        <f t="shared" si="8"/>
        <v>238402.83060615236</v>
      </c>
      <c r="D185" s="153"/>
      <c r="E185" s="170">
        <v>178</v>
      </c>
      <c r="F185" s="162">
        <v>419.41783817327467</v>
      </c>
      <c r="G185" s="171">
        <f t="shared" si="9"/>
        <v>74656.375194842898</v>
      </c>
      <c r="I185" s="168">
        <v>178</v>
      </c>
      <c r="J185" s="167">
        <f>ROUND(B185*('Model Data Inputs'!$E$184*'Model Data Inputs'!$E$185*'Model Data Inputs'!$E$186*'Model Data Inputs'!$E$187),2)</f>
        <v>1339.34</v>
      </c>
      <c r="K185" s="169">
        <f t="shared" si="10"/>
        <v>238402.52</v>
      </c>
      <c r="L185" s="153"/>
      <c r="M185" s="170">
        <v>178</v>
      </c>
      <c r="N185" s="164">
        <f>ROUND(F185*('Model Data Inputs'!$E$184*'Model Data Inputs'!$E$185*'Model Data Inputs'!$E$186*'Model Data Inputs'!$E$187),2)</f>
        <v>419.42</v>
      </c>
      <c r="O185" s="171">
        <f t="shared" si="11"/>
        <v>74656.760000000009</v>
      </c>
    </row>
    <row r="186" spans="1:15" x14ac:dyDescent="0.2">
      <c r="A186" s="168">
        <v>179</v>
      </c>
      <c r="B186" s="159">
        <v>1336.5101589341327</v>
      </c>
      <c r="C186" s="169">
        <f t="shared" si="8"/>
        <v>239235.31844920976</v>
      </c>
      <c r="D186" s="153"/>
      <c r="E186" s="170">
        <v>179</v>
      </c>
      <c r="F186" s="162">
        <v>417.83218804504838</v>
      </c>
      <c r="G186" s="171">
        <f t="shared" si="9"/>
        <v>74791.961660063665</v>
      </c>
      <c r="I186" s="168">
        <v>179</v>
      </c>
      <c r="J186" s="167">
        <f>ROUND(B186*('Model Data Inputs'!$E$184*'Model Data Inputs'!$E$185*'Model Data Inputs'!$E$186*'Model Data Inputs'!$E$187),2)</f>
        <v>1336.51</v>
      </c>
      <c r="K186" s="169">
        <f t="shared" si="10"/>
        <v>239235.29</v>
      </c>
      <c r="L186" s="153"/>
      <c r="M186" s="170">
        <v>179</v>
      </c>
      <c r="N186" s="164">
        <f>ROUND(F186*('Model Data Inputs'!$E$184*'Model Data Inputs'!$E$185*'Model Data Inputs'!$E$186*'Model Data Inputs'!$E$187),2)</f>
        <v>417.83</v>
      </c>
      <c r="O186" s="171">
        <f t="shared" si="11"/>
        <v>74791.569999999992</v>
      </c>
    </row>
    <row r="187" spans="1:15" x14ac:dyDescent="0.2">
      <c r="A187" s="168">
        <v>180</v>
      </c>
      <c r="B187" s="159">
        <v>1333.6785728898817</v>
      </c>
      <c r="C187" s="169">
        <f t="shared" si="8"/>
        <v>240062.14312017872</v>
      </c>
      <c r="D187" s="153"/>
      <c r="E187" s="170">
        <v>180</v>
      </c>
      <c r="F187" s="162">
        <v>416.24653791682221</v>
      </c>
      <c r="G187" s="171">
        <f t="shared" si="9"/>
        <v>74924.376825027997</v>
      </c>
      <c r="I187" s="168">
        <v>180</v>
      </c>
      <c r="J187" s="167">
        <f>ROUND(B187*('Model Data Inputs'!$E$184*'Model Data Inputs'!$E$185*'Model Data Inputs'!$E$186*'Model Data Inputs'!$E$187),2)</f>
        <v>1333.68</v>
      </c>
      <c r="K187" s="169">
        <f t="shared" si="10"/>
        <v>240062.40000000002</v>
      </c>
      <c r="L187" s="153"/>
      <c r="M187" s="170">
        <v>180</v>
      </c>
      <c r="N187" s="164">
        <f>ROUND(F187*('Model Data Inputs'!$E$184*'Model Data Inputs'!$E$185*'Model Data Inputs'!$E$186*'Model Data Inputs'!$E$187),2)</f>
        <v>416.25</v>
      </c>
      <c r="O187" s="171">
        <f t="shared" si="11"/>
        <v>74925</v>
      </c>
    </row>
    <row r="188" spans="1:15" x14ac:dyDescent="0.2">
      <c r="A188" s="168">
        <v>181</v>
      </c>
      <c r="B188" s="159">
        <v>1330.8469868456305</v>
      </c>
      <c r="C188" s="169">
        <f t="shared" si="8"/>
        <v>240883.30461905911</v>
      </c>
      <c r="D188" s="153"/>
      <c r="E188" s="170">
        <v>181</v>
      </c>
      <c r="F188" s="162">
        <v>414.66088778859586</v>
      </c>
      <c r="G188" s="171">
        <f t="shared" si="9"/>
        <v>75053.62068973585</v>
      </c>
      <c r="I188" s="168">
        <v>181</v>
      </c>
      <c r="J188" s="167">
        <f>ROUND(B188*('Model Data Inputs'!$E$184*'Model Data Inputs'!$E$185*'Model Data Inputs'!$E$186*'Model Data Inputs'!$E$187),2)</f>
        <v>1330.85</v>
      </c>
      <c r="K188" s="169">
        <f t="shared" si="10"/>
        <v>240883.84999999998</v>
      </c>
      <c r="L188" s="153"/>
      <c r="M188" s="170">
        <v>181</v>
      </c>
      <c r="N188" s="164">
        <f>ROUND(F188*('Model Data Inputs'!$E$184*'Model Data Inputs'!$E$185*'Model Data Inputs'!$E$186*'Model Data Inputs'!$E$187),2)</f>
        <v>414.66</v>
      </c>
      <c r="O188" s="171">
        <f t="shared" si="11"/>
        <v>75053.460000000006</v>
      </c>
    </row>
    <row r="189" spans="1:15" x14ac:dyDescent="0.2">
      <c r="A189" s="168">
        <v>182</v>
      </c>
      <c r="B189" s="159">
        <v>1328.0154008013792</v>
      </c>
      <c r="C189" s="169">
        <f t="shared" si="8"/>
        <v>241698.80294585103</v>
      </c>
      <c r="D189" s="153"/>
      <c r="E189" s="170">
        <v>182</v>
      </c>
      <c r="F189" s="162">
        <v>413.07523766036968</v>
      </c>
      <c r="G189" s="171">
        <f t="shared" si="9"/>
        <v>75179.693254187281</v>
      </c>
      <c r="I189" s="168">
        <v>182</v>
      </c>
      <c r="J189" s="167">
        <f>ROUND(B189*('Model Data Inputs'!$E$184*'Model Data Inputs'!$E$185*'Model Data Inputs'!$E$186*'Model Data Inputs'!$E$187),2)</f>
        <v>1328.02</v>
      </c>
      <c r="K189" s="169">
        <f t="shared" si="10"/>
        <v>241699.63999999998</v>
      </c>
      <c r="L189" s="153"/>
      <c r="M189" s="170">
        <v>182</v>
      </c>
      <c r="N189" s="164">
        <f>ROUND(F189*('Model Data Inputs'!$E$184*'Model Data Inputs'!$E$185*'Model Data Inputs'!$E$186*'Model Data Inputs'!$E$187),2)</f>
        <v>413.08</v>
      </c>
      <c r="O189" s="171">
        <f t="shared" si="11"/>
        <v>75180.56</v>
      </c>
    </row>
    <row r="190" spans="1:15" x14ac:dyDescent="0.2">
      <c r="A190" s="168">
        <v>183</v>
      </c>
      <c r="B190" s="159">
        <v>1325.1838147571279</v>
      </c>
      <c r="C190" s="169">
        <f t="shared" si="8"/>
        <v>242508.63810055441</v>
      </c>
      <c r="D190" s="153"/>
      <c r="E190" s="170">
        <v>183</v>
      </c>
      <c r="F190" s="162">
        <v>411.48958753214333</v>
      </c>
      <c r="G190" s="171">
        <f t="shared" si="9"/>
        <v>75302.594518382233</v>
      </c>
      <c r="I190" s="168">
        <v>183</v>
      </c>
      <c r="J190" s="167">
        <f>ROUND(B190*('Model Data Inputs'!$E$184*'Model Data Inputs'!$E$185*'Model Data Inputs'!$E$186*'Model Data Inputs'!$E$187),2)</f>
        <v>1325.18</v>
      </c>
      <c r="K190" s="169">
        <f t="shared" si="10"/>
        <v>242507.94</v>
      </c>
      <c r="L190" s="153"/>
      <c r="M190" s="170">
        <v>183</v>
      </c>
      <c r="N190" s="164">
        <f>ROUND(F190*('Model Data Inputs'!$E$184*'Model Data Inputs'!$E$185*'Model Data Inputs'!$E$186*'Model Data Inputs'!$E$187),2)</f>
        <v>411.49</v>
      </c>
      <c r="O190" s="171">
        <f t="shared" si="11"/>
        <v>75302.67</v>
      </c>
    </row>
    <row r="191" spans="1:15" x14ac:dyDescent="0.2">
      <c r="A191" s="168">
        <v>184</v>
      </c>
      <c r="B191" s="159">
        <v>1322.3522287128767</v>
      </c>
      <c r="C191" s="169">
        <f t="shared" si="8"/>
        <v>243312.81008316932</v>
      </c>
      <c r="D191" s="153"/>
      <c r="E191" s="170">
        <v>184</v>
      </c>
      <c r="F191" s="162">
        <v>409.90393740391721</v>
      </c>
      <c r="G191" s="171">
        <f t="shared" si="9"/>
        <v>75422.324482320764</v>
      </c>
      <c r="I191" s="168">
        <v>184</v>
      </c>
      <c r="J191" s="167">
        <f>ROUND(B191*('Model Data Inputs'!$E$184*'Model Data Inputs'!$E$185*'Model Data Inputs'!$E$186*'Model Data Inputs'!$E$187),2)</f>
        <v>1322.35</v>
      </c>
      <c r="K191" s="169">
        <f t="shared" si="10"/>
        <v>243312.4</v>
      </c>
      <c r="L191" s="153"/>
      <c r="M191" s="170">
        <v>184</v>
      </c>
      <c r="N191" s="164">
        <f>ROUND(F191*('Model Data Inputs'!$E$184*'Model Data Inputs'!$E$185*'Model Data Inputs'!$E$186*'Model Data Inputs'!$E$187),2)</f>
        <v>409.9</v>
      </c>
      <c r="O191" s="171">
        <f t="shared" si="11"/>
        <v>75421.599999999991</v>
      </c>
    </row>
    <row r="192" spans="1:15" x14ac:dyDescent="0.2">
      <c r="A192" s="168">
        <v>185</v>
      </c>
      <c r="B192" s="159">
        <v>1319.5206426686252</v>
      </c>
      <c r="C192" s="169">
        <f t="shared" si="8"/>
        <v>244111.31889369566</v>
      </c>
      <c r="D192" s="153"/>
      <c r="E192" s="170">
        <v>185</v>
      </c>
      <c r="F192" s="162">
        <v>408.31828727569098</v>
      </c>
      <c r="G192" s="171">
        <f t="shared" si="9"/>
        <v>75538.88314600283</v>
      </c>
      <c r="I192" s="168">
        <v>185</v>
      </c>
      <c r="J192" s="167">
        <f>ROUND(B192*('Model Data Inputs'!$E$184*'Model Data Inputs'!$E$185*'Model Data Inputs'!$E$186*'Model Data Inputs'!$E$187),2)</f>
        <v>1319.52</v>
      </c>
      <c r="K192" s="169">
        <f t="shared" si="10"/>
        <v>244111.19999999998</v>
      </c>
      <c r="L192" s="153"/>
      <c r="M192" s="170">
        <v>185</v>
      </c>
      <c r="N192" s="164">
        <f>ROUND(F192*('Model Data Inputs'!$E$184*'Model Data Inputs'!$E$185*'Model Data Inputs'!$E$186*'Model Data Inputs'!$E$187),2)</f>
        <v>408.32</v>
      </c>
      <c r="O192" s="171">
        <f t="shared" si="11"/>
        <v>75539.199999999997</v>
      </c>
    </row>
    <row r="193" spans="1:15" x14ac:dyDescent="0.2">
      <c r="A193" s="168">
        <v>186</v>
      </c>
      <c r="B193" s="159">
        <v>1316.689056624374</v>
      </c>
      <c r="C193" s="169">
        <f t="shared" si="8"/>
        <v>244904.16453213355</v>
      </c>
      <c r="D193" s="153"/>
      <c r="E193" s="170">
        <v>186</v>
      </c>
      <c r="F193" s="162">
        <v>406.73263714746474</v>
      </c>
      <c r="G193" s="171">
        <f t="shared" si="9"/>
        <v>75652.270509428447</v>
      </c>
      <c r="I193" s="168">
        <v>186</v>
      </c>
      <c r="J193" s="167">
        <f>ROUND(B193*('Model Data Inputs'!$E$184*'Model Data Inputs'!$E$185*'Model Data Inputs'!$E$186*'Model Data Inputs'!$E$187),2)</f>
        <v>1316.69</v>
      </c>
      <c r="K193" s="169">
        <f t="shared" si="10"/>
        <v>244904.34</v>
      </c>
      <c r="L193" s="153"/>
      <c r="M193" s="170">
        <v>186</v>
      </c>
      <c r="N193" s="164">
        <f>ROUND(F193*('Model Data Inputs'!$E$184*'Model Data Inputs'!$E$185*'Model Data Inputs'!$E$186*'Model Data Inputs'!$E$187),2)</f>
        <v>406.73</v>
      </c>
      <c r="O193" s="171">
        <f t="shared" si="11"/>
        <v>75651.78</v>
      </c>
    </row>
    <row r="194" spans="1:15" x14ac:dyDescent="0.2">
      <c r="A194" s="168">
        <v>187</v>
      </c>
      <c r="B194" s="159">
        <v>1313.8574705801229</v>
      </c>
      <c r="C194" s="169">
        <f t="shared" si="8"/>
        <v>245691.346998483</v>
      </c>
      <c r="D194" s="153"/>
      <c r="E194" s="170">
        <v>187</v>
      </c>
      <c r="F194" s="162">
        <v>405.14698701923862</v>
      </c>
      <c r="G194" s="171">
        <f t="shared" si="9"/>
        <v>75762.486572597627</v>
      </c>
      <c r="I194" s="168">
        <v>187</v>
      </c>
      <c r="J194" s="167">
        <f>ROUND(B194*('Model Data Inputs'!$E$184*'Model Data Inputs'!$E$185*'Model Data Inputs'!$E$186*'Model Data Inputs'!$E$187),2)</f>
        <v>1313.86</v>
      </c>
      <c r="K194" s="169">
        <f t="shared" si="10"/>
        <v>245691.81999999998</v>
      </c>
      <c r="L194" s="153"/>
      <c r="M194" s="170">
        <v>187</v>
      </c>
      <c r="N194" s="164">
        <f>ROUND(F194*('Model Data Inputs'!$E$184*'Model Data Inputs'!$E$185*'Model Data Inputs'!$E$186*'Model Data Inputs'!$E$187),2)</f>
        <v>405.15</v>
      </c>
      <c r="O194" s="171">
        <f t="shared" si="11"/>
        <v>75763.05</v>
      </c>
    </row>
    <row r="195" spans="1:15" x14ac:dyDescent="0.2">
      <c r="A195" s="168">
        <v>188</v>
      </c>
      <c r="B195" s="159">
        <v>1311.0258845358717</v>
      </c>
      <c r="C195" s="169">
        <f t="shared" si="8"/>
        <v>246472.86629274389</v>
      </c>
      <c r="D195" s="153"/>
      <c r="E195" s="170">
        <v>188</v>
      </c>
      <c r="F195" s="162">
        <v>403.56133689101227</v>
      </c>
      <c r="G195" s="171">
        <f t="shared" si="9"/>
        <v>75869.531335510314</v>
      </c>
      <c r="I195" s="168">
        <v>188</v>
      </c>
      <c r="J195" s="167">
        <f>ROUND(B195*('Model Data Inputs'!$E$184*'Model Data Inputs'!$E$185*'Model Data Inputs'!$E$186*'Model Data Inputs'!$E$187),2)</f>
        <v>1311.03</v>
      </c>
      <c r="K195" s="169">
        <f t="shared" si="10"/>
        <v>246473.63999999998</v>
      </c>
      <c r="L195" s="153"/>
      <c r="M195" s="170">
        <v>188</v>
      </c>
      <c r="N195" s="164">
        <f>ROUND(F195*('Model Data Inputs'!$E$184*'Model Data Inputs'!$E$185*'Model Data Inputs'!$E$186*'Model Data Inputs'!$E$187),2)</f>
        <v>403.56</v>
      </c>
      <c r="O195" s="171">
        <f t="shared" si="11"/>
        <v>75869.279999999999</v>
      </c>
    </row>
    <row r="196" spans="1:15" x14ac:dyDescent="0.2">
      <c r="A196" s="168">
        <v>189</v>
      </c>
      <c r="B196" s="159">
        <v>1308.19429849162</v>
      </c>
      <c r="C196" s="169">
        <f t="shared" si="8"/>
        <v>247248.72241491618</v>
      </c>
      <c r="D196" s="153"/>
      <c r="E196" s="170">
        <v>189</v>
      </c>
      <c r="F196" s="162">
        <v>401.9756867627861</v>
      </c>
      <c r="G196" s="171">
        <f t="shared" si="9"/>
        <v>75973.404798166579</v>
      </c>
      <c r="I196" s="168">
        <v>189</v>
      </c>
      <c r="J196" s="167">
        <f>ROUND(B196*('Model Data Inputs'!$E$184*'Model Data Inputs'!$E$185*'Model Data Inputs'!$E$186*'Model Data Inputs'!$E$187),2)</f>
        <v>1308.19</v>
      </c>
      <c r="K196" s="169">
        <f t="shared" si="10"/>
        <v>247247.91</v>
      </c>
      <c r="L196" s="153"/>
      <c r="M196" s="170">
        <v>189</v>
      </c>
      <c r="N196" s="164">
        <f>ROUND(F196*('Model Data Inputs'!$E$184*'Model Data Inputs'!$E$185*'Model Data Inputs'!$E$186*'Model Data Inputs'!$E$187),2)</f>
        <v>401.98</v>
      </c>
      <c r="O196" s="171">
        <f t="shared" si="11"/>
        <v>75974.22</v>
      </c>
    </row>
    <row r="197" spans="1:15" x14ac:dyDescent="0.2">
      <c r="A197" s="168">
        <v>190</v>
      </c>
      <c r="B197" s="159">
        <v>1305.3627124473692</v>
      </c>
      <c r="C197" s="169">
        <f t="shared" si="8"/>
        <v>248018.91536500014</v>
      </c>
      <c r="D197" s="153"/>
      <c r="E197" s="170">
        <v>190</v>
      </c>
      <c r="F197" s="162">
        <v>400.39003663455975</v>
      </c>
      <c r="G197" s="171">
        <f t="shared" si="9"/>
        <v>76074.106960566351</v>
      </c>
      <c r="I197" s="168">
        <v>190</v>
      </c>
      <c r="J197" s="167">
        <f>ROUND(B197*('Model Data Inputs'!$E$184*'Model Data Inputs'!$E$185*'Model Data Inputs'!$E$186*'Model Data Inputs'!$E$187),2)</f>
        <v>1305.3599999999999</v>
      </c>
      <c r="K197" s="169">
        <f t="shared" si="10"/>
        <v>248018.4</v>
      </c>
      <c r="L197" s="153"/>
      <c r="M197" s="170">
        <v>190</v>
      </c>
      <c r="N197" s="164">
        <f>ROUND(F197*('Model Data Inputs'!$E$184*'Model Data Inputs'!$E$185*'Model Data Inputs'!$E$186*'Model Data Inputs'!$E$187),2)</f>
        <v>400.39</v>
      </c>
      <c r="O197" s="171">
        <f t="shared" si="11"/>
        <v>76074.099999999991</v>
      </c>
    </row>
    <row r="198" spans="1:15" x14ac:dyDescent="0.2">
      <c r="A198" s="168">
        <v>191</v>
      </c>
      <c r="B198" s="159">
        <v>1302.5311264031175</v>
      </c>
      <c r="C198" s="169">
        <f t="shared" si="8"/>
        <v>248783.44514299545</v>
      </c>
      <c r="D198" s="153"/>
      <c r="E198" s="170">
        <v>191</v>
      </c>
      <c r="F198" s="162">
        <v>398.80438650633351</v>
      </c>
      <c r="G198" s="171">
        <f t="shared" si="9"/>
        <v>76171.637822709701</v>
      </c>
      <c r="I198" s="168">
        <v>191</v>
      </c>
      <c r="J198" s="167">
        <f>ROUND(B198*('Model Data Inputs'!$E$184*'Model Data Inputs'!$E$185*'Model Data Inputs'!$E$186*'Model Data Inputs'!$E$187),2)</f>
        <v>1302.53</v>
      </c>
      <c r="K198" s="169">
        <f t="shared" si="10"/>
        <v>248783.22999999998</v>
      </c>
      <c r="L198" s="153"/>
      <c r="M198" s="170">
        <v>191</v>
      </c>
      <c r="N198" s="164">
        <f>ROUND(F198*('Model Data Inputs'!$E$184*'Model Data Inputs'!$E$185*'Model Data Inputs'!$E$186*'Model Data Inputs'!$E$187),2)</f>
        <v>398.8</v>
      </c>
      <c r="O198" s="171">
        <f t="shared" si="11"/>
        <v>76170.8</v>
      </c>
    </row>
    <row r="199" spans="1:15" x14ac:dyDescent="0.2">
      <c r="A199" s="168">
        <v>192</v>
      </c>
      <c r="B199" s="159">
        <v>1299.6995403588667</v>
      </c>
      <c r="C199" s="169">
        <f t="shared" si="8"/>
        <v>249542.3117489024</v>
      </c>
      <c r="D199" s="153"/>
      <c r="E199" s="170">
        <v>192</v>
      </c>
      <c r="F199" s="162">
        <v>397.21873637810739</v>
      </c>
      <c r="G199" s="171">
        <f t="shared" si="9"/>
        <v>76265.997384596616</v>
      </c>
      <c r="I199" s="168">
        <v>192</v>
      </c>
      <c r="J199" s="167">
        <f>ROUND(B199*('Model Data Inputs'!$E$184*'Model Data Inputs'!$E$185*'Model Data Inputs'!$E$186*'Model Data Inputs'!$E$187),2)</f>
        <v>1299.7</v>
      </c>
      <c r="K199" s="169">
        <f t="shared" si="10"/>
        <v>249542.40000000002</v>
      </c>
      <c r="L199" s="153"/>
      <c r="M199" s="170">
        <v>192</v>
      </c>
      <c r="N199" s="164">
        <f>ROUND(F199*('Model Data Inputs'!$E$184*'Model Data Inputs'!$E$185*'Model Data Inputs'!$E$186*'Model Data Inputs'!$E$187),2)</f>
        <v>397.22</v>
      </c>
      <c r="O199" s="171">
        <f t="shared" si="11"/>
        <v>76266.240000000005</v>
      </c>
    </row>
    <row r="200" spans="1:15" x14ac:dyDescent="0.2">
      <c r="A200" s="168">
        <v>193</v>
      </c>
      <c r="B200" s="159">
        <v>1296.867954314615</v>
      </c>
      <c r="C200" s="169">
        <f t="shared" ref="C200:C263" si="12">A200*B200</f>
        <v>250295.5151827207</v>
      </c>
      <c r="D200" s="153"/>
      <c r="E200" s="170">
        <v>193</v>
      </c>
      <c r="F200" s="162">
        <v>395.63308624988105</v>
      </c>
      <c r="G200" s="171">
        <f t="shared" ref="G200:G263" si="13">E200*F200</f>
        <v>76357.185646227037</v>
      </c>
      <c r="I200" s="168">
        <v>193</v>
      </c>
      <c r="J200" s="167">
        <f>ROUND(B200*('Model Data Inputs'!$E$184*'Model Data Inputs'!$E$185*'Model Data Inputs'!$E$186*'Model Data Inputs'!$E$187),2)</f>
        <v>1296.8699999999999</v>
      </c>
      <c r="K200" s="169">
        <f t="shared" ref="K200:K263" si="14">I200*J200</f>
        <v>250295.90999999997</v>
      </c>
      <c r="L200" s="153"/>
      <c r="M200" s="170">
        <v>193</v>
      </c>
      <c r="N200" s="164">
        <f>ROUND(F200*('Model Data Inputs'!$E$184*'Model Data Inputs'!$E$185*'Model Data Inputs'!$E$186*'Model Data Inputs'!$E$187),2)</f>
        <v>395.63</v>
      </c>
      <c r="O200" s="171">
        <f t="shared" ref="O200:O263" si="15">M200*N200</f>
        <v>76356.59</v>
      </c>
    </row>
    <row r="201" spans="1:15" x14ac:dyDescent="0.2">
      <c r="A201" s="168">
        <v>194</v>
      </c>
      <c r="B201" s="159">
        <v>1294.0363682703642</v>
      </c>
      <c r="C201" s="169">
        <f t="shared" si="12"/>
        <v>251043.05544445064</v>
      </c>
      <c r="D201" s="153"/>
      <c r="E201" s="170">
        <v>194</v>
      </c>
      <c r="F201" s="162">
        <v>394.04743612165481</v>
      </c>
      <c r="G201" s="171">
        <f t="shared" si="13"/>
        <v>76445.202607601037</v>
      </c>
      <c r="I201" s="168">
        <v>194</v>
      </c>
      <c r="J201" s="167">
        <f>ROUND(B201*('Model Data Inputs'!$E$184*'Model Data Inputs'!$E$185*'Model Data Inputs'!$E$186*'Model Data Inputs'!$E$187),2)</f>
        <v>1294.04</v>
      </c>
      <c r="K201" s="169">
        <f t="shared" si="14"/>
        <v>251043.75999999998</v>
      </c>
      <c r="L201" s="153"/>
      <c r="M201" s="170">
        <v>194</v>
      </c>
      <c r="N201" s="164">
        <f>ROUND(F201*('Model Data Inputs'!$E$184*'Model Data Inputs'!$E$185*'Model Data Inputs'!$E$186*'Model Data Inputs'!$E$187),2)</f>
        <v>394.05</v>
      </c>
      <c r="O201" s="171">
        <f t="shared" si="15"/>
        <v>76445.7</v>
      </c>
    </row>
    <row r="202" spans="1:15" x14ac:dyDescent="0.2">
      <c r="A202" s="168">
        <v>195</v>
      </c>
      <c r="B202" s="159">
        <v>1291.2047822261125</v>
      </c>
      <c r="C202" s="169">
        <f t="shared" si="12"/>
        <v>251784.93253409193</v>
      </c>
      <c r="D202" s="153"/>
      <c r="E202" s="170">
        <v>195</v>
      </c>
      <c r="F202" s="162">
        <v>392.46178599342858</v>
      </c>
      <c r="G202" s="171">
        <f t="shared" si="13"/>
        <v>76530.048268718572</v>
      </c>
      <c r="I202" s="168">
        <v>195</v>
      </c>
      <c r="J202" s="167">
        <f>ROUND(B202*('Model Data Inputs'!$E$184*'Model Data Inputs'!$E$185*'Model Data Inputs'!$E$186*'Model Data Inputs'!$E$187),2)</f>
        <v>1291.2</v>
      </c>
      <c r="K202" s="169">
        <f t="shared" si="14"/>
        <v>251784</v>
      </c>
      <c r="L202" s="153"/>
      <c r="M202" s="170">
        <v>195</v>
      </c>
      <c r="N202" s="164">
        <f>ROUND(F202*('Model Data Inputs'!$E$184*'Model Data Inputs'!$E$185*'Model Data Inputs'!$E$186*'Model Data Inputs'!$E$187),2)</f>
        <v>392.46</v>
      </c>
      <c r="O202" s="171">
        <f t="shared" si="15"/>
        <v>76529.7</v>
      </c>
    </row>
    <row r="203" spans="1:15" x14ac:dyDescent="0.2">
      <c r="A203" s="168">
        <v>196</v>
      </c>
      <c r="B203" s="159">
        <v>1288.3731961818614</v>
      </c>
      <c r="C203" s="169">
        <f t="shared" si="12"/>
        <v>252521.14645164483</v>
      </c>
      <c r="D203" s="153"/>
      <c r="E203" s="170">
        <v>196</v>
      </c>
      <c r="F203" s="162">
        <v>390.87613586520234</v>
      </c>
      <c r="G203" s="171">
        <f t="shared" si="13"/>
        <v>76611.722629579657</v>
      </c>
      <c r="I203" s="168">
        <v>196</v>
      </c>
      <c r="J203" s="167">
        <f>ROUND(B203*('Model Data Inputs'!$E$184*'Model Data Inputs'!$E$185*'Model Data Inputs'!$E$186*'Model Data Inputs'!$E$187),2)</f>
        <v>1288.3699999999999</v>
      </c>
      <c r="K203" s="169">
        <f t="shared" si="14"/>
        <v>252520.52</v>
      </c>
      <c r="L203" s="153"/>
      <c r="M203" s="170">
        <v>196</v>
      </c>
      <c r="N203" s="164">
        <f>ROUND(F203*('Model Data Inputs'!$E$184*'Model Data Inputs'!$E$185*'Model Data Inputs'!$E$186*'Model Data Inputs'!$E$187),2)</f>
        <v>390.88</v>
      </c>
      <c r="O203" s="171">
        <f t="shared" si="15"/>
        <v>76612.479999999996</v>
      </c>
    </row>
    <row r="204" spans="1:15" x14ac:dyDescent="0.2">
      <c r="A204" s="168">
        <v>197</v>
      </c>
      <c r="B204" s="159">
        <v>1285.54161013761</v>
      </c>
      <c r="C204" s="169">
        <f t="shared" si="12"/>
        <v>253251.69719710917</v>
      </c>
      <c r="D204" s="153"/>
      <c r="E204" s="170">
        <v>197</v>
      </c>
      <c r="F204" s="162">
        <v>389.29048573697622</v>
      </c>
      <c r="G204" s="171">
        <f t="shared" si="13"/>
        <v>76690.225690184321</v>
      </c>
      <c r="I204" s="168">
        <v>197</v>
      </c>
      <c r="J204" s="167">
        <f>ROUND(B204*('Model Data Inputs'!$E$184*'Model Data Inputs'!$E$185*'Model Data Inputs'!$E$186*'Model Data Inputs'!$E$187),2)</f>
        <v>1285.54</v>
      </c>
      <c r="K204" s="169">
        <f t="shared" si="14"/>
        <v>253251.38</v>
      </c>
      <c r="L204" s="153"/>
      <c r="M204" s="170">
        <v>197</v>
      </c>
      <c r="N204" s="164">
        <f>ROUND(F204*('Model Data Inputs'!$E$184*'Model Data Inputs'!$E$185*'Model Data Inputs'!$E$186*'Model Data Inputs'!$E$187),2)</f>
        <v>389.29</v>
      </c>
      <c r="O204" s="171">
        <f t="shared" si="15"/>
        <v>76690.13</v>
      </c>
    </row>
    <row r="205" spans="1:15" x14ac:dyDescent="0.2">
      <c r="A205" s="168">
        <v>198</v>
      </c>
      <c r="B205" s="159">
        <v>1282.7100240933589</v>
      </c>
      <c r="C205" s="169">
        <f t="shared" si="12"/>
        <v>253976.58477048506</v>
      </c>
      <c r="D205" s="153"/>
      <c r="E205" s="170">
        <v>198</v>
      </c>
      <c r="F205" s="162">
        <v>387.70483560874987</v>
      </c>
      <c r="G205" s="171">
        <f t="shared" si="13"/>
        <v>76765.557450532477</v>
      </c>
      <c r="I205" s="168">
        <v>198</v>
      </c>
      <c r="J205" s="167">
        <f>ROUND(B205*('Model Data Inputs'!$E$184*'Model Data Inputs'!$E$185*'Model Data Inputs'!$E$186*'Model Data Inputs'!$E$187),2)</f>
        <v>1282.71</v>
      </c>
      <c r="K205" s="169">
        <f t="shared" si="14"/>
        <v>253976.58000000002</v>
      </c>
      <c r="L205" s="153"/>
      <c r="M205" s="170">
        <v>198</v>
      </c>
      <c r="N205" s="164">
        <f>ROUND(F205*('Model Data Inputs'!$E$184*'Model Data Inputs'!$E$185*'Model Data Inputs'!$E$186*'Model Data Inputs'!$E$187),2)</f>
        <v>387.7</v>
      </c>
      <c r="O205" s="171">
        <f t="shared" si="15"/>
        <v>76764.599999999991</v>
      </c>
    </row>
    <row r="206" spans="1:15" x14ac:dyDescent="0.2">
      <c r="A206" s="168">
        <v>199</v>
      </c>
      <c r="B206" s="159">
        <v>1279.8784380491072</v>
      </c>
      <c r="C206" s="169">
        <f t="shared" si="12"/>
        <v>254695.80917177233</v>
      </c>
      <c r="D206" s="153"/>
      <c r="E206" s="170">
        <v>199</v>
      </c>
      <c r="F206" s="162">
        <v>386.11918548052358</v>
      </c>
      <c r="G206" s="171">
        <f t="shared" si="13"/>
        <v>76837.717910624197</v>
      </c>
      <c r="I206" s="168">
        <v>199</v>
      </c>
      <c r="J206" s="167">
        <f>ROUND(B206*('Model Data Inputs'!$E$184*'Model Data Inputs'!$E$185*'Model Data Inputs'!$E$186*'Model Data Inputs'!$E$187),2)</f>
        <v>1279.8800000000001</v>
      </c>
      <c r="K206" s="169">
        <f t="shared" si="14"/>
        <v>254696.12000000002</v>
      </c>
      <c r="L206" s="153"/>
      <c r="M206" s="170">
        <v>199</v>
      </c>
      <c r="N206" s="164">
        <f>ROUND(F206*('Model Data Inputs'!$E$184*'Model Data Inputs'!$E$185*'Model Data Inputs'!$E$186*'Model Data Inputs'!$E$187),2)</f>
        <v>386.12</v>
      </c>
      <c r="O206" s="171">
        <f t="shared" si="15"/>
        <v>76837.88</v>
      </c>
    </row>
    <row r="207" spans="1:15" x14ac:dyDescent="0.2">
      <c r="A207" s="168">
        <v>200</v>
      </c>
      <c r="B207" s="159">
        <v>1277.0468520048564</v>
      </c>
      <c r="C207" s="169">
        <f t="shared" si="12"/>
        <v>255409.3704009713</v>
      </c>
      <c r="D207" s="153"/>
      <c r="E207" s="170">
        <v>200</v>
      </c>
      <c r="F207" s="162">
        <v>384.53353535229746</v>
      </c>
      <c r="G207" s="171">
        <f t="shared" si="13"/>
        <v>76906.707070459495</v>
      </c>
      <c r="I207" s="168">
        <v>200</v>
      </c>
      <c r="J207" s="167">
        <f>ROUND(B207*('Model Data Inputs'!$E$184*'Model Data Inputs'!$E$185*'Model Data Inputs'!$E$186*'Model Data Inputs'!$E$187),2)</f>
        <v>1277.05</v>
      </c>
      <c r="K207" s="169">
        <f t="shared" si="14"/>
        <v>255410</v>
      </c>
      <c r="L207" s="153"/>
      <c r="M207" s="170">
        <v>200</v>
      </c>
      <c r="N207" s="164">
        <f>ROUND(F207*('Model Data Inputs'!$E$184*'Model Data Inputs'!$E$185*'Model Data Inputs'!$E$186*'Model Data Inputs'!$E$187),2)</f>
        <v>384.53</v>
      </c>
      <c r="O207" s="171">
        <f t="shared" si="15"/>
        <v>76906</v>
      </c>
    </row>
    <row r="208" spans="1:15" x14ac:dyDescent="0.2">
      <c r="A208" s="168">
        <v>201</v>
      </c>
      <c r="B208" s="159">
        <v>1274.2152659606047</v>
      </c>
      <c r="C208" s="169">
        <f t="shared" si="12"/>
        <v>256117.26845808155</v>
      </c>
      <c r="D208" s="153"/>
      <c r="E208" s="170">
        <v>201</v>
      </c>
      <c r="F208" s="162">
        <v>382.94788522407111</v>
      </c>
      <c r="G208" s="171">
        <f t="shared" si="13"/>
        <v>76972.5249300383</v>
      </c>
      <c r="I208" s="168">
        <v>201</v>
      </c>
      <c r="J208" s="167">
        <f>ROUND(B208*('Model Data Inputs'!$E$184*'Model Data Inputs'!$E$185*'Model Data Inputs'!$E$186*'Model Data Inputs'!$E$187),2)</f>
        <v>1274.22</v>
      </c>
      <c r="K208" s="169">
        <f t="shared" si="14"/>
        <v>256118.22</v>
      </c>
      <c r="L208" s="153"/>
      <c r="M208" s="170">
        <v>201</v>
      </c>
      <c r="N208" s="164">
        <f>ROUND(F208*('Model Data Inputs'!$E$184*'Model Data Inputs'!$E$185*'Model Data Inputs'!$E$186*'Model Data Inputs'!$E$187),2)</f>
        <v>382.95</v>
      </c>
      <c r="O208" s="171">
        <f t="shared" si="15"/>
        <v>76972.95</v>
      </c>
    </row>
    <row r="209" spans="1:15" x14ac:dyDescent="0.2">
      <c r="A209" s="168">
        <v>202</v>
      </c>
      <c r="B209" s="159">
        <v>1271.3836799163541</v>
      </c>
      <c r="C209" s="169">
        <f t="shared" si="12"/>
        <v>256819.50334310354</v>
      </c>
      <c r="D209" s="153"/>
      <c r="E209" s="170">
        <v>202</v>
      </c>
      <c r="F209" s="162">
        <v>381.36223509584494</v>
      </c>
      <c r="G209" s="171">
        <f t="shared" si="13"/>
        <v>77035.171489360684</v>
      </c>
      <c r="I209" s="168">
        <v>202</v>
      </c>
      <c r="J209" s="167">
        <f>ROUND(B209*('Model Data Inputs'!$E$184*'Model Data Inputs'!$E$185*'Model Data Inputs'!$E$186*'Model Data Inputs'!$E$187),2)</f>
        <v>1271.3800000000001</v>
      </c>
      <c r="K209" s="169">
        <f t="shared" si="14"/>
        <v>256818.76</v>
      </c>
      <c r="L209" s="153"/>
      <c r="M209" s="170">
        <v>202</v>
      </c>
      <c r="N209" s="164">
        <f>ROUND(F209*('Model Data Inputs'!$E$184*'Model Data Inputs'!$E$185*'Model Data Inputs'!$E$186*'Model Data Inputs'!$E$187),2)</f>
        <v>381.36</v>
      </c>
      <c r="O209" s="171">
        <f t="shared" si="15"/>
        <v>77034.720000000001</v>
      </c>
    </row>
    <row r="210" spans="1:15" x14ac:dyDescent="0.2">
      <c r="A210" s="168">
        <v>203</v>
      </c>
      <c r="B210" s="159">
        <v>1268.5520938721022</v>
      </c>
      <c r="C210" s="169">
        <f t="shared" si="12"/>
        <v>257516.07505603676</v>
      </c>
      <c r="D210" s="153"/>
      <c r="E210" s="170">
        <v>203</v>
      </c>
      <c r="F210" s="162">
        <v>379.77658496761882</v>
      </c>
      <c r="G210" s="171">
        <f t="shared" si="13"/>
        <v>77094.646748426618</v>
      </c>
      <c r="I210" s="168">
        <v>203</v>
      </c>
      <c r="J210" s="167">
        <f>ROUND(B210*('Model Data Inputs'!$E$184*'Model Data Inputs'!$E$185*'Model Data Inputs'!$E$186*'Model Data Inputs'!$E$187),2)</f>
        <v>1268.55</v>
      </c>
      <c r="K210" s="169">
        <f t="shared" si="14"/>
        <v>257515.65</v>
      </c>
      <c r="L210" s="153"/>
      <c r="M210" s="170">
        <v>203</v>
      </c>
      <c r="N210" s="164">
        <f>ROUND(F210*('Model Data Inputs'!$E$184*'Model Data Inputs'!$E$185*'Model Data Inputs'!$E$186*'Model Data Inputs'!$E$187),2)</f>
        <v>379.78</v>
      </c>
      <c r="O210" s="171">
        <f t="shared" si="15"/>
        <v>77095.34</v>
      </c>
    </row>
    <row r="211" spans="1:15" x14ac:dyDescent="0.2">
      <c r="A211" s="168">
        <v>204</v>
      </c>
      <c r="B211" s="159">
        <v>1265.7205078278516</v>
      </c>
      <c r="C211" s="169">
        <f t="shared" si="12"/>
        <v>258206.98359688174</v>
      </c>
      <c r="D211" s="153"/>
      <c r="E211" s="170">
        <v>204</v>
      </c>
      <c r="F211" s="162">
        <v>378.19093483939253</v>
      </c>
      <c r="G211" s="171">
        <f t="shared" si="13"/>
        <v>77150.950707236072</v>
      </c>
      <c r="I211" s="168">
        <v>204</v>
      </c>
      <c r="J211" s="167">
        <f>ROUND(B211*('Model Data Inputs'!$E$184*'Model Data Inputs'!$E$185*'Model Data Inputs'!$E$186*'Model Data Inputs'!$E$187),2)</f>
        <v>1265.72</v>
      </c>
      <c r="K211" s="169">
        <f t="shared" si="14"/>
        <v>258206.88</v>
      </c>
      <c r="L211" s="153"/>
      <c r="M211" s="170">
        <v>204</v>
      </c>
      <c r="N211" s="164">
        <f>ROUND(F211*('Model Data Inputs'!$E$184*'Model Data Inputs'!$E$185*'Model Data Inputs'!$E$186*'Model Data Inputs'!$E$187),2)</f>
        <v>378.19</v>
      </c>
      <c r="O211" s="171">
        <f t="shared" si="15"/>
        <v>77150.759999999995</v>
      </c>
    </row>
    <row r="212" spans="1:15" x14ac:dyDescent="0.2">
      <c r="A212" s="168">
        <v>205</v>
      </c>
      <c r="B212" s="159">
        <v>1262.8889217835981</v>
      </c>
      <c r="C212" s="169">
        <f t="shared" si="12"/>
        <v>258892.22896563762</v>
      </c>
      <c r="D212" s="153"/>
      <c r="E212" s="170">
        <v>205</v>
      </c>
      <c r="F212" s="162">
        <v>376.60528471116629</v>
      </c>
      <c r="G212" s="171">
        <f t="shared" si="13"/>
        <v>77204.083365789091</v>
      </c>
      <c r="I212" s="168">
        <v>205</v>
      </c>
      <c r="J212" s="167">
        <f>ROUND(B212*('Model Data Inputs'!$E$184*'Model Data Inputs'!$E$185*'Model Data Inputs'!$E$186*'Model Data Inputs'!$E$187),2)</f>
        <v>1262.8900000000001</v>
      </c>
      <c r="K212" s="169">
        <f t="shared" si="14"/>
        <v>258892.45</v>
      </c>
      <c r="L212" s="153"/>
      <c r="M212" s="170">
        <v>205</v>
      </c>
      <c r="N212" s="164">
        <f>ROUND(F212*('Model Data Inputs'!$E$184*'Model Data Inputs'!$E$185*'Model Data Inputs'!$E$186*'Model Data Inputs'!$E$187),2)</f>
        <v>376.61</v>
      </c>
      <c r="O212" s="171">
        <f t="shared" si="15"/>
        <v>77205.05</v>
      </c>
    </row>
    <row r="213" spans="1:15" x14ac:dyDescent="0.2">
      <c r="A213" s="165">
        <v>206</v>
      </c>
      <c r="B213" s="159">
        <v>1260.0573357393489</v>
      </c>
      <c r="C213" s="160">
        <f t="shared" si="12"/>
        <v>259571.81116230588</v>
      </c>
      <c r="D213" s="153"/>
      <c r="E213" s="166">
        <v>206</v>
      </c>
      <c r="F213" s="162">
        <v>375.01963458293994</v>
      </c>
      <c r="G213" s="163">
        <f t="shared" si="13"/>
        <v>77254.04472408563</v>
      </c>
      <c r="I213" s="165">
        <v>206</v>
      </c>
      <c r="J213" s="167">
        <f>ROUND(B213*('Model Data Inputs'!$E$184*'Model Data Inputs'!$E$185*'Model Data Inputs'!$E$186*'Model Data Inputs'!$E$187),2)</f>
        <v>1260.06</v>
      </c>
      <c r="K213" s="160">
        <f t="shared" si="14"/>
        <v>259572.36</v>
      </c>
      <c r="L213" s="153"/>
      <c r="M213" s="166">
        <v>206</v>
      </c>
      <c r="N213" s="164">
        <f>ROUND(F213*('Model Data Inputs'!$E$184*'Model Data Inputs'!$E$185*'Model Data Inputs'!$E$186*'Model Data Inputs'!$E$187),2)</f>
        <v>375.02</v>
      </c>
      <c r="O213" s="163">
        <f t="shared" si="15"/>
        <v>77254.12</v>
      </c>
    </row>
    <row r="214" spans="1:15" x14ac:dyDescent="0.2">
      <c r="A214" s="168">
        <v>207</v>
      </c>
      <c r="B214" s="159">
        <v>1257.2257496950976</v>
      </c>
      <c r="C214" s="169">
        <f t="shared" si="12"/>
        <v>260245.73018688522</v>
      </c>
      <c r="D214" s="153"/>
      <c r="E214" s="170">
        <v>207</v>
      </c>
      <c r="F214" s="162">
        <v>373.43398445471377</v>
      </c>
      <c r="G214" s="171">
        <f t="shared" si="13"/>
        <v>77300.834782125748</v>
      </c>
      <c r="I214" s="168">
        <v>207</v>
      </c>
      <c r="J214" s="167">
        <f>ROUND(B214*('Model Data Inputs'!$E$184*'Model Data Inputs'!$E$185*'Model Data Inputs'!$E$186*'Model Data Inputs'!$E$187),2)</f>
        <v>1257.23</v>
      </c>
      <c r="K214" s="169">
        <f t="shared" si="14"/>
        <v>260246.61000000002</v>
      </c>
      <c r="L214" s="153"/>
      <c r="M214" s="170">
        <v>207</v>
      </c>
      <c r="N214" s="164">
        <f>ROUND(F214*('Model Data Inputs'!$E$184*'Model Data Inputs'!$E$185*'Model Data Inputs'!$E$186*'Model Data Inputs'!$E$187),2)</f>
        <v>373.43</v>
      </c>
      <c r="O214" s="171">
        <f t="shared" si="15"/>
        <v>77300.009999999995</v>
      </c>
    </row>
    <row r="215" spans="1:15" x14ac:dyDescent="0.2">
      <c r="A215" s="168">
        <v>208</v>
      </c>
      <c r="B215" s="159">
        <v>1254.3941636508464</v>
      </c>
      <c r="C215" s="169">
        <f t="shared" si="12"/>
        <v>260913.98603937606</v>
      </c>
      <c r="D215" s="153"/>
      <c r="E215" s="170">
        <v>208</v>
      </c>
      <c r="F215" s="162">
        <v>371.84833432648753</v>
      </c>
      <c r="G215" s="171">
        <f t="shared" si="13"/>
        <v>77344.453539909402</v>
      </c>
      <c r="I215" s="168">
        <v>208</v>
      </c>
      <c r="J215" s="167">
        <f>ROUND(B215*('Model Data Inputs'!$E$184*'Model Data Inputs'!$E$185*'Model Data Inputs'!$E$186*'Model Data Inputs'!$E$187),2)</f>
        <v>1254.3900000000001</v>
      </c>
      <c r="K215" s="169">
        <f t="shared" si="14"/>
        <v>260913.12000000002</v>
      </c>
      <c r="L215" s="153"/>
      <c r="M215" s="170">
        <v>208</v>
      </c>
      <c r="N215" s="164">
        <f>ROUND(F215*('Model Data Inputs'!$E$184*'Model Data Inputs'!$E$185*'Model Data Inputs'!$E$186*'Model Data Inputs'!$E$187),2)</f>
        <v>371.85</v>
      </c>
      <c r="O215" s="171">
        <f t="shared" si="15"/>
        <v>77344.800000000003</v>
      </c>
    </row>
    <row r="216" spans="1:15" x14ac:dyDescent="0.2">
      <c r="A216" s="168">
        <v>209</v>
      </c>
      <c r="B216" s="159">
        <v>1251.5625776065949</v>
      </c>
      <c r="C216" s="169">
        <f t="shared" si="12"/>
        <v>261576.57871977834</v>
      </c>
      <c r="D216" s="153"/>
      <c r="E216" s="170">
        <v>209</v>
      </c>
      <c r="F216" s="162">
        <v>370.2626841982613</v>
      </c>
      <c r="G216" s="171">
        <f t="shared" si="13"/>
        <v>77384.900997436605</v>
      </c>
      <c r="I216" s="168">
        <v>209</v>
      </c>
      <c r="J216" s="167">
        <f>ROUND(B216*('Model Data Inputs'!$E$184*'Model Data Inputs'!$E$185*'Model Data Inputs'!$E$186*'Model Data Inputs'!$E$187),2)</f>
        <v>1251.56</v>
      </c>
      <c r="K216" s="169">
        <f t="shared" si="14"/>
        <v>261576.03999999998</v>
      </c>
      <c r="L216" s="153"/>
      <c r="M216" s="170">
        <v>209</v>
      </c>
      <c r="N216" s="164">
        <f>ROUND(F216*('Model Data Inputs'!$E$184*'Model Data Inputs'!$E$185*'Model Data Inputs'!$E$186*'Model Data Inputs'!$E$187),2)</f>
        <v>370.26</v>
      </c>
      <c r="O216" s="171">
        <f t="shared" si="15"/>
        <v>77384.34</v>
      </c>
    </row>
    <row r="217" spans="1:15" x14ac:dyDescent="0.2">
      <c r="A217" s="168">
        <v>210</v>
      </c>
      <c r="B217" s="159">
        <v>1248.73069424551</v>
      </c>
      <c r="C217" s="169">
        <f t="shared" si="12"/>
        <v>262233.44579155708</v>
      </c>
      <c r="D217" s="153"/>
      <c r="E217" s="170">
        <v>210</v>
      </c>
      <c r="F217" s="162">
        <v>368.67703407003495</v>
      </c>
      <c r="G217" s="171">
        <f t="shared" si="13"/>
        <v>77422.177154707344</v>
      </c>
      <c r="I217" s="168">
        <v>210</v>
      </c>
      <c r="J217" s="167">
        <f>ROUND(B217*('Model Data Inputs'!$E$184*'Model Data Inputs'!$E$185*'Model Data Inputs'!$E$186*'Model Data Inputs'!$E$187),2)</f>
        <v>1248.73</v>
      </c>
      <c r="K217" s="169">
        <f t="shared" si="14"/>
        <v>262233.3</v>
      </c>
      <c r="L217" s="153"/>
      <c r="M217" s="170">
        <v>210</v>
      </c>
      <c r="N217" s="164">
        <f>ROUND(F217*('Model Data Inputs'!$E$184*'Model Data Inputs'!$E$185*'Model Data Inputs'!$E$186*'Model Data Inputs'!$E$187),2)</f>
        <v>368.68</v>
      </c>
      <c r="O217" s="171">
        <f t="shared" si="15"/>
        <v>77422.8</v>
      </c>
    </row>
    <row r="218" spans="1:15" x14ac:dyDescent="0.2">
      <c r="A218" s="168">
        <v>211</v>
      </c>
      <c r="B218" s="159">
        <v>1246.4654254101092</v>
      </c>
      <c r="C218" s="169">
        <f t="shared" si="12"/>
        <v>263004.20476153307</v>
      </c>
      <c r="D218" s="153"/>
      <c r="E218" s="170">
        <v>211</v>
      </c>
      <c r="F218" s="162">
        <v>367.99745104088009</v>
      </c>
      <c r="G218" s="171">
        <f t="shared" si="13"/>
        <v>77647.462169625695</v>
      </c>
      <c r="I218" s="168">
        <v>211</v>
      </c>
      <c r="J218" s="167">
        <f>ROUND(B218*('Model Data Inputs'!$E$184*'Model Data Inputs'!$E$185*'Model Data Inputs'!$E$186*'Model Data Inputs'!$E$187),2)</f>
        <v>1246.47</v>
      </c>
      <c r="K218" s="169">
        <f t="shared" si="14"/>
        <v>263005.17</v>
      </c>
      <c r="L218" s="153"/>
      <c r="M218" s="170">
        <v>211</v>
      </c>
      <c r="N218" s="164">
        <f>ROUND(F218*('Model Data Inputs'!$E$184*'Model Data Inputs'!$E$185*'Model Data Inputs'!$E$186*'Model Data Inputs'!$E$187),2)</f>
        <v>368</v>
      </c>
      <c r="O218" s="171">
        <f t="shared" si="15"/>
        <v>77648</v>
      </c>
    </row>
    <row r="219" spans="1:15" x14ac:dyDescent="0.2">
      <c r="A219" s="168">
        <v>212</v>
      </c>
      <c r="B219" s="159">
        <v>1244.200156574708</v>
      </c>
      <c r="C219" s="169">
        <f t="shared" si="12"/>
        <v>263770.43319383811</v>
      </c>
      <c r="D219" s="153"/>
      <c r="E219" s="170">
        <v>212</v>
      </c>
      <c r="F219" s="162">
        <v>367.31786801172507</v>
      </c>
      <c r="G219" s="171">
        <f t="shared" si="13"/>
        <v>77871.388018485712</v>
      </c>
      <c r="I219" s="168">
        <v>212</v>
      </c>
      <c r="J219" s="167">
        <f>ROUND(B219*('Model Data Inputs'!$E$184*'Model Data Inputs'!$E$185*'Model Data Inputs'!$E$186*'Model Data Inputs'!$E$187),2)</f>
        <v>1244.2</v>
      </c>
      <c r="K219" s="169">
        <f t="shared" si="14"/>
        <v>263770.40000000002</v>
      </c>
      <c r="L219" s="153"/>
      <c r="M219" s="170">
        <v>212</v>
      </c>
      <c r="N219" s="164">
        <f>ROUND(F219*('Model Data Inputs'!$E$184*'Model Data Inputs'!$E$185*'Model Data Inputs'!$E$186*'Model Data Inputs'!$E$187),2)</f>
        <v>367.32</v>
      </c>
      <c r="O219" s="171">
        <f t="shared" si="15"/>
        <v>77871.839999999997</v>
      </c>
    </row>
    <row r="220" spans="1:15" x14ac:dyDescent="0.2">
      <c r="A220" s="168">
        <v>213</v>
      </c>
      <c r="B220" s="159">
        <v>1241.9348877393068</v>
      </c>
      <c r="C220" s="169">
        <f t="shared" si="12"/>
        <v>264532.13108847232</v>
      </c>
      <c r="D220" s="153"/>
      <c r="E220" s="170">
        <v>213</v>
      </c>
      <c r="F220" s="162">
        <v>366.63828498257016</v>
      </c>
      <c r="G220" s="171">
        <f t="shared" si="13"/>
        <v>78093.954701287439</v>
      </c>
      <c r="I220" s="168">
        <v>213</v>
      </c>
      <c r="J220" s="167">
        <f>ROUND(B220*('Model Data Inputs'!$E$184*'Model Data Inputs'!$E$185*'Model Data Inputs'!$E$186*'Model Data Inputs'!$E$187),2)</f>
        <v>1241.93</v>
      </c>
      <c r="K220" s="169">
        <f t="shared" si="14"/>
        <v>264531.09000000003</v>
      </c>
      <c r="L220" s="153"/>
      <c r="M220" s="170">
        <v>213</v>
      </c>
      <c r="N220" s="164">
        <f>ROUND(F220*('Model Data Inputs'!$E$184*'Model Data Inputs'!$E$185*'Model Data Inputs'!$E$186*'Model Data Inputs'!$E$187),2)</f>
        <v>366.64</v>
      </c>
      <c r="O220" s="171">
        <f t="shared" si="15"/>
        <v>78094.319999999992</v>
      </c>
    </row>
    <row r="221" spans="1:15" x14ac:dyDescent="0.2">
      <c r="A221" s="168">
        <v>214</v>
      </c>
      <c r="B221" s="159">
        <v>1239.6696189039064</v>
      </c>
      <c r="C221" s="169">
        <f t="shared" si="12"/>
        <v>265289.298445436</v>
      </c>
      <c r="D221" s="153"/>
      <c r="E221" s="170">
        <v>214</v>
      </c>
      <c r="F221" s="162">
        <v>365.95870195341519</v>
      </c>
      <c r="G221" s="171">
        <f t="shared" si="13"/>
        <v>78315.162218030848</v>
      </c>
      <c r="I221" s="168">
        <v>214</v>
      </c>
      <c r="J221" s="167">
        <f>ROUND(B221*('Model Data Inputs'!$E$184*'Model Data Inputs'!$E$185*'Model Data Inputs'!$E$186*'Model Data Inputs'!$E$187),2)</f>
        <v>1239.67</v>
      </c>
      <c r="K221" s="169">
        <f t="shared" si="14"/>
        <v>265289.38</v>
      </c>
      <c r="L221" s="153"/>
      <c r="M221" s="170">
        <v>214</v>
      </c>
      <c r="N221" s="164">
        <f>ROUND(F221*('Model Data Inputs'!$E$184*'Model Data Inputs'!$E$185*'Model Data Inputs'!$E$186*'Model Data Inputs'!$E$187),2)</f>
        <v>365.96</v>
      </c>
      <c r="O221" s="171">
        <f t="shared" si="15"/>
        <v>78315.44</v>
      </c>
    </row>
    <row r="222" spans="1:15" x14ac:dyDescent="0.2">
      <c r="A222" s="168">
        <v>215</v>
      </c>
      <c r="B222" s="159">
        <v>1237.4043500685054</v>
      </c>
      <c r="C222" s="169">
        <f t="shared" si="12"/>
        <v>266041.93526472867</v>
      </c>
      <c r="D222" s="153"/>
      <c r="E222" s="170">
        <v>215</v>
      </c>
      <c r="F222" s="162">
        <v>365.2791189242601</v>
      </c>
      <c r="G222" s="171">
        <f t="shared" si="13"/>
        <v>78535.010568715923</v>
      </c>
      <c r="I222" s="168">
        <v>215</v>
      </c>
      <c r="J222" s="167">
        <f>ROUND(B222*('Model Data Inputs'!$E$184*'Model Data Inputs'!$E$185*'Model Data Inputs'!$E$186*'Model Data Inputs'!$E$187),2)</f>
        <v>1237.4000000000001</v>
      </c>
      <c r="K222" s="169">
        <f t="shared" si="14"/>
        <v>266041</v>
      </c>
      <c r="L222" s="153"/>
      <c r="M222" s="170">
        <v>215</v>
      </c>
      <c r="N222" s="164">
        <f>ROUND(F222*('Model Data Inputs'!$E$184*'Model Data Inputs'!$E$185*'Model Data Inputs'!$E$186*'Model Data Inputs'!$E$187),2)</f>
        <v>365.28</v>
      </c>
      <c r="O222" s="171">
        <f t="shared" si="15"/>
        <v>78535.199999999997</v>
      </c>
    </row>
    <row r="223" spans="1:15" x14ac:dyDescent="0.2">
      <c r="A223" s="168">
        <v>216</v>
      </c>
      <c r="B223" s="159">
        <v>1235.1390812331047</v>
      </c>
      <c r="C223" s="169">
        <f t="shared" si="12"/>
        <v>266790.04154635058</v>
      </c>
      <c r="D223" s="153"/>
      <c r="E223" s="170">
        <v>216</v>
      </c>
      <c r="F223" s="162">
        <v>364.59953589510525</v>
      </c>
      <c r="G223" s="171">
        <f t="shared" si="13"/>
        <v>78753.499753342738</v>
      </c>
      <c r="I223" s="168">
        <v>216</v>
      </c>
      <c r="J223" s="167">
        <f>ROUND(B223*('Model Data Inputs'!$E$184*'Model Data Inputs'!$E$185*'Model Data Inputs'!$E$186*'Model Data Inputs'!$E$187),2)</f>
        <v>1235.1400000000001</v>
      </c>
      <c r="K223" s="169">
        <f t="shared" si="14"/>
        <v>266790.24000000005</v>
      </c>
      <c r="L223" s="153"/>
      <c r="M223" s="170">
        <v>216</v>
      </c>
      <c r="N223" s="164">
        <f>ROUND(F223*('Model Data Inputs'!$E$184*'Model Data Inputs'!$E$185*'Model Data Inputs'!$E$186*'Model Data Inputs'!$E$187),2)</f>
        <v>364.6</v>
      </c>
      <c r="O223" s="171">
        <f t="shared" si="15"/>
        <v>78753.600000000006</v>
      </c>
    </row>
    <row r="224" spans="1:15" x14ac:dyDescent="0.2">
      <c r="A224" s="168">
        <v>217</v>
      </c>
      <c r="B224" s="159">
        <v>1232.8738123977037</v>
      </c>
      <c r="C224" s="169">
        <f t="shared" si="12"/>
        <v>267533.61729030171</v>
      </c>
      <c r="D224" s="153"/>
      <c r="E224" s="170">
        <v>217</v>
      </c>
      <c r="F224" s="162">
        <v>363.91995286595017</v>
      </c>
      <c r="G224" s="171">
        <f t="shared" si="13"/>
        <v>78970.62977191119</v>
      </c>
      <c r="I224" s="168">
        <v>217</v>
      </c>
      <c r="J224" s="167">
        <f>ROUND(B224*('Model Data Inputs'!$E$184*'Model Data Inputs'!$E$185*'Model Data Inputs'!$E$186*'Model Data Inputs'!$E$187),2)</f>
        <v>1232.8699999999999</v>
      </c>
      <c r="K224" s="169">
        <f t="shared" si="14"/>
        <v>267532.78999999998</v>
      </c>
      <c r="L224" s="153"/>
      <c r="M224" s="170">
        <v>217</v>
      </c>
      <c r="N224" s="164">
        <f>ROUND(F224*('Model Data Inputs'!$E$184*'Model Data Inputs'!$E$185*'Model Data Inputs'!$E$186*'Model Data Inputs'!$E$187),2)</f>
        <v>363.92</v>
      </c>
      <c r="O224" s="171">
        <f t="shared" si="15"/>
        <v>78970.64</v>
      </c>
    </row>
    <row r="225" spans="1:15" x14ac:dyDescent="0.2">
      <c r="A225" s="168">
        <v>218</v>
      </c>
      <c r="B225" s="159">
        <v>1230.608543562302</v>
      </c>
      <c r="C225" s="169">
        <f t="shared" si="12"/>
        <v>268272.66249658185</v>
      </c>
      <c r="D225" s="153"/>
      <c r="E225" s="170">
        <v>218</v>
      </c>
      <c r="F225" s="162">
        <v>363.24036983679514</v>
      </c>
      <c r="G225" s="171">
        <f t="shared" si="13"/>
        <v>79186.400624421338</v>
      </c>
      <c r="I225" s="168">
        <v>218</v>
      </c>
      <c r="J225" s="167">
        <f>ROUND(B225*('Model Data Inputs'!$E$184*'Model Data Inputs'!$E$185*'Model Data Inputs'!$E$186*'Model Data Inputs'!$E$187),2)</f>
        <v>1230.6099999999999</v>
      </c>
      <c r="K225" s="169">
        <f t="shared" si="14"/>
        <v>268272.98</v>
      </c>
      <c r="L225" s="153"/>
      <c r="M225" s="170">
        <v>218</v>
      </c>
      <c r="N225" s="164">
        <f>ROUND(F225*('Model Data Inputs'!$E$184*'Model Data Inputs'!$E$185*'Model Data Inputs'!$E$186*'Model Data Inputs'!$E$187),2)</f>
        <v>363.24</v>
      </c>
      <c r="O225" s="171">
        <f t="shared" si="15"/>
        <v>79186.320000000007</v>
      </c>
    </row>
    <row r="226" spans="1:15" x14ac:dyDescent="0.2">
      <c r="A226" s="168">
        <v>219</v>
      </c>
      <c r="B226" s="159">
        <v>1228.3432747269019</v>
      </c>
      <c r="C226" s="169">
        <f t="shared" si="12"/>
        <v>269007.1771651915</v>
      </c>
      <c r="D226" s="153"/>
      <c r="E226" s="170">
        <v>219</v>
      </c>
      <c r="F226" s="162">
        <v>362.56078680764017</v>
      </c>
      <c r="G226" s="171">
        <f t="shared" si="13"/>
        <v>79400.812310873196</v>
      </c>
      <c r="I226" s="168">
        <v>219</v>
      </c>
      <c r="J226" s="167">
        <f>ROUND(B226*('Model Data Inputs'!$E$184*'Model Data Inputs'!$E$185*'Model Data Inputs'!$E$186*'Model Data Inputs'!$E$187),2)</f>
        <v>1228.3399999999999</v>
      </c>
      <c r="K226" s="169">
        <f t="shared" si="14"/>
        <v>269006.45999999996</v>
      </c>
      <c r="L226" s="153"/>
      <c r="M226" s="170">
        <v>219</v>
      </c>
      <c r="N226" s="164">
        <f>ROUND(F226*('Model Data Inputs'!$E$184*'Model Data Inputs'!$E$185*'Model Data Inputs'!$E$186*'Model Data Inputs'!$E$187),2)</f>
        <v>362.56</v>
      </c>
      <c r="O226" s="171">
        <f t="shared" si="15"/>
        <v>79400.639999999999</v>
      </c>
    </row>
    <row r="227" spans="1:15" x14ac:dyDescent="0.2">
      <c r="A227" s="168">
        <v>220</v>
      </c>
      <c r="B227" s="159">
        <v>1226.0780058915009</v>
      </c>
      <c r="C227" s="169">
        <f t="shared" si="12"/>
        <v>269737.16129613022</v>
      </c>
      <c r="D227" s="153"/>
      <c r="E227" s="170">
        <v>220</v>
      </c>
      <c r="F227" s="162">
        <v>361.88120377848514</v>
      </c>
      <c r="G227" s="171">
        <f t="shared" si="13"/>
        <v>79613.864831266736</v>
      </c>
      <c r="I227" s="168">
        <v>220</v>
      </c>
      <c r="J227" s="167">
        <f>ROUND(B227*('Model Data Inputs'!$E$184*'Model Data Inputs'!$E$185*'Model Data Inputs'!$E$186*'Model Data Inputs'!$E$187),2)</f>
        <v>1226.08</v>
      </c>
      <c r="K227" s="169">
        <f t="shared" si="14"/>
        <v>269737.59999999998</v>
      </c>
      <c r="L227" s="153"/>
      <c r="M227" s="170">
        <v>220</v>
      </c>
      <c r="N227" s="164">
        <f>ROUND(F227*('Model Data Inputs'!$E$184*'Model Data Inputs'!$E$185*'Model Data Inputs'!$E$186*'Model Data Inputs'!$E$187),2)</f>
        <v>361.88</v>
      </c>
      <c r="O227" s="171">
        <f t="shared" si="15"/>
        <v>79613.600000000006</v>
      </c>
    </row>
    <row r="228" spans="1:15" x14ac:dyDescent="0.2">
      <c r="A228" s="168">
        <v>221</v>
      </c>
      <c r="B228" s="159">
        <v>1223.8127370560999</v>
      </c>
      <c r="C228" s="169">
        <f t="shared" si="12"/>
        <v>270462.6148893981</v>
      </c>
      <c r="D228" s="153"/>
      <c r="E228" s="170">
        <v>221</v>
      </c>
      <c r="F228" s="162">
        <v>361.20162074933023</v>
      </c>
      <c r="G228" s="171">
        <f t="shared" si="13"/>
        <v>79825.558185601985</v>
      </c>
      <c r="I228" s="168">
        <v>221</v>
      </c>
      <c r="J228" s="167">
        <f>ROUND(B228*('Model Data Inputs'!$E$184*'Model Data Inputs'!$E$185*'Model Data Inputs'!$E$186*'Model Data Inputs'!$E$187),2)</f>
        <v>1223.81</v>
      </c>
      <c r="K228" s="169">
        <f t="shared" si="14"/>
        <v>270462.01</v>
      </c>
      <c r="L228" s="153"/>
      <c r="M228" s="170">
        <v>221</v>
      </c>
      <c r="N228" s="164">
        <f>ROUND(F228*('Model Data Inputs'!$E$184*'Model Data Inputs'!$E$185*'Model Data Inputs'!$E$186*'Model Data Inputs'!$E$187),2)</f>
        <v>361.2</v>
      </c>
      <c r="O228" s="171">
        <f t="shared" si="15"/>
        <v>79825.2</v>
      </c>
    </row>
    <row r="229" spans="1:15" x14ac:dyDescent="0.2">
      <c r="A229" s="168">
        <v>222</v>
      </c>
      <c r="B229" s="159">
        <v>1221.5474682206989</v>
      </c>
      <c r="C229" s="169">
        <f t="shared" si="12"/>
        <v>271183.53794499516</v>
      </c>
      <c r="D229" s="153"/>
      <c r="E229" s="170">
        <v>222</v>
      </c>
      <c r="F229" s="162">
        <v>360.52203772017526</v>
      </c>
      <c r="G229" s="171">
        <f t="shared" si="13"/>
        <v>80035.892373878902</v>
      </c>
      <c r="I229" s="168">
        <v>222</v>
      </c>
      <c r="J229" s="167">
        <f>ROUND(B229*('Model Data Inputs'!$E$184*'Model Data Inputs'!$E$185*'Model Data Inputs'!$E$186*'Model Data Inputs'!$E$187),2)</f>
        <v>1221.55</v>
      </c>
      <c r="K229" s="169">
        <f t="shared" si="14"/>
        <v>271184.09999999998</v>
      </c>
      <c r="L229" s="153"/>
      <c r="M229" s="170">
        <v>222</v>
      </c>
      <c r="N229" s="164">
        <f>ROUND(F229*('Model Data Inputs'!$E$184*'Model Data Inputs'!$E$185*'Model Data Inputs'!$E$186*'Model Data Inputs'!$E$187),2)</f>
        <v>360.52</v>
      </c>
      <c r="O229" s="171">
        <f t="shared" si="15"/>
        <v>80035.44</v>
      </c>
    </row>
    <row r="230" spans="1:15" x14ac:dyDescent="0.2">
      <c r="A230" s="168">
        <v>223</v>
      </c>
      <c r="B230" s="159">
        <v>1219.2821993852979</v>
      </c>
      <c r="C230" s="169">
        <f t="shared" si="12"/>
        <v>271899.93046292145</v>
      </c>
      <c r="D230" s="153"/>
      <c r="E230" s="170">
        <v>223</v>
      </c>
      <c r="F230" s="162">
        <v>359.84245469102018</v>
      </c>
      <c r="G230" s="171">
        <f t="shared" si="13"/>
        <v>80244.867396097499</v>
      </c>
      <c r="I230" s="168">
        <v>223</v>
      </c>
      <c r="J230" s="167">
        <f>ROUND(B230*('Model Data Inputs'!$E$184*'Model Data Inputs'!$E$185*'Model Data Inputs'!$E$186*'Model Data Inputs'!$E$187),2)</f>
        <v>1219.28</v>
      </c>
      <c r="K230" s="169">
        <f t="shared" si="14"/>
        <v>271899.44</v>
      </c>
      <c r="L230" s="153"/>
      <c r="M230" s="170">
        <v>223</v>
      </c>
      <c r="N230" s="164">
        <f>ROUND(F230*('Model Data Inputs'!$E$184*'Model Data Inputs'!$E$185*'Model Data Inputs'!$E$186*'Model Data Inputs'!$E$187),2)</f>
        <v>359.84</v>
      </c>
      <c r="O230" s="171">
        <f t="shared" si="15"/>
        <v>80244.319999999992</v>
      </c>
    </row>
    <row r="231" spans="1:15" x14ac:dyDescent="0.2">
      <c r="A231" s="168">
        <v>224</v>
      </c>
      <c r="B231" s="159">
        <v>1217.0169305498971</v>
      </c>
      <c r="C231" s="169">
        <f t="shared" si="12"/>
        <v>272611.79244317696</v>
      </c>
      <c r="D231" s="153"/>
      <c r="E231" s="170">
        <v>224</v>
      </c>
      <c r="F231" s="162">
        <v>359.16287166186532</v>
      </c>
      <c r="G231" s="171">
        <f t="shared" si="13"/>
        <v>80452.483252257836</v>
      </c>
      <c r="I231" s="168">
        <v>224</v>
      </c>
      <c r="J231" s="167">
        <f>ROUND(B231*('Model Data Inputs'!$E$184*'Model Data Inputs'!$E$185*'Model Data Inputs'!$E$186*'Model Data Inputs'!$E$187),2)</f>
        <v>1217.02</v>
      </c>
      <c r="K231" s="169">
        <f t="shared" si="14"/>
        <v>272612.47999999998</v>
      </c>
      <c r="L231" s="153"/>
      <c r="M231" s="170">
        <v>224</v>
      </c>
      <c r="N231" s="164">
        <f>ROUND(F231*('Model Data Inputs'!$E$184*'Model Data Inputs'!$E$185*'Model Data Inputs'!$E$186*'Model Data Inputs'!$E$187),2)</f>
        <v>359.16</v>
      </c>
      <c r="O231" s="171">
        <f t="shared" si="15"/>
        <v>80451.840000000011</v>
      </c>
    </row>
    <row r="232" spans="1:15" x14ac:dyDescent="0.2">
      <c r="A232" s="168">
        <v>225</v>
      </c>
      <c r="B232" s="159">
        <v>1214.7516617144961</v>
      </c>
      <c r="C232" s="169">
        <f t="shared" si="12"/>
        <v>273319.1238857616</v>
      </c>
      <c r="D232" s="153"/>
      <c r="E232" s="170">
        <v>225</v>
      </c>
      <c r="F232" s="162">
        <v>358.48328863271024</v>
      </c>
      <c r="G232" s="171">
        <f t="shared" si="13"/>
        <v>80658.739942359811</v>
      </c>
      <c r="I232" s="168">
        <v>225</v>
      </c>
      <c r="J232" s="167">
        <f>ROUND(B232*('Model Data Inputs'!$E$184*'Model Data Inputs'!$E$185*'Model Data Inputs'!$E$186*'Model Data Inputs'!$E$187),2)</f>
        <v>1214.75</v>
      </c>
      <c r="K232" s="169">
        <f t="shared" si="14"/>
        <v>273318.75</v>
      </c>
      <c r="L232" s="153"/>
      <c r="M232" s="170">
        <v>225</v>
      </c>
      <c r="N232" s="164">
        <f>ROUND(F232*('Model Data Inputs'!$E$184*'Model Data Inputs'!$E$185*'Model Data Inputs'!$E$186*'Model Data Inputs'!$E$187),2)</f>
        <v>358.48</v>
      </c>
      <c r="O232" s="171">
        <f t="shared" si="15"/>
        <v>80658</v>
      </c>
    </row>
    <row r="233" spans="1:15" x14ac:dyDescent="0.2">
      <c r="A233" s="168">
        <v>226</v>
      </c>
      <c r="B233" s="159">
        <v>1212.4863928790949</v>
      </c>
      <c r="C233" s="169">
        <f t="shared" si="12"/>
        <v>274021.92479067546</v>
      </c>
      <c r="D233" s="153"/>
      <c r="E233" s="170">
        <v>226</v>
      </c>
      <c r="F233" s="162">
        <v>357.80370560355527</v>
      </c>
      <c r="G233" s="171">
        <f t="shared" si="13"/>
        <v>80863.637466403496</v>
      </c>
      <c r="I233" s="168">
        <v>226</v>
      </c>
      <c r="J233" s="167">
        <f>ROUND(B233*('Model Data Inputs'!$E$184*'Model Data Inputs'!$E$185*'Model Data Inputs'!$E$186*'Model Data Inputs'!$E$187),2)</f>
        <v>1212.49</v>
      </c>
      <c r="K233" s="169">
        <f t="shared" si="14"/>
        <v>274022.74</v>
      </c>
      <c r="L233" s="153"/>
      <c r="M233" s="170">
        <v>226</v>
      </c>
      <c r="N233" s="164">
        <f>ROUND(F233*('Model Data Inputs'!$E$184*'Model Data Inputs'!$E$185*'Model Data Inputs'!$E$186*'Model Data Inputs'!$E$187),2)</f>
        <v>357.8</v>
      </c>
      <c r="O233" s="171">
        <f t="shared" si="15"/>
        <v>80862.8</v>
      </c>
    </row>
    <row r="234" spans="1:15" x14ac:dyDescent="0.2">
      <c r="A234" s="168">
        <v>227</v>
      </c>
      <c r="B234" s="159">
        <v>1210.2211240436941</v>
      </c>
      <c r="C234" s="169">
        <f t="shared" si="12"/>
        <v>274720.19515791856</v>
      </c>
      <c r="D234" s="153"/>
      <c r="E234" s="170">
        <v>227</v>
      </c>
      <c r="F234" s="162">
        <v>357.12412257440025</v>
      </c>
      <c r="G234" s="171">
        <f t="shared" si="13"/>
        <v>81067.175824388862</v>
      </c>
      <c r="I234" s="168">
        <v>227</v>
      </c>
      <c r="J234" s="167">
        <f>ROUND(B234*('Model Data Inputs'!$E$184*'Model Data Inputs'!$E$185*'Model Data Inputs'!$E$186*'Model Data Inputs'!$E$187),2)</f>
        <v>1210.22</v>
      </c>
      <c r="K234" s="169">
        <f t="shared" si="14"/>
        <v>274719.94</v>
      </c>
      <c r="L234" s="153"/>
      <c r="M234" s="170">
        <v>227</v>
      </c>
      <c r="N234" s="164">
        <f>ROUND(F234*('Model Data Inputs'!$E$184*'Model Data Inputs'!$E$185*'Model Data Inputs'!$E$186*'Model Data Inputs'!$E$187),2)</f>
        <v>357.12</v>
      </c>
      <c r="O234" s="171">
        <f t="shared" si="15"/>
        <v>81066.240000000005</v>
      </c>
    </row>
    <row r="235" spans="1:15" x14ac:dyDescent="0.2">
      <c r="A235" s="168">
        <v>228</v>
      </c>
      <c r="B235" s="159">
        <v>1207.9558552082929</v>
      </c>
      <c r="C235" s="169">
        <f t="shared" si="12"/>
        <v>275413.93498749076</v>
      </c>
      <c r="D235" s="153"/>
      <c r="E235" s="170">
        <v>228</v>
      </c>
      <c r="F235" s="162">
        <v>356.44453954524516</v>
      </c>
      <c r="G235" s="171">
        <f t="shared" si="13"/>
        <v>81269.355016315894</v>
      </c>
      <c r="I235" s="168">
        <v>228</v>
      </c>
      <c r="J235" s="167">
        <f>ROUND(B235*('Model Data Inputs'!$E$184*'Model Data Inputs'!$E$185*'Model Data Inputs'!$E$186*'Model Data Inputs'!$E$187),2)</f>
        <v>1207.96</v>
      </c>
      <c r="K235" s="169">
        <f t="shared" si="14"/>
        <v>275414.88</v>
      </c>
      <c r="L235" s="153"/>
      <c r="M235" s="170">
        <v>228</v>
      </c>
      <c r="N235" s="164">
        <f>ROUND(F235*('Model Data Inputs'!$E$184*'Model Data Inputs'!$E$185*'Model Data Inputs'!$E$186*'Model Data Inputs'!$E$187),2)</f>
        <v>356.44</v>
      </c>
      <c r="O235" s="171">
        <f t="shared" si="15"/>
        <v>81268.319999999992</v>
      </c>
    </row>
    <row r="236" spans="1:15" x14ac:dyDescent="0.2">
      <c r="A236" s="168">
        <v>229</v>
      </c>
      <c r="B236" s="159">
        <v>1205.6905863728921</v>
      </c>
      <c r="C236" s="169">
        <f t="shared" si="12"/>
        <v>276103.14427939226</v>
      </c>
      <c r="D236" s="153"/>
      <c r="E236" s="170">
        <v>229</v>
      </c>
      <c r="F236" s="162">
        <v>355.76495651609031</v>
      </c>
      <c r="G236" s="171">
        <f t="shared" si="13"/>
        <v>81470.175042184681</v>
      </c>
      <c r="I236" s="168">
        <v>229</v>
      </c>
      <c r="J236" s="167">
        <f>ROUND(B236*('Model Data Inputs'!$E$184*'Model Data Inputs'!$E$185*'Model Data Inputs'!$E$186*'Model Data Inputs'!$E$187),2)</f>
        <v>1205.69</v>
      </c>
      <c r="K236" s="169">
        <f t="shared" si="14"/>
        <v>276103.01</v>
      </c>
      <c r="L236" s="153"/>
      <c r="M236" s="170">
        <v>229</v>
      </c>
      <c r="N236" s="164">
        <f>ROUND(F236*('Model Data Inputs'!$E$184*'Model Data Inputs'!$E$185*'Model Data Inputs'!$E$186*'Model Data Inputs'!$E$187),2)</f>
        <v>355.76</v>
      </c>
      <c r="O236" s="171">
        <f t="shared" si="15"/>
        <v>81469.039999999994</v>
      </c>
    </row>
    <row r="237" spans="1:15" x14ac:dyDescent="0.2">
      <c r="A237" s="168">
        <v>230</v>
      </c>
      <c r="B237" s="159">
        <v>1203.4253175374911</v>
      </c>
      <c r="C237" s="169">
        <f t="shared" si="12"/>
        <v>276787.82303362293</v>
      </c>
      <c r="D237" s="153"/>
      <c r="E237" s="170">
        <v>230</v>
      </c>
      <c r="F237" s="162">
        <v>355.08537348693523</v>
      </c>
      <c r="G237" s="171">
        <f t="shared" si="13"/>
        <v>81669.635901995105</v>
      </c>
      <c r="I237" s="168">
        <v>230</v>
      </c>
      <c r="J237" s="167">
        <f>ROUND(B237*('Model Data Inputs'!$E$184*'Model Data Inputs'!$E$185*'Model Data Inputs'!$E$186*'Model Data Inputs'!$E$187),2)</f>
        <v>1203.43</v>
      </c>
      <c r="K237" s="169">
        <f t="shared" si="14"/>
        <v>276788.90000000002</v>
      </c>
      <c r="L237" s="153"/>
      <c r="M237" s="170">
        <v>230</v>
      </c>
      <c r="N237" s="164">
        <f>ROUND(F237*('Model Data Inputs'!$E$184*'Model Data Inputs'!$E$185*'Model Data Inputs'!$E$186*'Model Data Inputs'!$E$187),2)</f>
        <v>355.09</v>
      </c>
      <c r="O237" s="171">
        <f t="shared" si="15"/>
        <v>81670.7</v>
      </c>
    </row>
    <row r="238" spans="1:15" x14ac:dyDescent="0.2">
      <c r="A238" s="168">
        <v>231</v>
      </c>
      <c r="B238" s="159">
        <v>1201.1600487020899</v>
      </c>
      <c r="C238" s="169">
        <f t="shared" si="12"/>
        <v>277467.97125018277</v>
      </c>
      <c r="D238" s="153"/>
      <c r="E238" s="170">
        <v>231</v>
      </c>
      <c r="F238" s="162">
        <v>354.40579045778031</v>
      </c>
      <c r="G238" s="171">
        <f t="shared" si="13"/>
        <v>81867.737595747254</v>
      </c>
      <c r="I238" s="168">
        <v>231</v>
      </c>
      <c r="J238" s="167">
        <f>ROUND(B238*('Model Data Inputs'!$E$184*'Model Data Inputs'!$E$185*'Model Data Inputs'!$E$186*'Model Data Inputs'!$E$187),2)</f>
        <v>1201.1600000000001</v>
      </c>
      <c r="K238" s="169">
        <f t="shared" si="14"/>
        <v>277467.96000000002</v>
      </c>
      <c r="L238" s="153"/>
      <c r="M238" s="170">
        <v>231</v>
      </c>
      <c r="N238" s="164">
        <f>ROUND(F238*('Model Data Inputs'!$E$184*'Model Data Inputs'!$E$185*'Model Data Inputs'!$E$186*'Model Data Inputs'!$E$187),2)</f>
        <v>354.41</v>
      </c>
      <c r="O238" s="171">
        <f t="shared" si="15"/>
        <v>81868.710000000006</v>
      </c>
    </row>
    <row r="239" spans="1:15" x14ac:dyDescent="0.2">
      <c r="A239" s="168">
        <v>232</v>
      </c>
      <c r="B239" s="159">
        <v>1198.8947798666886</v>
      </c>
      <c r="C239" s="169">
        <f t="shared" si="12"/>
        <v>278143.58892907179</v>
      </c>
      <c r="D239" s="153"/>
      <c r="E239" s="170">
        <v>232</v>
      </c>
      <c r="F239" s="162">
        <v>353.72620742862529</v>
      </c>
      <c r="G239" s="171">
        <f t="shared" si="13"/>
        <v>82064.48012344107</v>
      </c>
      <c r="I239" s="168">
        <v>232</v>
      </c>
      <c r="J239" s="167">
        <f>ROUND(B239*('Model Data Inputs'!$E$184*'Model Data Inputs'!$E$185*'Model Data Inputs'!$E$186*'Model Data Inputs'!$E$187),2)</f>
        <v>1198.8900000000001</v>
      </c>
      <c r="K239" s="169">
        <f t="shared" si="14"/>
        <v>278142.48000000004</v>
      </c>
      <c r="L239" s="153"/>
      <c r="M239" s="170">
        <v>232</v>
      </c>
      <c r="N239" s="164">
        <f>ROUND(F239*('Model Data Inputs'!$E$184*'Model Data Inputs'!$E$185*'Model Data Inputs'!$E$186*'Model Data Inputs'!$E$187),2)</f>
        <v>353.73</v>
      </c>
      <c r="O239" s="171">
        <f t="shared" si="15"/>
        <v>82065.36</v>
      </c>
    </row>
    <row r="240" spans="1:15" x14ac:dyDescent="0.2">
      <c r="A240" s="168">
        <v>233</v>
      </c>
      <c r="B240" s="159">
        <v>1196.6295110312876</v>
      </c>
      <c r="C240" s="169">
        <f t="shared" si="12"/>
        <v>278814.67607029004</v>
      </c>
      <c r="D240" s="153"/>
      <c r="E240" s="170">
        <v>233</v>
      </c>
      <c r="F240" s="162">
        <v>353.04662439947026</v>
      </c>
      <c r="G240" s="171">
        <f t="shared" si="13"/>
        <v>82259.863485076567</v>
      </c>
      <c r="I240" s="168">
        <v>233</v>
      </c>
      <c r="J240" s="167">
        <f>ROUND(B240*('Model Data Inputs'!$E$184*'Model Data Inputs'!$E$185*'Model Data Inputs'!$E$186*'Model Data Inputs'!$E$187),2)</f>
        <v>1196.6300000000001</v>
      </c>
      <c r="K240" s="169">
        <f t="shared" si="14"/>
        <v>278814.79000000004</v>
      </c>
      <c r="L240" s="153"/>
      <c r="M240" s="170">
        <v>233</v>
      </c>
      <c r="N240" s="164">
        <f>ROUND(F240*('Model Data Inputs'!$E$184*'Model Data Inputs'!$E$185*'Model Data Inputs'!$E$186*'Model Data Inputs'!$E$187),2)</f>
        <v>353.05</v>
      </c>
      <c r="O240" s="171">
        <f t="shared" si="15"/>
        <v>82260.650000000009</v>
      </c>
    </row>
    <row r="241" spans="1:15" x14ac:dyDescent="0.2">
      <c r="A241" s="168">
        <v>234</v>
      </c>
      <c r="B241" s="159">
        <v>1194.3642421958866</v>
      </c>
      <c r="C241" s="169">
        <f t="shared" si="12"/>
        <v>279481.23267383745</v>
      </c>
      <c r="D241" s="153"/>
      <c r="E241" s="170">
        <v>234</v>
      </c>
      <c r="F241" s="162">
        <v>352.36704137031541</v>
      </c>
      <c r="G241" s="171">
        <f t="shared" si="13"/>
        <v>82453.887680653803</v>
      </c>
      <c r="I241" s="168">
        <v>234</v>
      </c>
      <c r="J241" s="167">
        <f>ROUND(B241*('Model Data Inputs'!$E$184*'Model Data Inputs'!$E$185*'Model Data Inputs'!$E$186*'Model Data Inputs'!$E$187),2)</f>
        <v>1194.3599999999999</v>
      </c>
      <c r="K241" s="169">
        <f t="shared" si="14"/>
        <v>279480.24</v>
      </c>
      <c r="L241" s="153"/>
      <c r="M241" s="170">
        <v>234</v>
      </c>
      <c r="N241" s="164">
        <f>ROUND(F241*('Model Data Inputs'!$E$184*'Model Data Inputs'!$E$185*'Model Data Inputs'!$E$186*'Model Data Inputs'!$E$187),2)</f>
        <v>352.37</v>
      </c>
      <c r="O241" s="171">
        <f t="shared" si="15"/>
        <v>82454.58</v>
      </c>
    </row>
    <row r="242" spans="1:15" x14ac:dyDescent="0.2">
      <c r="A242" s="168">
        <v>235</v>
      </c>
      <c r="B242" s="159">
        <v>1192.0989733604854</v>
      </c>
      <c r="C242" s="169">
        <f t="shared" si="12"/>
        <v>280143.25873971405</v>
      </c>
      <c r="D242" s="153"/>
      <c r="E242" s="170">
        <v>235</v>
      </c>
      <c r="F242" s="162">
        <v>351.68745834116032</v>
      </c>
      <c r="G242" s="171">
        <f t="shared" si="13"/>
        <v>82646.552710172677</v>
      </c>
      <c r="I242" s="168">
        <v>235</v>
      </c>
      <c r="J242" s="167">
        <f>ROUND(B242*('Model Data Inputs'!$E$184*'Model Data Inputs'!$E$185*'Model Data Inputs'!$E$186*'Model Data Inputs'!$E$187),2)</f>
        <v>1192.0999999999999</v>
      </c>
      <c r="K242" s="169">
        <f t="shared" si="14"/>
        <v>280143.5</v>
      </c>
      <c r="L242" s="153"/>
      <c r="M242" s="170">
        <v>235</v>
      </c>
      <c r="N242" s="164">
        <f>ROUND(F242*('Model Data Inputs'!$E$184*'Model Data Inputs'!$E$185*'Model Data Inputs'!$E$186*'Model Data Inputs'!$E$187),2)</f>
        <v>351.69</v>
      </c>
      <c r="O242" s="171">
        <f t="shared" si="15"/>
        <v>82647.149999999994</v>
      </c>
    </row>
    <row r="243" spans="1:15" x14ac:dyDescent="0.2">
      <c r="A243" s="168">
        <v>236</v>
      </c>
      <c r="B243" s="159">
        <v>1189.8337045250848</v>
      </c>
      <c r="C243" s="169">
        <f t="shared" si="12"/>
        <v>280800.75426792004</v>
      </c>
      <c r="D243" s="153"/>
      <c r="E243" s="170">
        <v>236</v>
      </c>
      <c r="F243" s="162">
        <v>351.00787531200535</v>
      </c>
      <c r="G243" s="171">
        <f t="shared" si="13"/>
        <v>82837.858573633261</v>
      </c>
      <c r="I243" s="168">
        <v>236</v>
      </c>
      <c r="J243" s="167">
        <f>ROUND(B243*('Model Data Inputs'!$E$184*'Model Data Inputs'!$E$185*'Model Data Inputs'!$E$186*'Model Data Inputs'!$E$187),2)</f>
        <v>1189.83</v>
      </c>
      <c r="K243" s="169">
        <f t="shared" si="14"/>
        <v>280799.88</v>
      </c>
      <c r="L243" s="153"/>
      <c r="M243" s="170">
        <v>236</v>
      </c>
      <c r="N243" s="164">
        <f>ROUND(F243*('Model Data Inputs'!$E$184*'Model Data Inputs'!$E$185*'Model Data Inputs'!$E$186*'Model Data Inputs'!$E$187),2)</f>
        <v>351.01</v>
      </c>
      <c r="O243" s="171">
        <f t="shared" si="15"/>
        <v>82838.36</v>
      </c>
    </row>
    <row r="244" spans="1:15" x14ac:dyDescent="0.2">
      <c r="A244" s="168">
        <v>237</v>
      </c>
      <c r="B244" s="159">
        <v>1187.5684356896836</v>
      </c>
      <c r="C244" s="169">
        <f t="shared" si="12"/>
        <v>281453.71925845504</v>
      </c>
      <c r="D244" s="153"/>
      <c r="E244" s="170">
        <v>237</v>
      </c>
      <c r="F244" s="162">
        <v>350.32829228285038</v>
      </c>
      <c r="G244" s="171">
        <f t="shared" si="13"/>
        <v>83027.80527103554</v>
      </c>
      <c r="I244" s="168">
        <v>237</v>
      </c>
      <c r="J244" s="167">
        <f>ROUND(B244*('Model Data Inputs'!$E$184*'Model Data Inputs'!$E$185*'Model Data Inputs'!$E$186*'Model Data Inputs'!$E$187),2)</f>
        <v>1187.57</v>
      </c>
      <c r="K244" s="169">
        <f t="shared" si="14"/>
        <v>281454.08999999997</v>
      </c>
      <c r="L244" s="153"/>
      <c r="M244" s="170">
        <v>237</v>
      </c>
      <c r="N244" s="164">
        <f>ROUND(F244*('Model Data Inputs'!$E$184*'Model Data Inputs'!$E$185*'Model Data Inputs'!$E$186*'Model Data Inputs'!$E$187),2)</f>
        <v>350.33</v>
      </c>
      <c r="O244" s="171">
        <f t="shared" si="15"/>
        <v>83028.209999999992</v>
      </c>
    </row>
    <row r="245" spans="1:15" x14ac:dyDescent="0.2">
      <c r="A245" s="168">
        <v>238</v>
      </c>
      <c r="B245" s="159">
        <v>1185.3031668542828</v>
      </c>
      <c r="C245" s="169">
        <f t="shared" si="12"/>
        <v>282102.15371131932</v>
      </c>
      <c r="D245" s="153"/>
      <c r="E245" s="170">
        <v>238</v>
      </c>
      <c r="F245" s="162">
        <v>349.64870925369542</v>
      </c>
      <c r="G245" s="171">
        <f t="shared" si="13"/>
        <v>83216.392802379502</v>
      </c>
      <c r="I245" s="168">
        <v>238</v>
      </c>
      <c r="J245" s="167">
        <f>ROUND(B245*('Model Data Inputs'!$E$184*'Model Data Inputs'!$E$185*'Model Data Inputs'!$E$186*'Model Data Inputs'!$E$187),2)</f>
        <v>1185.3</v>
      </c>
      <c r="K245" s="169">
        <f t="shared" si="14"/>
        <v>282101.39999999997</v>
      </c>
      <c r="L245" s="153"/>
      <c r="M245" s="170">
        <v>238</v>
      </c>
      <c r="N245" s="164">
        <f>ROUND(F245*('Model Data Inputs'!$E$184*'Model Data Inputs'!$E$185*'Model Data Inputs'!$E$186*'Model Data Inputs'!$E$187),2)</f>
        <v>349.65</v>
      </c>
      <c r="O245" s="171">
        <f t="shared" si="15"/>
        <v>83216.7</v>
      </c>
    </row>
    <row r="246" spans="1:15" x14ac:dyDescent="0.2">
      <c r="A246" s="168">
        <v>239</v>
      </c>
      <c r="B246" s="159">
        <v>1183.0378980188814</v>
      </c>
      <c r="C246" s="169">
        <f t="shared" si="12"/>
        <v>282746.05762651266</v>
      </c>
      <c r="D246" s="153"/>
      <c r="E246" s="170">
        <v>239</v>
      </c>
      <c r="F246" s="162">
        <v>348.96912622454033</v>
      </c>
      <c r="G246" s="171">
        <f t="shared" si="13"/>
        <v>83403.621167665144</v>
      </c>
      <c r="I246" s="168">
        <v>239</v>
      </c>
      <c r="J246" s="167">
        <f>ROUND(B246*('Model Data Inputs'!$E$184*'Model Data Inputs'!$E$185*'Model Data Inputs'!$E$186*'Model Data Inputs'!$E$187),2)</f>
        <v>1183.04</v>
      </c>
      <c r="K246" s="169">
        <f t="shared" si="14"/>
        <v>282746.56</v>
      </c>
      <c r="L246" s="153"/>
      <c r="M246" s="170">
        <v>239</v>
      </c>
      <c r="N246" s="164">
        <f>ROUND(F246*('Model Data Inputs'!$E$184*'Model Data Inputs'!$E$185*'Model Data Inputs'!$E$186*'Model Data Inputs'!$E$187),2)</f>
        <v>348.97</v>
      </c>
      <c r="O246" s="171">
        <f t="shared" si="15"/>
        <v>83403.83</v>
      </c>
    </row>
    <row r="247" spans="1:15" x14ac:dyDescent="0.2">
      <c r="A247" s="168">
        <v>240</v>
      </c>
      <c r="B247" s="159">
        <v>1180.7726291834801</v>
      </c>
      <c r="C247" s="169">
        <f t="shared" si="12"/>
        <v>283385.43100403523</v>
      </c>
      <c r="D247" s="153"/>
      <c r="E247" s="170">
        <v>240</v>
      </c>
      <c r="F247" s="162">
        <v>348.28954319538531</v>
      </c>
      <c r="G247" s="171">
        <f t="shared" si="13"/>
        <v>83589.490366892467</v>
      </c>
      <c r="I247" s="168">
        <v>240</v>
      </c>
      <c r="J247" s="167">
        <f>ROUND(B247*('Model Data Inputs'!$E$184*'Model Data Inputs'!$E$185*'Model Data Inputs'!$E$186*'Model Data Inputs'!$E$187),2)</f>
        <v>1180.77</v>
      </c>
      <c r="K247" s="169">
        <f t="shared" si="14"/>
        <v>283384.8</v>
      </c>
      <c r="L247" s="153"/>
      <c r="M247" s="170">
        <v>240</v>
      </c>
      <c r="N247" s="164">
        <f>ROUND(F247*('Model Data Inputs'!$E$184*'Model Data Inputs'!$E$185*'Model Data Inputs'!$E$186*'Model Data Inputs'!$E$187),2)</f>
        <v>348.29</v>
      </c>
      <c r="O247" s="171">
        <f t="shared" si="15"/>
        <v>83589.600000000006</v>
      </c>
    </row>
    <row r="248" spans="1:15" x14ac:dyDescent="0.2">
      <c r="A248" s="168">
        <v>241</v>
      </c>
      <c r="B248" s="159">
        <v>1178.5073603480794</v>
      </c>
      <c r="C248" s="169">
        <f t="shared" si="12"/>
        <v>284020.27384388715</v>
      </c>
      <c r="D248" s="153"/>
      <c r="E248" s="170">
        <v>241</v>
      </c>
      <c r="F248" s="162">
        <v>347.60996016623039</v>
      </c>
      <c r="G248" s="171">
        <f t="shared" si="13"/>
        <v>83774.00040006153</v>
      </c>
      <c r="I248" s="168">
        <v>241</v>
      </c>
      <c r="J248" s="167">
        <f>ROUND(B248*('Model Data Inputs'!$E$184*'Model Data Inputs'!$E$185*'Model Data Inputs'!$E$186*'Model Data Inputs'!$E$187),2)</f>
        <v>1178.51</v>
      </c>
      <c r="K248" s="169">
        <f t="shared" si="14"/>
        <v>284020.90999999997</v>
      </c>
      <c r="L248" s="153"/>
      <c r="M248" s="170">
        <v>241</v>
      </c>
      <c r="N248" s="164">
        <f>ROUND(F248*('Model Data Inputs'!$E$184*'Model Data Inputs'!$E$185*'Model Data Inputs'!$E$186*'Model Data Inputs'!$E$187),2)</f>
        <v>347.61</v>
      </c>
      <c r="O248" s="171">
        <f t="shared" si="15"/>
        <v>83774.010000000009</v>
      </c>
    </row>
    <row r="249" spans="1:15" x14ac:dyDescent="0.2">
      <c r="A249" s="168">
        <v>242</v>
      </c>
      <c r="B249" s="159">
        <v>1176.2420915126786</v>
      </c>
      <c r="C249" s="169">
        <f t="shared" si="12"/>
        <v>284650.58614606824</v>
      </c>
      <c r="D249" s="153"/>
      <c r="E249" s="170">
        <v>242</v>
      </c>
      <c r="F249" s="162">
        <v>346.93037713707542</v>
      </c>
      <c r="G249" s="171">
        <f t="shared" si="13"/>
        <v>83957.151267172259</v>
      </c>
      <c r="I249" s="168">
        <v>242</v>
      </c>
      <c r="J249" s="167">
        <f>ROUND(B249*('Model Data Inputs'!$E$184*'Model Data Inputs'!$E$185*'Model Data Inputs'!$E$186*'Model Data Inputs'!$E$187),2)</f>
        <v>1176.24</v>
      </c>
      <c r="K249" s="169">
        <f t="shared" si="14"/>
        <v>284650.08</v>
      </c>
      <c r="L249" s="153"/>
      <c r="M249" s="170">
        <v>242</v>
      </c>
      <c r="N249" s="164">
        <f>ROUND(F249*('Model Data Inputs'!$E$184*'Model Data Inputs'!$E$185*'Model Data Inputs'!$E$186*'Model Data Inputs'!$E$187),2)</f>
        <v>346.93</v>
      </c>
      <c r="O249" s="171">
        <f t="shared" si="15"/>
        <v>83957.06</v>
      </c>
    </row>
    <row r="250" spans="1:15" x14ac:dyDescent="0.2">
      <c r="A250" s="168">
        <v>243</v>
      </c>
      <c r="B250" s="159">
        <v>1173.9768226772774</v>
      </c>
      <c r="C250" s="169">
        <f t="shared" si="12"/>
        <v>285276.36791057838</v>
      </c>
      <c r="D250" s="153"/>
      <c r="E250" s="170">
        <v>243</v>
      </c>
      <c r="F250" s="162">
        <v>346.25079410792046</v>
      </c>
      <c r="G250" s="171">
        <f t="shared" si="13"/>
        <v>84138.94296822467</v>
      </c>
      <c r="I250" s="168">
        <v>243</v>
      </c>
      <c r="J250" s="167">
        <f>ROUND(B250*('Model Data Inputs'!$E$184*'Model Data Inputs'!$E$185*'Model Data Inputs'!$E$186*'Model Data Inputs'!$E$187),2)</f>
        <v>1173.98</v>
      </c>
      <c r="K250" s="169">
        <f t="shared" si="14"/>
        <v>285277.14</v>
      </c>
      <c r="L250" s="153"/>
      <c r="M250" s="170">
        <v>243</v>
      </c>
      <c r="N250" s="164">
        <f>ROUND(F250*('Model Data Inputs'!$E$184*'Model Data Inputs'!$E$185*'Model Data Inputs'!$E$186*'Model Data Inputs'!$E$187),2)</f>
        <v>346.25</v>
      </c>
      <c r="O250" s="171">
        <f t="shared" si="15"/>
        <v>84138.75</v>
      </c>
    </row>
    <row r="251" spans="1:15" x14ac:dyDescent="0.2">
      <c r="A251" s="168">
        <v>244</v>
      </c>
      <c r="B251" s="159">
        <v>1171.7115538418766</v>
      </c>
      <c r="C251" s="169">
        <f t="shared" si="12"/>
        <v>285897.61913741787</v>
      </c>
      <c r="D251" s="153"/>
      <c r="E251" s="170">
        <v>244</v>
      </c>
      <c r="F251" s="162">
        <v>345.57121107876543</v>
      </c>
      <c r="G251" s="171">
        <f t="shared" si="13"/>
        <v>84319.375503218762</v>
      </c>
      <c r="I251" s="168">
        <v>244</v>
      </c>
      <c r="J251" s="167">
        <f>ROUND(B251*('Model Data Inputs'!$E$184*'Model Data Inputs'!$E$185*'Model Data Inputs'!$E$186*'Model Data Inputs'!$E$187),2)</f>
        <v>1171.71</v>
      </c>
      <c r="K251" s="169">
        <f t="shared" si="14"/>
        <v>285897.24</v>
      </c>
      <c r="L251" s="153"/>
      <c r="M251" s="170">
        <v>244</v>
      </c>
      <c r="N251" s="164">
        <f>ROUND(F251*('Model Data Inputs'!$E$184*'Model Data Inputs'!$E$185*'Model Data Inputs'!$E$186*'Model Data Inputs'!$E$187),2)</f>
        <v>345.57</v>
      </c>
      <c r="O251" s="171">
        <f t="shared" si="15"/>
        <v>84319.08</v>
      </c>
    </row>
    <row r="252" spans="1:15" x14ac:dyDescent="0.2">
      <c r="A252" s="168">
        <v>245</v>
      </c>
      <c r="B252" s="159">
        <v>1169.4462850064749</v>
      </c>
      <c r="C252" s="169">
        <f t="shared" si="12"/>
        <v>286514.33982658637</v>
      </c>
      <c r="D252" s="153"/>
      <c r="E252" s="170">
        <v>245</v>
      </c>
      <c r="F252" s="162">
        <v>344.89162804961052</v>
      </c>
      <c r="G252" s="171">
        <f t="shared" si="13"/>
        <v>84498.448872154579</v>
      </c>
      <c r="I252" s="168">
        <v>245</v>
      </c>
      <c r="J252" s="167">
        <f>ROUND(B252*('Model Data Inputs'!$E$184*'Model Data Inputs'!$E$185*'Model Data Inputs'!$E$186*'Model Data Inputs'!$E$187),2)</f>
        <v>1169.45</v>
      </c>
      <c r="K252" s="169">
        <f t="shared" si="14"/>
        <v>286515.25</v>
      </c>
      <c r="L252" s="153"/>
      <c r="M252" s="170">
        <v>245</v>
      </c>
      <c r="N252" s="164">
        <f>ROUND(F252*('Model Data Inputs'!$E$184*'Model Data Inputs'!$E$185*'Model Data Inputs'!$E$186*'Model Data Inputs'!$E$187),2)</f>
        <v>344.89</v>
      </c>
      <c r="O252" s="171">
        <f t="shared" si="15"/>
        <v>84498.05</v>
      </c>
    </row>
    <row r="253" spans="1:15" x14ac:dyDescent="0.2">
      <c r="A253" s="168">
        <v>246</v>
      </c>
      <c r="B253" s="159">
        <v>1167.1810161710739</v>
      </c>
      <c r="C253" s="169">
        <f t="shared" si="12"/>
        <v>287126.5299780842</v>
      </c>
      <c r="D253" s="153"/>
      <c r="E253" s="170">
        <v>246</v>
      </c>
      <c r="F253" s="162">
        <v>344.21204502045543</v>
      </c>
      <c r="G253" s="171">
        <f t="shared" si="13"/>
        <v>84676.163075032033</v>
      </c>
      <c r="I253" s="168">
        <v>246</v>
      </c>
      <c r="J253" s="167">
        <f>ROUND(B253*('Model Data Inputs'!$E$184*'Model Data Inputs'!$E$185*'Model Data Inputs'!$E$186*'Model Data Inputs'!$E$187),2)</f>
        <v>1167.18</v>
      </c>
      <c r="K253" s="169">
        <f t="shared" si="14"/>
        <v>287126.28000000003</v>
      </c>
      <c r="L253" s="153"/>
      <c r="M253" s="170">
        <v>246</v>
      </c>
      <c r="N253" s="164">
        <f>ROUND(F253*('Model Data Inputs'!$E$184*'Model Data Inputs'!$E$185*'Model Data Inputs'!$E$186*'Model Data Inputs'!$E$187),2)</f>
        <v>344.21</v>
      </c>
      <c r="O253" s="171">
        <f t="shared" si="15"/>
        <v>84675.659999999989</v>
      </c>
    </row>
    <row r="254" spans="1:15" x14ac:dyDescent="0.2">
      <c r="A254" s="168">
        <v>247</v>
      </c>
      <c r="B254" s="159">
        <v>1164.9157473356731</v>
      </c>
      <c r="C254" s="169">
        <f t="shared" si="12"/>
        <v>287734.18959191127</v>
      </c>
      <c r="D254" s="153"/>
      <c r="E254" s="170">
        <v>247</v>
      </c>
      <c r="F254" s="162">
        <v>343.53246199130052</v>
      </c>
      <c r="G254" s="171">
        <f t="shared" si="13"/>
        <v>84852.518111851226</v>
      </c>
      <c r="I254" s="168">
        <v>247</v>
      </c>
      <c r="J254" s="167">
        <f>ROUND(B254*('Model Data Inputs'!$E$184*'Model Data Inputs'!$E$185*'Model Data Inputs'!$E$186*'Model Data Inputs'!$E$187),2)</f>
        <v>1164.92</v>
      </c>
      <c r="K254" s="169">
        <f t="shared" si="14"/>
        <v>287735.24</v>
      </c>
      <c r="L254" s="153"/>
      <c r="M254" s="170">
        <v>247</v>
      </c>
      <c r="N254" s="164">
        <f>ROUND(F254*('Model Data Inputs'!$E$184*'Model Data Inputs'!$E$185*'Model Data Inputs'!$E$186*'Model Data Inputs'!$E$187),2)</f>
        <v>343.53</v>
      </c>
      <c r="O254" s="171">
        <f t="shared" si="15"/>
        <v>84851.909999999989</v>
      </c>
    </row>
    <row r="255" spans="1:15" x14ac:dyDescent="0.2">
      <c r="A255" s="168">
        <v>248</v>
      </c>
      <c r="B255" s="159">
        <v>1162.6504785002726</v>
      </c>
      <c r="C255" s="169">
        <f t="shared" si="12"/>
        <v>288337.31866806757</v>
      </c>
      <c r="D255" s="153"/>
      <c r="E255" s="170">
        <v>248</v>
      </c>
      <c r="F255" s="162">
        <v>342.8528789621455</v>
      </c>
      <c r="G255" s="171">
        <f t="shared" si="13"/>
        <v>85027.513982612087</v>
      </c>
      <c r="I255" s="168">
        <v>248</v>
      </c>
      <c r="J255" s="167">
        <f>ROUND(B255*('Model Data Inputs'!$E$184*'Model Data Inputs'!$E$185*'Model Data Inputs'!$E$186*'Model Data Inputs'!$E$187),2)</f>
        <v>1162.6500000000001</v>
      </c>
      <c r="K255" s="169">
        <f t="shared" si="14"/>
        <v>288337.2</v>
      </c>
      <c r="L255" s="153"/>
      <c r="M255" s="170">
        <v>248</v>
      </c>
      <c r="N255" s="164">
        <f>ROUND(F255*('Model Data Inputs'!$E$184*'Model Data Inputs'!$E$185*'Model Data Inputs'!$E$186*'Model Data Inputs'!$E$187),2)</f>
        <v>342.85</v>
      </c>
      <c r="O255" s="171">
        <f t="shared" si="15"/>
        <v>85026.8</v>
      </c>
    </row>
    <row r="256" spans="1:15" x14ac:dyDescent="0.2">
      <c r="A256" s="168">
        <v>249</v>
      </c>
      <c r="B256" s="159">
        <v>1160.3852096648711</v>
      </c>
      <c r="C256" s="169">
        <f t="shared" si="12"/>
        <v>288935.91720655293</v>
      </c>
      <c r="D256" s="153"/>
      <c r="E256" s="170">
        <v>249</v>
      </c>
      <c r="F256" s="162">
        <v>342.17329593299053</v>
      </c>
      <c r="G256" s="171">
        <f t="shared" si="13"/>
        <v>85201.150687314643</v>
      </c>
      <c r="I256" s="168">
        <v>249</v>
      </c>
      <c r="J256" s="167">
        <f>ROUND(B256*('Model Data Inputs'!$E$184*'Model Data Inputs'!$E$185*'Model Data Inputs'!$E$186*'Model Data Inputs'!$E$187),2)</f>
        <v>1160.3900000000001</v>
      </c>
      <c r="K256" s="169">
        <f t="shared" si="14"/>
        <v>288937.11000000004</v>
      </c>
      <c r="L256" s="153"/>
      <c r="M256" s="170">
        <v>249</v>
      </c>
      <c r="N256" s="164">
        <f>ROUND(F256*('Model Data Inputs'!$E$184*'Model Data Inputs'!$E$185*'Model Data Inputs'!$E$186*'Model Data Inputs'!$E$187),2)</f>
        <v>342.17</v>
      </c>
      <c r="O256" s="171">
        <f t="shared" si="15"/>
        <v>85200.33</v>
      </c>
    </row>
    <row r="257" spans="1:15" x14ac:dyDescent="0.2">
      <c r="A257" s="168">
        <v>250</v>
      </c>
      <c r="B257" s="159">
        <v>1158.1199408294701</v>
      </c>
      <c r="C257" s="169">
        <f t="shared" si="12"/>
        <v>289529.98520736751</v>
      </c>
      <c r="D257" s="153"/>
      <c r="E257" s="170">
        <v>250</v>
      </c>
      <c r="F257" s="162">
        <v>341.49371290383561</v>
      </c>
      <c r="G257" s="171">
        <f t="shared" si="13"/>
        <v>85373.428225958909</v>
      </c>
      <c r="I257" s="168">
        <v>250</v>
      </c>
      <c r="J257" s="167">
        <f>ROUND(B257*('Model Data Inputs'!$E$184*'Model Data Inputs'!$E$185*'Model Data Inputs'!$E$186*'Model Data Inputs'!$E$187),2)</f>
        <v>1158.1199999999999</v>
      </c>
      <c r="K257" s="169">
        <f t="shared" si="14"/>
        <v>289530</v>
      </c>
      <c r="L257" s="153"/>
      <c r="M257" s="170">
        <v>250</v>
      </c>
      <c r="N257" s="164">
        <f>ROUND(F257*('Model Data Inputs'!$E$184*'Model Data Inputs'!$E$185*'Model Data Inputs'!$E$186*'Model Data Inputs'!$E$187),2)</f>
        <v>341.49</v>
      </c>
      <c r="O257" s="171">
        <f t="shared" si="15"/>
        <v>85372.5</v>
      </c>
    </row>
    <row r="258" spans="1:15" x14ac:dyDescent="0.2">
      <c r="A258" s="168">
        <v>251</v>
      </c>
      <c r="B258" s="159">
        <v>1155.8546719940691</v>
      </c>
      <c r="C258" s="169">
        <f t="shared" si="12"/>
        <v>290119.52267051133</v>
      </c>
      <c r="D258" s="153"/>
      <c r="E258" s="170">
        <v>251</v>
      </c>
      <c r="F258" s="162">
        <v>340.81412987468053</v>
      </c>
      <c r="G258" s="171">
        <f t="shared" si="13"/>
        <v>85544.346598544813</v>
      </c>
      <c r="I258" s="168">
        <v>251</v>
      </c>
      <c r="J258" s="167">
        <f>ROUND(B258*('Model Data Inputs'!$E$184*'Model Data Inputs'!$E$185*'Model Data Inputs'!$E$186*'Model Data Inputs'!$E$187),2)</f>
        <v>1155.8499999999999</v>
      </c>
      <c r="K258" s="169">
        <f t="shared" si="14"/>
        <v>290118.34999999998</v>
      </c>
      <c r="L258" s="153"/>
      <c r="M258" s="170">
        <v>251</v>
      </c>
      <c r="N258" s="164">
        <f>ROUND(F258*('Model Data Inputs'!$E$184*'Model Data Inputs'!$E$185*'Model Data Inputs'!$E$186*'Model Data Inputs'!$E$187),2)</f>
        <v>340.81</v>
      </c>
      <c r="O258" s="171">
        <f t="shared" si="15"/>
        <v>85543.31</v>
      </c>
    </row>
    <row r="259" spans="1:15" x14ac:dyDescent="0.2">
      <c r="A259" s="168">
        <v>252</v>
      </c>
      <c r="B259" s="159">
        <v>1153.5894031586681</v>
      </c>
      <c r="C259" s="169">
        <f t="shared" si="12"/>
        <v>290704.52959598438</v>
      </c>
      <c r="D259" s="153"/>
      <c r="E259" s="170">
        <v>252</v>
      </c>
      <c r="F259" s="162">
        <v>340.13454684552556</v>
      </c>
      <c r="G259" s="171">
        <f t="shared" si="13"/>
        <v>85713.905805072442</v>
      </c>
      <c r="I259" s="168">
        <v>252</v>
      </c>
      <c r="J259" s="167">
        <f>ROUND(B259*('Model Data Inputs'!$E$184*'Model Data Inputs'!$E$185*'Model Data Inputs'!$E$186*'Model Data Inputs'!$E$187),2)</f>
        <v>1153.5899999999999</v>
      </c>
      <c r="K259" s="169">
        <f t="shared" si="14"/>
        <v>290704.68</v>
      </c>
      <c r="L259" s="153"/>
      <c r="M259" s="170">
        <v>252</v>
      </c>
      <c r="N259" s="164">
        <f>ROUND(F259*('Model Data Inputs'!$E$184*'Model Data Inputs'!$E$185*'Model Data Inputs'!$E$186*'Model Data Inputs'!$E$187),2)</f>
        <v>340.13</v>
      </c>
      <c r="O259" s="171">
        <f t="shared" si="15"/>
        <v>85712.76</v>
      </c>
    </row>
    <row r="260" spans="1:15" x14ac:dyDescent="0.2">
      <c r="A260" s="168">
        <v>253</v>
      </c>
      <c r="B260" s="159">
        <v>1151.3241343232671</v>
      </c>
      <c r="C260" s="169">
        <f t="shared" si="12"/>
        <v>291285.0059837866</v>
      </c>
      <c r="D260" s="153"/>
      <c r="E260" s="170">
        <v>253</v>
      </c>
      <c r="F260" s="162">
        <v>339.45496381637048</v>
      </c>
      <c r="G260" s="171">
        <f t="shared" si="13"/>
        <v>85882.105845541737</v>
      </c>
      <c r="I260" s="168">
        <v>253</v>
      </c>
      <c r="J260" s="167">
        <f>ROUND(B260*('Model Data Inputs'!$E$184*'Model Data Inputs'!$E$185*'Model Data Inputs'!$E$186*'Model Data Inputs'!$E$187),2)</f>
        <v>1151.32</v>
      </c>
      <c r="K260" s="169">
        <f t="shared" si="14"/>
        <v>291283.95999999996</v>
      </c>
      <c r="L260" s="153"/>
      <c r="M260" s="170">
        <v>253</v>
      </c>
      <c r="N260" s="164">
        <f>ROUND(F260*('Model Data Inputs'!$E$184*'Model Data Inputs'!$E$185*'Model Data Inputs'!$E$186*'Model Data Inputs'!$E$187),2)</f>
        <v>339.45</v>
      </c>
      <c r="O260" s="171">
        <f t="shared" si="15"/>
        <v>85880.849999999991</v>
      </c>
    </row>
    <row r="261" spans="1:15" x14ac:dyDescent="0.2">
      <c r="A261" s="168">
        <v>254</v>
      </c>
      <c r="B261" s="159">
        <v>1149.0588654878659</v>
      </c>
      <c r="C261" s="169">
        <f t="shared" si="12"/>
        <v>291860.95183391793</v>
      </c>
      <c r="D261" s="153"/>
      <c r="E261" s="170">
        <v>254</v>
      </c>
      <c r="F261" s="162">
        <v>338.77538078721557</v>
      </c>
      <c r="G261" s="171">
        <f t="shared" si="13"/>
        <v>86048.946719952757</v>
      </c>
      <c r="I261" s="168">
        <v>254</v>
      </c>
      <c r="J261" s="167">
        <f>ROUND(B261*('Model Data Inputs'!$E$184*'Model Data Inputs'!$E$185*'Model Data Inputs'!$E$186*'Model Data Inputs'!$E$187),2)</f>
        <v>1149.06</v>
      </c>
      <c r="K261" s="169">
        <f t="shared" si="14"/>
        <v>291861.24</v>
      </c>
      <c r="L261" s="153"/>
      <c r="M261" s="170">
        <v>254</v>
      </c>
      <c r="N261" s="164">
        <f>ROUND(F261*('Model Data Inputs'!$E$184*'Model Data Inputs'!$E$185*'Model Data Inputs'!$E$186*'Model Data Inputs'!$E$187),2)</f>
        <v>338.78</v>
      </c>
      <c r="O261" s="171">
        <f t="shared" si="15"/>
        <v>86050.12</v>
      </c>
    </row>
    <row r="262" spans="1:15" x14ac:dyDescent="0.2">
      <c r="A262" s="168">
        <v>255</v>
      </c>
      <c r="B262" s="159">
        <v>1146.7935966524647</v>
      </c>
      <c r="C262" s="169">
        <f t="shared" si="12"/>
        <v>292432.3671463785</v>
      </c>
      <c r="D262" s="153"/>
      <c r="E262" s="170">
        <v>255</v>
      </c>
      <c r="F262" s="162">
        <v>338.0957977580606</v>
      </c>
      <c r="G262" s="171">
        <f t="shared" si="13"/>
        <v>86214.428428305459</v>
      </c>
      <c r="I262" s="168">
        <v>255</v>
      </c>
      <c r="J262" s="167">
        <f>ROUND(B262*('Model Data Inputs'!$E$184*'Model Data Inputs'!$E$185*'Model Data Inputs'!$E$186*'Model Data Inputs'!$E$187),2)</f>
        <v>1146.79</v>
      </c>
      <c r="K262" s="169">
        <f t="shared" si="14"/>
        <v>292431.45</v>
      </c>
      <c r="L262" s="153"/>
      <c r="M262" s="170">
        <v>255</v>
      </c>
      <c r="N262" s="164">
        <f>ROUND(F262*('Model Data Inputs'!$E$184*'Model Data Inputs'!$E$185*'Model Data Inputs'!$E$186*'Model Data Inputs'!$E$187),2)</f>
        <v>338.1</v>
      </c>
      <c r="O262" s="171">
        <f t="shared" si="15"/>
        <v>86215.5</v>
      </c>
    </row>
    <row r="263" spans="1:15" x14ac:dyDescent="0.2">
      <c r="A263" s="168">
        <v>256</v>
      </c>
      <c r="B263" s="159">
        <v>1144.5283278170639</v>
      </c>
      <c r="C263" s="169">
        <f t="shared" si="12"/>
        <v>292999.25192116835</v>
      </c>
      <c r="D263" s="153"/>
      <c r="E263" s="170">
        <v>256</v>
      </c>
      <c r="F263" s="162">
        <v>337.41621472890563</v>
      </c>
      <c r="G263" s="171">
        <f t="shared" si="13"/>
        <v>86378.550970599841</v>
      </c>
      <c r="I263" s="168">
        <v>256</v>
      </c>
      <c r="J263" s="167">
        <f>ROUND(B263*('Model Data Inputs'!$E$184*'Model Data Inputs'!$E$185*'Model Data Inputs'!$E$186*'Model Data Inputs'!$E$187),2)</f>
        <v>1144.53</v>
      </c>
      <c r="K263" s="169">
        <f t="shared" si="14"/>
        <v>292999.67999999999</v>
      </c>
      <c r="L263" s="153"/>
      <c r="M263" s="170">
        <v>256</v>
      </c>
      <c r="N263" s="164">
        <f>ROUND(F263*('Model Data Inputs'!$E$184*'Model Data Inputs'!$E$185*'Model Data Inputs'!$E$186*'Model Data Inputs'!$E$187),2)</f>
        <v>337.42</v>
      </c>
      <c r="O263" s="171">
        <f t="shared" si="15"/>
        <v>86379.520000000004</v>
      </c>
    </row>
    <row r="264" spans="1:15" x14ac:dyDescent="0.2">
      <c r="A264" s="168">
        <v>257</v>
      </c>
      <c r="B264" s="159">
        <v>1142.2630589816631</v>
      </c>
      <c r="C264" s="169">
        <f t="shared" ref="C264:C327" si="16">A264*B264</f>
        <v>293561.60615828744</v>
      </c>
      <c r="D264" s="153"/>
      <c r="E264" s="170">
        <v>257</v>
      </c>
      <c r="F264" s="162">
        <v>336.73663169975055</v>
      </c>
      <c r="G264" s="171">
        <f t="shared" ref="G264:G327" si="17">E264*F264</f>
        <v>86541.31434683589</v>
      </c>
      <c r="I264" s="168">
        <v>257</v>
      </c>
      <c r="J264" s="167">
        <f>ROUND(B264*('Model Data Inputs'!$E$184*'Model Data Inputs'!$E$185*'Model Data Inputs'!$E$186*'Model Data Inputs'!$E$187),2)</f>
        <v>1142.26</v>
      </c>
      <c r="K264" s="169">
        <f t="shared" ref="K264:K327" si="18">I264*J264</f>
        <v>293560.82</v>
      </c>
      <c r="L264" s="153"/>
      <c r="M264" s="170">
        <v>257</v>
      </c>
      <c r="N264" s="164">
        <f>ROUND(F264*('Model Data Inputs'!$E$184*'Model Data Inputs'!$E$185*'Model Data Inputs'!$E$186*'Model Data Inputs'!$E$187),2)</f>
        <v>336.74</v>
      </c>
      <c r="O264" s="171">
        <f t="shared" ref="O264:O327" si="19">M264*N264</f>
        <v>86542.180000000008</v>
      </c>
    </row>
    <row r="265" spans="1:15" x14ac:dyDescent="0.2">
      <c r="A265" s="168">
        <v>258</v>
      </c>
      <c r="B265" s="159">
        <v>1139.9977901462617</v>
      </c>
      <c r="C265" s="169">
        <f t="shared" si="16"/>
        <v>294119.42985773552</v>
      </c>
      <c r="D265" s="153"/>
      <c r="E265" s="170">
        <v>258</v>
      </c>
      <c r="F265" s="162">
        <v>336.05704867059563</v>
      </c>
      <c r="G265" s="171">
        <f t="shared" si="17"/>
        <v>86702.718557013679</v>
      </c>
      <c r="I265" s="168">
        <v>258</v>
      </c>
      <c r="J265" s="167">
        <f>ROUND(B265*('Model Data Inputs'!$E$184*'Model Data Inputs'!$E$185*'Model Data Inputs'!$E$186*'Model Data Inputs'!$E$187),2)</f>
        <v>1140</v>
      </c>
      <c r="K265" s="169">
        <f t="shared" si="18"/>
        <v>294120</v>
      </c>
      <c r="L265" s="153"/>
      <c r="M265" s="170">
        <v>258</v>
      </c>
      <c r="N265" s="164">
        <f>ROUND(F265*('Model Data Inputs'!$E$184*'Model Data Inputs'!$E$185*'Model Data Inputs'!$E$186*'Model Data Inputs'!$E$187),2)</f>
        <v>336.06</v>
      </c>
      <c r="O265" s="171">
        <f t="shared" si="19"/>
        <v>86703.48</v>
      </c>
    </row>
    <row r="266" spans="1:15" x14ac:dyDescent="0.2">
      <c r="A266" s="168">
        <v>259</v>
      </c>
      <c r="B266" s="159">
        <v>1137.7325213108606</v>
      </c>
      <c r="C266" s="169">
        <f t="shared" si="16"/>
        <v>294672.72301951289</v>
      </c>
      <c r="D266" s="153"/>
      <c r="E266" s="170">
        <v>259</v>
      </c>
      <c r="F266" s="162">
        <v>335.37746564144072</v>
      </c>
      <c r="G266" s="171">
        <f t="shared" si="17"/>
        <v>86862.763601133149</v>
      </c>
      <c r="I266" s="168">
        <v>259</v>
      </c>
      <c r="J266" s="167">
        <f>ROUND(B266*('Model Data Inputs'!$E$184*'Model Data Inputs'!$E$185*'Model Data Inputs'!$E$186*'Model Data Inputs'!$E$187),2)</f>
        <v>1137.73</v>
      </c>
      <c r="K266" s="169">
        <f t="shared" si="18"/>
        <v>294672.07</v>
      </c>
      <c r="L266" s="153"/>
      <c r="M266" s="170">
        <v>259</v>
      </c>
      <c r="N266" s="164">
        <f>ROUND(F266*('Model Data Inputs'!$E$184*'Model Data Inputs'!$E$185*'Model Data Inputs'!$E$186*'Model Data Inputs'!$E$187),2)</f>
        <v>335.38</v>
      </c>
      <c r="O266" s="171">
        <f t="shared" si="19"/>
        <v>86863.42</v>
      </c>
    </row>
    <row r="267" spans="1:15" x14ac:dyDescent="0.2">
      <c r="A267" s="168">
        <v>260</v>
      </c>
      <c r="B267" s="159">
        <v>1135.4672524754596</v>
      </c>
      <c r="C267" s="169">
        <f t="shared" si="16"/>
        <v>295221.4856436195</v>
      </c>
      <c r="D267" s="153"/>
      <c r="E267" s="170">
        <v>260</v>
      </c>
      <c r="F267" s="162">
        <v>334.6978826122857</v>
      </c>
      <c r="G267" s="171">
        <f t="shared" si="17"/>
        <v>87021.449479194285</v>
      </c>
      <c r="I267" s="168">
        <v>260</v>
      </c>
      <c r="J267" s="167">
        <f>ROUND(B267*('Model Data Inputs'!$E$184*'Model Data Inputs'!$E$185*'Model Data Inputs'!$E$186*'Model Data Inputs'!$E$187),2)</f>
        <v>1135.47</v>
      </c>
      <c r="K267" s="169">
        <f t="shared" si="18"/>
        <v>295222.2</v>
      </c>
      <c r="L267" s="153"/>
      <c r="M267" s="170">
        <v>260</v>
      </c>
      <c r="N267" s="164">
        <f>ROUND(F267*('Model Data Inputs'!$E$184*'Model Data Inputs'!$E$185*'Model Data Inputs'!$E$186*'Model Data Inputs'!$E$187),2)</f>
        <v>334.7</v>
      </c>
      <c r="O267" s="171">
        <f t="shared" si="19"/>
        <v>87022</v>
      </c>
    </row>
    <row r="268" spans="1:15" x14ac:dyDescent="0.2">
      <c r="A268" s="168">
        <v>261</v>
      </c>
      <c r="B268" s="159">
        <v>1133.2019836400586</v>
      </c>
      <c r="C268" s="169">
        <f t="shared" si="16"/>
        <v>295765.71773005533</v>
      </c>
      <c r="D268" s="153"/>
      <c r="E268" s="170">
        <v>261</v>
      </c>
      <c r="F268" s="162">
        <v>334.01829958313073</v>
      </c>
      <c r="G268" s="171">
        <f t="shared" si="17"/>
        <v>87178.776191197117</v>
      </c>
      <c r="I268" s="168">
        <v>261</v>
      </c>
      <c r="J268" s="167">
        <f>ROUND(B268*('Model Data Inputs'!$E$184*'Model Data Inputs'!$E$185*'Model Data Inputs'!$E$186*'Model Data Inputs'!$E$187),2)</f>
        <v>1133.2</v>
      </c>
      <c r="K268" s="169">
        <f t="shared" si="18"/>
        <v>295765.2</v>
      </c>
      <c r="L268" s="153"/>
      <c r="M268" s="170">
        <v>261</v>
      </c>
      <c r="N268" s="164">
        <f>ROUND(F268*('Model Data Inputs'!$E$184*'Model Data Inputs'!$E$185*'Model Data Inputs'!$E$186*'Model Data Inputs'!$E$187),2)</f>
        <v>334.02</v>
      </c>
      <c r="O268" s="171">
        <f t="shared" si="19"/>
        <v>87179.22</v>
      </c>
    </row>
    <row r="269" spans="1:15" x14ac:dyDescent="0.2">
      <c r="A269" s="168">
        <v>262</v>
      </c>
      <c r="B269" s="159">
        <v>1130.9367148046576</v>
      </c>
      <c r="C269" s="169">
        <f t="shared" si="16"/>
        <v>296305.41927882028</v>
      </c>
      <c r="D269" s="153"/>
      <c r="E269" s="170">
        <v>262</v>
      </c>
      <c r="F269" s="162">
        <v>333.33871655397564</v>
      </c>
      <c r="G269" s="171">
        <f t="shared" si="17"/>
        <v>87334.743737141616</v>
      </c>
      <c r="I269" s="168">
        <v>262</v>
      </c>
      <c r="J269" s="167">
        <f>ROUND(B269*('Model Data Inputs'!$E$184*'Model Data Inputs'!$E$185*'Model Data Inputs'!$E$186*'Model Data Inputs'!$E$187),2)</f>
        <v>1130.94</v>
      </c>
      <c r="K269" s="169">
        <f t="shared" si="18"/>
        <v>296306.28000000003</v>
      </c>
      <c r="L269" s="153"/>
      <c r="M269" s="170">
        <v>262</v>
      </c>
      <c r="N269" s="164">
        <f>ROUND(F269*('Model Data Inputs'!$E$184*'Model Data Inputs'!$E$185*'Model Data Inputs'!$E$186*'Model Data Inputs'!$E$187),2)</f>
        <v>333.34</v>
      </c>
      <c r="O269" s="171">
        <f t="shared" si="19"/>
        <v>87335.079999999987</v>
      </c>
    </row>
    <row r="270" spans="1:15" x14ac:dyDescent="0.2">
      <c r="A270" s="168">
        <v>263</v>
      </c>
      <c r="B270" s="159">
        <v>1128.6714459692569</v>
      </c>
      <c r="C270" s="169">
        <f t="shared" si="16"/>
        <v>296840.59028991457</v>
      </c>
      <c r="D270" s="153"/>
      <c r="E270" s="170">
        <v>263</v>
      </c>
      <c r="F270" s="162">
        <v>332.65913352482067</v>
      </c>
      <c r="G270" s="171">
        <f t="shared" si="17"/>
        <v>87489.35211702784</v>
      </c>
      <c r="I270" s="168">
        <v>263</v>
      </c>
      <c r="J270" s="167">
        <f>ROUND(B270*('Model Data Inputs'!$E$184*'Model Data Inputs'!$E$185*'Model Data Inputs'!$E$186*'Model Data Inputs'!$E$187),2)</f>
        <v>1128.67</v>
      </c>
      <c r="K270" s="169">
        <f t="shared" si="18"/>
        <v>296840.21000000002</v>
      </c>
      <c r="L270" s="153"/>
      <c r="M270" s="170">
        <v>263</v>
      </c>
      <c r="N270" s="164">
        <f>ROUND(F270*('Model Data Inputs'!$E$184*'Model Data Inputs'!$E$185*'Model Data Inputs'!$E$186*'Model Data Inputs'!$E$187),2)</f>
        <v>332.66</v>
      </c>
      <c r="O270" s="171">
        <f t="shared" si="19"/>
        <v>87489.58</v>
      </c>
    </row>
    <row r="271" spans="1:15" x14ac:dyDescent="0.2">
      <c r="A271" s="168">
        <v>264</v>
      </c>
      <c r="B271" s="159">
        <v>1126.4061771338556</v>
      </c>
      <c r="C271" s="169">
        <f t="shared" si="16"/>
        <v>297371.23076333787</v>
      </c>
      <c r="D271" s="153"/>
      <c r="E271" s="170">
        <v>264</v>
      </c>
      <c r="F271" s="162">
        <v>331.97955049566571</v>
      </c>
      <c r="G271" s="171">
        <f t="shared" si="17"/>
        <v>87642.601330855745</v>
      </c>
      <c r="I271" s="168">
        <v>264</v>
      </c>
      <c r="J271" s="167">
        <f>ROUND(B271*('Model Data Inputs'!$E$184*'Model Data Inputs'!$E$185*'Model Data Inputs'!$E$186*'Model Data Inputs'!$E$187),2)</f>
        <v>1126.4100000000001</v>
      </c>
      <c r="K271" s="169">
        <f t="shared" si="18"/>
        <v>297372.24000000005</v>
      </c>
      <c r="L271" s="153"/>
      <c r="M271" s="170">
        <v>264</v>
      </c>
      <c r="N271" s="164">
        <f>ROUND(F271*('Model Data Inputs'!$E$184*'Model Data Inputs'!$E$185*'Model Data Inputs'!$E$186*'Model Data Inputs'!$E$187),2)</f>
        <v>331.98</v>
      </c>
      <c r="O271" s="171">
        <f t="shared" si="19"/>
        <v>87642.72</v>
      </c>
    </row>
    <row r="272" spans="1:15" x14ac:dyDescent="0.2">
      <c r="A272" s="168">
        <v>265</v>
      </c>
      <c r="B272" s="159">
        <v>1124.1409082984546</v>
      </c>
      <c r="C272" s="169">
        <f t="shared" si="16"/>
        <v>297897.34069909051</v>
      </c>
      <c r="D272" s="153"/>
      <c r="E272" s="170">
        <v>265</v>
      </c>
      <c r="F272" s="162">
        <v>331.29996746651074</v>
      </c>
      <c r="G272" s="171">
        <f t="shared" si="17"/>
        <v>87794.491378625346</v>
      </c>
      <c r="I272" s="168">
        <v>265</v>
      </c>
      <c r="J272" s="167">
        <f>ROUND(B272*('Model Data Inputs'!$E$184*'Model Data Inputs'!$E$185*'Model Data Inputs'!$E$186*'Model Data Inputs'!$E$187),2)</f>
        <v>1124.1400000000001</v>
      </c>
      <c r="K272" s="169">
        <f t="shared" si="18"/>
        <v>297897.10000000003</v>
      </c>
      <c r="L272" s="153"/>
      <c r="M272" s="170">
        <v>265</v>
      </c>
      <c r="N272" s="164">
        <f>ROUND(F272*('Model Data Inputs'!$E$184*'Model Data Inputs'!$E$185*'Model Data Inputs'!$E$186*'Model Data Inputs'!$E$187),2)</f>
        <v>331.3</v>
      </c>
      <c r="O272" s="171">
        <f t="shared" si="19"/>
        <v>87794.5</v>
      </c>
    </row>
    <row r="273" spans="1:15" x14ac:dyDescent="0.2">
      <c r="A273" s="168">
        <v>266</v>
      </c>
      <c r="B273" s="159">
        <v>1121.8756394630536</v>
      </c>
      <c r="C273" s="169">
        <f t="shared" si="16"/>
        <v>298418.92009717226</v>
      </c>
      <c r="D273" s="153"/>
      <c r="E273" s="170">
        <v>266</v>
      </c>
      <c r="F273" s="162">
        <v>330.62038443735577</v>
      </c>
      <c r="G273" s="171">
        <f t="shared" si="17"/>
        <v>87945.022260336627</v>
      </c>
      <c r="I273" s="168">
        <v>266</v>
      </c>
      <c r="J273" s="167">
        <f>ROUND(B273*('Model Data Inputs'!$E$184*'Model Data Inputs'!$E$185*'Model Data Inputs'!$E$186*'Model Data Inputs'!$E$187),2)</f>
        <v>1121.8800000000001</v>
      </c>
      <c r="K273" s="169">
        <f t="shared" si="18"/>
        <v>298420.08</v>
      </c>
      <c r="L273" s="153"/>
      <c r="M273" s="170">
        <v>266</v>
      </c>
      <c r="N273" s="164">
        <f>ROUND(F273*('Model Data Inputs'!$E$184*'Model Data Inputs'!$E$185*'Model Data Inputs'!$E$186*'Model Data Inputs'!$E$187),2)</f>
        <v>330.62</v>
      </c>
      <c r="O273" s="171">
        <f t="shared" si="19"/>
        <v>87944.92</v>
      </c>
    </row>
    <row r="274" spans="1:15" x14ac:dyDescent="0.2">
      <c r="A274" s="168">
        <v>267</v>
      </c>
      <c r="B274" s="159">
        <v>1119.6103706276524</v>
      </c>
      <c r="C274" s="169">
        <f t="shared" si="16"/>
        <v>298935.96895758319</v>
      </c>
      <c r="D274" s="153"/>
      <c r="E274" s="170">
        <v>267</v>
      </c>
      <c r="F274" s="162">
        <v>329.94080140820074</v>
      </c>
      <c r="G274" s="171">
        <f t="shared" si="17"/>
        <v>88094.193975989605</v>
      </c>
      <c r="I274" s="168">
        <v>267</v>
      </c>
      <c r="J274" s="167">
        <f>ROUND(B274*('Model Data Inputs'!$E$184*'Model Data Inputs'!$E$185*'Model Data Inputs'!$E$186*'Model Data Inputs'!$E$187),2)</f>
        <v>1119.6099999999999</v>
      </c>
      <c r="K274" s="169">
        <f t="shared" si="18"/>
        <v>298935.87</v>
      </c>
      <c r="L274" s="153"/>
      <c r="M274" s="170">
        <v>267</v>
      </c>
      <c r="N274" s="164">
        <f>ROUND(F274*('Model Data Inputs'!$E$184*'Model Data Inputs'!$E$185*'Model Data Inputs'!$E$186*'Model Data Inputs'!$E$187),2)</f>
        <v>329.94</v>
      </c>
      <c r="O274" s="171">
        <f t="shared" si="19"/>
        <v>88093.98</v>
      </c>
    </row>
    <row r="275" spans="1:15" x14ac:dyDescent="0.2">
      <c r="A275" s="168">
        <v>268</v>
      </c>
      <c r="B275" s="159">
        <v>1117.3451017922512</v>
      </c>
      <c r="C275" s="169">
        <f t="shared" si="16"/>
        <v>299448.48728032329</v>
      </c>
      <c r="D275" s="153"/>
      <c r="E275" s="170">
        <v>268</v>
      </c>
      <c r="F275" s="162">
        <v>329.26121837904583</v>
      </c>
      <c r="G275" s="171">
        <f t="shared" si="17"/>
        <v>88242.006525584278</v>
      </c>
      <c r="I275" s="168">
        <v>268</v>
      </c>
      <c r="J275" s="167">
        <f>ROUND(B275*('Model Data Inputs'!$E$184*'Model Data Inputs'!$E$185*'Model Data Inputs'!$E$186*'Model Data Inputs'!$E$187),2)</f>
        <v>1117.3499999999999</v>
      </c>
      <c r="K275" s="169">
        <f t="shared" si="18"/>
        <v>299449.8</v>
      </c>
      <c r="L275" s="153"/>
      <c r="M275" s="170">
        <v>268</v>
      </c>
      <c r="N275" s="164">
        <f>ROUND(F275*('Model Data Inputs'!$E$184*'Model Data Inputs'!$E$185*'Model Data Inputs'!$E$186*'Model Data Inputs'!$E$187),2)</f>
        <v>329.26</v>
      </c>
      <c r="O275" s="171">
        <f t="shared" si="19"/>
        <v>88241.68</v>
      </c>
    </row>
    <row r="276" spans="1:15" x14ac:dyDescent="0.2">
      <c r="A276" s="168">
        <v>269</v>
      </c>
      <c r="B276" s="159">
        <v>1115.0798329568506</v>
      </c>
      <c r="C276" s="169">
        <f t="shared" si="16"/>
        <v>299956.47506539279</v>
      </c>
      <c r="D276" s="153"/>
      <c r="E276" s="170">
        <v>269</v>
      </c>
      <c r="F276" s="162">
        <v>328.5816353498908</v>
      </c>
      <c r="G276" s="171">
        <f t="shared" si="17"/>
        <v>88388.459909120633</v>
      </c>
      <c r="I276" s="168">
        <v>269</v>
      </c>
      <c r="J276" s="167">
        <f>ROUND(B276*('Model Data Inputs'!$E$184*'Model Data Inputs'!$E$185*'Model Data Inputs'!$E$186*'Model Data Inputs'!$E$187),2)</f>
        <v>1115.08</v>
      </c>
      <c r="K276" s="169">
        <f t="shared" si="18"/>
        <v>299956.51999999996</v>
      </c>
      <c r="L276" s="153"/>
      <c r="M276" s="170">
        <v>269</v>
      </c>
      <c r="N276" s="164">
        <f>ROUND(F276*('Model Data Inputs'!$E$184*'Model Data Inputs'!$E$185*'Model Data Inputs'!$E$186*'Model Data Inputs'!$E$187),2)</f>
        <v>328.58</v>
      </c>
      <c r="O276" s="171">
        <f t="shared" si="19"/>
        <v>88388.01999999999</v>
      </c>
    </row>
    <row r="277" spans="1:15" x14ac:dyDescent="0.2">
      <c r="A277" s="168">
        <v>270</v>
      </c>
      <c r="B277" s="159">
        <v>1112.8145641214494</v>
      </c>
      <c r="C277" s="169">
        <f t="shared" si="16"/>
        <v>300459.93231279135</v>
      </c>
      <c r="D277" s="153"/>
      <c r="E277" s="170">
        <v>270</v>
      </c>
      <c r="F277" s="162">
        <v>327.90205232073578</v>
      </c>
      <c r="G277" s="171">
        <f t="shared" si="17"/>
        <v>88533.554126598654</v>
      </c>
      <c r="I277" s="168">
        <v>270</v>
      </c>
      <c r="J277" s="167">
        <f>ROUND(B277*('Model Data Inputs'!$E$184*'Model Data Inputs'!$E$185*'Model Data Inputs'!$E$186*'Model Data Inputs'!$E$187),2)</f>
        <v>1112.81</v>
      </c>
      <c r="K277" s="169">
        <f t="shared" si="18"/>
        <v>300458.7</v>
      </c>
      <c r="L277" s="153"/>
      <c r="M277" s="170">
        <v>270</v>
      </c>
      <c r="N277" s="164">
        <f>ROUND(F277*('Model Data Inputs'!$E$184*'Model Data Inputs'!$E$185*'Model Data Inputs'!$E$186*'Model Data Inputs'!$E$187),2)</f>
        <v>327.9</v>
      </c>
      <c r="O277" s="171">
        <f t="shared" si="19"/>
        <v>88533</v>
      </c>
    </row>
    <row r="278" spans="1:15" x14ac:dyDescent="0.2">
      <c r="A278" s="168">
        <v>271</v>
      </c>
      <c r="B278" s="159">
        <v>1110.5492952860482</v>
      </c>
      <c r="C278" s="169">
        <f t="shared" si="16"/>
        <v>300958.85902251903</v>
      </c>
      <c r="D278" s="153"/>
      <c r="E278" s="170">
        <v>271</v>
      </c>
      <c r="F278" s="162">
        <v>327.22246929158081</v>
      </c>
      <c r="G278" s="171">
        <f t="shared" si="17"/>
        <v>88677.2891780184</v>
      </c>
      <c r="I278" s="168">
        <v>271</v>
      </c>
      <c r="J278" s="167">
        <f>ROUND(B278*('Model Data Inputs'!$E$184*'Model Data Inputs'!$E$185*'Model Data Inputs'!$E$186*'Model Data Inputs'!$E$187),2)</f>
        <v>1110.55</v>
      </c>
      <c r="K278" s="169">
        <f t="shared" si="18"/>
        <v>300959.05</v>
      </c>
      <c r="L278" s="153"/>
      <c r="M278" s="170">
        <v>271</v>
      </c>
      <c r="N278" s="164">
        <f>ROUND(F278*('Model Data Inputs'!$E$184*'Model Data Inputs'!$E$185*'Model Data Inputs'!$E$186*'Model Data Inputs'!$E$187),2)</f>
        <v>327.22000000000003</v>
      </c>
      <c r="O278" s="171">
        <f t="shared" si="19"/>
        <v>88676.62000000001</v>
      </c>
    </row>
    <row r="279" spans="1:15" x14ac:dyDescent="0.2">
      <c r="A279" s="168">
        <v>272</v>
      </c>
      <c r="B279" s="159">
        <v>1108.2840264506472</v>
      </c>
      <c r="C279" s="169">
        <f t="shared" si="16"/>
        <v>301453.25519457605</v>
      </c>
      <c r="D279" s="153"/>
      <c r="E279" s="170">
        <v>272</v>
      </c>
      <c r="F279" s="162">
        <v>326.54288626242578</v>
      </c>
      <c r="G279" s="171">
        <f t="shared" si="17"/>
        <v>88819.665063379813</v>
      </c>
      <c r="I279" s="168">
        <v>272</v>
      </c>
      <c r="J279" s="167">
        <f>ROUND(B279*('Model Data Inputs'!$E$184*'Model Data Inputs'!$E$185*'Model Data Inputs'!$E$186*'Model Data Inputs'!$E$187),2)</f>
        <v>1108.28</v>
      </c>
      <c r="K279" s="169">
        <f t="shared" si="18"/>
        <v>301452.15999999997</v>
      </c>
      <c r="L279" s="153"/>
      <c r="M279" s="170">
        <v>272</v>
      </c>
      <c r="N279" s="164">
        <f>ROUND(F279*('Model Data Inputs'!$E$184*'Model Data Inputs'!$E$185*'Model Data Inputs'!$E$186*'Model Data Inputs'!$E$187),2)</f>
        <v>326.54000000000002</v>
      </c>
      <c r="O279" s="171">
        <f t="shared" si="19"/>
        <v>88818.880000000005</v>
      </c>
    </row>
    <row r="280" spans="1:15" x14ac:dyDescent="0.2">
      <c r="A280" s="168">
        <v>273</v>
      </c>
      <c r="B280" s="159">
        <v>1106.0187576152459</v>
      </c>
      <c r="C280" s="169">
        <f t="shared" si="16"/>
        <v>301943.12082896213</v>
      </c>
      <c r="D280" s="153"/>
      <c r="E280" s="170">
        <v>273</v>
      </c>
      <c r="F280" s="162">
        <v>325.8633032332707</v>
      </c>
      <c r="G280" s="171">
        <f t="shared" si="17"/>
        <v>88960.681782682906</v>
      </c>
      <c r="I280" s="168">
        <v>273</v>
      </c>
      <c r="J280" s="167">
        <f>ROUND(B280*('Model Data Inputs'!$E$184*'Model Data Inputs'!$E$185*'Model Data Inputs'!$E$186*'Model Data Inputs'!$E$187),2)</f>
        <v>1106.02</v>
      </c>
      <c r="K280" s="169">
        <f t="shared" si="18"/>
        <v>301943.46000000002</v>
      </c>
      <c r="L280" s="153"/>
      <c r="M280" s="170">
        <v>273</v>
      </c>
      <c r="N280" s="164">
        <f>ROUND(F280*('Model Data Inputs'!$E$184*'Model Data Inputs'!$E$185*'Model Data Inputs'!$E$186*'Model Data Inputs'!$E$187),2)</f>
        <v>325.86</v>
      </c>
      <c r="O280" s="171">
        <f t="shared" si="19"/>
        <v>88959.78</v>
      </c>
    </row>
    <row r="281" spans="1:15" x14ac:dyDescent="0.2">
      <c r="A281" s="168">
        <v>274</v>
      </c>
      <c r="B281" s="159">
        <v>1103.7534887798452</v>
      </c>
      <c r="C281" s="169">
        <f t="shared" si="16"/>
        <v>302428.45592567755</v>
      </c>
      <c r="D281" s="153"/>
      <c r="E281" s="170">
        <v>274</v>
      </c>
      <c r="F281" s="162">
        <v>325.18372020411579</v>
      </c>
      <c r="G281" s="171">
        <f t="shared" si="17"/>
        <v>89100.339335927725</v>
      </c>
      <c r="I281" s="168">
        <v>274</v>
      </c>
      <c r="J281" s="167">
        <f>ROUND(B281*('Model Data Inputs'!$E$184*'Model Data Inputs'!$E$185*'Model Data Inputs'!$E$186*'Model Data Inputs'!$E$187),2)</f>
        <v>1103.75</v>
      </c>
      <c r="K281" s="169">
        <f t="shared" si="18"/>
        <v>302427.5</v>
      </c>
      <c r="L281" s="153"/>
      <c r="M281" s="170">
        <v>274</v>
      </c>
      <c r="N281" s="164">
        <f>ROUND(F281*('Model Data Inputs'!$E$184*'Model Data Inputs'!$E$185*'Model Data Inputs'!$E$186*'Model Data Inputs'!$E$187),2)</f>
        <v>325.18</v>
      </c>
      <c r="O281" s="171">
        <f t="shared" si="19"/>
        <v>89099.32</v>
      </c>
    </row>
    <row r="282" spans="1:15" x14ac:dyDescent="0.2">
      <c r="A282" s="168">
        <v>275</v>
      </c>
      <c r="B282" s="159">
        <v>1101.4882199444444</v>
      </c>
      <c r="C282" s="169">
        <f t="shared" si="16"/>
        <v>302909.26048472221</v>
      </c>
      <c r="D282" s="153"/>
      <c r="E282" s="170">
        <v>275</v>
      </c>
      <c r="F282" s="162">
        <v>324.50413717496076</v>
      </c>
      <c r="G282" s="171">
        <f t="shared" si="17"/>
        <v>89238.637723114211</v>
      </c>
      <c r="I282" s="168">
        <v>275</v>
      </c>
      <c r="J282" s="167">
        <f>ROUND(B282*('Model Data Inputs'!$E$184*'Model Data Inputs'!$E$185*'Model Data Inputs'!$E$186*'Model Data Inputs'!$E$187),2)</f>
        <v>1101.49</v>
      </c>
      <c r="K282" s="169">
        <f t="shared" si="18"/>
        <v>302909.75</v>
      </c>
      <c r="L282" s="153"/>
      <c r="M282" s="170">
        <v>275</v>
      </c>
      <c r="N282" s="164">
        <f>ROUND(F282*('Model Data Inputs'!$E$184*'Model Data Inputs'!$E$185*'Model Data Inputs'!$E$186*'Model Data Inputs'!$E$187),2)</f>
        <v>324.5</v>
      </c>
      <c r="O282" s="171">
        <f t="shared" si="19"/>
        <v>89237.5</v>
      </c>
    </row>
    <row r="283" spans="1:15" x14ac:dyDescent="0.2">
      <c r="A283" s="168">
        <v>276</v>
      </c>
      <c r="B283" s="159">
        <v>1099.2229511090432</v>
      </c>
      <c r="C283" s="169">
        <f t="shared" si="16"/>
        <v>303385.53450609592</v>
      </c>
      <c r="D283" s="153"/>
      <c r="E283" s="170">
        <v>276</v>
      </c>
      <c r="F283" s="162">
        <v>323.82455414580579</v>
      </c>
      <c r="G283" s="171">
        <f t="shared" si="17"/>
        <v>89375.576944242392</v>
      </c>
      <c r="I283" s="168">
        <v>276</v>
      </c>
      <c r="J283" s="167">
        <f>ROUND(B283*('Model Data Inputs'!$E$184*'Model Data Inputs'!$E$185*'Model Data Inputs'!$E$186*'Model Data Inputs'!$E$187),2)</f>
        <v>1099.22</v>
      </c>
      <c r="K283" s="169">
        <f t="shared" si="18"/>
        <v>303384.72000000003</v>
      </c>
      <c r="L283" s="153"/>
      <c r="M283" s="170">
        <v>276</v>
      </c>
      <c r="N283" s="164">
        <f>ROUND(F283*('Model Data Inputs'!$E$184*'Model Data Inputs'!$E$185*'Model Data Inputs'!$E$186*'Model Data Inputs'!$E$187),2)</f>
        <v>323.82</v>
      </c>
      <c r="O283" s="171">
        <f t="shared" si="19"/>
        <v>89374.319999999992</v>
      </c>
    </row>
    <row r="284" spans="1:15" x14ac:dyDescent="0.2">
      <c r="A284" s="168">
        <v>277</v>
      </c>
      <c r="B284" s="159">
        <v>1096.9576822736421</v>
      </c>
      <c r="C284" s="169">
        <f t="shared" si="16"/>
        <v>303857.27798979887</v>
      </c>
      <c r="D284" s="153"/>
      <c r="E284" s="170">
        <v>277</v>
      </c>
      <c r="F284" s="162">
        <v>323.14497111665082</v>
      </c>
      <c r="G284" s="171">
        <f t="shared" si="17"/>
        <v>89511.156999312283</v>
      </c>
      <c r="I284" s="168">
        <v>277</v>
      </c>
      <c r="J284" s="167">
        <f>ROUND(B284*('Model Data Inputs'!$E$184*'Model Data Inputs'!$E$185*'Model Data Inputs'!$E$186*'Model Data Inputs'!$E$187),2)</f>
        <v>1096.96</v>
      </c>
      <c r="K284" s="169">
        <f t="shared" si="18"/>
        <v>303857.91999999998</v>
      </c>
      <c r="L284" s="153"/>
      <c r="M284" s="170">
        <v>277</v>
      </c>
      <c r="N284" s="164">
        <f>ROUND(F284*('Model Data Inputs'!$E$184*'Model Data Inputs'!$E$185*'Model Data Inputs'!$E$186*'Model Data Inputs'!$E$187),2)</f>
        <v>323.14</v>
      </c>
      <c r="O284" s="171">
        <f t="shared" si="19"/>
        <v>89509.78</v>
      </c>
    </row>
    <row r="285" spans="1:15" x14ac:dyDescent="0.2">
      <c r="A285" s="168">
        <v>278</v>
      </c>
      <c r="B285" s="159">
        <v>1094.6924134382409</v>
      </c>
      <c r="C285" s="169">
        <f t="shared" si="16"/>
        <v>304324.49093583098</v>
      </c>
      <c r="D285" s="153"/>
      <c r="E285" s="170">
        <v>278</v>
      </c>
      <c r="F285" s="162">
        <v>322.4653880874958</v>
      </c>
      <c r="G285" s="171">
        <f t="shared" si="17"/>
        <v>89645.377888323826</v>
      </c>
      <c r="I285" s="168">
        <v>278</v>
      </c>
      <c r="J285" s="167">
        <f>ROUND(B285*('Model Data Inputs'!$E$184*'Model Data Inputs'!$E$185*'Model Data Inputs'!$E$186*'Model Data Inputs'!$E$187),2)</f>
        <v>1094.69</v>
      </c>
      <c r="K285" s="169">
        <f t="shared" si="18"/>
        <v>304323.82</v>
      </c>
      <c r="L285" s="153"/>
      <c r="M285" s="170">
        <v>278</v>
      </c>
      <c r="N285" s="164">
        <f>ROUND(F285*('Model Data Inputs'!$E$184*'Model Data Inputs'!$E$185*'Model Data Inputs'!$E$186*'Model Data Inputs'!$E$187),2)</f>
        <v>322.47000000000003</v>
      </c>
      <c r="O285" s="171">
        <f t="shared" si="19"/>
        <v>89646.66</v>
      </c>
    </row>
    <row r="286" spans="1:15" x14ac:dyDescent="0.2">
      <c r="A286" s="168">
        <v>279</v>
      </c>
      <c r="B286" s="159">
        <v>1092.4271446028399</v>
      </c>
      <c r="C286" s="169">
        <f t="shared" si="16"/>
        <v>304787.17334419233</v>
      </c>
      <c r="D286" s="153"/>
      <c r="E286" s="170">
        <v>279</v>
      </c>
      <c r="F286" s="162">
        <v>321.78580505834088</v>
      </c>
      <c r="G286" s="171">
        <f t="shared" si="17"/>
        <v>89778.239611277109</v>
      </c>
      <c r="I286" s="168">
        <v>279</v>
      </c>
      <c r="J286" s="167">
        <f>ROUND(B286*('Model Data Inputs'!$E$184*'Model Data Inputs'!$E$185*'Model Data Inputs'!$E$186*'Model Data Inputs'!$E$187),2)</f>
        <v>1092.43</v>
      </c>
      <c r="K286" s="169">
        <f t="shared" si="18"/>
        <v>304787.97000000003</v>
      </c>
      <c r="L286" s="153"/>
      <c r="M286" s="170">
        <v>279</v>
      </c>
      <c r="N286" s="164">
        <f>ROUND(F286*('Model Data Inputs'!$E$184*'Model Data Inputs'!$E$185*'Model Data Inputs'!$E$186*'Model Data Inputs'!$E$187),2)</f>
        <v>321.79000000000002</v>
      </c>
      <c r="O286" s="171">
        <f t="shared" si="19"/>
        <v>89779.41</v>
      </c>
    </row>
    <row r="287" spans="1:15" x14ac:dyDescent="0.2">
      <c r="A287" s="168">
        <v>280</v>
      </c>
      <c r="B287" s="159">
        <v>1090.1618757674389</v>
      </c>
      <c r="C287" s="169">
        <f t="shared" si="16"/>
        <v>305245.32521488291</v>
      </c>
      <c r="D287" s="153"/>
      <c r="E287" s="170">
        <v>280</v>
      </c>
      <c r="F287" s="162">
        <v>321.10622202918586</v>
      </c>
      <c r="G287" s="171">
        <f t="shared" si="17"/>
        <v>89909.742168172044</v>
      </c>
      <c r="I287" s="168">
        <v>280</v>
      </c>
      <c r="J287" s="167">
        <f>ROUND(B287*('Model Data Inputs'!$E$184*'Model Data Inputs'!$E$185*'Model Data Inputs'!$E$186*'Model Data Inputs'!$E$187),2)</f>
        <v>1090.1600000000001</v>
      </c>
      <c r="K287" s="169">
        <f t="shared" si="18"/>
        <v>305244.80000000005</v>
      </c>
      <c r="L287" s="153"/>
      <c r="M287" s="170">
        <v>280</v>
      </c>
      <c r="N287" s="164">
        <f>ROUND(F287*('Model Data Inputs'!$E$184*'Model Data Inputs'!$E$185*'Model Data Inputs'!$E$186*'Model Data Inputs'!$E$187),2)</f>
        <v>321.11</v>
      </c>
      <c r="O287" s="171">
        <f t="shared" si="19"/>
        <v>89910.8</v>
      </c>
    </row>
    <row r="288" spans="1:15" x14ac:dyDescent="0.2">
      <c r="A288" s="168">
        <v>281</v>
      </c>
      <c r="B288" s="159">
        <v>1087.8966069320379</v>
      </c>
      <c r="C288" s="169">
        <f t="shared" si="16"/>
        <v>305698.94654790265</v>
      </c>
      <c r="D288" s="153"/>
      <c r="E288" s="170">
        <v>281</v>
      </c>
      <c r="F288" s="162">
        <v>320.42663900003089</v>
      </c>
      <c r="G288" s="171">
        <f t="shared" si="17"/>
        <v>90039.885559008675</v>
      </c>
      <c r="I288" s="168">
        <v>281</v>
      </c>
      <c r="J288" s="167">
        <f>ROUND(B288*('Model Data Inputs'!$E$184*'Model Data Inputs'!$E$185*'Model Data Inputs'!$E$186*'Model Data Inputs'!$E$187),2)</f>
        <v>1087.9000000000001</v>
      </c>
      <c r="K288" s="169">
        <f t="shared" si="18"/>
        <v>305699.90000000002</v>
      </c>
      <c r="L288" s="153"/>
      <c r="M288" s="170">
        <v>281</v>
      </c>
      <c r="N288" s="164">
        <f>ROUND(F288*('Model Data Inputs'!$E$184*'Model Data Inputs'!$E$185*'Model Data Inputs'!$E$186*'Model Data Inputs'!$E$187),2)</f>
        <v>320.43</v>
      </c>
      <c r="O288" s="171">
        <f t="shared" si="19"/>
        <v>90040.83</v>
      </c>
    </row>
    <row r="289" spans="1:15" x14ac:dyDescent="0.2">
      <c r="A289" s="168">
        <v>282</v>
      </c>
      <c r="B289" s="159">
        <v>1085.6313380966369</v>
      </c>
      <c r="C289" s="169">
        <f t="shared" si="16"/>
        <v>306148.03734325164</v>
      </c>
      <c r="D289" s="153"/>
      <c r="E289" s="170">
        <v>282</v>
      </c>
      <c r="F289" s="162">
        <v>319.74705597087586</v>
      </c>
      <c r="G289" s="171">
        <f t="shared" si="17"/>
        <v>90168.669783786987</v>
      </c>
      <c r="I289" s="168">
        <v>282</v>
      </c>
      <c r="J289" s="167">
        <f>ROUND(B289*('Model Data Inputs'!$E$184*'Model Data Inputs'!$E$185*'Model Data Inputs'!$E$186*'Model Data Inputs'!$E$187),2)</f>
        <v>1085.6300000000001</v>
      </c>
      <c r="K289" s="169">
        <f t="shared" si="18"/>
        <v>306147.66000000003</v>
      </c>
      <c r="L289" s="153"/>
      <c r="M289" s="170">
        <v>282</v>
      </c>
      <c r="N289" s="164">
        <f>ROUND(F289*('Model Data Inputs'!$E$184*'Model Data Inputs'!$E$185*'Model Data Inputs'!$E$186*'Model Data Inputs'!$E$187),2)</f>
        <v>319.75</v>
      </c>
      <c r="O289" s="171">
        <f t="shared" si="19"/>
        <v>90169.5</v>
      </c>
    </row>
    <row r="290" spans="1:15" x14ac:dyDescent="0.2">
      <c r="A290" s="168">
        <v>283</v>
      </c>
      <c r="B290" s="159">
        <v>1083.3660692612359</v>
      </c>
      <c r="C290" s="169">
        <f t="shared" si="16"/>
        <v>306592.59760092979</v>
      </c>
      <c r="D290" s="153"/>
      <c r="E290" s="170">
        <v>283</v>
      </c>
      <c r="F290" s="162">
        <v>319.06747294172089</v>
      </c>
      <c r="G290" s="171">
        <f t="shared" si="17"/>
        <v>90296.094842507009</v>
      </c>
      <c r="I290" s="168">
        <v>283</v>
      </c>
      <c r="J290" s="167">
        <f>ROUND(B290*('Model Data Inputs'!$E$184*'Model Data Inputs'!$E$185*'Model Data Inputs'!$E$186*'Model Data Inputs'!$E$187),2)</f>
        <v>1083.3699999999999</v>
      </c>
      <c r="K290" s="169">
        <f t="shared" si="18"/>
        <v>306593.70999999996</v>
      </c>
      <c r="L290" s="153"/>
      <c r="M290" s="170">
        <v>283</v>
      </c>
      <c r="N290" s="164">
        <f>ROUND(F290*('Model Data Inputs'!$E$184*'Model Data Inputs'!$E$185*'Model Data Inputs'!$E$186*'Model Data Inputs'!$E$187),2)</f>
        <v>319.07</v>
      </c>
      <c r="O290" s="171">
        <f t="shared" si="19"/>
        <v>90296.81</v>
      </c>
    </row>
    <row r="291" spans="1:15" x14ac:dyDescent="0.2">
      <c r="A291" s="168">
        <v>284</v>
      </c>
      <c r="B291" s="159">
        <v>1081.1008004258349</v>
      </c>
      <c r="C291" s="169">
        <f t="shared" si="16"/>
        <v>307032.62732093711</v>
      </c>
      <c r="D291" s="153"/>
      <c r="E291" s="170">
        <v>284</v>
      </c>
      <c r="F291" s="162">
        <v>318.38788991256598</v>
      </c>
      <c r="G291" s="171">
        <f t="shared" si="17"/>
        <v>90422.160735168742</v>
      </c>
      <c r="I291" s="168">
        <v>284</v>
      </c>
      <c r="J291" s="167">
        <f>ROUND(B291*('Model Data Inputs'!$E$184*'Model Data Inputs'!$E$185*'Model Data Inputs'!$E$186*'Model Data Inputs'!$E$187),2)</f>
        <v>1081.0999999999999</v>
      </c>
      <c r="K291" s="169">
        <f t="shared" si="18"/>
        <v>307032.39999999997</v>
      </c>
      <c r="L291" s="153"/>
      <c r="M291" s="170">
        <v>284</v>
      </c>
      <c r="N291" s="164">
        <f>ROUND(F291*('Model Data Inputs'!$E$184*'Model Data Inputs'!$E$185*'Model Data Inputs'!$E$186*'Model Data Inputs'!$E$187),2)</f>
        <v>318.39</v>
      </c>
      <c r="O291" s="171">
        <f t="shared" si="19"/>
        <v>90422.76</v>
      </c>
    </row>
    <row r="292" spans="1:15" x14ac:dyDescent="0.2">
      <c r="A292" s="168">
        <v>285</v>
      </c>
      <c r="B292" s="159">
        <v>1078.8355315904337</v>
      </c>
      <c r="C292" s="169">
        <f t="shared" si="16"/>
        <v>307468.12650327361</v>
      </c>
      <c r="D292" s="153"/>
      <c r="E292" s="170">
        <v>285</v>
      </c>
      <c r="F292" s="162">
        <v>317.7083068834109</v>
      </c>
      <c r="G292" s="171">
        <f t="shared" si="17"/>
        <v>90546.867461772112</v>
      </c>
      <c r="I292" s="168">
        <v>285</v>
      </c>
      <c r="J292" s="167">
        <f>ROUND(B292*('Model Data Inputs'!$E$184*'Model Data Inputs'!$E$185*'Model Data Inputs'!$E$186*'Model Data Inputs'!$E$187),2)</f>
        <v>1078.8399999999999</v>
      </c>
      <c r="K292" s="169">
        <f t="shared" si="18"/>
        <v>307469.39999999997</v>
      </c>
      <c r="L292" s="153"/>
      <c r="M292" s="170">
        <v>285</v>
      </c>
      <c r="N292" s="164">
        <f>ROUND(F292*('Model Data Inputs'!$E$184*'Model Data Inputs'!$E$185*'Model Data Inputs'!$E$186*'Model Data Inputs'!$E$187),2)</f>
        <v>317.70999999999998</v>
      </c>
      <c r="O292" s="171">
        <f t="shared" si="19"/>
        <v>90547.349999999991</v>
      </c>
    </row>
    <row r="293" spans="1:15" x14ac:dyDescent="0.2">
      <c r="A293" s="168">
        <v>286</v>
      </c>
      <c r="B293" s="159">
        <v>1076.5702627550324</v>
      </c>
      <c r="C293" s="169">
        <f t="shared" si="16"/>
        <v>307899.09514793928</v>
      </c>
      <c r="D293" s="153"/>
      <c r="E293" s="170">
        <v>286</v>
      </c>
      <c r="F293" s="162">
        <v>317.02872385425593</v>
      </c>
      <c r="G293" s="171">
        <f t="shared" si="17"/>
        <v>90670.215022317192</v>
      </c>
      <c r="I293" s="168">
        <v>286</v>
      </c>
      <c r="J293" s="167">
        <f>ROUND(B293*('Model Data Inputs'!$E$184*'Model Data Inputs'!$E$185*'Model Data Inputs'!$E$186*'Model Data Inputs'!$E$187),2)</f>
        <v>1076.57</v>
      </c>
      <c r="K293" s="169">
        <f t="shared" si="18"/>
        <v>307899.01999999996</v>
      </c>
      <c r="L293" s="153"/>
      <c r="M293" s="170">
        <v>286</v>
      </c>
      <c r="N293" s="164">
        <f>ROUND(F293*('Model Data Inputs'!$E$184*'Model Data Inputs'!$E$185*'Model Data Inputs'!$E$186*'Model Data Inputs'!$E$187),2)</f>
        <v>317.02999999999997</v>
      </c>
      <c r="O293" s="171">
        <f t="shared" si="19"/>
        <v>90670.579999999987</v>
      </c>
    </row>
    <row r="294" spans="1:15" x14ac:dyDescent="0.2">
      <c r="A294" s="168">
        <v>287</v>
      </c>
      <c r="B294" s="159">
        <v>1074.3049939196317</v>
      </c>
      <c r="C294" s="169">
        <f t="shared" si="16"/>
        <v>308325.5332549343</v>
      </c>
      <c r="D294" s="153"/>
      <c r="E294" s="170">
        <v>287</v>
      </c>
      <c r="F294" s="162">
        <v>316.34914082510096</v>
      </c>
      <c r="G294" s="171">
        <f t="shared" si="17"/>
        <v>90792.203416803983</v>
      </c>
      <c r="I294" s="168">
        <v>287</v>
      </c>
      <c r="J294" s="167">
        <f>ROUND(B294*('Model Data Inputs'!$E$184*'Model Data Inputs'!$E$185*'Model Data Inputs'!$E$186*'Model Data Inputs'!$E$187),2)</f>
        <v>1074.3</v>
      </c>
      <c r="K294" s="169">
        <f t="shared" si="18"/>
        <v>308324.09999999998</v>
      </c>
      <c r="L294" s="153"/>
      <c r="M294" s="170">
        <v>287</v>
      </c>
      <c r="N294" s="164">
        <f>ROUND(F294*('Model Data Inputs'!$E$184*'Model Data Inputs'!$E$185*'Model Data Inputs'!$E$186*'Model Data Inputs'!$E$187),2)</f>
        <v>316.35000000000002</v>
      </c>
      <c r="O294" s="171">
        <f t="shared" si="19"/>
        <v>90792.450000000012</v>
      </c>
    </row>
    <row r="295" spans="1:15" x14ac:dyDescent="0.2">
      <c r="A295" s="168">
        <v>288</v>
      </c>
      <c r="B295" s="159">
        <v>1072.0397250842309</v>
      </c>
      <c r="C295" s="169">
        <f t="shared" si="16"/>
        <v>308747.44082425849</v>
      </c>
      <c r="D295" s="153"/>
      <c r="E295" s="170">
        <v>288</v>
      </c>
      <c r="F295" s="162">
        <v>315.66955779594599</v>
      </c>
      <c r="G295" s="171">
        <f t="shared" si="17"/>
        <v>90912.83264523244</v>
      </c>
      <c r="I295" s="168">
        <v>288</v>
      </c>
      <c r="J295" s="167">
        <f>ROUND(B295*('Model Data Inputs'!$E$184*'Model Data Inputs'!$E$185*'Model Data Inputs'!$E$186*'Model Data Inputs'!$E$187),2)</f>
        <v>1072.04</v>
      </c>
      <c r="K295" s="169">
        <f t="shared" si="18"/>
        <v>308747.52000000002</v>
      </c>
      <c r="L295" s="153"/>
      <c r="M295" s="170">
        <v>288</v>
      </c>
      <c r="N295" s="164">
        <f>ROUND(F295*('Model Data Inputs'!$E$184*'Model Data Inputs'!$E$185*'Model Data Inputs'!$E$186*'Model Data Inputs'!$E$187),2)</f>
        <v>315.67</v>
      </c>
      <c r="O295" s="171">
        <f t="shared" si="19"/>
        <v>90912.960000000006</v>
      </c>
    </row>
    <row r="296" spans="1:15" x14ac:dyDescent="0.2">
      <c r="A296" s="168">
        <v>289</v>
      </c>
      <c r="B296" s="159">
        <v>1069.7744562488297</v>
      </c>
      <c r="C296" s="169">
        <f t="shared" si="16"/>
        <v>309164.8178559118</v>
      </c>
      <c r="D296" s="153"/>
      <c r="E296" s="170">
        <v>289</v>
      </c>
      <c r="F296" s="162">
        <v>314.98997476679097</v>
      </c>
      <c r="G296" s="171">
        <f t="shared" si="17"/>
        <v>91032.102707602593</v>
      </c>
      <c r="I296" s="168">
        <v>289</v>
      </c>
      <c r="J296" s="167">
        <f>ROUND(B296*('Model Data Inputs'!$E$184*'Model Data Inputs'!$E$185*'Model Data Inputs'!$E$186*'Model Data Inputs'!$E$187),2)</f>
        <v>1069.77</v>
      </c>
      <c r="K296" s="169">
        <f t="shared" si="18"/>
        <v>309163.52999999997</v>
      </c>
      <c r="L296" s="153"/>
      <c r="M296" s="170">
        <v>289</v>
      </c>
      <c r="N296" s="164">
        <f>ROUND(F296*('Model Data Inputs'!$E$184*'Model Data Inputs'!$E$185*'Model Data Inputs'!$E$186*'Model Data Inputs'!$E$187),2)</f>
        <v>314.99</v>
      </c>
      <c r="O296" s="171">
        <f t="shared" si="19"/>
        <v>91032.11</v>
      </c>
    </row>
    <row r="297" spans="1:15" x14ac:dyDescent="0.2">
      <c r="A297" s="168">
        <v>290</v>
      </c>
      <c r="B297" s="159">
        <v>1067.5091874134287</v>
      </c>
      <c r="C297" s="169">
        <f t="shared" si="16"/>
        <v>309577.66434989433</v>
      </c>
      <c r="D297" s="153"/>
      <c r="E297" s="170">
        <v>290</v>
      </c>
      <c r="F297" s="162">
        <v>314.310391737636</v>
      </c>
      <c r="G297" s="171">
        <f t="shared" si="17"/>
        <v>91150.013603914442</v>
      </c>
      <c r="I297" s="168">
        <v>290</v>
      </c>
      <c r="J297" s="167">
        <f>ROUND(B297*('Model Data Inputs'!$E$184*'Model Data Inputs'!$E$185*'Model Data Inputs'!$E$186*'Model Data Inputs'!$E$187),2)</f>
        <v>1067.51</v>
      </c>
      <c r="K297" s="169">
        <f t="shared" si="18"/>
        <v>309577.90000000002</v>
      </c>
      <c r="L297" s="153"/>
      <c r="M297" s="170">
        <v>290</v>
      </c>
      <c r="N297" s="164">
        <f>ROUND(F297*('Model Data Inputs'!$E$184*'Model Data Inputs'!$E$185*'Model Data Inputs'!$E$186*'Model Data Inputs'!$E$187),2)</f>
        <v>314.31</v>
      </c>
      <c r="O297" s="171">
        <f t="shared" si="19"/>
        <v>91149.9</v>
      </c>
    </row>
    <row r="298" spans="1:15" x14ac:dyDescent="0.2">
      <c r="A298" s="168">
        <v>291</v>
      </c>
      <c r="B298" s="159">
        <v>1065.2439185780274</v>
      </c>
      <c r="C298" s="169">
        <f t="shared" si="16"/>
        <v>309985.98030620598</v>
      </c>
      <c r="D298" s="153"/>
      <c r="E298" s="170">
        <v>291</v>
      </c>
      <c r="F298" s="162">
        <v>313.63080870848097</v>
      </c>
      <c r="G298" s="171">
        <f t="shared" si="17"/>
        <v>91266.565334167957</v>
      </c>
      <c r="I298" s="168">
        <v>291</v>
      </c>
      <c r="J298" s="167">
        <f>ROUND(B298*('Model Data Inputs'!$E$184*'Model Data Inputs'!$E$185*'Model Data Inputs'!$E$186*'Model Data Inputs'!$E$187),2)</f>
        <v>1065.24</v>
      </c>
      <c r="K298" s="169">
        <f t="shared" si="18"/>
        <v>309984.84000000003</v>
      </c>
      <c r="L298" s="153"/>
      <c r="M298" s="170">
        <v>291</v>
      </c>
      <c r="N298" s="164">
        <f>ROUND(F298*('Model Data Inputs'!$E$184*'Model Data Inputs'!$E$185*'Model Data Inputs'!$E$186*'Model Data Inputs'!$E$187),2)</f>
        <v>313.63</v>
      </c>
      <c r="O298" s="171">
        <f t="shared" si="19"/>
        <v>91266.33</v>
      </c>
    </row>
    <row r="299" spans="1:15" x14ac:dyDescent="0.2">
      <c r="A299" s="168">
        <v>292</v>
      </c>
      <c r="B299" s="159">
        <v>1062.9786497426264</v>
      </c>
      <c r="C299" s="169">
        <f t="shared" si="16"/>
        <v>310389.76572484692</v>
      </c>
      <c r="D299" s="153"/>
      <c r="E299" s="170">
        <v>292</v>
      </c>
      <c r="F299" s="162">
        <v>312.95122567932606</v>
      </c>
      <c r="G299" s="171">
        <f t="shared" si="17"/>
        <v>91381.757898363212</v>
      </c>
      <c r="I299" s="168">
        <v>292</v>
      </c>
      <c r="J299" s="167">
        <f>ROUND(B299*('Model Data Inputs'!$E$184*'Model Data Inputs'!$E$185*'Model Data Inputs'!$E$186*'Model Data Inputs'!$E$187),2)</f>
        <v>1062.98</v>
      </c>
      <c r="K299" s="169">
        <f t="shared" si="18"/>
        <v>310390.16000000003</v>
      </c>
      <c r="L299" s="153"/>
      <c r="M299" s="170">
        <v>292</v>
      </c>
      <c r="N299" s="164">
        <f>ROUND(F299*('Model Data Inputs'!$E$184*'Model Data Inputs'!$E$185*'Model Data Inputs'!$E$186*'Model Data Inputs'!$E$187),2)</f>
        <v>312.95</v>
      </c>
      <c r="O299" s="171">
        <f t="shared" si="19"/>
        <v>91381.4</v>
      </c>
    </row>
    <row r="300" spans="1:15" x14ac:dyDescent="0.2">
      <c r="A300" s="168">
        <v>293</v>
      </c>
      <c r="B300" s="159">
        <v>1060.7133809072257</v>
      </c>
      <c r="C300" s="169">
        <f t="shared" si="16"/>
        <v>310789.02060581709</v>
      </c>
      <c r="D300" s="153"/>
      <c r="E300" s="170">
        <v>293</v>
      </c>
      <c r="F300" s="162">
        <v>312.27164265017109</v>
      </c>
      <c r="G300" s="171">
        <f t="shared" si="17"/>
        <v>91495.591296500133</v>
      </c>
      <c r="I300" s="168">
        <v>293</v>
      </c>
      <c r="J300" s="167">
        <f>ROUND(B300*('Model Data Inputs'!$E$184*'Model Data Inputs'!$E$185*'Model Data Inputs'!$E$186*'Model Data Inputs'!$E$187),2)</f>
        <v>1060.71</v>
      </c>
      <c r="K300" s="169">
        <f t="shared" si="18"/>
        <v>310788.03000000003</v>
      </c>
      <c r="L300" s="153"/>
      <c r="M300" s="170">
        <v>293</v>
      </c>
      <c r="N300" s="164">
        <f>ROUND(F300*('Model Data Inputs'!$E$184*'Model Data Inputs'!$E$185*'Model Data Inputs'!$E$186*'Model Data Inputs'!$E$187),2)</f>
        <v>312.27</v>
      </c>
      <c r="O300" s="171">
        <f t="shared" si="19"/>
        <v>91495.11</v>
      </c>
    </row>
    <row r="301" spans="1:15" x14ac:dyDescent="0.2">
      <c r="A301" s="168">
        <v>294</v>
      </c>
      <c r="B301" s="159">
        <v>1058.4481120718244</v>
      </c>
      <c r="C301" s="169">
        <f t="shared" si="16"/>
        <v>311183.74494911637</v>
      </c>
      <c r="D301" s="153"/>
      <c r="E301" s="170">
        <v>294</v>
      </c>
      <c r="F301" s="162">
        <v>311.59205962101606</v>
      </c>
      <c r="G301" s="171">
        <f t="shared" si="17"/>
        <v>91608.065528578722</v>
      </c>
      <c r="I301" s="168">
        <v>294</v>
      </c>
      <c r="J301" s="167">
        <f>ROUND(B301*('Model Data Inputs'!$E$184*'Model Data Inputs'!$E$185*'Model Data Inputs'!$E$186*'Model Data Inputs'!$E$187),2)</f>
        <v>1058.45</v>
      </c>
      <c r="K301" s="169">
        <f t="shared" si="18"/>
        <v>311184.3</v>
      </c>
      <c r="L301" s="153"/>
      <c r="M301" s="170">
        <v>294</v>
      </c>
      <c r="N301" s="164">
        <f>ROUND(F301*('Model Data Inputs'!$E$184*'Model Data Inputs'!$E$185*'Model Data Inputs'!$E$186*'Model Data Inputs'!$E$187),2)</f>
        <v>311.58999999999997</v>
      </c>
      <c r="O301" s="171">
        <f t="shared" si="19"/>
        <v>91607.459999999992</v>
      </c>
    </row>
    <row r="302" spans="1:15" x14ac:dyDescent="0.2">
      <c r="A302" s="168">
        <v>295</v>
      </c>
      <c r="B302" s="159">
        <v>1056.1828432364232</v>
      </c>
      <c r="C302" s="169">
        <f t="shared" si="16"/>
        <v>311573.93875474483</v>
      </c>
      <c r="D302" s="153"/>
      <c r="E302" s="170">
        <v>295</v>
      </c>
      <c r="F302" s="162">
        <v>310.91247659186115</v>
      </c>
      <c r="G302" s="171">
        <f t="shared" si="17"/>
        <v>91719.180594599035</v>
      </c>
      <c r="I302" s="168">
        <v>295</v>
      </c>
      <c r="J302" s="167">
        <f>ROUND(B302*('Model Data Inputs'!$E$184*'Model Data Inputs'!$E$185*'Model Data Inputs'!$E$186*'Model Data Inputs'!$E$187),2)</f>
        <v>1056.18</v>
      </c>
      <c r="K302" s="169">
        <f t="shared" si="18"/>
        <v>311573.10000000003</v>
      </c>
      <c r="L302" s="153"/>
      <c r="M302" s="170">
        <v>295</v>
      </c>
      <c r="N302" s="164">
        <f>ROUND(F302*('Model Data Inputs'!$E$184*'Model Data Inputs'!$E$185*'Model Data Inputs'!$E$186*'Model Data Inputs'!$E$187),2)</f>
        <v>310.91000000000003</v>
      </c>
      <c r="O302" s="171">
        <f t="shared" si="19"/>
        <v>91718.450000000012</v>
      </c>
    </row>
    <row r="303" spans="1:15" x14ac:dyDescent="0.2">
      <c r="A303" s="168">
        <v>296</v>
      </c>
      <c r="B303" s="159">
        <v>1053.9175744010224</v>
      </c>
      <c r="C303" s="169">
        <f t="shared" si="16"/>
        <v>311959.60202270263</v>
      </c>
      <c r="D303" s="153"/>
      <c r="E303" s="170">
        <v>296</v>
      </c>
      <c r="F303" s="162">
        <v>310.23289356270595</v>
      </c>
      <c r="G303" s="171">
        <f t="shared" si="17"/>
        <v>91828.936494560956</v>
      </c>
      <c r="I303" s="168">
        <v>296</v>
      </c>
      <c r="J303" s="167">
        <f>ROUND(B303*('Model Data Inputs'!$E$184*'Model Data Inputs'!$E$185*'Model Data Inputs'!$E$186*'Model Data Inputs'!$E$187),2)</f>
        <v>1053.92</v>
      </c>
      <c r="K303" s="169">
        <f t="shared" si="18"/>
        <v>311960.32000000001</v>
      </c>
      <c r="L303" s="153"/>
      <c r="M303" s="170">
        <v>296</v>
      </c>
      <c r="N303" s="164">
        <f>ROUND(F303*('Model Data Inputs'!$E$184*'Model Data Inputs'!$E$185*'Model Data Inputs'!$E$186*'Model Data Inputs'!$E$187),2)</f>
        <v>310.23</v>
      </c>
      <c r="O303" s="171">
        <f t="shared" si="19"/>
        <v>91828.08</v>
      </c>
    </row>
    <row r="304" spans="1:15" x14ac:dyDescent="0.2">
      <c r="A304" s="168">
        <v>297</v>
      </c>
      <c r="B304" s="159">
        <v>1051.6523055656212</v>
      </c>
      <c r="C304" s="169">
        <f t="shared" si="16"/>
        <v>312340.73475298949</v>
      </c>
      <c r="D304" s="153"/>
      <c r="E304" s="170">
        <v>297</v>
      </c>
      <c r="F304" s="162">
        <v>309.5533105335511</v>
      </c>
      <c r="G304" s="171">
        <f t="shared" si="17"/>
        <v>91937.333228464675</v>
      </c>
      <c r="I304" s="168">
        <v>297</v>
      </c>
      <c r="J304" s="167">
        <f>ROUND(B304*('Model Data Inputs'!$E$184*'Model Data Inputs'!$E$185*'Model Data Inputs'!$E$186*'Model Data Inputs'!$E$187),2)</f>
        <v>1051.6500000000001</v>
      </c>
      <c r="K304" s="169">
        <f t="shared" si="18"/>
        <v>312340.05000000005</v>
      </c>
      <c r="L304" s="153"/>
      <c r="M304" s="170">
        <v>297</v>
      </c>
      <c r="N304" s="164">
        <f>ROUND(F304*('Model Data Inputs'!$E$184*'Model Data Inputs'!$E$185*'Model Data Inputs'!$E$186*'Model Data Inputs'!$E$187),2)</f>
        <v>309.55</v>
      </c>
      <c r="O304" s="171">
        <f t="shared" si="19"/>
        <v>91936.35</v>
      </c>
    </row>
    <row r="305" spans="1:15" x14ac:dyDescent="0.2">
      <c r="A305" s="168">
        <v>298</v>
      </c>
      <c r="B305" s="159">
        <v>1049.3870367302202</v>
      </c>
      <c r="C305" s="169">
        <f t="shared" si="16"/>
        <v>312717.33694560564</v>
      </c>
      <c r="D305" s="153"/>
      <c r="E305" s="170">
        <v>298</v>
      </c>
      <c r="F305" s="162">
        <v>308.87372750439607</v>
      </c>
      <c r="G305" s="171">
        <f t="shared" si="17"/>
        <v>92044.370796310031</v>
      </c>
      <c r="I305" s="168">
        <v>298</v>
      </c>
      <c r="J305" s="167">
        <f>ROUND(B305*('Model Data Inputs'!$E$184*'Model Data Inputs'!$E$185*'Model Data Inputs'!$E$186*'Model Data Inputs'!$E$187),2)</f>
        <v>1049.3900000000001</v>
      </c>
      <c r="K305" s="169">
        <f t="shared" si="18"/>
        <v>312718.22000000003</v>
      </c>
      <c r="L305" s="153"/>
      <c r="M305" s="170">
        <v>298</v>
      </c>
      <c r="N305" s="164">
        <f>ROUND(F305*('Model Data Inputs'!$E$184*'Model Data Inputs'!$E$185*'Model Data Inputs'!$E$186*'Model Data Inputs'!$E$187),2)</f>
        <v>308.87</v>
      </c>
      <c r="O305" s="171">
        <f t="shared" si="19"/>
        <v>92043.26</v>
      </c>
    </row>
    <row r="306" spans="1:15" x14ac:dyDescent="0.2">
      <c r="A306" s="168">
        <v>299</v>
      </c>
      <c r="B306" s="159">
        <v>1047.1217678948192</v>
      </c>
      <c r="C306" s="169">
        <f t="shared" si="16"/>
        <v>313089.40860055096</v>
      </c>
      <c r="D306" s="153"/>
      <c r="E306" s="170">
        <v>299</v>
      </c>
      <c r="F306" s="162">
        <v>308.1941444752411</v>
      </c>
      <c r="G306" s="171">
        <f t="shared" si="17"/>
        <v>92150.049198097084</v>
      </c>
      <c r="I306" s="168">
        <v>299</v>
      </c>
      <c r="J306" s="167">
        <f>ROUND(B306*('Model Data Inputs'!$E$184*'Model Data Inputs'!$E$185*'Model Data Inputs'!$E$186*'Model Data Inputs'!$E$187),2)</f>
        <v>1047.1199999999999</v>
      </c>
      <c r="K306" s="169">
        <f t="shared" si="18"/>
        <v>313088.87999999995</v>
      </c>
      <c r="L306" s="153"/>
      <c r="M306" s="170">
        <v>299</v>
      </c>
      <c r="N306" s="164">
        <f>ROUND(F306*('Model Data Inputs'!$E$184*'Model Data Inputs'!$E$185*'Model Data Inputs'!$E$186*'Model Data Inputs'!$E$187),2)</f>
        <v>308.19</v>
      </c>
      <c r="O306" s="171">
        <f t="shared" si="19"/>
        <v>92148.81</v>
      </c>
    </row>
    <row r="307" spans="1:15" x14ac:dyDescent="0.2">
      <c r="A307" s="168">
        <v>300</v>
      </c>
      <c r="B307" s="159">
        <v>1044.856499059418</v>
      </c>
      <c r="C307" s="169">
        <f t="shared" si="16"/>
        <v>313456.9497178254</v>
      </c>
      <c r="D307" s="153"/>
      <c r="E307" s="170">
        <v>300</v>
      </c>
      <c r="F307" s="162">
        <v>307.51456144608613</v>
      </c>
      <c r="G307" s="171">
        <f t="shared" si="17"/>
        <v>92254.368433825846</v>
      </c>
      <c r="I307" s="168">
        <v>300</v>
      </c>
      <c r="J307" s="167">
        <f>ROUND(B307*('Model Data Inputs'!$E$184*'Model Data Inputs'!$E$185*'Model Data Inputs'!$E$186*'Model Data Inputs'!$E$187),2)</f>
        <v>1044.8599999999999</v>
      </c>
      <c r="K307" s="169">
        <f t="shared" si="18"/>
        <v>313457.99999999994</v>
      </c>
      <c r="L307" s="153"/>
      <c r="M307" s="170">
        <v>300</v>
      </c>
      <c r="N307" s="164">
        <f>ROUND(F307*('Model Data Inputs'!$E$184*'Model Data Inputs'!$E$185*'Model Data Inputs'!$E$186*'Model Data Inputs'!$E$187),2)</f>
        <v>307.51</v>
      </c>
      <c r="O307" s="171">
        <f t="shared" si="19"/>
        <v>92253</v>
      </c>
    </row>
    <row r="308" spans="1:15" x14ac:dyDescent="0.2">
      <c r="A308" s="168">
        <v>301</v>
      </c>
      <c r="B308" s="159">
        <v>1042.591230224017</v>
      </c>
      <c r="C308" s="169">
        <f t="shared" si="16"/>
        <v>313819.96029742912</v>
      </c>
      <c r="D308" s="153"/>
      <c r="E308" s="170">
        <v>301</v>
      </c>
      <c r="F308" s="162">
        <v>306.83497841693116</v>
      </c>
      <c r="G308" s="171">
        <f t="shared" si="17"/>
        <v>92357.328503496276</v>
      </c>
      <c r="I308" s="168">
        <v>301</v>
      </c>
      <c r="J308" s="167">
        <f>ROUND(B308*('Model Data Inputs'!$E$184*'Model Data Inputs'!$E$185*'Model Data Inputs'!$E$186*'Model Data Inputs'!$E$187),2)</f>
        <v>1042.5899999999999</v>
      </c>
      <c r="K308" s="169">
        <f t="shared" si="18"/>
        <v>313819.58999999997</v>
      </c>
      <c r="L308" s="153"/>
      <c r="M308" s="170">
        <v>301</v>
      </c>
      <c r="N308" s="164">
        <f>ROUND(F308*('Model Data Inputs'!$E$184*'Model Data Inputs'!$E$185*'Model Data Inputs'!$E$186*'Model Data Inputs'!$E$187),2)</f>
        <v>306.83</v>
      </c>
      <c r="O308" s="171">
        <f t="shared" si="19"/>
        <v>92355.83</v>
      </c>
    </row>
    <row r="309" spans="1:15" x14ac:dyDescent="0.2">
      <c r="A309" s="168">
        <v>302</v>
      </c>
      <c r="B309" s="159">
        <v>1040.3259613886162</v>
      </c>
      <c r="C309" s="169">
        <f t="shared" si="16"/>
        <v>314178.44033936207</v>
      </c>
      <c r="D309" s="153"/>
      <c r="E309" s="170">
        <v>302</v>
      </c>
      <c r="F309" s="162">
        <v>306.1553953877762</v>
      </c>
      <c r="G309" s="171">
        <f t="shared" si="17"/>
        <v>92458.929407108415</v>
      </c>
      <c r="I309" s="168">
        <v>302</v>
      </c>
      <c r="J309" s="167">
        <f>ROUND(B309*('Model Data Inputs'!$E$184*'Model Data Inputs'!$E$185*'Model Data Inputs'!$E$186*'Model Data Inputs'!$E$187),2)</f>
        <v>1040.33</v>
      </c>
      <c r="K309" s="169">
        <f t="shared" si="18"/>
        <v>314179.65999999997</v>
      </c>
      <c r="L309" s="153"/>
      <c r="M309" s="170">
        <v>302</v>
      </c>
      <c r="N309" s="164">
        <f>ROUND(F309*('Model Data Inputs'!$E$184*'Model Data Inputs'!$E$185*'Model Data Inputs'!$E$186*'Model Data Inputs'!$E$187),2)</f>
        <v>306.16000000000003</v>
      </c>
      <c r="O309" s="171">
        <f t="shared" si="19"/>
        <v>92460.32</v>
      </c>
    </row>
    <row r="310" spans="1:15" x14ac:dyDescent="0.2">
      <c r="A310" s="168">
        <v>303</v>
      </c>
      <c r="B310" s="159">
        <v>1038.0606925532154</v>
      </c>
      <c r="C310" s="169">
        <f t="shared" si="16"/>
        <v>314532.38984362426</v>
      </c>
      <c r="D310" s="153"/>
      <c r="E310" s="170">
        <v>303</v>
      </c>
      <c r="F310" s="162">
        <v>305.47581235862123</v>
      </c>
      <c r="G310" s="171">
        <f t="shared" si="17"/>
        <v>92559.171144662236</v>
      </c>
      <c r="I310" s="168">
        <v>303</v>
      </c>
      <c r="J310" s="167">
        <f>ROUND(B310*('Model Data Inputs'!$E$184*'Model Data Inputs'!$E$185*'Model Data Inputs'!$E$186*'Model Data Inputs'!$E$187),2)</f>
        <v>1038.06</v>
      </c>
      <c r="K310" s="169">
        <f t="shared" si="18"/>
        <v>314532.18</v>
      </c>
      <c r="L310" s="153"/>
      <c r="M310" s="170">
        <v>303</v>
      </c>
      <c r="N310" s="164">
        <f>ROUND(F310*('Model Data Inputs'!$E$184*'Model Data Inputs'!$E$185*'Model Data Inputs'!$E$186*'Model Data Inputs'!$E$187),2)</f>
        <v>305.48</v>
      </c>
      <c r="O310" s="171">
        <f t="shared" si="19"/>
        <v>92560.44</v>
      </c>
    </row>
    <row r="311" spans="1:15" x14ac:dyDescent="0.2">
      <c r="A311" s="168">
        <v>304</v>
      </c>
      <c r="B311" s="159">
        <v>1035.7954237178142</v>
      </c>
      <c r="C311" s="169">
        <f t="shared" si="16"/>
        <v>314881.8088102155</v>
      </c>
      <c r="D311" s="153"/>
      <c r="E311" s="170">
        <v>304</v>
      </c>
      <c r="F311" s="162">
        <v>304.79622932946614</v>
      </c>
      <c r="G311" s="171">
        <f t="shared" si="17"/>
        <v>92658.053716157709</v>
      </c>
      <c r="I311" s="168">
        <v>304</v>
      </c>
      <c r="J311" s="167">
        <f>ROUND(B311*('Model Data Inputs'!$E$184*'Model Data Inputs'!$E$185*'Model Data Inputs'!$E$186*'Model Data Inputs'!$E$187),2)</f>
        <v>1035.8</v>
      </c>
      <c r="K311" s="169">
        <f t="shared" si="18"/>
        <v>314883.20000000001</v>
      </c>
      <c r="L311" s="153"/>
      <c r="M311" s="170">
        <v>304</v>
      </c>
      <c r="N311" s="164">
        <f>ROUND(F311*('Model Data Inputs'!$E$184*'Model Data Inputs'!$E$185*'Model Data Inputs'!$E$186*'Model Data Inputs'!$E$187),2)</f>
        <v>304.8</v>
      </c>
      <c r="O311" s="171">
        <f t="shared" si="19"/>
        <v>92659.199999999997</v>
      </c>
    </row>
    <row r="312" spans="1:15" x14ac:dyDescent="0.2">
      <c r="A312" s="168">
        <v>305</v>
      </c>
      <c r="B312" s="159">
        <v>1033.5301548824127</v>
      </c>
      <c r="C312" s="169">
        <f t="shared" si="16"/>
        <v>315226.69723913586</v>
      </c>
      <c r="D312" s="153"/>
      <c r="E312" s="170">
        <v>305</v>
      </c>
      <c r="F312" s="162">
        <v>304.11664630031123</v>
      </c>
      <c r="G312" s="171">
        <f t="shared" si="17"/>
        <v>92755.577121594921</v>
      </c>
      <c r="I312" s="168">
        <v>305</v>
      </c>
      <c r="J312" s="167">
        <f>ROUND(B312*('Model Data Inputs'!$E$184*'Model Data Inputs'!$E$185*'Model Data Inputs'!$E$186*'Model Data Inputs'!$E$187),2)</f>
        <v>1033.53</v>
      </c>
      <c r="K312" s="169">
        <f t="shared" si="18"/>
        <v>315226.64999999997</v>
      </c>
      <c r="L312" s="153"/>
      <c r="M312" s="170">
        <v>305</v>
      </c>
      <c r="N312" s="164">
        <f>ROUND(F312*('Model Data Inputs'!$E$184*'Model Data Inputs'!$E$185*'Model Data Inputs'!$E$186*'Model Data Inputs'!$E$187),2)</f>
        <v>304.12</v>
      </c>
      <c r="O312" s="171">
        <f t="shared" si="19"/>
        <v>92756.6</v>
      </c>
    </row>
    <row r="313" spans="1:15" x14ac:dyDescent="0.2">
      <c r="A313" s="168">
        <v>306</v>
      </c>
      <c r="B313" s="159">
        <v>1031.2648860470119</v>
      </c>
      <c r="C313" s="169">
        <f t="shared" si="16"/>
        <v>315567.05513038568</v>
      </c>
      <c r="D313" s="153"/>
      <c r="E313" s="170">
        <v>306</v>
      </c>
      <c r="F313" s="162">
        <v>303.43706327115632</v>
      </c>
      <c r="G313" s="171">
        <f t="shared" si="17"/>
        <v>92851.741360973829</v>
      </c>
      <c r="I313" s="168">
        <v>306</v>
      </c>
      <c r="J313" s="167">
        <f>ROUND(B313*('Model Data Inputs'!$E$184*'Model Data Inputs'!$E$185*'Model Data Inputs'!$E$186*'Model Data Inputs'!$E$187),2)</f>
        <v>1031.26</v>
      </c>
      <c r="K313" s="169">
        <f t="shared" si="18"/>
        <v>315565.56</v>
      </c>
      <c r="L313" s="153"/>
      <c r="M313" s="170">
        <v>306</v>
      </c>
      <c r="N313" s="164">
        <f>ROUND(F313*('Model Data Inputs'!$E$184*'Model Data Inputs'!$E$185*'Model Data Inputs'!$E$186*'Model Data Inputs'!$E$187),2)</f>
        <v>303.44</v>
      </c>
      <c r="O313" s="171">
        <f t="shared" si="19"/>
        <v>92852.64</v>
      </c>
    </row>
    <row r="314" spans="1:15" x14ac:dyDescent="0.2">
      <c r="A314" s="168">
        <v>307</v>
      </c>
      <c r="B314" s="159">
        <v>1028.9996172116109</v>
      </c>
      <c r="C314" s="169">
        <f t="shared" si="16"/>
        <v>315902.88248396455</v>
      </c>
      <c r="D314" s="153"/>
      <c r="E314" s="170">
        <v>307</v>
      </c>
      <c r="F314" s="162">
        <v>302.75748024200129</v>
      </c>
      <c r="G314" s="171">
        <f t="shared" si="17"/>
        <v>92946.546434294403</v>
      </c>
      <c r="I314" s="168">
        <v>307</v>
      </c>
      <c r="J314" s="167">
        <f>ROUND(B314*('Model Data Inputs'!$E$184*'Model Data Inputs'!$E$185*'Model Data Inputs'!$E$186*'Model Data Inputs'!$E$187),2)</f>
        <v>1029</v>
      </c>
      <c r="K314" s="169">
        <f t="shared" si="18"/>
        <v>315903</v>
      </c>
      <c r="L314" s="153"/>
      <c r="M314" s="170">
        <v>307</v>
      </c>
      <c r="N314" s="164">
        <f>ROUND(F314*('Model Data Inputs'!$E$184*'Model Data Inputs'!$E$185*'Model Data Inputs'!$E$186*'Model Data Inputs'!$E$187),2)</f>
        <v>302.76</v>
      </c>
      <c r="O314" s="171">
        <f t="shared" si="19"/>
        <v>92947.319999999992</v>
      </c>
    </row>
    <row r="315" spans="1:15" x14ac:dyDescent="0.2">
      <c r="A315" s="168">
        <v>308</v>
      </c>
      <c r="B315" s="159">
        <v>1026.7343483762099</v>
      </c>
      <c r="C315" s="169">
        <f t="shared" si="16"/>
        <v>316234.17929987266</v>
      </c>
      <c r="D315" s="153"/>
      <c r="E315" s="170">
        <v>308</v>
      </c>
      <c r="F315" s="162">
        <v>302.07789721284638</v>
      </c>
      <c r="G315" s="171">
        <f t="shared" si="17"/>
        <v>93039.992341556688</v>
      </c>
      <c r="I315" s="168">
        <v>308</v>
      </c>
      <c r="J315" s="167">
        <f>ROUND(B315*('Model Data Inputs'!$E$184*'Model Data Inputs'!$E$185*'Model Data Inputs'!$E$186*'Model Data Inputs'!$E$187),2)</f>
        <v>1026.73</v>
      </c>
      <c r="K315" s="169">
        <f t="shared" si="18"/>
        <v>316232.84000000003</v>
      </c>
      <c r="L315" s="153"/>
      <c r="M315" s="170">
        <v>308</v>
      </c>
      <c r="N315" s="164">
        <f>ROUND(F315*('Model Data Inputs'!$E$184*'Model Data Inputs'!$E$185*'Model Data Inputs'!$E$186*'Model Data Inputs'!$E$187),2)</f>
        <v>302.08</v>
      </c>
      <c r="O315" s="171">
        <f t="shared" si="19"/>
        <v>93040.639999999999</v>
      </c>
    </row>
    <row r="316" spans="1:15" x14ac:dyDescent="0.2">
      <c r="A316" s="168">
        <v>309</v>
      </c>
      <c r="B316" s="159">
        <v>1024.4690795408089</v>
      </c>
      <c r="C316" s="169">
        <f t="shared" si="16"/>
        <v>316560.94557810994</v>
      </c>
      <c r="D316" s="153"/>
      <c r="E316" s="170">
        <v>309</v>
      </c>
      <c r="F316" s="162">
        <v>301.39831418369135</v>
      </c>
      <c r="G316" s="171">
        <f t="shared" si="17"/>
        <v>93132.079082760625</v>
      </c>
      <c r="I316" s="168">
        <v>309</v>
      </c>
      <c r="J316" s="167">
        <f>ROUND(B316*('Model Data Inputs'!$E$184*'Model Data Inputs'!$E$185*'Model Data Inputs'!$E$186*'Model Data Inputs'!$E$187),2)</f>
        <v>1024.47</v>
      </c>
      <c r="K316" s="169">
        <f t="shared" si="18"/>
        <v>316561.23</v>
      </c>
      <c r="L316" s="153"/>
      <c r="M316" s="170">
        <v>309</v>
      </c>
      <c r="N316" s="164">
        <f>ROUND(F316*('Model Data Inputs'!$E$184*'Model Data Inputs'!$E$185*'Model Data Inputs'!$E$186*'Model Data Inputs'!$E$187),2)</f>
        <v>301.39999999999998</v>
      </c>
      <c r="O316" s="171">
        <f t="shared" si="19"/>
        <v>93132.599999999991</v>
      </c>
    </row>
    <row r="317" spans="1:15" x14ac:dyDescent="0.2">
      <c r="A317" s="168">
        <v>310</v>
      </c>
      <c r="B317" s="159">
        <v>1022.2038107054078</v>
      </c>
      <c r="C317" s="169">
        <f t="shared" si="16"/>
        <v>316883.18131867645</v>
      </c>
      <c r="D317" s="153"/>
      <c r="E317" s="170">
        <v>310</v>
      </c>
      <c r="F317" s="162">
        <v>300.71873115453644</v>
      </c>
      <c r="G317" s="171">
        <f t="shared" si="17"/>
        <v>93222.806657906302</v>
      </c>
      <c r="I317" s="168">
        <v>310</v>
      </c>
      <c r="J317" s="167">
        <f>ROUND(B317*('Model Data Inputs'!$E$184*'Model Data Inputs'!$E$185*'Model Data Inputs'!$E$186*'Model Data Inputs'!$E$187),2)</f>
        <v>1022.2</v>
      </c>
      <c r="K317" s="169">
        <f t="shared" si="18"/>
        <v>316882</v>
      </c>
      <c r="L317" s="153"/>
      <c r="M317" s="170">
        <v>310</v>
      </c>
      <c r="N317" s="164">
        <f>ROUND(F317*('Model Data Inputs'!$E$184*'Model Data Inputs'!$E$185*'Model Data Inputs'!$E$186*'Model Data Inputs'!$E$187),2)</f>
        <v>300.72000000000003</v>
      </c>
      <c r="O317" s="171">
        <f t="shared" si="19"/>
        <v>93223.200000000012</v>
      </c>
    </row>
    <row r="318" spans="1:15" x14ac:dyDescent="0.2">
      <c r="A318" s="168">
        <v>311</v>
      </c>
      <c r="B318" s="159">
        <v>1019.9385418700067</v>
      </c>
      <c r="C318" s="169">
        <f t="shared" si="16"/>
        <v>317200.88652157207</v>
      </c>
      <c r="D318" s="153"/>
      <c r="E318" s="170">
        <v>311</v>
      </c>
      <c r="F318" s="162">
        <v>300.03917191072799</v>
      </c>
      <c r="G318" s="171">
        <f t="shared" si="17"/>
        <v>93312.182464236408</v>
      </c>
      <c r="I318" s="168">
        <v>311</v>
      </c>
      <c r="J318" s="167">
        <f>ROUND(B318*('Model Data Inputs'!$E$184*'Model Data Inputs'!$E$185*'Model Data Inputs'!$E$186*'Model Data Inputs'!$E$187),2)</f>
        <v>1019.94</v>
      </c>
      <c r="K318" s="169">
        <f t="shared" si="18"/>
        <v>317201.34000000003</v>
      </c>
      <c r="L318" s="153"/>
      <c r="M318" s="170">
        <v>311</v>
      </c>
      <c r="N318" s="164">
        <f>ROUND(F318*('Model Data Inputs'!$E$184*'Model Data Inputs'!$E$185*'Model Data Inputs'!$E$186*'Model Data Inputs'!$E$187),2)</f>
        <v>300.04000000000002</v>
      </c>
      <c r="O318" s="171">
        <f t="shared" si="19"/>
        <v>93312.44</v>
      </c>
    </row>
    <row r="319" spans="1:15" x14ac:dyDescent="0.2">
      <c r="A319" s="168">
        <v>312</v>
      </c>
      <c r="B319" s="159">
        <v>1017.6732730346058</v>
      </c>
      <c r="C319" s="169">
        <f t="shared" si="16"/>
        <v>317514.06118679699</v>
      </c>
      <c r="D319" s="153"/>
      <c r="E319" s="170">
        <v>312</v>
      </c>
      <c r="F319" s="162">
        <v>299.3596126669197</v>
      </c>
      <c r="G319" s="171">
        <f t="shared" si="17"/>
        <v>93400.199152078945</v>
      </c>
      <c r="I319" s="168">
        <v>312</v>
      </c>
      <c r="J319" s="167">
        <f>ROUND(B319*('Model Data Inputs'!$E$184*'Model Data Inputs'!$E$185*'Model Data Inputs'!$E$186*'Model Data Inputs'!$E$187),2)</f>
        <v>1017.67</v>
      </c>
      <c r="K319" s="169">
        <f t="shared" si="18"/>
        <v>317513.03999999998</v>
      </c>
      <c r="L319" s="153"/>
      <c r="M319" s="170">
        <v>312</v>
      </c>
      <c r="N319" s="164">
        <f>ROUND(F319*('Model Data Inputs'!$E$184*'Model Data Inputs'!$E$185*'Model Data Inputs'!$E$186*'Model Data Inputs'!$E$187),2)</f>
        <v>299.36</v>
      </c>
      <c r="O319" s="171">
        <f t="shared" si="19"/>
        <v>93400.320000000007</v>
      </c>
    </row>
    <row r="320" spans="1:15" x14ac:dyDescent="0.2">
      <c r="A320" s="168">
        <v>313</v>
      </c>
      <c r="B320" s="159">
        <v>1015.4080041992047</v>
      </c>
      <c r="C320" s="169">
        <f t="shared" si="16"/>
        <v>317822.70531435107</v>
      </c>
      <c r="D320" s="153"/>
      <c r="E320" s="170">
        <v>313</v>
      </c>
      <c r="F320" s="162">
        <v>298.6800534231113</v>
      </c>
      <c r="G320" s="171">
        <f t="shared" si="17"/>
        <v>93486.85672143384</v>
      </c>
      <c r="I320" s="168">
        <v>313</v>
      </c>
      <c r="J320" s="167">
        <f>ROUND(B320*('Model Data Inputs'!$E$184*'Model Data Inputs'!$E$185*'Model Data Inputs'!$E$186*'Model Data Inputs'!$E$187),2)</f>
        <v>1015.41</v>
      </c>
      <c r="K320" s="169">
        <f t="shared" si="18"/>
        <v>317823.33</v>
      </c>
      <c r="L320" s="153"/>
      <c r="M320" s="170">
        <v>313</v>
      </c>
      <c r="N320" s="164">
        <f>ROUND(F320*('Model Data Inputs'!$E$184*'Model Data Inputs'!$E$185*'Model Data Inputs'!$E$186*'Model Data Inputs'!$E$187),2)</f>
        <v>298.68</v>
      </c>
      <c r="O320" s="171">
        <f t="shared" si="19"/>
        <v>93486.84</v>
      </c>
    </row>
    <row r="321" spans="1:15" x14ac:dyDescent="0.2">
      <c r="A321" s="168">
        <v>314</v>
      </c>
      <c r="B321" s="159">
        <v>1013.1427353638036</v>
      </c>
      <c r="C321" s="169">
        <f t="shared" si="16"/>
        <v>318126.81890423433</v>
      </c>
      <c r="D321" s="153"/>
      <c r="E321" s="170">
        <v>314</v>
      </c>
      <c r="F321" s="162">
        <v>298.00049417930285</v>
      </c>
      <c r="G321" s="171">
        <f t="shared" si="17"/>
        <v>93572.155172301093</v>
      </c>
      <c r="I321" s="168">
        <v>314</v>
      </c>
      <c r="J321" s="167">
        <f>ROUND(B321*('Model Data Inputs'!$E$184*'Model Data Inputs'!$E$185*'Model Data Inputs'!$E$186*'Model Data Inputs'!$E$187),2)</f>
        <v>1013.14</v>
      </c>
      <c r="K321" s="169">
        <f t="shared" si="18"/>
        <v>318125.96000000002</v>
      </c>
      <c r="L321" s="153"/>
      <c r="M321" s="170">
        <v>314</v>
      </c>
      <c r="N321" s="164">
        <f>ROUND(F321*('Model Data Inputs'!$E$184*'Model Data Inputs'!$E$185*'Model Data Inputs'!$E$186*'Model Data Inputs'!$E$187),2)</f>
        <v>298</v>
      </c>
      <c r="O321" s="171">
        <f t="shared" si="19"/>
        <v>93572</v>
      </c>
    </row>
    <row r="322" spans="1:15" x14ac:dyDescent="0.2">
      <c r="A322" s="168">
        <v>315</v>
      </c>
      <c r="B322" s="159">
        <v>1010.8772286749365</v>
      </c>
      <c r="C322" s="169">
        <f t="shared" si="16"/>
        <v>318426.32703260501</v>
      </c>
      <c r="D322" s="153"/>
      <c r="E322" s="170">
        <v>315</v>
      </c>
      <c r="F322" s="162">
        <v>297.32094682816773</v>
      </c>
      <c r="G322" s="171">
        <f t="shared" si="17"/>
        <v>93656.098250872834</v>
      </c>
      <c r="I322" s="168">
        <v>315</v>
      </c>
      <c r="J322" s="167">
        <f>ROUND(B322*('Model Data Inputs'!$E$184*'Model Data Inputs'!$E$185*'Model Data Inputs'!$E$186*'Model Data Inputs'!$E$187),2)</f>
        <v>1010.88</v>
      </c>
      <c r="K322" s="169">
        <f t="shared" si="18"/>
        <v>318427.2</v>
      </c>
      <c r="L322" s="153"/>
      <c r="M322" s="170">
        <v>315</v>
      </c>
      <c r="N322" s="164">
        <f>ROUND(F322*('Model Data Inputs'!$E$184*'Model Data Inputs'!$E$185*'Model Data Inputs'!$E$186*'Model Data Inputs'!$E$187),2)</f>
        <v>297.32</v>
      </c>
      <c r="O322" s="171">
        <f t="shared" si="19"/>
        <v>93655.8</v>
      </c>
    </row>
    <row r="323" spans="1:15" x14ac:dyDescent="0.2">
      <c r="A323" s="168">
        <v>316</v>
      </c>
      <c r="B323" s="159">
        <v>1009.9333666601862</v>
      </c>
      <c r="C323" s="169">
        <f t="shared" si="16"/>
        <v>319138.94386461884</v>
      </c>
      <c r="D323" s="153"/>
      <c r="E323" s="170">
        <v>316</v>
      </c>
      <c r="F323" s="162">
        <v>297.20768338639766</v>
      </c>
      <c r="G323" s="171">
        <f t="shared" si="17"/>
        <v>93917.627950101654</v>
      </c>
      <c r="I323" s="168">
        <v>316</v>
      </c>
      <c r="J323" s="167">
        <f>ROUND(B323*('Model Data Inputs'!$E$184*'Model Data Inputs'!$E$185*'Model Data Inputs'!$E$186*'Model Data Inputs'!$E$187),2)</f>
        <v>1009.93</v>
      </c>
      <c r="K323" s="169">
        <f t="shared" si="18"/>
        <v>319137.88</v>
      </c>
      <c r="L323" s="153"/>
      <c r="M323" s="170">
        <v>316</v>
      </c>
      <c r="N323" s="164">
        <f>ROUND(F323*('Model Data Inputs'!$E$184*'Model Data Inputs'!$E$185*'Model Data Inputs'!$E$186*'Model Data Inputs'!$E$187),2)</f>
        <v>297.20999999999998</v>
      </c>
      <c r="O323" s="171">
        <f t="shared" si="19"/>
        <v>93918.36</v>
      </c>
    </row>
    <row r="324" spans="1:15" x14ac:dyDescent="0.2">
      <c r="A324" s="168">
        <v>317</v>
      </c>
      <c r="B324" s="159">
        <v>1008.9895046454358</v>
      </c>
      <c r="C324" s="169">
        <f t="shared" si="16"/>
        <v>319849.67297260312</v>
      </c>
      <c r="D324" s="153"/>
      <c r="E324" s="170">
        <v>317</v>
      </c>
      <c r="F324" s="162">
        <v>297.09441994462765</v>
      </c>
      <c r="G324" s="171">
        <f t="shared" si="17"/>
        <v>94178.931122446957</v>
      </c>
      <c r="I324" s="168">
        <v>317</v>
      </c>
      <c r="J324" s="167">
        <f>ROUND(B324*('Model Data Inputs'!$E$184*'Model Data Inputs'!$E$185*'Model Data Inputs'!$E$186*'Model Data Inputs'!$E$187),2)</f>
        <v>1008.99</v>
      </c>
      <c r="K324" s="169">
        <f t="shared" si="18"/>
        <v>319849.83</v>
      </c>
      <c r="L324" s="153"/>
      <c r="M324" s="170">
        <v>317</v>
      </c>
      <c r="N324" s="164">
        <f>ROUND(F324*('Model Data Inputs'!$E$184*'Model Data Inputs'!$E$185*'Model Data Inputs'!$E$186*'Model Data Inputs'!$E$187),2)</f>
        <v>297.08999999999997</v>
      </c>
      <c r="O324" s="171">
        <f t="shared" si="19"/>
        <v>94177.53</v>
      </c>
    </row>
    <row r="325" spans="1:15" x14ac:dyDescent="0.2">
      <c r="A325" s="168">
        <v>318</v>
      </c>
      <c r="B325" s="159">
        <v>1008.0456426306853</v>
      </c>
      <c r="C325" s="169">
        <f t="shared" si="16"/>
        <v>320558.51435655792</v>
      </c>
      <c r="D325" s="153"/>
      <c r="E325" s="170">
        <v>318</v>
      </c>
      <c r="F325" s="162">
        <v>296.98115650285769</v>
      </c>
      <c r="G325" s="171">
        <f t="shared" si="17"/>
        <v>94440.007767908741</v>
      </c>
      <c r="I325" s="168">
        <v>318</v>
      </c>
      <c r="J325" s="167">
        <f>ROUND(B325*('Model Data Inputs'!$E$184*'Model Data Inputs'!$E$185*'Model Data Inputs'!$E$186*'Model Data Inputs'!$E$187),2)</f>
        <v>1008.05</v>
      </c>
      <c r="K325" s="169">
        <f t="shared" si="18"/>
        <v>320559.89999999997</v>
      </c>
      <c r="L325" s="153"/>
      <c r="M325" s="170">
        <v>318</v>
      </c>
      <c r="N325" s="164">
        <f>ROUND(F325*('Model Data Inputs'!$E$184*'Model Data Inputs'!$E$185*'Model Data Inputs'!$E$186*'Model Data Inputs'!$E$187),2)</f>
        <v>296.98</v>
      </c>
      <c r="O325" s="171">
        <f t="shared" si="19"/>
        <v>94439.64</v>
      </c>
    </row>
    <row r="326" spans="1:15" x14ac:dyDescent="0.2">
      <c r="A326" s="168">
        <v>319</v>
      </c>
      <c r="B326" s="159">
        <v>1007.1017806159351</v>
      </c>
      <c r="C326" s="169">
        <f t="shared" si="16"/>
        <v>321265.4680164833</v>
      </c>
      <c r="D326" s="153"/>
      <c r="E326" s="170">
        <v>319</v>
      </c>
      <c r="F326" s="162">
        <v>296.86789306108756</v>
      </c>
      <c r="G326" s="171">
        <f t="shared" si="17"/>
        <v>94700.857886486934</v>
      </c>
      <c r="I326" s="168">
        <v>319</v>
      </c>
      <c r="J326" s="167">
        <f>ROUND(B326*('Model Data Inputs'!$E$184*'Model Data Inputs'!$E$185*'Model Data Inputs'!$E$186*'Model Data Inputs'!$E$187),2)</f>
        <v>1007.1</v>
      </c>
      <c r="K326" s="169">
        <f t="shared" si="18"/>
        <v>321264.90000000002</v>
      </c>
      <c r="L326" s="153"/>
      <c r="M326" s="170">
        <v>319</v>
      </c>
      <c r="N326" s="164">
        <f>ROUND(F326*('Model Data Inputs'!$E$184*'Model Data Inputs'!$E$185*'Model Data Inputs'!$E$186*'Model Data Inputs'!$E$187),2)</f>
        <v>296.87</v>
      </c>
      <c r="O326" s="171">
        <f t="shared" si="19"/>
        <v>94701.53</v>
      </c>
    </row>
    <row r="327" spans="1:15" x14ac:dyDescent="0.2">
      <c r="A327" s="168">
        <v>320</v>
      </c>
      <c r="B327" s="159">
        <v>1006.1579186011846</v>
      </c>
      <c r="C327" s="169">
        <f t="shared" si="16"/>
        <v>321970.53395237908</v>
      </c>
      <c r="D327" s="153"/>
      <c r="E327" s="170">
        <v>320</v>
      </c>
      <c r="F327" s="162">
        <v>296.75462961931748</v>
      </c>
      <c r="G327" s="171">
        <f t="shared" si="17"/>
        <v>94961.481478181595</v>
      </c>
      <c r="I327" s="168">
        <v>320</v>
      </c>
      <c r="J327" s="167">
        <f>ROUND(B327*('Model Data Inputs'!$E$184*'Model Data Inputs'!$E$185*'Model Data Inputs'!$E$186*'Model Data Inputs'!$E$187),2)</f>
        <v>1006.16</v>
      </c>
      <c r="K327" s="169">
        <f t="shared" si="18"/>
        <v>321971.20000000001</v>
      </c>
      <c r="L327" s="153"/>
      <c r="M327" s="170">
        <v>320</v>
      </c>
      <c r="N327" s="164">
        <f>ROUND(F327*('Model Data Inputs'!$E$184*'Model Data Inputs'!$E$185*'Model Data Inputs'!$E$186*'Model Data Inputs'!$E$187),2)</f>
        <v>296.75</v>
      </c>
      <c r="O327" s="171">
        <f t="shared" si="19"/>
        <v>94960</v>
      </c>
    </row>
    <row r="328" spans="1:15" x14ac:dyDescent="0.2">
      <c r="A328" s="168">
        <v>321</v>
      </c>
      <c r="B328" s="159">
        <v>1005.2140565864344</v>
      </c>
      <c r="C328" s="169">
        <f t="shared" ref="C328:C391" si="20">A328*B328</f>
        <v>322673.71216424543</v>
      </c>
      <c r="D328" s="153"/>
      <c r="E328" s="170">
        <v>321</v>
      </c>
      <c r="F328" s="162">
        <v>296.64136617754752</v>
      </c>
      <c r="G328" s="171">
        <f t="shared" ref="G328:G391" si="21">E328*F328</f>
        <v>95221.878542992752</v>
      </c>
      <c r="I328" s="168">
        <v>321</v>
      </c>
      <c r="J328" s="167">
        <f>ROUND(B328*('Model Data Inputs'!$E$184*'Model Data Inputs'!$E$185*'Model Data Inputs'!$E$186*'Model Data Inputs'!$E$187),2)</f>
        <v>1005.21</v>
      </c>
      <c r="K328" s="169">
        <f t="shared" ref="K328:K391" si="22">I328*J328</f>
        <v>322672.41000000003</v>
      </c>
      <c r="L328" s="153"/>
      <c r="M328" s="170">
        <v>321</v>
      </c>
      <c r="N328" s="164">
        <f>ROUND(F328*('Model Data Inputs'!$E$184*'Model Data Inputs'!$E$185*'Model Data Inputs'!$E$186*'Model Data Inputs'!$E$187),2)</f>
        <v>296.64</v>
      </c>
      <c r="O328" s="171">
        <f t="shared" ref="O328:O391" si="23">M328*N328</f>
        <v>95221.440000000002</v>
      </c>
    </row>
    <row r="329" spans="1:15" x14ac:dyDescent="0.2">
      <c r="A329" s="168">
        <v>322</v>
      </c>
      <c r="B329" s="159">
        <v>1004.2701945716838</v>
      </c>
      <c r="C329" s="169">
        <f t="shared" si="20"/>
        <v>323375.00265208218</v>
      </c>
      <c r="D329" s="153"/>
      <c r="E329" s="170">
        <v>322</v>
      </c>
      <c r="F329" s="162">
        <v>296.5281027357774</v>
      </c>
      <c r="G329" s="171">
        <f t="shared" si="21"/>
        <v>95482.049080920318</v>
      </c>
      <c r="I329" s="168">
        <v>322</v>
      </c>
      <c r="J329" s="167">
        <f>ROUND(B329*('Model Data Inputs'!$E$184*'Model Data Inputs'!$E$185*'Model Data Inputs'!$E$186*'Model Data Inputs'!$E$187),2)</f>
        <v>1004.27</v>
      </c>
      <c r="K329" s="169">
        <f t="shared" si="22"/>
        <v>323374.94</v>
      </c>
      <c r="L329" s="153"/>
      <c r="M329" s="170">
        <v>322</v>
      </c>
      <c r="N329" s="164">
        <f>ROUND(F329*('Model Data Inputs'!$E$184*'Model Data Inputs'!$E$185*'Model Data Inputs'!$E$186*'Model Data Inputs'!$E$187),2)</f>
        <v>296.52999999999997</v>
      </c>
      <c r="O329" s="171">
        <f t="shared" si="23"/>
        <v>95482.659999999989</v>
      </c>
    </row>
    <row r="330" spans="1:15" x14ac:dyDescent="0.2">
      <c r="A330" s="168">
        <v>323</v>
      </c>
      <c r="B330" s="159">
        <v>1003.3263325569336</v>
      </c>
      <c r="C330" s="169">
        <f t="shared" si="20"/>
        <v>324074.40541588957</v>
      </c>
      <c r="D330" s="153"/>
      <c r="E330" s="170">
        <v>323</v>
      </c>
      <c r="F330" s="162">
        <v>296.41483929400738</v>
      </c>
      <c r="G330" s="171">
        <f t="shared" si="21"/>
        <v>95741.993091964381</v>
      </c>
      <c r="I330" s="168">
        <v>323</v>
      </c>
      <c r="J330" s="167">
        <f>ROUND(B330*('Model Data Inputs'!$E$184*'Model Data Inputs'!$E$185*'Model Data Inputs'!$E$186*'Model Data Inputs'!$E$187),2)</f>
        <v>1003.33</v>
      </c>
      <c r="K330" s="169">
        <f t="shared" si="22"/>
        <v>324075.59000000003</v>
      </c>
      <c r="L330" s="153"/>
      <c r="M330" s="170">
        <v>323</v>
      </c>
      <c r="N330" s="164">
        <f>ROUND(F330*('Model Data Inputs'!$E$184*'Model Data Inputs'!$E$185*'Model Data Inputs'!$E$186*'Model Data Inputs'!$E$187),2)</f>
        <v>296.41000000000003</v>
      </c>
      <c r="O330" s="171">
        <f t="shared" si="23"/>
        <v>95740.430000000008</v>
      </c>
    </row>
    <row r="331" spans="1:15" x14ac:dyDescent="0.2">
      <c r="A331" s="168">
        <v>324</v>
      </c>
      <c r="B331" s="159">
        <v>1002.382470542183</v>
      </c>
      <c r="C331" s="169">
        <f t="shared" si="20"/>
        <v>324771.92045566731</v>
      </c>
      <c r="D331" s="153"/>
      <c r="E331" s="170">
        <v>324</v>
      </c>
      <c r="F331" s="162">
        <v>296.30157585223736</v>
      </c>
      <c r="G331" s="171">
        <f t="shared" si="21"/>
        <v>96001.710576124911</v>
      </c>
      <c r="I331" s="168">
        <v>324</v>
      </c>
      <c r="J331" s="167">
        <f>ROUND(B331*('Model Data Inputs'!$E$184*'Model Data Inputs'!$E$185*'Model Data Inputs'!$E$186*'Model Data Inputs'!$E$187),2)</f>
        <v>1002.38</v>
      </c>
      <c r="K331" s="169">
        <f t="shared" si="22"/>
        <v>324771.12</v>
      </c>
      <c r="L331" s="153"/>
      <c r="M331" s="170">
        <v>324</v>
      </c>
      <c r="N331" s="164">
        <f>ROUND(F331*('Model Data Inputs'!$E$184*'Model Data Inputs'!$E$185*'Model Data Inputs'!$E$186*'Model Data Inputs'!$E$187),2)</f>
        <v>296.3</v>
      </c>
      <c r="O331" s="171">
        <f t="shared" si="23"/>
        <v>96001.2</v>
      </c>
    </row>
    <row r="332" spans="1:15" x14ac:dyDescent="0.2">
      <c r="A332" s="168">
        <v>325</v>
      </c>
      <c r="B332" s="159">
        <v>1001.4386085274327</v>
      </c>
      <c r="C332" s="169">
        <f t="shared" si="20"/>
        <v>325467.54777141561</v>
      </c>
      <c r="D332" s="153"/>
      <c r="E332" s="170">
        <v>325</v>
      </c>
      <c r="F332" s="162">
        <v>296.18831241046735</v>
      </c>
      <c r="G332" s="171">
        <f t="shared" si="21"/>
        <v>96261.201533401894</v>
      </c>
      <c r="I332" s="168">
        <v>325</v>
      </c>
      <c r="J332" s="167">
        <f>ROUND(B332*('Model Data Inputs'!$E$184*'Model Data Inputs'!$E$185*'Model Data Inputs'!$E$186*'Model Data Inputs'!$E$187),2)</f>
        <v>1001.44</v>
      </c>
      <c r="K332" s="169">
        <f t="shared" si="22"/>
        <v>325468</v>
      </c>
      <c r="L332" s="153"/>
      <c r="M332" s="170">
        <v>325</v>
      </c>
      <c r="N332" s="164">
        <f>ROUND(F332*('Model Data Inputs'!$E$184*'Model Data Inputs'!$E$185*'Model Data Inputs'!$E$186*'Model Data Inputs'!$E$187),2)</f>
        <v>296.19</v>
      </c>
      <c r="O332" s="171">
        <f t="shared" si="23"/>
        <v>96261.75</v>
      </c>
    </row>
    <row r="333" spans="1:15" x14ac:dyDescent="0.2">
      <c r="A333" s="168">
        <v>326</v>
      </c>
      <c r="B333" s="159">
        <v>1000.4947465126824</v>
      </c>
      <c r="C333" s="169">
        <f t="shared" si="20"/>
        <v>326161.28736313444</v>
      </c>
      <c r="D333" s="153"/>
      <c r="E333" s="170">
        <v>326</v>
      </c>
      <c r="F333" s="162">
        <v>296.07504896869722</v>
      </c>
      <c r="G333" s="171">
        <f t="shared" si="21"/>
        <v>96520.465963795286</v>
      </c>
      <c r="I333" s="168">
        <v>326</v>
      </c>
      <c r="J333" s="167">
        <f>ROUND(B333*('Model Data Inputs'!$E$184*'Model Data Inputs'!$E$185*'Model Data Inputs'!$E$186*'Model Data Inputs'!$E$187),2)</f>
        <v>1000.49</v>
      </c>
      <c r="K333" s="169">
        <f t="shared" si="22"/>
        <v>326159.74</v>
      </c>
      <c r="L333" s="153"/>
      <c r="M333" s="170">
        <v>326</v>
      </c>
      <c r="N333" s="164">
        <f>ROUND(F333*('Model Data Inputs'!$E$184*'Model Data Inputs'!$E$185*'Model Data Inputs'!$E$186*'Model Data Inputs'!$E$187),2)</f>
        <v>296.08</v>
      </c>
      <c r="O333" s="171">
        <f t="shared" si="23"/>
        <v>96522.08</v>
      </c>
    </row>
    <row r="334" spans="1:15" x14ac:dyDescent="0.2">
      <c r="A334" s="168">
        <v>327</v>
      </c>
      <c r="B334" s="159">
        <v>999.55088449793209</v>
      </c>
      <c r="C334" s="169">
        <f t="shared" si="20"/>
        <v>326853.13923082378</v>
      </c>
      <c r="D334" s="153"/>
      <c r="E334" s="170">
        <v>327</v>
      </c>
      <c r="F334" s="162">
        <v>295.96178552692726</v>
      </c>
      <c r="G334" s="171">
        <f t="shared" si="21"/>
        <v>96779.503867305219</v>
      </c>
      <c r="I334" s="168">
        <v>327</v>
      </c>
      <c r="J334" s="167">
        <f>ROUND(B334*('Model Data Inputs'!$E$184*'Model Data Inputs'!$E$185*'Model Data Inputs'!$E$186*'Model Data Inputs'!$E$187),2)</f>
        <v>999.55</v>
      </c>
      <c r="K334" s="169">
        <f t="shared" si="22"/>
        <v>326852.84999999998</v>
      </c>
      <c r="L334" s="153"/>
      <c r="M334" s="170">
        <v>327</v>
      </c>
      <c r="N334" s="164">
        <f>ROUND(F334*('Model Data Inputs'!$E$184*'Model Data Inputs'!$E$185*'Model Data Inputs'!$E$186*'Model Data Inputs'!$E$187),2)</f>
        <v>295.95999999999998</v>
      </c>
      <c r="O334" s="171">
        <f t="shared" si="23"/>
        <v>96778.92</v>
      </c>
    </row>
    <row r="335" spans="1:15" x14ac:dyDescent="0.2">
      <c r="A335" s="168">
        <v>328</v>
      </c>
      <c r="B335" s="159">
        <v>998.60702248318148</v>
      </c>
      <c r="C335" s="169">
        <f t="shared" si="20"/>
        <v>327543.10337448353</v>
      </c>
      <c r="D335" s="153"/>
      <c r="E335" s="170">
        <v>328</v>
      </c>
      <c r="F335" s="162">
        <v>295.84852208515719</v>
      </c>
      <c r="G335" s="171">
        <f t="shared" si="21"/>
        <v>97038.31524393156</v>
      </c>
      <c r="I335" s="168">
        <v>328</v>
      </c>
      <c r="J335" s="167">
        <f>ROUND(B335*('Model Data Inputs'!$E$184*'Model Data Inputs'!$E$185*'Model Data Inputs'!$E$186*'Model Data Inputs'!$E$187),2)</f>
        <v>998.61</v>
      </c>
      <c r="K335" s="169">
        <f t="shared" si="22"/>
        <v>327544.08</v>
      </c>
      <c r="L335" s="153"/>
      <c r="M335" s="170">
        <v>328</v>
      </c>
      <c r="N335" s="164">
        <f>ROUND(F335*('Model Data Inputs'!$E$184*'Model Data Inputs'!$E$185*'Model Data Inputs'!$E$186*'Model Data Inputs'!$E$187),2)</f>
        <v>295.85000000000002</v>
      </c>
      <c r="O335" s="171">
        <f t="shared" si="23"/>
        <v>97038.8</v>
      </c>
    </row>
    <row r="336" spans="1:15" x14ac:dyDescent="0.2">
      <c r="A336" s="168">
        <v>329</v>
      </c>
      <c r="B336" s="159">
        <v>997.66316046843133</v>
      </c>
      <c r="C336" s="169">
        <f t="shared" si="20"/>
        <v>328231.17979411391</v>
      </c>
      <c r="D336" s="153"/>
      <c r="E336" s="170">
        <v>329</v>
      </c>
      <c r="F336" s="162">
        <v>295.735258643387</v>
      </c>
      <c r="G336" s="171">
        <f t="shared" si="21"/>
        <v>97296.900093674325</v>
      </c>
      <c r="I336" s="168">
        <v>329</v>
      </c>
      <c r="J336" s="167">
        <f>ROUND(B336*('Model Data Inputs'!$E$184*'Model Data Inputs'!$E$185*'Model Data Inputs'!$E$186*'Model Data Inputs'!$E$187),2)</f>
        <v>997.66</v>
      </c>
      <c r="K336" s="169">
        <f t="shared" si="22"/>
        <v>328230.14</v>
      </c>
      <c r="L336" s="153"/>
      <c r="M336" s="170">
        <v>329</v>
      </c>
      <c r="N336" s="164">
        <f>ROUND(F336*('Model Data Inputs'!$E$184*'Model Data Inputs'!$E$185*'Model Data Inputs'!$E$186*'Model Data Inputs'!$E$187),2)</f>
        <v>295.74</v>
      </c>
      <c r="O336" s="171">
        <f t="shared" si="23"/>
        <v>97298.46</v>
      </c>
    </row>
    <row r="337" spans="1:15" x14ac:dyDescent="0.2">
      <c r="A337" s="168">
        <v>330</v>
      </c>
      <c r="B337" s="159">
        <v>996.71929845368084</v>
      </c>
      <c r="C337" s="169">
        <f t="shared" si="20"/>
        <v>328917.36848971469</v>
      </c>
      <c r="D337" s="153"/>
      <c r="E337" s="170">
        <v>330</v>
      </c>
      <c r="F337" s="162">
        <v>295.62199520161698</v>
      </c>
      <c r="G337" s="171">
        <f t="shared" si="21"/>
        <v>97555.258416533601</v>
      </c>
      <c r="I337" s="168">
        <v>330</v>
      </c>
      <c r="J337" s="167">
        <f>ROUND(B337*('Model Data Inputs'!$E$184*'Model Data Inputs'!$E$185*'Model Data Inputs'!$E$186*'Model Data Inputs'!$E$187),2)</f>
        <v>996.72</v>
      </c>
      <c r="K337" s="169">
        <f t="shared" si="22"/>
        <v>328917.60000000003</v>
      </c>
      <c r="L337" s="153"/>
      <c r="M337" s="170">
        <v>330</v>
      </c>
      <c r="N337" s="164">
        <f>ROUND(F337*('Model Data Inputs'!$E$184*'Model Data Inputs'!$E$185*'Model Data Inputs'!$E$186*'Model Data Inputs'!$E$187),2)</f>
        <v>295.62</v>
      </c>
      <c r="O337" s="171">
        <f t="shared" si="23"/>
        <v>97554.6</v>
      </c>
    </row>
    <row r="338" spans="1:15" x14ac:dyDescent="0.2">
      <c r="A338" s="168">
        <v>331</v>
      </c>
      <c r="B338" s="159">
        <v>995.77543643893046</v>
      </c>
      <c r="C338" s="169">
        <f t="shared" si="20"/>
        <v>329601.66946128599</v>
      </c>
      <c r="D338" s="153"/>
      <c r="E338" s="170">
        <v>331</v>
      </c>
      <c r="F338" s="162">
        <v>295.50873175984708</v>
      </c>
      <c r="G338" s="171">
        <f t="shared" si="21"/>
        <v>97813.390212509388</v>
      </c>
      <c r="I338" s="168">
        <v>331</v>
      </c>
      <c r="J338" s="167">
        <f>ROUND(B338*('Model Data Inputs'!$E$184*'Model Data Inputs'!$E$185*'Model Data Inputs'!$E$186*'Model Data Inputs'!$E$187),2)</f>
        <v>995.78</v>
      </c>
      <c r="K338" s="169">
        <f t="shared" si="22"/>
        <v>329603.18</v>
      </c>
      <c r="L338" s="153"/>
      <c r="M338" s="170">
        <v>331</v>
      </c>
      <c r="N338" s="164">
        <f>ROUND(F338*('Model Data Inputs'!$E$184*'Model Data Inputs'!$E$185*'Model Data Inputs'!$E$186*'Model Data Inputs'!$E$187),2)</f>
        <v>295.51</v>
      </c>
      <c r="O338" s="171">
        <f t="shared" si="23"/>
        <v>97813.81</v>
      </c>
    </row>
    <row r="339" spans="1:15" x14ac:dyDescent="0.2">
      <c r="A339" s="168">
        <v>332</v>
      </c>
      <c r="B339" s="159">
        <v>994.83157442418008</v>
      </c>
      <c r="C339" s="169">
        <f t="shared" si="20"/>
        <v>330284.0827088278</v>
      </c>
      <c r="D339" s="153"/>
      <c r="E339" s="170">
        <v>332</v>
      </c>
      <c r="F339" s="162">
        <v>295.39546831807706</v>
      </c>
      <c r="G339" s="171">
        <f t="shared" si="21"/>
        <v>98071.295481601584</v>
      </c>
      <c r="I339" s="168">
        <v>332</v>
      </c>
      <c r="J339" s="167">
        <f>ROUND(B339*('Model Data Inputs'!$E$184*'Model Data Inputs'!$E$185*'Model Data Inputs'!$E$186*'Model Data Inputs'!$E$187),2)</f>
        <v>994.83</v>
      </c>
      <c r="K339" s="169">
        <f t="shared" si="22"/>
        <v>330283.56</v>
      </c>
      <c r="L339" s="153"/>
      <c r="M339" s="170">
        <v>332</v>
      </c>
      <c r="N339" s="164">
        <f>ROUND(F339*('Model Data Inputs'!$E$184*'Model Data Inputs'!$E$185*'Model Data Inputs'!$E$186*'Model Data Inputs'!$E$187),2)</f>
        <v>295.39999999999998</v>
      </c>
      <c r="O339" s="171">
        <f t="shared" si="23"/>
        <v>98072.799999999988</v>
      </c>
    </row>
    <row r="340" spans="1:15" x14ac:dyDescent="0.2">
      <c r="A340" s="168">
        <v>333</v>
      </c>
      <c r="B340" s="159">
        <v>993.8877124094297</v>
      </c>
      <c r="C340" s="169">
        <f t="shared" si="20"/>
        <v>330964.60823234008</v>
      </c>
      <c r="D340" s="153"/>
      <c r="E340" s="170">
        <v>333</v>
      </c>
      <c r="F340" s="162">
        <v>295.28220487630688</v>
      </c>
      <c r="G340" s="171">
        <f t="shared" si="21"/>
        <v>98328.97422381019</v>
      </c>
      <c r="I340" s="168">
        <v>333</v>
      </c>
      <c r="J340" s="167">
        <f>ROUND(B340*('Model Data Inputs'!$E$184*'Model Data Inputs'!$E$185*'Model Data Inputs'!$E$186*'Model Data Inputs'!$E$187),2)</f>
        <v>993.89</v>
      </c>
      <c r="K340" s="169">
        <f t="shared" si="22"/>
        <v>330965.37</v>
      </c>
      <c r="L340" s="153"/>
      <c r="M340" s="170">
        <v>333</v>
      </c>
      <c r="N340" s="164">
        <f>ROUND(F340*('Model Data Inputs'!$E$184*'Model Data Inputs'!$E$185*'Model Data Inputs'!$E$186*'Model Data Inputs'!$E$187),2)</f>
        <v>295.27999999999997</v>
      </c>
      <c r="O340" s="171">
        <f t="shared" si="23"/>
        <v>98328.239999999991</v>
      </c>
    </row>
    <row r="341" spans="1:15" x14ac:dyDescent="0.2">
      <c r="A341" s="168">
        <v>334</v>
      </c>
      <c r="B341" s="159">
        <v>992.94385039467932</v>
      </c>
      <c r="C341" s="169">
        <f t="shared" si="20"/>
        <v>331643.24603182287</v>
      </c>
      <c r="D341" s="153"/>
      <c r="E341" s="170">
        <v>334</v>
      </c>
      <c r="F341" s="162">
        <v>295.16894143453692</v>
      </c>
      <c r="G341" s="171">
        <f t="shared" si="21"/>
        <v>98586.426439135335</v>
      </c>
      <c r="I341" s="168">
        <v>334</v>
      </c>
      <c r="J341" s="167">
        <f>ROUND(B341*('Model Data Inputs'!$E$184*'Model Data Inputs'!$E$185*'Model Data Inputs'!$E$186*'Model Data Inputs'!$E$187),2)</f>
        <v>992.94</v>
      </c>
      <c r="K341" s="169">
        <f t="shared" si="22"/>
        <v>331641.96000000002</v>
      </c>
      <c r="L341" s="153"/>
      <c r="M341" s="170">
        <v>334</v>
      </c>
      <c r="N341" s="164">
        <f>ROUND(F341*('Model Data Inputs'!$E$184*'Model Data Inputs'!$E$185*'Model Data Inputs'!$E$186*'Model Data Inputs'!$E$187),2)</f>
        <v>295.17</v>
      </c>
      <c r="O341" s="171">
        <f t="shared" si="23"/>
        <v>98586.78</v>
      </c>
    </row>
    <row r="342" spans="1:15" x14ac:dyDescent="0.2">
      <c r="A342" s="168">
        <v>335</v>
      </c>
      <c r="B342" s="159">
        <v>991.99998837992916</v>
      </c>
      <c r="C342" s="169">
        <f t="shared" si="20"/>
        <v>332319.9961072763</v>
      </c>
      <c r="D342" s="153"/>
      <c r="E342" s="170">
        <v>335</v>
      </c>
      <c r="F342" s="162">
        <v>295.05567799276685</v>
      </c>
      <c r="G342" s="171">
        <f t="shared" si="21"/>
        <v>98843.65212757689</v>
      </c>
      <c r="I342" s="168">
        <v>335</v>
      </c>
      <c r="J342" s="167">
        <f>ROUND(B342*('Model Data Inputs'!$E$184*'Model Data Inputs'!$E$185*'Model Data Inputs'!$E$186*'Model Data Inputs'!$E$187),2)</f>
        <v>992</v>
      </c>
      <c r="K342" s="169">
        <f t="shared" si="22"/>
        <v>332320</v>
      </c>
      <c r="L342" s="153"/>
      <c r="M342" s="170">
        <v>335</v>
      </c>
      <c r="N342" s="164">
        <f>ROUND(F342*('Model Data Inputs'!$E$184*'Model Data Inputs'!$E$185*'Model Data Inputs'!$E$186*'Model Data Inputs'!$E$187),2)</f>
        <v>295.06</v>
      </c>
      <c r="O342" s="171">
        <f t="shared" si="23"/>
        <v>98845.1</v>
      </c>
    </row>
    <row r="343" spans="1:15" x14ac:dyDescent="0.2">
      <c r="A343" s="168">
        <v>336</v>
      </c>
      <c r="B343" s="159">
        <v>991.05612636517844</v>
      </c>
      <c r="C343" s="169">
        <f t="shared" si="20"/>
        <v>332994.85845869995</v>
      </c>
      <c r="D343" s="153"/>
      <c r="E343" s="170">
        <v>336</v>
      </c>
      <c r="F343" s="162">
        <v>294.94241455099683</v>
      </c>
      <c r="G343" s="171">
        <f t="shared" si="21"/>
        <v>99100.651289134941</v>
      </c>
      <c r="I343" s="168">
        <v>336</v>
      </c>
      <c r="J343" s="167">
        <f>ROUND(B343*('Model Data Inputs'!$E$184*'Model Data Inputs'!$E$185*'Model Data Inputs'!$E$186*'Model Data Inputs'!$E$187),2)</f>
        <v>991.06</v>
      </c>
      <c r="K343" s="169">
        <f t="shared" si="22"/>
        <v>332996.15999999997</v>
      </c>
      <c r="L343" s="153"/>
      <c r="M343" s="170">
        <v>336</v>
      </c>
      <c r="N343" s="164">
        <f>ROUND(F343*('Model Data Inputs'!$E$184*'Model Data Inputs'!$E$185*'Model Data Inputs'!$E$186*'Model Data Inputs'!$E$187),2)</f>
        <v>294.94</v>
      </c>
      <c r="O343" s="171">
        <f t="shared" si="23"/>
        <v>99099.839999999997</v>
      </c>
    </row>
    <row r="344" spans="1:15" x14ac:dyDescent="0.2">
      <c r="A344" s="168">
        <v>337</v>
      </c>
      <c r="B344" s="159">
        <v>990.11226435042818</v>
      </c>
      <c r="C344" s="169">
        <f t="shared" si="20"/>
        <v>333667.8330860943</v>
      </c>
      <c r="D344" s="153"/>
      <c r="E344" s="170">
        <v>337</v>
      </c>
      <c r="F344" s="162">
        <v>294.82915110922676</v>
      </c>
      <c r="G344" s="171">
        <f t="shared" si="21"/>
        <v>99357.423923809416</v>
      </c>
      <c r="I344" s="168">
        <v>337</v>
      </c>
      <c r="J344" s="167">
        <f>ROUND(B344*('Model Data Inputs'!$E$184*'Model Data Inputs'!$E$185*'Model Data Inputs'!$E$186*'Model Data Inputs'!$E$187),2)</f>
        <v>990.11</v>
      </c>
      <c r="K344" s="169">
        <f t="shared" si="22"/>
        <v>333667.07</v>
      </c>
      <c r="L344" s="153"/>
      <c r="M344" s="170">
        <v>337</v>
      </c>
      <c r="N344" s="164">
        <f>ROUND(F344*('Model Data Inputs'!$E$184*'Model Data Inputs'!$E$185*'Model Data Inputs'!$E$186*'Model Data Inputs'!$E$187),2)</f>
        <v>294.83</v>
      </c>
      <c r="O344" s="171">
        <f t="shared" si="23"/>
        <v>99357.709999999992</v>
      </c>
    </row>
    <row r="345" spans="1:15" x14ac:dyDescent="0.2">
      <c r="A345" s="168">
        <v>338</v>
      </c>
      <c r="B345" s="159">
        <v>989.1684023356778</v>
      </c>
      <c r="C345" s="169">
        <f t="shared" si="20"/>
        <v>334338.9199894591</v>
      </c>
      <c r="D345" s="153"/>
      <c r="E345" s="170">
        <v>338</v>
      </c>
      <c r="F345" s="162">
        <v>294.71588766745668</v>
      </c>
      <c r="G345" s="171">
        <f t="shared" si="21"/>
        <v>99613.970031600358</v>
      </c>
      <c r="I345" s="168">
        <v>338</v>
      </c>
      <c r="J345" s="167">
        <f>ROUND(B345*('Model Data Inputs'!$E$184*'Model Data Inputs'!$E$185*'Model Data Inputs'!$E$186*'Model Data Inputs'!$E$187),2)</f>
        <v>989.17</v>
      </c>
      <c r="K345" s="169">
        <f t="shared" si="22"/>
        <v>334339.45999999996</v>
      </c>
      <c r="L345" s="153"/>
      <c r="M345" s="170">
        <v>338</v>
      </c>
      <c r="N345" s="164">
        <f>ROUND(F345*('Model Data Inputs'!$E$184*'Model Data Inputs'!$E$185*'Model Data Inputs'!$E$186*'Model Data Inputs'!$E$187),2)</f>
        <v>294.72000000000003</v>
      </c>
      <c r="O345" s="171">
        <f t="shared" si="23"/>
        <v>99615.360000000015</v>
      </c>
    </row>
    <row r="346" spans="1:15" x14ac:dyDescent="0.2">
      <c r="A346" s="165">
        <v>339</v>
      </c>
      <c r="B346" s="159">
        <v>988.22454032092742</v>
      </c>
      <c r="C346" s="160">
        <f t="shared" si="20"/>
        <v>335008.11916879442</v>
      </c>
      <c r="D346" s="153"/>
      <c r="E346" s="166">
        <v>339</v>
      </c>
      <c r="F346" s="162">
        <v>294.60262422568661</v>
      </c>
      <c r="G346" s="163">
        <f t="shared" si="21"/>
        <v>99870.289612507768</v>
      </c>
      <c r="I346" s="165">
        <v>339</v>
      </c>
      <c r="J346" s="167">
        <f>ROUND(B346*('Model Data Inputs'!$E$184*'Model Data Inputs'!$E$185*'Model Data Inputs'!$E$186*'Model Data Inputs'!$E$187),2)</f>
        <v>988.22</v>
      </c>
      <c r="K346" s="160">
        <f t="shared" si="22"/>
        <v>335006.58</v>
      </c>
      <c r="L346" s="153"/>
      <c r="M346" s="166">
        <v>339</v>
      </c>
      <c r="N346" s="164">
        <f>ROUND(F346*('Model Data Inputs'!$E$184*'Model Data Inputs'!$E$185*'Model Data Inputs'!$E$186*'Model Data Inputs'!$E$187),2)</f>
        <v>294.60000000000002</v>
      </c>
      <c r="O346" s="163">
        <f t="shared" si="23"/>
        <v>99869.400000000009</v>
      </c>
    </row>
    <row r="347" spans="1:15" x14ac:dyDescent="0.2">
      <c r="A347" s="165">
        <v>340</v>
      </c>
      <c r="B347" s="159">
        <v>987.28067830617704</v>
      </c>
      <c r="C347" s="160">
        <f t="shared" si="20"/>
        <v>335675.43062410021</v>
      </c>
      <c r="D347" s="153"/>
      <c r="E347" s="166">
        <v>340</v>
      </c>
      <c r="F347" s="162">
        <v>294.4893607839166</v>
      </c>
      <c r="G347" s="163">
        <f t="shared" si="21"/>
        <v>100126.38266653164</v>
      </c>
      <c r="I347" s="165">
        <v>340</v>
      </c>
      <c r="J347" s="167">
        <f>ROUND(B347*('Model Data Inputs'!$E$184*'Model Data Inputs'!$E$185*'Model Data Inputs'!$E$186*'Model Data Inputs'!$E$187),2)</f>
        <v>987.28</v>
      </c>
      <c r="K347" s="160">
        <f t="shared" si="22"/>
        <v>335675.2</v>
      </c>
      <c r="L347" s="153"/>
      <c r="M347" s="166">
        <v>340</v>
      </c>
      <c r="N347" s="164">
        <f>ROUND(F347*('Model Data Inputs'!$E$184*'Model Data Inputs'!$E$185*'Model Data Inputs'!$E$186*'Model Data Inputs'!$E$187),2)</f>
        <v>294.49</v>
      </c>
      <c r="O347" s="163">
        <f t="shared" si="23"/>
        <v>100126.6</v>
      </c>
    </row>
    <row r="348" spans="1:15" x14ac:dyDescent="0.2">
      <c r="A348" s="168">
        <v>341</v>
      </c>
      <c r="B348" s="159">
        <v>986.33681629142677</v>
      </c>
      <c r="C348" s="169">
        <f t="shared" si="20"/>
        <v>336340.8543553765</v>
      </c>
      <c r="D348" s="153"/>
      <c r="E348" s="170">
        <v>341</v>
      </c>
      <c r="F348" s="162">
        <v>294.37609734214652</v>
      </c>
      <c r="G348" s="171">
        <f t="shared" si="21"/>
        <v>100382.24919367196</v>
      </c>
      <c r="I348" s="168">
        <v>341</v>
      </c>
      <c r="J348" s="167">
        <f>ROUND(B348*('Model Data Inputs'!$E$184*'Model Data Inputs'!$E$185*'Model Data Inputs'!$E$186*'Model Data Inputs'!$E$187),2)</f>
        <v>986.34</v>
      </c>
      <c r="K348" s="169">
        <f t="shared" si="22"/>
        <v>336341.94</v>
      </c>
      <c r="L348" s="153"/>
      <c r="M348" s="170">
        <v>341</v>
      </c>
      <c r="N348" s="164">
        <f>ROUND(F348*('Model Data Inputs'!$E$184*'Model Data Inputs'!$E$185*'Model Data Inputs'!$E$186*'Model Data Inputs'!$E$187),2)</f>
        <v>294.38</v>
      </c>
      <c r="O348" s="171">
        <f t="shared" si="23"/>
        <v>100383.58</v>
      </c>
    </row>
    <row r="349" spans="1:15" x14ac:dyDescent="0.2">
      <c r="A349" s="168">
        <v>342</v>
      </c>
      <c r="B349" s="159">
        <v>985.39295427667639</v>
      </c>
      <c r="C349" s="169">
        <f t="shared" si="20"/>
        <v>337004.39036262332</v>
      </c>
      <c r="D349" s="153"/>
      <c r="E349" s="170">
        <v>342</v>
      </c>
      <c r="F349" s="162">
        <v>294.26283390037645</v>
      </c>
      <c r="G349" s="171">
        <f t="shared" si="21"/>
        <v>100637.88919392874</v>
      </c>
      <c r="I349" s="168">
        <v>342</v>
      </c>
      <c r="J349" s="167">
        <f>ROUND(B349*('Model Data Inputs'!$E$184*'Model Data Inputs'!$E$185*'Model Data Inputs'!$E$186*'Model Data Inputs'!$E$187),2)</f>
        <v>985.39</v>
      </c>
      <c r="K349" s="169">
        <f t="shared" si="22"/>
        <v>337003.38</v>
      </c>
      <c r="L349" s="153"/>
      <c r="M349" s="170">
        <v>342</v>
      </c>
      <c r="N349" s="164">
        <f>ROUND(F349*('Model Data Inputs'!$E$184*'Model Data Inputs'!$E$185*'Model Data Inputs'!$E$186*'Model Data Inputs'!$E$187),2)</f>
        <v>294.26</v>
      </c>
      <c r="O349" s="171">
        <f t="shared" si="23"/>
        <v>100636.92</v>
      </c>
    </row>
    <row r="350" spans="1:15" x14ac:dyDescent="0.2">
      <c r="A350" s="168">
        <v>343</v>
      </c>
      <c r="B350" s="159">
        <v>984.44909226192578</v>
      </c>
      <c r="C350" s="169">
        <f t="shared" si="20"/>
        <v>337666.03864584054</v>
      </c>
      <c r="D350" s="153"/>
      <c r="E350" s="170">
        <v>343</v>
      </c>
      <c r="F350" s="162">
        <v>294.1495704586066</v>
      </c>
      <c r="G350" s="171">
        <f t="shared" si="21"/>
        <v>100893.30266730206</v>
      </c>
      <c r="I350" s="168">
        <v>343</v>
      </c>
      <c r="J350" s="167">
        <f>ROUND(B350*('Model Data Inputs'!$E$184*'Model Data Inputs'!$E$185*'Model Data Inputs'!$E$186*'Model Data Inputs'!$E$187),2)</f>
        <v>984.45</v>
      </c>
      <c r="K350" s="169">
        <f t="shared" si="22"/>
        <v>337666.35000000003</v>
      </c>
      <c r="L350" s="153"/>
      <c r="M350" s="170">
        <v>343</v>
      </c>
      <c r="N350" s="164">
        <f>ROUND(F350*('Model Data Inputs'!$E$184*'Model Data Inputs'!$E$185*'Model Data Inputs'!$E$186*'Model Data Inputs'!$E$187),2)</f>
        <v>294.14999999999998</v>
      </c>
      <c r="O350" s="171">
        <f t="shared" si="23"/>
        <v>100893.45</v>
      </c>
    </row>
    <row r="351" spans="1:15" x14ac:dyDescent="0.2">
      <c r="A351" s="168">
        <v>344</v>
      </c>
      <c r="B351" s="159">
        <v>983.50523024717563</v>
      </c>
      <c r="C351" s="169">
        <f t="shared" si="20"/>
        <v>338325.79920502839</v>
      </c>
      <c r="D351" s="153"/>
      <c r="E351" s="170">
        <v>344</v>
      </c>
      <c r="F351" s="162">
        <v>294.03630701683653</v>
      </c>
      <c r="G351" s="171">
        <f t="shared" si="21"/>
        <v>101148.48961379177</v>
      </c>
      <c r="I351" s="168">
        <v>344</v>
      </c>
      <c r="J351" s="167">
        <f>ROUND(B351*('Model Data Inputs'!$E$184*'Model Data Inputs'!$E$185*'Model Data Inputs'!$E$186*'Model Data Inputs'!$E$187),2)</f>
        <v>983.51</v>
      </c>
      <c r="K351" s="169">
        <f t="shared" si="22"/>
        <v>338327.44</v>
      </c>
      <c r="L351" s="153"/>
      <c r="M351" s="170">
        <v>344</v>
      </c>
      <c r="N351" s="164">
        <f>ROUND(F351*('Model Data Inputs'!$E$184*'Model Data Inputs'!$E$185*'Model Data Inputs'!$E$186*'Model Data Inputs'!$E$187),2)</f>
        <v>294.04000000000002</v>
      </c>
      <c r="O351" s="171">
        <f t="shared" si="23"/>
        <v>101149.76000000001</v>
      </c>
    </row>
    <row r="352" spans="1:15" x14ac:dyDescent="0.2">
      <c r="A352" s="168">
        <v>345</v>
      </c>
      <c r="B352" s="159">
        <v>982.56136823242537</v>
      </c>
      <c r="C352" s="169">
        <f t="shared" si="20"/>
        <v>338983.67204018676</v>
      </c>
      <c r="D352" s="153"/>
      <c r="E352" s="170">
        <v>345</v>
      </c>
      <c r="F352" s="162">
        <v>293.9230435750664</v>
      </c>
      <c r="G352" s="171">
        <f t="shared" si="21"/>
        <v>101403.45003339791</v>
      </c>
      <c r="I352" s="168">
        <v>345</v>
      </c>
      <c r="J352" s="167">
        <f>ROUND(B352*('Model Data Inputs'!$E$184*'Model Data Inputs'!$E$185*'Model Data Inputs'!$E$186*'Model Data Inputs'!$E$187),2)</f>
        <v>982.56</v>
      </c>
      <c r="K352" s="169">
        <f t="shared" si="22"/>
        <v>338983.19999999995</v>
      </c>
      <c r="L352" s="153"/>
      <c r="M352" s="170">
        <v>345</v>
      </c>
      <c r="N352" s="164">
        <f>ROUND(F352*('Model Data Inputs'!$E$184*'Model Data Inputs'!$E$185*'Model Data Inputs'!$E$186*'Model Data Inputs'!$E$187),2)</f>
        <v>293.92</v>
      </c>
      <c r="O352" s="171">
        <f t="shared" si="23"/>
        <v>101402.40000000001</v>
      </c>
    </row>
    <row r="353" spans="1:15" x14ac:dyDescent="0.2">
      <c r="A353" s="168">
        <v>346</v>
      </c>
      <c r="B353" s="159">
        <v>981.61750621767476</v>
      </c>
      <c r="C353" s="169">
        <f t="shared" si="20"/>
        <v>339639.65715131548</v>
      </c>
      <c r="D353" s="153"/>
      <c r="E353" s="170">
        <v>346</v>
      </c>
      <c r="F353" s="162">
        <v>293.80978013329633</v>
      </c>
      <c r="G353" s="171">
        <f t="shared" si="21"/>
        <v>101658.18392612053</v>
      </c>
      <c r="I353" s="168">
        <v>346</v>
      </c>
      <c r="J353" s="167">
        <f>ROUND(B353*('Model Data Inputs'!$E$184*'Model Data Inputs'!$E$185*'Model Data Inputs'!$E$186*'Model Data Inputs'!$E$187),2)</f>
        <v>981.62</v>
      </c>
      <c r="K353" s="169">
        <f t="shared" si="22"/>
        <v>339640.52</v>
      </c>
      <c r="L353" s="153"/>
      <c r="M353" s="170">
        <v>346</v>
      </c>
      <c r="N353" s="164">
        <f>ROUND(F353*('Model Data Inputs'!$E$184*'Model Data Inputs'!$E$185*'Model Data Inputs'!$E$186*'Model Data Inputs'!$E$187),2)</f>
        <v>293.81</v>
      </c>
      <c r="O353" s="171">
        <f t="shared" si="23"/>
        <v>101658.26</v>
      </c>
    </row>
    <row r="354" spans="1:15" x14ac:dyDescent="0.2">
      <c r="A354" s="165">
        <v>347</v>
      </c>
      <c r="B354" s="159">
        <v>980.67364420292449</v>
      </c>
      <c r="C354" s="160">
        <f t="shared" si="20"/>
        <v>340293.75453841483</v>
      </c>
      <c r="D354" s="153"/>
      <c r="E354" s="166">
        <v>347</v>
      </c>
      <c r="F354" s="162">
        <v>293.69651669152626</v>
      </c>
      <c r="G354" s="163">
        <f t="shared" si="21"/>
        <v>101912.69129195961</v>
      </c>
      <c r="I354" s="165">
        <v>347</v>
      </c>
      <c r="J354" s="167">
        <f>ROUND(B354*('Model Data Inputs'!$E$184*'Model Data Inputs'!$E$185*'Model Data Inputs'!$E$186*'Model Data Inputs'!$E$187),2)</f>
        <v>980.67</v>
      </c>
      <c r="K354" s="160">
        <f t="shared" si="22"/>
        <v>340292.49</v>
      </c>
      <c r="L354" s="153"/>
      <c r="M354" s="166">
        <v>347</v>
      </c>
      <c r="N354" s="164">
        <f>ROUND(F354*('Model Data Inputs'!$E$184*'Model Data Inputs'!$E$185*'Model Data Inputs'!$E$186*'Model Data Inputs'!$E$187),2)</f>
        <v>293.7</v>
      </c>
      <c r="O354" s="163">
        <f t="shared" si="23"/>
        <v>101913.9</v>
      </c>
    </row>
    <row r="355" spans="1:15" x14ac:dyDescent="0.2">
      <c r="A355" s="165">
        <v>348</v>
      </c>
      <c r="B355" s="159">
        <v>979.729782188174</v>
      </c>
      <c r="C355" s="160">
        <f t="shared" si="20"/>
        <v>340945.96420148457</v>
      </c>
      <c r="D355" s="153"/>
      <c r="E355" s="166">
        <v>348</v>
      </c>
      <c r="F355" s="162">
        <v>293.5832532497563</v>
      </c>
      <c r="G355" s="163">
        <f t="shared" si="21"/>
        <v>102166.97213091519</v>
      </c>
      <c r="I355" s="165">
        <v>348</v>
      </c>
      <c r="J355" s="167">
        <f>ROUND(B355*('Model Data Inputs'!$E$184*'Model Data Inputs'!$E$185*'Model Data Inputs'!$E$186*'Model Data Inputs'!$E$187),2)</f>
        <v>979.73</v>
      </c>
      <c r="K355" s="160">
        <f t="shared" si="22"/>
        <v>340946.04</v>
      </c>
      <c r="L355" s="153"/>
      <c r="M355" s="166">
        <v>348</v>
      </c>
      <c r="N355" s="164">
        <f>ROUND(F355*('Model Data Inputs'!$E$184*'Model Data Inputs'!$E$185*'Model Data Inputs'!$E$186*'Model Data Inputs'!$E$187),2)</f>
        <v>293.58</v>
      </c>
      <c r="O355" s="163">
        <f t="shared" si="23"/>
        <v>102165.84</v>
      </c>
    </row>
    <row r="356" spans="1:15" x14ac:dyDescent="0.2">
      <c r="A356" s="168">
        <v>349</v>
      </c>
      <c r="B356" s="159">
        <v>978.78592017342362</v>
      </c>
      <c r="C356" s="169">
        <f t="shared" si="20"/>
        <v>341596.28614052484</v>
      </c>
      <c r="D356" s="153"/>
      <c r="E356" s="170">
        <v>349</v>
      </c>
      <c r="F356" s="162">
        <v>293.46998980798622</v>
      </c>
      <c r="G356" s="171">
        <f t="shared" si="21"/>
        <v>102421.02644298719</v>
      </c>
      <c r="I356" s="168">
        <v>349</v>
      </c>
      <c r="J356" s="167">
        <f>ROUND(B356*('Model Data Inputs'!$E$184*'Model Data Inputs'!$E$185*'Model Data Inputs'!$E$186*'Model Data Inputs'!$E$187),2)</f>
        <v>978.79</v>
      </c>
      <c r="K356" s="169">
        <f t="shared" si="22"/>
        <v>341597.70999999996</v>
      </c>
      <c r="L356" s="153"/>
      <c r="M356" s="170">
        <v>349</v>
      </c>
      <c r="N356" s="164">
        <f>ROUND(F356*('Model Data Inputs'!$E$184*'Model Data Inputs'!$E$185*'Model Data Inputs'!$E$186*'Model Data Inputs'!$E$187),2)</f>
        <v>293.47000000000003</v>
      </c>
      <c r="O356" s="171">
        <f t="shared" si="23"/>
        <v>102421.03000000001</v>
      </c>
    </row>
    <row r="357" spans="1:15" x14ac:dyDescent="0.2">
      <c r="A357" s="168">
        <v>350</v>
      </c>
      <c r="B357" s="159">
        <v>977.84205815867335</v>
      </c>
      <c r="C357" s="169">
        <f t="shared" si="20"/>
        <v>342244.72035553568</v>
      </c>
      <c r="D357" s="153"/>
      <c r="E357" s="170">
        <v>350</v>
      </c>
      <c r="F357" s="162">
        <v>293.35672636621615</v>
      </c>
      <c r="G357" s="171">
        <f t="shared" si="21"/>
        <v>102674.85422817565</v>
      </c>
      <c r="I357" s="168">
        <v>350</v>
      </c>
      <c r="J357" s="167">
        <f>ROUND(B357*('Model Data Inputs'!$E$184*'Model Data Inputs'!$E$185*'Model Data Inputs'!$E$186*'Model Data Inputs'!$E$187),2)</f>
        <v>977.84</v>
      </c>
      <c r="K357" s="169">
        <f t="shared" si="22"/>
        <v>342244</v>
      </c>
      <c r="L357" s="153"/>
      <c r="M357" s="170">
        <v>350</v>
      </c>
      <c r="N357" s="164">
        <f>ROUND(F357*('Model Data Inputs'!$E$184*'Model Data Inputs'!$E$185*'Model Data Inputs'!$E$186*'Model Data Inputs'!$E$187),2)</f>
        <v>293.36</v>
      </c>
      <c r="O357" s="171">
        <f t="shared" si="23"/>
        <v>102676</v>
      </c>
    </row>
    <row r="358" spans="1:15" x14ac:dyDescent="0.2">
      <c r="A358" s="168">
        <v>351</v>
      </c>
      <c r="B358" s="159">
        <v>976.89819614392297</v>
      </c>
      <c r="C358" s="169">
        <f t="shared" si="20"/>
        <v>342891.26684651698</v>
      </c>
      <c r="D358" s="153"/>
      <c r="E358" s="170">
        <v>351</v>
      </c>
      <c r="F358" s="162">
        <v>293.24346292444613</v>
      </c>
      <c r="G358" s="171">
        <f t="shared" si="21"/>
        <v>102928.4554864806</v>
      </c>
      <c r="I358" s="168">
        <v>351</v>
      </c>
      <c r="J358" s="167">
        <f>ROUND(B358*('Model Data Inputs'!$E$184*'Model Data Inputs'!$E$185*'Model Data Inputs'!$E$186*'Model Data Inputs'!$E$187),2)</f>
        <v>976.9</v>
      </c>
      <c r="K358" s="169">
        <f t="shared" si="22"/>
        <v>342891.89999999997</v>
      </c>
      <c r="L358" s="153"/>
      <c r="M358" s="170">
        <v>351</v>
      </c>
      <c r="N358" s="164">
        <f>ROUND(F358*('Model Data Inputs'!$E$184*'Model Data Inputs'!$E$185*'Model Data Inputs'!$E$186*'Model Data Inputs'!$E$187),2)</f>
        <v>293.24</v>
      </c>
      <c r="O358" s="171">
        <f t="shared" si="23"/>
        <v>102927.24</v>
      </c>
    </row>
    <row r="359" spans="1:15" x14ac:dyDescent="0.2">
      <c r="A359" s="168">
        <v>352</v>
      </c>
      <c r="B359" s="159">
        <v>975.95433412917248</v>
      </c>
      <c r="C359" s="169">
        <f t="shared" si="20"/>
        <v>343535.92561346869</v>
      </c>
      <c r="D359" s="153"/>
      <c r="E359" s="170">
        <v>352</v>
      </c>
      <c r="F359" s="162">
        <v>293.13019948267612</v>
      </c>
      <c r="G359" s="171">
        <f t="shared" si="21"/>
        <v>103181.830217902</v>
      </c>
      <c r="I359" s="168">
        <v>352</v>
      </c>
      <c r="J359" s="167">
        <f>ROUND(B359*('Model Data Inputs'!$E$184*'Model Data Inputs'!$E$185*'Model Data Inputs'!$E$186*'Model Data Inputs'!$E$187),2)</f>
        <v>975.95</v>
      </c>
      <c r="K359" s="169">
        <f t="shared" si="22"/>
        <v>343534.4</v>
      </c>
      <c r="L359" s="153"/>
      <c r="M359" s="170">
        <v>352</v>
      </c>
      <c r="N359" s="164">
        <f>ROUND(F359*('Model Data Inputs'!$E$184*'Model Data Inputs'!$E$185*'Model Data Inputs'!$E$186*'Model Data Inputs'!$E$187),2)</f>
        <v>293.13</v>
      </c>
      <c r="O359" s="171">
        <f t="shared" si="23"/>
        <v>103181.75999999999</v>
      </c>
    </row>
    <row r="360" spans="1:15" x14ac:dyDescent="0.2">
      <c r="A360" s="168">
        <v>353</v>
      </c>
      <c r="B360" s="159">
        <v>975.01047211442233</v>
      </c>
      <c r="C360" s="169">
        <f t="shared" si="20"/>
        <v>344178.69665639108</v>
      </c>
      <c r="D360" s="153"/>
      <c r="E360" s="170">
        <v>353</v>
      </c>
      <c r="F360" s="162">
        <v>293.01693604090599</v>
      </c>
      <c r="G360" s="171">
        <f t="shared" si="21"/>
        <v>103434.97842243982</v>
      </c>
      <c r="I360" s="168">
        <v>353</v>
      </c>
      <c r="J360" s="167">
        <f>ROUND(B360*('Model Data Inputs'!$E$184*'Model Data Inputs'!$E$185*'Model Data Inputs'!$E$186*'Model Data Inputs'!$E$187),2)</f>
        <v>975.01</v>
      </c>
      <c r="K360" s="169">
        <f t="shared" si="22"/>
        <v>344178.52999999997</v>
      </c>
      <c r="L360" s="153"/>
      <c r="M360" s="170">
        <v>353</v>
      </c>
      <c r="N360" s="164">
        <f>ROUND(F360*('Model Data Inputs'!$E$184*'Model Data Inputs'!$E$185*'Model Data Inputs'!$E$186*'Model Data Inputs'!$E$187),2)</f>
        <v>293.02</v>
      </c>
      <c r="O360" s="171">
        <f t="shared" si="23"/>
        <v>103436.06</v>
      </c>
    </row>
    <row r="361" spans="1:15" x14ac:dyDescent="0.2">
      <c r="A361" s="168">
        <v>354</v>
      </c>
      <c r="B361" s="159">
        <v>974.06661009967183</v>
      </c>
      <c r="C361" s="169">
        <f t="shared" si="20"/>
        <v>344819.57997528382</v>
      </c>
      <c r="D361" s="153"/>
      <c r="E361" s="170">
        <v>354</v>
      </c>
      <c r="F361" s="162">
        <v>292.90367259913586</v>
      </c>
      <c r="G361" s="171">
        <f t="shared" si="21"/>
        <v>103687.90010009409</v>
      </c>
      <c r="I361" s="168">
        <v>354</v>
      </c>
      <c r="J361" s="167">
        <f>ROUND(B361*('Model Data Inputs'!$E$184*'Model Data Inputs'!$E$185*'Model Data Inputs'!$E$186*'Model Data Inputs'!$E$187),2)</f>
        <v>974.07</v>
      </c>
      <c r="K361" s="169">
        <f t="shared" si="22"/>
        <v>344820.78</v>
      </c>
      <c r="L361" s="153"/>
      <c r="M361" s="170">
        <v>354</v>
      </c>
      <c r="N361" s="164">
        <f>ROUND(F361*('Model Data Inputs'!$E$184*'Model Data Inputs'!$E$185*'Model Data Inputs'!$E$186*'Model Data Inputs'!$E$187),2)</f>
        <v>292.89999999999998</v>
      </c>
      <c r="O361" s="171">
        <f t="shared" si="23"/>
        <v>103686.59999999999</v>
      </c>
    </row>
    <row r="362" spans="1:15" x14ac:dyDescent="0.2">
      <c r="A362" s="168">
        <v>355</v>
      </c>
      <c r="B362" s="159">
        <v>973.12274808492145</v>
      </c>
      <c r="C362" s="169">
        <f t="shared" si="20"/>
        <v>345458.57557014714</v>
      </c>
      <c r="D362" s="153"/>
      <c r="E362" s="170">
        <v>355</v>
      </c>
      <c r="F362" s="162">
        <v>292.79040915736596</v>
      </c>
      <c r="G362" s="171">
        <f t="shared" si="21"/>
        <v>103940.59525086492</v>
      </c>
      <c r="I362" s="168">
        <v>355</v>
      </c>
      <c r="J362" s="167">
        <f>ROUND(B362*('Model Data Inputs'!$E$184*'Model Data Inputs'!$E$185*'Model Data Inputs'!$E$186*'Model Data Inputs'!$E$187),2)</f>
        <v>973.12</v>
      </c>
      <c r="K362" s="169">
        <f t="shared" si="22"/>
        <v>345457.6</v>
      </c>
      <c r="L362" s="153"/>
      <c r="M362" s="170">
        <v>355</v>
      </c>
      <c r="N362" s="164">
        <f>ROUND(F362*('Model Data Inputs'!$E$184*'Model Data Inputs'!$E$185*'Model Data Inputs'!$E$186*'Model Data Inputs'!$E$187),2)</f>
        <v>292.79000000000002</v>
      </c>
      <c r="O362" s="171">
        <f t="shared" si="23"/>
        <v>103940.45000000001</v>
      </c>
    </row>
    <row r="363" spans="1:15" x14ac:dyDescent="0.2">
      <c r="A363" s="168">
        <v>356</v>
      </c>
      <c r="B363" s="159">
        <v>972.17888607017096</v>
      </c>
      <c r="C363" s="169">
        <f t="shared" si="20"/>
        <v>346095.68344098085</v>
      </c>
      <c r="D363" s="153"/>
      <c r="E363" s="170">
        <v>356</v>
      </c>
      <c r="F363" s="162">
        <v>292.67714571559588</v>
      </c>
      <c r="G363" s="171">
        <f t="shared" si="21"/>
        <v>104193.06387475213</v>
      </c>
      <c r="I363" s="168">
        <v>356</v>
      </c>
      <c r="J363" s="167">
        <f>ROUND(B363*('Model Data Inputs'!$E$184*'Model Data Inputs'!$E$185*'Model Data Inputs'!$E$186*'Model Data Inputs'!$E$187),2)</f>
        <v>972.18</v>
      </c>
      <c r="K363" s="169">
        <f t="shared" si="22"/>
        <v>346096.07999999996</v>
      </c>
      <c r="L363" s="153"/>
      <c r="M363" s="170">
        <v>356</v>
      </c>
      <c r="N363" s="164">
        <f>ROUND(F363*('Model Data Inputs'!$E$184*'Model Data Inputs'!$E$185*'Model Data Inputs'!$E$186*'Model Data Inputs'!$E$187),2)</f>
        <v>292.68</v>
      </c>
      <c r="O363" s="171">
        <f t="shared" si="23"/>
        <v>104194.08</v>
      </c>
    </row>
    <row r="364" spans="1:15" x14ac:dyDescent="0.2">
      <c r="A364" s="168">
        <v>357</v>
      </c>
      <c r="B364" s="159">
        <v>971.23502405542081</v>
      </c>
      <c r="C364" s="169">
        <f t="shared" si="20"/>
        <v>346730.9035877852</v>
      </c>
      <c r="D364" s="153"/>
      <c r="E364" s="170">
        <v>357</v>
      </c>
      <c r="F364" s="162">
        <v>292.56388227382587</v>
      </c>
      <c r="G364" s="171">
        <f t="shared" si="21"/>
        <v>104445.30597175584</v>
      </c>
      <c r="I364" s="168">
        <v>357</v>
      </c>
      <c r="J364" s="167">
        <f>ROUND(B364*('Model Data Inputs'!$E$184*'Model Data Inputs'!$E$185*'Model Data Inputs'!$E$186*'Model Data Inputs'!$E$187),2)</f>
        <v>971.24</v>
      </c>
      <c r="K364" s="169">
        <f t="shared" si="22"/>
        <v>346732.68</v>
      </c>
      <c r="L364" s="153"/>
      <c r="M364" s="170">
        <v>357</v>
      </c>
      <c r="N364" s="164">
        <f>ROUND(F364*('Model Data Inputs'!$E$184*'Model Data Inputs'!$E$185*'Model Data Inputs'!$E$186*'Model Data Inputs'!$E$187),2)</f>
        <v>292.56</v>
      </c>
      <c r="O364" s="171">
        <f t="shared" si="23"/>
        <v>104443.92</v>
      </c>
    </row>
    <row r="365" spans="1:15" x14ac:dyDescent="0.2">
      <c r="A365" s="168">
        <v>358</v>
      </c>
      <c r="B365" s="159">
        <v>970.29116204067043</v>
      </c>
      <c r="C365" s="169">
        <f t="shared" si="20"/>
        <v>347364.23601056001</v>
      </c>
      <c r="D365" s="153"/>
      <c r="E365" s="170">
        <v>358</v>
      </c>
      <c r="F365" s="162">
        <v>292.4506188320558</v>
      </c>
      <c r="G365" s="171">
        <f t="shared" si="21"/>
        <v>104697.32154187598</v>
      </c>
      <c r="I365" s="168">
        <v>358</v>
      </c>
      <c r="J365" s="167">
        <f>ROUND(B365*('Model Data Inputs'!$E$184*'Model Data Inputs'!$E$185*'Model Data Inputs'!$E$186*'Model Data Inputs'!$E$187),2)</f>
        <v>970.29</v>
      </c>
      <c r="K365" s="169">
        <f t="shared" si="22"/>
        <v>347363.82</v>
      </c>
      <c r="L365" s="153"/>
      <c r="M365" s="170">
        <v>358</v>
      </c>
      <c r="N365" s="164">
        <f>ROUND(F365*('Model Data Inputs'!$E$184*'Model Data Inputs'!$E$185*'Model Data Inputs'!$E$186*'Model Data Inputs'!$E$187),2)</f>
        <v>292.45</v>
      </c>
      <c r="O365" s="171">
        <f t="shared" si="23"/>
        <v>104697.09999999999</v>
      </c>
    </row>
    <row r="366" spans="1:15" x14ac:dyDescent="0.2">
      <c r="A366" s="168">
        <v>359</v>
      </c>
      <c r="B366" s="159">
        <v>969.34730002591994</v>
      </c>
      <c r="C366" s="169">
        <f t="shared" si="20"/>
        <v>347995.68070930528</v>
      </c>
      <c r="D366" s="153"/>
      <c r="E366" s="170">
        <v>359</v>
      </c>
      <c r="F366" s="162">
        <v>292.33735539028578</v>
      </c>
      <c r="G366" s="171">
        <f t="shared" si="21"/>
        <v>104949.11058511259</v>
      </c>
      <c r="I366" s="168">
        <v>359</v>
      </c>
      <c r="J366" s="167">
        <f>ROUND(B366*('Model Data Inputs'!$E$184*'Model Data Inputs'!$E$185*'Model Data Inputs'!$E$186*'Model Data Inputs'!$E$187),2)</f>
        <v>969.35</v>
      </c>
      <c r="K366" s="169">
        <f t="shared" si="22"/>
        <v>347996.65</v>
      </c>
      <c r="L366" s="153"/>
      <c r="M366" s="170">
        <v>359</v>
      </c>
      <c r="N366" s="164">
        <f>ROUND(F366*('Model Data Inputs'!$E$184*'Model Data Inputs'!$E$185*'Model Data Inputs'!$E$186*'Model Data Inputs'!$E$187),2)</f>
        <v>292.33999999999997</v>
      </c>
      <c r="O366" s="171">
        <f t="shared" si="23"/>
        <v>104950.06</v>
      </c>
    </row>
    <row r="367" spans="1:15" x14ac:dyDescent="0.2">
      <c r="A367" s="168">
        <v>360</v>
      </c>
      <c r="B367" s="159">
        <v>968.40343801116956</v>
      </c>
      <c r="C367" s="169">
        <f t="shared" si="20"/>
        <v>348625.23768402106</v>
      </c>
      <c r="D367" s="153"/>
      <c r="E367" s="170">
        <v>360</v>
      </c>
      <c r="F367" s="162">
        <v>292.22409194851571</v>
      </c>
      <c r="G367" s="171">
        <f t="shared" si="21"/>
        <v>105200.67310146565</v>
      </c>
      <c r="I367" s="168">
        <v>360</v>
      </c>
      <c r="J367" s="167">
        <f>ROUND(B367*('Model Data Inputs'!$E$184*'Model Data Inputs'!$E$185*'Model Data Inputs'!$E$186*'Model Data Inputs'!$E$187),2)</f>
        <v>968.4</v>
      </c>
      <c r="K367" s="169">
        <f t="shared" si="22"/>
        <v>348624</v>
      </c>
      <c r="L367" s="153"/>
      <c r="M367" s="170">
        <v>360</v>
      </c>
      <c r="N367" s="164">
        <f>ROUND(F367*('Model Data Inputs'!$E$184*'Model Data Inputs'!$E$185*'Model Data Inputs'!$E$186*'Model Data Inputs'!$E$187),2)</f>
        <v>292.22000000000003</v>
      </c>
      <c r="O367" s="171">
        <f t="shared" si="23"/>
        <v>105199.20000000001</v>
      </c>
    </row>
    <row r="368" spans="1:15" x14ac:dyDescent="0.2">
      <c r="A368" s="168">
        <v>361</v>
      </c>
      <c r="B368" s="159">
        <v>967.45957599641918</v>
      </c>
      <c r="C368" s="169">
        <f t="shared" si="20"/>
        <v>349252.90693470731</v>
      </c>
      <c r="D368" s="153"/>
      <c r="E368" s="170">
        <v>361</v>
      </c>
      <c r="F368" s="162">
        <v>292.11082850674575</v>
      </c>
      <c r="G368" s="171">
        <f t="shared" si="21"/>
        <v>105452.00909093521</v>
      </c>
      <c r="I368" s="168">
        <v>361</v>
      </c>
      <c r="J368" s="167">
        <f>ROUND(B368*('Model Data Inputs'!$E$184*'Model Data Inputs'!$E$185*'Model Data Inputs'!$E$186*'Model Data Inputs'!$E$187),2)</f>
        <v>967.46</v>
      </c>
      <c r="K368" s="169">
        <f t="shared" si="22"/>
        <v>349253.06</v>
      </c>
      <c r="L368" s="153"/>
      <c r="M368" s="170">
        <v>361</v>
      </c>
      <c r="N368" s="164">
        <f>ROUND(F368*('Model Data Inputs'!$E$184*'Model Data Inputs'!$E$185*'Model Data Inputs'!$E$186*'Model Data Inputs'!$E$187),2)</f>
        <v>292.11</v>
      </c>
      <c r="O368" s="171">
        <f t="shared" si="23"/>
        <v>105451.71</v>
      </c>
    </row>
    <row r="369" spans="1:15" x14ac:dyDescent="0.2">
      <c r="A369" s="168">
        <v>362</v>
      </c>
      <c r="B369" s="159">
        <v>966.5157139816688</v>
      </c>
      <c r="C369" s="169">
        <f t="shared" si="20"/>
        <v>349878.68846136413</v>
      </c>
      <c r="D369" s="153"/>
      <c r="E369" s="170">
        <v>362</v>
      </c>
      <c r="F369" s="162">
        <v>291.99756506497567</v>
      </c>
      <c r="G369" s="171">
        <f t="shared" si="21"/>
        <v>105703.1185535212</v>
      </c>
      <c r="I369" s="168">
        <v>362</v>
      </c>
      <c r="J369" s="167">
        <f>ROUND(B369*('Model Data Inputs'!$E$184*'Model Data Inputs'!$E$185*'Model Data Inputs'!$E$186*'Model Data Inputs'!$E$187),2)</f>
        <v>966.52</v>
      </c>
      <c r="K369" s="169">
        <f t="shared" si="22"/>
        <v>349880.24</v>
      </c>
      <c r="L369" s="153"/>
      <c r="M369" s="170">
        <v>362</v>
      </c>
      <c r="N369" s="164">
        <f>ROUND(F369*('Model Data Inputs'!$E$184*'Model Data Inputs'!$E$185*'Model Data Inputs'!$E$186*'Model Data Inputs'!$E$187),2)</f>
        <v>292</v>
      </c>
      <c r="O369" s="171">
        <f t="shared" si="23"/>
        <v>105704</v>
      </c>
    </row>
    <row r="370" spans="1:15" x14ac:dyDescent="0.2">
      <c r="A370" s="168">
        <v>363</v>
      </c>
      <c r="B370" s="159">
        <v>965.57185196691853</v>
      </c>
      <c r="C370" s="169">
        <f t="shared" si="20"/>
        <v>350502.58226399141</v>
      </c>
      <c r="D370" s="153"/>
      <c r="E370" s="170">
        <v>363</v>
      </c>
      <c r="F370" s="162">
        <v>291.88430162320554</v>
      </c>
      <c r="G370" s="171">
        <f t="shared" si="21"/>
        <v>105954.00148922361</v>
      </c>
      <c r="I370" s="168">
        <v>363</v>
      </c>
      <c r="J370" s="167">
        <f>ROUND(B370*('Model Data Inputs'!$E$184*'Model Data Inputs'!$E$185*'Model Data Inputs'!$E$186*'Model Data Inputs'!$E$187),2)</f>
        <v>965.57</v>
      </c>
      <c r="K370" s="169">
        <f t="shared" si="22"/>
        <v>350501.91000000003</v>
      </c>
      <c r="L370" s="153"/>
      <c r="M370" s="170">
        <v>363</v>
      </c>
      <c r="N370" s="164">
        <f>ROUND(F370*('Model Data Inputs'!$E$184*'Model Data Inputs'!$E$185*'Model Data Inputs'!$E$186*'Model Data Inputs'!$E$187),2)</f>
        <v>291.88</v>
      </c>
      <c r="O370" s="171">
        <f t="shared" si="23"/>
        <v>105952.44</v>
      </c>
    </row>
    <row r="371" spans="1:15" x14ac:dyDescent="0.2">
      <c r="A371" s="168">
        <v>364</v>
      </c>
      <c r="B371" s="159">
        <v>964.62798995216804</v>
      </c>
      <c r="C371" s="169">
        <f t="shared" si="20"/>
        <v>351124.58834258915</v>
      </c>
      <c r="D371" s="153"/>
      <c r="E371" s="170">
        <v>364</v>
      </c>
      <c r="F371" s="162">
        <v>291.77103818143547</v>
      </c>
      <c r="G371" s="171">
        <f t="shared" si="21"/>
        <v>106204.65789804251</v>
      </c>
      <c r="I371" s="168">
        <v>364</v>
      </c>
      <c r="J371" s="167">
        <f>ROUND(B371*('Model Data Inputs'!$E$184*'Model Data Inputs'!$E$185*'Model Data Inputs'!$E$186*'Model Data Inputs'!$E$187),2)</f>
        <v>964.63</v>
      </c>
      <c r="K371" s="169">
        <f t="shared" si="22"/>
        <v>351125.32</v>
      </c>
      <c r="L371" s="153"/>
      <c r="M371" s="170">
        <v>364</v>
      </c>
      <c r="N371" s="164">
        <f>ROUND(F371*('Model Data Inputs'!$E$184*'Model Data Inputs'!$E$185*'Model Data Inputs'!$E$186*'Model Data Inputs'!$E$187),2)</f>
        <v>291.77</v>
      </c>
      <c r="O371" s="171">
        <f t="shared" si="23"/>
        <v>106204.28</v>
      </c>
    </row>
    <row r="372" spans="1:15" x14ac:dyDescent="0.2">
      <c r="A372" s="168">
        <v>365</v>
      </c>
      <c r="B372" s="159">
        <v>963.68412793741777</v>
      </c>
      <c r="C372" s="169">
        <f t="shared" si="20"/>
        <v>351744.70669715747</v>
      </c>
      <c r="D372" s="153"/>
      <c r="E372" s="170">
        <v>365</v>
      </c>
      <c r="F372" s="162">
        <v>291.65777473966546</v>
      </c>
      <c r="G372" s="171">
        <f t="shared" si="21"/>
        <v>106455.0877799779</v>
      </c>
      <c r="I372" s="168">
        <v>365</v>
      </c>
      <c r="J372" s="167">
        <f>ROUND(B372*('Model Data Inputs'!$E$184*'Model Data Inputs'!$E$185*'Model Data Inputs'!$E$186*'Model Data Inputs'!$E$187),2)</f>
        <v>963.68</v>
      </c>
      <c r="K372" s="169">
        <f t="shared" si="22"/>
        <v>351743.19999999995</v>
      </c>
      <c r="L372" s="153"/>
      <c r="M372" s="170">
        <v>365</v>
      </c>
      <c r="N372" s="164">
        <f>ROUND(F372*('Model Data Inputs'!$E$184*'Model Data Inputs'!$E$185*'Model Data Inputs'!$E$186*'Model Data Inputs'!$E$187),2)</f>
        <v>291.66000000000003</v>
      </c>
      <c r="O372" s="171">
        <f t="shared" si="23"/>
        <v>106455.90000000001</v>
      </c>
    </row>
    <row r="373" spans="1:15" x14ac:dyDescent="0.2">
      <c r="A373" s="168">
        <v>366</v>
      </c>
      <c r="B373" s="159">
        <v>962.74026592266728</v>
      </c>
      <c r="C373" s="169">
        <f t="shared" si="20"/>
        <v>352362.93732769624</v>
      </c>
      <c r="D373" s="153"/>
      <c r="E373" s="170">
        <v>366</v>
      </c>
      <c r="F373" s="162">
        <v>291.5445112978955</v>
      </c>
      <c r="G373" s="171">
        <f t="shared" si="21"/>
        <v>106705.29113502975</v>
      </c>
      <c r="I373" s="168">
        <v>366</v>
      </c>
      <c r="J373" s="167">
        <f>ROUND(B373*('Model Data Inputs'!$E$184*'Model Data Inputs'!$E$185*'Model Data Inputs'!$E$186*'Model Data Inputs'!$E$187),2)</f>
        <v>962.74</v>
      </c>
      <c r="K373" s="169">
        <f t="shared" si="22"/>
        <v>352362.84</v>
      </c>
      <c r="L373" s="153"/>
      <c r="M373" s="170">
        <v>366</v>
      </c>
      <c r="N373" s="164">
        <f>ROUND(F373*('Model Data Inputs'!$E$184*'Model Data Inputs'!$E$185*'Model Data Inputs'!$E$186*'Model Data Inputs'!$E$187),2)</f>
        <v>291.54000000000002</v>
      </c>
      <c r="O373" s="171">
        <f t="shared" si="23"/>
        <v>106703.64000000001</v>
      </c>
    </row>
    <row r="374" spans="1:15" x14ac:dyDescent="0.2">
      <c r="A374" s="168">
        <v>367</v>
      </c>
      <c r="B374" s="159">
        <v>961.79640390791701</v>
      </c>
      <c r="C374" s="169">
        <f t="shared" si="20"/>
        <v>352979.28023420554</v>
      </c>
      <c r="D374" s="153"/>
      <c r="E374" s="170">
        <v>367</v>
      </c>
      <c r="F374" s="162">
        <v>291.43124785612542</v>
      </c>
      <c r="G374" s="171">
        <f t="shared" si="21"/>
        <v>106955.26796319803</v>
      </c>
      <c r="I374" s="168">
        <v>367</v>
      </c>
      <c r="J374" s="167">
        <f>ROUND(B374*('Model Data Inputs'!$E$184*'Model Data Inputs'!$E$185*'Model Data Inputs'!$E$186*'Model Data Inputs'!$E$187),2)</f>
        <v>961.8</v>
      </c>
      <c r="K374" s="169">
        <f t="shared" si="22"/>
        <v>352980.6</v>
      </c>
      <c r="L374" s="153"/>
      <c r="M374" s="170">
        <v>367</v>
      </c>
      <c r="N374" s="164">
        <f>ROUND(F374*('Model Data Inputs'!$E$184*'Model Data Inputs'!$E$185*'Model Data Inputs'!$E$186*'Model Data Inputs'!$E$187),2)</f>
        <v>291.43</v>
      </c>
      <c r="O374" s="171">
        <f t="shared" si="23"/>
        <v>106954.81</v>
      </c>
    </row>
    <row r="375" spans="1:15" x14ac:dyDescent="0.2">
      <c r="A375" s="168">
        <v>368</v>
      </c>
      <c r="B375" s="159">
        <v>960.85254189316652</v>
      </c>
      <c r="C375" s="169">
        <f t="shared" si="20"/>
        <v>353593.73541668529</v>
      </c>
      <c r="D375" s="153"/>
      <c r="E375" s="170">
        <v>368</v>
      </c>
      <c r="F375" s="162">
        <v>291.31798441435535</v>
      </c>
      <c r="G375" s="171">
        <f t="shared" si="21"/>
        <v>107205.01826448277</v>
      </c>
      <c r="I375" s="168">
        <v>368</v>
      </c>
      <c r="J375" s="167">
        <f>ROUND(B375*('Model Data Inputs'!$E$184*'Model Data Inputs'!$E$185*'Model Data Inputs'!$E$186*'Model Data Inputs'!$E$187),2)</f>
        <v>960.85</v>
      </c>
      <c r="K375" s="169">
        <f t="shared" si="22"/>
        <v>353592.8</v>
      </c>
      <c r="L375" s="153"/>
      <c r="M375" s="170">
        <v>368</v>
      </c>
      <c r="N375" s="164">
        <f>ROUND(F375*('Model Data Inputs'!$E$184*'Model Data Inputs'!$E$185*'Model Data Inputs'!$E$186*'Model Data Inputs'!$E$187),2)</f>
        <v>291.32</v>
      </c>
      <c r="O375" s="171">
        <f t="shared" si="23"/>
        <v>107205.75999999999</v>
      </c>
    </row>
    <row r="376" spans="1:15" x14ac:dyDescent="0.2">
      <c r="A376" s="168">
        <v>369</v>
      </c>
      <c r="B376" s="159">
        <v>959.90867987841614</v>
      </c>
      <c r="C376" s="169">
        <f t="shared" si="20"/>
        <v>354206.30287513556</v>
      </c>
      <c r="D376" s="153"/>
      <c r="E376" s="170">
        <v>369</v>
      </c>
      <c r="F376" s="162">
        <v>291.20472097258528</v>
      </c>
      <c r="G376" s="171">
        <f t="shared" si="21"/>
        <v>107454.54203888397</v>
      </c>
      <c r="I376" s="168">
        <v>369</v>
      </c>
      <c r="J376" s="167">
        <f>ROUND(B376*('Model Data Inputs'!$E$184*'Model Data Inputs'!$E$185*'Model Data Inputs'!$E$186*'Model Data Inputs'!$E$187),2)</f>
        <v>959.91</v>
      </c>
      <c r="K376" s="169">
        <f t="shared" si="22"/>
        <v>354206.79</v>
      </c>
      <c r="L376" s="153"/>
      <c r="M376" s="170">
        <v>369</v>
      </c>
      <c r="N376" s="164">
        <f>ROUND(F376*('Model Data Inputs'!$E$184*'Model Data Inputs'!$E$185*'Model Data Inputs'!$E$186*'Model Data Inputs'!$E$187),2)</f>
        <v>291.2</v>
      </c>
      <c r="O376" s="171">
        <f t="shared" si="23"/>
        <v>107452.8</v>
      </c>
    </row>
    <row r="377" spans="1:15" x14ac:dyDescent="0.2">
      <c r="A377" s="168">
        <v>370</v>
      </c>
      <c r="B377" s="159">
        <v>958.96481786366598</v>
      </c>
      <c r="C377" s="169">
        <f t="shared" si="20"/>
        <v>354816.98260955641</v>
      </c>
      <c r="D377" s="153"/>
      <c r="E377" s="170">
        <v>370</v>
      </c>
      <c r="F377" s="162">
        <v>291.09145753081521</v>
      </c>
      <c r="G377" s="171">
        <f t="shared" si="21"/>
        <v>107703.83928640162</v>
      </c>
      <c r="I377" s="168">
        <v>370</v>
      </c>
      <c r="J377" s="167">
        <f>ROUND(B377*('Model Data Inputs'!$E$184*'Model Data Inputs'!$E$185*'Model Data Inputs'!$E$186*'Model Data Inputs'!$E$187),2)</f>
        <v>958.96</v>
      </c>
      <c r="K377" s="169">
        <f t="shared" si="22"/>
        <v>354815.2</v>
      </c>
      <c r="L377" s="153"/>
      <c r="M377" s="170">
        <v>370</v>
      </c>
      <c r="N377" s="164">
        <f>ROUND(F377*('Model Data Inputs'!$E$184*'Model Data Inputs'!$E$185*'Model Data Inputs'!$E$186*'Model Data Inputs'!$E$187),2)</f>
        <v>291.08999999999997</v>
      </c>
      <c r="O377" s="171">
        <f t="shared" si="23"/>
        <v>107703.29999999999</v>
      </c>
    </row>
    <row r="378" spans="1:15" x14ac:dyDescent="0.2">
      <c r="A378" s="168">
        <v>371</v>
      </c>
      <c r="B378" s="159">
        <v>958.02095584891526</v>
      </c>
      <c r="C378" s="169">
        <f t="shared" si="20"/>
        <v>355425.77461994754</v>
      </c>
      <c r="D378" s="153"/>
      <c r="E378" s="170">
        <v>371</v>
      </c>
      <c r="F378" s="162">
        <v>290.9781940890453</v>
      </c>
      <c r="G378" s="171">
        <f t="shared" si="21"/>
        <v>107952.91000703581</v>
      </c>
      <c r="I378" s="168">
        <v>371</v>
      </c>
      <c r="J378" s="167">
        <f>ROUND(B378*('Model Data Inputs'!$E$184*'Model Data Inputs'!$E$185*'Model Data Inputs'!$E$186*'Model Data Inputs'!$E$187),2)</f>
        <v>958.02</v>
      </c>
      <c r="K378" s="169">
        <f t="shared" si="22"/>
        <v>355425.42</v>
      </c>
      <c r="L378" s="153"/>
      <c r="M378" s="170">
        <v>371</v>
      </c>
      <c r="N378" s="164">
        <f>ROUND(F378*('Model Data Inputs'!$E$184*'Model Data Inputs'!$E$185*'Model Data Inputs'!$E$186*'Model Data Inputs'!$E$187),2)</f>
        <v>290.98</v>
      </c>
      <c r="O378" s="171">
        <f t="shared" si="23"/>
        <v>107953.58</v>
      </c>
    </row>
    <row r="379" spans="1:15" x14ac:dyDescent="0.2">
      <c r="A379" s="168">
        <v>372</v>
      </c>
      <c r="B379" s="159">
        <v>957.07709383416511</v>
      </c>
      <c r="C379" s="169">
        <f t="shared" si="20"/>
        <v>356032.67890630942</v>
      </c>
      <c r="D379" s="153"/>
      <c r="E379" s="170">
        <v>372</v>
      </c>
      <c r="F379" s="162">
        <v>290.86493064727512</v>
      </c>
      <c r="G379" s="171">
        <f t="shared" si="21"/>
        <v>108201.75420078634</v>
      </c>
      <c r="I379" s="168">
        <v>372</v>
      </c>
      <c r="J379" s="167">
        <f>ROUND(B379*('Model Data Inputs'!$E$184*'Model Data Inputs'!$E$185*'Model Data Inputs'!$E$186*'Model Data Inputs'!$E$187),2)</f>
        <v>957.08</v>
      </c>
      <c r="K379" s="169">
        <f t="shared" si="22"/>
        <v>356033.76</v>
      </c>
      <c r="L379" s="153"/>
      <c r="M379" s="170">
        <v>372</v>
      </c>
      <c r="N379" s="164">
        <f>ROUND(F379*('Model Data Inputs'!$E$184*'Model Data Inputs'!$E$185*'Model Data Inputs'!$E$186*'Model Data Inputs'!$E$187),2)</f>
        <v>290.86</v>
      </c>
      <c r="O379" s="171">
        <f t="shared" si="23"/>
        <v>108199.92</v>
      </c>
    </row>
    <row r="380" spans="1:15" x14ac:dyDescent="0.2">
      <c r="A380" s="168">
        <v>373</v>
      </c>
      <c r="B380" s="159">
        <v>956.13323181941473</v>
      </c>
      <c r="C380" s="169">
        <f t="shared" si="20"/>
        <v>356637.6954686417</v>
      </c>
      <c r="D380" s="153"/>
      <c r="E380" s="170">
        <v>373</v>
      </c>
      <c r="F380" s="162">
        <v>290.7516672055051</v>
      </c>
      <c r="G380" s="171">
        <f t="shared" si="21"/>
        <v>108450.3718676534</v>
      </c>
      <c r="I380" s="168">
        <v>373</v>
      </c>
      <c r="J380" s="167">
        <f>ROUND(B380*('Model Data Inputs'!$E$184*'Model Data Inputs'!$E$185*'Model Data Inputs'!$E$186*'Model Data Inputs'!$E$187),2)</f>
        <v>956.13</v>
      </c>
      <c r="K380" s="169">
        <f t="shared" si="22"/>
        <v>356636.49</v>
      </c>
      <c r="L380" s="153"/>
      <c r="M380" s="170">
        <v>373</v>
      </c>
      <c r="N380" s="164">
        <f>ROUND(F380*('Model Data Inputs'!$E$184*'Model Data Inputs'!$E$185*'Model Data Inputs'!$E$186*'Model Data Inputs'!$E$187),2)</f>
        <v>290.75</v>
      </c>
      <c r="O380" s="171">
        <f t="shared" si="23"/>
        <v>108449.75</v>
      </c>
    </row>
    <row r="381" spans="1:15" x14ac:dyDescent="0.2">
      <c r="A381" s="168">
        <v>374</v>
      </c>
      <c r="B381" s="159">
        <v>955.18936980466424</v>
      </c>
      <c r="C381" s="169">
        <f t="shared" si="20"/>
        <v>357240.82430694444</v>
      </c>
      <c r="D381" s="153"/>
      <c r="E381" s="170">
        <v>374</v>
      </c>
      <c r="F381" s="162">
        <v>290.63840376373508</v>
      </c>
      <c r="G381" s="171">
        <f t="shared" si="21"/>
        <v>108698.76300763692</v>
      </c>
      <c r="I381" s="168">
        <v>374</v>
      </c>
      <c r="J381" s="167">
        <f>ROUND(B381*('Model Data Inputs'!$E$184*'Model Data Inputs'!$E$185*'Model Data Inputs'!$E$186*'Model Data Inputs'!$E$187),2)</f>
        <v>955.19</v>
      </c>
      <c r="K381" s="169">
        <f t="shared" si="22"/>
        <v>357241.06</v>
      </c>
      <c r="L381" s="153"/>
      <c r="M381" s="170">
        <v>374</v>
      </c>
      <c r="N381" s="164">
        <f>ROUND(F381*('Model Data Inputs'!$E$184*'Model Data Inputs'!$E$185*'Model Data Inputs'!$E$186*'Model Data Inputs'!$E$187),2)</f>
        <v>290.64</v>
      </c>
      <c r="O381" s="171">
        <f t="shared" si="23"/>
        <v>108699.36</v>
      </c>
    </row>
    <row r="382" spans="1:15" x14ac:dyDescent="0.2">
      <c r="A382" s="168">
        <v>375</v>
      </c>
      <c r="B382" s="159">
        <v>954.24550778991386</v>
      </c>
      <c r="C382" s="169">
        <f t="shared" si="20"/>
        <v>357842.0654212177</v>
      </c>
      <c r="D382" s="153"/>
      <c r="E382" s="170">
        <v>375</v>
      </c>
      <c r="F382" s="162">
        <v>290.52514032196501</v>
      </c>
      <c r="G382" s="171">
        <f t="shared" si="21"/>
        <v>108946.92762073688</v>
      </c>
      <c r="I382" s="168">
        <v>375</v>
      </c>
      <c r="J382" s="167">
        <f>ROUND(B382*('Model Data Inputs'!$E$184*'Model Data Inputs'!$E$185*'Model Data Inputs'!$E$186*'Model Data Inputs'!$E$187),2)</f>
        <v>954.25</v>
      </c>
      <c r="K382" s="169">
        <f t="shared" si="22"/>
        <v>357843.75</v>
      </c>
      <c r="L382" s="153"/>
      <c r="M382" s="170">
        <v>375</v>
      </c>
      <c r="N382" s="164">
        <f>ROUND(F382*('Model Data Inputs'!$E$184*'Model Data Inputs'!$E$185*'Model Data Inputs'!$E$186*'Model Data Inputs'!$E$187),2)</f>
        <v>290.52999999999997</v>
      </c>
      <c r="O382" s="171">
        <f t="shared" si="23"/>
        <v>108948.74999999999</v>
      </c>
    </row>
    <row r="383" spans="1:15" x14ac:dyDescent="0.2">
      <c r="A383" s="168">
        <v>376</v>
      </c>
      <c r="B383" s="159">
        <v>953.30164577516359</v>
      </c>
      <c r="C383" s="169">
        <f t="shared" si="20"/>
        <v>358441.41881146154</v>
      </c>
      <c r="D383" s="153"/>
      <c r="E383" s="170">
        <v>376</v>
      </c>
      <c r="F383" s="162">
        <v>290.41187688019494</v>
      </c>
      <c r="G383" s="171">
        <f t="shared" si="21"/>
        <v>109194.86570695329</v>
      </c>
      <c r="I383" s="168">
        <v>376</v>
      </c>
      <c r="J383" s="167">
        <f>ROUND(B383*('Model Data Inputs'!$E$184*'Model Data Inputs'!$E$185*'Model Data Inputs'!$E$186*'Model Data Inputs'!$E$187),2)</f>
        <v>953.3</v>
      </c>
      <c r="K383" s="169">
        <f t="shared" si="22"/>
        <v>358440.8</v>
      </c>
      <c r="L383" s="153"/>
      <c r="M383" s="170">
        <v>376</v>
      </c>
      <c r="N383" s="164">
        <f>ROUND(F383*('Model Data Inputs'!$E$184*'Model Data Inputs'!$E$185*'Model Data Inputs'!$E$186*'Model Data Inputs'!$E$187),2)</f>
        <v>290.41000000000003</v>
      </c>
      <c r="O383" s="171">
        <f t="shared" si="23"/>
        <v>109194.16</v>
      </c>
    </row>
    <row r="384" spans="1:15" x14ac:dyDescent="0.2">
      <c r="A384" s="168">
        <v>377</v>
      </c>
      <c r="B384" s="159">
        <v>952.3577837604131</v>
      </c>
      <c r="C384" s="169">
        <f t="shared" si="20"/>
        <v>359038.88447767572</v>
      </c>
      <c r="D384" s="153"/>
      <c r="E384" s="170">
        <v>377</v>
      </c>
      <c r="F384" s="162">
        <v>290.29861343842498</v>
      </c>
      <c r="G384" s="171">
        <f t="shared" si="21"/>
        <v>109442.57726628621</v>
      </c>
      <c r="I384" s="168">
        <v>377</v>
      </c>
      <c r="J384" s="167">
        <f>ROUND(B384*('Model Data Inputs'!$E$184*'Model Data Inputs'!$E$185*'Model Data Inputs'!$E$186*'Model Data Inputs'!$E$187),2)</f>
        <v>952.36</v>
      </c>
      <c r="K384" s="169">
        <f t="shared" si="22"/>
        <v>359039.72000000003</v>
      </c>
      <c r="L384" s="153"/>
      <c r="M384" s="170">
        <v>377</v>
      </c>
      <c r="N384" s="164">
        <f>ROUND(F384*('Model Data Inputs'!$E$184*'Model Data Inputs'!$E$185*'Model Data Inputs'!$E$186*'Model Data Inputs'!$E$187),2)</f>
        <v>290.3</v>
      </c>
      <c r="O384" s="171">
        <f t="shared" si="23"/>
        <v>109443.1</v>
      </c>
    </row>
    <row r="385" spans="1:15" x14ac:dyDescent="0.2">
      <c r="A385" s="168">
        <v>378</v>
      </c>
      <c r="B385" s="159">
        <v>951.41392174566295</v>
      </c>
      <c r="C385" s="169">
        <f t="shared" si="20"/>
        <v>359634.46241986059</v>
      </c>
      <c r="D385" s="153"/>
      <c r="E385" s="170">
        <v>378</v>
      </c>
      <c r="F385" s="162">
        <v>290.18534999665491</v>
      </c>
      <c r="G385" s="171">
        <f t="shared" si="21"/>
        <v>109690.06229873556</v>
      </c>
      <c r="I385" s="168">
        <v>378</v>
      </c>
      <c r="J385" s="167">
        <f>ROUND(B385*('Model Data Inputs'!$E$184*'Model Data Inputs'!$E$185*'Model Data Inputs'!$E$186*'Model Data Inputs'!$E$187),2)</f>
        <v>951.41</v>
      </c>
      <c r="K385" s="169">
        <f t="shared" si="22"/>
        <v>359632.98</v>
      </c>
      <c r="L385" s="153"/>
      <c r="M385" s="170">
        <v>378</v>
      </c>
      <c r="N385" s="164">
        <f>ROUND(F385*('Model Data Inputs'!$E$184*'Model Data Inputs'!$E$185*'Model Data Inputs'!$E$186*'Model Data Inputs'!$E$187),2)</f>
        <v>290.19</v>
      </c>
      <c r="O385" s="171">
        <f t="shared" si="23"/>
        <v>109691.81999999999</v>
      </c>
    </row>
    <row r="386" spans="1:15" x14ac:dyDescent="0.2">
      <c r="A386" s="168">
        <v>379</v>
      </c>
      <c r="B386" s="159">
        <v>950.47005973091234</v>
      </c>
      <c r="C386" s="169">
        <f t="shared" si="20"/>
        <v>360228.1526380158</v>
      </c>
      <c r="D386" s="153"/>
      <c r="E386" s="170">
        <v>379</v>
      </c>
      <c r="F386" s="162">
        <v>290.07208655488478</v>
      </c>
      <c r="G386" s="171">
        <f t="shared" si="21"/>
        <v>109937.32080430133</v>
      </c>
      <c r="I386" s="168">
        <v>379</v>
      </c>
      <c r="J386" s="167">
        <f>ROUND(B386*('Model Data Inputs'!$E$184*'Model Data Inputs'!$E$185*'Model Data Inputs'!$E$186*'Model Data Inputs'!$E$187),2)</f>
        <v>950.47</v>
      </c>
      <c r="K386" s="169">
        <f t="shared" si="22"/>
        <v>360228.13</v>
      </c>
      <c r="L386" s="153"/>
      <c r="M386" s="170">
        <v>379</v>
      </c>
      <c r="N386" s="164">
        <f>ROUND(F386*('Model Data Inputs'!$E$184*'Model Data Inputs'!$E$185*'Model Data Inputs'!$E$186*'Model Data Inputs'!$E$187),2)</f>
        <v>290.07</v>
      </c>
      <c r="O386" s="171">
        <f t="shared" si="23"/>
        <v>109936.53</v>
      </c>
    </row>
    <row r="387" spans="1:15" x14ac:dyDescent="0.2">
      <c r="A387" s="168">
        <v>380</v>
      </c>
      <c r="B387" s="159">
        <v>949.52619771616196</v>
      </c>
      <c r="C387" s="169">
        <f t="shared" si="20"/>
        <v>360819.95513214153</v>
      </c>
      <c r="D387" s="153"/>
      <c r="E387" s="170">
        <v>380</v>
      </c>
      <c r="F387" s="162">
        <v>289.95882311311482</v>
      </c>
      <c r="G387" s="171">
        <f t="shared" si="21"/>
        <v>110184.35278298362</v>
      </c>
      <c r="I387" s="168">
        <v>380</v>
      </c>
      <c r="J387" s="167">
        <f>ROUND(B387*('Model Data Inputs'!$E$184*'Model Data Inputs'!$E$185*'Model Data Inputs'!$E$186*'Model Data Inputs'!$E$187),2)</f>
        <v>949.53</v>
      </c>
      <c r="K387" s="169">
        <f t="shared" si="22"/>
        <v>360821.39999999997</v>
      </c>
      <c r="L387" s="153"/>
      <c r="M387" s="170">
        <v>380</v>
      </c>
      <c r="N387" s="164">
        <f>ROUND(F387*('Model Data Inputs'!$E$184*'Model Data Inputs'!$E$185*'Model Data Inputs'!$E$186*'Model Data Inputs'!$E$187),2)</f>
        <v>289.95999999999998</v>
      </c>
      <c r="O387" s="171">
        <f t="shared" si="23"/>
        <v>110184.79999999999</v>
      </c>
    </row>
    <row r="388" spans="1:15" x14ac:dyDescent="0.2">
      <c r="A388" s="168">
        <v>381</v>
      </c>
      <c r="B388" s="159">
        <v>948.58233570141169</v>
      </c>
      <c r="C388" s="169">
        <f t="shared" si="20"/>
        <v>361409.86990223784</v>
      </c>
      <c r="D388" s="153"/>
      <c r="E388" s="170">
        <v>381</v>
      </c>
      <c r="F388" s="162">
        <v>289.84555967134474</v>
      </c>
      <c r="G388" s="171">
        <f t="shared" si="21"/>
        <v>110431.15823478234</v>
      </c>
      <c r="I388" s="168">
        <v>381</v>
      </c>
      <c r="J388" s="167">
        <f>ROUND(B388*('Model Data Inputs'!$E$184*'Model Data Inputs'!$E$185*'Model Data Inputs'!$E$186*'Model Data Inputs'!$E$187),2)</f>
        <v>948.58</v>
      </c>
      <c r="K388" s="169">
        <f t="shared" si="22"/>
        <v>361408.98000000004</v>
      </c>
      <c r="L388" s="153"/>
      <c r="M388" s="170">
        <v>381</v>
      </c>
      <c r="N388" s="164">
        <f>ROUND(F388*('Model Data Inputs'!$E$184*'Model Data Inputs'!$E$185*'Model Data Inputs'!$E$186*'Model Data Inputs'!$E$187),2)</f>
        <v>289.85000000000002</v>
      </c>
      <c r="O388" s="171">
        <f t="shared" si="23"/>
        <v>110432.85</v>
      </c>
    </row>
    <row r="389" spans="1:15" x14ac:dyDescent="0.2">
      <c r="A389" s="168">
        <v>382</v>
      </c>
      <c r="B389" s="159">
        <v>947.63847368666154</v>
      </c>
      <c r="C389" s="169">
        <f t="shared" si="20"/>
        <v>361997.89694830473</v>
      </c>
      <c r="D389" s="153"/>
      <c r="E389" s="170">
        <v>382</v>
      </c>
      <c r="F389" s="162">
        <v>289.73229622957473</v>
      </c>
      <c r="G389" s="171">
        <f t="shared" si="21"/>
        <v>110677.73715969754</v>
      </c>
      <c r="I389" s="168">
        <v>382</v>
      </c>
      <c r="J389" s="167">
        <f>ROUND(B389*('Model Data Inputs'!$E$184*'Model Data Inputs'!$E$185*'Model Data Inputs'!$E$186*'Model Data Inputs'!$E$187),2)</f>
        <v>947.64</v>
      </c>
      <c r="K389" s="169">
        <f t="shared" si="22"/>
        <v>361998.48</v>
      </c>
      <c r="L389" s="153"/>
      <c r="M389" s="170">
        <v>382</v>
      </c>
      <c r="N389" s="164">
        <f>ROUND(F389*('Model Data Inputs'!$E$184*'Model Data Inputs'!$E$185*'Model Data Inputs'!$E$186*'Model Data Inputs'!$E$187),2)</f>
        <v>289.73</v>
      </c>
      <c r="O389" s="171">
        <f t="shared" si="23"/>
        <v>110676.86</v>
      </c>
    </row>
    <row r="390" spans="1:15" x14ac:dyDescent="0.2">
      <c r="A390" s="168">
        <v>383</v>
      </c>
      <c r="B390" s="159">
        <v>946.69461167191082</v>
      </c>
      <c r="C390" s="169">
        <f t="shared" si="20"/>
        <v>362584.03627034184</v>
      </c>
      <c r="D390" s="153"/>
      <c r="E390" s="170">
        <v>383</v>
      </c>
      <c r="F390" s="162">
        <v>289.61903278780466</v>
      </c>
      <c r="G390" s="171">
        <f t="shared" si="21"/>
        <v>110924.08955772918</v>
      </c>
      <c r="I390" s="168">
        <v>383</v>
      </c>
      <c r="J390" s="167">
        <f>ROUND(B390*('Model Data Inputs'!$E$184*'Model Data Inputs'!$E$185*'Model Data Inputs'!$E$186*'Model Data Inputs'!$E$187),2)</f>
        <v>946.69</v>
      </c>
      <c r="K390" s="169">
        <f t="shared" si="22"/>
        <v>362582.27</v>
      </c>
      <c r="L390" s="153"/>
      <c r="M390" s="170">
        <v>383</v>
      </c>
      <c r="N390" s="164">
        <f>ROUND(F390*('Model Data Inputs'!$E$184*'Model Data Inputs'!$E$185*'Model Data Inputs'!$E$186*'Model Data Inputs'!$E$187),2)</f>
        <v>289.62</v>
      </c>
      <c r="O390" s="171">
        <f t="shared" si="23"/>
        <v>110924.46</v>
      </c>
    </row>
    <row r="391" spans="1:15" x14ac:dyDescent="0.2">
      <c r="A391" s="168">
        <v>384</v>
      </c>
      <c r="B391" s="159">
        <v>945.75074965716055</v>
      </c>
      <c r="C391" s="169">
        <f t="shared" si="20"/>
        <v>363168.28786834964</v>
      </c>
      <c r="D391" s="153"/>
      <c r="E391" s="170">
        <v>384</v>
      </c>
      <c r="F391" s="162">
        <v>289.50576934603464</v>
      </c>
      <c r="G391" s="171">
        <f t="shared" si="21"/>
        <v>111170.2154288773</v>
      </c>
      <c r="I391" s="168">
        <v>384</v>
      </c>
      <c r="J391" s="167">
        <f>ROUND(B391*('Model Data Inputs'!$E$184*'Model Data Inputs'!$E$185*'Model Data Inputs'!$E$186*'Model Data Inputs'!$E$187),2)</f>
        <v>945.75</v>
      </c>
      <c r="K391" s="169">
        <f t="shared" si="22"/>
        <v>363168</v>
      </c>
      <c r="L391" s="153"/>
      <c r="M391" s="170">
        <v>384</v>
      </c>
      <c r="N391" s="164">
        <f>ROUND(F391*('Model Data Inputs'!$E$184*'Model Data Inputs'!$E$185*'Model Data Inputs'!$E$186*'Model Data Inputs'!$E$187),2)</f>
        <v>289.51</v>
      </c>
      <c r="O391" s="171">
        <f t="shared" si="23"/>
        <v>111171.84</v>
      </c>
    </row>
    <row r="392" spans="1:15" x14ac:dyDescent="0.2">
      <c r="A392" s="168">
        <v>385</v>
      </c>
      <c r="B392" s="159">
        <v>944.80688764241017</v>
      </c>
      <c r="C392" s="169">
        <f t="shared" ref="C392:C455" si="24">A392*B392</f>
        <v>363750.6517423279</v>
      </c>
      <c r="D392" s="153"/>
      <c r="E392" s="170">
        <v>385</v>
      </c>
      <c r="F392" s="162">
        <v>289.39250590426457</v>
      </c>
      <c r="G392" s="171">
        <f t="shared" ref="G392:G455" si="25">E392*F392</f>
        <v>111416.11477314186</v>
      </c>
      <c r="I392" s="168">
        <v>385</v>
      </c>
      <c r="J392" s="167">
        <f>ROUND(B392*('Model Data Inputs'!$E$184*'Model Data Inputs'!$E$185*'Model Data Inputs'!$E$186*'Model Data Inputs'!$E$187),2)</f>
        <v>944.81</v>
      </c>
      <c r="K392" s="169">
        <f t="shared" ref="K392:K455" si="26">I392*J392</f>
        <v>363751.85</v>
      </c>
      <c r="L392" s="153"/>
      <c r="M392" s="170">
        <v>385</v>
      </c>
      <c r="N392" s="164">
        <f>ROUND(F392*('Model Data Inputs'!$E$184*'Model Data Inputs'!$E$185*'Model Data Inputs'!$E$186*'Model Data Inputs'!$E$187),2)</f>
        <v>289.39</v>
      </c>
      <c r="O392" s="171">
        <f t="shared" ref="O392:O455" si="27">M392*N392</f>
        <v>111415.15</v>
      </c>
    </row>
    <row r="393" spans="1:15" x14ac:dyDescent="0.2">
      <c r="A393" s="168">
        <v>386</v>
      </c>
      <c r="B393" s="159">
        <v>943.86302562765968</v>
      </c>
      <c r="C393" s="169">
        <f t="shared" si="24"/>
        <v>364331.12789227662</v>
      </c>
      <c r="D393" s="153"/>
      <c r="E393" s="170">
        <v>386</v>
      </c>
      <c r="F393" s="162">
        <v>289.27924246249461</v>
      </c>
      <c r="G393" s="171">
        <f t="shared" si="25"/>
        <v>111661.78759052292</v>
      </c>
      <c r="I393" s="168">
        <v>386</v>
      </c>
      <c r="J393" s="167">
        <f>ROUND(B393*('Model Data Inputs'!$E$184*'Model Data Inputs'!$E$185*'Model Data Inputs'!$E$186*'Model Data Inputs'!$E$187),2)</f>
        <v>943.86</v>
      </c>
      <c r="K393" s="169">
        <f t="shared" si="26"/>
        <v>364329.96</v>
      </c>
      <c r="L393" s="153"/>
      <c r="M393" s="170">
        <v>386</v>
      </c>
      <c r="N393" s="164">
        <f>ROUND(F393*('Model Data Inputs'!$E$184*'Model Data Inputs'!$E$185*'Model Data Inputs'!$E$186*'Model Data Inputs'!$E$187),2)</f>
        <v>289.27999999999997</v>
      </c>
      <c r="O393" s="171">
        <f t="shared" si="27"/>
        <v>111662.07999999999</v>
      </c>
    </row>
    <row r="394" spans="1:15" x14ac:dyDescent="0.2">
      <c r="A394" s="168">
        <v>387</v>
      </c>
      <c r="B394" s="159">
        <v>942.9191636129093</v>
      </c>
      <c r="C394" s="169">
        <f t="shared" si="24"/>
        <v>364909.71631819592</v>
      </c>
      <c r="D394" s="153"/>
      <c r="E394" s="170">
        <v>387</v>
      </c>
      <c r="F394" s="162">
        <v>289.16597902072448</v>
      </c>
      <c r="G394" s="171">
        <f t="shared" si="25"/>
        <v>111907.23388102038</v>
      </c>
      <c r="I394" s="168">
        <v>387</v>
      </c>
      <c r="J394" s="167">
        <f>ROUND(B394*('Model Data Inputs'!$E$184*'Model Data Inputs'!$E$185*'Model Data Inputs'!$E$186*'Model Data Inputs'!$E$187),2)</f>
        <v>942.92</v>
      </c>
      <c r="K394" s="169">
        <f t="shared" si="26"/>
        <v>364910.04</v>
      </c>
      <c r="L394" s="153"/>
      <c r="M394" s="170">
        <v>387</v>
      </c>
      <c r="N394" s="164">
        <f>ROUND(F394*('Model Data Inputs'!$E$184*'Model Data Inputs'!$E$185*'Model Data Inputs'!$E$186*'Model Data Inputs'!$E$187),2)</f>
        <v>289.17</v>
      </c>
      <c r="O394" s="171">
        <f t="shared" si="27"/>
        <v>111908.79000000001</v>
      </c>
    </row>
    <row r="395" spans="1:15" x14ac:dyDescent="0.2">
      <c r="A395" s="168">
        <v>388</v>
      </c>
      <c r="B395" s="159">
        <v>941.97530159815915</v>
      </c>
      <c r="C395" s="169">
        <f t="shared" si="24"/>
        <v>365486.41702008573</v>
      </c>
      <c r="D395" s="153"/>
      <c r="E395" s="170">
        <v>388</v>
      </c>
      <c r="F395" s="162">
        <v>289.05271557895441</v>
      </c>
      <c r="G395" s="171">
        <f t="shared" si="25"/>
        <v>112152.45364463431</v>
      </c>
      <c r="I395" s="168">
        <v>388</v>
      </c>
      <c r="J395" s="167">
        <f>ROUND(B395*('Model Data Inputs'!$E$184*'Model Data Inputs'!$E$185*'Model Data Inputs'!$E$186*'Model Data Inputs'!$E$187),2)</f>
        <v>941.98</v>
      </c>
      <c r="K395" s="169">
        <f t="shared" si="26"/>
        <v>365488.24</v>
      </c>
      <c r="L395" s="153"/>
      <c r="M395" s="170">
        <v>388</v>
      </c>
      <c r="N395" s="164">
        <f>ROUND(F395*('Model Data Inputs'!$E$184*'Model Data Inputs'!$E$185*'Model Data Inputs'!$E$186*'Model Data Inputs'!$E$187),2)</f>
        <v>289.05</v>
      </c>
      <c r="O395" s="171">
        <f t="shared" si="27"/>
        <v>112151.40000000001</v>
      </c>
    </row>
    <row r="396" spans="1:15" x14ac:dyDescent="0.2">
      <c r="A396" s="168">
        <v>389</v>
      </c>
      <c r="B396" s="159">
        <v>941.03143958340854</v>
      </c>
      <c r="C396" s="169">
        <f t="shared" si="24"/>
        <v>366061.22999794595</v>
      </c>
      <c r="D396" s="153"/>
      <c r="E396" s="170">
        <v>389</v>
      </c>
      <c r="F396" s="162">
        <v>288.93945213718445</v>
      </c>
      <c r="G396" s="171">
        <f t="shared" si="25"/>
        <v>112397.44688136475</v>
      </c>
      <c r="I396" s="168">
        <v>389</v>
      </c>
      <c r="J396" s="167">
        <f>ROUND(B396*('Model Data Inputs'!$E$184*'Model Data Inputs'!$E$185*'Model Data Inputs'!$E$186*'Model Data Inputs'!$E$187),2)</f>
        <v>941.03</v>
      </c>
      <c r="K396" s="169">
        <f t="shared" si="26"/>
        <v>366060.67</v>
      </c>
      <c r="L396" s="153"/>
      <c r="M396" s="170">
        <v>389</v>
      </c>
      <c r="N396" s="164">
        <f>ROUND(F396*('Model Data Inputs'!$E$184*'Model Data Inputs'!$E$185*'Model Data Inputs'!$E$186*'Model Data Inputs'!$E$187),2)</f>
        <v>288.94</v>
      </c>
      <c r="O396" s="171">
        <f t="shared" si="27"/>
        <v>112397.66</v>
      </c>
    </row>
    <row r="397" spans="1:15" x14ac:dyDescent="0.2">
      <c r="A397" s="168">
        <v>390</v>
      </c>
      <c r="B397" s="159">
        <v>940.08757756865828</v>
      </c>
      <c r="C397" s="169">
        <f t="shared" si="24"/>
        <v>366634.15525177674</v>
      </c>
      <c r="D397" s="153"/>
      <c r="E397" s="170">
        <v>390</v>
      </c>
      <c r="F397" s="162">
        <v>288.82618869541443</v>
      </c>
      <c r="G397" s="171">
        <f t="shared" si="25"/>
        <v>112642.21359121162</v>
      </c>
      <c r="I397" s="168">
        <v>390</v>
      </c>
      <c r="J397" s="167">
        <f>ROUND(B397*('Model Data Inputs'!$E$184*'Model Data Inputs'!$E$185*'Model Data Inputs'!$E$186*'Model Data Inputs'!$E$187),2)</f>
        <v>940.09</v>
      </c>
      <c r="K397" s="169">
        <f t="shared" si="26"/>
        <v>366635.10000000003</v>
      </c>
      <c r="L397" s="153"/>
      <c r="M397" s="170">
        <v>390</v>
      </c>
      <c r="N397" s="164">
        <f>ROUND(F397*('Model Data Inputs'!$E$184*'Model Data Inputs'!$E$185*'Model Data Inputs'!$E$186*'Model Data Inputs'!$E$187),2)</f>
        <v>288.83</v>
      </c>
      <c r="O397" s="171">
        <f t="shared" si="27"/>
        <v>112643.7</v>
      </c>
    </row>
    <row r="398" spans="1:15" x14ac:dyDescent="0.2">
      <c r="A398" s="168">
        <v>391</v>
      </c>
      <c r="B398" s="159">
        <v>939.1437155539079</v>
      </c>
      <c r="C398" s="169">
        <f t="shared" si="24"/>
        <v>367205.19278157799</v>
      </c>
      <c r="D398" s="153"/>
      <c r="E398" s="170">
        <v>391</v>
      </c>
      <c r="F398" s="162">
        <v>288.7129252536443</v>
      </c>
      <c r="G398" s="171">
        <f t="shared" si="25"/>
        <v>112886.75377417493</v>
      </c>
      <c r="I398" s="168">
        <v>391</v>
      </c>
      <c r="J398" s="167">
        <f>ROUND(B398*('Model Data Inputs'!$E$184*'Model Data Inputs'!$E$185*'Model Data Inputs'!$E$186*'Model Data Inputs'!$E$187),2)</f>
        <v>939.14</v>
      </c>
      <c r="K398" s="169">
        <f t="shared" si="26"/>
        <v>367203.74</v>
      </c>
      <c r="L398" s="153"/>
      <c r="M398" s="170">
        <v>391</v>
      </c>
      <c r="N398" s="164">
        <f>ROUND(F398*('Model Data Inputs'!$E$184*'Model Data Inputs'!$E$185*'Model Data Inputs'!$E$186*'Model Data Inputs'!$E$187),2)</f>
        <v>288.70999999999998</v>
      </c>
      <c r="O398" s="171">
        <f t="shared" si="27"/>
        <v>112885.60999999999</v>
      </c>
    </row>
    <row r="399" spans="1:15" x14ac:dyDescent="0.2">
      <c r="A399" s="168">
        <v>392</v>
      </c>
      <c r="B399" s="159">
        <v>938.1998535391574</v>
      </c>
      <c r="C399" s="169">
        <f t="shared" si="24"/>
        <v>367774.3425873497</v>
      </c>
      <c r="D399" s="153"/>
      <c r="E399" s="170">
        <v>392</v>
      </c>
      <c r="F399" s="162">
        <v>288.59966181187428</v>
      </c>
      <c r="G399" s="171">
        <f t="shared" si="25"/>
        <v>113131.06743025471</v>
      </c>
      <c r="I399" s="168">
        <v>392</v>
      </c>
      <c r="J399" s="167">
        <f>ROUND(B399*('Model Data Inputs'!$E$184*'Model Data Inputs'!$E$185*'Model Data Inputs'!$E$186*'Model Data Inputs'!$E$187),2)</f>
        <v>938.2</v>
      </c>
      <c r="K399" s="169">
        <f t="shared" si="26"/>
        <v>367774.4</v>
      </c>
      <c r="L399" s="153"/>
      <c r="M399" s="170">
        <v>392</v>
      </c>
      <c r="N399" s="164">
        <f>ROUND(F399*('Model Data Inputs'!$E$184*'Model Data Inputs'!$E$185*'Model Data Inputs'!$E$186*'Model Data Inputs'!$E$187),2)</f>
        <v>288.60000000000002</v>
      </c>
      <c r="O399" s="171">
        <f t="shared" si="27"/>
        <v>113131.20000000001</v>
      </c>
    </row>
    <row r="400" spans="1:15" x14ac:dyDescent="0.2">
      <c r="A400" s="168">
        <v>393</v>
      </c>
      <c r="B400" s="159">
        <v>937.25599152440714</v>
      </c>
      <c r="C400" s="169">
        <f t="shared" si="24"/>
        <v>368341.60466909199</v>
      </c>
      <c r="D400" s="153"/>
      <c r="E400" s="170">
        <v>393</v>
      </c>
      <c r="F400" s="162">
        <v>288.48639837010421</v>
      </c>
      <c r="G400" s="171">
        <f t="shared" si="25"/>
        <v>113375.15455945095</v>
      </c>
      <c r="I400" s="168">
        <v>393</v>
      </c>
      <c r="J400" s="167">
        <f>ROUND(B400*('Model Data Inputs'!$E$184*'Model Data Inputs'!$E$185*'Model Data Inputs'!$E$186*'Model Data Inputs'!$E$187),2)</f>
        <v>937.26</v>
      </c>
      <c r="K400" s="169">
        <f t="shared" si="26"/>
        <v>368343.18</v>
      </c>
      <c r="L400" s="153"/>
      <c r="M400" s="170">
        <v>393</v>
      </c>
      <c r="N400" s="164">
        <f>ROUND(F400*('Model Data Inputs'!$E$184*'Model Data Inputs'!$E$185*'Model Data Inputs'!$E$186*'Model Data Inputs'!$E$187),2)</f>
        <v>288.49</v>
      </c>
      <c r="O400" s="171">
        <f t="shared" si="27"/>
        <v>113376.57</v>
      </c>
    </row>
    <row r="401" spans="1:15" x14ac:dyDescent="0.2">
      <c r="A401" s="168">
        <v>394</v>
      </c>
      <c r="B401" s="159">
        <v>936.31212950965676</v>
      </c>
      <c r="C401" s="169">
        <f t="shared" si="24"/>
        <v>368906.97902680474</v>
      </c>
      <c r="D401" s="153"/>
      <c r="E401" s="170">
        <v>394</v>
      </c>
      <c r="F401" s="162">
        <v>288.37313492833408</v>
      </c>
      <c r="G401" s="171">
        <f t="shared" si="25"/>
        <v>113619.01516176363</v>
      </c>
      <c r="I401" s="168">
        <v>394</v>
      </c>
      <c r="J401" s="167">
        <f>ROUND(B401*('Model Data Inputs'!$E$184*'Model Data Inputs'!$E$185*'Model Data Inputs'!$E$186*'Model Data Inputs'!$E$187),2)</f>
        <v>936.31</v>
      </c>
      <c r="K401" s="169">
        <f t="shared" si="26"/>
        <v>368906.13999999996</v>
      </c>
      <c r="L401" s="153"/>
      <c r="M401" s="170">
        <v>394</v>
      </c>
      <c r="N401" s="164">
        <f>ROUND(F401*('Model Data Inputs'!$E$184*'Model Data Inputs'!$E$185*'Model Data Inputs'!$E$186*'Model Data Inputs'!$E$187),2)</f>
        <v>288.37</v>
      </c>
      <c r="O401" s="171">
        <f t="shared" si="27"/>
        <v>113617.78</v>
      </c>
    </row>
    <row r="402" spans="1:15" x14ac:dyDescent="0.2">
      <c r="A402" s="168">
        <v>395</v>
      </c>
      <c r="B402" s="159">
        <v>935.3682674949066</v>
      </c>
      <c r="C402" s="169">
        <f t="shared" si="24"/>
        <v>369470.46566048812</v>
      </c>
      <c r="D402" s="153"/>
      <c r="E402" s="170">
        <v>395</v>
      </c>
      <c r="F402" s="162">
        <v>288.25987148656418</v>
      </c>
      <c r="G402" s="171">
        <f t="shared" si="25"/>
        <v>113862.64923719285</v>
      </c>
      <c r="I402" s="168">
        <v>395</v>
      </c>
      <c r="J402" s="167">
        <f>ROUND(B402*('Model Data Inputs'!$E$184*'Model Data Inputs'!$E$185*'Model Data Inputs'!$E$186*'Model Data Inputs'!$E$187),2)</f>
        <v>935.37</v>
      </c>
      <c r="K402" s="169">
        <f t="shared" si="26"/>
        <v>369471.15</v>
      </c>
      <c r="L402" s="153"/>
      <c r="M402" s="170">
        <v>395</v>
      </c>
      <c r="N402" s="164">
        <f>ROUND(F402*('Model Data Inputs'!$E$184*'Model Data Inputs'!$E$185*'Model Data Inputs'!$E$186*'Model Data Inputs'!$E$187),2)</f>
        <v>288.26</v>
      </c>
      <c r="O402" s="171">
        <f t="shared" si="27"/>
        <v>113862.7</v>
      </c>
    </row>
    <row r="403" spans="1:15" x14ac:dyDescent="0.2">
      <c r="A403" s="168">
        <v>396</v>
      </c>
      <c r="B403" s="159">
        <v>934.42440548015611</v>
      </c>
      <c r="C403" s="169">
        <f t="shared" si="24"/>
        <v>370032.06457014184</v>
      </c>
      <c r="D403" s="153"/>
      <c r="E403" s="170">
        <v>396</v>
      </c>
      <c r="F403" s="162">
        <v>288.14660804479411</v>
      </c>
      <c r="G403" s="171">
        <f t="shared" si="25"/>
        <v>114106.05678573846</v>
      </c>
      <c r="I403" s="168">
        <v>396</v>
      </c>
      <c r="J403" s="167">
        <f>ROUND(B403*('Model Data Inputs'!$E$184*'Model Data Inputs'!$E$185*'Model Data Inputs'!$E$186*'Model Data Inputs'!$E$187),2)</f>
        <v>934.42</v>
      </c>
      <c r="K403" s="169">
        <f t="shared" si="26"/>
        <v>370030.32</v>
      </c>
      <c r="L403" s="153"/>
      <c r="M403" s="170">
        <v>396</v>
      </c>
      <c r="N403" s="164">
        <f>ROUND(F403*('Model Data Inputs'!$E$184*'Model Data Inputs'!$E$185*'Model Data Inputs'!$E$186*'Model Data Inputs'!$E$187),2)</f>
        <v>288.14999999999998</v>
      </c>
      <c r="O403" s="171">
        <f t="shared" si="27"/>
        <v>114107.4</v>
      </c>
    </row>
    <row r="404" spans="1:15" x14ac:dyDescent="0.2">
      <c r="A404" s="168">
        <v>397</v>
      </c>
      <c r="B404" s="159">
        <v>933.48054346540562</v>
      </c>
      <c r="C404" s="169">
        <f t="shared" si="24"/>
        <v>370591.77575576602</v>
      </c>
      <c r="D404" s="153"/>
      <c r="E404" s="170">
        <v>397</v>
      </c>
      <c r="F404" s="162">
        <v>288.03334460302398</v>
      </c>
      <c r="G404" s="171">
        <f t="shared" si="25"/>
        <v>114349.23780740052</v>
      </c>
      <c r="I404" s="168">
        <v>397</v>
      </c>
      <c r="J404" s="167">
        <f>ROUND(B404*('Model Data Inputs'!$E$184*'Model Data Inputs'!$E$185*'Model Data Inputs'!$E$186*'Model Data Inputs'!$E$187),2)</f>
        <v>933.48</v>
      </c>
      <c r="K404" s="169">
        <f t="shared" si="26"/>
        <v>370591.56</v>
      </c>
      <c r="L404" s="153"/>
      <c r="M404" s="170">
        <v>397</v>
      </c>
      <c r="N404" s="164">
        <f>ROUND(F404*('Model Data Inputs'!$E$184*'Model Data Inputs'!$E$185*'Model Data Inputs'!$E$186*'Model Data Inputs'!$E$187),2)</f>
        <v>288.02999999999997</v>
      </c>
      <c r="O404" s="171">
        <f t="shared" si="27"/>
        <v>114347.90999999999</v>
      </c>
    </row>
    <row r="405" spans="1:15" x14ac:dyDescent="0.2">
      <c r="A405" s="168">
        <v>398</v>
      </c>
      <c r="B405" s="159">
        <v>932.53668145065535</v>
      </c>
      <c r="C405" s="169">
        <f t="shared" si="24"/>
        <v>371149.59921736084</v>
      </c>
      <c r="D405" s="153"/>
      <c r="E405" s="170">
        <v>398</v>
      </c>
      <c r="F405" s="162">
        <v>287.92008116125396</v>
      </c>
      <c r="G405" s="171">
        <f t="shared" si="25"/>
        <v>114592.19230217907</v>
      </c>
      <c r="I405" s="168">
        <v>398</v>
      </c>
      <c r="J405" s="167">
        <f>ROUND(B405*('Model Data Inputs'!$E$184*'Model Data Inputs'!$E$185*'Model Data Inputs'!$E$186*'Model Data Inputs'!$E$187),2)</f>
        <v>932.54</v>
      </c>
      <c r="K405" s="169">
        <f t="shared" si="26"/>
        <v>371150.92</v>
      </c>
      <c r="L405" s="153"/>
      <c r="M405" s="170">
        <v>398</v>
      </c>
      <c r="N405" s="164">
        <f>ROUND(F405*('Model Data Inputs'!$E$184*'Model Data Inputs'!$E$185*'Model Data Inputs'!$E$186*'Model Data Inputs'!$E$187),2)</f>
        <v>287.92</v>
      </c>
      <c r="O405" s="171">
        <f t="shared" si="27"/>
        <v>114592.16</v>
      </c>
    </row>
    <row r="406" spans="1:15" x14ac:dyDescent="0.2">
      <c r="A406" s="168">
        <v>399</v>
      </c>
      <c r="B406" s="159">
        <v>931.59281943590474</v>
      </c>
      <c r="C406" s="169">
        <f t="shared" si="24"/>
        <v>371705.534954926</v>
      </c>
      <c r="D406" s="153"/>
      <c r="E406" s="170">
        <v>399</v>
      </c>
      <c r="F406" s="162">
        <v>287.80681771948389</v>
      </c>
      <c r="G406" s="171">
        <f t="shared" si="25"/>
        <v>114834.92027007407</v>
      </c>
      <c r="I406" s="168">
        <v>399</v>
      </c>
      <c r="J406" s="167">
        <f>ROUND(B406*('Model Data Inputs'!$E$184*'Model Data Inputs'!$E$185*'Model Data Inputs'!$E$186*'Model Data Inputs'!$E$187),2)</f>
        <v>931.59</v>
      </c>
      <c r="K406" s="169">
        <f t="shared" si="26"/>
        <v>371704.41000000003</v>
      </c>
      <c r="L406" s="153"/>
      <c r="M406" s="170">
        <v>399</v>
      </c>
      <c r="N406" s="164">
        <f>ROUND(F406*('Model Data Inputs'!$E$184*'Model Data Inputs'!$E$185*'Model Data Inputs'!$E$186*'Model Data Inputs'!$E$187),2)</f>
        <v>287.81</v>
      </c>
      <c r="O406" s="171">
        <f t="shared" si="27"/>
        <v>114836.19</v>
      </c>
    </row>
    <row r="407" spans="1:15" x14ac:dyDescent="0.2">
      <c r="A407" s="168">
        <v>400</v>
      </c>
      <c r="B407" s="159">
        <v>930.64895742115471</v>
      </c>
      <c r="C407" s="169">
        <f t="shared" si="24"/>
        <v>372259.58296846191</v>
      </c>
      <c r="D407" s="153"/>
      <c r="E407" s="170">
        <v>400</v>
      </c>
      <c r="F407" s="162">
        <v>287.69355427771393</v>
      </c>
      <c r="G407" s="171">
        <f t="shared" si="25"/>
        <v>115077.42171108557</v>
      </c>
      <c r="I407" s="168">
        <v>400</v>
      </c>
      <c r="J407" s="167">
        <f>ROUND(B407*('Model Data Inputs'!$E$184*'Model Data Inputs'!$E$185*'Model Data Inputs'!$E$186*'Model Data Inputs'!$E$187),2)</f>
        <v>930.65</v>
      </c>
      <c r="K407" s="169">
        <f t="shared" si="26"/>
        <v>372260</v>
      </c>
      <c r="L407" s="153"/>
      <c r="M407" s="170">
        <v>400</v>
      </c>
      <c r="N407" s="164">
        <f>ROUND(F407*('Model Data Inputs'!$E$184*'Model Data Inputs'!$E$185*'Model Data Inputs'!$E$186*'Model Data Inputs'!$E$187),2)</f>
        <v>287.69</v>
      </c>
      <c r="O407" s="171">
        <f t="shared" si="27"/>
        <v>115076</v>
      </c>
    </row>
    <row r="408" spans="1:15" x14ac:dyDescent="0.2">
      <c r="A408" s="168">
        <v>401</v>
      </c>
      <c r="B408" s="159">
        <v>929.70509540640433</v>
      </c>
      <c r="C408" s="169">
        <f t="shared" si="24"/>
        <v>372811.74325796816</v>
      </c>
      <c r="D408" s="153"/>
      <c r="E408" s="170">
        <v>401</v>
      </c>
      <c r="F408" s="162">
        <v>287.58029083594391</v>
      </c>
      <c r="G408" s="171">
        <f t="shared" si="25"/>
        <v>115319.6966252135</v>
      </c>
      <c r="I408" s="168">
        <v>401</v>
      </c>
      <c r="J408" s="167">
        <f>ROUND(B408*('Model Data Inputs'!$E$184*'Model Data Inputs'!$E$185*'Model Data Inputs'!$E$186*'Model Data Inputs'!$E$187),2)</f>
        <v>929.71</v>
      </c>
      <c r="K408" s="169">
        <f t="shared" si="26"/>
        <v>372813.71</v>
      </c>
      <c r="L408" s="153"/>
      <c r="M408" s="170">
        <v>401</v>
      </c>
      <c r="N408" s="164">
        <f>ROUND(F408*('Model Data Inputs'!$E$184*'Model Data Inputs'!$E$185*'Model Data Inputs'!$E$186*'Model Data Inputs'!$E$187),2)</f>
        <v>287.58</v>
      </c>
      <c r="O408" s="171">
        <f t="shared" si="27"/>
        <v>115319.57999999999</v>
      </c>
    </row>
    <row r="409" spans="1:15" x14ac:dyDescent="0.2">
      <c r="A409" s="168">
        <v>402</v>
      </c>
      <c r="B409" s="159">
        <v>928.76123339165372</v>
      </c>
      <c r="C409" s="169">
        <f t="shared" si="24"/>
        <v>373362.01582344482</v>
      </c>
      <c r="D409" s="153"/>
      <c r="E409" s="170">
        <v>402</v>
      </c>
      <c r="F409" s="162">
        <v>287.46702739417378</v>
      </c>
      <c r="G409" s="171">
        <f t="shared" si="25"/>
        <v>115561.74501245786</v>
      </c>
      <c r="I409" s="168">
        <v>402</v>
      </c>
      <c r="J409" s="167">
        <f>ROUND(B409*('Model Data Inputs'!$E$184*'Model Data Inputs'!$E$185*'Model Data Inputs'!$E$186*'Model Data Inputs'!$E$187),2)</f>
        <v>928.76</v>
      </c>
      <c r="K409" s="169">
        <f t="shared" si="26"/>
        <v>373361.52</v>
      </c>
      <c r="L409" s="153"/>
      <c r="M409" s="170">
        <v>402</v>
      </c>
      <c r="N409" s="164">
        <f>ROUND(F409*('Model Data Inputs'!$E$184*'Model Data Inputs'!$E$185*'Model Data Inputs'!$E$186*'Model Data Inputs'!$E$187),2)</f>
        <v>287.47000000000003</v>
      </c>
      <c r="O409" s="171">
        <f t="shared" si="27"/>
        <v>115562.94000000002</v>
      </c>
    </row>
    <row r="410" spans="1:15" x14ac:dyDescent="0.2">
      <c r="A410" s="168">
        <v>403</v>
      </c>
      <c r="B410" s="159">
        <v>927.81737137690334</v>
      </c>
      <c r="C410" s="169">
        <f t="shared" si="24"/>
        <v>373910.40066489205</v>
      </c>
      <c r="D410" s="153"/>
      <c r="E410" s="170">
        <v>403</v>
      </c>
      <c r="F410" s="162">
        <v>287.35376395240371</v>
      </c>
      <c r="G410" s="171">
        <f t="shared" si="25"/>
        <v>115803.5668728187</v>
      </c>
      <c r="I410" s="168">
        <v>403</v>
      </c>
      <c r="J410" s="167">
        <f>ROUND(B410*('Model Data Inputs'!$E$184*'Model Data Inputs'!$E$185*'Model Data Inputs'!$E$186*'Model Data Inputs'!$E$187),2)</f>
        <v>927.82</v>
      </c>
      <c r="K410" s="169">
        <f t="shared" si="26"/>
        <v>373911.46</v>
      </c>
      <c r="L410" s="153"/>
      <c r="M410" s="170">
        <v>403</v>
      </c>
      <c r="N410" s="164">
        <f>ROUND(F410*('Model Data Inputs'!$E$184*'Model Data Inputs'!$E$185*'Model Data Inputs'!$E$186*'Model Data Inputs'!$E$187),2)</f>
        <v>287.35000000000002</v>
      </c>
      <c r="O410" s="171">
        <f t="shared" si="27"/>
        <v>115802.05</v>
      </c>
    </row>
    <row r="411" spans="1:15" x14ac:dyDescent="0.2">
      <c r="A411" s="168">
        <v>404</v>
      </c>
      <c r="B411" s="159">
        <v>926.87350936215307</v>
      </c>
      <c r="C411" s="169">
        <f t="shared" si="24"/>
        <v>374456.89778230985</v>
      </c>
      <c r="D411" s="153"/>
      <c r="E411" s="170">
        <v>404</v>
      </c>
      <c r="F411" s="162">
        <v>287.24050051063369</v>
      </c>
      <c r="G411" s="171">
        <f t="shared" si="25"/>
        <v>116045.16220629601</v>
      </c>
      <c r="I411" s="168">
        <v>404</v>
      </c>
      <c r="J411" s="167">
        <f>ROUND(B411*('Model Data Inputs'!$E$184*'Model Data Inputs'!$E$185*'Model Data Inputs'!$E$186*'Model Data Inputs'!$E$187),2)</f>
        <v>926.87</v>
      </c>
      <c r="K411" s="169">
        <f t="shared" si="26"/>
        <v>374455.48</v>
      </c>
      <c r="L411" s="153"/>
      <c r="M411" s="170">
        <v>404</v>
      </c>
      <c r="N411" s="164">
        <f>ROUND(F411*('Model Data Inputs'!$E$184*'Model Data Inputs'!$E$185*'Model Data Inputs'!$E$186*'Model Data Inputs'!$E$187),2)</f>
        <v>287.24</v>
      </c>
      <c r="O411" s="171">
        <f t="shared" si="27"/>
        <v>116044.96</v>
      </c>
    </row>
    <row r="412" spans="1:15" x14ac:dyDescent="0.2">
      <c r="A412" s="168">
        <v>405</v>
      </c>
      <c r="B412" s="159">
        <v>925.92964734740258</v>
      </c>
      <c r="C412" s="169">
        <f t="shared" si="24"/>
        <v>375001.50717569806</v>
      </c>
      <c r="D412" s="153"/>
      <c r="E412" s="170">
        <v>405</v>
      </c>
      <c r="F412" s="162">
        <v>287.12723706886368</v>
      </c>
      <c r="G412" s="171">
        <f t="shared" si="25"/>
        <v>116286.53101288978</v>
      </c>
      <c r="I412" s="168">
        <v>405</v>
      </c>
      <c r="J412" s="167">
        <f>ROUND(B412*('Model Data Inputs'!$E$184*'Model Data Inputs'!$E$185*'Model Data Inputs'!$E$186*'Model Data Inputs'!$E$187),2)</f>
        <v>925.93</v>
      </c>
      <c r="K412" s="169">
        <f t="shared" si="26"/>
        <v>375001.64999999997</v>
      </c>
      <c r="L412" s="153"/>
      <c r="M412" s="170">
        <v>405</v>
      </c>
      <c r="N412" s="164">
        <f>ROUND(F412*('Model Data Inputs'!$E$184*'Model Data Inputs'!$E$185*'Model Data Inputs'!$E$186*'Model Data Inputs'!$E$187),2)</f>
        <v>287.13</v>
      </c>
      <c r="O412" s="171">
        <f t="shared" si="27"/>
        <v>116287.65</v>
      </c>
    </row>
    <row r="413" spans="1:15" x14ac:dyDescent="0.2">
      <c r="A413" s="168">
        <v>406</v>
      </c>
      <c r="B413" s="159">
        <v>924.98578533265231</v>
      </c>
      <c r="C413" s="169">
        <f t="shared" si="24"/>
        <v>375544.22884505684</v>
      </c>
      <c r="D413" s="153"/>
      <c r="E413" s="170">
        <v>406</v>
      </c>
      <c r="F413" s="162">
        <v>287.01397362709361</v>
      </c>
      <c r="G413" s="171">
        <f t="shared" si="25"/>
        <v>116527.6732926</v>
      </c>
      <c r="I413" s="168">
        <v>406</v>
      </c>
      <c r="J413" s="167">
        <f>ROUND(B413*('Model Data Inputs'!$E$184*'Model Data Inputs'!$E$185*'Model Data Inputs'!$E$186*'Model Data Inputs'!$E$187),2)</f>
        <v>924.99</v>
      </c>
      <c r="K413" s="169">
        <f t="shared" si="26"/>
        <v>375545.94</v>
      </c>
      <c r="L413" s="153"/>
      <c r="M413" s="170">
        <v>406</v>
      </c>
      <c r="N413" s="164">
        <f>ROUND(F413*('Model Data Inputs'!$E$184*'Model Data Inputs'!$E$185*'Model Data Inputs'!$E$186*'Model Data Inputs'!$E$187),2)</f>
        <v>287.01</v>
      </c>
      <c r="O413" s="171">
        <f t="shared" si="27"/>
        <v>116526.06</v>
      </c>
    </row>
    <row r="414" spans="1:15" x14ac:dyDescent="0.2">
      <c r="A414" s="168">
        <v>407</v>
      </c>
      <c r="B414" s="159">
        <v>924.04192331790193</v>
      </c>
      <c r="C414" s="169">
        <f t="shared" si="24"/>
        <v>376085.06279038609</v>
      </c>
      <c r="D414" s="153"/>
      <c r="E414" s="170">
        <v>407</v>
      </c>
      <c r="F414" s="162">
        <v>286.90071018532365</v>
      </c>
      <c r="G414" s="171">
        <f t="shared" si="25"/>
        <v>116768.58904542672</v>
      </c>
      <c r="I414" s="168">
        <v>407</v>
      </c>
      <c r="J414" s="167">
        <f>ROUND(B414*('Model Data Inputs'!$E$184*'Model Data Inputs'!$E$185*'Model Data Inputs'!$E$186*'Model Data Inputs'!$E$187),2)</f>
        <v>924.04</v>
      </c>
      <c r="K414" s="169">
        <f t="shared" si="26"/>
        <v>376084.27999999997</v>
      </c>
      <c r="L414" s="153"/>
      <c r="M414" s="170">
        <v>407</v>
      </c>
      <c r="N414" s="164">
        <f>ROUND(F414*('Model Data Inputs'!$E$184*'Model Data Inputs'!$E$185*'Model Data Inputs'!$E$186*'Model Data Inputs'!$E$187),2)</f>
        <v>286.89999999999998</v>
      </c>
      <c r="O414" s="171">
        <f t="shared" si="27"/>
        <v>116768.29999999999</v>
      </c>
    </row>
    <row r="415" spans="1:15" x14ac:dyDescent="0.2">
      <c r="A415" s="168">
        <v>408</v>
      </c>
      <c r="B415" s="159">
        <v>923.09806130315155</v>
      </c>
      <c r="C415" s="169">
        <f t="shared" si="24"/>
        <v>376624.00901168585</v>
      </c>
      <c r="D415" s="153"/>
      <c r="E415" s="170">
        <v>408</v>
      </c>
      <c r="F415" s="162">
        <v>286.78744674355357</v>
      </c>
      <c r="G415" s="171">
        <f t="shared" si="25"/>
        <v>117009.27827136985</v>
      </c>
      <c r="I415" s="168">
        <v>408</v>
      </c>
      <c r="J415" s="167">
        <f>ROUND(B415*('Model Data Inputs'!$E$184*'Model Data Inputs'!$E$185*'Model Data Inputs'!$E$186*'Model Data Inputs'!$E$187),2)</f>
        <v>923.1</v>
      </c>
      <c r="K415" s="169">
        <f t="shared" si="26"/>
        <v>376624.8</v>
      </c>
      <c r="L415" s="153"/>
      <c r="M415" s="170">
        <v>408</v>
      </c>
      <c r="N415" s="164">
        <f>ROUND(F415*('Model Data Inputs'!$E$184*'Model Data Inputs'!$E$185*'Model Data Inputs'!$E$186*'Model Data Inputs'!$E$187),2)</f>
        <v>286.79000000000002</v>
      </c>
      <c r="O415" s="171">
        <f t="shared" si="27"/>
        <v>117010.32</v>
      </c>
    </row>
    <row r="416" spans="1:15" x14ac:dyDescent="0.2">
      <c r="A416" s="168">
        <v>409</v>
      </c>
      <c r="B416" s="159">
        <v>922.15419928840117</v>
      </c>
      <c r="C416" s="169">
        <f t="shared" si="24"/>
        <v>377161.06750895607</v>
      </c>
      <c r="D416" s="153"/>
      <c r="E416" s="170">
        <v>409</v>
      </c>
      <c r="F416" s="162">
        <v>286.6741833017835</v>
      </c>
      <c r="G416" s="171">
        <f t="shared" si="25"/>
        <v>117249.74097042946</v>
      </c>
      <c r="I416" s="168">
        <v>409</v>
      </c>
      <c r="J416" s="167">
        <f>ROUND(B416*('Model Data Inputs'!$E$184*'Model Data Inputs'!$E$185*'Model Data Inputs'!$E$186*'Model Data Inputs'!$E$187),2)</f>
        <v>922.15</v>
      </c>
      <c r="K416" s="169">
        <f t="shared" si="26"/>
        <v>377159.35</v>
      </c>
      <c r="L416" s="153"/>
      <c r="M416" s="170">
        <v>409</v>
      </c>
      <c r="N416" s="164">
        <f>ROUND(F416*('Model Data Inputs'!$E$184*'Model Data Inputs'!$E$185*'Model Data Inputs'!$E$186*'Model Data Inputs'!$E$187),2)</f>
        <v>286.67</v>
      </c>
      <c r="O416" s="171">
        <f t="shared" si="27"/>
        <v>117248.03000000001</v>
      </c>
    </row>
    <row r="417" spans="1:15" x14ac:dyDescent="0.2">
      <c r="A417" s="168">
        <v>410</v>
      </c>
      <c r="B417" s="159">
        <v>921.21033727365079</v>
      </c>
      <c r="C417" s="169">
        <f t="shared" si="24"/>
        <v>377696.23828219681</v>
      </c>
      <c r="D417" s="153"/>
      <c r="E417" s="170">
        <v>410</v>
      </c>
      <c r="F417" s="162">
        <v>286.56091986001343</v>
      </c>
      <c r="G417" s="171">
        <f t="shared" si="25"/>
        <v>117489.97714260551</v>
      </c>
      <c r="I417" s="168">
        <v>410</v>
      </c>
      <c r="J417" s="167">
        <f>ROUND(B417*('Model Data Inputs'!$E$184*'Model Data Inputs'!$E$185*'Model Data Inputs'!$E$186*'Model Data Inputs'!$E$187),2)</f>
        <v>921.21</v>
      </c>
      <c r="K417" s="169">
        <f t="shared" si="26"/>
        <v>377696.10000000003</v>
      </c>
      <c r="L417" s="153"/>
      <c r="M417" s="170">
        <v>410</v>
      </c>
      <c r="N417" s="164">
        <f>ROUND(F417*('Model Data Inputs'!$E$184*'Model Data Inputs'!$E$185*'Model Data Inputs'!$E$186*'Model Data Inputs'!$E$187),2)</f>
        <v>286.56</v>
      </c>
      <c r="O417" s="171">
        <f t="shared" si="27"/>
        <v>117489.60000000001</v>
      </c>
    </row>
    <row r="418" spans="1:15" x14ac:dyDescent="0.2">
      <c r="A418" s="168">
        <v>411</v>
      </c>
      <c r="B418" s="159">
        <v>920.2664752589003</v>
      </c>
      <c r="C418" s="169">
        <f t="shared" si="24"/>
        <v>378229.521331408</v>
      </c>
      <c r="D418" s="153"/>
      <c r="E418" s="170">
        <v>411</v>
      </c>
      <c r="F418" s="162">
        <v>286.44765641824347</v>
      </c>
      <c r="G418" s="171">
        <f t="shared" si="25"/>
        <v>117729.98678789806</v>
      </c>
      <c r="I418" s="168">
        <v>411</v>
      </c>
      <c r="J418" s="167">
        <f>ROUND(B418*('Model Data Inputs'!$E$184*'Model Data Inputs'!$E$185*'Model Data Inputs'!$E$186*'Model Data Inputs'!$E$187),2)</f>
        <v>920.27</v>
      </c>
      <c r="K418" s="169">
        <f t="shared" si="26"/>
        <v>378230.97</v>
      </c>
      <c r="L418" s="153"/>
      <c r="M418" s="170">
        <v>411</v>
      </c>
      <c r="N418" s="164">
        <f>ROUND(F418*('Model Data Inputs'!$E$184*'Model Data Inputs'!$E$185*'Model Data Inputs'!$E$186*'Model Data Inputs'!$E$187),2)</f>
        <v>286.45</v>
      </c>
      <c r="O418" s="171">
        <f t="shared" si="27"/>
        <v>117730.95</v>
      </c>
    </row>
    <row r="419" spans="1:15" x14ac:dyDescent="0.2">
      <c r="A419" s="168">
        <v>412</v>
      </c>
      <c r="B419" s="159">
        <v>919.32261324415003</v>
      </c>
      <c r="C419" s="169">
        <f t="shared" si="24"/>
        <v>378760.91665658983</v>
      </c>
      <c r="D419" s="153"/>
      <c r="E419" s="170">
        <v>412</v>
      </c>
      <c r="F419" s="162">
        <v>286.3343929764734</v>
      </c>
      <c r="G419" s="171">
        <f t="shared" si="25"/>
        <v>117969.76990630703</v>
      </c>
      <c r="I419" s="168">
        <v>412</v>
      </c>
      <c r="J419" s="167">
        <f>ROUND(B419*('Model Data Inputs'!$E$184*'Model Data Inputs'!$E$185*'Model Data Inputs'!$E$186*'Model Data Inputs'!$E$187),2)</f>
        <v>919.32</v>
      </c>
      <c r="K419" s="169">
        <f t="shared" si="26"/>
        <v>378759.84</v>
      </c>
      <c r="L419" s="153"/>
      <c r="M419" s="170">
        <v>412</v>
      </c>
      <c r="N419" s="164">
        <f>ROUND(F419*('Model Data Inputs'!$E$184*'Model Data Inputs'!$E$185*'Model Data Inputs'!$E$186*'Model Data Inputs'!$E$187),2)</f>
        <v>286.33</v>
      </c>
      <c r="O419" s="171">
        <f t="shared" si="27"/>
        <v>117967.95999999999</v>
      </c>
    </row>
    <row r="420" spans="1:15" x14ac:dyDescent="0.2">
      <c r="A420" s="168">
        <v>413</v>
      </c>
      <c r="B420" s="159">
        <v>918.37875122939977</v>
      </c>
      <c r="C420" s="169">
        <f t="shared" si="24"/>
        <v>379290.42425774212</v>
      </c>
      <c r="D420" s="153"/>
      <c r="E420" s="170">
        <v>413</v>
      </c>
      <c r="F420" s="162">
        <v>286.22112953470338</v>
      </c>
      <c r="G420" s="171">
        <f t="shared" si="25"/>
        <v>118209.3264978325</v>
      </c>
      <c r="I420" s="168">
        <v>413</v>
      </c>
      <c r="J420" s="167">
        <f>ROUND(B420*('Model Data Inputs'!$E$184*'Model Data Inputs'!$E$185*'Model Data Inputs'!$E$186*'Model Data Inputs'!$E$187),2)</f>
        <v>918.38</v>
      </c>
      <c r="K420" s="169">
        <f t="shared" si="26"/>
        <v>379290.94</v>
      </c>
      <c r="L420" s="153"/>
      <c r="M420" s="170">
        <v>413</v>
      </c>
      <c r="N420" s="164">
        <f>ROUND(F420*('Model Data Inputs'!$E$184*'Model Data Inputs'!$E$185*'Model Data Inputs'!$E$186*'Model Data Inputs'!$E$187),2)</f>
        <v>286.22000000000003</v>
      </c>
      <c r="O420" s="171">
        <f t="shared" si="27"/>
        <v>118208.86000000002</v>
      </c>
    </row>
    <row r="421" spans="1:15" x14ac:dyDescent="0.2">
      <c r="A421" s="168">
        <v>414</v>
      </c>
      <c r="B421" s="159">
        <v>917.43488921464927</v>
      </c>
      <c r="C421" s="169">
        <f t="shared" si="24"/>
        <v>379818.04413486482</v>
      </c>
      <c r="D421" s="153"/>
      <c r="E421" s="170">
        <v>414</v>
      </c>
      <c r="F421" s="162">
        <v>286.10786609293325</v>
      </c>
      <c r="G421" s="171">
        <f t="shared" si="25"/>
        <v>118448.65656247437</v>
      </c>
      <c r="I421" s="168">
        <v>414</v>
      </c>
      <c r="J421" s="167">
        <f>ROUND(B421*('Model Data Inputs'!$E$184*'Model Data Inputs'!$E$185*'Model Data Inputs'!$E$186*'Model Data Inputs'!$E$187),2)</f>
        <v>917.43</v>
      </c>
      <c r="K421" s="169">
        <f t="shared" si="26"/>
        <v>379816.01999999996</v>
      </c>
      <c r="L421" s="153"/>
      <c r="M421" s="170">
        <v>414</v>
      </c>
      <c r="N421" s="164">
        <f>ROUND(F421*('Model Data Inputs'!$E$184*'Model Data Inputs'!$E$185*'Model Data Inputs'!$E$186*'Model Data Inputs'!$E$187),2)</f>
        <v>286.11</v>
      </c>
      <c r="O421" s="171">
        <f t="shared" si="27"/>
        <v>118449.54000000001</v>
      </c>
    </row>
    <row r="422" spans="1:15" x14ac:dyDescent="0.2">
      <c r="A422" s="168">
        <v>415</v>
      </c>
      <c r="B422" s="159">
        <v>916.49102719989878</v>
      </c>
      <c r="C422" s="169">
        <f t="shared" si="24"/>
        <v>380343.77628795797</v>
      </c>
      <c r="D422" s="153"/>
      <c r="E422" s="170">
        <v>415</v>
      </c>
      <c r="F422" s="162">
        <v>285.99460265116318</v>
      </c>
      <c r="G422" s="171">
        <f t="shared" si="25"/>
        <v>118687.76010023271</v>
      </c>
      <c r="I422" s="168">
        <v>415</v>
      </c>
      <c r="J422" s="167">
        <f>ROUND(B422*('Model Data Inputs'!$E$184*'Model Data Inputs'!$E$185*'Model Data Inputs'!$E$186*'Model Data Inputs'!$E$187),2)</f>
        <v>916.49</v>
      </c>
      <c r="K422" s="169">
        <f t="shared" si="26"/>
        <v>380343.35</v>
      </c>
      <c r="L422" s="153"/>
      <c r="M422" s="170">
        <v>415</v>
      </c>
      <c r="N422" s="164">
        <f>ROUND(F422*('Model Data Inputs'!$E$184*'Model Data Inputs'!$E$185*'Model Data Inputs'!$E$186*'Model Data Inputs'!$E$187),2)</f>
        <v>285.99</v>
      </c>
      <c r="O422" s="171">
        <f t="shared" si="27"/>
        <v>118685.85</v>
      </c>
    </row>
    <row r="423" spans="1:15" x14ac:dyDescent="0.2">
      <c r="A423" s="168">
        <v>416</v>
      </c>
      <c r="B423" s="159">
        <v>915.54716518514851</v>
      </c>
      <c r="C423" s="169">
        <f t="shared" si="24"/>
        <v>380867.62071702175</v>
      </c>
      <c r="D423" s="153"/>
      <c r="E423" s="170">
        <v>416</v>
      </c>
      <c r="F423" s="162">
        <v>285.88133920939322</v>
      </c>
      <c r="G423" s="171">
        <f t="shared" si="25"/>
        <v>118926.63711110759</v>
      </c>
      <c r="I423" s="168">
        <v>416</v>
      </c>
      <c r="J423" s="167">
        <f>ROUND(B423*('Model Data Inputs'!$E$184*'Model Data Inputs'!$E$185*'Model Data Inputs'!$E$186*'Model Data Inputs'!$E$187),2)</f>
        <v>915.55</v>
      </c>
      <c r="K423" s="169">
        <f t="shared" si="26"/>
        <v>380868.8</v>
      </c>
      <c r="L423" s="153"/>
      <c r="M423" s="170">
        <v>416</v>
      </c>
      <c r="N423" s="164">
        <f>ROUND(F423*('Model Data Inputs'!$E$184*'Model Data Inputs'!$E$185*'Model Data Inputs'!$E$186*'Model Data Inputs'!$E$187),2)</f>
        <v>285.88</v>
      </c>
      <c r="O423" s="171">
        <f t="shared" si="27"/>
        <v>118926.08</v>
      </c>
    </row>
    <row r="424" spans="1:15" x14ac:dyDescent="0.2">
      <c r="A424" s="168">
        <v>417</v>
      </c>
      <c r="B424" s="159">
        <v>914.60330317039802</v>
      </c>
      <c r="C424" s="169">
        <f t="shared" si="24"/>
        <v>381389.577422056</v>
      </c>
      <c r="D424" s="153"/>
      <c r="E424" s="170">
        <v>417</v>
      </c>
      <c r="F424" s="162">
        <v>285.76807576762315</v>
      </c>
      <c r="G424" s="171">
        <f t="shared" si="25"/>
        <v>119165.28759509885</v>
      </c>
      <c r="I424" s="168">
        <v>417</v>
      </c>
      <c r="J424" s="167">
        <f>ROUND(B424*('Model Data Inputs'!$E$184*'Model Data Inputs'!$E$185*'Model Data Inputs'!$E$186*'Model Data Inputs'!$E$187),2)</f>
        <v>914.6</v>
      </c>
      <c r="K424" s="169">
        <f t="shared" si="26"/>
        <v>381388.2</v>
      </c>
      <c r="L424" s="153"/>
      <c r="M424" s="170">
        <v>417</v>
      </c>
      <c r="N424" s="164">
        <f>ROUND(F424*('Model Data Inputs'!$E$184*'Model Data Inputs'!$E$185*'Model Data Inputs'!$E$186*'Model Data Inputs'!$E$187),2)</f>
        <v>285.77</v>
      </c>
      <c r="O424" s="171">
        <f t="shared" si="27"/>
        <v>119166.09</v>
      </c>
    </row>
    <row r="425" spans="1:15" x14ac:dyDescent="0.2">
      <c r="A425" s="168">
        <v>418</v>
      </c>
      <c r="B425" s="159">
        <v>913.65944115564776</v>
      </c>
      <c r="C425" s="169">
        <f t="shared" si="24"/>
        <v>381909.64640306076</v>
      </c>
      <c r="D425" s="153"/>
      <c r="E425" s="170">
        <v>418</v>
      </c>
      <c r="F425" s="162">
        <v>285.65481232585313</v>
      </c>
      <c r="G425" s="171">
        <f t="shared" si="25"/>
        <v>119403.7115522066</v>
      </c>
      <c r="I425" s="168">
        <v>418</v>
      </c>
      <c r="J425" s="167">
        <f>ROUND(B425*('Model Data Inputs'!$E$184*'Model Data Inputs'!$E$185*'Model Data Inputs'!$E$186*'Model Data Inputs'!$E$187),2)</f>
        <v>913.66</v>
      </c>
      <c r="K425" s="169">
        <f t="shared" si="26"/>
        <v>381909.88</v>
      </c>
      <c r="L425" s="153"/>
      <c r="M425" s="170">
        <v>418</v>
      </c>
      <c r="N425" s="164">
        <f>ROUND(F425*('Model Data Inputs'!$E$184*'Model Data Inputs'!$E$185*'Model Data Inputs'!$E$186*'Model Data Inputs'!$E$187),2)</f>
        <v>285.64999999999998</v>
      </c>
      <c r="O425" s="171">
        <f t="shared" si="27"/>
        <v>119401.7</v>
      </c>
    </row>
    <row r="426" spans="1:15" x14ac:dyDescent="0.2">
      <c r="A426" s="168">
        <v>419</v>
      </c>
      <c r="B426" s="159">
        <v>912.71557914089749</v>
      </c>
      <c r="C426" s="169">
        <f t="shared" si="24"/>
        <v>382427.82766003604</v>
      </c>
      <c r="D426" s="153"/>
      <c r="E426" s="170">
        <v>419</v>
      </c>
      <c r="F426" s="162">
        <v>285.541548884083</v>
      </c>
      <c r="G426" s="171">
        <f t="shared" si="25"/>
        <v>119641.90898243077</v>
      </c>
      <c r="I426" s="168">
        <v>419</v>
      </c>
      <c r="J426" s="167">
        <f>ROUND(B426*('Model Data Inputs'!$E$184*'Model Data Inputs'!$E$185*'Model Data Inputs'!$E$186*'Model Data Inputs'!$E$187),2)</f>
        <v>912.72</v>
      </c>
      <c r="K426" s="169">
        <f t="shared" si="26"/>
        <v>382429.68</v>
      </c>
      <c r="L426" s="153"/>
      <c r="M426" s="170">
        <v>419</v>
      </c>
      <c r="N426" s="164">
        <f>ROUND(F426*('Model Data Inputs'!$E$184*'Model Data Inputs'!$E$185*'Model Data Inputs'!$E$186*'Model Data Inputs'!$E$187),2)</f>
        <v>285.54000000000002</v>
      </c>
      <c r="O426" s="171">
        <f t="shared" si="27"/>
        <v>119641.26000000001</v>
      </c>
    </row>
    <row r="427" spans="1:15" x14ac:dyDescent="0.2">
      <c r="A427" s="168">
        <v>420</v>
      </c>
      <c r="B427" s="159">
        <v>911.771717126147</v>
      </c>
      <c r="C427" s="169">
        <f t="shared" si="24"/>
        <v>382944.12119298172</v>
      </c>
      <c r="D427" s="153"/>
      <c r="E427" s="170">
        <v>420</v>
      </c>
      <c r="F427" s="162">
        <v>285.42828544231304</v>
      </c>
      <c r="G427" s="171">
        <f t="shared" si="25"/>
        <v>119879.87988577147</v>
      </c>
      <c r="I427" s="168">
        <v>420</v>
      </c>
      <c r="J427" s="167">
        <f>ROUND(B427*('Model Data Inputs'!$E$184*'Model Data Inputs'!$E$185*'Model Data Inputs'!$E$186*'Model Data Inputs'!$E$187),2)</f>
        <v>911.77</v>
      </c>
      <c r="K427" s="169">
        <f t="shared" si="26"/>
        <v>382943.39999999997</v>
      </c>
      <c r="L427" s="153"/>
      <c r="M427" s="170">
        <v>420</v>
      </c>
      <c r="N427" s="164">
        <f>ROUND(F427*('Model Data Inputs'!$E$184*'Model Data Inputs'!$E$185*'Model Data Inputs'!$E$186*'Model Data Inputs'!$E$187),2)</f>
        <v>285.43</v>
      </c>
      <c r="O427" s="171">
        <f t="shared" si="27"/>
        <v>119880.6</v>
      </c>
    </row>
    <row r="428" spans="1:15" x14ac:dyDescent="0.2">
      <c r="A428" s="168">
        <v>421</v>
      </c>
      <c r="B428" s="159">
        <v>910.8278551113965</v>
      </c>
      <c r="C428" s="169">
        <f t="shared" si="24"/>
        <v>383458.52700189792</v>
      </c>
      <c r="D428" s="153"/>
      <c r="E428" s="170">
        <v>421</v>
      </c>
      <c r="F428" s="162">
        <v>285.31502200054297</v>
      </c>
      <c r="G428" s="171">
        <f t="shared" si="25"/>
        <v>120117.62426222859</v>
      </c>
      <c r="I428" s="168">
        <v>421</v>
      </c>
      <c r="J428" s="167">
        <f>ROUND(B428*('Model Data Inputs'!$E$184*'Model Data Inputs'!$E$185*'Model Data Inputs'!$E$186*'Model Data Inputs'!$E$187),2)</f>
        <v>910.83</v>
      </c>
      <c r="K428" s="169">
        <f t="shared" si="26"/>
        <v>383459.43</v>
      </c>
      <c r="L428" s="153"/>
      <c r="M428" s="170">
        <v>421</v>
      </c>
      <c r="N428" s="164">
        <f>ROUND(F428*('Model Data Inputs'!$E$184*'Model Data Inputs'!$E$185*'Model Data Inputs'!$E$186*'Model Data Inputs'!$E$187),2)</f>
        <v>285.32</v>
      </c>
      <c r="O428" s="171">
        <f t="shared" si="27"/>
        <v>120119.72</v>
      </c>
    </row>
    <row r="429" spans="1:15" x14ac:dyDescent="0.2">
      <c r="A429" s="168">
        <v>422</v>
      </c>
      <c r="B429" s="159">
        <v>909.88399309664612</v>
      </c>
      <c r="C429" s="169">
        <f t="shared" si="24"/>
        <v>383971.04508678464</v>
      </c>
      <c r="D429" s="153"/>
      <c r="E429" s="170">
        <v>422</v>
      </c>
      <c r="F429" s="162">
        <v>285.20175855877284</v>
      </c>
      <c r="G429" s="171">
        <f t="shared" si="25"/>
        <v>120355.14211180214</v>
      </c>
      <c r="I429" s="168">
        <v>422</v>
      </c>
      <c r="J429" s="167">
        <f>ROUND(B429*('Model Data Inputs'!$E$184*'Model Data Inputs'!$E$185*'Model Data Inputs'!$E$186*'Model Data Inputs'!$E$187),2)</f>
        <v>909.88</v>
      </c>
      <c r="K429" s="169">
        <f t="shared" si="26"/>
        <v>383969.36</v>
      </c>
      <c r="L429" s="153"/>
      <c r="M429" s="170">
        <v>422</v>
      </c>
      <c r="N429" s="164">
        <f>ROUND(F429*('Model Data Inputs'!$E$184*'Model Data Inputs'!$E$185*'Model Data Inputs'!$E$186*'Model Data Inputs'!$E$187),2)</f>
        <v>285.2</v>
      </c>
      <c r="O429" s="171">
        <f t="shared" si="27"/>
        <v>120354.4</v>
      </c>
    </row>
    <row r="430" spans="1:15" x14ac:dyDescent="0.2">
      <c r="A430" s="168">
        <v>423</v>
      </c>
      <c r="B430" s="159">
        <v>908.94013108189597</v>
      </c>
      <c r="C430" s="169">
        <f t="shared" si="24"/>
        <v>384481.67544764199</v>
      </c>
      <c r="D430" s="153"/>
      <c r="E430" s="170">
        <v>423</v>
      </c>
      <c r="F430" s="162">
        <v>285.08849511700288</v>
      </c>
      <c r="G430" s="171">
        <f t="shared" si="25"/>
        <v>120592.43343449222</v>
      </c>
      <c r="I430" s="168">
        <v>423</v>
      </c>
      <c r="J430" s="167">
        <f>ROUND(B430*('Model Data Inputs'!$E$184*'Model Data Inputs'!$E$185*'Model Data Inputs'!$E$186*'Model Data Inputs'!$E$187),2)</f>
        <v>908.94</v>
      </c>
      <c r="K430" s="169">
        <f t="shared" si="26"/>
        <v>384481.62</v>
      </c>
      <c r="L430" s="153"/>
      <c r="M430" s="170">
        <v>423</v>
      </c>
      <c r="N430" s="164">
        <f>ROUND(F430*('Model Data Inputs'!$E$184*'Model Data Inputs'!$E$185*'Model Data Inputs'!$E$186*'Model Data Inputs'!$E$187),2)</f>
        <v>285.08999999999997</v>
      </c>
      <c r="O430" s="171">
        <f t="shared" si="27"/>
        <v>120593.06999999999</v>
      </c>
    </row>
    <row r="431" spans="1:15" x14ac:dyDescent="0.2">
      <c r="A431" s="168">
        <v>424</v>
      </c>
      <c r="B431" s="159">
        <v>907.99626906714548</v>
      </c>
      <c r="C431" s="169">
        <f t="shared" si="24"/>
        <v>384990.41808446968</v>
      </c>
      <c r="D431" s="153"/>
      <c r="E431" s="170">
        <v>424</v>
      </c>
      <c r="F431" s="162">
        <v>284.97523167523286</v>
      </c>
      <c r="G431" s="171">
        <f t="shared" si="25"/>
        <v>120829.49823029873</v>
      </c>
      <c r="I431" s="168">
        <v>424</v>
      </c>
      <c r="J431" s="167">
        <f>ROUND(B431*('Model Data Inputs'!$E$184*'Model Data Inputs'!$E$185*'Model Data Inputs'!$E$186*'Model Data Inputs'!$E$187),2)</f>
        <v>908</v>
      </c>
      <c r="K431" s="169">
        <f t="shared" si="26"/>
        <v>384992</v>
      </c>
      <c r="L431" s="153"/>
      <c r="M431" s="170">
        <v>424</v>
      </c>
      <c r="N431" s="164">
        <f>ROUND(F431*('Model Data Inputs'!$E$184*'Model Data Inputs'!$E$185*'Model Data Inputs'!$E$186*'Model Data Inputs'!$E$187),2)</f>
        <v>284.98</v>
      </c>
      <c r="O431" s="171">
        <f t="shared" si="27"/>
        <v>120831.52</v>
      </c>
    </row>
    <row r="432" spans="1:15" x14ac:dyDescent="0.2">
      <c r="A432" s="168">
        <v>425</v>
      </c>
      <c r="B432" s="159">
        <v>907.0524070523951</v>
      </c>
      <c r="C432" s="169">
        <f t="shared" si="24"/>
        <v>385497.27299726789</v>
      </c>
      <c r="D432" s="153"/>
      <c r="E432" s="170">
        <v>425</v>
      </c>
      <c r="F432" s="162">
        <v>284.86196823346273</v>
      </c>
      <c r="G432" s="171">
        <f t="shared" si="25"/>
        <v>121066.33649922167</v>
      </c>
      <c r="I432" s="168">
        <v>425</v>
      </c>
      <c r="J432" s="167">
        <f>ROUND(B432*('Model Data Inputs'!$E$184*'Model Data Inputs'!$E$185*'Model Data Inputs'!$E$186*'Model Data Inputs'!$E$187),2)</f>
        <v>907.05</v>
      </c>
      <c r="K432" s="169">
        <f t="shared" si="26"/>
        <v>385496.25</v>
      </c>
      <c r="L432" s="153"/>
      <c r="M432" s="170">
        <v>425</v>
      </c>
      <c r="N432" s="164">
        <f>ROUND(F432*('Model Data Inputs'!$E$184*'Model Data Inputs'!$E$185*'Model Data Inputs'!$E$186*'Model Data Inputs'!$E$187),2)</f>
        <v>284.86</v>
      </c>
      <c r="O432" s="171">
        <f t="shared" si="27"/>
        <v>121065.5</v>
      </c>
    </row>
    <row r="433" spans="1:15" x14ac:dyDescent="0.2">
      <c r="A433" s="168">
        <v>426</v>
      </c>
      <c r="B433" s="159">
        <v>906.10854503764472</v>
      </c>
      <c r="C433" s="169">
        <f t="shared" si="24"/>
        <v>386002.24018603662</v>
      </c>
      <c r="D433" s="153"/>
      <c r="E433" s="170">
        <v>426</v>
      </c>
      <c r="F433" s="162">
        <v>284.74870479169272</v>
      </c>
      <c r="G433" s="171">
        <f t="shared" si="25"/>
        <v>121302.9482412611</v>
      </c>
      <c r="I433" s="168">
        <v>426</v>
      </c>
      <c r="J433" s="167">
        <f>ROUND(B433*('Model Data Inputs'!$E$184*'Model Data Inputs'!$E$185*'Model Data Inputs'!$E$186*'Model Data Inputs'!$E$187),2)</f>
        <v>906.11</v>
      </c>
      <c r="K433" s="169">
        <f t="shared" si="26"/>
        <v>386002.86</v>
      </c>
      <c r="L433" s="153"/>
      <c r="M433" s="170">
        <v>426</v>
      </c>
      <c r="N433" s="164">
        <f>ROUND(F433*('Model Data Inputs'!$E$184*'Model Data Inputs'!$E$185*'Model Data Inputs'!$E$186*'Model Data Inputs'!$E$187),2)</f>
        <v>284.75</v>
      </c>
      <c r="O433" s="171">
        <f t="shared" si="27"/>
        <v>121303.5</v>
      </c>
    </row>
    <row r="434" spans="1:15" x14ac:dyDescent="0.2">
      <c r="A434" s="168">
        <v>427</v>
      </c>
      <c r="B434" s="159">
        <v>905.16468302289422</v>
      </c>
      <c r="C434" s="169">
        <f t="shared" si="24"/>
        <v>386505.31965077581</v>
      </c>
      <c r="D434" s="153"/>
      <c r="E434" s="170">
        <v>427</v>
      </c>
      <c r="F434" s="162">
        <v>284.63544134992276</v>
      </c>
      <c r="G434" s="171">
        <f t="shared" si="25"/>
        <v>121539.33345641702</v>
      </c>
      <c r="I434" s="168">
        <v>427</v>
      </c>
      <c r="J434" s="167">
        <f>ROUND(B434*('Model Data Inputs'!$E$184*'Model Data Inputs'!$E$185*'Model Data Inputs'!$E$186*'Model Data Inputs'!$E$187),2)</f>
        <v>905.16</v>
      </c>
      <c r="K434" s="169">
        <f t="shared" si="26"/>
        <v>386503.32</v>
      </c>
      <c r="L434" s="153"/>
      <c r="M434" s="170">
        <v>427</v>
      </c>
      <c r="N434" s="164">
        <f>ROUND(F434*('Model Data Inputs'!$E$184*'Model Data Inputs'!$E$185*'Model Data Inputs'!$E$186*'Model Data Inputs'!$E$187),2)</f>
        <v>284.64</v>
      </c>
      <c r="O434" s="171">
        <f t="shared" si="27"/>
        <v>121541.28</v>
      </c>
    </row>
    <row r="435" spans="1:15" x14ac:dyDescent="0.2">
      <c r="A435" s="168">
        <v>428</v>
      </c>
      <c r="B435" s="159">
        <v>904.22082100814407</v>
      </c>
      <c r="C435" s="169">
        <f t="shared" si="24"/>
        <v>387006.51139148563</v>
      </c>
      <c r="D435" s="153"/>
      <c r="E435" s="170">
        <v>428</v>
      </c>
      <c r="F435" s="162">
        <v>284.52217790815257</v>
      </c>
      <c r="G435" s="171">
        <f t="shared" si="25"/>
        <v>121775.4921446893</v>
      </c>
      <c r="I435" s="168">
        <v>428</v>
      </c>
      <c r="J435" s="167">
        <f>ROUND(B435*('Model Data Inputs'!$E$184*'Model Data Inputs'!$E$185*'Model Data Inputs'!$E$186*'Model Data Inputs'!$E$187),2)</f>
        <v>904.22</v>
      </c>
      <c r="K435" s="169">
        <f t="shared" si="26"/>
        <v>387006.16000000003</v>
      </c>
      <c r="L435" s="153"/>
      <c r="M435" s="170">
        <v>428</v>
      </c>
      <c r="N435" s="164">
        <f>ROUND(F435*('Model Data Inputs'!$E$184*'Model Data Inputs'!$E$185*'Model Data Inputs'!$E$186*'Model Data Inputs'!$E$187),2)</f>
        <v>284.52</v>
      </c>
      <c r="O435" s="171">
        <f t="shared" si="27"/>
        <v>121774.56</v>
      </c>
    </row>
    <row r="436" spans="1:15" x14ac:dyDescent="0.2">
      <c r="A436" s="168">
        <v>429</v>
      </c>
      <c r="B436" s="159">
        <v>903.27695899339358</v>
      </c>
      <c r="C436" s="169">
        <f t="shared" si="24"/>
        <v>387505.81540816586</v>
      </c>
      <c r="D436" s="153"/>
      <c r="E436" s="170">
        <v>429</v>
      </c>
      <c r="F436" s="162">
        <v>284.40891446638256</v>
      </c>
      <c r="G436" s="171">
        <f t="shared" si="25"/>
        <v>122011.42430607812</v>
      </c>
      <c r="I436" s="168">
        <v>429</v>
      </c>
      <c r="J436" s="167">
        <f>ROUND(B436*('Model Data Inputs'!$E$184*'Model Data Inputs'!$E$185*'Model Data Inputs'!$E$186*'Model Data Inputs'!$E$187),2)</f>
        <v>903.28</v>
      </c>
      <c r="K436" s="169">
        <f t="shared" si="26"/>
        <v>387507.12</v>
      </c>
      <c r="L436" s="153"/>
      <c r="M436" s="170">
        <v>429</v>
      </c>
      <c r="N436" s="164">
        <f>ROUND(F436*('Model Data Inputs'!$E$184*'Model Data Inputs'!$E$185*'Model Data Inputs'!$E$186*'Model Data Inputs'!$E$187),2)</f>
        <v>284.41000000000003</v>
      </c>
      <c r="O436" s="171">
        <f t="shared" si="27"/>
        <v>122011.89000000001</v>
      </c>
    </row>
    <row r="437" spans="1:15" x14ac:dyDescent="0.2">
      <c r="A437" s="168">
        <v>430</v>
      </c>
      <c r="B437" s="159">
        <v>902.33309697864308</v>
      </c>
      <c r="C437" s="169">
        <f t="shared" si="24"/>
        <v>388003.23170081654</v>
      </c>
      <c r="D437" s="153"/>
      <c r="E437" s="170">
        <v>430</v>
      </c>
      <c r="F437" s="162">
        <v>284.2956510246126</v>
      </c>
      <c r="G437" s="171">
        <f t="shared" si="25"/>
        <v>122247.12994058341</v>
      </c>
      <c r="I437" s="168">
        <v>430</v>
      </c>
      <c r="J437" s="167">
        <f>ROUND(B437*('Model Data Inputs'!$E$184*'Model Data Inputs'!$E$185*'Model Data Inputs'!$E$186*'Model Data Inputs'!$E$187),2)</f>
        <v>902.33</v>
      </c>
      <c r="K437" s="169">
        <f t="shared" si="26"/>
        <v>388001.9</v>
      </c>
      <c r="L437" s="153"/>
      <c r="M437" s="170">
        <v>430</v>
      </c>
      <c r="N437" s="164">
        <f>ROUND(F437*('Model Data Inputs'!$E$184*'Model Data Inputs'!$E$185*'Model Data Inputs'!$E$186*'Model Data Inputs'!$E$187),2)</f>
        <v>284.3</v>
      </c>
      <c r="O437" s="171">
        <f t="shared" si="27"/>
        <v>122249</v>
      </c>
    </row>
    <row r="438" spans="1:15" x14ac:dyDescent="0.2">
      <c r="A438" s="168">
        <v>431</v>
      </c>
      <c r="B438" s="159">
        <v>901.38923496389293</v>
      </c>
      <c r="C438" s="169">
        <f t="shared" si="24"/>
        <v>388498.76026943786</v>
      </c>
      <c r="D438" s="153"/>
      <c r="E438" s="170">
        <v>431</v>
      </c>
      <c r="F438" s="162">
        <v>284.18238758284247</v>
      </c>
      <c r="G438" s="171">
        <f t="shared" si="25"/>
        <v>122482.60904820511</v>
      </c>
      <c r="I438" s="168">
        <v>431</v>
      </c>
      <c r="J438" s="167">
        <f>ROUND(B438*('Model Data Inputs'!$E$184*'Model Data Inputs'!$E$185*'Model Data Inputs'!$E$186*'Model Data Inputs'!$E$187),2)</f>
        <v>901.39</v>
      </c>
      <c r="K438" s="169">
        <f t="shared" si="26"/>
        <v>388499.08999999997</v>
      </c>
      <c r="L438" s="153"/>
      <c r="M438" s="170">
        <v>431</v>
      </c>
      <c r="N438" s="164">
        <f>ROUND(F438*('Model Data Inputs'!$E$184*'Model Data Inputs'!$E$185*'Model Data Inputs'!$E$186*'Model Data Inputs'!$E$187),2)</f>
        <v>284.18</v>
      </c>
      <c r="O438" s="171">
        <f t="shared" si="27"/>
        <v>122481.58</v>
      </c>
    </row>
    <row r="439" spans="1:15" x14ac:dyDescent="0.2">
      <c r="A439" s="168">
        <v>432</v>
      </c>
      <c r="B439" s="159">
        <v>900.44537294914244</v>
      </c>
      <c r="C439" s="169">
        <f t="shared" si="24"/>
        <v>388992.40111402952</v>
      </c>
      <c r="D439" s="153"/>
      <c r="E439" s="170">
        <v>432</v>
      </c>
      <c r="F439" s="162">
        <v>284.06912414107251</v>
      </c>
      <c r="G439" s="171">
        <f t="shared" si="25"/>
        <v>122717.86162894333</v>
      </c>
      <c r="I439" s="168">
        <v>432</v>
      </c>
      <c r="J439" s="167">
        <f>ROUND(B439*('Model Data Inputs'!$E$184*'Model Data Inputs'!$E$185*'Model Data Inputs'!$E$186*'Model Data Inputs'!$E$187),2)</f>
        <v>900.45</v>
      </c>
      <c r="K439" s="169">
        <f t="shared" si="26"/>
        <v>388994.4</v>
      </c>
      <c r="L439" s="153"/>
      <c r="M439" s="170">
        <v>432</v>
      </c>
      <c r="N439" s="164">
        <f>ROUND(F439*('Model Data Inputs'!$E$184*'Model Data Inputs'!$E$185*'Model Data Inputs'!$E$186*'Model Data Inputs'!$E$187),2)</f>
        <v>284.07</v>
      </c>
      <c r="O439" s="171">
        <f t="shared" si="27"/>
        <v>122718.23999999999</v>
      </c>
    </row>
    <row r="440" spans="1:15" x14ac:dyDescent="0.2">
      <c r="A440" s="168">
        <v>433</v>
      </c>
      <c r="B440" s="159">
        <v>899.50151093439194</v>
      </c>
      <c r="C440" s="169">
        <f t="shared" si="24"/>
        <v>389484.1542345917</v>
      </c>
      <c r="D440" s="153"/>
      <c r="E440" s="170">
        <v>433</v>
      </c>
      <c r="F440" s="162">
        <v>283.95586069930243</v>
      </c>
      <c r="G440" s="171">
        <f t="shared" si="25"/>
        <v>122952.88768279795</v>
      </c>
      <c r="I440" s="168">
        <v>433</v>
      </c>
      <c r="J440" s="167">
        <f>ROUND(B440*('Model Data Inputs'!$E$184*'Model Data Inputs'!$E$185*'Model Data Inputs'!$E$186*'Model Data Inputs'!$E$187),2)</f>
        <v>899.5</v>
      </c>
      <c r="K440" s="169">
        <f t="shared" si="26"/>
        <v>389483.5</v>
      </c>
      <c r="L440" s="153"/>
      <c r="M440" s="170">
        <v>433</v>
      </c>
      <c r="N440" s="164">
        <f>ROUND(F440*('Model Data Inputs'!$E$184*'Model Data Inputs'!$E$185*'Model Data Inputs'!$E$186*'Model Data Inputs'!$E$187),2)</f>
        <v>283.95999999999998</v>
      </c>
      <c r="O440" s="171">
        <f t="shared" si="27"/>
        <v>122954.68</v>
      </c>
    </row>
    <row r="441" spans="1:15" x14ac:dyDescent="0.2">
      <c r="A441" s="168">
        <v>434</v>
      </c>
      <c r="B441" s="159">
        <v>898.55764891964168</v>
      </c>
      <c r="C441" s="169">
        <f t="shared" si="24"/>
        <v>389974.01963112451</v>
      </c>
      <c r="D441" s="153"/>
      <c r="E441" s="170">
        <v>434</v>
      </c>
      <c r="F441" s="162">
        <v>283.8425972575323</v>
      </c>
      <c r="G441" s="171">
        <f t="shared" si="25"/>
        <v>123187.68720976902</v>
      </c>
      <c r="I441" s="168">
        <v>434</v>
      </c>
      <c r="J441" s="167">
        <f>ROUND(B441*('Model Data Inputs'!$E$184*'Model Data Inputs'!$E$185*'Model Data Inputs'!$E$186*'Model Data Inputs'!$E$187),2)</f>
        <v>898.56</v>
      </c>
      <c r="K441" s="169">
        <f t="shared" si="26"/>
        <v>389975.03999999998</v>
      </c>
      <c r="L441" s="153"/>
      <c r="M441" s="170">
        <v>434</v>
      </c>
      <c r="N441" s="164">
        <f>ROUND(F441*('Model Data Inputs'!$E$184*'Model Data Inputs'!$E$185*'Model Data Inputs'!$E$186*'Model Data Inputs'!$E$187),2)</f>
        <v>283.83999999999997</v>
      </c>
      <c r="O441" s="171">
        <f t="shared" si="27"/>
        <v>123186.55999999998</v>
      </c>
    </row>
    <row r="442" spans="1:15" x14ac:dyDescent="0.2">
      <c r="A442" s="168">
        <v>435</v>
      </c>
      <c r="B442" s="159">
        <v>897.61378690489141</v>
      </c>
      <c r="C442" s="169">
        <f t="shared" si="24"/>
        <v>390461.99730362778</v>
      </c>
      <c r="D442" s="153"/>
      <c r="E442" s="170">
        <v>435</v>
      </c>
      <c r="F442" s="162">
        <v>283.72933381576235</v>
      </c>
      <c r="G442" s="171">
        <f t="shared" si="25"/>
        <v>123422.26020985661</v>
      </c>
      <c r="I442" s="168">
        <v>435</v>
      </c>
      <c r="J442" s="167">
        <f>ROUND(B442*('Model Data Inputs'!$E$184*'Model Data Inputs'!$E$185*'Model Data Inputs'!$E$186*'Model Data Inputs'!$E$187),2)</f>
        <v>897.61</v>
      </c>
      <c r="K442" s="169">
        <f t="shared" si="26"/>
        <v>390460.35000000003</v>
      </c>
      <c r="L442" s="153"/>
      <c r="M442" s="170">
        <v>435</v>
      </c>
      <c r="N442" s="164">
        <f>ROUND(F442*('Model Data Inputs'!$E$184*'Model Data Inputs'!$E$185*'Model Data Inputs'!$E$186*'Model Data Inputs'!$E$187),2)</f>
        <v>283.73</v>
      </c>
      <c r="O442" s="171">
        <f t="shared" si="27"/>
        <v>123422.55</v>
      </c>
    </row>
    <row r="443" spans="1:15" x14ac:dyDescent="0.2">
      <c r="A443" s="168">
        <v>436</v>
      </c>
      <c r="B443" s="159">
        <v>896.66992489014092</v>
      </c>
      <c r="C443" s="169">
        <f t="shared" si="24"/>
        <v>390948.08725210145</v>
      </c>
      <c r="D443" s="153"/>
      <c r="E443" s="170">
        <v>436</v>
      </c>
      <c r="F443" s="162">
        <v>283.61607037399239</v>
      </c>
      <c r="G443" s="171">
        <f t="shared" si="25"/>
        <v>123656.60668306069</v>
      </c>
      <c r="I443" s="168">
        <v>436</v>
      </c>
      <c r="J443" s="167">
        <f>ROUND(B443*('Model Data Inputs'!$E$184*'Model Data Inputs'!$E$185*'Model Data Inputs'!$E$186*'Model Data Inputs'!$E$187),2)</f>
        <v>896.67</v>
      </c>
      <c r="K443" s="169">
        <f t="shared" si="26"/>
        <v>390948.12</v>
      </c>
      <c r="L443" s="153"/>
      <c r="M443" s="170">
        <v>436</v>
      </c>
      <c r="N443" s="164">
        <f>ROUND(F443*('Model Data Inputs'!$E$184*'Model Data Inputs'!$E$185*'Model Data Inputs'!$E$186*'Model Data Inputs'!$E$187),2)</f>
        <v>283.62</v>
      </c>
      <c r="O443" s="171">
        <f t="shared" si="27"/>
        <v>123658.32</v>
      </c>
    </row>
    <row r="444" spans="1:15" x14ac:dyDescent="0.2">
      <c r="A444" s="168">
        <v>437</v>
      </c>
      <c r="B444" s="159">
        <v>895.72606287539065</v>
      </c>
      <c r="C444" s="169">
        <f t="shared" si="24"/>
        <v>391432.2894765457</v>
      </c>
      <c r="D444" s="153"/>
      <c r="E444" s="170">
        <v>437</v>
      </c>
      <c r="F444" s="162">
        <v>283.5028069322222</v>
      </c>
      <c r="G444" s="171">
        <f t="shared" si="25"/>
        <v>123890.7266293811</v>
      </c>
      <c r="I444" s="168">
        <v>437</v>
      </c>
      <c r="J444" s="167">
        <f>ROUND(B444*('Model Data Inputs'!$E$184*'Model Data Inputs'!$E$185*'Model Data Inputs'!$E$186*'Model Data Inputs'!$E$187),2)</f>
        <v>895.73</v>
      </c>
      <c r="K444" s="169">
        <f t="shared" si="26"/>
        <v>391434.01</v>
      </c>
      <c r="L444" s="153"/>
      <c r="M444" s="170">
        <v>437</v>
      </c>
      <c r="N444" s="164">
        <f>ROUND(F444*('Model Data Inputs'!$E$184*'Model Data Inputs'!$E$185*'Model Data Inputs'!$E$186*'Model Data Inputs'!$E$187),2)</f>
        <v>283.5</v>
      </c>
      <c r="O444" s="171">
        <f t="shared" si="27"/>
        <v>123889.5</v>
      </c>
    </row>
    <row r="445" spans="1:15" x14ac:dyDescent="0.2">
      <c r="A445" s="168">
        <v>438</v>
      </c>
      <c r="B445" s="159">
        <v>894.78220086064027</v>
      </c>
      <c r="C445" s="169">
        <f t="shared" si="24"/>
        <v>391914.60397696047</v>
      </c>
      <c r="D445" s="153"/>
      <c r="E445" s="170">
        <v>438</v>
      </c>
      <c r="F445" s="162">
        <v>283.38954349045218</v>
      </c>
      <c r="G445" s="171">
        <f t="shared" si="25"/>
        <v>124124.62004881806</v>
      </c>
      <c r="I445" s="168">
        <v>438</v>
      </c>
      <c r="J445" s="167">
        <f>ROUND(B445*('Model Data Inputs'!$E$184*'Model Data Inputs'!$E$185*'Model Data Inputs'!$E$186*'Model Data Inputs'!$E$187),2)</f>
        <v>894.78</v>
      </c>
      <c r="K445" s="169">
        <f t="shared" si="26"/>
        <v>391913.64</v>
      </c>
      <c r="L445" s="153"/>
      <c r="M445" s="170">
        <v>438</v>
      </c>
      <c r="N445" s="164">
        <f>ROUND(F445*('Model Data Inputs'!$E$184*'Model Data Inputs'!$E$185*'Model Data Inputs'!$E$186*'Model Data Inputs'!$E$187),2)</f>
        <v>283.39</v>
      </c>
      <c r="O445" s="171">
        <f t="shared" si="27"/>
        <v>124124.81999999999</v>
      </c>
    </row>
    <row r="446" spans="1:15" x14ac:dyDescent="0.2">
      <c r="A446" s="168">
        <v>439</v>
      </c>
      <c r="B446" s="159">
        <v>893.83833884588978</v>
      </c>
      <c r="C446" s="169">
        <f t="shared" si="24"/>
        <v>392395.03075334564</v>
      </c>
      <c r="D446" s="153"/>
      <c r="E446" s="170">
        <v>439</v>
      </c>
      <c r="F446" s="162">
        <v>283.27628004868217</v>
      </c>
      <c r="G446" s="171">
        <f t="shared" si="25"/>
        <v>124358.28694137147</v>
      </c>
      <c r="I446" s="168">
        <v>439</v>
      </c>
      <c r="J446" s="167">
        <f>ROUND(B446*('Model Data Inputs'!$E$184*'Model Data Inputs'!$E$185*'Model Data Inputs'!$E$186*'Model Data Inputs'!$E$187),2)</f>
        <v>893.84</v>
      </c>
      <c r="K446" s="169">
        <f t="shared" si="26"/>
        <v>392395.76</v>
      </c>
      <c r="L446" s="153"/>
      <c r="M446" s="170">
        <v>439</v>
      </c>
      <c r="N446" s="164">
        <f>ROUND(F446*('Model Data Inputs'!$E$184*'Model Data Inputs'!$E$185*'Model Data Inputs'!$E$186*'Model Data Inputs'!$E$187),2)</f>
        <v>283.27999999999997</v>
      </c>
      <c r="O446" s="171">
        <f t="shared" si="27"/>
        <v>124359.91999999998</v>
      </c>
    </row>
    <row r="447" spans="1:15" x14ac:dyDescent="0.2">
      <c r="A447" s="168">
        <v>440</v>
      </c>
      <c r="B447" s="159">
        <v>892.8944768311394</v>
      </c>
      <c r="C447" s="169">
        <f t="shared" si="24"/>
        <v>392873.56980570132</v>
      </c>
      <c r="D447" s="153"/>
      <c r="E447" s="170">
        <v>440</v>
      </c>
      <c r="F447" s="162">
        <v>283.16301660691198</v>
      </c>
      <c r="G447" s="171">
        <f t="shared" si="25"/>
        <v>124591.72730704128</v>
      </c>
      <c r="I447" s="168">
        <v>440</v>
      </c>
      <c r="J447" s="167">
        <f>ROUND(B447*('Model Data Inputs'!$E$184*'Model Data Inputs'!$E$185*'Model Data Inputs'!$E$186*'Model Data Inputs'!$E$187),2)</f>
        <v>892.89</v>
      </c>
      <c r="K447" s="169">
        <f t="shared" si="26"/>
        <v>392871.6</v>
      </c>
      <c r="L447" s="153"/>
      <c r="M447" s="170">
        <v>440</v>
      </c>
      <c r="N447" s="164">
        <f>ROUND(F447*('Model Data Inputs'!$E$184*'Model Data Inputs'!$E$185*'Model Data Inputs'!$E$186*'Model Data Inputs'!$E$187),2)</f>
        <v>283.16000000000003</v>
      </c>
      <c r="O447" s="171">
        <f t="shared" si="27"/>
        <v>124590.40000000001</v>
      </c>
    </row>
    <row r="448" spans="1:15" x14ac:dyDescent="0.2">
      <c r="A448" s="168">
        <v>441</v>
      </c>
      <c r="B448" s="159">
        <v>891.95061481638913</v>
      </c>
      <c r="C448" s="169">
        <f t="shared" si="24"/>
        <v>393350.22113402758</v>
      </c>
      <c r="D448" s="153"/>
      <c r="E448" s="170">
        <v>441</v>
      </c>
      <c r="F448" s="162">
        <v>283.04975316514208</v>
      </c>
      <c r="G448" s="171">
        <f t="shared" si="25"/>
        <v>124824.94114582766</v>
      </c>
      <c r="I448" s="168">
        <v>441</v>
      </c>
      <c r="J448" s="167">
        <f>ROUND(B448*('Model Data Inputs'!$E$184*'Model Data Inputs'!$E$185*'Model Data Inputs'!$E$186*'Model Data Inputs'!$E$187),2)</f>
        <v>891.95</v>
      </c>
      <c r="K448" s="169">
        <f t="shared" si="26"/>
        <v>393349.95</v>
      </c>
      <c r="L448" s="153"/>
      <c r="M448" s="170">
        <v>441</v>
      </c>
      <c r="N448" s="164">
        <f>ROUND(F448*('Model Data Inputs'!$E$184*'Model Data Inputs'!$E$185*'Model Data Inputs'!$E$186*'Model Data Inputs'!$E$187),2)</f>
        <v>283.05</v>
      </c>
      <c r="O448" s="171">
        <f t="shared" si="27"/>
        <v>124825.05</v>
      </c>
    </row>
    <row r="449" spans="1:15" x14ac:dyDescent="0.2">
      <c r="A449" s="168">
        <v>442</v>
      </c>
      <c r="B449" s="159">
        <v>891.00675280163864</v>
      </c>
      <c r="C449" s="169">
        <f t="shared" si="24"/>
        <v>393824.9847383243</v>
      </c>
      <c r="D449" s="153"/>
      <c r="E449" s="170">
        <v>442</v>
      </c>
      <c r="F449" s="162">
        <v>282.93648972337201</v>
      </c>
      <c r="G449" s="171">
        <f t="shared" si="25"/>
        <v>125057.92845773042</v>
      </c>
      <c r="I449" s="168">
        <v>442</v>
      </c>
      <c r="J449" s="167">
        <f>ROUND(B449*('Model Data Inputs'!$E$184*'Model Data Inputs'!$E$185*'Model Data Inputs'!$E$186*'Model Data Inputs'!$E$187),2)</f>
        <v>891.01</v>
      </c>
      <c r="K449" s="169">
        <f t="shared" si="26"/>
        <v>393826.42</v>
      </c>
      <c r="L449" s="153"/>
      <c r="M449" s="170">
        <v>442</v>
      </c>
      <c r="N449" s="164">
        <f>ROUND(F449*('Model Data Inputs'!$E$184*'Model Data Inputs'!$E$185*'Model Data Inputs'!$E$186*'Model Data Inputs'!$E$187),2)</f>
        <v>282.94</v>
      </c>
      <c r="O449" s="171">
        <f t="shared" si="27"/>
        <v>125059.48</v>
      </c>
    </row>
    <row r="450" spans="1:15" x14ac:dyDescent="0.2">
      <c r="A450" s="168">
        <v>443</v>
      </c>
      <c r="B450" s="159">
        <v>890.06289078688837</v>
      </c>
      <c r="C450" s="169">
        <f t="shared" si="24"/>
        <v>394297.86061859154</v>
      </c>
      <c r="D450" s="153"/>
      <c r="E450" s="170">
        <v>443</v>
      </c>
      <c r="F450" s="162">
        <v>282.82322628160199</v>
      </c>
      <c r="G450" s="171">
        <f t="shared" si="25"/>
        <v>125290.68924274968</v>
      </c>
      <c r="I450" s="168">
        <v>443</v>
      </c>
      <c r="J450" s="167">
        <f>ROUND(B450*('Model Data Inputs'!$E$184*'Model Data Inputs'!$E$185*'Model Data Inputs'!$E$186*'Model Data Inputs'!$E$187),2)</f>
        <v>890.06</v>
      </c>
      <c r="K450" s="169">
        <f t="shared" si="26"/>
        <v>394296.57999999996</v>
      </c>
      <c r="L450" s="153"/>
      <c r="M450" s="170">
        <v>443</v>
      </c>
      <c r="N450" s="164">
        <f>ROUND(F450*('Model Data Inputs'!$E$184*'Model Data Inputs'!$E$185*'Model Data Inputs'!$E$186*'Model Data Inputs'!$E$187),2)</f>
        <v>282.82</v>
      </c>
      <c r="O450" s="171">
        <f t="shared" si="27"/>
        <v>125289.26</v>
      </c>
    </row>
    <row r="451" spans="1:15" x14ac:dyDescent="0.2">
      <c r="A451" s="168">
        <v>444</v>
      </c>
      <c r="B451" s="159">
        <v>889.11902877213811</v>
      </c>
      <c r="C451" s="169">
        <f t="shared" si="24"/>
        <v>394768.8487748293</v>
      </c>
      <c r="D451" s="153"/>
      <c r="E451" s="170">
        <v>444</v>
      </c>
      <c r="F451" s="162">
        <v>282.70996283983186</v>
      </c>
      <c r="G451" s="171">
        <f t="shared" si="25"/>
        <v>125523.22350088535</v>
      </c>
      <c r="I451" s="168">
        <v>444</v>
      </c>
      <c r="J451" s="167">
        <f>ROUND(B451*('Model Data Inputs'!$E$184*'Model Data Inputs'!$E$185*'Model Data Inputs'!$E$186*'Model Data Inputs'!$E$187),2)</f>
        <v>889.12</v>
      </c>
      <c r="K451" s="169">
        <f t="shared" si="26"/>
        <v>394769.28</v>
      </c>
      <c r="L451" s="153"/>
      <c r="M451" s="170">
        <v>444</v>
      </c>
      <c r="N451" s="164">
        <f>ROUND(F451*('Model Data Inputs'!$E$184*'Model Data Inputs'!$E$185*'Model Data Inputs'!$E$186*'Model Data Inputs'!$E$187),2)</f>
        <v>282.70999999999998</v>
      </c>
      <c r="O451" s="171">
        <f t="shared" si="27"/>
        <v>125523.23999999999</v>
      </c>
    </row>
    <row r="452" spans="1:15" x14ac:dyDescent="0.2">
      <c r="A452" s="168">
        <v>445</v>
      </c>
      <c r="B452" s="159">
        <v>888.17516675738761</v>
      </c>
      <c r="C452" s="169">
        <f t="shared" si="24"/>
        <v>395237.94920703751</v>
      </c>
      <c r="D452" s="153"/>
      <c r="E452" s="170">
        <v>445</v>
      </c>
      <c r="F452" s="162">
        <v>282.59669939806184</v>
      </c>
      <c r="G452" s="171">
        <f t="shared" si="25"/>
        <v>125755.53123213752</v>
      </c>
      <c r="I452" s="168">
        <v>445</v>
      </c>
      <c r="J452" s="167">
        <f>ROUND(B452*('Model Data Inputs'!$E$184*'Model Data Inputs'!$E$185*'Model Data Inputs'!$E$186*'Model Data Inputs'!$E$187),2)</f>
        <v>888.18</v>
      </c>
      <c r="K452" s="169">
        <f t="shared" si="26"/>
        <v>395240.1</v>
      </c>
      <c r="L452" s="153"/>
      <c r="M452" s="170">
        <v>445</v>
      </c>
      <c r="N452" s="164">
        <f>ROUND(F452*('Model Data Inputs'!$E$184*'Model Data Inputs'!$E$185*'Model Data Inputs'!$E$186*'Model Data Inputs'!$E$187),2)</f>
        <v>282.60000000000002</v>
      </c>
      <c r="O452" s="171">
        <f t="shared" si="27"/>
        <v>125757.00000000001</v>
      </c>
    </row>
    <row r="453" spans="1:15" x14ac:dyDescent="0.2">
      <c r="A453" s="168">
        <v>446</v>
      </c>
      <c r="B453" s="159">
        <v>887.23130474263712</v>
      </c>
      <c r="C453" s="169">
        <f t="shared" si="24"/>
        <v>395705.16191521613</v>
      </c>
      <c r="D453" s="153"/>
      <c r="E453" s="170">
        <v>446</v>
      </c>
      <c r="F453" s="162">
        <v>282.48343595629183</v>
      </c>
      <c r="G453" s="171">
        <f t="shared" si="25"/>
        <v>125987.61243650616</v>
      </c>
      <c r="I453" s="168">
        <v>446</v>
      </c>
      <c r="J453" s="167">
        <f>ROUND(B453*('Model Data Inputs'!$E$184*'Model Data Inputs'!$E$185*'Model Data Inputs'!$E$186*'Model Data Inputs'!$E$187),2)</f>
        <v>887.23</v>
      </c>
      <c r="K453" s="169">
        <f t="shared" si="26"/>
        <v>395704.58</v>
      </c>
      <c r="L453" s="153"/>
      <c r="M453" s="170">
        <v>446</v>
      </c>
      <c r="N453" s="164">
        <f>ROUND(F453*('Model Data Inputs'!$E$184*'Model Data Inputs'!$E$185*'Model Data Inputs'!$E$186*'Model Data Inputs'!$E$187),2)</f>
        <v>282.48</v>
      </c>
      <c r="O453" s="171">
        <f t="shared" si="27"/>
        <v>125986.08</v>
      </c>
    </row>
    <row r="454" spans="1:15" x14ac:dyDescent="0.2">
      <c r="A454" s="168">
        <v>447</v>
      </c>
      <c r="B454" s="159">
        <v>886.28744272788697</v>
      </c>
      <c r="C454" s="169">
        <f t="shared" si="24"/>
        <v>396170.4868993655</v>
      </c>
      <c r="D454" s="153"/>
      <c r="E454" s="170">
        <v>447</v>
      </c>
      <c r="F454" s="162">
        <v>282.37017251452181</v>
      </c>
      <c r="G454" s="171">
        <f t="shared" si="25"/>
        <v>126219.46711399125</v>
      </c>
      <c r="I454" s="168">
        <v>447</v>
      </c>
      <c r="J454" s="167">
        <f>ROUND(B454*('Model Data Inputs'!$E$184*'Model Data Inputs'!$E$185*'Model Data Inputs'!$E$186*'Model Data Inputs'!$E$187),2)</f>
        <v>886.29</v>
      </c>
      <c r="K454" s="169">
        <f t="shared" si="26"/>
        <v>396171.63</v>
      </c>
      <c r="L454" s="153"/>
      <c r="M454" s="170">
        <v>447</v>
      </c>
      <c r="N454" s="164">
        <f>ROUND(F454*('Model Data Inputs'!$E$184*'Model Data Inputs'!$E$185*'Model Data Inputs'!$E$186*'Model Data Inputs'!$E$187),2)</f>
        <v>282.37</v>
      </c>
      <c r="O454" s="171">
        <f t="shared" si="27"/>
        <v>126219.39</v>
      </c>
    </row>
    <row r="455" spans="1:15" x14ac:dyDescent="0.2">
      <c r="A455" s="168">
        <v>448</v>
      </c>
      <c r="B455" s="159">
        <v>885.34358071313648</v>
      </c>
      <c r="C455" s="169">
        <f t="shared" si="24"/>
        <v>396633.92415948515</v>
      </c>
      <c r="D455" s="153"/>
      <c r="E455" s="170">
        <v>448</v>
      </c>
      <c r="F455" s="162">
        <v>282.25690907275174</v>
      </c>
      <c r="G455" s="171">
        <f t="shared" si="25"/>
        <v>126451.09526459278</v>
      </c>
      <c r="I455" s="168">
        <v>448</v>
      </c>
      <c r="J455" s="167">
        <f>ROUND(B455*('Model Data Inputs'!$E$184*'Model Data Inputs'!$E$185*'Model Data Inputs'!$E$186*'Model Data Inputs'!$E$187),2)</f>
        <v>885.34</v>
      </c>
      <c r="K455" s="169">
        <f t="shared" si="26"/>
        <v>396632.32000000001</v>
      </c>
      <c r="L455" s="153"/>
      <c r="M455" s="170">
        <v>448</v>
      </c>
      <c r="N455" s="164">
        <f>ROUND(F455*('Model Data Inputs'!$E$184*'Model Data Inputs'!$E$185*'Model Data Inputs'!$E$186*'Model Data Inputs'!$E$187),2)</f>
        <v>282.26</v>
      </c>
      <c r="O455" s="171">
        <f t="shared" si="27"/>
        <v>126452.48</v>
      </c>
    </row>
    <row r="456" spans="1:15" x14ac:dyDescent="0.2">
      <c r="A456" s="168">
        <v>449</v>
      </c>
      <c r="B456" s="159">
        <v>884.3997186983861</v>
      </c>
      <c r="C456" s="169">
        <f t="shared" ref="C456:C519" si="28">A456*B456</f>
        <v>397095.47369557538</v>
      </c>
      <c r="D456" s="153"/>
      <c r="E456" s="170">
        <v>449</v>
      </c>
      <c r="F456" s="162">
        <v>282.14364563098167</v>
      </c>
      <c r="G456" s="171">
        <f t="shared" ref="G456:G519" si="29">E456*F456</f>
        <v>126682.49688831076</v>
      </c>
      <c r="I456" s="168">
        <v>449</v>
      </c>
      <c r="J456" s="167">
        <f>ROUND(B456*('Model Data Inputs'!$E$184*'Model Data Inputs'!$E$185*'Model Data Inputs'!$E$186*'Model Data Inputs'!$E$187),2)</f>
        <v>884.4</v>
      </c>
      <c r="K456" s="169">
        <f t="shared" ref="K456:K519" si="30">I456*J456</f>
        <v>397095.6</v>
      </c>
      <c r="L456" s="153"/>
      <c r="M456" s="170">
        <v>449</v>
      </c>
      <c r="N456" s="164">
        <f>ROUND(F456*('Model Data Inputs'!$E$184*'Model Data Inputs'!$E$185*'Model Data Inputs'!$E$186*'Model Data Inputs'!$E$187),2)</f>
        <v>282.14</v>
      </c>
      <c r="O456" s="171">
        <f t="shared" ref="O456:O519" si="31">M456*N456</f>
        <v>126680.86</v>
      </c>
    </row>
    <row r="457" spans="1:15" x14ac:dyDescent="0.2">
      <c r="A457" s="168">
        <v>450</v>
      </c>
      <c r="B457" s="159">
        <v>883.45585668363572</v>
      </c>
      <c r="C457" s="169">
        <f t="shared" si="28"/>
        <v>397555.13550763606</v>
      </c>
      <c r="D457" s="153"/>
      <c r="E457" s="170">
        <v>450</v>
      </c>
      <c r="F457" s="162">
        <v>282.03038218921165</v>
      </c>
      <c r="G457" s="171">
        <f t="shared" si="29"/>
        <v>126913.67198514524</v>
      </c>
      <c r="I457" s="168">
        <v>450</v>
      </c>
      <c r="J457" s="167">
        <f>ROUND(B457*('Model Data Inputs'!$E$184*'Model Data Inputs'!$E$185*'Model Data Inputs'!$E$186*'Model Data Inputs'!$E$187),2)</f>
        <v>883.46</v>
      </c>
      <c r="K457" s="169">
        <f t="shared" si="30"/>
        <v>397557</v>
      </c>
      <c r="L457" s="153"/>
      <c r="M457" s="170">
        <v>450</v>
      </c>
      <c r="N457" s="164">
        <f>ROUND(F457*('Model Data Inputs'!$E$184*'Model Data Inputs'!$E$185*'Model Data Inputs'!$E$186*'Model Data Inputs'!$E$187),2)</f>
        <v>282.02999999999997</v>
      </c>
      <c r="O457" s="171">
        <f t="shared" si="31"/>
        <v>126913.49999999999</v>
      </c>
    </row>
    <row r="458" spans="1:15" x14ac:dyDescent="0.2">
      <c r="A458" s="168">
        <v>451</v>
      </c>
      <c r="B458" s="159">
        <v>882.51199466888556</v>
      </c>
      <c r="C458" s="169">
        <f t="shared" si="28"/>
        <v>398012.90959566738</v>
      </c>
      <c r="D458" s="153"/>
      <c r="E458" s="170">
        <v>451</v>
      </c>
      <c r="F458" s="162">
        <v>281.91711874744158</v>
      </c>
      <c r="G458" s="171">
        <f t="shared" si="29"/>
        <v>127144.62055509615</v>
      </c>
      <c r="I458" s="168">
        <v>451</v>
      </c>
      <c r="J458" s="167">
        <f>ROUND(B458*('Model Data Inputs'!$E$184*'Model Data Inputs'!$E$185*'Model Data Inputs'!$E$186*'Model Data Inputs'!$E$187),2)</f>
        <v>882.51</v>
      </c>
      <c r="K458" s="169">
        <f t="shared" si="30"/>
        <v>398012.01</v>
      </c>
      <c r="L458" s="153"/>
      <c r="M458" s="170">
        <v>451</v>
      </c>
      <c r="N458" s="164">
        <f>ROUND(F458*('Model Data Inputs'!$E$184*'Model Data Inputs'!$E$185*'Model Data Inputs'!$E$186*'Model Data Inputs'!$E$187),2)</f>
        <v>281.92</v>
      </c>
      <c r="O458" s="171">
        <f t="shared" si="31"/>
        <v>127145.92000000001</v>
      </c>
    </row>
    <row r="459" spans="1:15" x14ac:dyDescent="0.2">
      <c r="A459" s="168">
        <v>452</v>
      </c>
      <c r="B459" s="159">
        <v>881.56813265413496</v>
      </c>
      <c r="C459" s="169">
        <f t="shared" si="28"/>
        <v>398468.79595966899</v>
      </c>
      <c r="D459" s="153"/>
      <c r="E459" s="170">
        <v>452</v>
      </c>
      <c r="F459" s="162">
        <v>281.80385530567162</v>
      </c>
      <c r="G459" s="171">
        <f t="shared" si="29"/>
        <v>127375.34259816357</v>
      </c>
      <c r="I459" s="168">
        <v>452</v>
      </c>
      <c r="J459" s="167">
        <f>ROUND(B459*('Model Data Inputs'!$E$184*'Model Data Inputs'!$E$185*'Model Data Inputs'!$E$186*'Model Data Inputs'!$E$187),2)</f>
        <v>881.57</v>
      </c>
      <c r="K459" s="169">
        <f t="shared" si="30"/>
        <v>398469.64</v>
      </c>
      <c r="L459" s="153"/>
      <c r="M459" s="170">
        <v>452</v>
      </c>
      <c r="N459" s="164">
        <f>ROUND(F459*('Model Data Inputs'!$E$184*'Model Data Inputs'!$E$185*'Model Data Inputs'!$E$186*'Model Data Inputs'!$E$187),2)</f>
        <v>281.8</v>
      </c>
      <c r="O459" s="171">
        <f t="shared" si="31"/>
        <v>127373.6</v>
      </c>
    </row>
    <row r="460" spans="1:15" x14ac:dyDescent="0.2">
      <c r="A460" s="168">
        <v>453</v>
      </c>
      <c r="B460" s="159">
        <v>880.62427063938458</v>
      </c>
      <c r="C460" s="169">
        <f t="shared" si="28"/>
        <v>398922.79459964123</v>
      </c>
      <c r="D460" s="153"/>
      <c r="E460" s="170">
        <v>453</v>
      </c>
      <c r="F460" s="162">
        <v>281.69059186390149</v>
      </c>
      <c r="G460" s="171">
        <f t="shared" si="29"/>
        <v>127605.83811434737</v>
      </c>
      <c r="I460" s="168">
        <v>453</v>
      </c>
      <c r="J460" s="167">
        <f>ROUND(B460*('Model Data Inputs'!$E$184*'Model Data Inputs'!$E$185*'Model Data Inputs'!$E$186*'Model Data Inputs'!$E$187),2)</f>
        <v>880.62</v>
      </c>
      <c r="K460" s="169">
        <f t="shared" si="30"/>
        <v>398920.86</v>
      </c>
      <c r="L460" s="153"/>
      <c r="M460" s="170">
        <v>453</v>
      </c>
      <c r="N460" s="164">
        <f>ROUND(F460*('Model Data Inputs'!$E$184*'Model Data Inputs'!$E$185*'Model Data Inputs'!$E$186*'Model Data Inputs'!$E$187),2)</f>
        <v>281.69</v>
      </c>
      <c r="O460" s="171">
        <f t="shared" si="31"/>
        <v>127605.56999999999</v>
      </c>
    </row>
    <row r="461" spans="1:15" x14ac:dyDescent="0.2">
      <c r="A461" s="168">
        <v>454</v>
      </c>
      <c r="B461" s="159">
        <v>879.6804086246342</v>
      </c>
      <c r="C461" s="169">
        <f t="shared" si="28"/>
        <v>399374.90551558393</v>
      </c>
      <c r="D461" s="153"/>
      <c r="E461" s="170">
        <v>454</v>
      </c>
      <c r="F461" s="162">
        <v>281.57732842213147</v>
      </c>
      <c r="G461" s="171">
        <f t="shared" si="29"/>
        <v>127836.10710364769</v>
      </c>
      <c r="I461" s="168">
        <v>454</v>
      </c>
      <c r="J461" s="167">
        <f>ROUND(B461*('Model Data Inputs'!$E$184*'Model Data Inputs'!$E$185*'Model Data Inputs'!$E$186*'Model Data Inputs'!$E$187),2)</f>
        <v>879.68</v>
      </c>
      <c r="K461" s="169">
        <f t="shared" si="30"/>
        <v>399374.72</v>
      </c>
      <c r="L461" s="153"/>
      <c r="M461" s="170">
        <v>454</v>
      </c>
      <c r="N461" s="164">
        <f>ROUND(F461*('Model Data Inputs'!$E$184*'Model Data Inputs'!$E$185*'Model Data Inputs'!$E$186*'Model Data Inputs'!$E$187),2)</f>
        <v>281.58</v>
      </c>
      <c r="O461" s="171">
        <f t="shared" si="31"/>
        <v>127837.31999999999</v>
      </c>
    </row>
    <row r="462" spans="1:15" x14ac:dyDescent="0.2">
      <c r="A462" s="168">
        <v>455</v>
      </c>
      <c r="B462" s="159">
        <v>878.73654660988382</v>
      </c>
      <c r="C462" s="169">
        <f t="shared" si="28"/>
        <v>399825.12870749715</v>
      </c>
      <c r="D462" s="153"/>
      <c r="E462" s="170">
        <v>455</v>
      </c>
      <c r="F462" s="162">
        <v>281.46406498036146</v>
      </c>
      <c r="G462" s="171">
        <f t="shared" si="29"/>
        <v>128066.14956606446</v>
      </c>
      <c r="I462" s="168">
        <v>455</v>
      </c>
      <c r="J462" s="167">
        <f>ROUND(B462*('Model Data Inputs'!$E$184*'Model Data Inputs'!$E$185*'Model Data Inputs'!$E$186*'Model Data Inputs'!$E$187),2)</f>
        <v>878.74</v>
      </c>
      <c r="K462" s="169">
        <f t="shared" si="30"/>
        <v>399826.7</v>
      </c>
      <c r="L462" s="153"/>
      <c r="M462" s="170">
        <v>455</v>
      </c>
      <c r="N462" s="164">
        <f>ROUND(F462*('Model Data Inputs'!$E$184*'Model Data Inputs'!$E$185*'Model Data Inputs'!$E$186*'Model Data Inputs'!$E$187),2)</f>
        <v>281.45999999999998</v>
      </c>
      <c r="O462" s="171">
        <f t="shared" si="31"/>
        <v>128064.29999999999</v>
      </c>
    </row>
    <row r="463" spans="1:15" x14ac:dyDescent="0.2">
      <c r="A463" s="168">
        <v>456</v>
      </c>
      <c r="B463" s="159">
        <v>877.79268459513366</v>
      </c>
      <c r="C463" s="169">
        <f t="shared" si="28"/>
        <v>400273.46417538094</v>
      </c>
      <c r="D463" s="153"/>
      <c r="E463" s="170">
        <v>456</v>
      </c>
      <c r="F463" s="162">
        <v>281.35080153859127</v>
      </c>
      <c r="G463" s="171">
        <f t="shared" si="29"/>
        <v>128295.96550159762</v>
      </c>
      <c r="I463" s="168">
        <v>456</v>
      </c>
      <c r="J463" s="167">
        <f>ROUND(B463*('Model Data Inputs'!$E$184*'Model Data Inputs'!$E$185*'Model Data Inputs'!$E$186*'Model Data Inputs'!$E$187),2)</f>
        <v>877.79</v>
      </c>
      <c r="K463" s="169">
        <f t="shared" si="30"/>
        <v>400272.24</v>
      </c>
      <c r="L463" s="153"/>
      <c r="M463" s="170">
        <v>456</v>
      </c>
      <c r="N463" s="164">
        <f>ROUND(F463*('Model Data Inputs'!$E$184*'Model Data Inputs'!$E$185*'Model Data Inputs'!$E$186*'Model Data Inputs'!$E$187),2)</f>
        <v>281.35000000000002</v>
      </c>
      <c r="O463" s="171">
        <f t="shared" si="31"/>
        <v>128295.6</v>
      </c>
    </row>
    <row r="464" spans="1:15" x14ac:dyDescent="0.2">
      <c r="A464" s="168">
        <v>457</v>
      </c>
      <c r="B464" s="159">
        <v>876.84882258038317</v>
      </c>
      <c r="C464" s="169">
        <f t="shared" si="28"/>
        <v>400719.91191923514</v>
      </c>
      <c r="D464" s="153"/>
      <c r="E464" s="170">
        <v>457</v>
      </c>
      <c r="F464" s="162">
        <v>281.23753809682137</v>
      </c>
      <c r="G464" s="171">
        <f t="shared" si="29"/>
        <v>128525.55491024736</v>
      </c>
      <c r="I464" s="168">
        <v>457</v>
      </c>
      <c r="J464" s="167">
        <f>ROUND(B464*('Model Data Inputs'!$E$184*'Model Data Inputs'!$E$185*'Model Data Inputs'!$E$186*'Model Data Inputs'!$E$187),2)</f>
        <v>876.85</v>
      </c>
      <c r="K464" s="169">
        <f t="shared" si="30"/>
        <v>400720.45</v>
      </c>
      <c r="L464" s="153"/>
      <c r="M464" s="170">
        <v>457</v>
      </c>
      <c r="N464" s="164">
        <f>ROUND(F464*('Model Data Inputs'!$E$184*'Model Data Inputs'!$E$185*'Model Data Inputs'!$E$186*'Model Data Inputs'!$E$187),2)</f>
        <v>281.24</v>
      </c>
      <c r="O464" s="171">
        <f t="shared" si="31"/>
        <v>128526.68000000001</v>
      </c>
    </row>
    <row r="465" spans="1:15" x14ac:dyDescent="0.2">
      <c r="A465" s="168">
        <v>458</v>
      </c>
      <c r="B465" s="159">
        <v>875.90496056563256</v>
      </c>
      <c r="C465" s="169">
        <f t="shared" si="28"/>
        <v>401164.47193905973</v>
      </c>
      <c r="D465" s="153"/>
      <c r="E465" s="170">
        <v>458</v>
      </c>
      <c r="F465" s="162">
        <v>281.12427465505135</v>
      </c>
      <c r="G465" s="171">
        <f t="shared" si="29"/>
        <v>128754.91779201353</v>
      </c>
      <c r="I465" s="168">
        <v>458</v>
      </c>
      <c r="J465" s="167">
        <f>ROUND(B465*('Model Data Inputs'!$E$184*'Model Data Inputs'!$E$185*'Model Data Inputs'!$E$186*'Model Data Inputs'!$E$187),2)</f>
        <v>875.9</v>
      </c>
      <c r="K465" s="169">
        <f t="shared" si="30"/>
        <v>401162.2</v>
      </c>
      <c r="L465" s="153"/>
      <c r="M465" s="170">
        <v>458</v>
      </c>
      <c r="N465" s="164">
        <f>ROUND(F465*('Model Data Inputs'!$E$184*'Model Data Inputs'!$E$185*'Model Data Inputs'!$E$186*'Model Data Inputs'!$E$187),2)</f>
        <v>281.12</v>
      </c>
      <c r="O465" s="171">
        <f t="shared" si="31"/>
        <v>128752.96000000001</v>
      </c>
    </row>
    <row r="466" spans="1:15" x14ac:dyDescent="0.2">
      <c r="A466" s="168">
        <v>459</v>
      </c>
      <c r="B466" s="159">
        <v>874.96109855088241</v>
      </c>
      <c r="C466" s="169">
        <f t="shared" si="28"/>
        <v>401607.14423485502</v>
      </c>
      <c r="D466" s="153"/>
      <c r="E466" s="170">
        <v>459</v>
      </c>
      <c r="F466" s="162">
        <v>281.01101121328128</v>
      </c>
      <c r="G466" s="171">
        <f t="shared" si="29"/>
        <v>128984.0541468961</v>
      </c>
      <c r="I466" s="168">
        <v>459</v>
      </c>
      <c r="J466" s="167">
        <f>ROUND(B466*('Model Data Inputs'!$E$184*'Model Data Inputs'!$E$185*'Model Data Inputs'!$E$186*'Model Data Inputs'!$E$187),2)</f>
        <v>874.96</v>
      </c>
      <c r="K466" s="169">
        <f t="shared" si="30"/>
        <v>401606.64</v>
      </c>
      <c r="L466" s="153"/>
      <c r="M466" s="170">
        <v>459</v>
      </c>
      <c r="N466" s="164">
        <f>ROUND(F466*('Model Data Inputs'!$E$184*'Model Data Inputs'!$E$185*'Model Data Inputs'!$E$186*'Model Data Inputs'!$E$187),2)</f>
        <v>281.01</v>
      </c>
      <c r="O466" s="171">
        <f t="shared" si="31"/>
        <v>128983.59</v>
      </c>
    </row>
    <row r="467" spans="1:15" x14ac:dyDescent="0.2">
      <c r="A467" s="168">
        <v>460</v>
      </c>
      <c r="B467" s="159">
        <v>874.01723653613192</v>
      </c>
      <c r="C467" s="169">
        <f t="shared" si="28"/>
        <v>402047.92880662071</v>
      </c>
      <c r="D467" s="153"/>
      <c r="E467" s="170">
        <v>460</v>
      </c>
      <c r="F467" s="162">
        <v>280.89774777151115</v>
      </c>
      <c r="G467" s="171">
        <f t="shared" si="29"/>
        <v>129212.96397489513</v>
      </c>
      <c r="I467" s="168">
        <v>460</v>
      </c>
      <c r="J467" s="167">
        <f>ROUND(B467*('Model Data Inputs'!$E$184*'Model Data Inputs'!$E$185*'Model Data Inputs'!$E$186*'Model Data Inputs'!$E$187),2)</f>
        <v>874.02</v>
      </c>
      <c r="K467" s="169">
        <f t="shared" si="30"/>
        <v>402049.2</v>
      </c>
      <c r="L467" s="153"/>
      <c r="M467" s="170">
        <v>460</v>
      </c>
      <c r="N467" s="164">
        <f>ROUND(F467*('Model Data Inputs'!$E$184*'Model Data Inputs'!$E$185*'Model Data Inputs'!$E$186*'Model Data Inputs'!$E$187),2)</f>
        <v>280.89999999999998</v>
      </c>
      <c r="O467" s="171">
        <f t="shared" si="31"/>
        <v>129213.99999999999</v>
      </c>
    </row>
    <row r="468" spans="1:15" x14ac:dyDescent="0.2">
      <c r="A468" s="168">
        <v>461</v>
      </c>
      <c r="B468" s="159">
        <v>873.07337452138154</v>
      </c>
      <c r="C468" s="169">
        <f t="shared" si="28"/>
        <v>402486.82565435692</v>
      </c>
      <c r="D468" s="153"/>
      <c r="E468" s="170">
        <v>461</v>
      </c>
      <c r="F468" s="162">
        <v>280.78448432974119</v>
      </c>
      <c r="G468" s="171">
        <f t="shared" si="29"/>
        <v>129441.64727601068</v>
      </c>
      <c r="I468" s="168">
        <v>461</v>
      </c>
      <c r="J468" s="167">
        <f>ROUND(B468*('Model Data Inputs'!$E$184*'Model Data Inputs'!$E$185*'Model Data Inputs'!$E$186*'Model Data Inputs'!$E$187),2)</f>
        <v>873.07</v>
      </c>
      <c r="K468" s="169">
        <f t="shared" si="30"/>
        <v>402485.27</v>
      </c>
      <c r="L468" s="153"/>
      <c r="M468" s="170">
        <v>461</v>
      </c>
      <c r="N468" s="164">
        <f>ROUND(F468*('Model Data Inputs'!$E$184*'Model Data Inputs'!$E$185*'Model Data Inputs'!$E$186*'Model Data Inputs'!$E$187),2)</f>
        <v>280.77999999999997</v>
      </c>
      <c r="O468" s="171">
        <f t="shared" si="31"/>
        <v>129439.57999999999</v>
      </c>
    </row>
    <row r="469" spans="1:15" x14ac:dyDescent="0.2">
      <c r="A469" s="168">
        <v>462</v>
      </c>
      <c r="B469" s="159">
        <v>872.12951250663127</v>
      </c>
      <c r="C469" s="169">
        <f t="shared" si="28"/>
        <v>402923.83477806364</v>
      </c>
      <c r="D469" s="153"/>
      <c r="E469" s="170">
        <v>462</v>
      </c>
      <c r="F469" s="162">
        <v>280.67122088797106</v>
      </c>
      <c r="G469" s="171">
        <f t="shared" si="29"/>
        <v>129670.10405024263</v>
      </c>
      <c r="I469" s="168">
        <v>462</v>
      </c>
      <c r="J469" s="167">
        <f>ROUND(B469*('Model Data Inputs'!$E$184*'Model Data Inputs'!$E$185*'Model Data Inputs'!$E$186*'Model Data Inputs'!$E$187),2)</f>
        <v>872.13</v>
      </c>
      <c r="K469" s="169">
        <f t="shared" si="30"/>
        <v>402924.06</v>
      </c>
      <c r="L469" s="153"/>
      <c r="M469" s="170">
        <v>462</v>
      </c>
      <c r="N469" s="164">
        <f>ROUND(F469*('Model Data Inputs'!$E$184*'Model Data Inputs'!$E$185*'Model Data Inputs'!$E$186*'Model Data Inputs'!$E$187),2)</f>
        <v>280.67</v>
      </c>
      <c r="O469" s="171">
        <f t="shared" si="31"/>
        <v>129669.54000000001</v>
      </c>
    </row>
    <row r="470" spans="1:15" x14ac:dyDescent="0.2">
      <c r="A470" s="168">
        <v>463</v>
      </c>
      <c r="B470" s="159">
        <v>871.18565049188089</v>
      </c>
      <c r="C470" s="169">
        <f t="shared" si="28"/>
        <v>403358.95617774088</v>
      </c>
      <c r="D470" s="153"/>
      <c r="E470" s="170">
        <v>463</v>
      </c>
      <c r="F470" s="162">
        <v>280.55795744620104</v>
      </c>
      <c r="G470" s="171">
        <f t="shared" si="29"/>
        <v>129898.33429759108</v>
      </c>
      <c r="I470" s="168">
        <v>463</v>
      </c>
      <c r="J470" s="167">
        <f>ROUND(B470*('Model Data Inputs'!$E$184*'Model Data Inputs'!$E$185*'Model Data Inputs'!$E$186*'Model Data Inputs'!$E$187),2)</f>
        <v>871.19</v>
      </c>
      <c r="K470" s="169">
        <f t="shared" si="30"/>
        <v>403360.97000000003</v>
      </c>
      <c r="L470" s="153"/>
      <c r="M470" s="170">
        <v>463</v>
      </c>
      <c r="N470" s="164">
        <f>ROUND(F470*('Model Data Inputs'!$E$184*'Model Data Inputs'!$E$185*'Model Data Inputs'!$E$186*'Model Data Inputs'!$E$187),2)</f>
        <v>280.56</v>
      </c>
      <c r="O470" s="171">
        <f t="shared" si="31"/>
        <v>129899.28</v>
      </c>
    </row>
    <row r="471" spans="1:15" x14ac:dyDescent="0.2">
      <c r="A471" s="168">
        <v>464</v>
      </c>
      <c r="B471" s="159">
        <v>870.24178847713029</v>
      </c>
      <c r="C471" s="169">
        <f t="shared" si="28"/>
        <v>403792.18985338847</v>
      </c>
      <c r="D471" s="153"/>
      <c r="E471" s="170">
        <v>464</v>
      </c>
      <c r="F471" s="162">
        <v>280.44469400443103</v>
      </c>
      <c r="G471" s="171">
        <f t="shared" si="29"/>
        <v>130126.33801805599</v>
      </c>
      <c r="I471" s="168">
        <v>464</v>
      </c>
      <c r="J471" s="167">
        <f>ROUND(B471*('Model Data Inputs'!$E$184*'Model Data Inputs'!$E$185*'Model Data Inputs'!$E$186*'Model Data Inputs'!$E$187),2)</f>
        <v>870.24</v>
      </c>
      <c r="K471" s="169">
        <f t="shared" si="30"/>
        <v>403791.35999999999</v>
      </c>
      <c r="L471" s="153"/>
      <c r="M471" s="170">
        <v>464</v>
      </c>
      <c r="N471" s="164">
        <f>ROUND(F471*('Model Data Inputs'!$E$184*'Model Data Inputs'!$E$185*'Model Data Inputs'!$E$186*'Model Data Inputs'!$E$187),2)</f>
        <v>280.44</v>
      </c>
      <c r="O471" s="171">
        <f t="shared" si="31"/>
        <v>130124.16</v>
      </c>
    </row>
    <row r="472" spans="1:15" x14ac:dyDescent="0.2">
      <c r="A472" s="168">
        <v>465</v>
      </c>
      <c r="B472" s="159">
        <v>869.29792646238002</v>
      </c>
      <c r="C472" s="169">
        <f t="shared" si="28"/>
        <v>404223.53580500669</v>
      </c>
      <c r="D472" s="153"/>
      <c r="E472" s="170">
        <v>465</v>
      </c>
      <c r="F472" s="162">
        <v>280.33143056266096</v>
      </c>
      <c r="G472" s="171">
        <f t="shared" si="29"/>
        <v>130354.11521163734</v>
      </c>
      <c r="I472" s="168">
        <v>465</v>
      </c>
      <c r="J472" s="167">
        <f>ROUND(B472*('Model Data Inputs'!$E$184*'Model Data Inputs'!$E$185*'Model Data Inputs'!$E$186*'Model Data Inputs'!$E$187),2)</f>
        <v>869.3</v>
      </c>
      <c r="K472" s="169">
        <f t="shared" si="30"/>
        <v>404224.5</v>
      </c>
      <c r="L472" s="153"/>
      <c r="M472" s="170">
        <v>465</v>
      </c>
      <c r="N472" s="164">
        <f>ROUND(F472*('Model Data Inputs'!$E$184*'Model Data Inputs'!$E$185*'Model Data Inputs'!$E$186*'Model Data Inputs'!$E$187),2)</f>
        <v>280.33</v>
      </c>
      <c r="O472" s="171">
        <f t="shared" si="31"/>
        <v>130353.45</v>
      </c>
    </row>
    <row r="473" spans="1:15" x14ac:dyDescent="0.2">
      <c r="A473" s="168">
        <v>466</v>
      </c>
      <c r="B473" s="159">
        <v>868.35406444762964</v>
      </c>
      <c r="C473" s="169">
        <f t="shared" si="28"/>
        <v>404652.99403259542</v>
      </c>
      <c r="D473" s="153"/>
      <c r="E473" s="170">
        <v>466</v>
      </c>
      <c r="F473" s="162">
        <v>280.21816712089094</v>
      </c>
      <c r="G473" s="171">
        <f t="shared" si="29"/>
        <v>130581.66587833517</v>
      </c>
      <c r="I473" s="168">
        <v>466</v>
      </c>
      <c r="J473" s="167">
        <f>ROUND(B473*('Model Data Inputs'!$E$184*'Model Data Inputs'!$E$185*'Model Data Inputs'!$E$186*'Model Data Inputs'!$E$187),2)</f>
        <v>868.35</v>
      </c>
      <c r="K473" s="169">
        <f t="shared" si="30"/>
        <v>404651.10000000003</v>
      </c>
      <c r="L473" s="153"/>
      <c r="M473" s="170">
        <v>466</v>
      </c>
      <c r="N473" s="164">
        <f>ROUND(F473*('Model Data Inputs'!$E$184*'Model Data Inputs'!$E$185*'Model Data Inputs'!$E$186*'Model Data Inputs'!$E$187),2)</f>
        <v>280.22000000000003</v>
      </c>
      <c r="O473" s="171">
        <f t="shared" si="31"/>
        <v>130582.52000000002</v>
      </c>
    </row>
    <row r="474" spans="1:15" x14ac:dyDescent="0.2">
      <c r="A474" s="168">
        <v>467</v>
      </c>
      <c r="B474" s="159">
        <v>867.41020243287937</v>
      </c>
      <c r="C474" s="169">
        <f t="shared" si="28"/>
        <v>405080.56453615468</v>
      </c>
      <c r="D474" s="153"/>
      <c r="E474" s="170">
        <v>467</v>
      </c>
      <c r="F474" s="162">
        <v>280.10490367912087</v>
      </c>
      <c r="G474" s="171">
        <f t="shared" si="29"/>
        <v>130808.99001814944</v>
      </c>
      <c r="I474" s="168">
        <v>467</v>
      </c>
      <c r="J474" s="167">
        <f>ROUND(B474*('Model Data Inputs'!$E$184*'Model Data Inputs'!$E$185*'Model Data Inputs'!$E$186*'Model Data Inputs'!$E$187),2)</f>
        <v>867.41</v>
      </c>
      <c r="K474" s="169">
        <f t="shared" si="30"/>
        <v>405080.47</v>
      </c>
      <c r="L474" s="153"/>
      <c r="M474" s="170">
        <v>467</v>
      </c>
      <c r="N474" s="164">
        <f>ROUND(F474*('Model Data Inputs'!$E$184*'Model Data Inputs'!$E$185*'Model Data Inputs'!$E$186*'Model Data Inputs'!$E$187),2)</f>
        <v>280.10000000000002</v>
      </c>
      <c r="O474" s="171">
        <f t="shared" si="31"/>
        <v>130806.70000000001</v>
      </c>
    </row>
    <row r="475" spans="1:15" x14ac:dyDescent="0.2">
      <c r="A475" s="168">
        <v>468</v>
      </c>
      <c r="B475" s="159">
        <v>866.46634041812888</v>
      </c>
      <c r="C475" s="169">
        <f t="shared" si="28"/>
        <v>405506.24731568433</v>
      </c>
      <c r="D475" s="153"/>
      <c r="E475" s="170">
        <v>468</v>
      </c>
      <c r="F475" s="162">
        <v>279.99164023735074</v>
      </c>
      <c r="G475" s="171">
        <f t="shared" si="29"/>
        <v>131036.08763108014</v>
      </c>
      <c r="I475" s="168">
        <v>468</v>
      </c>
      <c r="J475" s="167">
        <f>ROUND(B475*('Model Data Inputs'!$E$184*'Model Data Inputs'!$E$185*'Model Data Inputs'!$E$186*'Model Data Inputs'!$E$187),2)</f>
        <v>866.47</v>
      </c>
      <c r="K475" s="169">
        <f t="shared" si="30"/>
        <v>405507.96</v>
      </c>
      <c r="L475" s="153"/>
      <c r="M475" s="170">
        <v>468</v>
      </c>
      <c r="N475" s="164">
        <f>ROUND(F475*('Model Data Inputs'!$E$184*'Model Data Inputs'!$E$185*'Model Data Inputs'!$E$186*'Model Data Inputs'!$E$187),2)</f>
        <v>279.99</v>
      </c>
      <c r="O475" s="171">
        <f t="shared" si="31"/>
        <v>131035.32</v>
      </c>
    </row>
    <row r="476" spans="1:15" x14ac:dyDescent="0.2">
      <c r="A476" s="168">
        <v>469</v>
      </c>
      <c r="B476" s="159">
        <v>865.52247840337861</v>
      </c>
      <c r="C476" s="169">
        <f t="shared" si="28"/>
        <v>405930.04237118457</v>
      </c>
      <c r="D476" s="153"/>
      <c r="E476" s="170">
        <v>469</v>
      </c>
      <c r="F476" s="162">
        <v>279.87837679558083</v>
      </c>
      <c r="G476" s="171">
        <f t="shared" si="29"/>
        <v>131262.95871712742</v>
      </c>
      <c r="I476" s="168">
        <v>469</v>
      </c>
      <c r="J476" s="167">
        <f>ROUND(B476*('Model Data Inputs'!$E$184*'Model Data Inputs'!$E$185*'Model Data Inputs'!$E$186*'Model Data Inputs'!$E$187),2)</f>
        <v>865.52</v>
      </c>
      <c r="K476" s="169">
        <f t="shared" si="30"/>
        <v>405928.88</v>
      </c>
      <c r="L476" s="153"/>
      <c r="M476" s="170">
        <v>469</v>
      </c>
      <c r="N476" s="164">
        <f>ROUND(F476*('Model Data Inputs'!$E$184*'Model Data Inputs'!$E$185*'Model Data Inputs'!$E$186*'Model Data Inputs'!$E$187),2)</f>
        <v>279.88</v>
      </c>
      <c r="O476" s="171">
        <f t="shared" si="31"/>
        <v>131263.72</v>
      </c>
    </row>
    <row r="477" spans="1:15" x14ac:dyDescent="0.2">
      <c r="A477" s="168">
        <v>470</v>
      </c>
      <c r="B477" s="159">
        <v>864.57861638862823</v>
      </c>
      <c r="C477" s="169">
        <f t="shared" si="28"/>
        <v>406351.94970265526</v>
      </c>
      <c r="D477" s="153"/>
      <c r="E477" s="170">
        <v>470</v>
      </c>
      <c r="F477" s="162">
        <v>279.76511335381082</v>
      </c>
      <c r="G477" s="171">
        <f t="shared" si="29"/>
        <v>131489.60327629108</v>
      </c>
      <c r="I477" s="168">
        <v>470</v>
      </c>
      <c r="J477" s="167">
        <f>ROUND(B477*('Model Data Inputs'!$E$184*'Model Data Inputs'!$E$185*'Model Data Inputs'!$E$186*'Model Data Inputs'!$E$187),2)</f>
        <v>864.58</v>
      </c>
      <c r="K477" s="169">
        <f t="shared" si="30"/>
        <v>406352.60000000003</v>
      </c>
      <c r="L477" s="153"/>
      <c r="M477" s="170">
        <v>470</v>
      </c>
      <c r="N477" s="164">
        <f>ROUND(F477*('Model Data Inputs'!$E$184*'Model Data Inputs'!$E$185*'Model Data Inputs'!$E$186*'Model Data Inputs'!$E$187),2)</f>
        <v>279.77</v>
      </c>
      <c r="O477" s="171">
        <f t="shared" si="31"/>
        <v>131491.9</v>
      </c>
    </row>
    <row r="478" spans="1:15" x14ac:dyDescent="0.2">
      <c r="A478" s="168">
        <v>471</v>
      </c>
      <c r="B478" s="159">
        <v>863.63475437387774</v>
      </c>
      <c r="C478" s="169">
        <f t="shared" si="28"/>
        <v>406771.96931009641</v>
      </c>
      <c r="D478" s="153"/>
      <c r="E478" s="170">
        <v>471</v>
      </c>
      <c r="F478" s="162">
        <v>279.65184991204069</v>
      </c>
      <c r="G478" s="171">
        <f t="shared" si="29"/>
        <v>131716.02130857116</v>
      </c>
      <c r="I478" s="168">
        <v>471</v>
      </c>
      <c r="J478" s="167">
        <f>ROUND(B478*('Model Data Inputs'!$E$184*'Model Data Inputs'!$E$185*'Model Data Inputs'!$E$186*'Model Data Inputs'!$E$187),2)</f>
        <v>863.63</v>
      </c>
      <c r="K478" s="169">
        <f t="shared" si="30"/>
        <v>406769.73</v>
      </c>
      <c r="L478" s="153"/>
      <c r="M478" s="170">
        <v>471</v>
      </c>
      <c r="N478" s="164">
        <f>ROUND(F478*('Model Data Inputs'!$E$184*'Model Data Inputs'!$E$185*'Model Data Inputs'!$E$186*'Model Data Inputs'!$E$187),2)</f>
        <v>279.64999999999998</v>
      </c>
      <c r="O478" s="171">
        <f t="shared" si="31"/>
        <v>131715.15</v>
      </c>
    </row>
    <row r="479" spans="1:15" x14ac:dyDescent="0.2">
      <c r="A479" s="168">
        <v>472</v>
      </c>
      <c r="B479" s="159">
        <v>862.69089235912747</v>
      </c>
      <c r="C479" s="169">
        <f t="shared" si="28"/>
        <v>407190.10119350819</v>
      </c>
      <c r="D479" s="153"/>
      <c r="E479" s="170">
        <v>472</v>
      </c>
      <c r="F479" s="162">
        <v>279.53858647027062</v>
      </c>
      <c r="G479" s="171">
        <f t="shared" si="29"/>
        <v>131942.21281396772</v>
      </c>
      <c r="I479" s="168">
        <v>472</v>
      </c>
      <c r="J479" s="167">
        <f>ROUND(B479*('Model Data Inputs'!$E$184*'Model Data Inputs'!$E$185*'Model Data Inputs'!$E$186*'Model Data Inputs'!$E$187),2)</f>
        <v>862.69</v>
      </c>
      <c r="K479" s="169">
        <f t="shared" si="30"/>
        <v>407189.68000000005</v>
      </c>
      <c r="L479" s="153"/>
      <c r="M479" s="170">
        <v>472</v>
      </c>
      <c r="N479" s="164">
        <f>ROUND(F479*('Model Data Inputs'!$E$184*'Model Data Inputs'!$E$185*'Model Data Inputs'!$E$186*'Model Data Inputs'!$E$187),2)</f>
        <v>279.54000000000002</v>
      </c>
      <c r="O479" s="171">
        <f t="shared" si="31"/>
        <v>131942.88</v>
      </c>
    </row>
    <row r="480" spans="1:15" x14ac:dyDescent="0.2">
      <c r="A480" s="168">
        <v>473</v>
      </c>
      <c r="B480" s="159">
        <v>861.74703034437698</v>
      </c>
      <c r="C480" s="169">
        <f t="shared" si="28"/>
        <v>407606.34535289032</v>
      </c>
      <c r="D480" s="153"/>
      <c r="E480" s="170">
        <v>473</v>
      </c>
      <c r="F480" s="162">
        <v>279.4253230285006</v>
      </c>
      <c r="G480" s="171">
        <f t="shared" si="29"/>
        <v>132168.1777924808</v>
      </c>
      <c r="I480" s="168">
        <v>473</v>
      </c>
      <c r="J480" s="167">
        <f>ROUND(B480*('Model Data Inputs'!$E$184*'Model Data Inputs'!$E$185*'Model Data Inputs'!$E$186*'Model Data Inputs'!$E$187),2)</f>
        <v>861.75</v>
      </c>
      <c r="K480" s="169">
        <f t="shared" si="30"/>
        <v>407607.75</v>
      </c>
      <c r="L480" s="153"/>
      <c r="M480" s="170">
        <v>473</v>
      </c>
      <c r="N480" s="164">
        <f>ROUND(F480*('Model Data Inputs'!$E$184*'Model Data Inputs'!$E$185*'Model Data Inputs'!$E$186*'Model Data Inputs'!$E$187),2)</f>
        <v>279.43</v>
      </c>
      <c r="O480" s="171">
        <f t="shared" si="31"/>
        <v>132170.39000000001</v>
      </c>
    </row>
    <row r="481" spans="1:15" x14ac:dyDescent="0.2">
      <c r="A481" s="168">
        <v>474</v>
      </c>
      <c r="B481" s="159">
        <v>860.80316832962671</v>
      </c>
      <c r="C481" s="169">
        <f t="shared" si="28"/>
        <v>408020.70178824308</v>
      </c>
      <c r="D481" s="153"/>
      <c r="E481" s="170">
        <v>474</v>
      </c>
      <c r="F481" s="162">
        <v>279.31205958673053</v>
      </c>
      <c r="G481" s="171">
        <f t="shared" si="29"/>
        <v>132393.91624411027</v>
      </c>
      <c r="I481" s="168">
        <v>474</v>
      </c>
      <c r="J481" s="167">
        <f>ROUND(B481*('Model Data Inputs'!$E$184*'Model Data Inputs'!$E$185*'Model Data Inputs'!$E$186*'Model Data Inputs'!$E$187),2)</f>
        <v>860.8</v>
      </c>
      <c r="K481" s="169">
        <f t="shared" si="30"/>
        <v>408019.19999999995</v>
      </c>
      <c r="L481" s="153"/>
      <c r="M481" s="170">
        <v>474</v>
      </c>
      <c r="N481" s="164">
        <f>ROUND(F481*('Model Data Inputs'!$E$184*'Model Data Inputs'!$E$185*'Model Data Inputs'!$E$186*'Model Data Inputs'!$E$187),2)</f>
        <v>279.31</v>
      </c>
      <c r="O481" s="171">
        <f t="shared" si="31"/>
        <v>132392.94</v>
      </c>
    </row>
    <row r="482" spans="1:15" x14ac:dyDescent="0.2">
      <c r="A482" s="168">
        <v>475</v>
      </c>
      <c r="B482" s="159">
        <v>859.85930631487645</v>
      </c>
      <c r="C482" s="169">
        <f t="shared" si="28"/>
        <v>408433.1704995663</v>
      </c>
      <c r="D482" s="153"/>
      <c r="E482" s="170">
        <v>475</v>
      </c>
      <c r="F482" s="162">
        <v>279.19879614496051</v>
      </c>
      <c r="G482" s="171">
        <f t="shared" si="29"/>
        <v>132619.42816885625</v>
      </c>
      <c r="I482" s="168">
        <v>475</v>
      </c>
      <c r="J482" s="167">
        <f>ROUND(B482*('Model Data Inputs'!$E$184*'Model Data Inputs'!$E$185*'Model Data Inputs'!$E$186*'Model Data Inputs'!$E$187),2)</f>
        <v>859.86</v>
      </c>
      <c r="K482" s="169">
        <f t="shared" si="30"/>
        <v>408433.5</v>
      </c>
      <c r="L482" s="153"/>
      <c r="M482" s="170">
        <v>475</v>
      </c>
      <c r="N482" s="164">
        <f>ROUND(F482*('Model Data Inputs'!$E$184*'Model Data Inputs'!$E$185*'Model Data Inputs'!$E$186*'Model Data Inputs'!$E$187),2)</f>
        <v>279.2</v>
      </c>
      <c r="O482" s="171">
        <f t="shared" si="31"/>
        <v>132620</v>
      </c>
    </row>
    <row r="483" spans="1:15" x14ac:dyDescent="0.2">
      <c r="A483" s="168">
        <v>476</v>
      </c>
      <c r="B483" s="159">
        <v>858.91544430012584</v>
      </c>
      <c r="C483" s="169">
        <f t="shared" si="28"/>
        <v>408843.75148685992</v>
      </c>
      <c r="D483" s="153"/>
      <c r="E483" s="170">
        <v>476</v>
      </c>
      <c r="F483" s="162">
        <v>279.08553270319049</v>
      </c>
      <c r="G483" s="171">
        <f t="shared" si="29"/>
        <v>132844.71356671868</v>
      </c>
      <c r="I483" s="168">
        <v>476</v>
      </c>
      <c r="J483" s="167">
        <f>ROUND(B483*('Model Data Inputs'!$E$184*'Model Data Inputs'!$E$185*'Model Data Inputs'!$E$186*'Model Data Inputs'!$E$187),2)</f>
        <v>858.92</v>
      </c>
      <c r="K483" s="169">
        <f t="shared" si="30"/>
        <v>408845.92</v>
      </c>
      <c r="L483" s="153"/>
      <c r="M483" s="170">
        <v>476</v>
      </c>
      <c r="N483" s="164">
        <f>ROUND(F483*('Model Data Inputs'!$E$184*'Model Data Inputs'!$E$185*'Model Data Inputs'!$E$186*'Model Data Inputs'!$E$187),2)</f>
        <v>279.08999999999997</v>
      </c>
      <c r="O483" s="171">
        <f t="shared" si="31"/>
        <v>132846.84</v>
      </c>
    </row>
    <row r="484" spans="1:15" x14ac:dyDescent="0.2">
      <c r="A484" s="168">
        <v>477</v>
      </c>
      <c r="B484" s="159">
        <v>857.97158228537546</v>
      </c>
      <c r="C484" s="169">
        <f t="shared" si="28"/>
        <v>409252.44475012412</v>
      </c>
      <c r="D484" s="153"/>
      <c r="E484" s="170">
        <v>477</v>
      </c>
      <c r="F484" s="162">
        <v>278.97226926142042</v>
      </c>
      <c r="G484" s="171">
        <f t="shared" si="29"/>
        <v>133069.77243769754</v>
      </c>
      <c r="I484" s="168">
        <v>477</v>
      </c>
      <c r="J484" s="167">
        <f>ROUND(B484*('Model Data Inputs'!$E$184*'Model Data Inputs'!$E$185*'Model Data Inputs'!$E$186*'Model Data Inputs'!$E$187),2)</f>
        <v>857.97</v>
      </c>
      <c r="K484" s="169">
        <f t="shared" si="30"/>
        <v>409251.69</v>
      </c>
      <c r="L484" s="153"/>
      <c r="M484" s="170">
        <v>477</v>
      </c>
      <c r="N484" s="164">
        <f>ROUND(F484*('Model Data Inputs'!$E$184*'Model Data Inputs'!$E$185*'Model Data Inputs'!$E$186*'Model Data Inputs'!$E$187),2)</f>
        <v>278.97000000000003</v>
      </c>
      <c r="O484" s="171">
        <f t="shared" si="31"/>
        <v>133068.69</v>
      </c>
    </row>
    <row r="485" spans="1:15" x14ac:dyDescent="0.2">
      <c r="A485" s="168">
        <v>478</v>
      </c>
      <c r="B485" s="159">
        <v>857.0277202706252</v>
      </c>
      <c r="C485" s="169">
        <f t="shared" si="28"/>
        <v>409659.25028935884</v>
      </c>
      <c r="D485" s="153"/>
      <c r="E485" s="170">
        <v>478</v>
      </c>
      <c r="F485" s="162">
        <v>278.85900581965041</v>
      </c>
      <c r="G485" s="171">
        <f t="shared" si="29"/>
        <v>133294.60478179291</v>
      </c>
      <c r="I485" s="168">
        <v>478</v>
      </c>
      <c r="J485" s="167">
        <f>ROUND(B485*('Model Data Inputs'!$E$184*'Model Data Inputs'!$E$185*'Model Data Inputs'!$E$186*'Model Data Inputs'!$E$187),2)</f>
        <v>857.03</v>
      </c>
      <c r="K485" s="169">
        <f t="shared" si="30"/>
        <v>409660.33999999997</v>
      </c>
      <c r="L485" s="153"/>
      <c r="M485" s="170">
        <v>478</v>
      </c>
      <c r="N485" s="164">
        <f>ROUND(F485*('Model Data Inputs'!$E$184*'Model Data Inputs'!$E$185*'Model Data Inputs'!$E$186*'Model Data Inputs'!$E$187),2)</f>
        <v>278.86</v>
      </c>
      <c r="O485" s="171">
        <f t="shared" si="31"/>
        <v>133295.08000000002</v>
      </c>
    </row>
    <row r="486" spans="1:15" x14ac:dyDescent="0.2">
      <c r="A486" s="168">
        <v>479</v>
      </c>
      <c r="B486" s="159">
        <v>856.08385825587493</v>
      </c>
      <c r="C486" s="169">
        <f t="shared" si="28"/>
        <v>410064.16810456407</v>
      </c>
      <c r="D486" s="153"/>
      <c r="E486" s="170">
        <v>479</v>
      </c>
      <c r="F486" s="162">
        <v>278.74574237788033</v>
      </c>
      <c r="G486" s="171">
        <f t="shared" si="29"/>
        <v>133519.21059900467</v>
      </c>
      <c r="I486" s="168">
        <v>479</v>
      </c>
      <c r="J486" s="167">
        <f>ROUND(B486*('Model Data Inputs'!$E$184*'Model Data Inputs'!$E$185*'Model Data Inputs'!$E$186*'Model Data Inputs'!$E$187),2)</f>
        <v>856.08</v>
      </c>
      <c r="K486" s="169">
        <f t="shared" si="30"/>
        <v>410062.32</v>
      </c>
      <c r="L486" s="153"/>
      <c r="M486" s="170">
        <v>479</v>
      </c>
      <c r="N486" s="164">
        <f>ROUND(F486*('Model Data Inputs'!$E$184*'Model Data Inputs'!$E$185*'Model Data Inputs'!$E$186*'Model Data Inputs'!$E$187),2)</f>
        <v>278.75</v>
      </c>
      <c r="O486" s="171">
        <f t="shared" si="31"/>
        <v>133521.25</v>
      </c>
    </row>
    <row r="487" spans="1:15" x14ac:dyDescent="0.2">
      <c r="A487" s="168">
        <v>480</v>
      </c>
      <c r="B487" s="159">
        <v>855.13999624112444</v>
      </c>
      <c r="C487" s="169">
        <f t="shared" si="28"/>
        <v>410467.19819573971</v>
      </c>
      <c r="D487" s="153"/>
      <c r="E487" s="170">
        <v>480</v>
      </c>
      <c r="F487" s="162">
        <v>278.63247893611032</v>
      </c>
      <c r="G487" s="171">
        <f t="shared" si="29"/>
        <v>133743.58988933294</v>
      </c>
      <c r="I487" s="168">
        <v>480</v>
      </c>
      <c r="J487" s="167">
        <f>ROUND(B487*('Model Data Inputs'!$E$184*'Model Data Inputs'!$E$185*'Model Data Inputs'!$E$186*'Model Data Inputs'!$E$187),2)</f>
        <v>855.14</v>
      </c>
      <c r="K487" s="169">
        <f t="shared" si="30"/>
        <v>410467.2</v>
      </c>
      <c r="L487" s="153"/>
      <c r="M487" s="170">
        <v>480</v>
      </c>
      <c r="N487" s="164">
        <f>ROUND(F487*('Model Data Inputs'!$E$184*'Model Data Inputs'!$E$185*'Model Data Inputs'!$E$186*'Model Data Inputs'!$E$187),2)</f>
        <v>278.63</v>
      </c>
      <c r="O487" s="171">
        <f t="shared" si="31"/>
        <v>133742.39999999999</v>
      </c>
    </row>
    <row r="488" spans="1:15" x14ac:dyDescent="0.2">
      <c r="A488" s="168">
        <v>481</v>
      </c>
      <c r="B488" s="159">
        <v>854.19613422637406</v>
      </c>
      <c r="C488" s="169">
        <f t="shared" si="28"/>
        <v>410868.34056288592</v>
      </c>
      <c r="D488" s="153"/>
      <c r="E488" s="170">
        <v>481</v>
      </c>
      <c r="F488" s="162">
        <v>278.51921549434024</v>
      </c>
      <c r="G488" s="171">
        <f t="shared" si="29"/>
        <v>133967.74265277767</v>
      </c>
      <c r="I488" s="168">
        <v>481</v>
      </c>
      <c r="J488" s="167">
        <f>ROUND(B488*('Model Data Inputs'!$E$184*'Model Data Inputs'!$E$185*'Model Data Inputs'!$E$186*'Model Data Inputs'!$E$187),2)</f>
        <v>854.2</v>
      </c>
      <c r="K488" s="169">
        <f t="shared" si="30"/>
        <v>410870.2</v>
      </c>
      <c r="L488" s="153"/>
      <c r="M488" s="170">
        <v>481</v>
      </c>
      <c r="N488" s="164">
        <f>ROUND(F488*('Model Data Inputs'!$E$184*'Model Data Inputs'!$E$185*'Model Data Inputs'!$E$186*'Model Data Inputs'!$E$187),2)</f>
        <v>278.52</v>
      </c>
      <c r="O488" s="171">
        <f t="shared" si="31"/>
        <v>133968.12</v>
      </c>
    </row>
    <row r="489" spans="1:15" x14ac:dyDescent="0.2">
      <c r="A489" s="168">
        <v>482</v>
      </c>
      <c r="B489" s="159">
        <v>853.25227221162368</v>
      </c>
      <c r="C489" s="169">
        <f t="shared" si="28"/>
        <v>411267.59520600259</v>
      </c>
      <c r="D489" s="153"/>
      <c r="E489" s="170">
        <v>482</v>
      </c>
      <c r="F489" s="162">
        <v>278.40595205257017</v>
      </c>
      <c r="G489" s="171">
        <f t="shared" si="29"/>
        <v>134191.66888933882</v>
      </c>
      <c r="I489" s="168">
        <v>482</v>
      </c>
      <c r="J489" s="167">
        <f>ROUND(B489*('Model Data Inputs'!$E$184*'Model Data Inputs'!$E$185*'Model Data Inputs'!$E$186*'Model Data Inputs'!$E$187),2)</f>
        <v>853.25</v>
      </c>
      <c r="K489" s="169">
        <f t="shared" si="30"/>
        <v>411266.5</v>
      </c>
      <c r="L489" s="153"/>
      <c r="M489" s="170">
        <v>482</v>
      </c>
      <c r="N489" s="164">
        <f>ROUND(F489*('Model Data Inputs'!$E$184*'Model Data Inputs'!$E$185*'Model Data Inputs'!$E$186*'Model Data Inputs'!$E$187),2)</f>
        <v>278.41000000000003</v>
      </c>
      <c r="O489" s="171">
        <f t="shared" si="31"/>
        <v>134193.62000000002</v>
      </c>
    </row>
    <row r="490" spans="1:15" x14ac:dyDescent="0.2">
      <c r="A490" s="168">
        <v>483</v>
      </c>
      <c r="B490" s="159">
        <v>852.30841019687318</v>
      </c>
      <c r="C490" s="169">
        <f t="shared" si="28"/>
        <v>411664.96212508978</v>
      </c>
      <c r="D490" s="153"/>
      <c r="E490" s="170">
        <v>483</v>
      </c>
      <c r="F490" s="162">
        <v>278.29268861080016</v>
      </c>
      <c r="G490" s="171">
        <f t="shared" si="29"/>
        <v>134415.36859901648</v>
      </c>
      <c r="I490" s="168">
        <v>483</v>
      </c>
      <c r="J490" s="167">
        <f>ROUND(B490*('Model Data Inputs'!$E$184*'Model Data Inputs'!$E$185*'Model Data Inputs'!$E$186*'Model Data Inputs'!$E$187),2)</f>
        <v>852.31</v>
      </c>
      <c r="K490" s="169">
        <f t="shared" si="30"/>
        <v>411665.73</v>
      </c>
      <c r="L490" s="153"/>
      <c r="M490" s="170">
        <v>483</v>
      </c>
      <c r="N490" s="164">
        <f>ROUND(F490*('Model Data Inputs'!$E$184*'Model Data Inputs'!$E$185*'Model Data Inputs'!$E$186*'Model Data Inputs'!$E$187),2)</f>
        <v>278.29000000000002</v>
      </c>
      <c r="O490" s="171">
        <f t="shared" si="31"/>
        <v>134414.07</v>
      </c>
    </row>
    <row r="491" spans="1:15" x14ac:dyDescent="0.2">
      <c r="A491" s="168">
        <v>484</v>
      </c>
      <c r="B491" s="159">
        <v>851.36454818212303</v>
      </c>
      <c r="C491" s="169">
        <f t="shared" si="28"/>
        <v>412060.44132014754</v>
      </c>
      <c r="D491" s="153"/>
      <c r="E491" s="170">
        <v>484</v>
      </c>
      <c r="F491" s="162">
        <v>278.17942516903014</v>
      </c>
      <c r="G491" s="171">
        <f t="shared" si="29"/>
        <v>134638.8417818106</v>
      </c>
      <c r="I491" s="168">
        <v>484</v>
      </c>
      <c r="J491" s="167">
        <f>ROUND(B491*('Model Data Inputs'!$E$184*'Model Data Inputs'!$E$185*'Model Data Inputs'!$E$186*'Model Data Inputs'!$E$187),2)</f>
        <v>851.36</v>
      </c>
      <c r="K491" s="169">
        <f t="shared" si="30"/>
        <v>412058.24</v>
      </c>
      <c r="L491" s="153"/>
      <c r="M491" s="170">
        <v>484</v>
      </c>
      <c r="N491" s="164">
        <f>ROUND(F491*('Model Data Inputs'!$E$184*'Model Data Inputs'!$E$185*'Model Data Inputs'!$E$186*'Model Data Inputs'!$E$187),2)</f>
        <v>278.18</v>
      </c>
      <c r="O491" s="171">
        <f t="shared" si="31"/>
        <v>134639.12</v>
      </c>
    </row>
    <row r="492" spans="1:15" x14ac:dyDescent="0.2">
      <c r="A492" s="168">
        <v>485</v>
      </c>
      <c r="B492" s="159">
        <v>850.42068616737254</v>
      </c>
      <c r="C492" s="169">
        <f t="shared" si="28"/>
        <v>412454.0327911757</v>
      </c>
      <c r="D492" s="153"/>
      <c r="E492" s="170">
        <v>485</v>
      </c>
      <c r="F492" s="162">
        <v>278.06616172726001</v>
      </c>
      <c r="G492" s="171">
        <f t="shared" si="29"/>
        <v>134862.0884377211</v>
      </c>
      <c r="I492" s="168">
        <v>485</v>
      </c>
      <c r="J492" s="167">
        <f>ROUND(B492*('Model Data Inputs'!$E$184*'Model Data Inputs'!$E$185*'Model Data Inputs'!$E$186*'Model Data Inputs'!$E$187),2)</f>
        <v>850.42</v>
      </c>
      <c r="K492" s="169">
        <f t="shared" si="30"/>
        <v>412453.69999999995</v>
      </c>
      <c r="L492" s="153"/>
      <c r="M492" s="170">
        <v>485</v>
      </c>
      <c r="N492" s="164">
        <f>ROUND(F492*('Model Data Inputs'!$E$184*'Model Data Inputs'!$E$185*'Model Data Inputs'!$E$186*'Model Data Inputs'!$E$187),2)</f>
        <v>278.07</v>
      </c>
      <c r="O492" s="171">
        <f t="shared" si="31"/>
        <v>134863.94999999998</v>
      </c>
    </row>
    <row r="493" spans="1:15" x14ac:dyDescent="0.2">
      <c r="A493" s="168">
        <v>486</v>
      </c>
      <c r="B493" s="159">
        <v>849.47682415262216</v>
      </c>
      <c r="C493" s="169">
        <f t="shared" si="28"/>
        <v>412845.73653817439</v>
      </c>
      <c r="D493" s="153"/>
      <c r="E493" s="170">
        <v>486</v>
      </c>
      <c r="F493" s="162">
        <v>277.95289828549005</v>
      </c>
      <c r="G493" s="171">
        <f t="shared" si="29"/>
        <v>135085.10856674815</v>
      </c>
      <c r="I493" s="168">
        <v>486</v>
      </c>
      <c r="J493" s="167">
        <f>ROUND(B493*('Model Data Inputs'!$E$184*'Model Data Inputs'!$E$185*'Model Data Inputs'!$E$186*'Model Data Inputs'!$E$187),2)</f>
        <v>849.48</v>
      </c>
      <c r="K493" s="169">
        <f t="shared" si="30"/>
        <v>412847.28</v>
      </c>
      <c r="L493" s="153"/>
      <c r="M493" s="170">
        <v>486</v>
      </c>
      <c r="N493" s="164">
        <f>ROUND(F493*('Model Data Inputs'!$E$184*'Model Data Inputs'!$E$185*'Model Data Inputs'!$E$186*'Model Data Inputs'!$E$187),2)</f>
        <v>277.95</v>
      </c>
      <c r="O493" s="171">
        <f t="shared" si="31"/>
        <v>135083.69999999998</v>
      </c>
    </row>
    <row r="494" spans="1:15" x14ac:dyDescent="0.2">
      <c r="A494" s="168">
        <v>487</v>
      </c>
      <c r="B494" s="159">
        <v>848.53296213787189</v>
      </c>
      <c r="C494" s="169">
        <f t="shared" si="28"/>
        <v>413235.55256114359</v>
      </c>
      <c r="D494" s="153"/>
      <c r="E494" s="170">
        <v>487</v>
      </c>
      <c r="F494" s="162">
        <v>277.83963484371998</v>
      </c>
      <c r="G494" s="171">
        <f t="shared" si="29"/>
        <v>135307.90216889163</v>
      </c>
      <c r="I494" s="168">
        <v>487</v>
      </c>
      <c r="J494" s="167">
        <f>ROUND(B494*('Model Data Inputs'!$E$184*'Model Data Inputs'!$E$185*'Model Data Inputs'!$E$186*'Model Data Inputs'!$E$187),2)</f>
        <v>848.53</v>
      </c>
      <c r="K494" s="169">
        <f t="shared" si="30"/>
        <v>413234.11</v>
      </c>
      <c r="L494" s="153"/>
      <c r="M494" s="170">
        <v>487</v>
      </c>
      <c r="N494" s="164">
        <f>ROUND(F494*('Model Data Inputs'!$E$184*'Model Data Inputs'!$E$185*'Model Data Inputs'!$E$186*'Model Data Inputs'!$E$187),2)</f>
        <v>277.83999999999997</v>
      </c>
      <c r="O494" s="171">
        <f t="shared" si="31"/>
        <v>135308.07999999999</v>
      </c>
    </row>
    <row r="495" spans="1:15" x14ac:dyDescent="0.2">
      <c r="A495" s="168">
        <v>488</v>
      </c>
      <c r="B495" s="159">
        <v>847.58910012312128</v>
      </c>
      <c r="C495" s="169">
        <f t="shared" si="28"/>
        <v>413623.48086008319</v>
      </c>
      <c r="D495" s="153"/>
      <c r="E495" s="170">
        <v>488</v>
      </c>
      <c r="F495" s="162">
        <v>277.7263714019499</v>
      </c>
      <c r="G495" s="171">
        <f t="shared" si="29"/>
        <v>135530.46924415155</v>
      </c>
      <c r="I495" s="168">
        <v>488</v>
      </c>
      <c r="J495" s="167">
        <f>ROUND(B495*('Model Data Inputs'!$E$184*'Model Data Inputs'!$E$185*'Model Data Inputs'!$E$186*'Model Data Inputs'!$E$187),2)</f>
        <v>847.59</v>
      </c>
      <c r="K495" s="169">
        <f t="shared" si="30"/>
        <v>413623.92000000004</v>
      </c>
      <c r="L495" s="153"/>
      <c r="M495" s="170">
        <v>488</v>
      </c>
      <c r="N495" s="164">
        <f>ROUND(F495*('Model Data Inputs'!$E$184*'Model Data Inputs'!$E$185*'Model Data Inputs'!$E$186*'Model Data Inputs'!$E$187),2)</f>
        <v>277.73</v>
      </c>
      <c r="O495" s="171">
        <f t="shared" si="31"/>
        <v>135532.24000000002</v>
      </c>
    </row>
    <row r="496" spans="1:15" x14ac:dyDescent="0.2">
      <c r="A496" s="168">
        <v>489</v>
      </c>
      <c r="B496" s="159">
        <v>846.6452381083709</v>
      </c>
      <c r="C496" s="169">
        <f t="shared" si="28"/>
        <v>414009.52143499337</v>
      </c>
      <c r="D496" s="153"/>
      <c r="E496" s="170">
        <v>489</v>
      </c>
      <c r="F496" s="162">
        <v>277.61310796017989</v>
      </c>
      <c r="G496" s="171">
        <f t="shared" si="29"/>
        <v>135752.80979252796</v>
      </c>
      <c r="I496" s="168">
        <v>489</v>
      </c>
      <c r="J496" s="167">
        <f>ROUND(B496*('Model Data Inputs'!$E$184*'Model Data Inputs'!$E$185*'Model Data Inputs'!$E$186*'Model Data Inputs'!$E$187),2)</f>
        <v>846.65</v>
      </c>
      <c r="K496" s="169">
        <f t="shared" si="30"/>
        <v>414011.85</v>
      </c>
      <c r="L496" s="153"/>
      <c r="M496" s="170">
        <v>489</v>
      </c>
      <c r="N496" s="164">
        <f>ROUND(F496*('Model Data Inputs'!$E$184*'Model Data Inputs'!$E$185*'Model Data Inputs'!$E$186*'Model Data Inputs'!$E$187),2)</f>
        <v>277.61</v>
      </c>
      <c r="O496" s="171">
        <f t="shared" si="31"/>
        <v>135751.29</v>
      </c>
    </row>
    <row r="497" spans="1:15" x14ac:dyDescent="0.2">
      <c r="A497" s="168">
        <v>490</v>
      </c>
      <c r="B497" s="159">
        <v>845.70137609362075</v>
      </c>
      <c r="C497" s="169">
        <f t="shared" si="28"/>
        <v>414393.67428587418</v>
      </c>
      <c r="D497" s="153"/>
      <c r="E497" s="170">
        <v>490</v>
      </c>
      <c r="F497" s="162">
        <v>277.49984451840982</v>
      </c>
      <c r="G497" s="171">
        <f t="shared" si="29"/>
        <v>135974.92381402082</v>
      </c>
      <c r="I497" s="168">
        <v>490</v>
      </c>
      <c r="J497" s="167">
        <f>ROUND(B497*('Model Data Inputs'!$E$184*'Model Data Inputs'!$E$185*'Model Data Inputs'!$E$186*'Model Data Inputs'!$E$187),2)</f>
        <v>845.7</v>
      </c>
      <c r="K497" s="169">
        <f t="shared" si="30"/>
        <v>414393</v>
      </c>
      <c r="L497" s="153"/>
      <c r="M497" s="170">
        <v>490</v>
      </c>
      <c r="N497" s="164">
        <f>ROUND(F497*('Model Data Inputs'!$E$184*'Model Data Inputs'!$E$185*'Model Data Inputs'!$E$186*'Model Data Inputs'!$E$187),2)</f>
        <v>277.5</v>
      </c>
      <c r="O497" s="171">
        <f t="shared" si="31"/>
        <v>135975</v>
      </c>
    </row>
    <row r="498" spans="1:15" x14ac:dyDescent="0.2">
      <c r="A498" s="168">
        <v>491</v>
      </c>
      <c r="B498" s="159">
        <v>844.75751407887026</v>
      </c>
      <c r="C498" s="169">
        <f t="shared" si="28"/>
        <v>414775.93941272527</v>
      </c>
      <c r="D498" s="153"/>
      <c r="E498" s="170">
        <v>491</v>
      </c>
      <c r="F498" s="162">
        <v>277.38658107663974</v>
      </c>
      <c r="G498" s="171">
        <f t="shared" si="29"/>
        <v>136196.8113086301</v>
      </c>
      <c r="I498" s="168">
        <v>491</v>
      </c>
      <c r="J498" s="167">
        <f>ROUND(B498*('Model Data Inputs'!$E$184*'Model Data Inputs'!$E$185*'Model Data Inputs'!$E$186*'Model Data Inputs'!$E$187),2)</f>
        <v>844.76</v>
      </c>
      <c r="K498" s="169">
        <f t="shared" si="30"/>
        <v>414777.16</v>
      </c>
      <c r="L498" s="153"/>
      <c r="M498" s="170">
        <v>491</v>
      </c>
      <c r="N498" s="164">
        <f>ROUND(F498*('Model Data Inputs'!$E$184*'Model Data Inputs'!$E$185*'Model Data Inputs'!$E$186*'Model Data Inputs'!$E$187),2)</f>
        <v>277.39</v>
      </c>
      <c r="O498" s="171">
        <f t="shared" si="31"/>
        <v>136198.49</v>
      </c>
    </row>
    <row r="499" spans="1:15" x14ac:dyDescent="0.2">
      <c r="A499" s="168">
        <v>492</v>
      </c>
      <c r="B499" s="159">
        <v>843.81365206411988</v>
      </c>
      <c r="C499" s="169">
        <f t="shared" si="28"/>
        <v>415156.316815547</v>
      </c>
      <c r="D499" s="153"/>
      <c r="E499" s="170">
        <v>492</v>
      </c>
      <c r="F499" s="162">
        <v>277.27331763486978</v>
      </c>
      <c r="G499" s="171">
        <f t="shared" si="29"/>
        <v>136418.47227635593</v>
      </c>
      <c r="I499" s="168">
        <v>492</v>
      </c>
      <c r="J499" s="167">
        <f>ROUND(B499*('Model Data Inputs'!$E$184*'Model Data Inputs'!$E$185*'Model Data Inputs'!$E$186*'Model Data Inputs'!$E$187),2)</f>
        <v>843.81</v>
      </c>
      <c r="K499" s="169">
        <f t="shared" si="30"/>
        <v>415154.51999999996</v>
      </c>
      <c r="L499" s="153"/>
      <c r="M499" s="170">
        <v>492</v>
      </c>
      <c r="N499" s="164">
        <f>ROUND(F499*('Model Data Inputs'!$E$184*'Model Data Inputs'!$E$185*'Model Data Inputs'!$E$186*'Model Data Inputs'!$E$187),2)</f>
        <v>277.27</v>
      </c>
      <c r="O499" s="171">
        <f t="shared" si="31"/>
        <v>136416.84</v>
      </c>
    </row>
    <row r="500" spans="1:15" x14ac:dyDescent="0.2">
      <c r="A500" s="168">
        <v>493</v>
      </c>
      <c r="B500" s="159">
        <v>842.86979004936961</v>
      </c>
      <c r="C500" s="169">
        <f t="shared" si="28"/>
        <v>415534.80649433919</v>
      </c>
      <c r="D500" s="153"/>
      <c r="E500" s="170">
        <v>493</v>
      </c>
      <c r="F500" s="162">
        <v>277.16005419309977</v>
      </c>
      <c r="G500" s="171">
        <f t="shared" si="29"/>
        <v>136639.90671719817</v>
      </c>
      <c r="I500" s="168">
        <v>493</v>
      </c>
      <c r="J500" s="167">
        <f>ROUND(B500*('Model Data Inputs'!$E$184*'Model Data Inputs'!$E$185*'Model Data Inputs'!$E$186*'Model Data Inputs'!$E$187),2)</f>
        <v>842.87</v>
      </c>
      <c r="K500" s="169">
        <f t="shared" si="30"/>
        <v>415534.91</v>
      </c>
      <c r="L500" s="153"/>
      <c r="M500" s="170">
        <v>493</v>
      </c>
      <c r="N500" s="164">
        <f>ROUND(F500*('Model Data Inputs'!$E$184*'Model Data Inputs'!$E$185*'Model Data Inputs'!$E$186*'Model Data Inputs'!$E$187),2)</f>
        <v>277.16000000000003</v>
      </c>
      <c r="O500" s="171">
        <f t="shared" si="31"/>
        <v>136639.88</v>
      </c>
    </row>
    <row r="501" spans="1:15" x14ac:dyDescent="0.2">
      <c r="A501" s="168">
        <v>494</v>
      </c>
      <c r="B501" s="159">
        <v>841.92592803461912</v>
      </c>
      <c r="C501" s="169">
        <f t="shared" si="28"/>
        <v>415911.40844910184</v>
      </c>
      <c r="D501" s="153"/>
      <c r="E501" s="170">
        <v>494</v>
      </c>
      <c r="F501" s="162">
        <v>277.04679075132964</v>
      </c>
      <c r="G501" s="171">
        <f t="shared" si="29"/>
        <v>136861.11463115684</v>
      </c>
      <c r="I501" s="168">
        <v>494</v>
      </c>
      <c r="J501" s="167">
        <f>ROUND(B501*('Model Data Inputs'!$E$184*'Model Data Inputs'!$E$185*'Model Data Inputs'!$E$186*'Model Data Inputs'!$E$187),2)</f>
        <v>841.93</v>
      </c>
      <c r="K501" s="169">
        <f t="shared" si="30"/>
        <v>415913.42</v>
      </c>
      <c r="L501" s="153"/>
      <c r="M501" s="170">
        <v>494</v>
      </c>
      <c r="N501" s="164">
        <f>ROUND(F501*('Model Data Inputs'!$E$184*'Model Data Inputs'!$E$185*'Model Data Inputs'!$E$186*'Model Data Inputs'!$E$187),2)</f>
        <v>277.05</v>
      </c>
      <c r="O501" s="171">
        <f t="shared" si="31"/>
        <v>136862.70000000001</v>
      </c>
    </row>
    <row r="502" spans="1:15" x14ac:dyDescent="0.2">
      <c r="A502" s="168">
        <v>495</v>
      </c>
      <c r="B502" s="159">
        <v>840.98206601986885</v>
      </c>
      <c r="C502" s="169">
        <f t="shared" si="28"/>
        <v>416286.12267983507</v>
      </c>
      <c r="D502" s="153"/>
      <c r="E502" s="170">
        <v>495</v>
      </c>
      <c r="F502" s="162">
        <v>276.93352730955962</v>
      </c>
      <c r="G502" s="171">
        <f t="shared" si="29"/>
        <v>137082.09601823203</v>
      </c>
      <c r="I502" s="168">
        <v>495</v>
      </c>
      <c r="J502" s="167">
        <f>ROUND(B502*('Model Data Inputs'!$E$184*'Model Data Inputs'!$E$185*'Model Data Inputs'!$E$186*'Model Data Inputs'!$E$187),2)</f>
        <v>840.98</v>
      </c>
      <c r="K502" s="169">
        <f t="shared" si="30"/>
        <v>416285.10000000003</v>
      </c>
      <c r="L502" s="153"/>
      <c r="M502" s="170">
        <v>495</v>
      </c>
      <c r="N502" s="164">
        <f>ROUND(F502*('Model Data Inputs'!$E$184*'Model Data Inputs'!$E$185*'Model Data Inputs'!$E$186*'Model Data Inputs'!$E$187),2)</f>
        <v>276.93</v>
      </c>
      <c r="O502" s="171">
        <f t="shared" si="31"/>
        <v>137080.35</v>
      </c>
    </row>
    <row r="503" spans="1:15" x14ac:dyDescent="0.2">
      <c r="A503" s="168">
        <v>496</v>
      </c>
      <c r="B503" s="159">
        <v>840.03820400511836</v>
      </c>
      <c r="C503" s="169">
        <f t="shared" si="28"/>
        <v>416658.9491865387</v>
      </c>
      <c r="D503" s="153"/>
      <c r="E503" s="170">
        <v>496</v>
      </c>
      <c r="F503" s="162">
        <v>276.82026386778961</v>
      </c>
      <c r="G503" s="171">
        <f t="shared" si="29"/>
        <v>137302.85087842363</v>
      </c>
      <c r="I503" s="168">
        <v>496</v>
      </c>
      <c r="J503" s="167">
        <f>ROUND(B503*('Model Data Inputs'!$E$184*'Model Data Inputs'!$E$185*'Model Data Inputs'!$E$186*'Model Data Inputs'!$E$187),2)</f>
        <v>840.04</v>
      </c>
      <c r="K503" s="169">
        <f t="shared" si="30"/>
        <v>416659.83999999997</v>
      </c>
      <c r="L503" s="153"/>
      <c r="M503" s="170">
        <v>496</v>
      </c>
      <c r="N503" s="164">
        <f>ROUND(F503*('Model Data Inputs'!$E$184*'Model Data Inputs'!$E$185*'Model Data Inputs'!$E$186*'Model Data Inputs'!$E$187),2)</f>
        <v>276.82</v>
      </c>
      <c r="O503" s="171">
        <f t="shared" si="31"/>
        <v>137302.72</v>
      </c>
    </row>
    <row r="504" spans="1:15" x14ac:dyDescent="0.2">
      <c r="A504" s="168">
        <v>497</v>
      </c>
      <c r="B504" s="159">
        <v>839.09434199036798</v>
      </c>
      <c r="C504" s="169">
        <f t="shared" si="28"/>
        <v>417029.8879692129</v>
      </c>
      <c r="D504" s="153"/>
      <c r="E504" s="170">
        <v>497</v>
      </c>
      <c r="F504" s="162">
        <v>276.70700042601948</v>
      </c>
      <c r="G504" s="171">
        <f t="shared" si="29"/>
        <v>137523.37921173169</v>
      </c>
      <c r="I504" s="168">
        <v>497</v>
      </c>
      <c r="J504" s="167">
        <f>ROUND(B504*('Model Data Inputs'!$E$184*'Model Data Inputs'!$E$185*'Model Data Inputs'!$E$186*'Model Data Inputs'!$E$187),2)</f>
        <v>839.09</v>
      </c>
      <c r="K504" s="169">
        <f t="shared" si="30"/>
        <v>417027.73000000004</v>
      </c>
      <c r="L504" s="153"/>
      <c r="M504" s="170">
        <v>497</v>
      </c>
      <c r="N504" s="164">
        <f>ROUND(F504*('Model Data Inputs'!$E$184*'Model Data Inputs'!$E$185*'Model Data Inputs'!$E$186*'Model Data Inputs'!$E$187),2)</f>
        <v>276.70999999999998</v>
      </c>
      <c r="O504" s="171">
        <f t="shared" si="31"/>
        <v>137524.87</v>
      </c>
    </row>
    <row r="505" spans="1:15" x14ac:dyDescent="0.2">
      <c r="A505" s="168">
        <v>498</v>
      </c>
      <c r="B505" s="159">
        <v>838.15047997561783</v>
      </c>
      <c r="C505" s="169">
        <f t="shared" si="28"/>
        <v>417398.93902785768</v>
      </c>
      <c r="D505" s="153"/>
      <c r="E505" s="170">
        <v>498</v>
      </c>
      <c r="F505" s="162">
        <v>276.59373698424946</v>
      </c>
      <c r="G505" s="171">
        <f t="shared" si="29"/>
        <v>137743.68101815623</v>
      </c>
      <c r="I505" s="168">
        <v>498</v>
      </c>
      <c r="J505" s="167">
        <f>ROUND(B505*('Model Data Inputs'!$E$184*'Model Data Inputs'!$E$185*'Model Data Inputs'!$E$186*'Model Data Inputs'!$E$187),2)</f>
        <v>838.15</v>
      </c>
      <c r="K505" s="169">
        <f t="shared" si="30"/>
        <v>417398.7</v>
      </c>
      <c r="L505" s="153"/>
      <c r="M505" s="170">
        <v>498</v>
      </c>
      <c r="N505" s="164">
        <f>ROUND(F505*('Model Data Inputs'!$E$184*'Model Data Inputs'!$E$185*'Model Data Inputs'!$E$186*'Model Data Inputs'!$E$187),2)</f>
        <v>276.58999999999997</v>
      </c>
      <c r="O505" s="171">
        <f t="shared" si="31"/>
        <v>137741.81999999998</v>
      </c>
    </row>
    <row r="506" spans="1:15" x14ac:dyDescent="0.2">
      <c r="A506" s="168">
        <v>499</v>
      </c>
      <c r="B506" s="159">
        <v>837.20661796086733</v>
      </c>
      <c r="C506" s="169">
        <f t="shared" si="28"/>
        <v>417766.1023624728</v>
      </c>
      <c r="D506" s="153"/>
      <c r="E506" s="170">
        <v>499</v>
      </c>
      <c r="F506" s="162">
        <v>276.48047354247944</v>
      </c>
      <c r="G506" s="171">
        <f t="shared" si="29"/>
        <v>137963.75629769725</v>
      </c>
      <c r="I506" s="168">
        <v>499</v>
      </c>
      <c r="J506" s="167">
        <f>ROUND(B506*('Model Data Inputs'!$E$184*'Model Data Inputs'!$E$185*'Model Data Inputs'!$E$186*'Model Data Inputs'!$E$187),2)</f>
        <v>837.21</v>
      </c>
      <c r="K506" s="169">
        <f t="shared" si="30"/>
        <v>417767.79000000004</v>
      </c>
      <c r="L506" s="153"/>
      <c r="M506" s="170">
        <v>499</v>
      </c>
      <c r="N506" s="164">
        <f>ROUND(F506*('Model Data Inputs'!$E$184*'Model Data Inputs'!$E$185*'Model Data Inputs'!$E$186*'Model Data Inputs'!$E$187),2)</f>
        <v>276.48</v>
      </c>
      <c r="O506" s="171">
        <f t="shared" si="31"/>
        <v>137963.52000000002</v>
      </c>
    </row>
    <row r="507" spans="1:15" x14ac:dyDescent="0.2">
      <c r="A507" s="168">
        <v>500</v>
      </c>
      <c r="B507" s="159">
        <v>836.26275594611684</v>
      </c>
      <c r="C507" s="169">
        <f t="shared" si="28"/>
        <v>418131.37797305844</v>
      </c>
      <c r="D507" s="153"/>
      <c r="E507" s="170">
        <v>500</v>
      </c>
      <c r="F507" s="162">
        <v>276.36721010070937</v>
      </c>
      <c r="G507" s="171">
        <f t="shared" si="29"/>
        <v>138183.60505035467</v>
      </c>
      <c r="I507" s="168">
        <v>500</v>
      </c>
      <c r="J507" s="167">
        <f>ROUND(B507*('Model Data Inputs'!$E$184*'Model Data Inputs'!$E$185*'Model Data Inputs'!$E$186*'Model Data Inputs'!$E$187),2)</f>
        <v>836.26</v>
      </c>
      <c r="K507" s="169">
        <f t="shared" si="30"/>
        <v>418130</v>
      </c>
      <c r="L507" s="153"/>
      <c r="M507" s="170">
        <v>500</v>
      </c>
      <c r="N507" s="164">
        <f>ROUND(F507*('Model Data Inputs'!$E$184*'Model Data Inputs'!$E$185*'Model Data Inputs'!$E$186*'Model Data Inputs'!$E$187),2)</f>
        <v>276.37</v>
      </c>
      <c r="O507" s="171">
        <f t="shared" si="31"/>
        <v>138185</v>
      </c>
    </row>
    <row r="508" spans="1:15" x14ac:dyDescent="0.2">
      <c r="A508" s="168">
        <v>501</v>
      </c>
      <c r="B508" s="159">
        <v>835.31889393136646</v>
      </c>
      <c r="C508" s="169">
        <f t="shared" si="28"/>
        <v>418494.76585961459</v>
      </c>
      <c r="D508" s="153"/>
      <c r="E508" s="170">
        <v>501</v>
      </c>
      <c r="F508" s="162">
        <v>276.25394665893941</v>
      </c>
      <c r="G508" s="171">
        <f t="shared" si="29"/>
        <v>138403.22727612866</v>
      </c>
      <c r="I508" s="168">
        <v>501</v>
      </c>
      <c r="J508" s="167">
        <f>ROUND(B508*('Model Data Inputs'!$E$184*'Model Data Inputs'!$E$185*'Model Data Inputs'!$E$186*'Model Data Inputs'!$E$187),2)</f>
        <v>835.32</v>
      </c>
      <c r="K508" s="169">
        <f t="shared" si="30"/>
        <v>418495.32</v>
      </c>
      <c r="L508" s="153"/>
      <c r="M508" s="170">
        <v>501</v>
      </c>
      <c r="N508" s="164">
        <f>ROUND(F508*('Model Data Inputs'!$E$184*'Model Data Inputs'!$E$185*'Model Data Inputs'!$E$186*'Model Data Inputs'!$E$187),2)</f>
        <v>276.25</v>
      </c>
      <c r="O508" s="171">
        <f t="shared" si="31"/>
        <v>138401.25</v>
      </c>
    </row>
    <row r="509" spans="1:15" x14ac:dyDescent="0.2">
      <c r="A509" s="168">
        <v>502</v>
      </c>
      <c r="B509" s="159">
        <v>834.37503191661619</v>
      </c>
      <c r="C509" s="169">
        <f t="shared" si="28"/>
        <v>418856.26602214132</v>
      </c>
      <c r="D509" s="153"/>
      <c r="E509" s="170">
        <v>502</v>
      </c>
      <c r="F509" s="162">
        <v>276.14068321716923</v>
      </c>
      <c r="G509" s="171">
        <f t="shared" si="29"/>
        <v>138622.62297501895</v>
      </c>
      <c r="I509" s="168">
        <v>502</v>
      </c>
      <c r="J509" s="167">
        <f>ROUND(B509*('Model Data Inputs'!$E$184*'Model Data Inputs'!$E$185*'Model Data Inputs'!$E$186*'Model Data Inputs'!$E$187),2)</f>
        <v>834.38</v>
      </c>
      <c r="K509" s="169">
        <f t="shared" si="30"/>
        <v>418858.76</v>
      </c>
      <c r="L509" s="153"/>
      <c r="M509" s="170">
        <v>502</v>
      </c>
      <c r="N509" s="164">
        <f>ROUND(F509*('Model Data Inputs'!$E$184*'Model Data Inputs'!$E$185*'Model Data Inputs'!$E$186*'Model Data Inputs'!$E$187),2)</f>
        <v>276.14</v>
      </c>
      <c r="O509" s="171">
        <f t="shared" si="31"/>
        <v>138622.28</v>
      </c>
    </row>
    <row r="510" spans="1:15" x14ac:dyDescent="0.2">
      <c r="A510" s="168">
        <v>503</v>
      </c>
      <c r="B510" s="159">
        <v>833.4311699018657</v>
      </c>
      <c r="C510" s="169">
        <f t="shared" si="28"/>
        <v>419215.87846063846</v>
      </c>
      <c r="D510" s="153"/>
      <c r="E510" s="170">
        <v>503</v>
      </c>
      <c r="F510" s="162">
        <v>276.02741977539932</v>
      </c>
      <c r="G510" s="171">
        <f t="shared" si="29"/>
        <v>138841.79214702587</v>
      </c>
      <c r="I510" s="168">
        <v>503</v>
      </c>
      <c r="J510" s="167">
        <f>ROUND(B510*('Model Data Inputs'!$E$184*'Model Data Inputs'!$E$185*'Model Data Inputs'!$E$186*'Model Data Inputs'!$E$187),2)</f>
        <v>833.43</v>
      </c>
      <c r="K510" s="169">
        <f t="shared" si="30"/>
        <v>419215.29</v>
      </c>
      <c r="L510" s="153"/>
      <c r="M510" s="170">
        <v>503</v>
      </c>
      <c r="N510" s="164">
        <f>ROUND(F510*('Model Data Inputs'!$E$184*'Model Data Inputs'!$E$185*'Model Data Inputs'!$E$186*'Model Data Inputs'!$E$187),2)</f>
        <v>276.02999999999997</v>
      </c>
      <c r="O510" s="171">
        <f t="shared" si="31"/>
        <v>138843.09</v>
      </c>
    </row>
    <row r="511" spans="1:15" x14ac:dyDescent="0.2">
      <c r="A511" s="168">
        <v>504</v>
      </c>
      <c r="B511" s="159">
        <v>832.48730788711543</v>
      </c>
      <c r="C511" s="169">
        <f t="shared" si="28"/>
        <v>419573.60317510617</v>
      </c>
      <c r="D511" s="153"/>
      <c r="E511" s="170">
        <v>504</v>
      </c>
      <c r="F511" s="162">
        <v>275.91415633362925</v>
      </c>
      <c r="G511" s="171">
        <f t="shared" si="29"/>
        <v>139060.73479214913</v>
      </c>
      <c r="I511" s="168">
        <v>504</v>
      </c>
      <c r="J511" s="167">
        <f>ROUND(B511*('Model Data Inputs'!$E$184*'Model Data Inputs'!$E$185*'Model Data Inputs'!$E$186*'Model Data Inputs'!$E$187),2)</f>
        <v>832.49</v>
      </c>
      <c r="K511" s="169">
        <f t="shared" si="30"/>
        <v>419574.96</v>
      </c>
      <c r="L511" s="153"/>
      <c r="M511" s="170">
        <v>504</v>
      </c>
      <c r="N511" s="164">
        <f>ROUND(F511*('Model Data Inputs'!$E$184*'Model Data Inputs'!$E$185*'Model Data Inputs'!$E$186*'Model Data Inputs'!$E$187),2)</f>
        <v>275.91000000000003</v>
      </c>
      <c r="O511" s="171">
        <f t="shared" si="31"/>
        <v>139058.64000000001</v>
      </c>
    </row>
    <row r="512" spans="1:15" x14ac:dyDescent="0.2">
      <c r="A512" s="168">
        <v>505</v>
      </c>
      <c r="B512" s="159">
        <v>831.54344587236506</v>
      </c>
      <c r="C512" s="169">
        <f t="shared" si="28"/>
        <v>419929.44016554434</v>
      </c>
      <c r="D512" s="153"/>
      <c r="E512" s="170">
        <v>505</v>
      </c>
      <c r="F512" s="162">
        <v>275.80089289185912</v>
      </c>
      <c r="G512" s="171">
        <f t="shared" si="29"/>
        <v>139279.45091038887</v>
      </c>
      <c r="I512" s="168">
        <v>505</v>
      </c>
      <c r="J512" s="167">
        <f>ROUND(B512*('Model Data Inputs'!$E$184*'Model Data Inputs'!$E$185*'Model Data Inputs'!$E$186*'Model Data Inputs'!$E$187),2)</f>
        <v>831.54</v>
      </c>
      <c r="K512" s="169">
        <f t="shared" si="30"/>
        <v>419927.69999999995</v>
      </c>
      <c r="L512" s="153"/>
      <c r="M512" s="170">
        <v>505</v>
      </c>
      <c r="N512" s="164">
        <f>ROUND(F512*('Model Data Inputs'!$E$184*'Model Data Inputs'!$E$185*'Model Data Inputs'!$E$186*'Model Data Inputs'!$E$187),2)</f>
        <v>275.8</v>
      </c>
      <c r="O512" s="171">
        <f t="shared" si="31"/>
        <v>139279</v>
      </c>
    </row>
    <row r="513" spans="1:15" x14ac:dyDescent="0.2">
      <c r="A513" s="168">
        <v>506</v>
      </c>
      <c r="B513" s="159">
        <v>830.59958385761456</v>
      </c>
      <c r="C513" s="169">
        <f t="shared" si="28"/>
        <v>420283.38943195296</v>
      </c>
      <c r="D513" s="153"/>
      <c r="E513" s="170">
        <v>506</v>
      </c>
      <c r="F513" s="162">
        <v>275.68762945008905</v>
      </c>
      <c r="G513" s="171">
        <f t="shared" si="29"/>
        <v>139497.94050174506</v>
      </c>
      <c r="I513" s="168">
        <v>506</v>
      </c>
      <c r="J513" s="167">
        <f>ROUND(B513*('Model Data Inputs'!$E$184*'Model Data Inputs'!$E$185*'Model Data Inputs'!$E$186*'Model Data Inputs'!$E$187),2)</f>
        <v>830.6</v>
      </c>
      <c r="K513" s="169">
        <f t="shared" si="30"/>
        <v>420283.60000000003</v>
      </c>
      <c r="L513" s="153"/>
      <c r="M513" s="170">
        <v>506</v>
      </c>
      <c r="N513" s="164">
        <f>ROUND(F513*('Model Data Inputs'!$E$184*'Model Data Inputs'!$E$185*'Model Data Inputs'!$E$186*'Model Data Inputs'!$E$187),2)</f>
        <v>275.69</v>
      </c>
      <c r="O513" s="171">
        <f t="shared" si="31"/>
        <v>139499.13999999998</v>
      </c>
    </row>
    <row r="514" spans="1:15" x14ac:dyDescent="0.2">
      <c r="A514" s="168">
        <v>507</v>
      </c>
      <c r="B514" s="159">
        <v>829.65572184286407</v>
      </c>
      <c r="C514" s="169">
        <f t="shared" si="28"/>
        <v>420635.45097433211</v>
      </c>
      <c r="D514" s="153"/>
      <c r="E514" s="170">
        <v>507</v>
      </c>
      <c r="F514" s="162">
        <v>275.57436600831909</v>
      </c>
      <c r="G514" s="171">
        <f t="shared" si="29"/>
        <v>139716.20356621777</v>
      </c>
      <c r="I514" s="168">
        <v>507</v>
      </c>
      <c r="J514" s="167">
        <f>ROUND(B514*('Model Data Inputs'!$E$184*'Model Data Inputs'!$E$185*'Model Data Inputs'!$E$186*'Model Data Inputs'!$E$187),2)</f>
        <v>829.66</v>
      </c>
      <c r="K514" s="169">
        <f t="shared" si="30"/>
        <v>420637.62</v>
      </c>
      <c r="L514" s="153"/>
      <c r="M514" s="170">
        <v>507</v>
      </c>
      <c r="N514" s="164">
        <f>ROUND(F514*('Model Data Inputs'!$E$184*'Model Data Inputs'!$E$185*'Model Data Inputs'!$E$186*'Model Data Inputs'!$E$187),2)</f>
        <v>275.57</v>
      </c>
      <c r="O514" s="171">
        <f t="shared" si="31"/>
        <v>139713.99</v>
      </c>
    </row>
    <row r="515" spans="1:15" x14ac:dyDescent="0.2">
      <c r="A515" s="168">
        <v>508</v>
      </c>
      <c r="B515" s="159">
        <v>828.71185982811392</v>
      </c>
      <c r="C515" s="169">
        <f t="shared" si="28"/>
        <v>420985.62479268189</v>
      </c>
      <c r="D515" s="153"/>
      <c r="E515" s="170">
        <v>508</v>
      </c>
      <c r="F515" s="162">
        <v>275.46110256654902</v>
      </c>
      <c r="G515" s="171">
        <f t="shared" si="29"/>
        <v>139934.24010380689</v>
      </c>
      <c r="I515" s="168">
        <v>508</v>
      </c>
      <c r="J515" s="167">
        <f>ROUND(B515*('Model Data Inputs'!$E$184*'Model Data Inputs'!$E$185*'Model Data Inputs'!$E$186*'Model Data Inputs'!$E$187),2)</f>
        <v>828.71</v>
      </c>
      <c r="K515" s="169">
        <f t="shared" si="30"/>
        <v>420984.68</v>
      </c>
      <c r="L515" s="153"/>
      <c r="M515" s="170">
        <v>508</v>
      </c>
      <c r="N515" s="164">
        <f>ROUND(F515*('Model Data Inputs'!$E$184*'Model Data Inputs'!$E$185*'Model Data Inputs'!$E$186*'Model Data Inputs'!$E$187),2)</f>
        <v>275.45999999999998</v>
      </c>
      <c r="O515" s="171">
        <f t="shared" si="31"/>
        <v>139933.68</v>
      </c>
    </row>
    <row r="516" spans="1:15" x14ac:dyDescent="0.2">
      <c r="A516" s="168">
        <v>509</v>
      </c>
      <c r="B516" s="159">
        <v>827.76799781336354</v>
      </c>
      <c r="C516" s="169">
        <f t="shared" si="28"/>
        <v>421333.91088700201</v>
      </c>
      <c r="D516" s="153"/>
      <c r="E516" s="170">
        <v>509</v>
      </c>
      <c r="F516" s="162">
        <v>275.347839124779</v>
      </c>
      <c r="G516" s="171">
        <f t="shared" si="29"/>
        <v>140152.0501145125</v>
      </c>
      <c r="I516" s="168">
        <v>509</v>
      </c>
      <c r="J516" s="167">
        <f>ROUND(B516*('Model Data Inputs'!$E$184*'Model Data Inputs'!$E$185*'Model Data Inputs'!$E$186*'Model Data Inputs'!$E$187),2)</f>
        <v>827.77</v>
      </c>
      <c r="K516" s="169">
        <f t="shared" si="30"/>
        <v>421334.93</v>
      </c>
      <c r="L516" s="153"/>
      <c r="M516" s="170">
        <v>509</v>
      </c>
      <c r="N516" s="164">
        <f>ROUND(F516*('Model Data Inputs'!$E$184*'Model Data Inputs'!$E$185*'Model Data Inputs'!$E$186*'Model Data Inputs'!$E$187),2)</f>
        <v>275.35000000000002</v>
      </c>
      <c r="O516" s="171">
        <f t="shared" si="31"/>
        <v>140153.15000000002</v>
      </c>
    </row>
    <row r="517" spans="1:15" x14ac:dyDescent="0.2">
      <c r="A517" s="168">
        <v>510</v>
      </c>
      <c r="B517" s="159">
        <v>826.82413579861327</v>
      </c>
      <c r="C517" s="169">
        <f t="shared" si="28"/>
        <v>421680.30925729277</v>
      </c>
      <c r="D517" s="153"/>
      <c r="E517" s="170">
        <v>510</v>
      </c>
      <c r="F517" s="162">
        <v>275.23457568300898</v>
      </c>
      <c r="G517" s="171">
        <f t="shared" si="29"/>
        <v>140369.63359833459</v>
      </c>
      <c r="I517" s="168">
        <v>510</v>
      </c>
      <c r="J517" s="167">
        <f>ROUND(B517*('Model Data Inputs'!$E$184*'Model Data Inputs'!$E$185*'Model Data Inputs'!$E$186*'Model Data Inputs'!$E$187),2)</f>
        <v>826.82</v>
      </c>
      <c r="K517" s="169">
        <f t="shared" si="30"/>
        <v>421678.2</v>
      </c>
      <c r="L517" s="153"/>
      <c r="M517" s="170">
        <v>510</v>
      </c>
      <c r="N517" s="164">
        <f>ROUND(F517*('Model Data Inputs'!$E$184*'Model Data Inputs'!$E$185*'Model Data Inputs'!$E$186*'Model Data Inputs'!$E$187),2)</f>
        <v>275.23</v>
      </c>
      <c r="O517" s="171">
        <f t="shared" si="31"/>
        <v>140367.30000000002</v>
      </c>
    </row>
    <row r="518" spans="1:15" x14ac:dyDescent="0.2">
      <c r="A518" s="168">
        <v>511</v>
      </c>
      <c r="B518" s="159">
        <v>825.88027378386266</v>
      </c>
      <c r="C518" s="169">
        <f t="shared" si="28"/>
        <v>422024.81990355381</v>
      </c>
      <c r="D518" s="153"/>
      <c r="E518" s="170">
        <v>511</v>
      </c>
      <c r="F518" s="162">
        <v>275.12131224123891</v>
      </c>
      <c r="G518" s="171">
        <f t="shared" si="29"/>
        <v>140586.99055527308</v>
      </c>
      <c r="I518" s="168">
        <v>511</v>
      </c>
      <c r="J518" s="167">
        <f>ROUND(B518*('Model Data Inputs'!$E$184*'Model Data Inputs'!$E$185*'Model Data Inputs'!$E$186*'Model Data Inputs'!$E$187),2)</f>
        <v>825.88</v>
      </c>
      <c r="K518" s="169">
        <f t="shared" si="30"/>
        <v>422024.68</v>
      </c>
      <c r="L518" s="153"/>
      <c r="M518" s="170">
        <v>511</v>
      </c>
      <c r="N518" s="164">
        <f>ROUND(F518*('Model Data Inputs'!$E$184*'Model Data Inputs'!$E$185*'Model Data Inputs'!$E$186*'Model Data Inputs'!$E$187),2)</f>
        <v>275.12</v>
      </c>
      <c r="O518" s="171">
        <f t="shared" si="31"/>
        <v>140586.32</v>
      </c>
    </row>
    <row r="519" spans="1:15" x14ac:dyDescent="0.2">
      <c r="A519" s="168">
        <v>512</v>
      </c>
      <c r="B519" s="159">
        <v>824.93641176911251</v>
      </c>
      <c r="C519" s="169">
        <f t="shared" si="28"/>
        <v>422367.44282578561</v>
      </c>
      <c r="D519" s="153"/>
      <c r="E519" s="170">
        <v>512</v>
      </c>
      <c r="F519" s="162">
        <v>275.00804879946884</v>
      </c>
      <c r="G519" s="171">
        <f t="shared" si="29"/>
        <v>140804.12098532805</v>
      </c>
      <c r="I519" s="168">
        <v>512</v>
      </c>
      <c r="J519" s="167">
        <f>ROUND(B519*('Model Data Inputs'!$E$184*'Model Data Inputs'!$E$185*'Model Data Inputs'!$E$186*'Model Data Inputs'!$E$187),2)</f>
        <v>824.94</v>
      </c>
      <c r="K519" s="169">
        <f t="shared" si="30"/>
        <v>422369.28000000003</v>
      </c>
      <c r="L519" s="153"/>
      <c r="M519" s="170">
        <v>512</v>
      </c>
      <c r="N519" s="164">
        <f>ROUND(F519*('Model Data Inputs'!$E$184*'Model Data Inputs'!$E$185*'Model Data Inputs'!$E$186*'Model Data Inputs'!$E$187),2)</f>
        <v>275.01</v>
      </c>
      <c r="O519" s="171">
        <f t="shared" si="31"/>
        <v>140805.12</v>
      </c>
    </row>
    <row r="520" spans="1:15" x14ac:dyDescent="0.2">
      <c r="A520" s="168">
        <v>513</v>
      </c>
      <c r="B520" s="159">
        <v>823.99254975436202</v>
      </c>
      <c r="C520" s="169">
        <f t="shared" ref="C520:C583" si="32">A520*B520</f>
        <v>422708.17802398774</v>
      </c>
      <c r="D520" s="153"/>
      <c r="E520" s="170">
        <v>513</v>
      </c>
      <c r="F520" s="162">
        <v>274.89478535769882</v>
      </c>
      <c r="G520" s="171">
        <f t="shared" ref="G520:G583" si="33">E520*F520</f>
        <v>141021.02488849949</v>
      </c>
      <c r="I520" s="168">
        <v>513</v>
      </c>
      <c r="J520" s="167">
        <f>ROUND(B520*('Model Data Inputs'!$E$184*'Model Data Inputs'!$E$185*'Model Data Inputs'!$E$186*'Model Data Inputs'!$E$187),2)</f>
        <v>823.99</v>
      </c>
      <c r="K520" s="169">
        <f t="shared" ref="K520:K583" si="34">I520*J520</f>
        <v>422706.87</v>
      </c>
      <c r="L520" s="153"/>
      <c r="M520" s="170">
        <v>513</v>
      </c>
      <c r="N520" s="164">
        <f>ROUND(F520*('Model Data Inputs'!$E$184*'Model Data Inputs'!$E$185*'Model Data Inputs'!$E$186*'Model Data Inputs'!$E$187),2)</f>
        <v>274.89</v>
      </c>
      <c r="O520" s="171">
        <f t="shared" ref="O520:O583" si="35">M520*N520</f>
        <v>141018.57</v>
      </c>
    </row>
    <row r="521" spans="1:15" x14ac:dyDescent="0.2">
      <c r="A521" s="168">
        <v>514</v>
      </c>
      <c r="B521" s="159">
        <v>823.04868773961164</v>
      </c>
      <c r="C521" s="169">
        <f t="shared" si="32"/>
        <v>423047.02549816039</v>
      </c>
      <c r="D521" s="153"/>
      <c r="E521" s="170">
        <v>514</v>
      </c>
      <c r="F521" s="162">
        <v>274.78152191592875</v>
      </c>
      <c r="G521" s="171">
        <f t="shared" si="33"/>
        <v>141237.70226478737</v>
      </c>
      <c r="I521" s="168">
        <v>514</v>
      </c>
      <c r="J521" s="167">
        <f>ROUND(B521*('Model Data Inputs'!$E$184*'Model Data Inputs'!$E$185*'Model Data Inputs'!$E$186*'Model Data Inputs'!$E$187),2)</f>
        <v>823.05</v>
      </c>
      <c r="K521" s="169">
        <f t="shared" si="34"/>
        <v>423047.69999999995</v>
      </c>
      <c r="L521" s="153"/>
      <c r="M521" s="170">
        <v>514</v>
      </c>
      <c r="N521" s="164">
        <f>ROUND(F521*('Model Data Inputs'!$E$184*'Model Data Inputs'!$E$185*'Model Data Inputs'!$E$186*'Model Data Inputs'!$E$187),2)</f>
        <v>274.77999999999997</v>
      </c>
      <c r="O521" s="171">
        <f t="shared" si="35"/>
        <v>141236.91999999998</v>
      </c>
    </row>
    <row r="522" spans="1:15" x14ac:dyDescent="0.2">
      <c r="A522" s="168">
        <v>515</v>
      </c>
      <c r="B522" s="159">
        <v>822.10482572486126</v>
      </c>
      <c r="C522" s="169">
        <f t="shared" si="32"/>
        <v>423383.98524830356</v>
      </c>
      <c r="D522" s="153"/>
      <c r="E522" s="170">
        <v>515</v>
      </c>
      <c r="F522" s="162">
        <v>274.66825847415873</v>
      </c>
      <c r="G522" s="171">
        <f t="shared" si="33"/>
        <v>141454.15311419175</v>
      </c>
      <c r="I522" s="168">
        <v>515</v>
      </c>
      <c r="J522" s="167">
        <f>ROUND(B522*('Model Data Inputs'!$E$184*'Model Data Inputs'!$E$185*'Model Data Inputs'!$E$186*'Model Data Inputs'!$E$187),2)</f>
        <v>822.1</v>
      </c>
      <c r="K522" s="169">
        <f t="shared" si="34"/>
        <v>423381.5</v>
      </c>
      <c r="L522" s="153"/>
      <c r="M522" s="170">
        <v>515</v>
      </c>
      <c r="N522" s="164">
        <f>ROUND(F522*('Model Data Inputs'!$E$184*'Model Data Inputs'!$E$185*'Model Data Inputs'!$E$186*'Model Data Inputs'!$E$187),2)</f>
        <v>274.67</v>
      </c>
      <c r="O522" s="171">
        <f t="shared" si="35"/>
        <v>141455.05000000002</v>
      </c>
    </row>
    <row r="523" spans="1:15" x14ac:dyDescent="0.2">
      <c r="A523" s="168">
        <v>516</v>
      </c>
      <c r="B523" s="159">
        <v>821.16096371011088</v>
      </c>
      <c r="C523" s="169">
        <f t="shared" si="32"/>
        <v>423719.0572744172</v>
      </c>
      <c r="D523" s="153"/>
      <c r="E523" s="170">
        <v>516</v>
      </c>
      <c r="F523" s="162">
        <v>274.55499503238872</v>
      </c>
      <c r="G523" s="171">
        <f t="shared" si="33"/>
        <v>141670.37743671259</v>
      </c>
      <c r="I523" s="168">
        <v>516</v>
      </c>
      <c r="J523" s="167">
        <f>ROUND(B523*('Model Data Inputs'!$E$184*'Model Data Inputs'!$E$185*'Model Data Inputs'!$E$186*'Model Data Inputs'!$E$187),2)</f>
        <v>821.16</v>
      </c>
      <c r="K523" s="169">
        <f t="shared" si="34"/>
        <v>423718.56</v>
      </c>
      <c r="L523" s="153"/>
      <c r="M523" s="170">
        <v>516</v>
      </c>
      <c r="N523" s="164">
        <f>ROUND(F523*('Model Data Inputs'!$E$184*'Model Data Inputs'!$E$185*'Model Data Inputs'!$E$186*'Model Data Inputs'!$E$187),2)</f>
        <v>274.55</v>
      </c>
      <c r="O523" s="171">
        <f t="shared" si="35"/>
        <v>141667.80000000002</v>
      </c>
    </row>
    <row r="524" spans="1:15" x14ac:dyDescent="0.2">
      <c r="A524" s="168">
        <v>517</v>
      </c>
      <c r="B524" s="159">
        <v>820.2171016953605</v>
      </c>
      <c r="C524" s="169">
        <f t="shared" si="32"/>
        <v>424052.2415765014</v>
      </c>
      <c r="D524" s="153"/>
      <c r="E524" s="170">
        <v>517</v>
      </c>
      <c r="F524" s="162">
        <v>274.44173159061859</v>
      </c>
      <c r="G524" s="171">
        <f t="shared" si="33"/>
        <v>141886.37523234982</v>
      </c>
      <c r="I524" s="168">
        <v>517</v>
      </c>
      <c r="J524" s="167">
        <f>ROUND(B524*('Model Data Inputs'!$E$184*'Model Data Inputs'!$E$185*'Model Data Inputs'!$E$186*'Model Data Inputs'!$E$187),2)</f>
        <v>820.22</v>
      </c>
      <c r="K524" s="169">
        <f t="shared" si="34"/>
        <v>424053.74</v>
      </c>
      <c r="L524" s="153"/>
      <c r="M524" s="170">
        <v>517</v>
      </c>
      <c r="N524" s="164">
        <f>ROUND(F524*('Model Data Inputs'!$E$184*'Model Data Inputs'!$E$185*'Model Data Inputs'!$E$186*'Model Data Inputs'!$E$187),2)</f>
        <v>274.44</v>
      </c>
      <c r="O524" s="171">
        <f t="shared" si="35"/>
        <v>141885.48000000001</v>
      </c>
    </row>
    <row r="525" spans="1:15" x14ac:dyDescent="0.2">
      <c r="A525" s="168">
        <v>518</v>
      </c>
      <c r="B525" s="159">
        <v>819.27323968061023</v>
      </c>
      <c r="C525" s="169">
        <f t="shared" si="32"/>
        <v>424383.53815455612</v>
      </c>
      <c r="D525" s="153"/>
      <c r="E525" s="170">
        <v>518</v>
      </c>
      <c r="F525" s="162">
        <v>274.32846814884857</v>
      </c>
      <c r="G525" s="171">
        <f t="shared" si="33"/>
        <v>142102.14650110356</v>
      </c>
      <c r="I525" s="168">
        <v>518</v>
      </c>
      <c r="J525" s="167">
        <f>ROUND(B525*('Model Data Inputs'!$E$184*'Model Data Inputs'!$E$185*'Model Data Inputs'!$E$186*'Model Data Inputs'!$E$187),2)</f>
        <v>819.27</v>
      </c>
      <c r="K525" s="169">
        <f t="shared" si="34"/>
        <v>424381.86</v>
      </c>
      <c r="L525" s="153"/>
      <c r="M525" s="170">
        <v>518</v>
      </c>
      <c r="N525" s="164">
        <f>ROUND(F525*('Model Data Inputs'!$E$184*'Model Data Inputs'!$E$185*'Model Data Inputs'!$E$186*'Model Data Inputs'!$E$187),2)</f>
        <v>274.33</v>
      </c>
      <c r="O525" s="171">
        <f t="shared" si="35"/>
        <v>142102.94</v>
      </c>
    </row>
    <row r="526" spans="1:15" x14ac:dyDescent="0.2">
      <c r="A526" s="168">
        <v>519</v>
      </c>
      <c r="B526" s="159">
        <v>818.32937766585962</v>
      </c>
      <c r="C526" s="169">
        <f t="shared" si="32"/>
        <v>424712.94700858113</v>
      </c>
      <c r="D526" s="153"/>
      <c r="E526" s="170">
        <v>519</v>
      </c>
      <c r="F526" s="162">
        <v>274.21520470707856</v>
      </c>
      <c r="G526" s="171">
        <f t="shared" si="33"/>
        <v>142317.69124297376</v>
      </c>
      <c r="I526" s="168">
        <v>519</v>
      </c>
      <c r="J526" s="167">
        <f>ROUND(B526*('Model Data Inputs'!$E$184*'Model Data Inputs'!$E$185*'Model Data Inputs'!$E$186*'Model Data Inputs'!$E$187),2)</f>
        <v>818.33</v>
      </c>
      <c r="K526" s="169">
        <f t="shared" si="34"/>
        <v>424713.27</v>
      </c>
      <c r="L526" s="153"/>
      <c r="M526" s="170">
        <v>519</v>
      </c>
      <c r="N526" s="164">
        <f>ROUND(F526*('Model Data Inputs'!$E$184*'Model Data Inputs'!$E$185*'Model Data Inputs'!$E$186*'Model Data Inputs'!$E$187),2)</f>
        <v>274.22000000000003</v>
      </c>
      <c r="O526" s="171">
        <f t="shared" si="35"/>
        <v>142320.18000000002</v>
      </c>
    </row>
    <row r="527" spans="1:15" x14ac:dyDescent="0.2">
      <c r="A527" s="168">
        <v>520</v>
      </c>
      <c r="B527" s="159">
        <v>817.38551565110936</v>
      </c>
      <c r="C527" s="169">
        <f t="shared" si="32"/>
        <v>425040.46813857689</v>
      </c>
      <c r="D527" s="153"/>
      <c r="E527" s="170">
        <v>520</v>
      </c>
      <c r="F527" s="162">
        <v>274.10194126530848</v>
      </c>
      <c r="G527" s="171">
        <f t="shared" si="33"/>
        <v>142533.0094579604</v>
      </c>
      <c r="I527" s="168">
        <v>520</v>
      </c>
      <c r="J527" s="167">
        <f>ROUND(B527*('Model Data Inputs'!$E$184*'Model Data Inputs'!$E$185*'Model Data Inputs'!$E$186*'Model Data Inputs'!$E$187),2)</f>
        <v>817.39</v>
      </c>
      <c r="K527" s="169">
        <f t="shared" si="34"/>
        <v>425042.8</v>
      </c>
      <c r="L527" s="153"/>
      <c r="M527" s="170">
        <v>520</v>
      </c>
      <c r="N527" s="164">
        <f>ROUND(F527*('Model Data Inputs'!$E$184*'Model Data Inputs'!$E$185*'Model Data Inputs'!$E$186*'Model Data Inputs'!$E$187),2)</f>
        <v>274.10000000000002</v>
      </c>
      <c r="O527" s="171">
        <f t="shared" si="35"/>
        <v>142532</v>
      </c>
    </row>
    <row r="528" spans="1:15" x14ac:dyDescent="0.2">
      <c r="A528" s="168">
        <v>521</v>
      </c>
      <c r="B528" s="159">
        <v>816.44165363635909</v>
      </c>
      <c r="C528" s="169">
        <f t="shared" si="32"/>
        <v>425366.10154454311</v>
      </c>
      <c r="D528" s="153"/>
      <c r="E528" s="170">
        <v>521</v>
      </c>
      <c r="F528" s="162">
        <v>273.98867782353847</v>
      </c>
      <c r="G528" s="171">
        <f t="shared" si="33"/>
        <v>142748.10114606353</v>
      </c>
      <c r="I528" s="168">
        <v>521</v>
      </c>
      <c r="J528" s="167">
        <f>ROUND(B528*('Model Data Inputs'!$E$184*'Model Data Inputs'!$E$185*'Model Data Inputs'!$E$186*'Model Data Inputs'!$E$187),2)</f>
        <v>816.44</v>
      </c>
      <c r="K528" s="169">
        <f t="shared" si="34"/>
        <v>425365.24000000005</v>
      </c>
      <c r="L528" s="153"/>
      <c r="M528" s="170">
        <v>521</v>
      </c>
      <c r="N528" s="164">
        <f>ROUND(F528*('Model Data Inputs'!$E$184*'Model Data Inputs'!$E$185*'Model Data Inputs'!$E$186*'Model Data Inputs'!$E$187),2)</f>
        <v>273.99</v>
      </c>
      <c r="O528" s="171">
        <f t="shared" si="35"/>
        <v>142748.79</v>
      </c>
    </row>
    <row r="529" spans="1:15" x14ac:dyDescent="0.2">
      <c r="A529" s="168">
        <v>522</v>
      </c>
      <c r="B529" s="159">
        <v>815.4977916216086</v>
      </c>
      <c r="C529" s="169">
        <f t="shared" si="32"/>
        <v>425689.84722647967</v>
      </c>
      <c r="D529" s="153"/>
      <c r="E529" s="170">
        <v>522</v>
      </c>
      <c r="F529" s="162">
        <v>273.87541438176845</v>
      </c>
      <c r="G529" s="171">
        <f t="shared" si="33"/>
        <v>142962.96630728312</v>
      </c>
      <c r="I529" s="168">
        <v>522</v>
      </c>
      <c r="J529" s="167">
        <f>ROUND(B529*('Model Data Inputs'!$E$184*'Model Data Inputs'!$E$185*'Model Data Inputs'!$E$186*'Model Data Inputs'!$E$187),2)</f>
        <v>815.5</v>
      </c>
      <c r="K529" s="169">
        <f t="shared" si="34"/>
        <v>425691</v>
      </c>
      <c r="L529" s="153"/>
      <c r="M529" s="170">
        <v>522</v>
      </c>
      <c r="N529" s="164">
        <f>ROUND(F529*('Model Data Inputs'!$E$184*'Model Data Inputs'!$E$185*'Model Data Inputs'!$E$186*'Model Data Inputs'!$E$187),2)</f>
        <v>273.88</v>
      </c>
      <c r="O529" s="171">
        <f t="shared" si="35"/>
        <v>142965.35999999999</v>
      </c>
    </row>
    <row r="530" spans="1:15" x14ac:dyDescent="0.2">
      <c r="A530" s="168">
        <v>523</v>
      </c>
      <c r="B530" s="159">
        <v>814.55392960685833</v>
      </c>
      <c r="C530" s="169">
        <f t="shared" si="32"/>
        <v>426011.70518438693</v>
      </c>
      <c r="D530" s="153"/>
      <c r="E530" s="170">
        <v>523</v>
      </c>
      <c r="F530" s="162">
        <v>273.76215093999832</v>
      </c>
      <c r="G530" s="171">
        <f t="shared" si="33"/>
        <v>143177.60494161912</v>
      </c>
      <c r="I530" s="168">
        <v>523</v>
      </c>
      <c r="J530" s="167">
        <f>ROUND(B530*('Model Data Inputs'!$E$184*'Model Data Inputs'!$E$185*'Model Data Inputs'!$E$186*'Model Data Inputs'!$E$187),2)</f>
        <v>814.55</v>
      </c>
      <c r="K530" s="169">
        <f t="shared" si="34"/>
        <v>426009.64999999997</v>
      </c>
      <c r="L530" s="153"/>
      <c r="M530" s="170">
        <v>523</v>
      </c>
      <c r="N530" s="164">
        <f>ROUND(F530*('Model Data Inputs'!$E$184*'Model Data Inputs'!$E$185*'Model Data Inputs'!$E$186*'Model Data Inputs'!$E$187),2)</f>
        <v>273.76</v>
      </c>
      <c r="O530" s="171">
        <f t="shared" si="35"/>
        <v>143176.47999999998</v>
      </c>
    </row>
    <row r="531" spans="1:15" x14ac:dyDescent="0.2">
      <c r="A531" s="168">
        <v>524</v>
      </c>
      <c r="B531" s="159">
        <v>813.61006759210773</v>
      </c>
      <c r="C531" s="169">
        <f t="shared" si="32"/>
        <v>426331.67541826447</v>
      </c>
      <c r="D531" s="153"/>
      <c r="E531" s="170">
        <v>524</v>
      </c>
      <c r="F531" s="162">
        <v>273.64888749822831</v>
      </c>
      <c r="G531" s="171">
        <f t="shared" si="33"/>
        <v>143392.01704907164</v>
      </c>
      <c r="I531" s="168">
        <v>524</v>
      </c>
      <c r="J531" s="167">
        <f>ROUND(B531*('Model Data Inputs'!$E$184*'Model Data Inputs'!$E$185*'Model Data Inputs'!$E$186*'Model Data Inputs'!$E$187),2)</f>
        <v>813.61</v>
      </c>
      <c r="K531" s="169">
        <f t="shared" si="34"/>
        <v>426331.64</v>
      </c>
      <c r="L531" s="153"/>
      <c r="M531" s="170">
        <v>524</v>
      </c>
      <c r="N531" s="164">
        <f>ROUND(F531*('Model Data Inputs'!$E$184*'Model Data Inputs'!$E$185*'Model Data Inputs'!$E$186*'Model Data Inputs'!$E$187),2)</f>
        <v>273.64999999999998</v>
      </c>
      <c r="O531" s="171">
        <f t="shared" si="35"/>
        <v>143392.59999999998</v>
      </c>
    </row>
    <row r="532" spans="1:15" x14ac:dyDescent="0.2">
      <c r="A532" s="168">
        <v>525</v>
      </c>
      <c r="B532" s="159">
        <v>812.66620557735746</v>
      </c>
      <c r="C532" s="169">
        <f t="shared" si="32"/>
        <v>426649.75792811264</v>
      </c>
      <c r="D532" s="153"/>
      <c r="E532" s="170">
        <v>525</v>
      </c>
      <c r="F532" s="162">
        <v>273.53562405645818</v>
      </c>
      <c r="G532" s="171">
        <f t="shared" si="33"/>
        <v>143606.20262964055</v>
      </c>
      <c r="I532" s="168">
        <v>525</v>
      </c>
      <c r="J532" s="167">
        <f>ROUND(B532*('Model Data Inputs'!$E$184*'Model Data Inputs'!$E$185*'Model Data Inputs'!$E$186*'Model Data Inputs'!$E$187),2)</f>
        <v>812.67</v>
      </c>
      <c r="K532" s="169">
        <f t="shared" si="34"/>
        <v>426651.75</v>
      </c>
      <c r="L532" s="153"/>
      <c r="M532" s="170">
        <v>525</v>
      </c>
      <c r="N532" s="164">
        <f>ROUND(F532*('Model Data Inputs'!$E$184*'Model Data Inputs'!$E$185*'Model Data Inputs'!$E$186*'Model Data Inputs'!$E$187),2)</f>
        <v>273.54000000000002</v>
      </c>
      <c r="O532" s="171">
        <f t="shared" si="35"/>
        <v>143608.5</v>
      </c>
    </row>
    <row r="533" spans="1:15" x14ac:dyDescent="0.2">
      <c r="A533" s="168">
        <v>526</v>
      </c>
      <c r="B533" s="159">
        <v>811.72234356260719</v>
      </c>
      <c r="C533" s="169">
        <f t="shared" si="32"/>
        <v>426965.95271393139</v>
      </c>
      <c r="D533" s="153"/>
      <c r="E533" s="170">
        <v>526</v>
      </c>
      <c r="F533" s="162">
        <v>273.42236061468827</v>
      </c>
      <c r="G533" s="171">
        <f t="shared" si="33"/>
        <v>143820.16168332603</v>
      </c>
      <c r="I533" s="168">
        <v>526</v>
      </c>
      <c r="J533" s="167">
        <f>ROUND(B533*('Model Data Inputs'!$E$184*'Model Data Inputs'!$E$185*'Model Data Inputs'!$E$186*'Model Data Inputs'!$E$187),2)</f>
        <v>811.72</v>
      </c>
      <c r="K533" s="169">
        <f t="shared" si="34"/>
        <v>426964.72000000003</v>
      </c>
      <c r="L533" s="153"/>
      <c r="M533" s="170">
        <v>526</v>
      </c>
      <c r="N533" s="164">
        <f>ROUND(F533*('Model Data Inputs'!$E$184*'Model Data Inputs'!$E$185*'Model Data Inputs'!$E$186*'Model Data Inputs'!$E$187),2)</f>
        <v>273.42</v>
      </c>
      <c r="O533" s="171">
        <f t="shared" si="35"/>
        <v>143818.92000000001</v>
      </c>
    </row>
    <row r="534" spans="1:15" x14ac:dyDescent="0.2">
      <c r="A534" s="168">
        <v>527</v>
      </c>
      <c r="B534" s="159">
        <v>810.7784815478567</v>
      </c>
      <c r="C534" s="169">
        <f t="shared" si="32"/>
        <v>427280.25977572048</v>
      </c>
      <c r="D534" s="153"/>
      <c r="E534" s="170">
        <v>527</v>
      </c>
      <c r="F534" s="162">
        <v>273.3090971729182</v>
      </c>
      <c r="G534" s="171">
        <f t="shared" si="33"/>
        <v>144033.89421012788</v>
      </c>
      <c r="I534" s="168">
        <v>527</v>
      </c>
      <c r="J534" s="167">
        <f>ROUND(B534*('Model Data Inputs'!$E$184*'Model Data Inputs'!$E$185*'Model Data Inputs'!$E$186*'Model Data Inputs'!$E$187),2)</f>
        <v>810.78</v>
      </c>
      <c r="K534" s="169">
        <f t="shared" si="34"/>
        <v>427281.06</v>
      </c>
      <c r="L534" s="153"/>
      <c r="M534" s="170">
        <v>527</v>
      </c>
      <c r="N534" s="164">
        <f>ROUND(F534*('Model Data Inputs'!$E$184*'Model Data Inputs'!$E$185*'Model Data Inputs'!$E$186*'Model Data Inputs'!$E$187),2)</f>
        <v>273.31</v>
      </c>
      <c r="O534" s="171">
        <f t="shared" si="35"/>
        <v>144034.37</v>
      </c>
    </row>
    <row r="535" spans="1:15" x14ac:dyDescent="0.2">
      <c r="A535" s="168">
        <v>528</v>
      </c>
      <c r="B535" s="159">
        <v>809.83461953310632</v>
      </c>
      <c r="C535" s="169">
        <f t="shared" si="32"/>
        <v>427592.67911348015</v>
      </c>
      <c r="D535" s="153"/>
      <c r="E535" s="170">
        <v>528</v>
      </c>
      <c r="F535" s="162">
        <v>273.19583373114813</v>
      </c>
      <c r="G535" s="171">
        <f t="shared" si="33"/>
        <v>144247.40021004621</v>
      </c>
      <c r="I535" s="168">
        <v>528</v>
      </c>
      <c r="J535" s="167">
        <f>ROUND(B535*('Model Data Inputs'!$E$184*'Model Data Inputs'!$E$185*'Model Data Inputs'!$E$186*'Model Data Inputs'!$E$187),2)</f>
        <v>809.83</v>
      </c>
      <c r="K535" s="169">
        <f t="shared" si="34"/>
        <v>427590.24000000005</v>
      </c>
      <c r="L535" s="153"/>
      <c r="M535" s="170">
        <v>528</v>
      </c>
      <c r="N535" s="164">
        <f>ROUND(F535*('Model Data Inputs'!$E$184*'Model Data Inputs'!$E$185*'Model Data Inputs'!$E$186*'Model Data Inputs'!$E$187),2)</f>
        <v>273.2</v>
      </c>
      <c r="O535" s="171">
        <f t="shared" si="35"/>
        <v>144249.60000000001</v>
      </c>
    </row>
    <row r="536" spans="1:15" x14ac:dyDescent="0.2">
      <c r="A536" s="168">
        <v>529</v>
      </c>
      <c r="B536" s="159">
        <v>808.89075751835605</v>
      </c>
      <c r="C536" s="169">
        <f t="shared" si="32"/>
        <v>427903.21072721033</v>
      </c>
      <c r="D536" s="153"/>
      <c r="E536" s="170">
        <v>529</v>
      </c>
      <c r="F536" s="162">
        <v>273.08257028937805</v>
      </c>
      <c r="G536" s="171">
        <f t="shared" si="33"/>
        <v>144460.67968308099</v>
      </c>
      <c r="I536" s="168">
        <v>529</v>
      </c>
      <c r="J536" s="167">
        <f>ROUND(B536*('Model Data Inputs'!$E$184*'Model Data Inputs'!$E$185*'Model Data Inputs'!$E$186*'Model Data Inputs'!$E$187),2)</f>
        <v>808.89</v>
      </c>
      <c r="K536" s="169">
        <f t="shared" si="34"/>
        <v>427902.81</v>
      </c>
      <c r="L536" s="153"/>
      <c r="M536" s="170">
        <v>529</v>
      </c>
      <c r="N536" s="164">
        <f>ROUND(F536*('Model Data Inputs'!$E$184*'Model Data Inputs'!$E$185*'Model Data Inputs'!$E$186*'Model Data Inputs'!$E$187),2)</f>
        <v>273.08</v>
      </c>
      <c r="O536" s="171">
        <f t="shared" si="35"/>
        <v>144459.31999999998</v>
      </c>
    </row>
    <row r="537" spans="1:15" x14ac:dyDescent="0.2">
      <c r="A537" s="168">
        <v>530</v>
      </c>
      <c r="B537" s="159">
        <v>807.94689550360567</v>
      </c>
      <c r="C537" s="169">
        <f t="shared" si="32"/>
        <v>428211.85461691103</v>
      </c>
      <c r="D537" s="153"/>
      <c r="E537" s="170">
        <v>530</v>
      </c>
      <c r="F537" s="162">
        <v>272.96930684760798</v>
      </c>
      <c r="G537" s="171">
        <f t="shared" si="33"/>
        <v>144673.73262923223</v>
      </c>
      <c r="I537" s="168">
        <v>530</v>
      </c>
      <c r="J537" s="167">
        <f>ROUND(B537*('Model Data Inputs'!$E$184*'Model Data Inputs'!$E$185*'Model Data Inputs'!$E$186*'Model Data Inputs'!$E$187),2)</f>
        <v>807.95</v>
      </c>
      <c r="K537" s="169">
        <f t="shared" si="34"/>
        <v>428213.5</v>
      </c>
      <c r="L537" s="153"/>
      <c r="M537" s="170">
        <v>530</v>
      </c>
      <c r="N537" s="164">
        <f>ROUND(F537*('Model Data Inputs'!$E$184*'Model Data Inputs'!$E$185*'Model Data Inputs'!$E$186*'Model Data Inputs'!$E$187),2)</f>
        <v>272.97000000000003</v>
      </c>
      <c r="O537" s="171">
        <f t="shared" si="35"/>
        <v>144674.1</v>
      </c>
    </row>
    <row r="538" spans="1:15" x14ac:dyDescent="0.2">
      <c r="A538" s="168">
        <v>531</v>
      </c>
      <c r="B538" s="159">
        <v>807.00303348885518</v>
      </c>
      <c r="C538" s="169">
        <f t="shared" si="32"/>
        <v>428518.61078258208</v>
      </c>
      <c r="D538" s="153"/>
      <c r="E538" s="170">
        <v>531</v>
      </c>
      <c r="F538" s="162">
        <v>272.85604340583797</v>
      </c>
      <c r="G538" s="171">
        <f t="shared" si="33"/>
        <v>144886.55904849997</v>
      </c>
      <c r="I538" s="168">
        <v>531</v>
      </c>
      <c r="J538" s="167">
        <f>ROUND(B538*('Model Data Inputs'!$E$184*'Model Data Inputs'!$E$185*'Model Data Inputs'!$E$186*'Model Data Inputs'!$E$187),2)</f>
        <v>807</v>
      </c>
      <c r="K538" s="169">
        <f t="shared" si="34"/>
        <v>428517</v>
      </c>
      <c r="L538" s="153"/>
      <c r="M538" s="170">
        <v>531</v>
      </c>
      <c r="N538" s="164">
        <f>ROUND(F538*('Model Data Inputs'!$E$184*'Model Data Inputs'!$E$185*'Model Data Inputs'!$E$186*'Model Data Inputs'!$E$187),2)</f>
        <v>272.86</v>
      </c>
      <c r="O538" s="171">
        <f t="shared" si="35"/>
        <v>144888.66</v>
      </c>
    </row>
    <row r="539" spans="1:15" x14ac:dyDescent="0.2">
      <c r="A539" s="168">
        <v>532</v>
      </c>
      <c r="B539" s="159">
        <v>806.0591714741048</v>
      </c>
      <c r="C539" s="169">
        <f t="shared" si="32"/>
        <v>428823.47922422376</v>
      </c>
      <c r="D539" s="153"/>
      <c r="E539" s="170">
        <v>532</v>
      </c>
      <c r="F539" s="162">
        <v>272.74277996406795</v>
      </c>
      <c r="G539" s="171">
        <f t="shared" si="33"/>
        <v>145099.15894088414</v>
      </c>
      <c r="I539" s="168">
        <v>532</v>
      </c>
      <c r="J539" s="167">
        <f>ROUND(B539*('Model Data Inputs'!$E$184*'Model Data Inputs'!$E$185*'Model Data Inputs'!$E$186*'Model Data Inputs'!$E$187),2)</f>
        <v>806.06</v>
      </c>
      <c r="K539" s="169">
        <f t="shared" si="34"/>
        <v>428823.92</v>
      </c>
      <c r="L539" s="153"/>
      <c r="M539" s="170">
        <v>532</v>
      </c>
      <c r="N539" s="164">
        <f>ROUND(F539*('Model Data Inputs'!$E$184*'Model Data Inputs'!$E$185*'Model Data Inputs'!$E$186*'Model Data Inputs'!$E$187),2)</f>
        <v>272.74</v>
      </c>
      <c r="O539" s="171">
        <f t="shared" si="35"/>
        <v>145097.68</v>
      </c>
    </row>
    <row r="540" spans="1:15" x14ac:dyDescent="0.2">
      <c r="A540" s="168">
        <v>533</v>
      </c>
      <c r="B540" s="159">
        <v>805.11530945935453</v>
      </c>
      <c r="C540" s="169">
        <f t="shared" si="32"/>
        <v>429126.45994183596</v>
      </c>
      <c r="D540" s="153"/>
      <c r="E540" s="170">
        <v>533</v>
      </c>
      <c r="F540" s="162">
        <v>272.62951652229788</v>
      </c>
      <c r="G540" s="171">
        <f t="shared" si="33"/>
        <v>145311.53230638476</v>
      </c>
      <c r="I540" s="168">
        <v>533</v>
      </c>
      <c r="J540" s="167">
        <f>ROUND(B540*('Model Data Inputs'!$E$184*'Model Data Inputs'!$E$185*'Model Data Inputs'!$E$186*'Model Data Inputs'!$E$187),2)</f>
        <v>805.12</v>
      </c>
      <c r="K540" s="169">
        <f t="shared" si="34"/>
        <v>429128.96000000002</v>
      </c>
      <c r="L540" s="153"/>
      <c r="M540" s="170">
        <v>533</v>
      </c>
      <c r="N540" s="164">
        <f>ROUND(F540*('Model Data Inputs'!$E$184*'Model Data Inputs'!$E$185*'Model Data Inputs'!$E$186*'Model Data Inputs'!$E$187),2)</f>
        <v>272.63</v>
      </c>
      <c r="O540" s="171">
        <f t="shared" si="35"/>
        <v>145311.79</v>
      </c>
    </row>
    <row r="541" spans="1:15" x14ac:dyDescent="0.2">
      <c r="A541" s="168">
        <v>534</v>
      </c>
      <c r="B541" s="159">
        <v>804.17144744460404</v>
      </c>
      <c r="C541" s="169">
        <f t="shared" si="32"/>
        <v>429427.55293541856</v>
      </c>
      <c r="D541" s="153"/>
      <c r="E541" s="170">
        <v>534</v>
      </c>
      <c r="F541" s="162">
        <v>272.51625308052786</v>
      </c>
      <c r="G541" s="171">
        <f t="shared" si="33"/>
        <v>145523.67914500186</v>
      </c>
      <c r="I541" s="168">
        <v>534</v>
      </c>
      <c r="J541" s="167">
        <f>ROUND(B541*('Model Data Inputs'!$E$184*'Model Data Inputs'!$E$185*'Model Data Inputs'!$E$186*'Model Data Inputs'!$E$187),2)</f>
        <v>804.17</v>
      </c>
      <c r="K541" s="169">
        <f t="shared" si="34"/>
        <v>429426.77999999997</v>
      </c>
      <c r="L541" s="153"/>
      <c r="M541" s="170">
        <v>534</v>
      </c>
      <c r="N541" s="164">
        <f>ROUND(F541*('Model Data Inputs'!$E$184*'Model Data Inputs'!$E$185*'Model Data Inputs'!$E$186*'Model Data Inputs'!$E$187),2)</f>
        <v>272.52</v>
      </c>
      <c r="O541" s="171">
        <f t="shared" si="35"/>
        <v>145525.68</v>
      </c>
    </row>
    <row r="542" spans="1:15" x14ac:dyDescent="0.2">
      <c r="A542" s="168">
        <v>535</v>
      </c>
      <c r="B542" s="159">
        <v>803.22758542985389</v>
      </c>
      <c r="C542" s="169">
        <f t="shared" si="32"/>
        <v>429726.75820497185</v>
      </c>
      <c r="D542" s="153"/>
      <c r="E542" s="170">
        <v>535</v>
      </c>
      <c r="F542" s="162">
        <v>272.40298963875784</v>
      </c>
      <c r="G542" s="171">
        <f t="shared" si="33"/>
        <v>145735.59945673545</v>
      </c>
      <c r="I542" s="168">
        <v>535</v>
      </c>
      <c r="J542" s="167">
        <f>ROUND(B542*('Model Data Inputs'!$E$184*'Model Data Inputs'!$E$185*'Model Data Inputs'!$E$186*'Model Data Inputs'!$E$187),2)</f>
        <v>803.23</v>
      </c>
      <c r="K542" s="169">
        <f t="shared" si="34"/>
        <v>429728.05</v>
      </c>
      <c r="L542" s="153"/>
      <c r="M542" s="170">
        <v>535</v>
      </c>
      <c r="N542" s="164">
        <f>ROUND(F542*('Model Data Inputs'!$E$184*'Model Data Inputs'!$E$185*'Model Data Inputs'!$E$186*'Model Data Inputs'!$E$187),2)</f>
        <v>272.39999999999998</v>
      </c>
      <c r="O542" s="171">
        <f t="shared" si="35"/>
        <v>145734</v>
      </c>
    </row>
    <row r="543" spans="1:15" x14ac:dyDescent="0.2">
      <c r="A543" s="168">
        <v>536</v>
      </c>
      <c r="B543" s="159">
        <v>802.2837234151034</v>
      </c>
      <c r="C543" s="169">
        <f t="shared" si="32"/>
        <v>430024.07575049542</v>
      </c>
      <c r="D543" s="153"/>
      <c r="E543" s="170">
        <v>536</v>
      </c>
      <c r="F543" s="162">
        <v>272.28972619698771</v>
      </c>
      <c r="G543" s="171">
        <f t="shared" si="33"/>
        <v>145947.2932415854</v>
      </c>
      <c r="I543" s="168">
        <v>536</v>
      </c>
      <c r="J543" s="167">
        <f>ROUND(B543*('Model Data Inputs'!$E$184*'Model Data Inputs'!$E$185*'Model Data Inputs'!$E$186*'Model Data Inputs'!$E$187),2)</f>
        <v>802.28</v>
      </c>
      <c r="K543" s="169">
        <f t="shared" si="34"/>
        <v>430022.07999999996</v>
      </c>
      <c r="L543" s="153"/>
      <c r="M543" s="170">
        <v>536</v>
      </c>
      <c r="N543" s="164">
        <f>ROUND(F543*('Model Data Inputs'!$E$184*'Model Data Inputs'!$E$185*'Model Data Inputs'!$E$186*'Model Data Inputs'!$E$187),2)</f>
        <v>272.29000000000002</v>
      </c>
      <c r="O543" s="171">
        <f t="shared" si="35"/>
        <v>145947.44</v>
      </c>
    </row>
    <row r="544" spans="1:15" x14ac:dyDescent="0.2">
      <c r="A544" s="168">
        <v>537</v>
      </c>
      <c r="B544" s="159">
        <v>801.3398614003529</v>
      </c>
      <c r="C544" s="169">
        <f t="shared" si="32"/>
        <v>430319.50557198952</v>
      </c>
      <c r="D544" s="153"/>
      <c r="E544" s="170">
        <v>537</v>
      </c>
      <c r="F544" s="162">
        <v>272.17646275521764</v>
      </c>
      <c r="G544" s="171">
        <f t="shared" si="33"/>
        <v>146158.76049955186</v>
      </c>
      <c r="I544" s="168">
        <v>537</v>
      </c>
      <c r="J544" s="167">
        <f>ROUND(B544*('Model Data Inputs'!$E$184*'Model Data Inputs'!$E$185*'Model Data Inputs'!$E$186*'Model Data Inputs'!$E$187),2)</f>
        <v>801.34</v>
      </c>
      <c r="K544" s="169">
        <f t="shared" si="34"/>
        <v>430319.58</v>
      </c>
      <c r="L544" s="153"/>
      <c r="M544" s="170">
        <v>537</v>
      </c>
      <c r="N544" s="164">
        <f>ROUND(F544*('Model Data Inputs'!$E$184*'Model Data Inputs'!$E$185*'Model Data Inputs'!$E$186*'Model Data Inputs'!$E$187),2)</f>
        <v>272.18</v>
      </c>
      <c r="O544" s="171">
        <f t="shared" si="35"/>
        <v>146160.66</v>
      </c>
    </row>
    <row r="545" spans="1:15" x14ac:dyDescent="0.2">
      <c r="A545" s="168">
        <v>538</v>
      </c>
      <c r="B545" s="159">
        <v>800.39599938560264</v>
      </c>
      <c r="C545" s="169">
        <f t="shared" si="32"/>
        <v>430613.04766945424</v>
      </c>
      <c r="D545" s="153"/>
      <c r="E545" s="170">
        <v>538</v>
      </c>
      <c r="F545" s="162">
        <v>272.06319931344774</v>
      </c>
      <c r="G545" s="171">
        <f t="shared" si="33"/>
        <v>146370.00123063489</v>
      </c>
      <c r="I545" s="168">
        <v>538</v>
      </c>
      <c r="J545" s="167">
        <f>ROUND(B545*('Model Data Inputs'!$E$184*'Model Data Inputs'!$E$185*'Model Data Inputs'!$E$186*'Model Data Inputs'!$E$187),2)</f>
        <v>800.4</v>
      </c>
      <c r="K545" s="169">
        <f t="shared" si="34"/>
        <v>430615.2</v>
      </c>
      <c r="L545" s="153"/>
      <c r="M545" s="170">
        <v>538</v>
      </c>
      <c r="N545" s="164">
        <f>ROUND(F545*('Model Data Inputs'!$E$184*'Model Data Inputs'!$E$185*'Model Data Inputs'!$E$186*'Model Data Inputs'!$E$187),2)</f>
        <v>272.06</v>
      </c>
      <c r="O545" s="171">
        <f t="shared" si="35"/>
        <v>146368.28</v>
      </c>
    </row>
    <row r="546" spans="1:15" x14ac:dyDescent="0.2">
      <c r="A546" s="168">
        <v>539</v>
      </c>
      <c r="B546" s="159">
        <v>799.45213737085214</v>
      </c>
      <c r="C546" s="169">
        <f t="shared" si="32"/>
        <v>430904.70204288932</v>
      </c>
      <c r="D546" s="153"/>
      <c r="E546" s="170">
        <v>539</v>
      </c>
      <c r="F546" s="162">
        <v>271.94993587167767</v>
      </c>
      <c r="G546" s="171">
        <f t="shared" si="33"/>
        <v>146581.01543483426</v>
      </c>
      <c r="I546" s="168">
        <v>539</v>
      </c>
      <c r="J546" s="167">
        <f>ROUND(B546*('Model Data Inputs'!$E$184*'Model Data Inputs'!$E$185*'Model Data Inputs'!$E$186*'Model Data Inputs'!$E$187),2)</f>
        <v>799.45</v>
      </c>
      <c r="K546" s="169">
        <f t="shared" si="34"/>
        <v>430903.55000000005</v>
      </c>
      <c r="L546" s="153"/>
      <c r="M546" s="170">
        <v>539</v>
      </c>
      <c r="N546" s="164">
        <f>ROUND(F546*('Model Data Inputs'!$E$184*'Model Data Inputs'!$E$185*'Model Data Inputs'!$E$186*'Model Data Inputs'!$E$187),2)</f>
        <v>271.95</v>
      </c>
      <c r="O546" s="171">
        <f t="shared" si="35"/>
        <v>146581.04999999999</v>
      </c>
    </row>
    <row r="547" spans="1:15" x14ac:dyDescent="0.2">
      <c r="A547" s="168">
        <v>540</v>
      </c>
      <c r="B547" s="159">
        <v>798.50827535610176</v>
      </c>
      <c r="C547" s="169">
        <f t="shared" si="32"/>
        <v>431194.46869229496</v>
      </c>
      <c r="D547" s="153"/>
      <c r="E547" s="170">
        <v>540</v>
      </c>
      <c r="F547" s="162">
        <v>271.83667242990759</v>
      </c>
      <c r="G547" s="171">
        <f t="shared" si="33"/>
        <v>146791.80311215011</v>
      </c>
      <c r="I547" s="168">
        <v>540</v>
      </c>
      <c r="J547" s="167">
        <f>ROUND(B547*('Model Data Inputs'!$E$184*'Model Data Inputs'!$E$185*'Model Data Inputs'!$E$186*'Model Data Inputs'!$E$187),2)</f>
        <v>798.51</v>
      </c>
      <c r="K547" s="169">
        <f t="shared" si="34"/>
        <v>431195.4</v>
      </c>
      <c r="L547" s="153"/>
      <c r="M547" s="170">
        <v>540</v>
      </c>
      <c r="N547" s="164">
        <f>ROUND(F547*('Model Data Inputs'!$E$184*'Model Data Inputs'!$E$185*'Model Data Inputs'!$E$186*'Model Data Inputs'!$E$187),2)</f>
        <v>271.83999999999997</v>
      </c>
      <c r="O547" s="171">
        <f t="shared" si="35"/>
        <v>146793.59999999998</v>
      </c>
    </row>
    <row r="548" spans="1:15" x14ac:dyDescent="0.2">
      <c r="A548" s="168">
        <v>541</v>
      </c>
      <c r="B548" s="159">
        <v>797.56441334135161</v>
      </c>
      <c r="C548" s="169">
        <f t="shared" si="32"/>
        <v>431482.34761767124</v>
      </c>
      <c r="D548" s="153"/>
      <c r="E548" s="170">
        <v>541</v>
      </c>
      <c r="F548" s="162">
        <v>271.72340898813758</v>
      </c>
      <c r="G548" s="171">
        <f t="shared" si="33"/>
        <v>147002.36426258244</v>
      </c>
      <c r="I548" s="168">
        <v>541</v>
      </c>
      <c r="J548" s="167">
        <f>ROUND(B548*('Model Data Inputs'!$E$184*'Model Data Inputs'!$E$185*'Model Data Inputs'!$E$186*'Model Data Inputs'!$E$187),2)</f>
        <v>797.56</v>
      </c>
      <c r="K548" s="169">
        <f t="shared" si="34"/>
        <v>431479.95999999996</v>
      </c>
      <c r="L548" s="153"/>
      <c r="M548" s="170">
        <v>541</v>
      </c>
      <c r="N548" s="164">
        <f>ROUND(F548*('Model Data Inputs'!$E$184*'Model Data Inputs'!$E$185*'Model Data Inputs'!$E$186*'Model Data Inputs'!$E$187),2)</f>
        <v>271.72000000000003</v>
      </c>
      <c r="O548" s="171">
        <f t="shared" si="35"/>
        <v>147000.52000000002</v>
      </c>
    </row>
    <row r="549" spans="1:15" x14ac:dyDescent="0.2">
      <c r="A549" s="168">
        <v>542</v>
      </c>
      <c r="B549" s="159">
        <v>796.620551326601</v>
      </c>
      <c r="C549" s="169">
        <f t="shared" si="32"/>
        <v>431768.33881901775</v>
      </c>
      <c r="D549" s="153"/>
      <c r="E549" s="170">
        <v>542</v>
      </c>
      <c r="F549" s="162">
        <v>271.61014554636751</v>
      </c>
      <c r="G549" s="171">
        <f t="shared" si="33"/>
        <v>147212.6988861312</v>
      </c>
      <c r="I549" s="168">
        <v>542</v>
      </c>
      <c r="J549" s="167">
        <f>ROUND(B549*('Model Data Inputs'!$E$184*'Model Data Inputs'!$E$185*'Model Data Inputs'!$E$186*'Model Data Inputs'!$E$187),2)</f>
        <v>796.62</v>
      </c>
      <c r="K549" s="169">
        <f t="shared" si="34"/>
        <v>431768.04</v>
      </c>
      <c r="L549" s="153"/>
      <c r="M549" s="170">
        <v>542</v>
      </c>
      <c r="N549" s="164">
        <f>ROUND(F549*('Model Data Inputs'!$E$184*'Model Data Inputs'!$E$185*'Model Data Inputs'!$E$186*'Model Data Inputs'!$E$187),2)</f>
        <v>271.61</v>
      </c>
      <c r="O549" s="171">
        <f t="shared" si="35"/>
        <v>147212.62</v>
      </c>
    </row>
    <row r="550" spans="1:15" x14ac:dyDescent="0.2">
      <c r="A550" s="168">
        <v>543</v>
      </c>
      <c r="B550" s="159">
        <v>795.67668931185062</v>
      </c>
      <c r="C550" s="169">
        <f t="shared" si="32"/>
        <v>432052.44229633489</v>
      </c>
      <c r="D550" s="153"/>
      <c r="E550" s="170">
        <v>543</v>
      </c>
      <c r="F550" s="162">
        <v>271.49688210459743</v>
      </c>
      <c r="G550" s="171">
        <f t="shared" si="33"/>
        <v>147422.80698279641</v>
      </c>
      <c r="I550" s="168">
        <v>543</v>
      </c>
      <c r="J550" s="167">
        <f>ROUND(B550*('Model Data Inputs'!$E$184*'Model Data Inputs'!$E$185*'Model Data Inputs'!$E$186*'Model Data Inputs'!$E$187),2)</f>
        <v>795.68</v>
      </c>
      <c r="K550" s="169">
        <f t="shared" si="34"/>
        <v>432054.24</v>
      </c>
      <c r="L550" s="153"/>
      <c r="M550" s="170">
        <v>543</v>
      </c>
      <c r="N550" s="164">
        <f>ROUND(F550*('Model Data Inputs'!$E$184*'Model Data Inputs'!$E$185*'Model Data Inputs'!$E$186*'Model Data Inputs'!$E$187),2)</f>
        <v>271.5</v>
      </c>
      <c r="O550" s="171">
        <f t="shared" si="35"/>
        <v>147424.5</v>
      </c>
    </row>
    <row r="551" spans="1:15" x14ac:dyDescent="0.2">
      <c r="A551" s="168">
        <v>544</v>
      </c>
      <c r="B551" s="159">
        <v>794.73282729710024</v>
      </c>
      <c r="C551" s="169">
        <f t="shared" si="32"/>
        <v>432334.65804962255</v>
      </c>
      <c r="D551" s="153"/>
      <c r="E551" s="170">
        <v>544</v>
      </c>
      <c r="F551" s="162">
        <v>271.38361866282742</v>
      </c>
      <c r="G551" s="171">
        <f t="shared" si="33"/>
        <v>147632.68855257813</v>
      </c>
      <c r="I551" s="168">
        <v>544</v>
      </c>
      <c r="J551" s="167">
        <f>ROUND(B551*('Model Data Inputs'!$E$184*'Model Data Inputs'!$E$185*'Model Data Inputs'!$E$186*'Model Data Inputs'!$E$187),2)</f>
        <v>794.73</v>
      </c>
      <c r="K551" s="169">
        <f t="shared" si="34"/>
        <v>432333.12</v>
      </c>
      <c r="L551" s="153"/>
      <c r="M551" s="170">
        <v>544</v>
      </c>
      <c r="N551" s="164">
        <f>ROUND(F551*('Model Data Inputs'!$E$184*'Model Data Inputs'!$E$185*'Model Data Inputs'!$E$186*'Model Data Inputs'!$E$187),2)</f>
        <v>271.38</v>
      </c>
      <c r="O551" s="171">
        <f t="shared" si="35"/>
        <v>147630.72</v>
      </c>
    </row>
    <row r="552" spans="1:15" x14ac:dyDescent="0.2">
      <c r="A552" s="168">
        <v>545</v>
      </c>
      <c r="B552" s="159">
        <v>793.78896528234998</v>
      </c>
      <c r="C552" s="169">
        <f t="shared" si="32"/>
        <v>432614.98607888073</v>
      </c>
      <c r="D552" s="153"/>
      <c r="E552" s="170">
        <v>545</v>
      </c>
      <c r="F552" s="162">
        <v>271.27035522105734</v>
      </c>
      <c r="G552" s="171">
        <f t="shared" si="33"/>
        <v>147842.34359547624</v>
      </c>
      <c r="I552" s="168">
        <v>545</v>
      </c>
      <c r="J552" s="167">
        <f>ROUND(B552*('Model Data Inputs'!$E$184*'Model Data Inputs'!$E$185*'Model Data Inputs'!$E$186*'Model Data Inputs'!$E$187),2)</f>
        <v>793.79</v>
      </c>
      <c r="K552" s="169">
        <f t="shared" si="34"/>
        <v>432615.55</v>
      </c>
      <c r="L552" s="153"/>
      <c r="M552" s="170">
        <v>545</v>
      </c>
      <c r="N552" s="164">
        <f>ROUND(F552*('Model Data Inputs'!$E$184*'Model Data Inputs'!$E$185*'Model Data Inputs'!$E$186*'Model Data Inputs'!$E$187),2)</f>
        <v>271.27</v>
      </c>
      <c r="O552" s="171">
        <f t="shared" si="35"/>
        <v>147842.15</v>
      </c>
    </row>
    <row r="553" spans="1:15" x14ac:dyDescent="0.2">
      <c r="A553" s="168">
        <v>546</v>
      </c>
      <c r="B553" s="159">
        <v>792.84510326759948</v>
      </c>
      <c r="C553" s="169">
        <f t="shared" si="32"/>
        <v>432893.42638410931</v>
      </c>
      <c r="D553" s="153"/>
      <c r="E553" s="170">
        <v>546</v>
      </c>
      <c r="F553" s="162">
        <v>271.15709177928727</v>
      </c>
      <c r="G553" s="171">
        <f t="shared" si="33"/>
        <v>148051.77211149086</v>
      </c>
      <c r="I553" s="168">
        <v>546</v>
      </c>
      <c r="J553" s="167">
        <f>ROUND(B553*('Model Data Inputs'!$E$184*'Model Data Inputs'!$E$185*'Model Data Inputs'!$E$186*'Model Data Inputs'!$E$187),2)</f>
        <v>792.85</v>
      </c>
      <c r="K553" s="169">
        <f t="shared" si="34"/>
        <v>432896.10000000003</v>
      </c>
      <c r="L553" s="153"/>
      <c r="M553" s="170">
        <v>546</v>
      </c>
      <c r="N553" s="164">
        <f>ROUND(F553*('Model Data Inputs'!$E$184*'Model Data Inputs'!$E$185*'Model Data Inputs'!$E$186*'Model Data Inputs'!$E$187),2)</f>
        <v>271.16000000000003</v>
      </c>
      <c r="O553" s="171">
        <f t="shared" si="35"/>
        <v>148053.36000000002</v>
      </c>
    </row>
    <row r="554" spans="1:15" x14ac:dyDescent="0.2">
      <c r="A554" s="168">
        <v>547</v>
      </c>
      <c r="B554" s="159">
        <v>791.90124125284922</v>
      </c>
      <c r="C554" s="169">
        <f t="shared" si="32"/>
        <v>433169.97896530852</v>
      </c>
      <c r="D554" s="153"/>
      <c r="E554" s="170">
        <v>547</v>
      </c>
      <c r="F554" s="162">
        <v>271.04382833751731</v>
      </c>
      <c r="G554" s="171">
        <f t="shared" si="33"/>
        <v>148260.97410062197</v>
      </c>
      <c r="I554" s="168">
        <v>547</v>
      </c>
      <c r="J554" s="167">
        <f>ROUND(B554*('Model Data Inputs'!$E$184*'Model Data Inputs'!$E$185*'Model Data Inputs'!$E$186*'Model Data Inputs'!$E$187),2)</f>
        <v>791.9</v>
      </c>
      <c r="K554" s="169">
        <f t="shared" si="34"/>
        <v>433169.3</v>
      </c>
      <c r="L554" s="153"/>
      <c r="M554" s="170">
        <v>547</v>
      </c>
      <c r="N554" s="164">
        <f>ROUND(F554*('Model Data Inputs'!$E$184*'Model Data Inputs'!$E$185*'Model Data Inputs'!$E$186*'Model Data Inputs'!$E$187),2)</f>
        <v>271.04000000000002</v>
      </c>
      <c r="O554" s="171">
        <f t="shared" si="35"/>
        <v>148258.88</v>
      </c>
    </row>
    <row r="555" spans="1:15" x14ac:dyDescent="0.2">
      <c r="A555" s="168">
        <v>548</v>
      </c>
      <c r="B555" s="159">
        <v>790.95737923809895</v>
      </c>
      <c r="C555" s="169">
        <f t="shared" si="32"/>
        <v>433444.64382247825</v>
      </c>
      <c r="D555" s="153"/>
      <c r="E555" s="170">
        <v>548</v>
      </c>
      <c r="F555" s="162">
        <v>270.93056489574718</v>
      </c>
      <c r="G555" s="171">
        <f t="shared" si="33"/>
        <v>148469.94956286944</v>
      </c>
      <c r="I555" s="168">
        <v>548</v>
      </c>
      <c r="J555" s="167">
        <f>ROUND(B555*('Model Data Inputs'!$E$184*'Model Data Inputs'!$E$185*'Model Data Inputs'!$E$186*'Model Data Inputs'!$E$187),2)</f>
        <v>790.96</v>
      </c>
      <c r="K555" s="169">
        <f t="shared" si="34"/>
        <v>433446.08</v>
      </c>
      <c r="L555" s="153"/>
      <c r="M555" s="170">
        <v>548</v>
      </c>
      <c r="N555" s="164">
        <f>ROUND(F555*('Model Data Inputs'!$E$184*'Model Data Inputs'!$E$185*'Model Data Inputs'!$E$186*'Model Data Inputs'!$E$187),2)</f>
        <v>270.93</v>
      </c>
      <c r="O555" s="171">
        <f t="shared" si="35"/>
        <v>148469.64000000001</v>
      </c>
    </row>
    <row r="556" spans="1:15" x14ac:dyDescent="0.2">
      <c r="A556" s="168">
        <v>549</v>
      </c>
      <c r="B556" s="159">
        <v>790.01351722334846</v>
      </c>
      <c r="C556" s="169">
        <f t="shared" si="32"/>
        <v>433717.42095561832</v>
      </c>
      <c r="D556" s="153"/>
      <c r="E556" s="170">
        <v>549</v>
      </c>
      <c r="F556" s="162">
        <v>270.81730145397717</v>
      </c>
      <c r="G556" s="171">
        <f t="shared" si="33"/>
        <v>148678.69849823345</v>
      </c>
      <c r="I556" s="168">
        <v>549</v>
      </c>
      <c r="J556" s="167">
        <f>ROUND(B556*('Model Data Inputs'!$E$184*'Model Data Inputs'!$E$185*'Model Data Inputs'!$E$186*'Model Data Inputs'!$E$187),2)</f>
        <v>790.01</v>
      </c>
      <c r="K556" s="169">
        <f t="shared" si="34"/>
        <v>433715.49</v>
      </c>
      <c r="L556" s="153"/>
      <c r="M556" s="170">
        <v>549</v>
      </c>
      <c r="N556" s="164">
        <f>ROUND(F556*('Model Data Inputs'!$E$184*'Model Data Inputs'!$E$185*'Model Data Inputs'!$E$186*'Model Data Inputs'!$E$187),2)</f>
        <v>270.82</v>
      </c>
      <c r="O556" s="171">
        <f t="shared" si="35"/>
        <v>148680.18</v>
      </c>
    </row>
    <row r="557" spans="1:15" x14ac:dyDescent="0.2">
      <c r="A557" s="168">
        <v>550</v>
      </c>
      <c r="B557" s="159">
        <v>789.06965520859796</v>
      </c>
      <c r="C557" s="169">
        <f t="shared" si="32"/>
        <v>433988.31036472885</v>
      </c>
      <c r="D557" s="153"/>
      <c r="E557" s="170">
        <v>550</v>
      </c>
      <c r="F557" s="162">
        <v>270.70403801220715</v>
      </c>
      <c r="G557" s="171">
        <f t="shared" si="33"/>
        <v>148887.22090671392</v>
      </c>
      <c r="I557" s="168">
        <v>550</v>
      </c>
      <c r="J557" s="167">
        <f>ROUND(B557*('Model Data Inputs'!$E$184*'Model Data Inputs'!$E$185*'Model Data Inputs'!$E$186*'Model Data Inputs'!$E$187),2)</f>
        <v>789.07</v>
      </c>
      <c r="K557" s="169">
        <f t="shared" si="34"/>
        <v>433988.5</v>
      </c>
      <c r="L557" s="153"/>
      <c r="M557" s="170">
        <v>550</v>
      </c>
      <c r="N557" s="164">
        <f>ROUND(F557*('Model Data Inputs'!$E$184*'Model Data Inputs'!$E$185*'Model Data Inputs'!$E$186*'Model Data Inputs'!$E$187),2)</f>
        <v>270.7</v>
      </c>
      <c r="O557" s="171">
        <f t="shared" si="35"/>
        <v>148885</v>
      </c>
    </row>
    <row r="558" spans="1:15" x14ac:dyDescent="0.2">
      <c r="A558" s="168">
        <v>551</v>
      </c>
      <c r="B558" s="159">
        <v>788.12579319384781</v>
      </c>
      <c r="C558" s="169">
        <f t="shared" si="32"/>
        <v>434257.31204981013</v>
      </c>
      <c r="D558" s="153"/>
      <c r="E558" s="170">
        <v>551</v>
      </c>
      <c r="F558" s="162">
        <v>270.59077457043708</v>
      </c>
      <c r="G558" s="171">
        <f t="shared" si="33"/>
        <v>149095.51678831084</v>
      </c>
      <c r="I558" s="168">
        <v>551</v>
      </c>
      <c r="J558" s="167">
        <f>ROUND(B558*('Model Data Inputs'!$E$184*'Model Data Inputs'!$E$185*'Model Data Inputs'!$E$186*'Model Data Inputs'!$E$187),2)</f>
        <v>788.13</v>
      </c>
      <c r="K558" s="169">
        <f t="shared" si="34"/>
        <v>434259.63</v>
      </c>
      <c r="L558" s="153"/>
      <c r="M558" s="170">
        <v>551</v>
      </c>
      <c r="N558" s="164">
        <f>ROUND(F558*('Model Data Inputs'!$E$184*'Model Data Inputs'!$E$185*'Model Data Inputs'!$E$186*'Model Data Inputs'!$E$187),2)</f>
        <v>270.58999999999997</v>
      </c>
      <c r="O558" s="171">
        <f t="shared" si="35"/>
        <v>149095.09</v>
      </c>
    </row>
    <row r="559" spans="1:15" x14ac:dyDescent="0.2">
      <c r="A559" s="168">
        <v>552</v>
      </c>
      <c r="B559" s="159">
        <v>787.18193117909732</v>
      </c>
      <c r="C559" s="169">
        <f t="shared" si="32"/>
        <v>434524.4260108617</v>
      </c>
      <c r="D559" s="153"/>
      <c r="E559" s="170">
        <v>552</v>
      </c>
      <c r="F559" s="162">
        <v>270.477511128667</v>
      </c>
      <c r="G559" s="171">
        <f t="shared" si="33"/>
        <v>149303.58614302418</v>
      </c>
      <c r="I559" s="168">
        <v>552</v>
      </c>
      <c r="J559" s="167">
        <f>ROUND(B559*('Model Data Inputs'!$E$184*'Model Data Inputs'!$E$185*'Model Data Inputs'!$E$186*'Model Data Inputs'!$E$187),2)</f>
        <v>787.18</v>
      </c>
      <c r="K559" s="169">
        <f t="shared" si="34"/>
        <v>434523.36</v>
      </c>
      <c r="L559" s="153"/>
      <c r="M559" s="170">
        <v>552</v>
      </c>
      <c r="N559" s="164">
        <f>ROUND(F559*('Model Data Inputs'!$E$184*'Model Data Inputs'!$E$185*'Model Data Inputs'!$E$186*'Model Data Inputs'!$E$187),2)</f>
        <v>270.48</v>
      </c>
      <c r="O559" s="171">
        <f t="shared" si="35"/>
        <v>149304.96000000002</v>
      </c>
    </row>
    <row r="560" spans="1:15" x14ac:dyDescent="0.2">
      <c r="A560" s="168">
        <v>553</v>
      </c>
      <c r="B560" s="159">
        <v>786.23806916434705</v>
      </c>
      <c r="C560" s="169">
        <f t="shared" si="32"/>
        <v>434789.6522478839</v>
      </c>
      <c r="D560" s="153"/>
      <c r="E560" s="170">
        <v>553</v>
      </c>
      <c r="F560" s="162">
        <v>270.36424768689699</v>
      </c>
      <c r="G560" s="171">
        <f t="shared" si="33"/>
        <v>149511.42897085403</v>
      </c>
      <c r="I560" s="168">
        <v>553</v>
      </c>
      <c r="J560" s="167">
        <f>ROUND(B560*('Model Data Inputs'!$E$184*'Model Data Inputs'!$E$185*'Model Data Inputs'!$E$186*'Model Data Inputs'!$E$187),2)</f>
        <v>786.24</v>
      </c>
      <c r="K560" s="169">
        <f t="shared" si="34"/>
        <v>434790.72000000003</v>
      </c>
      <c r="L560" s="153"/>
      <c r="M560" s="170">
        <v>553</v>
      </c>
      <c r="N560" s="164">
        <f>ROUND(F560*('Model Data Inputs'!$E$184*'Model Data Inputs'!$E$185*'Model Data Inputs'!$E$186*'Model Data Inputs'!$E$187),2)</f>
        <v>270.36</v>
      </c>
      <c r="O560" s="171">
        <f t="shared" si="35"/>
        <v>149509.08000000002</v>
      </c>
    </row>
    <row r="561" spans="1:15" x14ac:dyDescent="0.2">
      <c r="A561" s="168">
        <v>554</v>
      </c>
      <c r="B561" s="159">
        <v>785.29420714959667</v>
      </c>
      <c r="C561" s="169">
        <f t="shared" si="32"/>
        <v>435052.99076087656</v>
      </c>
      <c r="D561" s="153"/>
      <c r="E561" s="170">
        <v>554</v>
      </c>
      <c r="F561" s="162">
        <v>270.25098424512692</v>
      </c>
      <c r="G561" s="171">
        <f t="shared" si="33"/>
        <v>149719.04527180031</v>
      </c>
      <c r="I561" s="168">
        <v>554</v>
      </c>
      <c r="J561" s="167">
        <f>ROUND(B561*('Model Data Inputs'!$E$184*'Model Data Inputs'!$E$185*'Model Data Inputs'!$E$186*'Model Data Inputs'!$E$187),2)</f>
        <v>785.29</v>
      </c>
      <c r="K561" s="169">
        <f t="shared" si="34"/>
        <v>435050.66</v>
      </c>
      <c r="L561" s="153"/>
      <c r="M561" s="170">
        <v>554</v>
      </c>
      <c r="N561" s="164">
        <f>ROUND(F561*('Model Data Inputs'!$E$184*'Model Data Inputs'!$E$185*'Model Data Inputs'!$E$186*'Model Data Inputs'!$E$187),2)</f>
        <v>270.25</v>
      </c>
      <c r="O561" s="171">
        <f t="shared" si="35"/>
        <v>149718.5</v>
      </c>
    </row>
    <row r="562" spans="1:15" x14ac:dyDescent="0.2">
      <c r="A562" s="168">
        <v>555</v>
      </c>
      <c r="B562" s="159">
        <v>784.35034513484618</v>
      </c>
      <c r="C562" s="169">
        <f t="shared" si="32"/>
        <v>435314.44154983963</v>
      </c>
      <c r="D562" s="153"/>
      <c r="E562" s="170">
        <v>555</v>
      </c>
      <c r="F562" s="162">
        <v>270.1377208033569</v>
      </c>
      <c r="G562" s="171">
        <f t="shared" si="33"/>
        <v>149926.43504586307</v>
      </c>
      <c r="I562" s="168">
        <v>555</v>
      </c>
      <c r="J562" s="167">
        <f>ROUND(B562*('Model Data Inputs'!$E$184*'Model Data Inputs'!$E$185*'Model Data Inputs'!$E$186*'Model Data Inputs'!$E$187),2)</f>
        <v>784.35</v>
      </c>
      <c r="K562" s="169">
        <f t="shared" si="34"/>
        <v>435314.25</v>
      </c>
      <c r="L562" s="153"/>
      <c r="M562" s="170">
        <v>555</v>
      </c>
      <c r="N562" s="164">
        <f>ROUND(F562*('Model Data Inputs'!$E$184*'Model Data Inputs'!$E$185*'Model Data Inputs'!$E$186*'Model Data Inputs'!$E$187),2)</f>
        <v>270.14</v>
      </c>
      <c r="O562" s="171">
        <f t="shared" si="35"/>
        <v>149927.69999999998</v>
      </c>
    </row>
    <row r="563" spans="1:15" x14ac:dyDescent="0.2">
      <c r="A563" s="168">
        <v>556</v>
      </c>
      <c r="B563" s="159">
        <v>783.4064831200958</v>
      </c>
      <c r="C563" s="169">
        <f t="shared" si="32"/>
        <v>435574.00461477326</v>
      </c>
      <c r="D563" s="153"/>
      <c r="E563" s="170">
        <v>556</v>
      </c>
      <c r="F563" s="162">
        <v>270.02445736158688</v>
      </c>
      <c r="G563" s="171">
        <f t="shared" si="33"/>
        <v>150133.59829304231</v>
      </c>
      <c r="I563" s="168">
        <v>556</v>
      </c>
      <c r="J563" s="167">
        <f>ROUND(B563*('Model Data Inputs'!$E$184*'Model Data Inputs'!$E$185*'Model Data Inputs'!$E$186*'Model Data Inputs'!$E$187),2)</f>
        <v>783.41</v>
      </c>
      <c r="K563" s="169">
        <f t="shared" si="34"/>
        <v>435575.95999999996</v>
      </c>
      <c r="L563" s="153"/>
      <c r="M563" s="170">
        <v>556</v>
      </c>
      <c r="N563" s="164">
        <f>ROUND(F563*('Model Data Inputs'!$E$184*'Model Data Inputs'!$E$185*'Model Data Inputs'!$E$186*'Model Data Inputs'!$E$187),2)</f>
        <v>270.02</v>
      </c>
      <c r="O563" s="171">
        <f t="shared" si="35"/>
        <v>150131.12</v>
      </c>
    </row>
    <row r="564" spans="1:15" x14ac:dyDescent="0.2">
      <c r="A564" s="168">
        <v>557</v>
      </c>
      <c r="B564" s="159">
        <v>782.46262110534553</v>
      </c>
      <c r="C564" s="169">
        <f t="shared" si="32"/>
        <v>435831.67995567748</v>
      </c>
      <c r="D564" s="153"/>
      <c r="E564" s="170">
        <v>557</v>
      </c>
      <c r="F564" s="162">
        <v>269.91119391981681</v>
      </c>
      <c r="G564" s="171">
        <f t="shared" si="33"/>
        <v>150340.53501333797</v>
      </c>
      <c r="I564" s="168">
        <v>557</v>
      </c>
      <c r="J564" s="167">
        <f>ROUND(B564*('Model Data Inputs'!$E$184*'Model Data Inputs'!$E$185*'Model Data Inputs'!$E$186*'Model Data Inputs'!$E$187),2)</f>
        <v>782.46</v>
      </c>
      <c r="K564" s="169">
        <f t="shared" si="34"/>
        <v>435830.22000000003</v>
      </c>
      <c r="L564" s="153"/>
      <c r="M564" s="170">
        <v>557</v>
      </c>
      <c r="N564" s="164">
        <f>ROUND(F564*('Model Data Inputs'!$E$184*'Model Data Inputs'!$E$185*'Model Data Inputs'!$E$186*'Model Data Inputs'!$E$187),2)</f>
        <v>269.91000000000003</v>
      </c>
      <c r="O564" s="171">
        <f t="shared" si="35"/>
        <v>150339.87000000002</v>
      </c>
    </row>
    <row r="565" spans="1:15" x14ac:dyDescent="0.2">
      <c r="A565" s="168">
        <v>558</v>
      </c>
      <c r="B565" s="159">
        <v>781.51875909059504</v>
      </c>
      <c r="C565" s="169">
        <f t="shared" si="32"/>
        <v>436087.46757255204</v>
      </c>
      <c r="D565" s="153"/>
      <c r="E565" s="170">
        <v>558</v>
      </c>
      <c r="F565" s="162">
        <v>269.79793047804674</v>
      </c>
      <c r="G565" s="171">
        <f t="shared" si="33"/>
        <v>150547.24520675009</v>
      </c>
      <c r="I565" s="168">
        <v>558</v>
      </c>
      <c r="J565" s="167">
        <f>ROUND(B565*('Model Data Inputs'!$E$184*'Model Data Inputs'!$E$185*'Model Data Inputs'!$E$186*'Model Data Inputs'!$E$187),2)</f>
        <v>781.52</v>
      </c>
      <c r="K565" s="169">
        <f t="shared" si="34"/>
        <v>436088.16</v>
      </c>
      <c r="L565" s="153"/>
      <c r="M565" s="170">
        <v>558</v>
      </c>
      <c r="N565" s="164">
        <f>ROUND(F565*('Model Data Inputs'!$E$184*'Model Data Inputs'!$E$185*'Model Data Inputs'!$E$186*'Model Data Inputs'!$E$187),2)</f>
        <v>269.8</v>
      </c>
      <c r="O565" s="171">
        <f t="shared" si="35"/>
        <v>150548.4</v>
      </c>
    </row>
    <row r="566" spans="1:15" x14ac:dyDescent="0.2">
      <c r="A566" s="168">
        <v>559</v>
      </c>
      <c r="B566" s="159">
        <v>780.57489707584477</v>
      </c>
      <c r="C566" s="169">
        <f t="shared" si="32"/>
        <v>436341.36746539723</v>
      </c>
      <c r="D566" s="153"/>
      <c r="E566" s="170">
        <v>559</v>
      </c>
      <c r="F566" s="162">
        <v>269.68466703627678</v>
      </c>
      <c r="G566" s="171">
        <f t="shared" si="33"/>
        <v>150753.72887327871</v>
      </c>
      <c r="I566" s="168">
        <v>559</v>
      </c>
      <c r="J566" s="167">
        <f>ROUND(B566*('Model Data Inputs'!$E$184*'Model Data Inputs'!$E$185*'Model Data Inputs'!$E$186*'Model Data Inputs'!$E$187),2)</f>
        <v>780.57</v>
      </c>
      <c r="K566" s="169">
        <f t="shared" si="34"/>
        <v>436338.63</v>
      </c>
      <c r="L566" s="153"/>
      <c r="M566" s="170">
        <v>559</v>
      </c>
      <c r="N566" s="164">
        <f>ROUND(F566*('Model Data Inputs'!$E$184*'Model Data Inputs'!$E$185*'Model Data Inputs'!$E$186*'Model Data Inputs'!$E$187),2)</f>
        <v>269.68</v>
      </c>
      <c r="O566" s="171">
        <f t="shared" si="35"/>
        <v>150751.12</v>
      </c>
    </row>
    <row r="567" spans="1:15" x14ac:dyDescent="0.2">
      <c r="A567" s="168">
        <v>560</v>
      </c>
      <c r="B567" s="159">
        <v>779.63103506109439</v>
      </c>
      <c r="C567" s="169">
        <f t="shared" si="32"/>
        <v>436593.37963421288</v>
      </c>
      <c r="D567" s="153"/>
      <c r="E567" s="170">
        <v>560</v>
      </c>
      <c r="F567" s="162">
        <v>269.57140359450671</v>
      </c>
      <c r="G567" s="171">
        <f t="shared" si="33"/>
        <v>150959.98601292376</v>
      </c>
      <c r="I567" s="168">
        <v>560</v>
      </c>
      <c r="J567" s="167">
        <f>ROUND(B567*('Model Data Inputs'!$E$184*'Model Data Inputs'!$E$185*'Model Data Inputs'!$E$186*'Model Data Inputs'!$E$187),2)</f>
        <v>779.63</v>
      </c>
      <c r="K567" s="169">
        <f t="shared" si="34"/>
        <v>436592.8</v>
      </c>
      <c r="L567" s="153"/>
      <c r="M567" s="170">
        <v>560</v>
      </c>
      <c r="N567" s="164">
        <f>ROUND(F567*('Model Data Inputs'!$E$184*'Model Data Inputs'!$E$185*'Model Data Inputs'!$E$186*'Model Data Inputs'!$E$187),2)</f>
        <v>269.57</v>
      </c>
      <c r="O567" s="171">
        <f t="shared" si="35"/>
        <v>150959.19999999998</v>
      </c>
    </row>
    <row r="568" spans="1:15" x14ac:dyDescent="0.2">
      <c r="A568" s="168">
        <v>561</v>
      </c>
      <c r="B568" s="159">
        <v>778.68717304634401</v>
      </c>
      <c r="C568" s="169">
        <f t="shared" si="32"/>
        <v>436843.50407899899</v>
      </c>
      <c r="D568" s="153"/>
      <c r="E568" s="170">
        <v>561</v>
      </c>
      <c r="F568" s="162">
        <v>269.45814015273663</v>
      </c>
      <c r="G568" s="171">
        <f t="shared" si="33"/>
        <v>151166.01662568524</v>
      </c>
      <c r="I568" s="168">
        <v>561</v>
      </c>
      <c r="J568" s="167">
        <f>ROUND(B568*('Model Data Inputs'!$E$184*'Model Data Inputs'!$E$185*'Model Data Inputs'!$E$186*'Model Data Inputs'!$E$187),2)</f>
        <v>778.69</v>
      </c>
      <c r="K568" s="169">
        <f t="shared" si="34"/>
        <v>436845.09</v>
      </c>
      <c r="L568" s="153"/>
      <c r="M568" s="170">
        <v>561</v>
      </c>
      <c r="N568" s="164">
        <f>ROUND(F568*('Model Data Inputs'!$E$184*'Model Data Inputs'!$E$185*'Model Data Inputs'!$E$186*'Model Data Inputs'!$E$187),2)</f>
        <v>269.45999999999998</v>
      </c>
      <c r="O568" s="171">
        <f t="shared" si="35"/>
        <v>151167.06</v>
      </c>
    </row>
    <row r="569" spans="1:15" x14ac:dyDescent="0.2">
      <c r="A569" s="168">
        <v>562</v>
      </c>
      <c r="B569" s="159">
        <v>777.74331103159341</v>
      </c>
      <c r="C569" s="169">
        <f t="shared" si="32"/>
        <v>437091.7407997555</v>
      </c>
      <c r="D569" s="153"/>
      <c r="E569" s="170">
        <v>562</v>
      </c>
      <c r="F569" s="162">
        <v>269.34487671096662</v>
      </c>
      <c r="G569" s="171">
        <f t="shared" si="33"/>
        <v>151371.82071156322</v>
      </c>
      <c r="I569" s="168">
        <v>562</v>
      </c>
      <c r="J569" s="167">
        <f>ROUND(B569*('Model Data Inputs'!$E$184*'Model Data Inputs'!$E$185*'Model Data Inputs'!$E$186*'Model Data Inputs'!$E$187),2)</f>
        <v>777.74</v>
      </c>
      <c r="K569" s="169">
        <f t="shared" si="34"/>
        <v>437089.88</v>
      </c>
      <c r="L569" s="153"/>
      <c r="M569" s="170">
        <v>562</v>
      </c>
      <c r="N569" s="164">
        <f>ROUND(F569*('Model Data Inputs'!$E$184*'Model Data Inputs'!$E$185*'Model Data Inputs'!$E$186*'Model Data Inputs'!$E$187),2)</f>
        <v>269.33999999999997</v>
      </c>
      <c r="O569" s="171">
        <f t="shared" si="35"/>
        <v>151369.07999999999</v>
      </c>
    </row>
    <row r="570" spans="1:15" x14ac:dyDescent="0.2">
      <c r="A570" s="168">
        <v>563</v>
      </c>
      <c r="B570" s="159">
        <v>776.79944901684337</v>
      </c>
      <c r="C570" s="169">
        <f t="shared" si="32"/>
        <v>437338.08979648282</v>
      </c>
      <c r="D570" s="153"/>
      <c r="E570" s="170">
        <v>563</v>
      </c>
      <c r="F570" s="162">
        <v>269.23161326919654</v>
      </c>
      <c r="G570" s="171">
        <f t="shared" si="33"/>
        <v>151577.39827055766</v>
      </c>
      <c r="I570" s="168">
        <v>563</v>
      </c>
      <c r="J570" s="167">
        <f>ROUND(B570*('Model Data Inputs'!$E$184*'Model Data Inputs'!$E$185*'Model Data Inputs'!$E$186*'Model Data Inputs'!$E$187),2)</f>
        <v>776.8</v>
      </c>
      <c r="K570" s="169">
        <f t="shared" si="34"/>
        <v>437338.39999999997</v>
      </c>
      <c r="L570" s="153"/>
      <c r="M570" s="170">
        <v>563</v>
      </c>
      <c r="N570" s="164">
        <f>ROUND(F570*('Model Data Inputs'!$E$184*'Model Data Inputs'!$E$185*'Model Data Inputs'!$E$186*'Model Data Inputs'!$E$187),2)</f>
        <v>269.23</v>
      </c>
      <c r="O570" s="171">
        <f t="shared" si="35"/>
        <v>151576.49000000002</v>
      </c>
    </row>
    <row r="571" spans="1:15" x14ac:dyDescent="0.2">
      <c r="A571" s="168">
        <v>564</v>
      </c>
      <c r="B571" s="159">
        <v>775.85558700209288</v>
      </c>
      <c r="C571" s="169">
        <f t="shared" si="32"/>
        <v>437582.55106918036</v>
      </c>
      <c r="D571" s="153"/>
      <c r="E571" s="170">
        <v>564</v>
      </c>
      <c r="F571" s="162">
        <v>269.11834982742647</v>
      </c>
      <c r="G571" s="171">
        <f t="shared" si="33"/>
        <v>151782.74930266853</v>
      </c>
      <c r="I571" s="168">
        <v>564</v>
      </c>
      <c r="J571" s="167">
        <f>ROUND(B571*('Model Data Inputs'!$E$184*'Model Data Inputs'!$E$185*'Model Data Inputs'!$E$186*'Model Data Inputs'!$E$187),2)</f>
        <v>775.86</v>
      </c>
      <c r="K571" s="169">
        <f t="shared" si="34"/>
        <v>437585.04</v>
      </c>
      <c r="L571" s="153"/>
      <c r="M571" s="170">
        <v>564</v>
      </c>
      <c r="N571" s="164">
        <f>ROUND(F571*('Model Data Inputs'!$E$184*'Model Data Inputs'!$E$185*'Model Data Inputs'!$E$186*'Model Data Inputs'!$E$187),2)</f>
        <v>269.12</v>
      </c>
      <c r="O571" s="171">
        <f t="shared" si="35"/>
        <v>151783.67999999999</v>
      </c>
    </row>
    <row r="572" spans="1:15" x14ac:dyDescent="0.2">
      <c r="A572" s="168">
        <v>565</v>
      </c>
      <c r="B572" s="159">
        <v>774.9117249873425</v>
      </c>
      <c r="C572" s="169">
        <f t="shared" si="32"/>
        <v>437825.12461784849</v>
      </c>
      <c r="D572" s="153"/>
      <c r="E572" s="170">
        <v>565</v>
      </c>
      <c r="F572" s="162">
        <v>269.00508638565651</v>
      </c>
      <c r="G572" s="171">
        <f t="shared" si="33"/>
        <v>151987.87380789593</v>
      </c>
      <c r="I572" s="168">
        <v>565</v>
      </c>
      <c r="J572" s="167">
        <f>ROUND(B572*('Model Data Inputs'!$E$184*'Model Data Inputs'!$E$185*'Model Data Inputs'!$E$186*'Model Data Inputs'!$E$187),2)</f>
        <v>774.91</v>
      </c>
      <c r="K572" s="169">
        <f t="shared" si="34"/>
        <v>437824.14999999997</v>
      </c>
      <c r="L572" s="153"/>
      <c r="M572" s="170">
        <v>565</v>
      </c>
      <c r="N572" s="164">
        <f>ROUND(F572*('Model Data Inputs'!$E$184*'Model Data Inputs'!$E$185*'Model Data Inputs'!$E$186*'Model Data Inputs'!$E$187),2)</f>
        <v>269.01</v>
      </c>
      <c r="O572" s="171">
        <f t="shared" si="35"/>
        <v>151990.65</v>
      </c>
    </row>
    <row r="573" spans="1:15" x14ac:dyDescent="0.2">
      <c r="A573" s="168">
        <v>566</v>
      </c>
      <c r="B573" s="159">
        <v>773.96786297259212</v>
      </c>
      <c r="C573" s="169">
        <f t="shared" si="32"/>
        <v>438065.81044248713</v>
      </c>
      <c r="D573" s="153"/>
      <c r="E573" s="170">
        <v>566</v>
      </c>
      <c r="F573" s="162">
        <v>268.8918229438865</v>
      </c>
      <c r="G573" s="171">
        <f t="shared" si="33"/>
        <v>152192.77178623975</v>
      </c>
      <c r="I573" s="168">
        <v>566</v>
      </c>
      <c r="J573" s="167">
        <f>ROUND(B573*('Model Data Inputs'!$E$184*'Model Data Inputs'!$E$185*'Model Data Inputs'!$E$186*'Model Data Inputs'!$E$187),2)</f>
        <v>773.97</v>
      </c>
      <c r="K573" s="169">
        <f t="shared" si="34"/>
        <v>438067.02</v>
      </c>
      <c r="L573" s="153"/>
      <c r="M573" s="170">
        <v>566</v>
      </c>
      <c r="N573" s="164">
        <f>ROUND(F573*('Model Data Inputs'!$E$184*'Model Data Inputs'!$E$185*'Model Data Inputs'!$E$186*'Model Data Inputs'!$E$187),2)</f>
        <v>268.89</v>
      </c>
      <c r="O573" s="171">
        <f t="shared" si="35"/>
        <v>152191.74</v>
      </c>
    </row>
    <row r="574" spans="1:15" x14ac:dyDescent="0.2">
      <c r="A574" s="168">
        <v>567</v>
      </c>
      <c r="B574" s="159">
        <v>773.02400095784162</v>
      </c>
      <c r="C574" s="169">
        <f t="shared" si="32"/>
        <v>438304.60854309623</v>
      </c>
      <c r="D574" s="153"/>
      <c r="E574" s="170">
        <v>567</v>
      </c>
      <c r="F574" s="162">
        <v>268.77855950211637</v>
      </c>
      <c r="G574" s="171">
        <f t="shared" si="33"/>
        <v>152397.44323769998</v>
      </c>
      <c r="I574" s="168">
        <v>567</v>
      </c>
      <c r="J574" s="167">
        <f>ROUND(B574*('Model Data Inputs'!$E$184*'Model Data Inputs'!$E$185*'Model Data Inputs'!$E$186*'Model Data Inputs'!$E$187),2)</f>
        <v>773.02</v>
      </c>
      <c r="K574" s="169">
        <f t="shared" si="34"/>
        <v>438302.33999999997</v>
      </c>
      <c r="L574" s="153"/>
      <c r="M574" s="170">
        <v>567</v>
      </c>
      <c r="N574" s="164">
        <f>ROUND(F574*('Model Data Inputs'!$E$184*'Model Data Inputs'!$E$185*'Model Data Inputs'!$E$186*'Model Data Inputs'!$E$187),2)</f>
        <v>268.77999999999997</v>
      </c>
      <c r="O574" s="171">
        <f t="shared" si="35"/>
        <v>152398.25999999998</v>
      </c>
    </row>
    <row r="575" spans="1:15" x14ac:dyDescent="0.2">
      <c r="A575" s="168">
        <v>568</v>
      </c>
      <c r="B575" s="159">
        <v>772.08013894309124</v>
      </c>
      <c r="C575" s="169">
        <f t="shared" si="32"/>
        <v>438541.51891967584</v>
      </c>
      <c r="D575" s="153"/>
      <c r="E575" s="170">
        <v>568</v>
      </c>
      <c r="F575" s="162">
        <v>268.66529606034624</v>
      </c>
      <c r="G575" s="171">
        <f t="shared" si="33"/>
        <v>152601.88816227665</v>
      </c>
      <c r="I575" s="168">
        <v>568</v>
      </c>
      <c r="J575" s="167">
        <f>ROUND(B575*('Model Data Inputs'!$E$184*'Model Data Inputs'!$E$185*'Model Data Inputs'!$E$186*'Model Data Inputs'!$E$187),2)</f>
        <v>772.08</v>
      </c>
      <c r="K575" s="169">
        <f t="shared" si="34"/>
        <v>438541.44</v>
      </c>
      <c r="L575" s="153"/>
      <c r="M575" s="170">
        <v>568</v>
      </c>
      <c r="N575" s="164">
        <f>ROUND(F575*('Model Data Inputs'!$E$184*'Model Data Inputs'!$E$185*'Model Data Inputs'!$E$186*'Model Data Inputs'!$E$187),2)</f>
        <v>268.67</v>
      </c>
      <c r="O575" s="171">
        <f t="shared" si="35"/>
        <v>152604.56</v>
      </c>
    </row>
    <row r="576" spans="1:15" x14ac:dyDescent="0.2">
      <c r="A576" s="168">
        <v>569</v>
      </c>
      <c r="B576" s="159">
        <v>771.13627692834098</v>
      </c>
      <c r="C576" s="169">
        <f t="shared" si="32"/>
        <v>438776.54157222604</v>
      </c>
      <c r="D576" s="153"/>
      <c r="E576" s="170">
        <v>569</v>
      </c>
      <c r="F576" s="162">
        <v>268.55203261857628</v>
      </c>
      <c r="G576" s="171">
        <f t="shared" si="33"/>
        <v>152806.10655996989</v>
      </c>
      <c r="I576" s="168">
        <v>569</v>
      </c>
      <c r="J576" s="167">
        <f>ROUND(B576*('Model Data Inputs'!$E$184*'Model Data Inputs'!$E$185*'Model Data Inputs'!$E$186*'Model Data Inputs'!$E$187),2)</f>
        <v>771.14</v>
      </c>
      <c r="K576" s="169">
        <f t="shared" si="34"/>
        <v>438778.66</v>
      </c>
      <c r="L576" s="153"/>
      <c r="M576" s="170">
        <v>569</v>
      </c>
      <c r="N576" s="164">
        <f>ROUND(F576*('Model Data Inputs'!$E$184*'Model Data Inputs'!$E$185*'Model Data Inputs'!$E$186*'Model Data Inputs'!$E$187),2)</f>
        <v>268.55</v>
      </c>
      <c r="O576" s="171">
        <f t="shared" si="35"/>
        <v>152804.95000000001</v>
      </c>
    </row>
    <row r="577" spans="1:15" x14ac:dyDescent="0.2">
      <c r="A577" s="168">
        <v>570</v>
      </c>
      <c r="B577" s="159">
        <v>770.19241491359048</v>
      </c>
      <c r="C577" s="169">
        <f t="shared" si="32"/>
        <v>439009.67650074657</v>
      </c>
      <c r="D577" s="153"/>
      <c r="E577" s="170">
        <v>570</v>
      </c>
      <c r="F577" s="162">
        <v>268.4387691768062</v>
      </c>
      <c r="G577" s="171">
        <f t="shared" si="33"/>
        <v>153010.09843077953</v>
      </c>
      <c r="I577" s="168">
        <v>570</v>
      </c>
      <c r="J577" s="167">
        <f>ROUND(B577*('Model Data Inputs'!$E$184*'Model Data Inputs'!$E$185*'Model Data Inputs'!$E$186*'Model Data Inputs'!$E$187),2)</f>
        <v>770.19</v>
      </c>
      <c r="K577" s="169">
        <f t="shared" si="34"/>
        <v>439008.30000000005</v>
      </c>
      <c r="L577" s="153"/>
      <c r="M577" s="170">
        <v>570</v>
      </c>
      <c r="N577" s="164">
        <f>ROUND(F577*('Model Data Inputs'!$E$184*'Model Data Inputs'!$E$185*'Model Data Inputs'!$E$186*'Model Data Inputs'!$E$187),2)</f>
        <v>268.44</v>
      </c>
      <c r="O577" s="171">
        <f t="shared" si="35"/>
        <v>153010.79999999999</v>
      </c>
    </row>
    <row r="578" spans="1:15" x14ac:dyDescent="0.2">
      <c r="A578" s="168">
        <v>571</v>
      </c>
      <c r="B578" s="159">
        <v>769.24855289884022</v>
      </c>
      <c r="C578" s="169">
        <f t="shared" si="32"/>
        <v>439240.92370523774</v>
      </c>
      <c r="D578" s="153"/>
      <c r="E578" s="170">
        <v>571</v>
      </c>
      <c r="F578" s="162">
        <v>268.32550573503613</v>
      </c>
      <c r="G578" s="171">
        <f t="shared" si="33"/>
        <v>153213.86377470562</v>
      </c>
      <c r="I578" s="168">
        <v>571</v>
      </c>
      <c r="J578" s="167">
        <f>ROUND(B578*('Model Data Inputs'!$E$184*'Model Data Inputs'!$E$185*'Model Data Inputs'!$E$186*'Model Data Inputs'!$E$187),2)</f>
        <v>769.25</v>
      </c>
      <c r="K578" s="169">
        <f t="shared" si="34"/>
        <v>439241.75</v>
      </c>
      <c r="L578" s="153"/>
      <c r="M578" s="170">
        <v>571</v>
      </c>
      <c r="N578" s="164">
        <f>ROUND(F578*('Model Data Inputs'!$E$184*'Model Data Inputs'!$E$185*'Model Data Inputs'!$E$186*'Model Data Inputs'!$E$187),2)</f>
        <v>268.33</v>
      </c>
      <c r="O578" s="171">
        <f t="shared" si="35"/>
        <v>153216.43</v>
      </c>
    </row>
    <row r="579" spans="1:15" x14ac:dyDescent="0.2">
      <c r="A579" s="168">
        <v>572</v>
      </c>
      <c r="B579" s="159">
        <v>768.30469088408984</v>
      </c>
      <c r="C579" s="169">
        <f t="shared" si="32"/>
        <v>439470.28318569937</v>
      </c>
      <c r="D579" s="153"/>
      <c r="E579" s="170">
        <v>572</v>
      </c>
      <c r="F579" s="162">
        <v>268.21224229326617</v>
      </c>
      <c r="G579" s="171">
        <f t="shared" si="33"/>
        <v>153417.40259174825</v>
      </c>
      <c r="I579" s="168">
        <v>572</v>
      </c>
      <c r="J579" s="167">
        <f>ROUND(B579*('Model Data Inputs'!$E$184*'Model Data Inputs'!$E$185*'Model Data Inputs'!$E$186*'Model Data Inputs'!$E$187),2)</f>
        <v>768.3</v>
      </c>
      <c r="K579" s="169">
        <f t="shared" si="34"/>
        <v>439467.6</v>
      </c>
      <c r="L579" s="153"/>
      <c r="M579" s="170">
        <v>572</v>
      </c>
      <c r="N579" s="164">
        <f>ROUND(F579*('Model Data Inputs'!$E$184*'Model Data Inputs'!$E$185*'Model Data Inputs'!$E$186*'Model Data Inputs'!$E$187),2)</f>
        <v>268.20999999999998</v>
      </c>
      <c r="O579" s="171">
        <f t="shared" si="35"/>
        <v>153416.12</v>
      </c>
    </row>
    <row r="580" spans="1:15" x14ac:dyDescent="0.2">
      <c r="A580" s="168">
        <v>573</v>
      </c>
      <c r="B580" s="159">
        <v>767.36082886933946</v>
      </c>
      <c r="C580" s="169">
        <f t="shared" si="32"/>
        <v>439697.75494213152</v>
      </c>
      <c r="D580" s="153"/>
      <c r="E580" s="170">
        <v>573</v>
      </c>
      <c r="F580" s="162">
        <v>268.09897885149616</v>
      </c>
      <c r="G580" s="171">
        <f t="shared" si="33"/>
        <v>153620.7148819073</v>
      </c>
      <c r="I580" s="168">
        <v>573</v>
      </c>
      <c r="J580" s="167">
        <f>ROUND(B580*('Model Data Inputs'!$E$184*'Model Data Inputs'!$E$185*'Model Data Inputs'!$E$186*'Model Data Inputs'!$E$187),2)</f>
        <v>767.36</v>
      </c>
      <c r="K580" s="169">
        <f t="shared" si="34"/>
        <v>439697.28</v>
      </c>
      <c r="L580" s="153"/>
      <c r="M580" s="170">
        <v>573</v>
      </c>
      <c r="N580" s="164">
        <f>ROUND(F580*('Model Data Inputs'!$E$184*'Model Data Inputs'!$E$185*'Model Data Inputs'!$E$186*'Model Data Inputs'!$E$187),2)</f>
        <v>268.10000000000002</v>
      </c>
      <c r="O580" s="171">
        <f t="shared" si="35"/>
        <v>153621.30000000002</v>
      </c>
    </row>
    <row r="581" spans="1:15" x14ac:dyDescent="0.2">
      <c r="A581" s="168">
        <v>574</v>
      </c>
      <c r="B581" s="159">
        <v>766.41696685458896</v>
      </c>
      <c r="C581" s="169">
        <f t="shared" si="32"/>
        <v>439923.33897453407</v>
      </c>
      <c r="D581" s="153"/>
      <c r="E581" s="170">
        <v>574</v>
      </c>
      <c r="F581" s="162">
        <v>267.98571540972603</v>
      </c>
      <c r="G581" s="171">
        <f t="shared" si="33"/>
        <v>153823.80064518275</v>
      </c>
      <c r="I581" s="168">
        <v>574</v>
      </c>
      <c r="J581" s="167">
        <f>ROUND(B581*('Model Data Inputs'!$E$184*'Model Data Inputs'!$E$185*'Model Data Inputs'!$E$186*'Model Data Inputs'!$E$187),2)</f>
        <v>766.42</v>
      </c>
      <c r="K581" s="169">
        <f t="shared" si="34"/>
        <v>439925.07999999996</v>
      </c>
      <c r="L581" s="153"/>
      <c r="M581" s="170">
        <v>574</v>
      </c>
      <c r="N581" s="164">
        <f>ROUND(F581*('Model Data Inputs'!$E$184*'Model Data Inputs'!$E$185*'Model Data Inputs'!$E$186*'Model Data Inputs'!$E$187),2)</f>
        <v>267.99</v>
      </c>
      <c r="O581" s="171">
        <f t="shared" si="35"/>
        <v>153826.26</v>
      </c>
    </row>
    <row r="582" spans="1:15" x14ac:dyDescent="0.2">
      <c r="A582" s="168">
        <v>575</v>
      </c>
      <c r="B582" s="159">
        <v>765.47310483983858</v>
      </c>
      <c r="C582" s="169">
        <f t="shared" si="32"/>
        <v>440147.03528290719</v>
      </c>
      <c r="D582" s="153"/>
      <c r="E582" s="170">
        <v>575</v>
      </c>
      <c r="F582" s="162">
        <v>267.87245196795601</v>
      </c>
      <c r="G582" s="171">
        <f t="shared" si="33"/>
        <v>154026.65988157471</v>
      </c>
      <c r="I582" s="168">
        <v>575</v>
      </c>
      <c r="J582" s="167">
        <f>ROUND(B582*('Model Data Inputs'!$E$184*'Model Data Inputs'!$E$185*'Model Data Inputs'!$E$186*'Model Data Inputs'!$E$187),2)</f>
        <v>765.47</v>
      </c>
      <c r="K582" s="169">
        <f t="shared" si="34"/>
        <v>440145.25</v>
      </c>
      <c r="L582" s="153"/>
      <c r="M582" s="170">
        <v>575</v>
      </c>
      <c r="N582" s="164">
        <f>ROUND(F582*('Model Data Inputs'!$E$184*'Model Data Inputs'!$E$185*'Model Data Inputs'!$E$186*'Model Data Inputs'!$E$187),2)</f>
        <v>267.87</v>
      </c>
      <c r="O582" s="171">
        <f t="shared" si="35"/>
        <v>154025.25</v>
      </c>
    </row>
    <row r="583" spans="1:15" x14ac:dyDescent="0.2">
      <c r="A583" s="168">
        <v>576</v>
      </c>
      <c r="B583" s="159">
        <v>764.52924282508843</v>
      </c>
      <c r="C583" s="169">
        <f t="shared" si="32"/>
        <v>440368.84386725095</v>
      </c>
      <c r="D583" s="153"/>
      <c r="E583" s="170">
        <v>576</v>
      </c>
      <c r="F583" s="162">
        <v>267.75918852618599</v>
      </c>
      <c r="G583" s="171">
        <f t="shared" si="33"/>
        <v>154229.29259108313</v>
      </c>
      <c r="I583" s="168">
        <v>576</v>
      </c>
      <c r="J583" s="167">
        <f>ROUND(B583*('Model Data Inputs'!$E$184*'Model Data Inputs'!$E$185*'Model Data Inputs'!$E$186*'Model Data Inputs'!$E$187),2)</f>
        <v>764.53</v>
      </c>
      <c r="K583" s="169">
        <f t="shared" si="34"/>
        <v>440369.27999999997</v>
      </c>
      <c r="L583" s="153"/>
      <c r="M583" s="170">
        <v>576</v>
      </c>
      <c r="N583" s="164">
        <f>ROUND(F583*('Model Data Inputs'!$E$184*'Model Data Inputs'!$E$185*'Model Data Inputs'!$E$186*'Model Data Inputs'!$E$187),2)</f>
        <v>267.76</v>
      </c>
      <c r="O583" s="171">
        <f t="shared" si="35"/>
        <v>154229.76000000001</v>
      </c>
    </row>
    <row r="584" spans="1:15" x14ac:dyDescent="0.2">
      <c r="A584" s="168">
        <v>577</v>
      </c>
      <c r="B584" s="159">
        <v>763.58538081033794</v>
      </c>
      <c r="C584" s="169">
        <f t="shared" ref="C584:C647" si="36">A584*B584</f>
        <v>440588.76472756499</v>
      </c>
      <c r="D584" s="153"/>
      <c r="E584" s="170">
        <v>577</v>
      </c>
      <c r="F584" s="162">
        <v>267.64592508441586</v>
      </c>
      <c r="G584" s="171">
        <f t="shared" ref="G584:G647" si="37">E584*F584</f>
        <v>154431.69877370796</v>
      </c>
      <c r="I584" s="168">
        <v>577</v>
      </c>
      <c r="J584" s="167">
        <f>ROUND(B584*('Model Data Inputs'!$E$184*'Model Data Inputs'!$E$185*'Model Data Inputs'!$E$186*'Model Data Inputs'!$E$187),2)</f>
        <v>763.59</v>
      </c>
      <c r="K584" s="169">
        <f t="shared" ref="K584:K647" si="38">I584*J584</f>
        <v>440591.43</v>
      </c>
      <c r="L584" s="153"/>
      <c r="M584" s="170">
        <v>577</v>
      </c>
      <c r="N584" s="164">
        <f>ROUND(F584*('Model Data Inputs'!$E$184*'Model Data Inputs'!$E$185*'Model Data Inputs'!$E$186*'Model Data Inputs'!$E$187),2)</f>
        <v>267.64999999999998</v>
      </c>
      <c r="O584" s="171">
        <f t="shared" ref="O584:O647" si="39">M584*N584</f>
        <v>154434.04999999999</v>
      </c>
    </row>
    <row r="585" spans="1:15" x14ac:dyDescent="0.2">
      <c r="A585" s="168">
        <v>578</v>
      </c>
      <c r="B585" s="159">
        <v>762.64151879558756</v>
      </c>
      <c r="C585" s="169">
        <f t="shared" si="36"/>
        <v>440806.79786384961</v>
      </c>
      <c r="D585" s="153"/>
      <c r="E585" s="170">
        <v>578</v>
      </c>
      <c r="F585" s="162">
        <v>267.53266164264591</v>
      </c>
      <c r="G585" s="171">
        <f t="shared" si="37"/>
        <v>154633.87842944934</v>
      </c>
      <c r="I585" s="168">
        <v>578</v>
      </c>
      <c r="J585" s="167">
        <f>ROUND(B585*('Model Data Inputs'!$E$184*'Model Data Inputs'!$E$185*'Model Data Inputs'!$E$186*'Model Data Inputs'!$E$187),2)</f>
        <v>762.64</v>
      </c>
      <c r="K585" s="169">
        <f t="shared" si="38"/>
        <v>440805.92</v>
      </c>
      <c r="L585" s="153"/>
      <c r="M585" s="170">
        <v>578</v>
      </c>
      <c r="N585" s="164">
        <f>ROUND(F585*('Model Data Inputs'!$E$184*'Model Data Inputs'!$E$185*'Model Data Inputs'!$E$186*'Model Data Inputs'!$E$187),2)</f>
        <v>267.52999999999997</v>
      </c>
      <c r="O585" s="171">
        <f t="shared" si="39"/>
        <v>154632.34</v>
      </c>
    </row>
    <row r="586" spans="1:15" x14ac:dyDescent="0.2">
      <c r="A586" s="168">
        <v>579</v>
      </c>
      <c r="B586" s="159">
        <v>761.69765678083718</v>
      </c>
      <c r="C586" s="169">
        <f t="shared" si="36"/>
        <v>441022.94327610475</v>
      </c>
      <c r="D586" s="153"/>
      <c r="E586" s="170">
        <v>579</v>
      </c>
      <c r="F586" s="162">
        <v>267.41939820087589</v>
      </c>
      <c r="G586" s="171">
        <f t="shared" si="37"/>
        <v>154835.83155830714</v>
      </c>
      <c r="I586" s="168">
        <v>579</v>
      </c>
      <c r="J586" s="167">
        <f>ROUND(B586*('Model Data Inputs'!$E$184*'Model Data Inputs'!$E$185*'Model Data Inputs'!$E$186*'Model Data Inputs'!$E$187),2)</f>
        <v>761.7</v>
      </c>
      <c r="K586" s="169">
        <f t="shared" si="38"/>
        <v>441024.30000000005</v>
      </c>
      <c r="L586" s="153"/>
      <c r="M586" s="170">
        <v>579</v>
      </c>
      <c r="N586" s="164">
        <f>ROUND(F586*('Model Data Inputs'!$E$184*'Model Data Inputs'!$E$185*'Model Data Inputs'!$E$186*'Model Data Inputs'!$E$187),2)</f>
        <v>267.42</v>
      </c>
      <c r="O586" s="171">
        <f t="shared" si="39"/>
        <v>154836.18000000002</v>
      </c>
    </row>
    <row r="587" spans="1:15" x14ac:dyDescent="0.2">
      <c r="A587" s="168">
        <v>580</v>
      </c>
      <c r="B587" s="159">
        <v>760.75379476608668</v>
      </c>
      <c r="C587" s="169">
        <f t="shared" si="36"/>
        <v>441237.20096433029</v>
      </c>
      <c r="D587" s="153"/>
      <c r="E587" s="170">
        <v>580</v>
      </c>
      <c r="F587" s="162">
        <v>267.3061347591057</v>
      </c>
      <c r="G587" s="171">
        <f t="shared" si="37"/>
        <v>155037.5581602813</v>
      </c>
      <c r="I587" s="168">
        <v>580</v>
      </c>
      <c r="J587" s="167">
        <f>ROUND(B587*('Model Data Inputs'!$E$184*'Model Data Inputs'!$E$185*'Model Data Inputs'!$E$186*'Model Data Inputs'!$E$187),2)</f>
        <v>760.75</v>
      </c>
      <c r="K587" s="169">
        <f t="shared" si="38"/>
        <v>441235</v>
      </c>
      <c r="L587" s="153"/>
      <c r="M587" s="170">
        <v>580</v>
      </c>
      <c r="N587" s="164">
        <f>ROUND(F587*('Model Data Inputs'!$E$184*'Model Data Inputs'!$E$185*'Model Data Inputs'!$E$186*'Model Data Inputs'!$E$187),2)</f>
        <v>267.31</v>
      </c>
      <c r="O587" s="171">
        <f t="shared" si="39"/>
        <v>155039.79999999999</v>
      </c>
    </row>
    <row r="588" spans="1:15" x14ac:dyDescent="0.2">
      <c r="A588" s="168">
        <v>581</v>
      </c>
      <c r="B588" s="159">
        <v>759.80993275133631</v>
      </c>
      <c r="C588" s="169">
        <f t="shared" si="36"/>
        <v>441449.5709285264</v>
      </c>
      <c r="D588" s="153"/>
      <c r="E588" s="170">
        <v>581</v>
      </c>
      <c r="F588" s="162">
        <v>267.19287131733574</v>
      </c>
      <c r="G588" s="171">
        <f t="shared" si="37"/>
        <v>155239.05823537207</v>
      </c>
      <c r="I588" s="168">
        <v>581</v>
      </c>
      <c r="J588" s="167">
        <f>ROUND(B588*('Model Data Inputs'!$E$184*'Model Data Inputs'!$E$185*'Model Data Inputs'!$E$186*'Model Data Inputs'!$E$187),2)</f>
        <v>759.81</v>
      </c>
      <c r="K588" s="169">
        <f t="shared" si="38"/>
        <v>441449.61</v>
      </c>
      <c r="L588" s="153"/>
      <c r="M588" s="170">
        <v>581</v>
      </c>
      <c r="N588" s="164">
        <f>ROUND(F588*('Model Data Inputs'!$E$184*'Model Data Inputs'!$E$185*'Model Data Inputs'!$E$186*'Model Data Inputs'!$E$187),2)</f>
        <v>267.19</v>
      </c>
      <c r="O588" s="171">
        <f t="shared" si="39"/>
        <v>155237.38999999998</v>
      </c>
    </row>
    <row r="589" spans="1:15" x14ac:dyDescent="0.2">
      <c r="A589" s="168">
        <v>582</v>
      </c>
      <c r="B589" s="159">
        <v>758.86607073658615</v>
      </c>
      <c r="C589" s="169">
        <f t="shared" si="36"/>
        <v>441660.05316869315</v>
      </c>
      <c r="D589" s="153"/>
      <c r="E589" s="170">
        <v>582</v>
      </c>
      <c r="F589" s="162">
        <v>267.07960787556573</v>
      </c>
      <c r="G589" s="171">
        <f t="shared" si="37"/>
        <v>155440.33178357925</v>
      </c>
      <c r="I589" s="168">
        <v>582</v>
      </c>
      <c r="J589" s="167">
        <f>ROUND(B589*('Model Data Inputs'!$E$184*'Model Data Inputs'!$E$185*'Model Data Inputs'!$E$186*'Model Data Inputs'!$E$187),2)</f>
        <v>758.87</v>
      </c>
      <c r="K589" s="169">
        <f t="shared" si="38"/>
        <v>441662.34</v>
      </c>
      <c r="L589" s="153"/>
      <c r="M589" s="170">
        <v>582</v>
      </c>
      <c r="N589" s="164">
        <f>ROUND(F589*('Model Data Inputs'!$E$184*'Model Data Inputs'!$E$185*'Model Data Inputs'!$E$186*'Model Data Inputs'!$E$187),2)</f>
        <v>267.08</v>
      </c>
      <c r="O589" s="171">
        <f t="shared" si="39"/>
        <v>155440.56</v>
      </c>
    </row>
    <row r="590" spans="1:15" x14ac:dyDescent="0.2">
      <c r="A590" s="168">
        <v>583</v>
      </c>
      <c r="B590" s="159">
        <v>757.92220872183555</v>
      </c>
      <c r="C590" s="169">
        <f t="shared" si="36"/>
        <v>441868.64768483012</v>
      </c>
      <c r="D590" s="153"/>
      <c r="E590" s="170">
        <v>583</v>
      </c>
      <c r="F590" s="162">
        <v>266.96634443379565</v>
      </c>
      <c r="G590" s="171">
        <f t="shared" si="37"/>
        <v>155641.37880490287</v>
      </c>
      <c r="I590" s="168">
        <v>583</v>
      </c>
      <c r="J590" s="167">
        <f>ROUND(B590*('Model Data Inputs'!$E$184*'Model Data Inputs'!$E$185*'Model Data Inputs'!$E$186*'Model Data Inputs'!$E$187),2)</f>
        <v>757.92</v>
      </c>
      <c r="K590" s="169">
        <f t="shared" si="38"/>
        <v>441867.36</v>
      </c>
      <c r="L590" s="153"/>
      <c r="M590" s="170">
        <v>583</v>
      </c>
      <c r="N590" s="164">
        <f>ROUND(F590*('Model Data Inputs'!$E$184*'Model Data Inputs'!$E$185*'Model Data Inputs'!$E$186*'Model Data Inputs'!$E$187),2)</f>
        <v>266.97000000000003</v>
      </c>
      <c r="O590" s="171">
        <f t="shared" si="39"/>
        <v>155643.51</v>
      </c>
    </row>
    <row r="591" spans="1:15" x14ac:dyDescent="0.2">
      <c r="A591" s="168">
        <v>584</v>
      </c>
      <c r="B591" s="159">
        <v>756.97834670708539</v>
      </c>
      <c r="C591" s="169">
        <f t="shared" si="36"/>
        <v>442075.35447693785</v>
      </c>
      <c r="D591" s="153"/>
      <c r="E591" s="170">
        <v>584</v>
      </c>
      <c r="F591" s="162">
        <v>266.85308099202564</v>
      </c>
      <c r="G591" s="171">
        <f t="shared" si="37"/>
        <v>155842.19929934296</v>
      </c>
      <c r="I591" s="168">
        <v>584</v>
      </c>
      <c r="J591" s="167">
        <f>ROUND(B591*('Model Data Inputs'!$E$184*'Model Data Inputs'!$E$185*'Model Data Inputs'!$E$186*'Model Data Inputs'!$E$187),2)</f>
        <v>756.98</v>
      </c>
      <c r="K591" s="169">
        <f t="shared" si="38"/>
        <v>442076.32</v>
      </c>
      <c r="L591" s="153"/>
      <c r="M591" s="170">
        <v>584</v>
      </c>
      <c r="N591" s="164">
        <f>ROUND(F591*('Model Data Inputs'!$E$184*'Model Data Inputs'!$E$185*'Model Data Inputs'!$E$186*'Model Data Inputs'!$E$187),2)</f>
        <v>266.85000000000002</v>
      </c>
      <c r="O591" s="171">
        <f t="shared" si="39"/>
        <v>155840.40000000002</v>
      </c>
    </row>
    <row r="592" spans="1:15" x14ac:dyDescent="0.2">
      <c r="A592" s="168">
        <v>585</v>
      </c>
      <c r="B592" s="159">
        <v>756.03448469233479</v>
      </c>
      <c r="C592" s="169">
        <f t="shared" si="36"/>
        <v>442280.17354501586</v>
      </c>
      <c r="D592" s="153"/>
      <c r="E592" s="170">
        <v>585</v>
      </c>
      <c r="F592" s="162">
        <v>266.73981755025557</v>
      </c>
      <c r="G592" s="171">
        <f t="shared" si="37"/>
        <v>156042.79326689951</v>
      </c>
      <c r="I592" s="168">
        <v>585</v>
      </c>
      <c r="J592" s="167">
        <f>ROUND(B592*('Model Data Inputs'!$E$184*'Model Data Inputs'!$E$185*'Model Data Inputs'!$E$186*'Model Data Inputs'!$E$187),2)</f>
        <v>756.03</v>
      </c>
      <c r="K592" s="169">
        <f t="shared" si="38"/>
        <v>442277.55</v>
      </c>
      <c r="L592" s="153"/>
      <c r="M592" s="170">
        <v>585</v>
      </c>
      <c r="N592" s="164">
        <f>ROUND(F592*('Model Data Inputs'!$E$184*'Model Data Inputs'!$E$185*'Model Data Inputs'!$E$186*'Model Data Inputs'!$E$187),2)</f>
        <v>266.74</v>
      </c>
      <c r="O592" s="171">
        <f t="shared" si="39"/>
        <v>156042.9</v>
      </c>
    </row>
    <row r="593" spans="1:15" x14ac:dyDescent="0.2">
      <c r="A593" s="168">
        <v>586</v>
      </c>
      <c r="B593" s="159">
        <v>755.09062267758452</v>
      </c>
      <c r="C593" s="169">
        <f t="shared" si="36"/>
        <v>442483.1048890645</v>
      </c>
      <c r="D593" s="153"/>
      <c r="E593" s="170">
        <v>586</v>
      </c>
      <c r="F593" s="162">
        <v>266.62655410848544</v>
      </c>
      <c r="G593" s="171">
        <f t="shared" si="37"/>
        <v>156243.16070757248</v>
      </c>
      <c r="I593" s="168">
        <v>586</v>
      </c>
      <c r="J593" s="167">
        <f>ROUND(B593*('Model Data Inputs'!$E$184*'Model Data Inputs'!$E$185*'Model Data Inputs'!$E$186*'Model Data Inputs'!$E$187),2)</f>
        <v>755.09</v>
      </c>
      <c r="K593" s="169">
        <f t="shared" si="38"/>
        <v>442482.74</v>
      </c>
      <c r="L593" s="153"/>
      <c r="M593" s="170">
        <v>586</v>
      </c>
      <c r="N593" s="164">
        <f>ROUND(F593*('Model Data Inputs'!$E$184*'Model Data Inputs'!$E$185*'Model Data Inputs'!$E$186*'Model Data Inputs'!$E$187),2)</f>
        <v>266.63</v>
      </c>
      <c r="O593" s="171">
        <f t="shared" si="39"/>
        <v>156245.18</v>
      </c>
    </row>
    <row r="594" spans="1:15" x14ac:dyDescent="0.2">
      <c r="A594" s="168">
        <v>587</v>
      </c>
      <c r="B594" s="159">
        <v>754.14676066283414</v>
      </c>
      <c r="C594" s="169">
        <f t="shared" si="36"/>
        <v>442684.14850908366</v>
      </c>
      <c r="D594" s="153"/>
      <c r="E594" s="170">
        <v>587</v>
      </c>
      <c r="F594" s="162">
        <v>266.51329066671548</v>
      </c>
      <c r="G594" s="171">
        <f t="shared" si="37"/>
        <v>156443.30162136198</v>
      </c>
      <c r="I594" s="168">
        <v>587</v>
      </c>
      <c r="J594" s="167">
        <f>ROUND(B594*('Model Data Inputs'!$E$184*'Model Data Inputs'!$E$185*'Model Data Inputs'!$E$186*'Model Data Inputs'!$E$187),2)</f>
        <v>754.15</v>
      </c>
      <c r="K594" s="169">
        <f t="shared" si="38"/>
        <v>442686.05</v>
      </c>
      <c r="L594" s="153"/>
      <c r="M594" s="170">
        <v>587</v>
      </c>
      <c r="N594" s="164">
        <f>ROUND(F594*('Model Data Inputs'!$E$184*'Model Data Inputs'!$E$185*'Model Data Inputs'!$E$186*'Model Data Inputs'!$E$187),2)</f>
        <v>266.51</v>
      </c>
      <c r="O594" s="171">
        <f t="shared" si="39"/>
        <v>156441.37</v>
      </c>
    </row>
    <row r="595" spans="1:15" x14ac:dyDescent="0.2">
      <c r="A595" s="168">
        <v>588</v>
      </c>
      <c r="B595" s="159">
        <v>753.20289864808387</v>
      </c>
      <c r="C595" s="169">
        <f t="shared" si="36"/>
        <v>442883.30440507334</v>
      </c>
      <c r="D595" s="153"/>
      <c r="E595" s="170">
        <v>588</v>
      </c>
      <c r="F595" s="162">
        <v>266.40002722494535</v>
      </c>
      <c r="G595" s="171">
        <f t="shared" si="37"/>
        <v>156643.21600826786</v>
      </c>
      <c r="I595" s="168">
        <v>588</v>
      </c>
      <c r="J595" s="167">
        <f>ROUND(B595*('Model Data Inputs'!$E$184*'Model Data Inputs'!$E$185*'Model Data Inputs'!$E$186*'Model Data Inputs'!$E$187),2)</f>
        <v>753.2</v>
      </c>
      <c r="K595" s="169">
        <f t="shared" si="38"/>
        <v>442881.60000000003</v>
      </c>
      <c r="L595" s="153"/>
      <c r="M595" s="170">
        <v>588</v>
      </c>
      <c r="N595" s="164">
        <f>ROUND(F595*('Model Data Inputs'!$E$184*'Model Data Inputs'!$E$185*'Model Data Inputs'!$E$186*'Model Data Inputs'!$E$187),2)</f>
        <v>266.39999999999998</v>
      </c>
      <c r="O595" s="171">
        <f t="shared" si="39"/>
        <v>156643.19999999998</v>
      </c>
    </row>
    <row r="596" spans="1:15" x14ac:dyDescent="0.2">
      <c r="A596" s="168">
        <v>589</v>
      </c>
      <c r="B596" s="159">
        <v>752.25903663333338</v>
      </c>
      <c r="C596" s="169">
        <f t="shared" si="36"/>
        <v>443080.57257703337</v>
      </c>
      <c r="D596" s="153"/>
      <c r="E596" s="170">
        <v>589</v>
      </c>
      <c r="F596" s="162">
        <v>266.28676378317539</v>
      </c>
      <c r="G596" s="171">
        <f t="shared" si="37"/>
        <v>156842.9038682903</v>
      </c>
      <c r="I596" s="168">
        <v>589</v>
      </c>
      <c r="J596" s="167">
        <f>ROUND(B596*('Model Data Inputs'!$E$184*'Model Data Inputs'!$E$185*'Model Data Inputs'!$E$186*'Model Data Inputs'!$E$187),2)</f>
        <v>752.26</v>
      </c>
      <c r="K596" s="169">
        <f t="shared" si="38"/>
        <v>443081.14</v>
      </c>
      <c r="L596" s="153"/>
      <c r="M596" s="170">
        <v>589</v>
      </c>
      <c r="N596" s="164">
        <f>ROUND(F596*('Model Data Inputs'!$E$184*'Model Data Inputs'!$E$185*'Model Data Inputs'!$E$186*'Model Data Inputs'!$E$187),2)</f>
        <v>266.29000000000002</v>
      </c>
      <c r="O596" s="171">
        <f t="shared" si="39"/>
        <v>156844.81</v>
      </c>
    </row>
    <row r="597" spans="1:15" x14ac:dyDescent="0.2">
      <c r="A597" s="168">
        <v>590</v>
      </c>
      <c r="B597" s="159">
        <v>751.315174618583</v>
      </c>
      <c r="C597" s="169">
        <f t="shared" si="36"/>
        <v>443275.95302496396</v>
      </c>
      <c r="D597" s="153"/>
      <c r="E597" s="170">
        <v>590</v>
      </c>
      <c r="F597" s="162">
        <v>266.17350034140537</v>
      </c>
      <c r="G597" s="171">
        <f t="shared" si="37"/>
        <v>157042.36520142917</v>
      </c>
      <c r="I597" s="168">
        <v>590</v>
      </c>
      <c r="J597" s="167">
        <f>ROUND(B597*('Model Data Inputs'!$E$184*'Model Data Inputs'!$E$185*'Model Data Inputs'!$E$186*'Model Data Inputs'!$E$187),2)</f>
        <v>751.32</v>
      </c>
      <c r="K597" s="169">
        <f t="shared" si="38"/>
        <v>443278.80000000005</v>
      </c>
      <c r="L597" s="153"/>
      <c r="M597" s="170">
        <v>590</v>
      </c>
      <c r="N597" s="164">
        <f>ROUND(F597*('Model Data Inputs'!$E$184*'Model Data Inputs'!$E$185*'Model Data Inputs'!$E$186*'Model Data Inputs'!$E$187),2)</f>
        <v>266.17</v>
      </c>
      <c r="O597" s="171">
        <f t="shared" si="39"/>
        <v>157040.30000000002</v>
      </c>
    </row>
    <row r="598" spans="1:15" x14ac:dyDescent="0.2">
      <c r="A598" s="168">
        <v>591</v>
      </c>
      <c r="B598" s="159">
        <v>750.37131260383251</v>
      </c>
      <c r="C598" s="169">
        <f t="shared" si="36"/>
        <v>443469.44574886502</v>
      </c>
      <c r="D598" s="153"/>
      <c r="E598" s="170">
        <v>591</v>
      </c>
      <c r="F598" s="162">
        <v>266.06023689963536</v>
      </c>
      <c r="G598" s="171">
        <f t="shared" si="37"/>
        <v>157241.60000768449</v>
      </c>
      <c r="I598" s="168">
        <v>591</v>
      </c>
      <c r="J598" s="167">
        <f>ROUND(B598*('Model Data Inputs'!$E$184*'Model Data Inputs'!$E$185*'Model Data Inputs'!$E$186*'Model Data Inputs'!$E$187),2)</f>
        <v>750.37</v>
      </c>
      <c r="K598" s="169">
        <f t="shared" si="38"/>
        <v>443468.67</v>
      </c>
      <c r="L598" s="153"/>
      <c r="M598" s="170">
        <v>591</v>
      </c>
      <c r="N598" s="164">
        <f>ROUND(F598*('Model Data Inputs'!$E$184*'Model Data Inputs'!$E$185*'Model Data Inputs'!$E$186*'Model Data Inputs'!$E$187),2)</f>
        <v>266.06</v>
      </c>
      <c r="O598" s="171">
        <f t="shared" si="39"/>
        <v>157241.46</v>
      </c>
    </row>
    <row r="599" spans="1:15" x14ac:dyDescent="0.2">
      <c r="A599" s="168">
        <v>592</v>
      </c>
      <c r="B599" s="159">
        <v>749.42745058908235</v>
      </c>
      <c r="C599" s="169">
        <f t="shared" si="36"/>
        <v>443661.05074873677</v>
      </c>
      <c r="D599" s="153"/>
      <c r="E599" s="170">
        <v>592</v>
      </c>
      <c r="F599" s="162">
        <v>265.94697345786517</v>
      </c>
      <c r="G599" s="171">
        <f t="shared" si="37"/>
        <v>157440.60828705618</v>
      </c>
      <c r="I599" s="168">
        <v>592</v>
      </c>
      <c r="J599" s="167">
        <f>ROUND(B599*('Model Data Inputs'!$E$184*'Model Data Inputs'!$E$185*'Model Data Inputs'!$E$186*'Model Data Inputs'!$E$187),2)</f>
        <v>749.43</v>
      </c>
      <c r="K599" s="169">
        <f t="shared" si="38"/>
        <v>443662.56</v>
      </c>
      <c r="L599" s="153"/>
      <c r="M599" s="170">
        <v>592</v>
      </c>
      <c r="N599" s="164">
        <f>ROUND(F599*('Model Data Inputs'!$E$184*'Model Data Inputs'!$E$185*'Model Data Inputs'!$E$186*'Model Data Inputs'!$E$187),2)</f>
        <v>265.95</v>
      </c>
      <c r="O599" s="171">
        <f t="shared" si="39"/>
        <v>157442.4</v>
      </c>
    </row>
    <row r="600" spans="1:15" x14ac:dyDescent="0.2">
      <c r="A600" s="168">
        <v>593</v>
      </c>
      <c r="B600" s="159">
        <v>748.48358857433175</v>
      </c>
      <c r="C600" s="169">
        <f t="shared" si="36"/>
        <v>443850.76802457875</v>
      </c>
      <c r="D600" s="153"/>
      <c r="E600" s="170">
        <v>593</v>
      </c>
      <c r="F600" s="162">
        <v>265.83371001609515</v>
      </c>
      <c r="G600" s="171">
        <f t="shared" si="37"/>
        <v>157639.39003954444</v>
      </c>
      <c r="I600" s="168">
        <v>593</v>
      </c>
      <c r="J600" s="167">
        <f>ROUND(B600*('Model Data Inputs'!$E$184*'Model Data Inputs'!$E$185*'Model Data Inputs'!$E$186*'Model Data Inputs'!$E$187),2)</f>
        <v>748.48</v>
      </c>
      <c r="K600" s="169">
        <f t="shared" si="38"/>
        <v>443848.64</v>
      </c>
      <c r="L600" s="153"/>
      <c r="M600" s="170">
        <v>593</v>
      </c>
      <c r="N600" s="164">
        <f>ROUND(F600*('Model Data Inputs'!$E$184*'Model Data Inputs'!$E$185*'Model Data Inputs'!$E$186*'Model Data Inputs'!$E$187),2)</f>
        <v>265.83</v>
      </c>
      <c r="O600" s="171">
        <f t="shared" si="39"/>
        <v>157637.19</v>
      </c>
    </row>
    <row r="601" spans="1:15" x14ac:dyDescent="0.2">
      <c r="A601" s="168">
        <v>594</v>
      </c>
      <c r="B601" s="159">
        <v>747.5397265595816</v>
      </c>
      <c r="C601" s="169">
        <f t="shared" si="36"/>
        <v>444038.59757639148</v>
      </c>
      <c r="D601" s="153"/>
      <c r="E601" s="170">
        <v>594</v>
      </c>
      <c r="F601" s="162">
        <v>265.72044657432508</v>
      </c>
      <c r="G601" s="171">
        <f t="shared" si="37"/>
        <v>157837.94526514909</v>
      </c>
      <c r="I601" s="168">
        <v>594</v>
      </c>
      <c r="J601" s="167">
        <f>ROUND(B601*('Model Data Inputs'!$E$184*'Model Data Inputs'!$E$185*'Model Data Inputs'!$E$186*'Model Data Inputs'!$E$187),2)</f>
        <v>747.54</v>
      </c>
      <c r="K601" s="169">
        <f t="shared" si="38"/>
        <v>444038.75999999995</v>
      </c>
      <c r="L601" s="153"/>
      <c r="M601" s="170">
        <v>594</v>
      </c>
      <c r="N601" s="164">
        <f>ROUND(F601*('Model Data Inputs'!$E$184*'Model Data Inputs'!$E$185*'Model Data Inputs'!$E$186*'Model Data Inputs'!$E$187),2)</f>
        <v>265.72000000000003</v>
      </c>
      <c r="O601" s="171">
        <f t="shared" si="39"/>
        <v>157837.68000000002</v>
      </c>
    </row>
    <row r="602" spans="1:15" x14ac:dyDescent="0.2">
      <c r="A602" s="168">
        <v>595</v>
      </c>
      <c r="B602" s="159">
        <v>746.5958645448311</v>
      </c>
      <c r="C602" s="169">
        <f t="shared" si="36"/>
        <v>444224.53940417449</v>
      </c>
      <c r="D602" s="153"/>
      <c r="E602" s="170">
        <v>595</v>
      </c>
      <c r="F602" s="162">
        <v>265.60718313255506</v>
      </c>
      <c r="G602" s="171">
        <f t="shared" si="37"/>
        <v>158036.27396387028</v>
      </c>
      <c r="I602" s="168">
        <v>595</v>
      </c>
      <c r="J602" s="167">
        <f>ROUND(B602*('Model Data Inputs'!$E$184*'Model Data Inputs'!$E$185*'Model Data Inputs'!$E$186*'Model Data Inputs'!$E$187),2)</f>
        <v>746.6</v>
      </c>
      <c r="K602" s="169">
        <f t="shared" si="38"/>
        <v>444227</v>
      </c>
      <c r="L602" s="153"/>
      <c r="M602" s="170">
        <v>595</v>
      </c>
      <c r="N602" s="164">
        <f>ROUND(F602*('Model Data Inputs'!$E$184*'Model Data Inputs'!$E$185*'Model Data Inputs'!$E$186*'Model Data Inputs'!$E$187),2)</f>
        <v>265.61</v>
      </c>
      <c r="O602" s="171">
        <f t="shared" si="39"/>
        <v>158037.95000000001</v>
      </c>
    </row>
    <row r="603" spans="1:15" x14ac:dyDescent="0.2">
      <c r="A603" s="168">
        <v>596</v>
      </c>
      <c r="B603" s="159">
        <v>745.65200253008095</v>
      </c>
      <c r="C603" s="169">
        <f t="shared" si="36"/>
        <v>444408.59350792825</v>
      </c>
      <c r="D603" s="153"/>
      <c r="E603" s="170">
        <v>596</v>
      </c>
      <c r="F603" s="162">
        <v>265.49391969078505</v>
      </c>
      <c r="G603" s="171">
        <f t="shared" si="37"/>
        <v>158234.37613570789</v>
      </c>
      <c r="I603" s="168">
        <v>596</v>
      </c>
      <c r="J603" s="167">
        <f>ROUND(B603*('Model Data Inputs'!$E$184*'Model Data Inputs'!$E$185*'Model Data Inputs'!$E$186*'Model Data Inputs'!$E$187),2)</f>
        <v>745.65</v>
      </c>
      <c r="K603" s="169">
        <f t="shared" si="38"/>
        <v>444407.39999999997</v>
      </c>
      <c r="L603" s="153"/>
      <c r="M603" s="170">
        <v>596</v>
      </c>
      <c r="N603" s="164">
        <f>ROUND(F603*('Model Data Inputs'!$E$184*'Model Data Inputs'!$E$185*'Model Data Inputs'!$E$186*'Model Data Inputs'!$E$187),2)</f>
        <v>265.49</v>
      </c>
      <c r="O603" s="171">
        <f t="shared" si="39"/>
        <v>158232.04</v>
      </c>
    </row>
    <row r="604" spans="1:15" x14ac:dyDescent="0.2">
      <c r="A604" s="168">
        <v>597</v>
      </c>
      <c r="B604" s="159">
        <v>744.70814051533046</v>
      </c>
      <c r="C604" s="169">
        <f t="shared" si="36"/>
        <v>444590.7598876523</v>
      </c>
      <c r="D604" s="153"/>
      <c r="E604" s="170">
        <v>597</v>
      </c>
      <c r="F604" s="162">
        <v>265.38065624901503</v>
      </c>
      <c r="G604" s="171">
        <f t="shared" si="37"/>
        <v>158432.25178066199</v>
      </c>
      <c r="I604" s="168">
        <v>597</v>
      </c>
      <c r="J604" s="167">
        <f>ROUND(B604*('Model Data Inputs'!$E$184*'Model Data Inputs'!$E$185*'Model Data Inputs'!$E$186*'Model Data Inputs'!$E$187),2)</f>
        <v>744.71</v>
      </c>
      <c r="K604" s="169">
        <f t="shared" si="38"/>
        <v>444591.87</v>
      </c>
      <c r="L604" s="153"/>
      <c r="M604" s="170">
        <v>597</v>
      </c>
      <c r="N604" s="164">
        <f>ROUND(F604*('Model Data Inputs'!$E$184*'Model Data Inputs'!$E$185*'Model Data Inputs'!$E$186*'Model Data Inputs'!$E$187),2)</f>
        <v>265.38</v>
      </c>
      <c r="O604" s="171">
        <f t="shared" si="39"/>
        <v>158431.85999999999</v>
      </c>
    </row>
    <row r="605" spans="1:15" x14ac:dyDescent="0.2">
      <c r="A605" s="168">
        <v>598</v>
      </c>
      <c r="B605" s="159">
        <v>743.76427850058008</v>
      </c>
      <c r="C605" s="169">
        <f t="shared" si="36"/>
        <v>444771.03854334686</v>
      </c>
      <c r="D605" s="153"/>
      <c r="E605" s="170">
        <v>598</v>
      </c>
      <c r="F605" s="162">
        <v>265.26739280724502</v>
      </c>
      <c r="G605" s="171">
        <f t="shared" si="37"/>
        <v>158629.90089873251</v>
      </c>
      <c r="I605" s="168">
        <v>598</v>
      </c>
      <c r="J605" s="167">
        <f>ROUND(B605*('Model Data Inputs'!$E$184*'Model Data Inputs'!$E$185*'Model Data Inputs'!$E$186*'Model Data Inputs'!$E$187),2)</f>
        <v>743.76</v>
      </c>
      <c r="K605" s="169">
        <f t="shared" si="38"/>
        <v>444768.48</v>
      </c>
      <c r="L605" s="153"/>
      <c r="M605" s="170">
        <v>598</v>
      </c>
      <c r="N605" s="164">
        <f>ROUND(F605*('Model Data Inputs'!$E$184*'Model Data Inputs'!$E$185*'Model Data Inputs'!$E$186*'Model Data Inputs'!$E$187),2)</f>
        <v>265.27</v>
      </c>
      <c r="O605" s="171">
        <f t="shared" si="39"/>
        <v>158631.46</v>
      </c>
    </row>
    <row r="606" spans="1:15" x14ac:dyDescent="0.2">
      <c r="A606" s="168">
        <v>599</v>
      </c>
      <c r="B606" s="159">
        <v>742.82041648582958</v>
      </c>
      <c r="C606" s="169">
        <f t="shared" si="36"/>
        <v>444949.42947501194</v>
      </c>
      <c r="D606" s="153"/>
      <c r="E606" s="170">
        <v>599</v>
      </c>
      <c r="F606" s="162">
        <v>265.15412936547489</v>
      </c>
      <c r="G606" s="171">
        <f t="shared" si="37"/>
        <v>158827.32348991945</v>
      </c>
      <c r="I606" s="168">
        <v>599</v>
      </c>
      <c r="J606" s="167">
        <f>ROUND(B606*('Model Data Inputs'!$E$184*'Model Data Inputs'!$E$185*'Model Data Inputs'!$E$186*'Model Data Inputs'!$E$187),2)</f>
        <v>742.82</v>
      </c>
      <c r="K606" s="169">
        <f t="shared" si="38"/>
        <v>444949.18000000005</v>
      </c>
      <c r="L606" s="153"/>
      <c r="M606" s="170">
        <v>599</v>
      </c>
      <c r="N606" s="164">
        <f>ROUND(F606*('Model Data Inputs'!$E$184*'Model Data Inputs'!$E$185*'Model Data Inputs'!$E$186*'Model Data Inputs'!$E$187),2)</f>
        <v>265.14999999999998</v>
      </c>
      <c r="O606" s="171">
        <f t="shared" si="39"/>
        <v>158824.84999999998</v>
      </c>
    </row>
    <row r="607" spans="1:15" x14ac:dyDescent="0.2">
      <c r="A607" s="168">
        <v>600</v>
      </c>
      <c r="B607" s="159">
        <v>741.87655447107932</v>
      </c>
      <c r="C607" s="169">
        <f t="shared" si="36"/>
        <v>445125.9326826476</v>
      </c>
      <c r="D607" s="153"/>
      <c r="E607" s="170">
        <v>600</v>
      </c>
      <c r="F607" s="162">
        <v>265.04086592370481</v>
      </c>
      <c r="G607" s="171">
        <f t="shared" si="37"/>
        <v>159024.51955422288</v>
      </c>
      <c r="I607" s="168">
        <v>600</v>
      </c>
      <c r="J607" s="167">
        <f>ROUND(B607*('Model Data Inputs'!$E$184*'Model Data Inputs'!$E$185*'Model Data Inputs'!$E$186*'Model Data Inputs'!$E$187),2)</f>
        <v>741.88</v>
      </c>
      <c r="K607" s="169">
        <f t="shared" si="38"/>
        <v>445128</v>
      </c>
      <c r="L607" s="153"/>
      <c r="M607" s="170">
        <v>600</v>
      </c>
      <c r="N607" s="164">
        <f>ROUND(F607*('Model Data Inputs'!$E$184*'Model Data Inputs'!$E$185*'Model Data Inputs'!$E$186*'Model Data Inputs'!$E$187),2)</f>
        <v>265.04000000000002</v>
      </c>
      <c r="O607" s="171">
        <f t="shared" si="39"/>
        <v>159024</v>
      </c>
    </row>
    <row r="608" spans="1:15" x14ac:dyDescent="0.2">
      <c r="A608" s="168">
        <v>601</v>
      </c>
      <c r="B608" s="159">
        <v>740.93269245632894</v>
      </c>
      <c r="C608" s="169">
        <f t="shared" si="36"/>
        <v>445300.54816625366</v>
      </c>
      <c r="D608" s="153"/>
      <c r="E608" s="170">
        <v>601</v>
      </c>
      <c r="F608" s="162">
        <v>264.9276024819348</v>
      </c>
      <c r="G608" s="171">
        <f t="shared" si="37"/>
        <v>159221.48909164281</v>
      </c>
      <c r="I608" s="168">
        <v>601</v>
      </c>
      <c r="J608" s="167">
        <f>ROUND(B608*('Model Data Inputs'!$E$184*'Model Data Inputs'!$E$185*'Model Data Inputs'!$E$186*'Model Data Inputs'!$E$187),2)</f>
        <v>740.93</v>
      </c>
      <c r="K608" s="169">
        <f t="shared" si="38"/>
        <v>445298.93</v>
      </c>
      <c r="L608" s="153"/>
      <c r="M608" s="170">
        <v>601</v>
      </c>
      <c r="N608" s="164">
        <f>ROUND(F608*('Model Data Inputs'!$E$184*'Model Data Inputs'!$E$185*'Model Data Inputs'!$E$186*'Model Data Inputs'!$E$187),2)</f>
        <v>264.93</v>
      </c>
      <c r="O608" s="171">
        <f t="shared" si="39"/>
        <v>159222.93</v>
      </c>
    </row>
    <row r="609" spans="1:15" x14ac:dyDescent="0.2">
      <c r="A609" s="168">
        <v>602</v>
      </c>
      <c r="B609" s="159">
        <v>739.98883044157856</v>
      </c>
      <c r="C609" s="169">
        <f t="shared" si="36"/>
        <v>445473.2759258303</v>
      </c>
      <c r="D609" s="153"/>
      <c r="E609" s="170">
        <v>602</v>
      </c>
      <c r="F609" s="162">
        <v>264.81433904016478</v>
      </c>
      <c r="G609" s="171">
        <f t="shared" si="37"/>
        <v>159418.2321021792</v>
      </c>
      <c r="I609" s="168">
        <v>602</v>
      </c>
      <c r="J609" s="167">
        <f>ROUND(B609*('Model Data Inputs'!$E$184*'Model Data Inputs'!$E$185*'Model Data Inputs'!$E$186*'Model Data Inputs'!$E$187),2)</f>
        <v>739.99</v>
      </c>
      <c r="K609" s="169">
        <f t="shared" si="38"/>
        <v>445473.98</v>
      </c>
      <c r="L609" s="153"/>
      <c r="M609" s="170">
        <v>602</v>
      </c>
      <c r="N609" s="164">
        <f>ROUND(F609*('Model Data Inputs'!$E$184*'Model Data Inputs'!$E$185*'Model Data Inputs'!$E$186*'Model Data Inputs'!$E$187),2)</f>
        <v>264.81</v>
      </c>
      <c r="O609" s="171">
        <f t="shared" si="39"/>
        <v>159415.62</v>
      </c>
    </row>
    <row r="610" spans="1:15" x14ac:dyDescent="0.2">
      <c r="A610" s="168">
        <v>603</v>
      </c>
      <c r="B610" s="159">
        <v>739.04496842682818</v>
      </c>
      <c r="C610" s="169">
        <f t="shared" si="36"/>
        <v>445644.11596137739</v>
      </c>
      <c r="D610" s="153"/>
      <c r="E610" s="170">
        <v>603</v>
      </c>
      <c r="F610" s="162">
        <v>264.70107559839477</v>
      </c>
      <c r="G610" s="171">
        <f t="shared" si="37"/>
        <v>159614.74858583204</v>
      </c>
      <c r="I610" s="168">
        <v>603</v>
      </c>
      <c r="J610" s="167">
        <f>ROUND(B610*('Model Data Inputs'!$E$184*'Model Data Inputs'!$E$185*'Model Data Inputs'!$E$186*'Model Data Inputs'!$E$187),2)</f>
        <v>739.04</v>
      </c>
      <c r="K610" s="169">
        <f t="shared" si="38"/>
        <v>445641.12</v>
      </c>
      <c r="L610" s="153"/>
      <c r="M610" s="170">
        <v>603</v>
      </c>
      <c r="N610" s="164">
        <f>ROUND(F610*('Model Data Inputs'!$E$184*'Model Data Inputs'!$E$185*'Model Data Inputs'!$E$186*'Model Data Inputs'!$E$187),2)</f>
        <v>264.7</v>
      </c>
      <c r="O610" s="171">
        <f t="shared" si="39"/>
        <v>159614.1</v>
      </c>
    </row>
    <row r="611" spans="1:15" x14ac:dyDescent="0.2">
      <c r="A611" s="168">
        <v>604</v>
      </c>
      <c r="B611" s="159">
        <v>738.10110641207791</v>
      </c>
      <c r="C611" s="169">
        <f t="shared" si="36"/>
        <v>445813.06827289506</v>
      </c>
      <c r="D611" s="153"/>
      <c r="E611" s="170">
        <v>604</v>
      </c>
      <c r="F611" s="162">
        <v>264.58781215662475</v>
      </c>
      <c r="G611" s="171">
        <f t="shared" si="37"/>
        <v>159811.03854260134</v>
      </c>
      <c r="I611" s="168">
        <v>604</v>
      </c>
      <c r="J611" s="167">
        <f>ROUND(B611*('Model Data Inputs'!$E$184*'Model Data Inputs'!$E$185*'Model Data Inputs'!$E$186*'Model Data Inputs'!$E$187),2)</f>
        <v>738.1</v>
      </c>
      <c r="K611" s="169">
        <f t="shared" si="38"/>
        <v>445812.4</v>
      </c>
      <c r="L611" s="153"/>
      <c r="M611" s="170">
        <v>604</v>
      </c>
      <c r="N611" s="164">
        <f>ROUND(F611*('Model Data Inputs'!$E$184*'Model Data Inputs'!$E$185*'Model Data Inputs'!$E$186*'Model Data Inputs'!$E$187),2)</f>
        <v>264.58999999999997</v>
      </c>
      <c r="O611" s="171">
        <f t="shared" si="39"/>
        <v>159812.35999999999</v>
      </c>
    </row>
    <row r="612" spans="1:15" x14ac:dyDescent="0.2">
      <c r="A612" s="168">
        <v>605</v>
      </c>
      <c r="B612" s="159">
        <v>737.15724439732719</v>
      </c>
      <c r="C612" s="169">
        <f t="shared" si="36"/>
        <v>445980.13286038296</v>
      </c>
      <c r="D612" s="153"/>
      <c r="E612" s="170">
        <v>605</v>
      </c>
      <c r="F612" s="162">
        <v>264.47454871485462</v>
      </c>
      <c r="G612" s="171">
        <f t="shared" si="37"/>
        <v>160007.10197248706</v>
      </c>
      <c r="I612" s="168">
        <v>605</v>
      </c>
      <c r="J612" s="167">
        <f>ROUND(B612*('Model Data Inputs'!$E$184*'Model Data Inputs'!$E$185*'Model Data Inputs'!$E$186*'Model Data Inputs'!$E$187),2)</f>
        <v>737.16</v>
      </c>
      <c r="K612" s="169">
        <f t="shared" si="38"/>
        <v>445981.8</v>
      </c>
      <c r="L612" s="153"/>
      <c r="M612" s="170">
        <v>605</v>
      </c>
      <c r="N612" s="164">
        <f>ROUND(F612*('Model Data Inputs'!$E$184*'Model Data Inputs'!$E$185*'Model Data Inputs'!$E$186*'Model Data Inputs'!$E$187),2)</f>
        <v>264.47000000000003</v>
      </c>
      <c r="O612" s="171">
        <f t="shared" si="39"/>
        <v>160004.35</v>
      </c>
    </row>
    <row r="613" spans="1:15" x14ac:dyDescent="0.2">
      <c r="A613" s="168">
        <v>606</v>
      </c>
      <c r="B613" s="159">
        <v>736.21338238257704</v>
      </c>
      <c r="C613" s="169">
        <f t="shared" si="36"/>
        <v>446145.30972384167</v>
      </c>
      <c r="D613" s="153"/>
      <c r="E613" s="170">
        <v>606</v>
      </c>
      <c r="F613" s="162">
        <v>264.36128527308455</v>
      </c>
      <c r="G613" s="171">
        <f t="shared" si="37"/>
        <v>160202.93887548923</v>
      </c>
      <c r="I613" s="168">
        <v>606</v>
      </c>
      <c r="J613" s="167">
        <f>ROUND(B613*('Model Data Inputs'!$E$184*'Model Data Inputs'!$E$185*'Model Data Inputs'!$E$186*'Model Data Inputs'!$E$187),2)</f>
        <v>736.21</v>
      </c>
      <c r="K613" s="169">
        <f t="shared" si="38"/>
        <v>446143.26</v>
      </c>
      <c r="L613" s="153"/>
      <c r="M613" s="170">
        <v>606</v>
      </c>
      <c r="N613" s="164">
        <f>ROUND(F613*('Model Data Inputs'!$E$184*'Model Data Inputs'!$E$185*'Model Data Inputs'!$E$186*'Model Data Inputs'!$E$187),2)</f>
        <v>264.36</v>
      </c>
      <c r="O613" s="171">
        <f t="shared" si="39"/>
        <v>160202.16</v>
      </c>
    </row>
    <row r="614" spans="1:15" x14ac:dyDescent="0.2">
      <c r="A614" s="168">
        <v>607</v>
      </c>
      <c r="B614" s="159">
        <v>735.26952036782677</v>
      </c>
      <c r="C614" s="169">
        <f t="shared" si="36"/>
        <v>446308.59886327083</v>
      </c>
      <c r="D614" s="153"/>
      <c r="E614" s="170">
        <v>607</v>
      </c>
      <c r="F614" s="162">
        <v>264.24802183131453</v>
      </c>
      <c r="G614" s="171">
        <f t="shared" si="37"/>
        <v>160398.54925160791</v>
      </c>
      <c r="I614" s="168">
        <v>607</v>
      </c>
      <c r="J614" s="167">
        <f>ROUND(B614*('Model Data Inputs'!$E$184*'Model Data Inputs'!$E$185*'Model Data Inputs'!$E$186*'Model Data Inputs'!$E$187),2)</f>
        <v>735.27</v>
      </c>
      <c r="K614" s="169">
        <f t="shared" si="38"/>
        <v>446308.89</v>
      </c>
      <c r="L614" s="153"/>
      <c r="M614" s="170">
        <v>607</v>
      </c>
      <c r="N614" s="164">
        <f>ROUND(F614*('Model Data Inputs'!$E$184*'Model Data Inputs'!$E$185*'Model Data Inputs'!$E$186*'Model Data Inputs'!$E$187),2)</f>
        <v>264.25</v>
      </c>
      <c r="O614" s="171">
        <f t="shared" si="39"/>
        <v>160399.75</v>
      </c>
    </row>
    <row r="615" spans="1:15" x14ac:dyDescent="0.2">
      <c r="A615" s="168">
        <v>608</v>
      </c>
      <c r="B615" s="159">
        <v>734.32565835307628</v>
      </c>
      <c r="C615" s="169">
        <f t="shared" si="36"/>
        <v>446470.0002786704</v>
      </c>
      <c r="D615" s="153"/>
      <c r="E615" s="170">
        <v>608</v>
      </c>
      <c r="F615" s="162">
        <v>264.13475838954457</v>
      </c>
      <c r="G615" s="171">
        <f t="shared" si="37"/>
        <v>160593.9331008431</v>
      </c>
      <c r="I615" s="168">
        <v>608</v>
      </c>
      <c r="J615" s="167">
        <f>ROUND(B615*('Model Data Inputs'!$E$184*'Model Data Inputs'!$E$185*'Model Data Inputs'!$E$186*'Model Data Inputs'!$E$187),2)</f>
        <v>734.33</v>
      </c>
      <c r="K615" s="169">
        <f t="shared" si="38"/>
        <v>446472.64</v>
      </c>
      <c r="L615" s="153"/>
      <c r="M615" s="170">
        <v>608</v>
      </c>
      <c r="N615" s="164">
        <f>ROUND(F615*('Model Data Inputs'!$E$184*'Model Data Inputs'!$E$185*'Model Data Inputs'!$E$186*'Model Data Inputs'!$E$187),2)</f>
        <v>264.13</v>
      </c>
      <c r="O615" s="171">
        <f t="shared" si="39"/>
        <v>160591.04000000001</v>
      </c>
    </row>
    <row r="616" spans="1:15" x14ac:dyDescent="0.2">
      <c r="A616" s="168">
        <v>609</v>
      </c>
      <c r="B616" s="159">
        <v>733.3817963383259</v>
      </c>
      <c r="C616" s="169">
        <f t="shared" si="36"/>
        <v>446629.51397004048</v>
      </c>
      <c r="D616" s="153"/>
      <c r="E616" s="170">
        <v>609</v>
      </c>
      <c r="F616" s="162">
        <v>264.0214949477745</v>
      </c>
      <c r="G616" s="171">
        <f t="shared" si="37"/>
        <v>160789.09042319466</v>
      </c>
      <c r="I616" s="168">
        <v>609</v>
      </c>
      <c r="J616" s="167">
        <f>ROUND(B616*('Model Data Inputs'!$E$184*'Model Data Inputs'!$E$185*'Model Data Inputs'!$E$186*'Model Data Inputs'!$E$187),2)</f>
        <v>733.38</v>
      </c>
      <c r="K616" s="169">
        <f t="shared" si="38"/>
        <v>446628.42</v>
      </c>
      <c r="L616" s="153"/>
      <c r="M616" s="170">
        <v>609</v>
      </c>
      <c r="N616" s="164">
        <f>ROUND(F616*('Model Data Inputs'!$E$184*'Model Data Inputs'!$E$185*'Model Data Inputs'!$E$186*'Model Data Inputs'!$E$187),2)</f>
        <v>264.02</v>
      </c>
      <c r="O616" s="171">
        <f t="shared" si="39"/>
        <v>160788.18</v>
      </c>
    </row>
    <row r="617" spans="1:15" x14ac:dyDescent="0.2">
      <c r="A617" s="168">
        <v>610</v>
      </c>
      <c r="B617" s="159">
        <v>732.43793432357563</v>
      </c>
      <c r="C617" s="169">
        <f t="shared" si="36"/>
        <v>446787.13993738114</v>
      </c>
      <c r="D617" s="153"/>
      <c r="E617" s="170">
        <v>610</v>
      </c>
      <c r="F617" s="162">
        <v>263.90823150600448</v>
      </c>
      <c r="G617" s="171">
        <f t="shared" si="37"/>
        <v>160984.02121866273</v>
      </c>
      <c r="I617" s="168">
        <v>610</v>
      </c>
      <c r="J617" s="167">
        <f>ROUND(B617*('Model Data Inputs'!$E$184*'Model Data Inputs'!$E$185*'Model Data Inputs'!$E$186*'Model Data Inputs'!$E$187),2)</f>
        <v>732.44</v>
      </c>
      <c r="K617" s="169">
        <f t="shared" si="38"/>
        <v>446788.4</v>
      </c>
      <c r="L617" s="153"/>
      <c r="M617" s="170">
        <v>610</v>
      </c>
      <c r="N617" s="164">
        <f>ROUND(F617*('Model Data Inputs'!$E$184*'Model Data Inputs'!$E$185*'Model Data Inputs'!$E$186*'Model Data Inputs'!$E$187),2)</f>
        <v>263.91000000000003</v>
      </c>
      <c r="O617" s="171">
        <f t="shared" si="39"/>
        <v>160985.1</v>
      </c>
    </row>
    <row r="618" spans="1:15" x14ac:dyDescent="0.2">
      <c r="A618" s="168">
        <v>611</v>
      </c>
      <c r="B618" s="159">
        <v>731.49407230882503</v>
      </c>
      <c r="C618" s="169">
        <f t="shared" si="36"/>
        <v>446942.87818069209</v>
      </c>
      <c r="D618" s="153"/>
      <c r="E618" s="170">
        <v>611</v>
      </c>
      <c r="F618" s="162">
        <v>263.79496806423435</v>
      </c>
      <c r="G618" s="171">
        <f t="shared" si="37"/>
        <v>161178.7254872472</v>
      </c>
      <c r="I618" s="168">
        <v>611</v>
      </c>
      <c r="J618" s="167">
        <f>ROUND(B618*('Model Data Inputs'!$E$184*'Model Data Inputs'!$E$185*'Model Data Inputs'!$E$186*'Model Data Inputs'!$E$187),2)</f>
        <v>731.49</v>
      </c>
      <c r="K618" s="169">
        <f t="shared" si="38"/>
        <v>446940.39</v>
      </c>
      <c r="L618" s="153"/>
      <c r="M618" s="170">
        <v>611</v>
      </c>
      <c r="N618" s="164">
        <f>ROUND(F618*('Model Data Inputs'!$E$184*'Model Data Inputs'!$E$185*'Model Data Inputs'!$E$186*'Model Data Inputs'!$E$187),2)</f>
        <v>263.79000000000002</v>
      </c>
      <c r="O618" s="171">
        <f t="shared" si="39"/>
        <v>161175.69</v>
      </c>
    </row>
    <row r="619" spans="1:15" x14ac:dyDescent="0.2">
      <c r="A619" s="168">
        <v>612</v>
      </c>
      <c r="B619" s="159">
        <v>730.55021029407487</v>
      </c>
      <c r="C619" s="169">
        <f t="shared" si="36"/>
        <v>447096.72869997384</v>
      </c>
      <c r="D619" s="153"/>
      <c r="E619" s="170">
        <v>612</v>
      </c>
      <c r="F619" s="162">
        <v>263.68170462246428</v>
      </c>
      <c r="G619" s="171">
        <f t="shared" si="37"/>
        <v>161373.20322894814</v>
      </c>
      <c r="I619" s="168">
        <v>612</v>
      </c>
      <c r="J619" s="167">
        <f>ROUND(B619*('Model Data Inputs'!$E$184*'Model Data Inputs'!$E$185*'Model Data Inputs'!$E$186*'Model Data Inputs'!$E$187),2)</f>
        <v>730.55</v>
      </c>
      <c r="K619" s="169">
        <f t="shared" si="38"/>
        <v>447096.6</v>
      </c>
      <c r="L619" s="153"/>
      <c r="M619" s="170">
        <v>612</v>
      </c>
      <c r="N619" s="164">
        <f>ROUND(F619*('Model Data Inputs'!$E$184*'Model Data Inputs'!$E$185*'Model Data Inputs'!$E$186*'Model Data Inputs'!$E$187),2)</f>
        <v>263.68</v>
      </c>
      <c r="O619" s="171">
        <f t="shared" si="39"/>
        <v>161372.16</v>
      </c>
    </row>
    <row r="620" spans="1:15" x14ac:dyDescent="0.2">
      <c r="A620" s="168">
        <v>613</v>
      </c>
      <c r="B620" s="159">
        <v>729.60634827932438</v>
      </c>
      <c r="C620" s="169">
        <f t="shared" si="36"/>
        <v>447248.69149522582</v>
      </c>
      <c r="D620" s="153"/>
      <c r="E620" s="170">
        <v>613</v>
      </c>
      <c r="F620" s="162">
        <v>263.56844118069426</v>
      </c>
      <c r="G620" s="171">
        <f t="shared" si="37"/>
        <v>161567.45444376557</v>
      </c>
      <c r="I620" s="168">
        <v>613</v>
      </c>
      <c r="J620" s="167">
        <f>ROUND(B620*('Model Data Inputs'!$E$184*'Model Data Inputs'!$E$185*'Model Data Inputs'!$E$186*'Model Data Inputs'!$E$187),2)</f>
        <v>729.61</v>
      </c>
      <c r="K620" s="169">
        <f t="shared" si="38"/>
        <v>447250.93</v>
      </c>
      <c r="L620" s="153"/>
      <c r="M620" s="170">
        <v>613</v>
      </c>
      <c r="N620" s="164">
        <f>ROUND(F620*('Model Data Inputs'!$E$184*'Model Data Inputs'!$E$185*'Model Data Inputs'!$E$186*'Model Data Inputs'!$E$187),2)</f>
        <v>263.57</v>
      </c>
      <c r="O620" s="171">
        <f t="shared" si="39"/>
        <v>161568.41</v>
      </c>
    </row>
    <row r="621" spans="1:15" x14ac:dyDescent="0.2">
      <c r="A621" s="168">
        <v>614</v>
      </c>
      <c r="B621" s="159">
        <v>728.662486264574</v>
      </c>
      <c r="C621" s="169">
        <f t="shared" si="36"/>
        <v>447398.76656644844</v>
      </c>
      <c r="D621" s="153"/>
      <c r="E621" s="170">
        <v>614</v>
      </c>
      <c r="F621" s="162">
        <v>263.45517773892419</v>
      </c>
      <c r="G621" s="171">
        <f t="shared" si="37"/>
        <v>161761.47913169945</v>
      </c>
      <c r="I621" s="168">
        <v>614</v>
      </c>
      <c r="J621" s="167">
        <f>ROUND(B621*('Model Data Inputs'!$E$184*'Model Data Inputs'!$E$185*'Model Data Inputs'!$E$186*'Model Data Inputs'!$E$187),2)</f>
        <v>728.66</v>
      </c>
      <c r="K621" s="169">
        <f t="shared" si="38"/>
        <v>447397.24</v>
      </c>
      <c r="L621" s="153"/>
      <c r="M621" s="170">
        <v>614</v>
      </c>
      <c r="N621" s="164">
        <f>ROUND(F621*('Model Data Inputs'!$E$184*'Model Data Inputs'!$E$185*'Model Data Inputs'!$E$186*'Model Data Inputs'!$E$187),2)</f>
        <v>263.45999999999998</v>
      </c>
      <c r="O621" s="171">
        <f t="shared" si="39"/>
        <v>161764.43999999997</v>
      </c>
    </row>
    <row r="622" spans="1:15" x14ac:dyDescent="0.2">
      <c r="A622" s="168">
        <v>615</v>
      </c>
      <c r="B622" s="159">
        <v>727.71862424982373</v>
      </c>
      <c r="C622" s="169">
        <f t="shared" si="36"/>
        <v>447546.95391364157</v>
      </c>
      <c r="D622" s="153"/>
      <c r="E622" s="170">
        <v>615</v>
      </c>
      <c r="F622" s="162">
        <v>263.34191429715423</v>
      </c>
      <c r="G622" s="171">
        <f t="shared" si="37"/>
        <v>161955.27729274984</v>
      </c>
      <c r="I622" s="168">
        <v>615</v>
      </c>
      <c r="J622" s="167">
        <f>ROUND(B622*('Model Data Inputs'!$E$184*'Model Data Inputs'!$E$185*'Model Data Inputs'!$E$186*'Model Data Inputs'!$E$187),2)</f>
        <v>727.72</v>
      </c>
      <c r="K622" s="169">
        <f t="shared" si="38"/>
        <v>447547.8</v>
      </c>
      <c r="L622" s="153"/>
      <c r="M622" s="170">
        <v>615</v>
      </c>
      <c r="N622" s="164">
        <f>ROUND(F622*('Model Data Inputs'!$E$184*'Model Data Inputs'!$E$185*'Model Data Inputs'!$E$186*'Model Data Inputs'!$E$187),2)</f>
        <v>263.33999999999997</v>
      </c>
      <c r="O622" s="171">
        <f t="shared" si="39"/>
        <v>161954.09999999998</v>
      </c>
    </row>
    <row r="623" spans="1:15" x14ac:dyDescent="0.2">
      <c r="A623" s="168">
        <v>616</v>
      </c>
      <c r="B623" s="159">
        <v>726.77476223507335</v>
      </c>
      <c r="C623" s="169">
        <f t="shared" si="36"/>
        <v>447693.25353680516</v>
      </c>
      <c r="D623" s="153"/>
      <c r="E623" s="170">
        <v>616</v>
      </c>
      <c r="F623" s="162">
        <v>263.22865085538422</v>
      </c>
      <c r="G623" s="171">
        <f t="shared" si="37"/>
        <v>162148.84892691669</v>
      </c>
      <c r="I623" s="168">
        <v>616</v>
      </c>
      <c r="J623" s="167">
        <f>ROUND(B623*('Model Data Inputs'!$E$184*'Model Data Inputs'!$E$185*'Model Data Inputs'!$E$186*'Model Data Inputs'!$E$187),2)</f>
        <v>726.77</v>
      </c>
      <c r="K623" s="169">
        <f t="shared" si="38"/>
        <v>447690.32</v>
      </c>
      <c r="L623" s="153"/>
      <c r="M623" s="170">
        <v>616</v>
      </c>
      <c r="N623" s="164">
        <f>ROUND(F623*('Model Data Inputs'!$E$184*'Model Data Inputs'!$E$185*'Model Data Inputs'!$E$186*'Model Data Inputs'!$E$187),2)</f>
        <v>263.23</v>
      </c>
      <c r="O623" s="171">
        <f t="shared" si="39"/>
        <v>162149.68000000002</v>
      </c>
    </row>
    <row r="624" spans="1:15" x14ac:dyDescent="0.2">
      <c r="A624" s="168">
        <v>617</v>
      </c>
      <c r="B624" s="159">
        <v>725.83090022032275</v>
      </c>
      <c r="C624" s="169">
        <f t="shared" si="36"/>
        <v>447837.66543593915</v>
      </c>
      <c r="D624" s="153"/>
      <c r="E624" s="170">
        <v>617</v>
      </c>
      <c r="F624" s="162">
        <v>263.11538741361414</v>
      </c>
      <c r="G624" s="171">
        <f t="shared" si="37"/>
        <v>162342.19403419993</v>
      </c>
      <c r="I624" s="168">
        <v>617</v>
      </c>
      <c r="J624" s="167">
        <f>ROUND(B624*('Model Data Inputs'!$E$184*'Model Data Inputs'!$E$185*'Model Data Inputs'!$E$186*'Model Data Inputs'!$E$187),2)</f>
        <v>725.83</v>
      </c>
      <c r="K624" s="169">
        <f t="shared" si="38"/>
        <v>447837.11000000004</v>
      </c>
      <c r="L624" s="153"/>
      <c r="M624" s="170">
        <v>617</v>
      </c>
      <c r="N624" s="164">
        <f>ROUND(F624*('Model Data Inputs'!$E$184*'Model Data Inputs'!$E$185*'Model Data Inputs'!$E$186*'Model Data Inputs'!$E$187),2)</f>
        <v>263.12</v>
      </c>
      <c r="O624" s="171">
        <f t="shared" si="39"/>
        <v>162345.04</v>
      </c>
    </row>
    <row r="625" spans="1:15" x14ac:dyDescent="0.2">
      <c r="A625" s="168">
        <v>618</v>
      </c>
      <c r="B625" s="159">
        <v>724.88703820557248</v>
      </c>
      <c r="C625" s="169">
        <f t="shared" si="36"/>
        <v>447980.18961104378</v>
      </c>
      <c r="D625" s="153"/>
      <c r="E625" s="170">
        <v>618</v>
      </c>
      <c r="F625" s="162">
        <v>263.00212397184407</v>
      </c>
      <c r="G625" s="171">
        <f t="shared" si="37"/>
        <v>162535.31261459965</v>
      </c>
      <c r="I625" s="168">
        <v>618</v>
      </c>
      <c r="J625" s="167">
        <f>ROUND(B625*('Model Data Inputs'!$E$184*'Model Data Inputs'!$E$185*'Model Data Inputs'!$E$186*'Model Data Inputs'!$E$187),2)</f>
        <v>724.89</v>
      </c>
      <c r="K625" s="169">
        <f t="shared" si="38"/>
        <v>447982.02</v>
      </c>
      <c r="L625" s="153"/>
      <c r="M625" s="170">
        <v>618</v>
      </c>
      <c r="N625" s="164">
        <f>ROUND(F625*('Model Data Inputs'!$E$184*'Model Data Inputs'!$E$185*'Model Data Inputs'!$E$186*'Model Data Inputs'!$E$187),2)</f>
        <v>263</v>
      </c>
      <c r="O625" s="171">
        <f t="shared" si="39"/>
        <v>162534</v>
      </c>
    </row>
    <row r="626" spans="1:15" x14ac:dyDescent="0.2">
      <c r="A626" s="168">
        <v>619</v>
      </c>
      <c r="B626" s="159">
        <v>723.94317619082233</v>
      </c>
      <c r="C626" s="169">
        <f t="shared" si="36"/>
        <v>448120.82606211904</v>
      </c>
      <c r="D626" s="153"/>
      <c r="E626" s="170">
        <v>619</v>
      </c>
      <c r="F626" s="162">
        <v>262.888860530074</v>
      </c>
      <c r="G626" s="171">
        <f t="shared" si="37"/>
        <v>162728.2046681158</v>
      </c>
      <c r="I626" s="168">
        <v>619</v>
      </c>
      <c r="J626" s="167">
        <f>ROUND(B626*('Model Data Inputs'!$E$184*'Model Data Inputs'!$E$185*'Model Data Inputs'!$E$186*'Model Data Inputs'!$E$187),2)</f>
        <v>723.94</v>
      </c>
      <c r="K626" s="169">
        <f t="shared" si="38"/>
        <v>448118.86000000004</v>
      </c>
      <c r="L626" s="153"/>
      <c r="M626" s="170">
        <v>619</v>
      </c>
      <c r="N626" s="164">
        <f>ROUND(F626*('Model Data Inputs'!$E$184*'Model Data Inputs'!$E$185*'Model Data Inputs'!$E$186*'Model Data Inputs'!$E$187),2)</f>
        <v>262.89</v>
      </c>
      <c r="O626" s="171">
        <f t="shared" si="39"/>
        <v>162728.91</v>
      </c>
    </row>
    <row r="627" spans="1:15" x14ac:dyDescent="0.2">
      <c r="A627" s="168">
        <v>620</v>
      </c>
      <c r="B627" s="159">
        <v>722.99931417607172</v>
      </c>
      <c r="C627" s="169">
        <f t="shared" si="36"/>
        <v>448259.57478916447</v>
      </c>
      <c r="D627" s="153"/>
      <c r="E627" s="170">
        <v>620</v>
      </c>
      <c r="F627" s="162">
        <v>262.77559708830393</v>
      </c>
      <c r="G627" s="171">
        <f t="shared" si="37"/>
        <v>162920.87019474842</v>
      </c>
      <c r="I627" s="168">
        <v>620</v>
      </c>
      <c r="J627" s="167">
        <f>ROUND(B627*('Model Data Inputs'!$E$184*'Model Data Inputs'!$E$185*'Model Data Inputs'!$E$186*'Model Data Inputs'!$E$187),2)</f>
        <v>723</v>
      </c>
      <c r="K627" s="169">
        <f t="shared" si="38"/>
        <v>448260</v>
      </c>
      <c r="L627" s="153"/>
      <c r="M627" s="170">
        <v>620</v>
      </c>
      <c r="N627" s="164">
        <f>ROUND(F627*('Model Data Inputs'!$E$184*'Model Data Inputs'!$E$185*'Model Data Inputs'!$E$186*'Model Data Inputs'!$E$187),2)</f>
        <v>262.77999999999997</v>
      </c>
      <c r="O627" s="171">
        <f t="shared" si="39"/>
        <v>162923.59999999998</v>
      </c>
    </row>
    <row r="628" spans="1:15" x14ac:dyDescent="0.2">
      <c r="A628" s="168">
        <v>621</v>
      </c>
      <c r="B628" s="159">
        <v>722.05545216132134</v>
      </c>
      <c r="C628" s="169">
        <f t="shared" si="36"/>
        <v>448396.43579218053</v>
      </c>
      <c r="D628" s="153"/>
      <c r="E628" s="170">
        <v>621</v>
      </c>
      <c r="F628" s="162">
        <v>262.66233364653391</v>
      </c>
      <c r="G628" s="171">
        <f t="shared" si="37"/>
        <v>163113.30919449756</v>
      </c>
      <c r="I628" s="168">
        <v>621</v>
      </c>
      <c r="J628" s="167">
        <f>ROUND(B628*('Model Data Inputs'!$E$184*'Model Data Inputs'!$E$185*'Model Data Inputs'!$E$186*'Model Data Inputs'!$E$187),2)</f>
        <v>722.06</v>
      </c>
      <c r="K628" s="169">
        <f t="shared" si="38"/>
        <v>448399.25999999995</v>
      </c>
      <c r="L628" s="153"/>
      <c r="M628" s="170">
        <v>621</v>
      </c>
      <c r="N628" s="164">
        <f>ROUND(F628*('Model Data Inputs'!$E$184*'Model Data Inputs'!$E$185*'Model Data Inputs'!$E$186*'Model Data Inputs'!$E$187),2)</f>
        <v>262.66000000000003</v>
      </c>
      <c r="O628" s="171">
        <f t="shared" si="39"/>
        <v>163111.86000000002</v>
      </c>
    </row>
    <row r="629" spans="1:15" x14ac:dyDescent="0.2">
      <c r="A629" s="168">
        <v>622</v>
      </c>
      <c r="B629" s="159">
        <v>721.11159014657107</v>
      </c>
      <c r="C629" s="169">
        <f t="shared" si="36"/>
        <v>448531.40907116723</v>
      </c>
      <c r="D629" s="153"/>
      <c r="E629" s="170">
        <v>622</v>
      </c>
      <c r="F629" s="162">
        <v>262.54907020476389</v>
      </c>
      <c r="G629" s="171">
        <f t="shared" si="37"/>
        <v>163305.52166736315</v>
      </c>
      <c r="I629" s="168">
        <v>622</v>
      </c>
      <c r="J629" s="167">
        <f>ROUND(B629*('Model Data Inputs'!$E$184*'Model Data Inputs'!$E$185*'Model Data Inputs'!$E$186*'Model Data Inputs'!$E$187),2)</f>
        <v>721.11</v>
      </c>
      <c r="K629" s="169">
        <f t="shared" si="38"/>
        <v>448530.42</v>
      </c>
      <c r="L629" s="153"/>
      <c r="M629" s="170">
        <v>622</v>
      </c>
      <c r="N629" s="164">
        <f>ROUND(F629*('Model Data Inputs'!$E$184*'Model Data Inputs'!$E$185*'Model Data Inputs'!$E$186*'Model Data Inputs'!$E$187),2)</f>
        <v>262.55</v>
      </c>
      <c r="O629" s="171">
        <f t="shared" si="39"/>
        <v>163306.1</v>
      </c>
    </row>
    <row r="630" spans="1:15" x14ac:dyDescent="0.2">
      <c r="A630" s="168">
        <v>623</v>
      </c>
      <c r="B630" s="159">
        <v>720.16772813182058</v>
      </c>
      <c r="C630" s="169">
        <f t="shared" si="36"/>
        <v>448664.49462612421</v>
      </c>
      <c r="D630" s="153"/>
      <c r="E630" s="170">
        <v>623</v>
      </c>
      <c r="F630" s="162">
        <v>262.43580676299388</v>
      </c>
      <c r="G630" s="171">
        <f t="shared" si="37"/>
        <v>163497.50761334519</v>
      </c>
      <c r="I630" s="168">
        <v>623</v>
      </c>
      <c r="J630" s="167">
        <f>ROUND(B630*('Model Data Inputs'!$E$184*'Model Data Inputs'!$E$185*'Model Data Inputs'!$E$186*'Model Data Inputs'!$E$187),2)</f>
        <v>720.17</v>
      </c>
      <c r="K630" s="169">
        <f t="shared" si="38"/>
        <v>448665.91</v>
      </c>
      <c r="L630" s="153"/>
      <c r="M630" s="170">
        <v>623</v>
      </c>
      <c r="N630" s="164">
        <f>ROUND(F630*('Model Data Inputs'!$E$184*'Model Data Inputs'!$E$185*'Model Data Inputs'!$E$186*'Model Data Inputs'!$E$187),2)</f>
        <v>262.44</v>
      </c>
      <c r="O630" s="171">
        <f t="shared" si="39"/>
        <v>163500.12</v>
      </c>
    </row>
    <row r="631" spans="1:15" x14ac:dyDescent="0.2">
      <c r="A631" s="168">
        <v>624</v>
      </c>
      <c r="B631" s="159">
        <v>719.2238661170702</v>
      </c>
      <c r="C631" s="169">
        <f t="shared" si="36"/>
        <v>448795.69245705183</v>
      </c>
      <c r="D631" s="153"/>
      <c r="E631" s="170">
        <v>624</v>
      </c>
      <c r="F631" s="162">
        <v>262.3225433212238</v>
      </c>
      <c r="G631" s="171">
        <f t="shared" si="37"/>
        <v>163689.26703244366</v>
      </c>
      <c r="I631" s="168">
        <v>624</v>
      </c>
      <c r="J631" s="167">
        <f>ROUND(B631*('Model Data Inputs'!$E$184*'Model Data Inputs'!$E$185*'Model Data Inputs'!$E$186*'Model Data Inputs'!$E$187),2)</f>
        <v>719.22</v>
      </c>
      <c r="K631" s="169">
        <f t="shared" si="38"/>
        <v>448793.28</v>
      </c>
      <c r="L631" s="153"/>
      <c r="M631" s="170">
        <v>624</v>
      </c>
      <c r="N631" s="164">
        <f>ROUND(F631*('Model Data Inputs'!$E$184*'Model Data Inputs'!$E$185*'Model Data Inputs'!$E$186*'Model Data Inputs'!$E$187),2)</f>
        <v>262.32</v>
      </c>
      <c r="O631" s="171">
        <f t="shared" si="39"/>
        <v>163687.67999999999</v>
      </c>
    </row>
    <row r="632" spans="1:15" x14ac:dyDescent="0.2">
      <c r="A632" s="168">
        <v>625</v>
      </c>
      <c r="B632" s="159">
        <v>718.28000410231994</v>
      </c>
      <c r="C632" s="169">
        <f t="shared" si="36"/>
        <v>448925.00256394997</v>
      </c>
      <c r="D632" s="153"/>
      <c r="E632" s="170">
        <v>625</v>
      </c>
      <c r="F632" s="162">
        <v>262.20927987945379</v>
      </c>
      <c r="G632" s="171">
        <f t="shared" si="37"/>
        <v>163880.79992465861</v>
      </c>
      <c r="I632" s="168">
        <v>625</v>
      </c>
      <c r="J632" s="167">
        <f>ROUND(B632*('Model Data Inputs'!$E$184*'Model Data Inputs'!$E$185*'Model Data Inputs'!$E$186*'Model Data Inputs'!$E$187),2)</f>
        <v>718.28</v>
      </c>
      <c r="K632" s="169">
        <f t="shared" si="38"/>
        <v>448925</v>
      </c>
      <c r="L632" s="153"/>
      <c r="M632" s="170">
        <v>625</v>
      </c>
      <c r="N632" s="164">
        <f>ROUND(F632*('Model Data Inputs'!$E$184*'Model Data Inputs'!$E$185*'Model Data Inputs'!$E$186*'Model Data Inputs'!$E$187),2)</f>
        <v>262.20999999999998</v>
      </c>
      <c r="O632" s="171">
        <f t="shared" si="39"/>
        <v>163881.25</v>
      </c>
    </row>
    <row r="633" spans="1:15" x14ac:dyDescent="0.2">
      <c r="A633" s="168">
        <v>626</v>
      </c>
      <c r="B633" s="159">
        <v>717.33614208756956</v>
      </c>
      <c r="C633" s="169">
        <f t="shared" si="36"/>
        <v>449052.42494681856</v>
      </c>
      <c r="D633" s="153"/>
      <c r="E633" s="170">
        <v>626</v>
      </c>
      <c r="F633" s="162">
        <v>262.09601643768366</v>
      </c>
      <c r="G633" s="171">
        <f t="shared" si="37"/>
        <v>164072.10628998998</v>
      </c>
      <c r="I633" s="168">
        <v>626</v>
      </c>
      <c r="J633" s="167">
        <f>ROUND(B633*('Model Data Inputs'!$E$184*'Model Data Inputs'!$E$185*'Model Data Inputs'!$E$186*'Model Data Inputs'!$E$187),2)</f>
        <v>717.34</v>
      </c>
      <c r="K633" s="169">
        <f t="shared" si="38"/>
        <v>449054.84</v>
      </c>
      <c r="L633" s="153"/>
      <c r="M633" s="170">
        <v>626</v>
      </c>
      <c r="N633" s="164">
        <f>ROUND(F633*('Model Data Inputs'!$E$184*'Model Data Inputs'!$E$185*'Model Data Inputs'!$E$186*'Model Data Inputs'!$E$187),2)</f>
        <v>262.10000000000002</v>
      </c>
      <c r="O633" s="171">
        <f t="shared" si="39"/>
        <v>164074.6</v>
      </c>
    </row>
    <row r="634" spans="1:15" x14ac:dyDescent="0.2">
      <c r="A634" s="168">
        <v>627</v>
      </c>
      <c r="B634" s="159">
        <v>716.39228007281918</v>
      </c>
      <c r="C634" s="169">
        <f t="shared" si="36"/>
        <v>449177.95960565761</v>
      </c>
      <c r="D634" s="153"/>
      <c r="E634" s="170">
        <v>627</v>
      </c>
      <c r="F634" s="162">
        <v>261.98275299591364</v>
      </c>
      <c r="G634" s="171">
        <f t="shared" si="37"/>
        <v>164263.18612843787</v>
      </c>
      <c r="I634" s="168">
        <v>627</v>
      </c>
      <c r="J634" s="167">
        <f>ROUND(B634*('Model Data Inputs'!$E$184*'Model Data Inputs'!$E$185*'Model Data Inputs'!$E$186*'Model Data Inputs'!$E$187),2)</f>
        <v>716.39</v>
      </c>
      <c r="K634" s="169">
        <f t="shared" si="38"/>
        <v>449176.52999999997</v>
      </c>
      <c r="L634" s="153"/>
      <c r="M634" s="170">
        <v>627</v>
      </c>
      <c r="N634" s="164">
        <f>ROUND(F634*('Model Data Inputs'!$E$184*'Model Data Inputs'!$E$185*'Model Data Inputs'!$E$186*'Model Data Inputs'!$E$187),2)</f>
        <v>261.98</v>
      </c>
      <c r="O634" s="171">
        <f t="shared" si="39"/>
        <v>164261.46000000002</v>
      </c>
    </row>
    <row r="635" spans="1:15" x14ac:dyDescent="0.2">
      <c r="A635" s="168">
        <v>628</v>
      </c>
      <c r="B635" s="159">
        <v>715.44841805806868</v>
      </c>
      <c r="C635" s="169">
        <f t="shared" si="36"/>
        <v>449301.60654046712</v>
      </c>
      <c r="D635" s="153"/>
      <c r="E635" s="170">
        <v>628</v>
      </c>
      <c r="F635" s="162">
        <v>261.86948955414363</v>
      </c>
      <c r="G635" s="171">
        <f t="shared" si="37"/>
        <v>164454.03944000221</v>
      </c>
      <c r="I635" s="168">
        <v>628</v>
      </c>
      <c r="J635" s="167">
        <f>ROUND(B635*('Model Data Inputs'!$E$184*'Model Data Inputs'!$E$185*'Model Data Inputs'!$E$186*'Model Data Inputs'!$E$187),2)</f>
        <v>715.45</v>
      </c>
      <c r="K635" s="169">
        <f t="shared" si="38"/>
        <v>449302.60000000003</v>
      </c>
      <c r="L635" s="153"/>
      <c r="M635" s="170">
        <v>628</v>
      </c>
      <c r="N635" s="164">
        <f>ROUND(F635*('Model Data Inputs'!$E$184*'Model Data Inputs'!$E$185*'Model Data Inputs'!$E$186*'Model Data Inputs'!$E$187),2)</f>
        <v>261.87</v>
      </c>
      <c r="O635" s="171">
        <f t="shared" si="39"/>
        <v>164454.36000000002</v>
      </c>
    </row>
    <row r="636" spans="1:15" x14ac:dyDescent="0.2">
      <c r="A636" s="168">
        <v>629</v>
      </c>
      <c r="B636" s="159">
        <v>714.50455604331842</v>
      </c>
      <c r="C636" s="169">
        <f t="shared" si="36"/>
        <v>449423.36575124727</v>
      </c>
      <c r="D636" s="153"/>
      <c r="E636" s="170">
        <v>629</v>
      </c>
      <c r="F636" s="162">
        <v>261.75622611237361</v>
      </c>
      <c r="G636" s="171">
        <f t="shared" si="37"/>
        <v>164644.66622468299</v>
      </c>
      <c r="I636" s="168">
        <v>629</v>
      </c>
      <c r="J636" s="167">
        <f>ROUND(B636*('Model Data Inputs'!$E$184*'Model Data Inputs'!$E$185*'Model Data Inputs'!$E$186*'Model Data Inputs'!$E$187),2)</f>
        <v>714.5</v>
      </c>
      <c r="K636" s="169">
        <f t="shared" si="38"/>
        <v>449420.5</v>
      </c>
      <c r="L636" s="153"/>
      <c r="M636" s="170">
        <v>629</v>
      </c>
      <c r="N636" s="164">
        <f>ROUND(F636*('Model Data Inputs'!$E$184*'Model Data Inputs'!$E$185*'Model Data Inputs'!$E$186*'Model Data Inputs'!$E$187),2)</f>
        <v>261.76</v>
      </c>
      <c r="O636" s="171">
        <f t="shared" si="39"/>
        <v>164647.04000000001</v>
      </c>
    </row>
    <row r="637" spans="1:15" x14ac:dyDescent="0.2">
      <c r="A637" s="168">
        <v>630</v>
      </c>
      <c r="B637" s="159">
        <v>713.56039671171993</v>
      </c>
      <c r="C637" s="169">
        <f t="shared" si="36"/>
        <v>449543.04992838355</v>
      </c>
      <c r="D637" s="153"/>
      <c r="E637" s="170">
        <v>630</v>
      </c>
      <c r="F637" s="162">
        <v>261.64296267060348</v>
      </c>
      <c r="G637" s="171">
        <f t="shared" si="37"/>
        <v>164835.06648248018</v>
      </c>
      <c r="I637" s="168">
        <v>630</v>
      </c>
      <c r="J637" s="167">
        <f>ROUND(B637*('Model Data Inputs'!$E$184*'Model Data Inputs'!$E$185*'Model Data Inputs'!$E$186*'Model Data Inputs'!$E$187),2)</f>
        <v>713.56</v>
      </c>
      <c r="K637" s="169">
        <f t="shared" si="38"/>
        <v>449542.8</v>
      </c>
      <c r="L637" s="153"/>
      <c r="M637" s="170">
        <v>630</v>
      </c>
      <c r="N637" s="164">
        <f>ROUND(F637*('Model Data Inputs'!$E$184*'Model Data Inputs'!$E$185*'Model Data Inputs'!$E$186*'Model Data Inputs'!$E$187),2)</f>
        <v>261.64</v>
      </c>
      <c r="O637" s="171">
        <f t="shared" si="39"/>
        <v>164833.19999999998</v>
      </c>
    </row>
    <row r="638" spans="1:15" x14ac:dyDescent="0.2">
      <c r="A638" s="168">
        <v>631</v>
      </c>
      <c r="B638" s="159">
        <v>713.37154106005676</v>
      </c>
      <c r="C638" s="169">
        <f t="shared" si="36"/>
        <v>450137.44240889582</v>
      </c>
      <c r="D638" s="153"/>
      <c r="E638" s="170">
        <v>631</v>
      </c>
      <c r="F638" s="162">
        <v>261.54857646912848</v>
      </c>
      <c r="G638" s="171">
        <f t="shared" si="37"/>
        <v>165037.15175202006</v>
      </c>
      <c r="I638" s="168">
        <v>631</v>
      </c>
      <c r="J638" s="167">
        <f>ROUND(B638*('Model Data Inputs'!$E$184*'Model Data Inputs'!$E$185*'Model Data Inputs'!$E$186*'Model Data Inputs'!$E$187),2)</f>
        <v>713.37</v>
      </c>
      <c r="K638" s="169">
        <f t="shared" si="38"/>
        <v>450136.47000000003</v>
      </c>
      <c r="L638" s="153"/>
      <c r="M638" s="170">
        <v>631</v>
      </c>
      <c r="N638" s="164">
        <f>ROUND(F638*('Model Data Inputs'!$E$184*'Model Data Inputs'!$E$185*'Model Data Inputs'!$E$186*'Model Data Inputs'!$E$187),2)</f>
        <v>261.55</v>
      </c>
      <c r="O638" s="171">
        <f t="shared" si="39"/>
        <v>165038.05000000002</v>
      </c>
    </row>
    <row r="639" spans="1:15" x14ac:dyDescent="0.2">
      <c r="A639" s="168">
        <v>632</v>
      </c>
      <c r="B639" s="159">
        <v>713.18268540839381</v>
      </c>
      <c r="C639" s="169">
        <f t="shared" si="36"/>
        <v>450731.4571781049</v>
      </c>
      <c r="D639" s="153"/>
      <c r="E639" s="170">
        <v>632</v>
      </c>
      <c r="F639" s="162">
        <v>261.45419026765353</v>
      </c>
      <c r="G639" s="171">
        <f t="shared" si="37"/>
        <v>165239.04824915703</v>
      </c>
      <c r="I639" s="168">
        <v>632</v>
      </c>
      <c r="J639" s="167">
        <f>ROUND(B639*('Model Data Inputs'!$E$184*'Model Data Inputs'!$E$185*'Model Data Inputs'!$E$186*'Model Data Inputs'!$E$187),2)</f>
        <v>713.18</v>
      </c>
      <c r="K639" s="169">
        <f t="shared" si="38"/>
        <v>450729.75999999995</v>
      </c>
      <c r="L639" s="153"/>
      <c r="M639" s="170">
        <v>632</v>
      </c>
      <c r="N639" s="164">
        <f>ROUND(F639*('Model Data Inputs'!$E$184*'Model Data Inputs'!$E$185*'Model Data Inputs'!$E$186*'Model Data Inputs'!$E$187),2)</f>
        <v>261.45</v>
      </c>
      <c r="O639" s="171">
        <f t="shared" si="39"/>
        <v>165236.4</v>
      </c>
    </row>
    <row r="640" spans="1:15" x14ac:dyDescent="0.2">
      <c r="A640" s="168">
        <v>633</v>
      </c>
      <c r="B640" s="159">
        <v>712.99382975673063</v>
      </c>
      <c r="C640" s="169">
        <f t="shared" si="36"/>
        <v>451325.09423601051</v>
      </c>
      <c r="D640" s="153"/>
      <c r="E640" s="170">
        <v>633</v>
      </c>
      <c r="F640" s="162">
        <v>261.35980406617841</v>
      </c>
      <c r="G640" s="171">
        <f t="shared" si="37"/>
        <v>165440.75597389095</v>
      </c>
      <c r="I640" s="168">
        <v>633</v>
      </c>
      <c r="J640" s="167">
        <f>ROUND(B640*('Model Data Inputs'!$E$184*'Model Data Inputs'!$E$185*'Model Data Inputs'!$E$186*'Model Data Inputs'!$E$187),2)</f>
        <v>712.99</v>
      </c>
      <c r="K640" s="169">
        <f t="shared" si="38"/>
        <v>451322.67</v>
      </c>
      <c r="L640" s="153"/>
      <c r="M640" s="170">
        <v>633</v>
      </c>
      <c r="N640" s="164">
        <f>ROUND(F640*('Model Data Inputs'!$E$184*'Model Data Inputs'!$E$185*'Model Data Inputs'!$E$186*'Model Data Inputs'!$E$187),2)</f>
        <v>261.36</v>
      </c>
      <c r="O640" s="171">
        <f t="shared" si="39"/>
        <v>165440.88</v>
      </c>
    </row>
    <row r="641" spans="1:15" x14ac:dyDescent="0.2">
      <c r="A641" s="168">
        <v>634</v>
      </c>
      <c r="B641" s="159">
        <v>712.80497410506769</v>
      </c>
      <c r="C641" s="169">
        <f t="shared" si="36"/>
        <v>451918.35358261294</v>
      </c>
      <c r="D641" s="153"/>
      <c r="E641" s="170">
        <v>634</v>
      </c>
      <c r="F641" s="162">
        <v>261.26541786470341</v>
      </c>
      <c r="G641" s="171">
        <f t="shared" si="37"/>
        <v>165642.27492622196</v>
      </c>
      <c r="I641" s="168">
        <v>634</v>
      </c>
      <c r="J641" s="167">
        <f>ROUND(B641*('Model Data Inputs'!$E$184*'Model Data Inputs'!$E$185*'Model Data Inputs'!$E$186*'Model Data Inputs'!$E$187),2)</f>
        <v>712.8</v>
      </c>
      <c r="K641" s="169">
        <f t="shared" si="38"/>
        <v>451915.19999999995</v>
      </c>
      <c r="L641" s="153"/>
      <c r="M641" s="170">
        <v>634</v>
      </c>
      <c r="N641" s="164">
        <f>ROUND(F641*('Model Data Inputs'!$E$184*'Model Data Inputs'!$E$185*'Model Data Inputs'!$E$186*'Model Data Inputs'!$E$187),2)</f>
        <v>261.27</v>
      </c>
      <c r="O641" s="171">
        <f t="shared" si="39"/>
        <v>165645.18</v>
      </c>
    </row>
    <row r="642" spans="1:15" x14ac:dyDescent="0.2">
      <c r="A642" s="168">
        <v>635</v>
      </c>
      <c r="B642" s="159">
        <v>712.6161184534044</v>
      </c>
      <c r="C642" s="169">
        <f t="shared" si="36"/>
        <v>452511.23521791177</v>
      </c>
      <c r="D642" s="153"/>
      <c r="E642" s="170">
        <v>635</v>
      </c>
      <c r="F642" s="162">
        <v>261.17103166322835</v>
      </c>
      <c r="G642" s="171">
        <f t="shared" si="37"/>
        <v>165843.60510615</v>
      </c>
      <c r="I642" s="168">
        <v>635</v>
      </c>
      <c r="J642" s="167">
        <f>ROUND(B642*('Model Data Inputs'!$E$184*'Model Data Inputs'!$E$185*'Model Data Inputs'!$E$186*'Model Data Inputs'!$E$187),2)</f>
        <v>712.62</v>
      </c>
      <c r="K642" s="169">
        <f t="shared" si="38"/>
        <v>452513.7</v>
      </c>
      <c r="L642" s="153"/>
      <c r="M642" s="170">
        <v>635</v>
      </c>
      <c r="N642" s="164">
        <f>ROUND(F642*('Model Data Inputs'!$E$184*'Model Data Inputs'!$E$185*'Model Data Inputs'!$E$186*'Model Data Inputs'!$E$187),2)</f>
        <v>261.17</v>
      </c>
      <c r="O642" s="171">
        <f t="shared" si="39"/>
        <v>165842.95000000001</v>
      </c>
    </row>
    <row r="643" spans="1:15" x14ac:dyDescent="0.2">
      <c r="A643" s="168">
        <v>636</v>
      </c>
      <c r="B643" s="159">
        <v>712.42726280174145</v>
      </c>
      <c r="C643" s="169">
        <f t="shared" si="36"/>
        <v>453103.73914190754</v>
      </c>
      <c r="D643" s="153"/>
      <c r="E643" s="170">
        <v>636</v>
      </c>
      <c r="F643" s="162">
        <v>261.07664546175329</v>
      </c>
      <c r="G643" s="171">
        <f t="shared" si="37"/>
        <v>166044.74651367508</v>
      </c>
      <c r="I643" s="168">
        <v>636</v>
      </c>
      <c r="J643" s="167">
        <f>ROUND(B643*('Model Data Inputs'!$E$184*'Model Data Inputs'!$E$185*'Model Data Inputs'!$E$186*'Model Data Inputs'!$E$187),2)</f>
        <v>712.43</v>
      </c>
      <c r="K643" s="169">
        <f t="shared" si="38"/>
        <v>453105.48</v>
      </c>
      <c r="L643" s="153"/>
      <c r="M643" s="170">
        <v>636</v>
      </c>
      <c r="N643" s="164">
        <f>ROUND(F643*('Model Data Inputs'!$E$184*'Model Data Inputs'!$E$185*'Model Data Inputs'!$E$186*'Model Data Inputs'!$E$187),2)</f>
        <v>261.08</v>
      </c>
      <c r="O643" s="171">
        <f t="shared" si="39"/>
        <v>166046.87999999998</v>
      </c>
    </row>
    <row r="644" spans="1:15" x14ac:dyDescent="0.2">
      <c r="A644" s="168">
        <v>637</v>
      </c>
      <c r="B644" s="159">
        <v>712.23840715007839</v>
      </c>
      <c r="C644" s="169">
        <f t="shared" si="36"/>
        <v>453695.86535459996</v>
      </c>
      <c r="D644" s="153"/>
      <c r="E644" s="170">
        <v>637</v>
      </c>
      <c r="F644" s="162">
        <v>260.98225926027823</v>
      </c>
      <c r="G644" s="171">
        <f t="shared" si="37"/>
        <v>166245.69914879723</v>
      </c>
      <c r="I644" s="168">
        <v>637</v>
      </c>
      <c r="J644" s="167">
        <f>ROUND(B644*('Model Data Inputs'!$E$184*'Model Data Inputs'!$E$185*'Model Data Inputs'!$E$186*'Model Data Inputs'!$E$187),2)</f>
        <v>712.24</v>
      </c>
      <c r="K644" s="169">
        <f t="shared" si="38"/>
        <v>453696.88</v>
      </c>
      <c r="L644" s="153"/>
      <c r="M644" s="170">
        <v>637</v>
      </c>
      <c r="N644" s="164">
        <f>ROUND(F644*('Model Data Inputs'!$E$184*'Model Data Inputs'!$E$185*'Model Data Inputs'!$E$186*'Model Data Inputs'!$E$187),2)</f>
        <v>260.98</v>
      </c>
      <c r="O644" s="171">
        <f t="shared" si="39"/>
        <v>166244.26</v>
      </c>
    </row>
    <row r="645" spans="1:15" x14ac:dyDescent="0.2">
      <c r="A645" s="168">
        <v>638</v>
      </c>
      <c r="B645" s="159">
        <v>712.04955149841533</v>
      </c>
      <c r="C645" s="169">
        <f t="shared" si="36"/>
        <v>454287.61385598895</v>
      </c>
      <c r="D645" s="153"/>
      <c r="E645" s="170">
        <v>638</v>
      </c>
      <c r="F645" s="162">
        <v>260.88787305880322</v>
      </c>
      <c r="G645" s="171">
        <f t="shared" si="37"/>
        <v>166446.46301151646</v>
      </c>
      <c r="I645" s="168">
        <v>638</v>
      </c>
      <c r="J645" s="167">
        <f>ROUND(B645*('Model Data Inputs'!$E$184*'Model Data Inputs'!$E$185*'Model Data Inputs'!$E$186*'Model Data Inputs'!$E$187),2)</f>
        <v>712.05</v>
      </c>
      <c r="K645" s="169">
        <f t="shared" si="38"/>
        <v>454287.89999999997</v>
      </c>
      <c r="L645" s="153"/>
      <c r="M645" s="170">
        <v>638</v>
      </c>
      <c r="N645" s="164">
        <f>ROUND(F645*('Model Data Inputs'!$E$184*'Model Data Inputs'!$E$185*'Model Data Inputs'!$E$186*'Model Data Inputs'!$E$187),2)</f>
        <v>260.89</v>
      </c>
      <c r="O645" s="171">
        <f t="shared" si="39"/>
        <v>166447.81999999998</v>
      </c>
    </row>
    <row r="646" spans="1:15" x14ac:dyDescent="0.2">
      <c r="A646" s="168">
        <v>639</v>
      </c>
      <c r="B646" s="159">
        <v>711.86069584675204</v>
      </c>
      <c r="C646" s="169">
        <f t="shared" si="36"/>
        <v>454878.98464607453</v>
      </c>
      <c r="D646" s="153"/>
      <c r="E646" s="170">
        <v>639</v>
      </c>
      <c r="F646" s="162">
        <v>260.79348685732816</v>
      </c>
      <c r="G646" s="171">
        <f t="shared" si="37"/>
        <v>166647.0381018327</v>
      </c>
      <c r="I646" s="168">
        <v>639</v>
      </c>
      <c r="J646" s="167">
        <f>ROUND(B646*('Model Data Inputs'!$E$184*'Model Data Inputs'!$E$185*'Model Data Inputs'!$E$186*'Model Data Inputs'!$E$187),2)</f>
        <v>711.86</v>
      </c>
      <c r="K646" s="169">
        <f t="shared" si="38"/>
        <v>454878.54000000004</v>
      </c>
      <c r="L646" s="153"/>
      <c r="M646" s="170">
        <v>639</v>
      </c>
      <c r="N646" s="164">
        <f>ROUND(F646*('Model Data Inputs'!$E$184*'Model Data Inputs'!$E$185*'Model Data Inputs'!$E$186*'Model Data Inputs'!$E$187),2)</f>
        <v>260.79000000000002</v>
      </c>
      <c r="O646" s="171">
        <f t="shared" si="39"/>
        <v>166644.81000000003</v>
      </c>
    </row>
    <row r="647" spans="1:15" x14ac:dyDescent="0.2">
      <c r="A647" s="168">
        <v>640</v>
      </c>
      <c r="B647" s="159">
        <v>711.67184019508898</v>
      </c>
      <c r="C647" s="169">
        <f t="shared" si="36"/>
        <v>455469.97772485693</v>
      </c>
      <c r="D647" s="153"/>
      <c r="E647" s="170">
        <v>640</v>
      </c>
      <c r="F647" s="162">
        <v>260.6991006558531</v>
      </c>
      <c r="G647" s="171">
        <f t="shared" si="37"/>
        <v>166847.42441974598</v>
      </c>
      <c r="I647" s="168">
        <v>640</v>
      </c>
      <c r="J647" s="167">
        <f>ROUND(B647*('Model Data Inputs'!$E$184*'Model Data Inputs'!$E$185*'Model Data Inputs'!$E$186*'Model Data Inputs'!$E$187),2)</f>
        <v>711.67</v>
      </c>
      <c r="K647" s="169">
        <f t="shared" si="38"/>
        <v>455468.79999999999</v>
      </c>
      <c r="L647" s="153"/>
      <c r="M647" s="170">
        <v>640</v>
      </c>
      <c r="N647" s="164">
        <f>ROUND(F647*('Model Data Inputs'!$E$184*'Model Data Inputs'!$E$185*'Model Data Inputs'!$E$186*'Model Data Inputs'!$E$187),2)</f>
        <v>260.7</v>
      </c>
      <c r="O647" s="171">
        <f t="shared" si="39"/>
        <v>166848</v>
      </c>
    </row>
    <row r="648" spans="1:15" x14ac:dyDescent="0.2">
      <c r="A648" s="168">
        <v>641</v>
      </c>
      <c r="B648" s="159">
        <v>711.48298454342591</v>
      </c>
      <c r="C648" s="169">
        <f t="shared" ref="C648:C711" si="40">A648*B648</f>
        <v>456060.59309233603</v>
      </c>
      <c r="D648" s="153"/>
      <c r="E648" s="170">
        <v>641</v>
      </c>
      <c r="F648" s="162">
        <v>260.6047144543781</v>
      </c>
      <c r="G648" s="171">
        <f t="shared" ref="G648:G711" si="41">E648*F648</f>
        <v>167047.62196525637</v>
      </c>
      <c r="I648" s="168">
        <v>641</v>
      </c>
      <c r="J648" s="167">
        <f>ROUND(B648*('Model Data Inputs'!$E$184*'Model Data Inputs'!$E$185*'Model Data Inputs'!$E$186*'Model Data Inputs'!$E$187),2)</f>
        <v>711.48</v>
      </c>
      <c r="K648" s="169">
        <f t="shared" ref="K648:K711" si="42">I648*J648</f>
        <v>456058.68</v>
      </c>
      <c r="L648" s="153"/>
      <c r="M648" s="170">
        <v>641</v>
      </c>
      <c r="N648" s="164">
        <f>ROUND(F648*('Model Data Inputs'!$E$184*'Model Data Inputs'!$E$185*'Model Data Inputs'!$E$186*'Model Data Inputs'!$E$187),2)</f>
        <v>260.60000000000002</v>
      </c>
      <c r="O648" s="171">
        <f t="shared" ref="O648:O711" si="43">M648*N648</f>
        <v>167044.6</v>
      </c>
    </row>
    <row r="649" spans="1:15" x14ac:dyDescent="0.2">
      <c r="A649" s="168">
        <v>642</v>
      </c>
      <c r="B649" s="159">
        <v>711.29412889176285</v>
      </c>
      <c r="C649" s="169">
        <f t="shared" si="40"/>
        <v>456650.83074851177</v>
      </c>
      <c r="D649" s="153"/>
      <c r="E649" s="170">
        <v>642</v>
      </c>
      <c r="F649" s="162">
        <v>260.51032825290304</v>
      </c>
      <c r="G649" s="171">
        <f t="shared" si="41"/>
        <v>167247.63073836375</v>
      </c>
      <c r="I649" s="168">
        <v>642</v>
      </c>
      <c r="J649" s="167">
        <f>ROUND(B649*('Model Data Inputs'!$E$184*'Model Data Inputs'!$E$185*'Model Data Inputs'!$E$186*'Model Data Inputs'!$E$187),2)</f>
        <v>711.29</v>
      </c>
      <c r="K649" s="169">
        <f t="shared" si="42"/>
        <v>456648.18</v>
      </c>
      <c r="L649" s="153"/>
      <c r="M649" s="170">
        <v>642</v>
      </c>
      <c r="N649" s="164">
        <f>ROUND(F649*('Model Data Inputs'!$E$184*'Model Data Inputs'!$E$185*'Model Data Inputs'!$E$186*'Model Data Inputs'!$E$187),2)</f>
        <v>260.51</v>
      </c>
      <c r="O649" s="171">
        <f t="shared" si="43"/>
        <v>167247.41999999998</v>
      </c>
    </row>
    <row r="650" spans="1:15" x14ac:dyDescent="0.2">
      <c r="A650" s="168">
        <v>643</v>
      </c>
      <c r="B650" s="159">
        <v>711.10527324009979</v>
      </c>
      <c r="C650" s="169">
        <f t="shared" si="40"/>
        <v>457240.69069338415</v>
      </c>
      <c r="D650" s="153"/>
      <c r="E650" s="170">
        <v>643</v>
      </c>
      <c r="F650" s="162">
        <v>260.41594205142803</v>
      </c>
      <c r="G650" s="171">
        <f t="shared" si="41"/>
        <v>167447.45073906821</v>
      </c>
      <c r="I650" s="168">
        <v>643</v>
      </c>
      <c r="J650" s="167">
        <f>ROUND(B650*('Model Data Inputs'!$E$184*'Model Data Inputs'!$E$185*'Model Data Inputs'!$E$186*'Model Data Inputs'!$E$187),2)</f>
        <v>711.11</v>
      </c>
      <c r="K650" s="169">
        <f t="shared" si="42"/>
        <v>457243.73</v>
      </c>
      <c r="L650" s="153"/>
      <c r="M650" s="170">
        <v>643</v>
      </c>
      <c r="N650" s="164">
        <f>ROUND(F650*('Model Data Inputs'!$E$184*'Model Data Inputs'!$E$185*'Model Data Inputs'!$E$186*'Model Data Inputs'!$E$187),2)</f>
        <v>260.42</v>
      </c>
      <c r="O650" s="171">
        <f t="shared" si="43"/>
        <v>167450.06</v>
      </c>
    </row>
    <row r="651" spans="1:15" x14ac:dyDescent="0.2">
      <c r="A651" s="168">
        <v>644</v>
      </c>
      <c r="B651" s="159">
        <v>710.91641758843673</v>
      </c>
      <c r="C651" s="169">
        <f t="shared" si="40"/>
        <v>457830.17292695324</v>
      </c>
      <c r="D651" s="153"/>
      <c r="E651" s="170">
        <v>644</v>
      </c>
      <c r="F651" s="162">
        <v>260.32155584995297</v>
      </c>
      <c r="G651" s="171">
        <f t="shared" si="41"/>
        <v>167647.08196736971</v>
      </c>
      <c r="I651" s="168">
        <v>644</v>
      </c>
      <c r="J651" s="167">
        <f>ROUND(B651*('Model Data Inputs'!$E$184*'Model Data Inputs'!$E$185*'Model Data Inputs'!$E$186*'Model Data Inputs'!$E$187),2)</f>
        <v>710.92</v>
      </c>
      <c r="K651" s="169">
        <f t="shared" si="42"/>
        <v>457832.48</v>
      </c>
      <c r="L651" s="153"/>
      <c r="M651" s="170">
        <v>644</v>
      </c>
      <c r="N651" s="164">
        <f>ROUND(F651*('Model Data Inputs'!$E$184*'Model Data Inputs'!$E$185*'Model Data Inputs'!$E$186*'Model Data Inputs'!$E$187),2)</f>
        <v>260.32</v>
      </c>
      <c r="O651" s="171">
        <f t="shared" si="43"/>
        <v>167646.07999999999</v>
      </c>
    </row>
    <row r="652" spans="1:15" x14ac:dyDescent="0.2">
      <c r="A652" s="168">
        <v>645</v>
      </c>
      <c r="B652" s="159">
        <v>710.72756193677344</v>
      </c>
      <c r="C652" s="169">
        <f t="shared" si="40"/>
        <v>458419.27744921885</v>
      </c>
      <c r="D652" s="153"/>
      <c r="E652" s="170">
        <v>645</v>
      </c>
      <c r="F652" s="162">
        <v>260.22716964847797</v>
      </c>
      <c r="G652" s="171">
        <f t="shared" si="41"/>
        <v>167846.5244232683</v>
      </c>
      <c r="I652" s="168">
        <v>645</v>
      </c>
      <c r="J652" s="167">
        <f>ROUND(B652*('Model Data Inputs'!$E$184*'Model Data Inputs'!$E$185*'Model Data Inputs'!$E$186*'Model Data Inputs'!$E$187),2)</f>
        <v>710.73</v>
      </c>
      <c r="K652" s="169">
        <f t="shared" si="42"/>
        <v>458420.85000000003</v>
      </c>
      <c r="L652" s="153"/>
      <c r="M652" s="170">
        <v>645</v>
      </c>
      <c r="N652" s="164">
        <f>ROUND(F652*('Model Data Inputs'!$E$184*'Model Data Inputs'!$E$185*'Model Data Inputs'!$E$186*'Model Data Inputs'!$E$187),2)</f>
        <v>260.23</v>
      </c>
      <c r="O652" s="171">
        <f t="shared" si="43"/>
        <v>167848.35</v>
      </c>
    </row>
    <row r="653" spans="1:15" x14ac:dyDescent="0.2">
      <c r="A653" s="168">
        <v>646</v>
      </c>
      <c r="B653" s="159">
        <v>710.53870628511049</v>
      </c>
      <c r="C653" s="169">
        <f t="shared" si="40"/>
        <v>459008.00426018139</v>
      </c>
      <c r="D653" s="153"/>
      <c r="E653" s="170">
        <v>646</v>
      </c>
      <c r="F653" s="162">
        <v>260.13278344700296</v>
      </c>
      <c r="G653" s="171">
        <f t="shared" si="41"/>
        <v>168045.7781067639</v>
      </c>
      <c r="I653" s="168">
        <v>646</v>
      </c>
      <c r="J653" s="167">
        <f>ROUND(B653*('Model Data Inputs'!$E$184*'Model Data Inputs'!$E$185*'Model Data Inputs'!$E$186*'Model Data Inputs'!$E$187),2)</f>
        <v>710.54</v>
      </c>
      <c r="K653" s="169">
        <f t="shared" si="42"/>
        <v>459008.83999999997</v>
      </c>
      <c r="L653" s="153"/>
      <c r="M653" s="170">
        <v>646</v>
      </c>
      <c r="N653" s="164">
        <f>ROUND(F653*('Model Data Inputs'!$E$184*'Model Data Inputs'!$E$185*'Model Data Inputs'!$E$186*'Model Data Inputs'!$E$187),2)</f>
        <v>260.13</v>
      </c>
      <c r="O653" s="171">
        <f t="shared" si="43"/>
        <v>168043.98</v>
      </c>
    </row>
    <row r="654" spans="1:15" x14ac:dyDescent="0.2">
      <c r="A654" s="168">
        <v>647</v>
      </c>
      <c r="B654" s="159">
        <v>710.34985063344755</v>
      </c>
      <c r="C654" s="169">
        <f t="shared" si="40"/>
        <v>459596.35335984058</v>
      </c>
      <c r="D654" s="153"/>
      <c r="E654" s="170">
        <v>647</v>
      </c>
      <c r="F654" s="162">
        <v>260.03839724552796</v>
      </c>
      <c r="G654" s="171">
        <f t="shared" si="41"/>
        <v>168244.84301785659</v>
      </c>
      <c r="I654" s="168">
        <v>647</v>
      </c>
      <c r="J654" s="167">
        <f>ROUND(B654*('Model Data Inputs'!$E$184*'Model Data Inputs'!$E$185*'Model Data Inputs'!$E$186*'Model Data Inputs'!$E$187),2)</f>
        <v>710.35</v>
      </c>
      <c r="K654" s="169">
        <f t="shared" si="42"/>
        <v>459596.45</v>
      </c>
      <c r="L654" s="153"/>
      <c r="M654" s="170">
        <v>647</v>
      </c>
      <c r="N654" s="164">
        <f>ROUND(F654*('Model Data Inputs'!$E$184*'Model Data Inputs'!$E$185*'Model Data Inputs'!$E$186*'Model Data Inputs'!$E$187),2)</f>
        <v>260.04000000000002</v>
      </c>
      <c r="O654" s="171">
        <f t="shared" si="43"/>
        <v>168245.88</v>
      </c>
    </row>
    <row r="655" spans="1:15" x14ac:dyDescent="0.2">
      <c r="A655" s="168">
        <v>648</v>
      </c>
      <c r="B655" s="159">
        <v>710.1609949817846</v>
      </c>
      <c r="C655" s="169">
        <f t="shared" si="40"/>
        <v>460184.32474819641</v>
      </c>
      <c r="D655" s="153"/>
      <c r="E655" s="170">
        <v>648</v>
      </c>
      <c r="F655" s="162">
        <v>259.94401104405284</v>
      </c>
      <c r="G655" s="171">
        <f t="shared" si="41"/>
        <v>168443.71915654626</v>
      </c>
      <c r="I655" s="168">
        <v>648</v>
      </c>
      <c r="J655" s="167">
        <f>ROUND(B655*('Model Data Inputs'!$E$184*'Model Data Inputs'!$E$185*'Model Data Inputs'!$E$186*'Model Data Inputs'!$E$187),2)</f>
        <v>710.16</v>
      </c>
      <c r="K655" s="169">
        <f t="shared" si="42"/>
        <v>460183.68</v>
      </c>
      <c r="L655" s="153"/>
      <c r="M655" s="170">
        <v>648</v>
      </c>
      <c r="N655" s="164">
        <f>ROUND(F655*('Model Data Inputs'!$E$184*'Model Data Inputs'!$E$185*'Model Data Inputs'!$E$186*'Model Data Inputs'!$E$187),2)</f>
        <v>259.94</v>
      </c>
      <c r="O655" s="171">
        <f t="shared" si="43"/>
        <v>168441.12</v>
      </c>
    </row>
    <row r="656" spans="1:15" x14ac:dyDescent="0.2">
      <c r="A656" s="168">
        <v>649</v>
      </c>
      <c r="B656" s="159">
        <v>709.97213933012131</v>
      </c>
      <c r="C656" s="169">
        <f t="shared" si="40"/>
        <v>460771.9184252487</v>
      </c>
      <c r="D656" s="153"/>
      <c r="E656" s="170">
        <v>649</v>
      </c>
      <c r="F656" s="162">
        <v>259.84962484257784</v>
      </c>
      <c r="G656" s="171">
        <f t="shared" si="41"/>
        <v>168642.40652283301</v>
      </c>
      <c r="I656" s="168">
        <v>649</v>
      </c>
      <c r="J656" s="167">
        <f>ROUND(B656*('Model Data Inputs'!$E$184*'Model Data Inputs'!$E$185*'Model Data Inputs'!$E$186*'Model Data Inputs'!$E$187),2)</f>
        <v>709.97</v>
      </c>
      <c r="K656" s="169">
        <f t="shared" si="42"/>
        <v>460770.53</v>
      </c>
      <c r="L656" s="153"/>
      <c r="M656" s="170">
        <v>649</v>
      </c>
      <c r="N656" s="164">
        <f>ROUND(F656*('Model Data Inputs'!$E$184*'Model Data Inputs'!$E$185*'Model Data Inputs'!$E$186*'Model Data Inputs'!$E$187),2)</f>
        <v>259.85000000000002</v>
      </c>
      <c r="O656" s="171">
        <f t="shared" si="43"/>
        <v>168642.65000000002</v>
      </c>
    </row>
    <row r="657" spans="1:15" x14ac:dyDescent="0.2">
      <c r="A657" s="168">
        <v>650</v>
      </c>
      <c r="B657" s="159">
        <v>709.78328367845836</v>
      </c>
      <c r="C657" s="169">
        <f t="shared" si="40"/>
        <v>461359.13439099793</v>
      </c>
      <c r="D657" s="153"/>
      <c r="E657" s="170">
        <v>650</v>
      </c>
      <c r="F657" s="162">
        <v>259.75523864110278</v>
      </c>
      <c r="G657" s="171">
        <f t="shared" si="41"/>
        <v>168840.90511671681</v>
      </c>
      <c r="I657" s="168">
        <v>650</v>
      </c>
      <c r="J657" s="167">
        <f>ROUND(B657*('Model Data Inputs'!$E$184*'Model Data Inputs'!$E$185*'Model Data Inputs'!$E$186*'Model Data Inputs'!$E$187),2)</f>
        <v>709.78</v>
      </c>
      <c r="K657" s="169">
        <f t="shared" si="42"/>
        <v>461357</v>
      </c>
      <c r="L657" s="153"/>
      <c r="M657" s="170">
        <v>650</v>
      </c>
      <c r="N657" s="164">
        <f>ROUND(F657*('Model Data Inputs'!$E$184*'Model Data Inputs'!$E$185*'Model Data Inputs'!$E$186*'Model Data Inputs'!$E$187),2)</f>
        <v>259.76</v>
      </c>
      <c r="O657" s="171">
        <f t="shared" si="43"/>
        <v>168844</v>
      </c>
    </row>
    <row r="658" spans="1:15" x14ac:dyDescent="0.2">
      <c r="A658" s="168">
        <v>651</v>
      </c>
      <c r="B658" s="159">
        <v>709.59442802679496</v>
      </c>
      <c r="C658" s="169">
        <f t="shared" si="40"/>
        <v>461945.97264544351</v>
      </c>
      <c r="D658" s="153"/>
      <c r="E658" s="170">
        <v>651</v>
      </c>
      <c r="F658" s="162">
        <v>259.66085243962777</v>
      </c>
      <c r="G658" s="171">
        <f t="shared" si="41"/>
        <v>169039.21493819769</v>
      </c>
      <c r="I658" s="168">
        <v>651</v>
      </c>
      <c r="J658" s="167">
        <f>ROUND(B658*('Model Data Inputs'!$E$184*'Model Data Inputs'!$E$185*'Model Data Inputs'!$E$186*'Model Data Inputs'!$E$187),2)</f>
        <v>709.59</v>
      </c>
      <c r="K658" s="169">
        <f t="shared" si="42"/>
        <v>461943.09</v>
      </c>
      <c r="L658" s="153"/>
      <c r="M658" s="170">
        <v>651</v>
      </c>
      <c r="N658" s="164">
        <f>ROUND(F658*('Model Data Inputs'!$E$184*'Model Data Inputs'!$E$185*'Model Data Inputs'!$E$186*'Model Data Inputs'!$E$187),2)</f>
        <v>259.66000000000003</v>
      </c>
      <c r="O658" s="171">
        <f t="shared" si="43"/>
        <v>169038.66</v>
      </c>
    </row>
    <row r="659" spans="1:15" x14ac:dyDescent="0.2">
      <c r="A659" s="168">
        <v>652</v>
      </c>
      <c r="B659" s="159">
        <v>709.4055723751319</v>
      </c>
      <c r="C659" s="169">
        <f t="shared" si="40"/>
        <v>462532.43318858597</v>
      </c>
      <c r="D659" s="153"/>
      <c r="E659" s="170">
        <v>652</v>
      </c>
      <c r="F659" s="162">
        <v>259.56646623815266</v>
      </c>
      <c r="G659" s="171">
        <f t="shared" si="41"/>
        <v>169237.33598727552</v>
      </c>
      <c r="I659" s="168">
        <v>652</v>
      </c>
      <c r="J659" s="167">
        <f>ROUND(B659*('Model Data Inputs'!$E$184*'Model Data Inputs'!$E$185*'Model Data Inputs'!$E$186*'Model Data Inputs'!$E$187),2)</f>
        <v>709.41</v>
      </c>
      <c r="K659" s="169">
        <f t="shared" si="42"/>
        <v>462535.32</v>
      </c>
      <c r="L659" s="153"/>
      <c r="M659" s="170">
        <v>652</v>
      </c>
      <c r="N659" s="164">
        <f>ROUND(F659*('Model Data Inputs'!$E$184*'Model Data Inputs'!$E$185*'Model Data Inputs'!$E$186*'Model Data Inputs'!$E$187),2)</f>
        <v>259.57</v>
      </c>
      <c r="O659" s="171">
        <f t="shared" si="43"/>
        <v>169239.63999999998</v>
      </c>
    </row>
    <row r="660" spans="1:15" x14ac:dyDescent="0.2">
      <c r="A660" s="168">
        <v>653</v>
      </c>
      <c r="B660" s="159">
        <v>709.21671672346872</v>
      </c>
      <c r="C660" s="169">
        <f t="shared" si="40"/>
        <v>463118.51602042507</v>
      </c>
      <c r="D660" s="153"/>
      <c r="E660" s="170">
        <v>653</v>
      </c>
      <c r="F660" s="162">
        <v>259.47208003667765</v>
      </c>
      <c r="G660" s="171">
        <f t="shared" si="41"/>
        <v>169435.26826395051</v>
      </c>
      <c r="I660" s="168">
        <v>653</v>
      </c>
      <c r="J660" s="167">
        <f>ROUND(B660*('Model Data Inputs'!$E$184*'Model Data Inputs'!$E$185*'Model Data Inputs'!$E$186*'Model Data Inputs'!$E$187),2)</f>
        <v>709.22</v>
      </c>
      <c r="K660" s="169">
        <f t="shared" si="42"/>
        <v>463120.66000000003</v>
      </c>
      <c r="L660" s="153"/>
      <c r="M660" s="170">
        <v>653</v>
      </c>
      <c r="N660" s="164">
        <f>ROUND(F660*('Model Data Inputs'!$E$184*'Model Data Inputs'!$E$185*'Model Data Inputs'!$E$186*'Model Data Inputs'!$E$187),2)</f>
        <v>259.47000000000003</v>
      </c>
      <c r="O660" s="171">
        <f t="shared" si="43"/>
        <v>169433.91</v>
      </c>
    </row>
    <row r="661" spans="1:15" x14ac:dyDescent="0.2">
      <c r="A661" s="168">
        <v>654</v>
      </c>
      <c r="B661" s="159">
        <v>709.02786107180589</v>
      </c>
      <c r="C661" s="169">
        <f t="shared" si="40"/>
        <v>463704.22114096105</v>
      </c>
      <c r="D661" s="153"/>
      <c r="E661" s="170">
        <v>654</v>
      </c>
      <c r="F661" s="162">
        <v>259.37769383520259</v>
      </c>
      <c r="G661" s="171">
        <f t="shared" si="41"/>
        <v>169633.0117682225</v>
      </c>
      <c r="I661" s="168">
        <v>654</v>
      </c>
      <c r="J661" s="167">
        <f>ROUND(B661*('Model Data Inputs'!$E$184*'Model Data Inputs'!$E$185*'Model Data Inputs'!$E$186*'Model Data Inputs'!$E$187),2)</f>
        <v>709.03</v>
      </c>
      <c r="K661" s="169">
        <f t="shared" si="42"/>
        <v>463705.62</v>
      </c>
      <c r="L661" s="153"/>
      <c r="M661" s="170">
        <v>654</v>
      </c>
      <c r="N661" s="164">
        <f>ROUND(F661*('Model Data Inputs'!$E$184*'Model Data Inputs'!$E$185*'Model Data Inputs'!$E$186*'Model Data Inputs'!$E$187),2)</f>
        <v>259.38</v>
      </c>
      <c r="O661" s="171">
        <f t="shared" si="43"/>
        <v>169634.52</v>
      </c>
    </row>
    <row r="662" spans="1:15" x14ac:dyDescent="0.2">
      <c r="A662" s="168">
        <v>655</v>
      </c>
      <c r="B662" s="159">
        <v>708.83900542014283</v>
      </c>
      <c r="C662" s="169">
        <f t="shared" si="40"/>
        <v>464289.54855019355</v>
      </c>
      <c r="D662" s="153"/>
      <c r="E662" s="170">
        <v>655</v>
      </c>
      <c r="F662" s="162">
        <v>259.28330763372753</v>
      </c>
      <c r="G662" s="171">
        <f t="shared" si="41"/>
        <v>169830.56650009155</v>
      </c>
      <c r="I662" s="168">
        <v>655</v>
      </c>
      <c r="J662" s="167">
        <f>ROUND(B662*('Model Data Inputs'!$E$184*'Model Data Inputs'!$E$185*'Model Data Inputs'!$E$186*'Model Data Inputs'!$E$187),2)</f>
        <v>708.84</v>
      </c>
      <c r="K662" s="169">
        <f t="shared" si="42"/>
        <v>464290.2</v>
      </c>
      <c r="L662" s="153"/>
      <c r="M662" s="170">
        <v>655</v>
      </c>
      <c r="N662" s="164">
        <f>ROUND(F662*('Model Data Inputs'!$E$184*'Model Data Inputs'!$E$185*'Model Data Inputs'!$E$186*'Model Data Inputs'!$E$187),2)</f>
        <v>259.27999999999997</v>
      </c>
      <c r="O662" s="171">
        <f t="shared" si="43"/>
        <v>169828.4</v>
      </c>
    </row>
    <row r="663" spans="1:15" x14ac:dyDescent="0.2">
      <c r="A663" s="168">
        <v>656</v>
      </c>
      <c r="B663" s="159">
        <v>708.65014976847976</v>
      </c>
      <c r="C663" s="169">
        <f t="shared" si="40"/>
        <v>464874.49824812275</v>
      </c>
      <c r="D663" s="153"/>
      <c r="E663" s="170">
        <v>656</v>
      </c>
      <c r="F663" s="162">
        <v>259.18892143225253</v>
      </c>
      <c r="G663" s="171">
        <f t="shared" si="41"/>
        <v>170027.93245955766</v>
      </c>
      <c r="I663" s="168">
        <v>656</v>
      </c>
      <c r="J663" s="167">
        <f>ROUND(B663*('Model Data Inputs'!$E$184*'Model Data Inputs'!$E$185*'Model Data Inputs'!$E$186*'Model Data Inputs'!$E$187),2)</f>
        <v>708.65</v>
      </c>
      <c r="K663" s="169">
        <f t="shared" si="42"/>
        <v>464874.39999999997</v>
      </c>
      <c r="L663" s="153"/>
      <c r="M663" s="170">
        <v>656</v>
      </c>
      <c r="N663" s="164">
        <f>ROUND(F663*('Model Data Inputs'!$E$184*'Model Data Inputs'!$E$185*'Model Data Inputs'!$E$186*'Model Data Inputs'!$E$187),2)</f>
        <v>259.19</v>
      </c>
      <c r="O663" s="171">
        <f t="shared" si="43"/>
        <v>170028.63999999998</v>
      </c>
    </row>
    <row r="664" spans="1:15" x14ac:dyDescent="0.2">
      <c r="A664" s="168">
        <v>657</v>
      </c>
      <c r="B664" s="159">
        <v>708.46129411681659</v>
      </c>
      <c r="C664" s="169">
        <f t="shared" si="40"/>
        <v>465459.07023474848</v>
      </c>
      <c r="D664" s="153"/>
      <c r="E664" s="170">
        <v>657</v>
      </c>
      <c r="F664" s="162">
        <v>259.09453523077752</v>
      </c>
      <c r="G664" s="171">
        <f t="shared" si="41"/>
        <v>170225.10964662084</v>
      </c>
      <c r="I664" s="168">
        <v>657</v>
      </c>
      <c r="J664" s="167">
        <f>ROUND(B664*('Model Data Inputs'!$E$184*'Model Data Inputs'!$E$185*'Model Data Inputs'!$E$186*'Model Data Inputs'!$E$187),2)</f>
        <v>708.46</v>
      </c>
      <c r="K664" s="169">
        <f t="shared" si="42"/>
        <v>465458.22000000003</v>
      </c>
      <c r="L664" s="153"/>
      <c r="M664" s="170">
        <v>657</v>
      </c>
      <c r="N664" s="164">
        <f>ROUND(F664*('Model Data Inputs'!$E$184*'Model Data Inputs'!$E$185*'Model Data Inputs'!$E$186*'Model Data Inputs'!$E$187),2)</f>
        <v>259.08999999999997</v>
      </c>
      <c r="O664" s="171">
        <f t="shared" si="43"/>
        <v>170222.12999999998</v>
      </c>
    </row>
    <row r="665" spans="1:15" x14ac:dyDescent="0.2">
      <c r="A665" s="168">
        <v>658</v>
      </c>
      <c r="B665" s="159">
        <v>708.27243846515353</v>
      </c>
      <c r="C665" s="169">
        <f t="shared" si="40"/>
        <v>466043.26451007102</v>
      </c>
      <c r="D665" s="153"/>
      <c r="E665" s="170">
        <v>658</v>
      </c>
      <c r="F665" s="162">
        <v>259.00014902930252</v>
      </c>
      <c r="G665" s="171">
        <f t="shared" si="41"/>
        <v>170422.09806128105</v>
      </c>
      <c r="I665" s="168">
        <v>658</v>
      </c>
      <c r="J665" s="167">
        <f>ROUND(B665*('Model Data Inputs'!$E$184*'Model Data Inputs'!$E$185*'Model Data Inputs'!$E$186*'Model Data Inputs'!$E$187),2)</f>
        <v>708.27</v>
      </c>
      <c r="K665" s="169">
        <f t="shared" si="42"/>
        <v>466041.66</v>
      </c>
      <c r="L665" s="153"/>
      <c r="M665" s="170">
        <v>658</v>
      </c>
      <c r="N665" s="164">
        <f>ROUND(F665*('Model Data Inputs'!$E$184*'Model Data Inputs'!$E$185*'Model Data Inputs'!$E$186*'Model Data Inputs'!$E$187),2)</f>
        <v>259</v>
      </c>
      <c r="O665" s="171">
        <f t="shared" si="43"/>
        <v>170422</v>
      </c>
    </row>
    <row r="666" spans="1:15" x14ac:dyDescent="0.2">
      <c r="A666" s="168">
        <v>659</v>
      </c>
      <c r="B666" s="159">
        <v>708.08358281349047</v>
      </c>
      <c r="C666" s="169">
        <f t="shared" si="40"/>
        <v>466627.08107409021</v>
      </c>
      <c r="D666" s="153"/>
      <c r="E666" s="170">
        <v>659</v>
      </c>
      <c r="F666" s="162">
        <v>258.90576282782746</v>
      </c>
      <c r="G666" s="171">
        <f t="shared" si="41"/>
        <v>170618.8977035383</v>
      </c>
      <c r="I666" s="168">
        <v>659</v>
      </c>
      <c r="J666" s="167">
        <f>ROUND(B666*('Model Data Inputs'!$E$184*'Model Data Inputs'!$E$185*'Model Data Inputs'!$E$186*'Model Data Inputs'!$E$187),2)</f>
        <v>708.08</v>
      </c>
      <c r="K666" s="169">
        <f t="shared" si="42"/>
        <v>466624.72000000003</v>
      </c>
      <c r="L666" s="153"/>
      <c r="M666" s="170">
        <v>659</v>
      </c>
      <c r="N666" s="164">
        <f>ROUND(F666*('Model Data Inputs'!$E$184*'Model Data Inputs'!$E$185*'Model Data Inputs'!$E$186*'Model Data Inputs'!$E$187),2)</f>
        <v>258.91000000000003</v>
      </c>
      <c r="O666" s="171">
        <f t="shared" si="43"/>
        <v>170621.69</v>
      </c>
    </row>
    <row r="667" spans="1:15" x14ac:dyDescent="0.2">
      <c r="A667" s="168">
        <v>660</v>
      </c>
      <c r="B667" s="159">
        <v>707.89472716182729</v>
      </c>
      <c r="C667" s="169">
        <f t="shared" si="40"/>
        <v>467210.51992680604</v>
      </c>
      <c r="D667" s="153"/>
      <c r="E667" s="170">
        <v>660</v>
      </c>
      <c r="F667" s="162">
        <v>258.8113766263524</v>
      </c>
      <c r="G667" s="171">
        <f t="shared" si="41"/>
        <v>170815.50857339258</v>
      </c>
      <c r="I667" s="168">
        <v>660</v>
      </c>
      <c r="J667" s="167">
        <f>ROUND(B667*('Model Data Inputs'!$E$184*'Model Data Inputs'!$E$185*'Model Data Inputs'!$E$186*'Model Data Inputs'!$E$187),2)</f>
        <v>707.89</v>
      </c>
      <c r="K667" s="169">
        <f t="shared" si="42"/>
        <v>467207.39999999997</v>
      </c>
      <c r="L667" s="153"/>
      <c r="M667" s="170">
        <v>660</v>
      </c>
      <c r="N667" s="164">
        <f>ROUND(F667*('Model Data Inputs'!$E$184*'Model Data Inputs'!$E$185*'Model Data Inputs'!$E$186*'Model Data Inputs'!$E$187),2)</f>
        <v>258.81</v>
      </c>
      <c r="O667" s="171">
        <f t="shared" si="43"/>
        <v>170814.6</v>
      </c>
    </row>
    <row r="668" spans="1:15" x14ac:dyDescent="0.2">
      <c r="A668" s="168">
        <v>661</v>
      </c>
      <c r="B668" s="159">
        <v>707.70587151016446</v>
      </c>
      <c r="C668" s="169">
        <f t="shared" si="40"/>
        <v>467793.58106821869</v>
      </c>
      <c r="D668" s="153"/>
      <c r="E668" s="170">
        <v>661</v>
      </c>
      <c r="F668" s="162">
        <v>258.71699042487734</v>
      </c>
      <c r="G668" s="171">
        <f t="shared" si="41"/>
        <v>171011.93067084393</v>
      </c>
      <c r="I668" s="168">
        <v>661</v>
      </c>
      <c r="J668" s="167">
        <f>ROUND(B668*('Model Data Inputs'!$E$184*'Model Data Inputs'!$E$185*'Model Data Inputs'!$E$186*'Model Data Inputs'!$E$187),2)</f>
        <v>707.71</v>
      </c>
      <c r="K668" s="169">
        <f t="shared" si="42"/>
        <v>467796.31</v>
      </c>
      <c r="L668" s="153"/>
      <c r="M668" s="170">
        <v>661</v>
      </c>
      <c r="N668" s="164">
        <f>ROUND(F668*('Model Data Inputs'!$E$184*'Model Data Inputs'!$E$185*'Model Data Inputs'!$E$186*'Model Data Inputs'!$E$187),2)</f>
        <v>258.72000000000003</v>
      </c>
      <c r="O668" s="171">
        <f t="shared" si="43"/>
        <v>171013.92</v>
      </c>
    </row>
    <row r="669" spans="1:15" x14ac:dyDescent="0.2">
      <c r="A669" s="168">
        <v>662</v>
      </c>
      <c r="B669" s="159">
        <v>707.51701585850128</v>
      </c>
      <c r="C669" s="169">
        <f t="shared" si="40"/>
        <v>468376.26449832786</v>
      </c>
      <c r="D669" s="153"/>
      <c r="E669" s="170">
        <v>662</v>
      </c>
      <c r="F669" s="162">
        <v>258.62260422340239</v>
      </c>
      <c r="G669" s="171">
        <f t="shared" si="41"/>
        <v>171208.16399589239</v>
      </c>
      <c r="I669" s="168">
        <v>662</v>
      </c>
      <c r="J669" s="167">
        <f>ROUND(B669*('Model Data Inputs'!$E$184*'Model Data Inputs'!$E$185*'Model Data Inputs'!$E$186*'Model Data Inputs'!$E$187),2)</f>
        <v>707.52</v>
      </c>
      <c r="K669" s="169">
        <f t="shared" si="42"/>
        <v>468378.24</v>
      </c>
      <c r="L669" s="153"/>
      <c r="M669" s="170">
        <v>662</v>
      </c>
      <c r="N669" s="164">
        <f>ROUND(F669*('Model Data Inputs'!$E$184*'Model Data Inputs'!$E$185*'Model Data Inputs'!$E$186*'Model Data Inputs'!$E$187),2)</f>
        <v>258.62</v>
      </c>
      <c r="O669" s="171">
        <f t="shared" si="43"/>
        <v>171206.44</v>
      </c>
    </row>
    <row r="670" spans="1:15" x14ac:dyDescent="0.2">
      <c r="A670" s="168">
        <v>663</v>
      </c>
      <c r="B670" s="159">
        <v>707.32816020683833</v>
      </c>
      <c r="C670" s="169">
        <f t="shared" si="40"/>
        <v>468958.57021713379</v>
      </c>
      <c r="D670" s="153"/>
      <c r="E670" s="170">
        <v>663</v>
      </c>
      <c r="F670" s="162">
        <v>258.52821802192722</v>
      </c>
      <c r="G670" s="171">
        <f t="shared" si="41"/>
        <v>171404.20854853775</v>
      </c>
      <c r="I670" s="168">
        <v>663</v>
      </c>
      <c r="J670" s="167">
        <f>ROUND(B670*('Model Data Inputs'!$E$184*'Model Data Inputs'!$E$185*'Model Data Inputs'!$E$186*'Model Data Inputs'!$E$187),2)</f>
        <v>707.33</v>
      </c>
      <c r="K670" s="169">
        <f t="shared" si="42"/>
        <v>468959.79000000004</v>
      </c>
      <c r="L670" s="153"/>
      <c r="M670" s="170">
        <v>663</v>
      </c>
      <c r="N670" s="164">
        <f>ROUND(F670*('Model Data Inputs'!$E$184*'Model Data Inputs'!$E$185*'Model Data Inputs'!$E$186*'Model Data Inputs'!$E$187),2)</f>
        <v>258.52999999999997</v>
      </c>
      <c r="O670" s="171">
        <f t="shared" si="43"/>
        <v>171405.38999999998</v>
      </c>
    </row>
    <row r="671" spans="1:15" x14ac:dyDescent="0.2">
      <c r="A671" s="168">
        <v>664</v>
      </c>
      <c r="B671" s="159">
        <v>707.13930455517493</v>
      </c>
      <c r="C671" s="169">
        <f t="shared" si="40"/>
        <v>469540.49822463613</v>
      </c>
      <c r="D671" s="153"/>
      <c r="E671" s="170">
        <v>664</v>
      </c>
      <c r="F671" s="162">
        <v>258.43383182045221</v>
      </c>
      <c r="G671" s="171">
        <f t="shared" si="41"/>
        <v>171600.06432878028</v>
      </c>
      <c r="I671" s="168">
        <v>664</v>
      </c>
      <c r="J671" s="167">
        <f>ROUND(B671*('Model Data Inputs'!$E$184*'Model Data Inputs'!$E$185*'Model Data Inputs'!$E$186*'Model Data Inputs'!$E$187),2)</f>
        <v>707.14</v>
      </c>
      <c r="K671" s="169">
        <f t="shared" si="42"/>
        <v>469540.95999999996</v>
      </c>
      <c r="L671" s="153"/>
      <c r="M671" s="170">
        <v>664</v>
      </c>
      <c r="N671" s="164">
        <f>ROUND(F671*('Model Data Inputs'!$E$184*'Model Data Inputs'!$E$185*'Model Data Inputs'!$E$186*'Model Data Inputs'!$E$187),2)</f>
        <v>258.43</v>
      </c>
      <c r="O671" s="171">
        <f t="shared" si="43"/>
        <v>171597.52000000002</v>
      </c>
    </row>
    <row r="672" spans="1:15" x14ac:dyDescent="0.2">
      <c r="A672" s="168">
        <v>665</v>
      </c>
      <c r="B672" s="159">
        <v>706.95044890351176</v>
      </c>
      <c r="C672" s="169">
        <f t="shared" si="40"/>
        <v>470122.04852083529</v>
      </c>
      <c r="D672" s="153"/>
      <c r="E672" s="170">
        <v>665</v>
      </c>
      <c r="F672" s="162">
        <v>258.33944561897721</v>
      </c>
      <c r="G672" s="171">
        <f t="shared" si="41"/>
        <v>171795.73133661985</v>
      </c>
      <c r="I672" s="168">
        <v>665</v>
      </c>
      <c r="J672" s="167">
        <f>ROUND(B672*('Model Data Inputs'!$E$184*'Model Data Inputs'!$E$185*'Model Data Inputs'!$E$186*'Model Data Inputs'!$E$187),2)</f>
        <v>706.95</v>
      </c>
      <c r="K672" s="169">
        <f t="shared" si="42"/>
        <v>470121.75000000006</v>
      </c>
      <c r="L672" s="153"/>
      <c r="M672" s="170">
        <v>665</v>
      </c>
      <c r="N672" s="164">
        <f>ROUND(F672*('Model Data Inputs'!$E$184*'Model Data Inputs'!$E$185*'Model Data Inputs'!$E$186*'Model Data Inputs'!$E$187),2)</f>
        <v>258.33999999999997</v>
      </c>
      <c r="O672" s="171">
        <f t="shared" si="43"/>
        <v>171796.09999999998</v>
      </c>
    </row>
    <row r="673" spans="1:15" x14ac:dyDescent="0.2">
      <c r="A673" s="168">
        <v>666</v>
      </c>
      <c r="B673" s="159">
        <v>706.76159325184869</v>
      </c>
      <c r="C673" s="169">
        <f t="shared" si="40"/>
        <v>470703.22110573121</v>
      </c>
      <c r="D673" s="153"/>
      <c r="E673" s="170">
        <v>666</v>
      </c>
      <c r="F673" s="162">
        <v>258.24505941750215</v>
      </c>
      <c r="G673" s="171">
        <f t="shared" si="41"/>
        <v>171991.20957205642</v>
      </c>
      <c r="I673" s="168">
        <v>666</v>
      </c>
      <c r="J673" s="167">
        <f>ROUND(B673*('Model Data Inputs'!$E$184*'Model Data Inputs'!$E$185*'Model Data Inputs'!$E$186*'Model Data Inputs'!$E$187),2)</f>
        <v>706.76</v>
      </c>
      <c r="K673" s="169">
        <f t="shared" si="42"/>
        <v>470702.16</v>
      </c>
      <c r="L673" s="153"/>
      <c r="M673" s="170">
        <v>666</v>
      </c>
      <c r="N673" s="164">
        <f>ROUND(F673*('Model Data Inputs'!$E$184*'Model Data Inputs'!$E$185*'Model Data Inputs'!$E$186*'Model Data Inputs'!$E$187),2)</f>
        <v>258.25</v>
      </c>
      <c r="O673" s="171">
        <f t="shared" si="43"/>
        <v>171994.5</v>
      </c>
    </row>
    <row r="674" spans="1:15" x14ac:dyDescent="0.2">
      <c r="A674" s="168">
        <v>667</v>
      </c>
      <c r="B674" s="159">
        <v>706.57273760018575</v>
      </c>
      <c r="C674" s="169">
        <f t="shared" si="40"/>
        <v>471284.01597932389</v>
      </c>
      <c r="D674" s="153"/>
      <c r="E674" s="170">
        <v>667</v>
      </c>
      <c r="F674" s="162">
        <v>258.15067321602714</v>
      </c>
      <c r="G674" s="171">
        <f t="shared" si="41"/>
        <v>172186.49903509009</v>
      </c>
      <c r="I674" s="168">
        <v>667</v>
      </c>
      <c r="J674" s="167">
        <f>ROUND(B674*('Model Data Inputs'!$E$184*'Model Data Inputs'!$E$185*'Model Data Inputs'!$E$186*'Model Data Inputs'!$E$187),2)</f>
        <v>706.57</v>
      </c>
      <c r="K674" s="169">
        <f t="shared" si="42"/>
        <v>471282.19000000006</v>
      </c>
      <c r="L674" s="153"/>
      <c r="M674" s="170">
        <v>667</v>
      </c>
      <c r="N674" s="164">
        <f>ROUND(F674*('Model Data Inputs'!$E$184*'Model Data Inputs'!$E$185*'Model Data Inputs'!$E$186*'Model Data Inputs'!$E$187),2)</f>
        <v>258.14999999999998</v>
      </c>
      <c r="O674" s="171">
        <f t="shared" si="43"/>
        <v>172186.05</v>
      </c>
    </row>
    <row r="675" spans="1:15" x14ac:dyDescent="0.2">
      <c r="A675" s="168">
        <v>668</v>
      </c>
      <c r="B675" s="159">
        <v>706.38388194852268</v>
      </c>
      <c r="C675" s="169">
        <f t="shared" si="40"/>
        <v>471864.43314161315</v>
      </c>
      <c r="D675" s="153"/>
      <c r="E675" s="170">
        <v>668</v>
      </c>
      <c r="F675" s="162">
        <v>258.05628701455208</v>
      </c>
      <c r="G675" s="171">
        <f t="shared" si="41"/>
        <v>172381.59972572079</v>
      </c>
      <c r="I675" s="168">
        <v>668</v>
      </c>
      <c r="J675" s="167">
        <f>ROUND(B675*('Model Data Inputs'!$E$184*'Model Data Inputs'!$E$185*'Model Data Inputs'!$E$186*'Model Data Inputs'!$E$187),2)</f>
        <v>706.38</v>
      </c>
      <c r="K675" s="169">
        <f t="shared" si="42"/>
        <v>471861.84</v>
      </c>
      <c r="L675" s="153"/>
      <c r="M675" s="170">
        <v>668</v>
      </c>
      <c r="N675" s="164">
        <f>ROUND(F675*('Model Data Inputs'!$E$184*'Model Data Inputs'!$E$185*'Model Data Inputs'!$E$186*'Model Data Inputs'!$E$187),2)</f>
        <v>258.06</v>
      </c>
      <c r="O675" s="171">
        <f t="shared" si="43"/>
        <v>172384.08</v>
      </c>
    </row>
    <row r="676" spans="1:15" x14ac:dyDescent="0.2">
      <c r="A676" s="168">
        <v>669</v>
      </c>
      <c r="B676" s="159">
        <v>706.19502629685962</v>
      </c>
      <c r="C676" s="169">
        <f t="shared" si="40"/>
        <v>472444.47259259911</v>
      </c>
      <c r="D676" s="153"/>
      <c r="E676" s="170">
        <v>669</v>
      </c>
      <c r="F676" s="162">
        <v>257.96190081307702</v>
      </c>
      <c r="G676" s="171">
        <f t="shared" si="41"/>
        <v>172576.51164394853</v>
      </c>
      <c r="I676" s="168">
        <v>669</v>
      </c>
      <c r="J676" s="167">
        <f>ROUND(B676*('Model Data Inputs'!$E$184*'Model Data Inputs'!$E$185*'Model Data Inputs'!$E$186*'Model Data Inputs'!$E$187),2)</f>
        <v>706.2</v>
      </c>
      <c r="K676" s="169">
        <f t="shared" si="42"/>
        <v>472447.80000000005</v>
      </c>
      <c r="L676" s="153"/>
      <c r="M676" s="170">
        <v>669</v>
      </c>
      <c r="N676" s="164">
        <f>ROUND(F676*('Model Data Inputs'!$E$184*'Model Data Inputs'!$E$185*'Model Data Inputs'!$E$186*'Model Data Inputs'!$E$187),2)</f>
        <v>257.95999999999998</v>
      </c>
      <c r="O676" s="171">
        <f t="shared" si="43"/>
        <v>172575.24</v>
      </c>
    </row>
    <row r="677" spans="1:15" x14ac:dyDescent="0.2">
      <c r="A677" s="168">
        <v>670</v>
      </c>
      <c r="B677" s="159">
        <v>706.00617064519633</v>
      </c>
      <c r="C677" s="169">
        <f t="shared" si="40"/>
        <v>473024.13433228154</v>
      </c>
      <c r="D677" s="153"/>
      <c r="E677" s="170">
        <v>670</v>
      </c>
      <c r="F677" s="162">
        <v>257.86751461160202</v>
      </c>
      <c r="G677" s="171">
        <f t="shared" si="41"/>
        <v>172771.23478977336</v>
      </c>
      <c r="I677" s="168">
        <v>670</v>
      </c>
      <c r="J677" s="167">
        <f>ROUND(B677*('Model Data Inputs'!$E$184*'Model Data Inputs'!$E$185*'Model Data Inputs'!$E$186*'Model Data Inputs'!$E$187),2)</f>
        <v>706.01</v>
      </c>
      <c r="K677" s="169">
        <f t="shared" si="42"/>
        <v>473026.7</v>
      </c>
      <c r="L677" s="153"/>
      <c r="M677" s="170">
        <v>670</v>
      </c>
      <c r="N677" s="164">
        <f>ROUND(F677*('Model Data Inputs'!$E$184*'Model Data Inputs'!$E$185*'Model Data Inputs'!$E$186*'Model Data Inputs'!$E$187),2)</f>
        <v>257.87</v>
      </c>
      <c r="O677" s="171">
        <f t="shared" si="43"/>
        <v>172772.9</v>
      </c>
    </row>
    <row r="678" spans="1:15" x14ac:dyDescent="0.2">
      <c r="A678" s="168">
        <v>671</v>
      </c>
      <c r="B678" s="159">
        <v>705.81731499353339</v>
      </c>
      <c r="C678" s="169">
        <f t="shared" si="40"/>
        <v>473603.4183606609</v>
      </c>
      <c r="D678" s="153"/>
      <c r="E678" s="170">
        <v>671</v>
      </c>
      <c r="F678" s="162">
        <v>257.77312841012696</v>
      </c>
      <c r="G678" s="171">
        <f t="shared" si="41"/>
        <v>172965.76916319519</v>
      </c>
      <c r="I678" s="168">
        <v>671</v>
      </c>
      <c r="J678" s="167">
        <f>ROUND(B678*('Model Data Inputs'!$E$184*'Model Data Inputs'!$E$185*'Model Data Inputs'!$E$186*'Model Data Inputs'!$E$187),2)</f>
        <v>705.82</v>
      </c>
      <c r="K678" s="169">
        <f t="shared" si="42"/>
        <v>473605.22000000003</v>
      </c>
      <c r="L678" s="153"/>
      <c r="M678" s="170">
        <v>671</v>
      </c>
      <c r="N678" s="164">
        <f>ROUND(F678*('Model Data Inputs'!$E$184*'Model Data Inputs'!$E$185*'Model Data Inputs'!$E$186*'Model Data Inputs'!$E$187),2)</f>
        <v>257.77</v>
      </c>
      <c r="O678" s="171">
        <f t="shared" si="43"/>
        <v>172963.66999999998</v>
      </c>
    </row>
    <row r="679" spans="1:15" x14ac:dyDescent="0.2">
      <c r="A679" s="168">
        <v>672</v>
      </c>
      <c r="B679" s="159">
        <v>705.62845934187033</v>
      </c>
      <c r="C679" s="169">
        <f t="shared" si="40"/>
        <v>474182.32467773685</v>
      </c>
      <c r="D679" s="153"/>
      <c r="E679" s="170">
        <v>672</v>
      </c>
      <c r="F679" s="162">
        <v>257.67874220865195</v>
      </c>
      <c r="G679" s="171">
        <f t="shared" si="41"/>
        <v>173160.11476421411</v>
      </c>
      <c r="I679" s="168">
        <v>672</v>
      </c>
      <c r="J679" s="167">
        <f>ROUND(B679*('Model Data Inputs'!$E$184*'Model Data Inputs'!$E$185*'Model Data Inputs'!$E$186*'Model Data Inputs'!$E$187),2)</f>
        <v>705.63</v>
      </c>
      <c r="K679" s="169">
        <f t="shared" si="42"/>
        <v>474183.36</v>
      </c>
      <c r="L679" s="153"/>
      <c r="M679" s="170">
        <v>672</v>
      </c>
      <c r="N679" s="164">
        <f>ROUND(F679*('Model Data Inputs'!$E$184*'Model Data Inputs'!$E$185*'Model Data Inputs'!$E$186*'Model Data Inputs'!$E$187),2)</f>
        <v>257.68</v>
      </c>
      <c r="O679" s="171">
        <f t="shared" si="43"/>
        <v>173160.95999999999</v>
      </c>
    </row>
    <row r="680" spans="1:15" x14ac:dyDescent="0.2">
      <c r="A680" s="168">
        <v>673</v>
      </c>
      <c r="B680" s="159">
        <v>705.43960369020726</v>
      </c>
      <c r="C680" s="169">
        <f t="shared" si="40"/>
        <v>474760.8532835095</v>
      </c>
      <c r="D680" s="153"/>
      <c r="E680" s="170">
        <v>673</v>
      </c>
      <c r="F680" s="162">
        <v>257.58435600717689</v>
      </c>
      <c r="G680" s="171">
        <f t="shared" si="41"/>
        <v>173354.27159283005</v>
      </c>
      <c r="I680" s="168">
        <v>673</v>
      </c>
      <c r="J680" s="167">
        <f>ROUND(B680*('Model Data Inputs'!$E$184*'Model Data Inputs'!$E$185*'Model Data Inputs'!$E$186*'Model Data Inputs'!$E$187),2)</f>
        <v>705.44</v>
      </c>
      <c r="K680" s="169">
        <f t="shared" si="42"/>
        <v>474761.12000000005</v>
      </c>
      <c r="L680" s="153"/>
      <c r="M680" s="170">
        <v>673</v>
      </c>
      <c r="N680" s="164">
        <f>ROUND(F680*('Model Data Inputs'!$E$184*'Model Data Inputs'!$E$185*'Model Data Inputs'!$E$186*'Model Data Inputs'!$E$187),2)</f>
        <v>257.58</v>
      </c>
      <c r="O680" s="171">
        <f t="shared" si="43"/>
        <v>173351.34</v>
      </c>
    </row>
    <row r="681" spans="1:15" x14ac:dyDescent="0.2">
      <c r="A681" s="168">
        <v>674</v>
      </c>
      <c r="B681" s="159">
        <v>705.25074803854409</v>
      </c>
      <c r="C681" s="169">
        <f t="shared" si="40"/>
        <v>475339.00417797873</v>
      </c>
      <c r="D681" s="153"/>
      <c r="E681" s="170">
        <v>674</v>
      </c>
      <c r="F681" s="162">
        <v>257.48996980570183</v>
      </c>
      <c r="G681" s="171">
        <f t="shared" si="41"/>
        <v>173548.23964904304</v>
      </c>
      <c r="I681" s="168">
        <v>674</v>
      </c>
      <c r="J681" s="167">
        <f>ROUND(B681*('Model Data Inputs'!$E$184*'Model Data Inputs'!$E$185*'Model Data Inputs'!$E$186*'Model Data Inputs'!$E$187),2)</f>
        <v>705.25</v>
      </c>
      <c r="K681" s="169">
        <f t="shared" si="42"/>
        <v>475338.5</v>
      </c>
      <c r="L681" s="153"/>
      <c r="M681" s="170">
        <v>674</v>
      </c>
      <c r="N681" s="164">
        <f>ROUND(F681*('Model Data Inputs'!$E$184*'Model Data Inputs'!$E$185*'Model Data Inputs'!$E$186*'Model Data Inputs'!$E$187),2)</f>
        <v>257.49</v>
      </c>
      <c r="O681" s="171">
        <f t="shared" si="43"/>
        <v>173548.26</v>
      </c>
    </row>
    <row r="682" spans="1:15" x14ac:dyDescent="0.2">
      <c r="A682" s="168">
        <v>675</v>
      </c>
      <c r="B682" s="159">
        <v>705.06189238688125</v>
      </c>
      <c r="C682" s="169">
        <f t="shared" si="40"/>
        <v>475916.77736114484</v>
      </c>
      <c r="D682" s="153"/>
      <c r="E682" s="170">
        <v>675</v>
      </c>
      <c r="F682" s="162">
        <v>257.39558360422689</v>
      </c>
      <c r="G682" s="171">
        <f t="shared" si="41"/>
        <v>173742.01893285316</v>
      </c>
      <c r="I682" s="168">
        <v>675</v>
      </c>
      <c r="J682" s="167">
        <f>ROUND(B682*('Model Data Inputs'!$E$184*'Model Data Inputs'!$E$185*'Model Data Inputs'!$E$186*'Model Data Inputs'!$E$187),2)</f>
        <v>705.06</v>
      </c>
      <c r="K682" s="169">
        <f t="shared" si="42"/>
        <v>475915.49999999994</v>
      </c>
      <c r="L682" s="153"/>
      <c r="M682" s="170">
        <v>675</v>
      </c>
      <c r="N682" s="164">
        <f>ROUND(F682*('Model Data Inputs'!$E$184*'Model Data Inputs'!$E$185*'Model Data Inputs'!$E$186*'Model Data Inputs'!$E$187),2)</f>
        <v>257.39999999999998</v>
      </c>
      <c r="O682" s="171">
        <f t="shared" si="43"/>
        <v>173744.99999999997</v>
      </c>
    </row>
    <row r="683" spans="1:15" x14ac:dyDescent="0.2">
      <c r="A683" s="168">
        <v>676</v>
      </c>
      <c r="B683" s="159">
        <v>704.87303673521808</v>
      </c>
      <c r="C683" s="169">
        <f t="shared" si="40"/>
        <v>476494.17283300741</v>
      </c>
      <c r="D683" s="153"/>
      <c r="E683" s="170">
        <v>676</v>
      </c>
      <c r="F683" s="162">
        <v>257.30119740275177</v>
      </c>
      <c r="G683" s="171">
        <f t="shared" si="41"/>
        <v>173935.60944426019</v>
      </c>
      <c r="I683" s="168">
        <v>676</v>
      </c>
      <c r="J683" s="167">
        <f>ROUND(B683*('Model Data Inputs'!$E$184*'Model Data Inputs'!$E$185*'Model Data Inputs'!$E$186*'Model Data Inputs'!$E$187),2)</f>
        <v>704.87</v>
      </c>
      <c r="K683" s="169">
        <f t="shared" si="42"/>
        <v>476492.12</v>
      </c>
      <c r="L683" s="153"/>
      <c r="M683" s="170">
        <v>676</v>
      </c>
      <c r="N683" s="164">
        <f>ROUND(F683*('Model Data Inputs'!$E$184*'Model Data Inputs'!$E$185*'Model Data Inputs'!$E$186*'Model Data Inputs'!$E$187),2)</f>
        <v>257.3</v>
      </c>
      <c r="O683" s="171">
        <f t="shared" si="43"/>
        <v>173934.80000000002</v>
      </c>
    </row>
    <row r="684" spans="1:15" x14ac:dyDescent="0.2">
      <c r="A684" s="168">
        <v>677</v>
      </c>
      <c r="B684" s="159">
        <v>704.6841810835549</v>
      </c>
      <c r="C684" s="169">
        <f t="shared" si="40"/>
        <v>477071.19059356669</v>
      </c>
      <c r="D684" s="153"/>
      <c r="E684" s="170">
        <v>677</v>
      </c>
      <c r="F684" s="162">
        <v>257.20681120127682</v>
      </c>
      <c r="G684" s="171">
        <f t="shared" si="41"/>
        <v>174129.0111832644</v>
      </c>
      <c r="I684" s="168">
        <v>677</v>
      </c>
      <c r="J684" s="167">
        <f>ROUND(B684*('Model Data Inputs'!$E$184*'Model Data Inputs'!$E$185*'Model Data Inputs'!$E$186*'Model Data Inputs'!$E$187),2)</f>
        <v>704.68</v>
      </c>
      <c r="K684" s="169">
        <f t="shared" si="42"/>
        <v>477068.36</v>
      </c>
      <c r="L684" s="153"/>
      <c r="M684" s="170">
        <v>677</v>
      </c>
      <c r="N684" s="164">
        <f>ROUND(F684*('Model Data Inputs'!$E$184*'Model Data Inputs'!$E$185*'Model Data Inputs'!$E$186*'Model Data Inputs'!$E$187),2)</f>
        <v>257.20999999999998</v>
      </c>
      <c r="O684" s="171">
        <f t="shared" si="43"/>
        <v>174131.16999999998</v>
      </c>
    </row>
    <row r="685" spans="1:15" x14ac:dyDescent="0.2">
      <c r="A685" s="168">
        <v>678</v>
      </c>
      <c r="B685" s="159">
        <v>704.49532543189184</v>
      </c>
      <c r="C685" s="169">
        <f t="shared" si="40"/>
        <v>477647.83064282266</v>
      </c>
      <c r="D685" s="153"/>
      <c r="E685" s="170">
        <v>678</v>
      </c>
      <c r="F685" s="162">
        <v>257.1124249998017</v>
      </c>
      <c r="G685" s="171">
        <f t="shared" si="41"/>
        <v>174322.22414986556</v>
      </c>
      <c r="I685" s="168">
        <v>678</v>
      </c>
      <c r="J685" s="167">
        <f>ROUND(B685*('Model Data Inputs'!$E$184*'Model Data Inputs'!$E$185*'Model Data Inputs'!$E$186*'Model Data Inputs'!$E$187),2)</f>
        <v>704.5</v>
      </c>
      <c r="K685" s="169">
        <f t="shared" si="42"/>
        <v>477651</v>
      </c>
      <c r="L685" s="153"/>
      <c r="M685" s="170">
        <v>678</v>
      </c>
      <c r="N685" s="164">
        <f>ROUND(F685*('Model Data Inputs'!$E$184*'Model Data Inputs'!$E$185*'Model Data Inputs'!$E$186*'Model Data Inputs'!$E$187),2)</f>
        <v>257.11</v>
      </c>
      <c r="O685" s="171">
        <f t="shared" si="43"/>
        <v>174320.58000000002</v>
      </c>
    </row>
    <row r="686" spans="1:15" x14ac:dyDescent="0.2">
      <c r="A686" s="168">
        <v>679</v>
      </c>
      <c r="B686" s="159">
        <v>704.30646978022867</v>
      </c>
      <c r="C686" s="169">
        <f t="shared" si="40"/>
        <v>478224.09298077528</v>
      </c>
      <c r="D686" s="153"/>
      <c r="E686" s="170">
        <v>679</v>
      </c>
      <c r="F686" s="162">
        <v>257.0180387983267</v>
      </c>
      <c r="G686" s="171">
        <f t="shared" si="41"/>
        <v>174515.24834406382</v>
      </c>
      <c r="I686" s="168">
        <v>679</v>
      </c>
      <c r="J686" s="167">
        <f>ROUND(B686*('Model Data Inputs'!$E$184*'Model Data Inputs'!$E$185*'Model Data Inputs'!$E$186*'Model Data Inputs'!$E$187),2)</f>
        <v>704.31</v>
      </c>
      <c r="K686" s="169">
        <f t="shared" si="42"/>
        <v>478226.49</v>
      </c>
      <c r="L686" s="153"/>
      <c r="M686" s="170">
        <v>679</v>
      </c>
      <c r="N686" s="164">
        <f>ROUND(F686*('Model Data Inputs'!$E$184*'Model Data Inputs'!$E$185*'Model Data Inputs'!$E$186*'Model Data Inputs'!$E$187),2)</f>
        <v>257.02</v>
      </c>
      <c r="O686" s="171">
        <f t="shared" si="43"/>
        <v>174516.58</v>
      </c>
    </row>
    <row r="687" spans="1:15" x14ac:dyDescent="0.2">
      <c r="A687" s="168">
        <v>680</v>
      </c>
      <c r="B687" s="159">
        <v>704.11761412856561</v>
      </c>
      <c r="C687" s="169">
        <f t="shared" si="40"/>
        <v>478799.9776074246</v>
      </c>
      <c r="D687" s="153"/>
      <c r="E687" s="170">
        <v>680</v>
      </c>
      <c r="F687" s="162">
        <v>256.92365259685164</v>
      </c>
      <c r="G687" s="171">
        <f t="shared" si="41"/>
        <v>174708.0837658591</v>
      </c>
      <c r="I687" s="168">
        <v>680</v>
      </c>
      <c r="J687" s="167">
        <f>ROUND(B687*('Model Data Inputs'!$E$184*'Model Data Inputs'!$E$185*'Model Data Inputs'!$E$186*'Model Data Inputs'!$E$187),2)</f>
        <v>704.12</v>
      </c>
      <c r="K687" s="169">
        <f t="shared" si="42"/>
        <v>478801.6</v>
      </c>
      <c r="L687" s="153"/>
      <c r="M687" s="170">
        <v>680</v>
      </c>
      <c r="N687" s="164">
        <f>ROUND(F687*('Model Data Inputs'!$E$184*'Model Data Inputs'!$E$185*'Model Data Inputs'!$E$186*'Model Data Inputs'!$E$187),2)</f>
        <v>256.92</v>
      </c>
      <c r="O687" s="171">
        <f t="shared" si="43"/>
        <v>174705.6</v>
      </c>
    </row>
    <row r="688" spans="1:15" x14ac:dyDescent="0.2">
      <c r="A688" s="168">
        <v>681</v>
      </c>
      <c r="B688" s="159">
        <v>703.92875847690243</v>
      </c>
      <c r="C688" s="169">
        <f t="shared" si="40"/>
        <v>479375.48452277057</v>
      </c>
      <c r="D688" s="153"/>
      <c r="E688" s="170">
        <v>681</v>
      </c>
      <c r="F688" s="162">
        <v>256.82926639537664</v>
      </c>
      <c r="G688" s="171">
        <f t="shared" si="41"/>
        <v>174900.73041525148</v>
      </c>
      <c r="I688" s="168">
        <v>681</v>
      </c>
      <c r="J688" s="167">
        <f>ROUND(B688*('Model Data Inputs'!$E$184*'Model Data Inputs'!$E$185*'Model Data Inputs'!$E$186*'Model Data Inputs'!$E$187),2)</f>
        <v>703.93</v>
      </c>
      <c r="K688" s="169">
        <f t="shared" si="42"/>
        <v>479376.32999999996</v>
      </c>
      <c r="L688" s="153"/>
      <c r="M688" s="170">
        <v>681</v>
      </c>
      <c r="N688" s="164">
        <f>ROUND(F688*('Model Data Inputs'!$E$184*'Model Data Inputs'!$E$185*'Model Data Inputs'!$E$186*'Model Data Inputs'!$E$187),2)</f>
        <v>256.83</v>
      </c>
      <c r="O688" s="171">
        <f t="shared" si="43"/>
        <v>174901.22999999998</v>
      </c>
    </row>
    <row r="689" spans="1:15" x14ac:dyDescent="0.2">
      <c r="A689" s="168">
        <v>682</v>
      </c>
      <c r="B689" s="159">
        <v>703.73990282523937</v>
      </c>
      <c r="C689" s="169">
        <f t="shared" si="40"/>
        <v>479950.61372681323</v>
      </c>
      <c r="D689" s="153"/>
      <c r="E689" s="170">
        <v>682</v>
      </c>
      <c r="F689" s="162">
        <v>256.73488019390157</v>
      </c>
      <c r="G689" s="171">
        <f t="shared" si="41"/>
        <v>175093.18829224087</v>
      </c>
      <c r="I689" s="168">
        <v>682</v>
      </c>
      <c r="J689" s="167">
        <f>ROUND(B689*('Model Data Inputs'!$E$184*'Model Data Inputs'!$E$185*'Model Data Inputs'!$E$186*'Model Data Inputs'!$E$187),2)</f>
        <v>703.74</v>
      </c>
      <c r="K689" s="169">
        <f t="shared" si="42"/>
        <v>479950.68</v>
      </c>
      <c r="L689" s="153"/>
      <c r="M689" s="170">
        <v>682</v>
      </c>
      <c r="N689" s="164">
        <f>ROUND(F689*('Model Data Inputs'!$E$184*'Model Data Inputs'!$E$185*'Model Data Inputs'!$E$186*'Model Data Inputs'!$E$187),2)</f>
        <v>256.73</v>
      </c>
      <c r="O689" s="171">
        <f t="shared" si="43"/>
        <v>175089.86000000002</v>
      </c>
    </row>
    <row r="690" spans="1:15" x14ac:dyDescent="0.2">
      <c r="A690" s="168">
        <v>683</v>
      </c>
      <c r="B690" s="159">
        <v>703.55104717357631</v>
      </c>
      <c r="C690" s="169">
        <f t="shared" si="40"/>
        <v>480525.36521955259</v>
      </c>
      <c r="D690" s="153"/>
      <c r="E690" s="170">
        <v>683</v>
      </c>
      <c r="F690" s="162">
        <v>256.64049399242651</v>
      </c>
      <c r="G690" s="171">
        <f t="shared" si="41"/>
        <v>175285.45739682732</v>
      </c>
      <c r="I690" s="168">
        <v>683</v>
      </c>
      <c r="J690" s="167">
        <f>ROUND(B690*('Model Data Inputs'!$E$184*'Model Data Inputs'!$E$185*'Model Data Inputs'!$E$186*'Model Data Inputs'!$E$187),2)</f>
        <v>703.55</v>
      </c>
      <c r="K690" s="169">
        <f t="shared" si="42"/>
        <v>480524.64999999997</v>
      </c>
      <c r="L690" s="153"/>
      <c r="M690" s="170">
        <v>683</v>
      </c>
      <c r="N690" s="164">
        <f>ROUND(F690*('Model Data Inputs'!$E$184*'Model Data Inputs'!$E$185*'Model Data Inputs'!$E$186*'Model Data Inputs'!$E$187),2)</f>
        <v>256.64</v>
      </c>
      <c r="O690" s="171">
        <f t="shared" si="43"/>
        <v>175285.12</v>
      </c>
    </row>
    <row r="691" spans="1:15" x14ac:dyDescent="0.2">
      <c r="A691" s="168">
        <v>684</v>
      </c>
      <c r="B691" s="159">
        <v>703.36219152191313</v>
      </c>
      <c r="C691" s="169">
        <f t="shared" si="40"/>
        <v>481099.7390009886</v>
      </c>
      <c r="D691" s="153"/>
      <c r="E691" s="170">
        <v>684</v>
      </c>
      <c r="F691" s="162">
        <v>256.54610779095145</v>
      </c>
      <c r="G691" s="171">
        <f t="shared" si="41"/>
        <v>175477.5377290108</v>
      </c>
      <c r="I691" s="168">
        <v>684</v>
      </c>
      <c r="J691" s="167">
        <f>ROUND(B691*('Model Data Inputs'!$E$184*'Model Data Inputs'!$E$185*'Model Data Inputs'!$E$186*'Model Data Inputs'!$E$187),2)</f>
        <v>703.36</v>
      </c>
      <c r="K691" s="169">
        <f t="shared" si="42"/>
        <v>481098.23999999999</v>
      </c>
      <c r="L691" s="153"/>
      <c r="M691" s="170">
        <v>684</v>
      </c>
      <c r="N691" s="164">
        <f>ROUND(F691*('Model Data Inputs'!$E$184*'Model Data Inputs'!$E$185*'Model Data Inputs'!$E$186*'Model Data Inputs'!$E$187),2)</f>
        <v>256.55</v>
      </c>
      <c r="O691" s="171">
        <f t="shared" si="43"/>
        <v>175480.2</v>
      </c>
    </row>
    <row r="692" spans="1:15" x14ac:dyDescent="0.2">
      <c r="A692" s="168">
        <v>685</v>
      </c>
      <c r="B692" s="159">
        <v>703.1733358702503</v>
      </c>
      <c r="C692" s="169">
        <f t="shared" si="40"/>
        <v>481673.73507112148</v>
      </c>
      <c r="D692" s="153"/>
      <c r="E692" s="170">
        <v>685</v>
      </c>
      <c r="F692" s="162">
        <v>256.45172158947639</v>
      </c>
      <c r="G692" s="171">
        <f t="shared" si="41"/>
        <v>175669.42928879132</v>
      </c>
      <c r="I692" s="168">
        <v>685</v>
      </c>
      <c r="J692" s="167">
        <f>ROUND(B692*('Model Data Inputs'!$E$184*'Model Data Inputs'!$E$185*'Model Data Inputs'!$E$186*'Model Data Inputs'!$E$187),2)</f>
        <v>703.17</v>
      </c>
      <c r="K692" s="169">
        <f t="shared" si="42"/>
        <v>481671.44999999995</v>
      </c>
      <c r="L692" s="153"/>
      <c r="M692" s="170">
        <v>685</v>
      </c>
      <c r="N692" s="164">
        <f>ROUND(F692*('Model Data Inputs'!$E$184*'Model Data Inputs'!$E$185*'Model Data Inputs'!$E$186*'Model Data Inputs'!$E$187),2)</f>
        <v>256.45</v>
      </c>
      <c r="O692" s="171">
        <f t="shared" si="43"/>
        <v>175668.25</v>
      </c>
    </row>
    <row r="693" spans="1:15" x14ac:dyDescent="0.2">
      <c r="A693" s="168">
        <v>686</v>
      </c>
      <c r="B693" s="159">
        <v>702.98448021858724</v>
      </c>
      <c r="C693" s="169">
        <f t="shared" si="40"/>
        <v>482247.35342995083</v>
      </c>
      <c r="D693" s="153"/>
      <c r="E693" s="170">
        <v>686</v>
      </c>
      <c r="F693" s="162">
        <v>256.35733538800139</v>
      </c>
      <c r="G693" s="171">
        <f t="shared" si="41"/>
        <v>175861.13207616896</v>
      </c>
      <c r="I693" s="168">
        <v>686</v>
      </c>
      <c r="J693" s="167">
        <f>ROUND(B693*('Model Data Inputs'!$E$184*'Model Data Inputs'!$E$185*'Model Data Inputs'!$E$186*'Model Data Inputs'!$E$187),2)</f>
        <v>702.98</v>
      </c>
      <c r="K693" s="169">
        <f t="shared" si="42"/>
        <v>482244.28</v>
      </c>
      <c r="L693" s="153"/>
      <c r="M693" s="170">
        <v>686</v>
      </c>
      <c r="N693" s="164">
        <f>ROUND(F693*('Model Data Inputs'!$E$184*'Model Data Inputs'!$E$185*'Model Data Inputs'!$E$186*'Model Data Inputs'!$E$187),2)</f>
        <v>256.36</v>
      </c>
      <c r="O693" s="171">
        <f t="shared" si="43"/>
        <v>175862.96000000002</v>
      </c>
    </row>
    <row r="694" spans="1:15" x14ac:dyDescent="0.2">
      <c r="A694" s="168">
        <v>687</v>
      </c>
      <c r="B694" s="159">
        <v>702.79562456692418</v>
      </c>
      <c r="C694" s="169">
        <f t="shared" si="40"/>
        <v>482820.59407747688</v>
      </c>
      <c r="D694" s="153"/>
      <c r="E694" s="170">
        <v>687</v>
      </c>
      <c r="F694" s="162">
        <v>256.26294918652638</v>
      </c>
      <c r="G694" s="171">
        <f t="shared" si="41"/>
        <v>176052.64609114363</v>
      </c>
      <c r="I694" s="168">
        <v>687</v>
      </c>
      <c r="J694" s="167">
        <f>ROUND(B694*('Model Data Inputs'!$E$184*'Model Data Inputs'!$E$185*'Model Data Inputs'!$E$186*'Model Data Inputs'!$E$187),2)</f>
        <v>702.8</v>
      </c>
      <c r="K694" s="169">
        <f t="shared" si="42"/>
        <v>482823.6</v>
      </c>
      <c r="L694" s="153"/>
      <c r="M694" s="170">
        <v>687</v>
      </c>
      <c r="N694" s="164">
        <f>ROUND(F694*('Model Data Inputs'!$E$184*'Model Data Inputs'!$E$185*'Model Data Inputs'!$E$186*'Model Data Inputs'!$E$187),2)</f>
        <v>256.26</v>
      </c>
      <c r="O694" s="171">
        <f t="shared" si="43"/>
        <v>176050.62</v>
      </c>
    </row>
    <row r="695" spans="1:15" x14ac:dyDescent="0.2">
      <c r="A695" s="168">
        <v>688</v>
      </c>
      <c r="B695" s="159">
        <v>702.606768915261</v>
      </c>
      <c r="C695" s="169">
        <f t="shared" si="40"/>
        <v>483393.45701369958</v>
      </c>
      <c r="D695" s="153"/>
      <c r="E695" s="170">
        <v>688</v>
      </c>
      <c r="F695" s="162">
        <v>256.16856298505132</v>
      </c>
      <c r="G695" s="171">
        <f t="shared" si="41"/>
        <v>176243.97133371531</v>
      </c>
      <c r="I695" s="168">
        <v>688</v>
      </c>
      <c r="J695" s="167">
        <f>ROUND(B695*('Model Data Inputs'!$E$184*'Model Data Inputs'!$E$185*'Model Data Inputs'!$E$186*'Model Data Inputs'!$E$187),2)</f>
        <v>702.61</v>
      </c>
      <c r="K695" s="169">
        <f t="shared" si="42"/>
        <v>483395.68</v>
      </c>
      <c r="L695" s="153"/>
      <c r="M695" s="170">
        <v>688</v>
      </c>
      <c r="N695" s="164">
        <f>ROUND(F695*('Model Data Inputs'!$E$184*'Model Data Inputs'!$E$185*'Model Data Inputs'!$E$186*'Model Data Inputs'!$E$187),2)</f>
        <v>256.17</v>
      </c>
      <c r="O695" s="171">
        <f t="shared" si="43"/>
        <v>176244.96000000002</v>
      </c>
    </row>
    <row r="696" spans="1:15" x14ac:dyDescent="0.2">
      <c r="A696" s="168">
        <v>689</v>
      </c>
      <c r="B696" s="159">
        <v>702.41791326359782</v>
      </c>
      <c r="C696" s="169">
        <f t="shared" si="40"/>
        <v>483965.94223861891</v>
      </c>
      <c r="D696" s="153"/>
      <c r="E696" s="170">
        <v>689</v>
      </c>
      <c r="F696" s="162">
        <v>256.07417678357626</v>
      </c>
      <c r="G696" s="171">
        <f t="shared" si="41"/>
        <v>176435.10780388405</v>
      </c>
      <c r="I696" s="168">
        <v>689</v>
      </c>
      <c r="J696" s="167">
        <f>ROUND(B696*('Model Data Inputs'!$E$184*'Model Data Inputs'!$E$185*'Model Data Inputs'!$E$186*'Model Data Inputs'!$E$187),2)</f>
        <v>702.42</v>
      </c>
      <c r="K696" s="169">
        <f t="shared" si="42"/>
        <v>483967.37999999995</v>
      </c>
      <c r="L696" s="153"/>
      <c r="M696" s="170">
        <v>689</v>
      </c>
      <c r="N696" s="164">
        <f>ROUND(F696*('Model Data Inputs'!$E$184*'Model Data Inputs'!$E$185*'Model Data Inputs'!$E$186*'Model Data Inputs'!$E$187),2)</f>
        <v>256.07</v>
      </c>
      <c r="O696" s="171">
        <f t="shared" si="43"/>
        <v>176432.22999999998</v>
      </c>
    </row>
    <row r="697" spans="1:15" x14ac:dyDescent="0.2">
      <c r="A697" s="168">
        <v>690</v>
      </c>
      <c r="B697" s="159">
        <v>702.22905761193476</v>
      </c>
      <c r="C697" s="169">
        <f t="shared" si="40"/>
        <v>484538.04975223501</v>
      </c>
      <c r="D697" s="153"/>
      <c r="E697" s="170">
        <v>690</v>
      </c>
      <c r="F697" s="162">
        <v>255.97979058210129</v>
      </c>
      <c r="G697" s="171">
        <f t="shared" si="41"/>
        <v>176626.05550164988</v>
      </c>
      <c r="I697" s="168">
        <v>690</v>
      </c>
      <c r="J697" s="167">
        <f>ROUND(B697*('Model Data Inputs'!$E$184*'Model Data Inputs'!$E$185*'Model Data Inputs'!$E$186*'Model Data Inputs'!$E$187),2)</f>
        <v>702.23</v>
      </c>
      <c r="K697" s="169">
        <f t="shared" si="42"/>
        <v>484538.7</v>
      </c>
      <c r="L697" s="153"/>
      <c r="M697" s="170">
        <v>690</v>
      </c>
      <c r="N697" s="164">
        <f>ROUND(F697*('Model Data Inputs'!$E$184*'Model Data Inputs'!$E$185*'Model Data Inputs'!$E$186*'Model Data Inputs'!$E$187),2)</f>
        <v>255.98</v>
      </c>
      <c r="O697" s="171">
        <f t="shared" si="43"/>
        <v>176626.19999999998</v>
      </c>
    </row>
    <row r="698" spans="1:15" x14ac:dyDescent="0.2">
      <c r="A698" s="168">
        <v>691</v>
      </c>
      <c r="B698" s="159">
        <v>702.0402019602717</v>
      </c>
      <c r="C698" s="169">
        <f t="shared" si="40"/>
        <v>485109.77955454774</v>
      </c>
      <c r="D698" s="153"/>
      <c r="E698" s="170">
        <v>691</v>
      </c>
      <c r="F698" s="162">
        <v>255.8854043806262</v>
      </c>
      <c r="G698" s="171">
        <f t="shared" si="41"/>
        <v>176816.81442701269</v>
      </c>
      <c r="I698" s="168">
        <v>691</v>
      </c>
      <c r="J698" s="167">
        <f>ROUND(B698*('Model Data Inputs'!$E$184*'Model Data Inputs'!$E$185*'Model Data Inputs'!$E$186*'Model Data Inputs'!$E$187),2)</f>
        <v>702.04</v>
      </c>
      <c r="K698" s="169">
        <f t="shared" si="42"/>
        <v>485109.63999999996</v>
      </c>
      <c r="L698" s="153"/>
      <c r="M698" s="170">
        <v>691</v>
      </c>
      <c r="N698" s="164">
        <f>ROUND(F698*('Model Data Inputs'!$E$184*'Model Data Inputs'!$E$185*'Model Data Inputs'!$E$186*'Model Data Inputs'!$E$187),2)</f>
        <v>255.89</v>
      </c>
      <c r="O698" s="171">
        <f t="shared" si="43"/>
        <v>176819.99</v>
      </c>
    </row>
    <row r="699" spans="1:15" x14ac:dyDescent="0.2">
      <c r="A699" s="168">
        <v>692</v>
      </c>
      <c r="B699" s="159">
        <v>701.85134630860864</v>
      </c>
      <c r="C699" s="169">
        <f t="shared" si="40"/>
        <v>485681.13164555718</v>
      </c>
      <c r="D699" s="153"/>
      <c r="E699" s="170">
        <v>692</v>
      </c>
      <c r="F699" s="162">
        <v>255.79101817915128</v>
      </c>
      <c r="G699" s="171">
        <f t="shared" si="41"/>
        <v>177007.38457997268</v>
      </c>
      <c r="I699" s="168">
        <v>692</v>
      </c>
      <c r="J699" s="167">
        <f>ROUND(B699*('Model Data Inputs'!$E$184*'Model Data Inputs'!$E$185*'Model Data Inputs'!$E$186*'Model Data Inputs'!$E$187),2)</f>
        <v>701.85</v>
      </c>
      <c r="K699" s="169">
        <f t="shared" si="42"/>
        <v>485680.2</v>
      </c>
      <c r="L699" s="153"/>
      <c r="M699" s="170">
        <v>692</v>
      </c>
      <c r="N699" s="164">
        <f>ROUND(F699*('Model Data Inputs'!$E$184*'Model Data Inputs'!$E$185*'Model Data Inputs'!$E$186*'Model Data Inputs'!$E$187),2)</f>
        <v>255.79</v>
      </c>
      <c r="O699" s="171">
        <f t="shared" si="43"/>
        <v>177006.68</v>
      </c>
    </row>
    <row r="700" spans="1:15" x14ac:dyDescent="0.2">
      <c r="A700" s="168">
        <v>693</v>
      </c>
      <c r="B700" s="159">
        <v>701.66249065694558</v>
      </c>
      <c r="C700" s="169">
        <f t="shared" si="40"/>
        <v>486252.10602526326</v>
      </c>
      <c r="D700" s="153"/>
      <c r="E700" s="170">
        <v>693</v>
      </c>
      <c r="F700" s="162">
        <v>255.69663197767613</v>
      </c>
      <c r="G700" s="171">
        <f t="shared" si="41"/>
        <v>177197.76596052956</v>
      </c>
      <c r="I700" s="168">
        <v>693</v>
      </c>
      <c r="J700" s="167">
        <f>ROUND(B700*('Model Data Inputs'!$E$184*'Model Data Inputs'!$E$185*'Model Data Inputs'!$E$186*'Model Data Inputs'!$E$187),2)</f>
        <v>701.66</v>
      </c>
      <c r="K700" s="169">
        <f t="shared" si="42"/>
        <v>486250.38</v>
      </c>
      <c r="L700" s="153"/>
      <c r="M700" s="170">
        <v>693</v>
      </c>
      <c r="N700" s="164">
        <f>ROUND(F700*('Model Data Inputs'!$E$184*'Model Data Inputs'!$E$185*'Model Data Inputs'!$E$186*'Model Data Inputs'!$E$187),2)</f>
        <v>255.7</v>
      </c>
      <c r="O700" s="171">
        <f t="shared" si="43"/>
        <v>177200.1</v>
      </c>
    </row>
    <row r="701" spans="1:15" x14ac:dyDescent="0.2">
      <c r="A701" s="168">
        <v>694</v>
      </c>
      <c r="B701" s="159">
        <v>701.47363500528229</v>
      </c>
      <c r="C701" s="169">
        <f t="shared" si="40"/>
        <v>486822.70269366592</v>
      </c>
      <c r="D701" s="153"/>
      <c r="E701" s="170">
        <v>694</v>
      </c>
      <c r="F701" s="162">
        <v>255.60224577620113</v>
      </c>
      <c r="G701" s="171">
        <f t="shared" si="41"/>
        <v>177387.95856868359</v>
      </c>
      <c r="I701" s="168">
        <v>694</v>
      </c>
      <c r="J701" s="167">
        <f>ROUND(B701*('Model Data Inputs'!$E$184*'Model Data Inputs'!$E$185*'Model Data Inputs'!$E$186*'Model Data Inputs'!$E$187),2)</f>
        <v>701.47</v>
      </c>
      <c r="K701" s="169">
        <f t="shared" si="42"/>
        <v>486820.18</v>
      </c>
      <c r="L701" s="153"/>
      <c r="M701" s="170">
        <v>694</v>
      </c>
      <c r="N701" s="164">
        <f>ROUND(F701*('Model Data Inputs'!$E$184*'Model Data Inputs'!$E$185*'Model Data Inputs'!$E$186*'Model Data Inputs'!$E$187),2)</f>
        <v>255.6</v>
      </c>
      <c r="O701" s="171">
        <f t="shared" si="43"/>
        <v>177386.4</v>
      </c>
    </row>
    <row r="702" spans="1:15" x14ac:dyDescent="0.2">
      <c r="A702" s="168">
        <v>695</v>
      </c>
      <c r="B702" s="159">
        <v>701.28477935361934</v>
      </c>
      <c r="C702" s="169">
        <f t="shared" si="40"/>
        <v>487392.92165076546</v>
      </c>
      <c r="D702" s="153"/>
      <c r="E702" s="170">
        <v>695</v>
      </c>
      <c r="F702" s="162">
        <v>255.5078595747261</v>
      </c>
      <c r="G702" s="171">
        <f t="shared" si="41"/>
        <v>177577.96240443463</v>
      </c>
      <c r="I702" s="168">
        <v>695</v>
      </c>
      <c r="J702" s="167">
        <f>ROUND(B702*('Model Data Inputs'!$E$184*'Model Data Inputs'!$E$185*'Model Data Inputs'!$E$186*'Model Data Inputs'!$E$187),2)</f>
        <v>701.28</v>
      </c>
      <c r="K702" s="169">
        <f t="shared" si="42"/>
        <v>487389.6</v>
      </c>
      <c r="L702" s="153"/>
      <c r="M702" s="170">
        <v>695</v>
      </c>
      <c r="N702" s="164">
        <f>ROUND(F702*('Model Data Inputs'!$E$184*'Model Data Inputs'!$E$185*'Model Data Inputs'!$E$186*'Model Data Inputs'!$E$187),2)</f>
        <v>255.51</v>
      </c>
      <c r="O702" s="171">
        <f t="shared" si="43"/>
        <v>177579.44999999998</v>
      </c>
    </row>
    <row r="703" spans="1:15" x14ac:dyDescent="0.2">
      <c r="A703" s="168">
        <v>696</v>
      </c>
      <c r="B703" s="159">
        <v>701.09592370195639</v>
      </c>
      <c r="C703" s="169">
        <f t="shared" si="40"/>
        <v>487962.76289656165</v>
      </c>
      <c r="D703" s="153"/>
      <c r="E703" s="170">
        <v>696</v>
      </c>
      <c r="F703" s="162">
        <v>255.41347337325112</v>
      </c>
      <c r="G703" s="171">
        <f t="shared" si="41"/>
        <v>177767.77746778278</v>
      </c>
      <c r="I703" s="168">
        <v>696</v>
      </c>
      <c r="J703" s="167">
        <f>ROUND(B703*('Model Data Inputs'!$E$184*'Model Data Inputs'!$E$185*'Model Data Inputs'!$E$186*'Model Data Inputs'!$E$187),2)</f>
        <v>701.1</v>
      </c>
      <c r="K703" s="169">
        <f t="shared" si="42"/>
        <v>487965.60000000003</v>
      </c>
      <c r="L703" s="153"/>
      <c r="M703" s="170">
        <v>696</v>
      </c>
      <c r="N703" s="164">
        <f>ROUND(F703*('Model Data Inputs'!$E$184*'Model Data Inputs'!$E$185*'Model Data Inputs'!$E$186*'Model Data Inputs'!$E$187),2)</f>
        <v>255.41</v>
      </c>
      <c r="O703" s="171">
        <f t="shared" si="43"/>
        <v>177765.36</v>
      </c>
    </row>
    <row r="704" spans="1:15" x14ac:dyDescent="0.2">
      <c r="A704" s="168">
        <v>697</v>
      </c>
      <c r="B704" s="159">
        <v>700.90706805029322</v>
      </c>
      <c r="C704" s="169">
        <f t="shared" si="40"/>
        <v>488532.22643105435</v>
      </c>
      <c r="D704" s="153"/>
      <c r="E704" s="170">
        <v>697</v>
      </c>
      <c r="F704" s="162">
        <v>255.319087171776</v>
      </c>
      <c r="G704" s="171">
        <f t="shared" si="41"/>
        <v>177957.40375872789</v>
      </c>
      <c r="I704" s="168">
        <v>697</v>
      </c>
      <c r="J704" s="167">
        <f>ROUND(B704*('Model Data Inputs'!$E$184*'Model Data Inputs'!$E$185*'Model Data Inputs'!$E$186*'Model Data Inputs'!$E$187),2)</f>
        <v>700.91</v>
      </c>
      <c r="K704" s="169">
        <f t="shared" si="42"/>
        <v>488534.26999999996</v>
      </c>
      <c r="L704" s="153"/>
      <c r="M704" s="170">
        <v>697</v>
      </c>
      <c r="N704" s="164">
        <f>ROUND(F704*('Model Data Inputs'!$E$184*'Model Data Inputs'!$E$185*'Model Data Inputs'!$E$186*'Model Data Inputs'!$E$187),2)</f>
        <v>255.32</v>
      </c>
      <c r="O704" s="171">
        <f t="shared" si="43"/>
        <v>177958.04</v>
      </c>
    </row>
    <row r="705" spans="1:15" x14ac:dyDescent="0.2">
      <c r="A705" s="168">
        <v>698</v>
      </c>
      <c r="B705" s="159">
        <v>700.71821239863027</v>
      </c>
      <c r="C705" s="169">
        <f t="shared" si="40"/>
        <v>489101.31225424394</v>
      </c>
      <c r="D705" s="153"/>
      <c r="E705" s="170">
        <v>698</v>
      </c>
      <c r="F705" s="162">
        <v>255.22470097030094</v>
      </c>
      <c r="G705" s="171">
        <f t="shared" si="41"/>
        <v>178146.84127727005</v>
      </c>
      <c r="I705" s="168">
        <v>698</v>
      </c>
      <c r="J705" s="167">
        <f>ROUND(B705*('Model Data Inputs'!$E$184*'Model Data Inputs'!$E$185*'Model Data Inputs'!$E$186*'Model Data Inputs'!$E$187),2)</f>
        <v>700.72</v>
      </c>
      <c r="K705" s="169">
        <f t="shared" si="42"/>
        <v>489102.56</v>
      </c>
      <c r="L705" s="153"/>
      <c r="M705" s="170">
        <v>698</v>
      </c>
      <c r="N705" s="164">
        <f>ROUND(F705*('Model Data Inputs'!$E$184*'Model Data Inputs'!$E$185*'Model Data Inputs'!$E$186*'Model Data Inputs'!$E$187),2)</f>
        <v>255.22</v>
      </c>
      <c r="O705" s="171">
        <f t="shared" si="43"/>
        <v>178143.56</v>
      </c>
    </row>
    <row r="706" spans="1:15" x14ac:dyDescent="0.2">
      <c r="A706" s="168">
        <v>699</v>
      </c>
      <c r="B706" s="159">
        <v>700.52935674696698</v>
      </c>
      <c r="C706" s="169">
        <f t="shared" si="40"/>
        <v>489670.02036612993</v>
      </c>
      <c r="D706" s="153"/>
      <c r="E706" s="170">
        <v>699</v>
      </c>
      <c r="F706" s="162">
        <v>255.13031476882591</v>
      </c>
      <c r="G706" s="171">
        <f t="shared" si="41"/>
        <v>178336.09002340931</v>
      </c>
      <c r="I706" s="168">
        <v>699</v>
      </c>
      <c r="J706" s="167">
        <f>ROUND(B706*('Model Data Inputs'!$E$184*'Model Data Inputs'!$E$185*'Model Data Inputs'!$E$186*'Model Data Inputs'!$E$187),2)</f>
        <v>700.53</v>
      </c>
      <c r="K706" s="169">
        <f t="shared" si="42"/>
        <v>489670.47</v>
      </c>
      <c r="L706" s="153"/>
      <c r="M706" s="170">
        <v>699</v>
      </c>
      <c r="N706" s="164">
        <f>ROUND(F706*('Model Data Inputs'!$E$184*'Model Data Inputs'!$E$185*'Model Data Inputs'!$E$186*'Model Data Inputs'!$E$187),2)</f>
        <v>255.13</v>
      </c>
      <c r="O706" s="171">
        <f t="shared" si="43"/>
        <v>178335.87</v>
      </c>
    </row>
    <row r="707" spans="1:15" x14ac:dyDescent="0.2">
      <c r="A707" s="168">
        <v>700</v>
      </c>
      <c r="B707" s="159">
        <v>700.34050109530392</v>
      </c>
      <c r="C707" s="169">
        <f t="shared" si="40"/>
        <v>490238.35076671274</v>
      </c>
      <c r="D707" s="153"/>
      <c r="E707" s="170">
        <v>700</v>
      </c>
      <c r="F707" s="162">
        <v>255.03592856735088</v>
      </c>
      <c r="G707" s="171">
        <f t="shared" si="41"/>
        <v>178525.14999714561</v>
      </c>
      <c r="I707" s="168">
        <v>700</v>
      </c>
      <c r="J707" s="167">
        <f>ROUND(B707*('Model Data Inputs'!$E$184*'Model Data Inputs'!$E$185*'Model Data Inputs'!$E$186*'Model Data Inputs'!$E$187),2)</f>
        <v>700.34</v>
      </c>
      <c r="K707" s="169">
        <f t="shared" si="42"/>
        <v>490238</v>
      </c>
      <c r="L707" s="153"/>
      <c r="M707" s="170">
        <v>700</v>
      </c>
      <c r="N707" s="164">
        <f>ROUND(F707*('Model Data Inputs'!$E$184*'Model Data Inputs'!$E$185*'Model Data Inputs'!$E$186*'Model Data Inputs'!$E$187),2)</f>
        <v>255.04</v>
      </c>
      <c r="O707" s="171">
        <f t="shared" si="43"/>
        <v>178528</v>
      </c>
    </row>
    <row r="708" spans="1:15" x14ac:dyDescent="0.2">
      <c r="A708" s="168">
        <v>701</v>
      </c>
      <c r="B708" s="159">
        <v>700.15164544364075</v>
      </c>
      <c r="C708" s="169">
        <f t="shared" si="40"/>
        <v>490806.30345599214</v>
      </c>
      <c r="D708" s="153"/>
      <c r="E708" s="170">
        <v>701</v>
      </c>
      <c r="F708" s="162">
        <v>254.94154236587579</v>
      </c>
      <c r="G708" s="171">
        <f t="shared" si="41"/>
        <v>178714.02119847893</v>
      </c>
      <c r="I708" s="168">
        <v>701</v>
      </c>
      <c r="J708" s="167">
        <f>ROUND(B708*('Model Data Inputs'!$E$184*'Model Data Inputs'!$E$185*'Model Data Inputs'!$E$186*'Model Data Inputs'!$E$187),2)</f>
        <v>700.15</v>
      </c>
      <c r="K708" s="169">
        <f t="shared" si="42"/>
        <v>490805.14999999997</v>
      </c>
      <c r="L708" s="153"/>
      <c r="M708" s="170">
        <v>701</v>
      </c>
      <c r="N708" s="164">
        <f>ROUND(F708*('Model Data Inputs'!$E$184*'Model Data Inputs'!$E$185*'Model Data Inputs'!$E$186*'Model Data Inputs'!$E$187),2)</f>
        <v>254.94</v>
      </c>
      <c r="O708" s="171">
        <f t="shared" si="43"/>
        <v>178712.94</v>
      </c>
    </row>
    <row r="709" spans="1:15" x14ac:dyDescent="0.2">
      <c r="A709" s="168">
        <v>702</v>
      </c>
      <c r="B709" s="159">
        <v>699.96278979197768</v>
      </c>
      <c r="C709" s="169">
        <f t="shared" si="40"/>
        <v>491373.87843396835</v>
      </c>
      <c r="D709" s="153"/>
      <c r="E709" s="170">
        <v>702</v>
      </c>
      <c r="F709" s="162">
        <v>254.84715616440081</v>
      </c>
      <c r="G709" s="171">
        <f t="shared" si="41"/>
        <v>178902.70362740938</v>
      </c>
      <c r="I709" s="168">
        <v>702</v>
      </c>
      <c r="J709" s="167">
        <f>ROUND(B709*('Model Data Inputs'!$E$184*'Model Data Inputs'!$E$185*'Model Data Inputs'!$E$186*'Model Data Inputs'!$E$187),2)</f>
        <v>699.96</v>
      </c>
      <c r="K709" s="169">
        <f t="shared" si="42"/>
        <v>491371.92000000004</v>
      </c>
      <c r="L709" s="153"/>
      <c r="M709" s="170">
        <v>702</v>
      </c>
      <c r="N709" s="164">
        <f>ROUND(F709*('Model Data Inputs'!$E$184*'Model Data Inputs'!$E$185*'Model Data Inputs'!$E$186*'Model Data Inputs'!$E$187),2)</f>
        <v>254.85</v>
      </c>
      <c r="O709" s="171">
        <f t="shared" si="43"/>
        <v>178904.69999999998</v>
      </c>
    </row>
    <row r="710" spans="1:15" x14ac:dyDescent="0.2">
      <c r="A710" s="168">
        <v>703</v>
      </c>
      <c r="B710" s="159">
        <v>699.77393414031462</v>
      </c>
      <c r="C710" s="169">
        <f t="shared" si="40"/>
        <v>491941.0757006412</v>
      </c>
      <c r="D710" s="153"/>
      <c r="E710" s="170">
        <v>703</v>
      </c>
      <c r="F710" s="162">
        <v>254.75276996292575</v>
      </c>
      <c r="G710" s="171">
        <f t="shared" si="41"/>
        <v>179091.19728393681</v>
      </c>
      <c r="I710" s="168">
        <v>703</v>
      </c>
      <c r="J710" s="167">
        <f>ROUND(B710*('Model Data Inputs'!$E$184*'Model Data Inputs'!$E$185*'Model Data Inputs'!$E$186*'Model Data Inputs'!$E$187),2)</f>
        <v>699.77</v>
      </c>
      <c r="K710" s="169">
        <f t="shared" si="42"/>
        <v>491938.31</v>
      </c>
      <c r="L710" s="153"/>
      <c r="M710" s="170">
        <v>703</v>
      </c>
      <c r="N710" s="164">
        <f>ROUND(F710*('Model Data Inputs'!$E$184*'Model Data Inputs'!$E$185*'Model Data Inputs'!$E$186*'Model Data Inputs'!$E$187),2)</f>
        <v>254.75</v>
      </c>
      <c r="O710" s="171">
        <f t="shared" si="43"/>
        <v>179089.25</v>
      </c>
    </row>
    <row r="711" spans="1:15" x14ac:dyDescent="0.2">
      <c r="A711" s="168">
        <v>704</v>
      </c>
      <c r="B711" s="159">
        <v>699.58507848865156</v>
      </c>
      <c r="C711" s="169">
        <f t="shared" si="40"/>
        <v>492507.8952560107</v>
      </c>
      <c r="D711" s="153"/>
      <c r="E711" s="170">
        <v>704</v>
      </c>
      <c r="F711" s="162">
        <v>254.65838376145072</v>
      </c>
      <c r="G711" s="171">
        <f t="shared" si="41"/>
        <v>179279.5021680613</v>
      </c>
      <c r="I711" s="168">
        <v>704</v>
      </c>
      <c r="J711" s="167">
        <f>ROUND(B711*('Model Data Inputs'!$E$184*'Model Data Inputs'!$E$185*'Model Data Inputs'!$E$186*'Model Data Inputs'!$E$187),2)</f>
        <v>699.59</v>
      </c>
      <c r="K711" s="169">
        <f t="shared" si="42"/>
        <v>492511.36000000004</v>
      </c>
      <c r="L711" s="153"/>
      <c r="M711" s="170">
        <v>704</v>
      </c>
      <c r="N711" s="164">
        <f>ROUND(F711*('Model Data Inputs'!$E$184*'Model Data Inputs'!$E$185*'Model Data Inputs'!$E$186*'Model Data Inputs'!$E$187),2)</f>
        <v>254.66</v>
      </c>
      <c r="O711" s="171">
        <f t="shared" si="43"/>
        <v>179280.63999999998</v>
      </c>
    </row>
    <row r="712" spans="1:15" x14ac:dyDescent="0.2">
      <c r="A712" s="168">
        <v>705</v>
      </c>
      <c r="B712" s="159">
        <v>699.3962228369885</v>
      </c>
      <c r="C712" s="169">
        <f t="shared" ref="C712:C775" si="44">A712*B712</f>
        <v>493074.3371000769</v>
      </c>
      <c r="D712" s="153"/>
      <c r="E712" s="170">
        <v>705</v>
      </c>
      <c r="F712" s="162">
        <v>254.56399755997575</v>
      </c>
      <c r="G712" s="171">
        <f t="shared" ref="G712:G775" si="45">E712*F712</f>
        <v>179467.61827978291</v>
      </c>
      <c r="I712" s="168">
        <v>705</v>
      </c>
      <c r="J712" s="167">
        <f>ROUND(B712*('Model Data Inputs'!$E$184*'Model Data Inputs'!$E$185*'Model Data Inputs'!$E$186*'Model Data Inputs'!$E$187),2)</f>
        <v>699.4</v>
      </c>
      <c r="K712" s="169">
        <f t="shared" ref="K712:K775" si="46">I712*J712</f>
        <v>493077</v>
      </c>
      <c r="L712" s="153"/>
      <c r="M712" s="170">
        <v>705</v>
      </c>
      <c r="N712" s="164">
        <f>ROUND(F712*('Model Data Inputs'!$E$184*'Model Data Inputs'!$E$185*'Model Data Inputs'!$E$186*'Model Data Inputs'!$E$187),2)</f>
        <v>254.56</v>
      </c>
      <c r="O712" s="171">
        <f t="shared" ref="O712:O775" si="47">M712*N712</f>
        <v>179464.8</v>
      </c>
    </row>
    <row r="713" spans="1:15" x14ac:dyDescent="0.2">
      <c r="A713" s="168">
        <v>706</v>
      </c>
      <c r="B713" s="159">
        <v>699.20736718532544</v>
      </c>
      <c r="C713" s="169">
        <f t="shared" si="44"/>
        <v>493640.40123283974</v>
      </c>
      <c r="D713" s="153"/>
      <c r="E713" s="170">
        <v>706</v>
      </c>
      <c r="F713" s="162">
        <v>254.46961135850066</v>
      </c>
      <c r="G713" s="171">
        <f t="shared" si="45"/>
        <v>179655.54561910147</v>
      </c>
      <c r="I713" s="168">
        <v>706</v>
      </c>
      <c r="J713" s="167">
        <f>ROUND(B713*('Model Data Inputs'!$E$184*'Model Data Inputs'!$E$185*'Model Data Inputs'!$E$186*'Model Data Inputs'!$E$187),2)</f>
        <v>699.21</v>
      </c>
      <c r="K713" s="169">
        <f t="shared" si="46"/>
        <v>493642.26</v>
      </c>
      <c r="L713" s="153"/>
      <c r="M713" s="170">
        <v>706</v>
      </c>
      <c r="N713" s="164">
        <f>ROUND(F713*('Model Data Inputs'!$E$184*'Model Data Inputs'!$E$185*'Model Data Inputs'!$E$186*'Model Data Inputs'!$E$187),2)</f>
        <v>254.47</v>
      </c>
      <c r="O713" s="171">
        <f t="shared" si="47"/>
        <v>179655.82</v>
      </c>
    </row>
    <row r="714" spans="1:15" x14ac:dyDescent="0.2">
      <c r="A714" s="168">
        <v>707</v>
      </c>
      <c r="B714" s="159">
        <v>699.01851153366226</v>
      </c>
      <c r="C714" s="169">
        <f t="shared" si="44"/>
        <v>494206.08765429922</v>
      </c>
      <c r="D714" s="153"/>
      <c r="E714" s="170">
        <v>707</v>
      </c>
      <c r="F714" s="162">
        <v>254.37522515702568</v>
      </c>
      <c r="G714" s="171">
        <f t="shared" si="45"/>
        <v>179843.28418601715</v>
      </c>
      <c r="I714" s="168">
        <v>707</v>
      </c>
      <c r="J714" s="167">
        <f>ROUND(B714*('Model Data Inputs'!$E$184*'Model Data Inputs'!$E$185*'Model Data Inputs'!$E$186*'Model Data Inputs'!$E$187),2)</f>
        <v>699.02</v>
      </c>
      <c r="K714" s="169">
        <f t="shared" si="46"/>
        <v>494207.14</v>
      </c>
      <c r="L714" s="153"/>
      <c r="M714" s="170">
        <v>707</v>
      </c>
      <c r="N714" s="164">
        <f>ROUND(F714*('Model Data Inputs'!$E$184*'Model Data Inputs'!$E$185*'Model Data Inputs'!$E$186*'Model Data Inputs'!$E$187),2)</f>
        <v>254.38</v>
      </c>
      <c r="O714" s="171">
        <f t="shared" si="47"/>
        <v>179846.66</v>
      </c>
    </row>
    <row r="715" spans="1:15" x14ac:dyDescent="0.2">
      <c r="A715" s="168">
        <v>708</v>
      </c>
      <c r="B715" s="159">
        <v>698.82965588199932</v>
      </c>
      <c r="C715" s="169">
        <f t="shared" si="44"/>
        <v>494771.39636445552</v>
      </c>
      <c r="D715" s="153"/>
      <c r="E715" s="170">
        <v>708</v>
      </c>
      <c r="F715" s="162">
        <v>254.28083895555056</v>
      </c>
      <c r="G715" s="171">
        <f t="shared" si="45"/>
        <v>180030.8339805298</v>
      </c>
      <c r="I715" s="168">
        <v>708</v>
      </c>
      <c r="J715" s="167">
        <f>ROUND(B715*('Model Data Inputs'!$E$184*'Model Data Inputs'!$E$185*'Model Data Inputs'!$E$186*'Model Data Inputs'!$E$187),2)</f>
        <v>698.83</v>
      </c>
      <c r="K715" s="169">
        <f t="shared" si="46"/>
        <v>494771.64</v>
      </c>
      <c r="L715" s="153"/>
      <c r="M715" s="170">
        <v>708</v>
      </c>
      <c r="N715" s="164">
        <f>ROUND(F715*('Model Data Inputs'!$E$184*'Model Data Inputs'!$E$185*'Model Data Inputs'!$E$186*'Model Data Inputs'!$E$187),2)</f>
        <v>254.28</v>
      </c>
      <c r="O715" s="171">
        <f t="shared" si="47"/>
        <v>180030.24</v>
      </c>
    </row>
    <row r="716" spans="1:15" x14ac:dyDescent="0.2">
      <c r="A716" s="168">
        <v>709</v>
      </c>
      <c r="B716" s="159">
        <v>698.64080023033614</v>
      </c>
      <c r="C716" s="169">
        <f t="shared" si="44"/>
        <v>495336.32736330834</v>
      </c>
      <c r="D716" s="153"/>
      <c r="E716" s="170">
        <v>709</v>
      </c>
      <c r="F716" s="162">
        <v>254.18645275407553</v>
      </c>
      <c r="G716" s="171">
        <f t="shared" si="45"/>
        <v>180218.19500263955</v>
      </c>
      <c r="I716" s="168">
        <v>709</v>
      </c>
      <c r="J716" s="167">
        <f>ROUND(B716*('Model Data Inputs'!$E$184*'Model Data Inputs'!$E$185*'Model Data Inputs'!$E$186*'Model Data Inputs'!$E$187),2)</f>
        <v>698.64</v>
      </c>
      <c r="K716" s="169">
        <f t="shared" si="46"/>
        <v>495335.76</v>
      </c>
      <c r="L716" s="153"/>
      <c r="M716" s="170">
        <v>709</v>
      </c>
      <c r="N716" s="164">
        <f>ROUND(F716*('Model Data Inputs'!$E$184*'Model Data Inputs'!$E$185*'Model Data Inputs'!$E$186*'Model Data Inputs'!$E$187),2)</f>
        <v>254.19</v>
      </c>
      <c r="O716" s="171">
        <f t="shared" si="47"/>
        <v>180220.71</v>
      </c>
    </row>
    <row r="717" spans="1:15" x14ac:dyDescent="0.2">
      <c r="A717" s="168">
        <v>710</v>
      </c>
      <c r="B717" s="159">
        <v>698.45194457867319</v>
      </c>
      <c r="C717" s="169">
        <f t="shared" si="44"/>
        <v>495900.88065085799</v>
      </c>
      <c r="D717" s="153"/>
      <c r="E717" s="170">
        <v>710</v>
      </c>
      <c r="F717" s="162">
        <v>254.0920665526005</v>
      </c>
      <c r="G717" s="171">
        <f t="shared" si="45"/>
        <v>180405.36725234636</v>
      </c>
      <c r="I717" s="168">
        <v>710</v>
      </c>
      <c r="J717" s="167">
        <f>ROUND(B717*('Model Data Inputs'!$E$184*'Model Data Inputs'!$E$185*'Model Data Inputs'!$E$186*'Model Data Inputs'!$E$187),2)</f>
        <v>698.45</v>
      </c>
      <c r="K717" s="169">
        <f t="shared" si="46"/>
        <v>495899.50000000006</v>
      </c>
      <c r="L717" s="153"/>
      <c r="M717" s="170">
        <v>710</v>
      </c>
      <c r="N717" s="164">
        <f>ROUND(F717*('Model Data Inputs'!$E$184*'Model Data Inputs'!$E$185*'Model Data Inputs'!$E$186*'Model Data Inputs'!$E$187),2)</f>
        <v>254.09</v>
      </c>
      <c r="O717" s="171">
        <f t="shared" si="47"/>
        <v>180403.9</v>
      </c>
    </row>
    <row r="718" spans="1:15" x14ac:dyDescent="0.2">
      <c r="A718" s="168">
        <v>711</v>
      </c>
      <c r="B718" s="159">
        <v>698.26308892701024</v>
      </c>
      <c r="C718" s="169">
        <f t="shared" si="44"/>
        <v>496465.05622710427</v>
      </c>
      <c r="D718" s="153"/>
      <c r="E718" s="170">
        <v>711</v>
      </c>
      <c r="F718" s="162">
        <v>253.99768035112552</v>
      </c>
      <c r="G718" s="171">
        <f t="shared" si="45"/>
        <v>180592.35072965024</v>
      </c>
      <c r="I718" s="168">
        <v>711</v>
      </c>
      <c r="J718" s="167">
        <f>ROUND(B718*('Model Data Inputs'!$E$184*'Model Data Inputs'!$E$185*'Model Data Inputs'!$E$186*'Model Data Inputs'!$E$187),2)</f>
        <v>698.26</v>
      </c>
      <c r="K718" s="169">
        <f t="shared" si="46"/>
        <v>496462.86</v>
      </c>
      <c r="L718" s="153"/>
      <c r="M718" s="170">
        <v>711</v>
      </c>
      <c r="N718" s="164">
        <f>ROUND(F718*('Model Data Inputs'!$E$184*'Model Data Inputs'!$E$185*'Model Data Inputs'!$E$186*'Model Data Inputs'!$E$187),2)</f>
        <v>254</v>
      </c>
      <c r="O718" s="171">
        <f t="shared" si="47"/>
        <v>180594</v>
      </c>
    </row>
    <row r="719" spans="1:15" x14ac:dyDescent="0.2">
      <c r="A719" s="168">
        <v>712</v>
      </c>
      <c r="B719" s="159">
        <v>698.07423327534707</v>
      </c>
      <c r="C719" s="169">
        <f t="shared" si="44"/>
        <v>497028.85409204708</v>
      </c>
      <c r="D719" s="153"/>
      <c r="E719" s="170">
        <v>712</v>
      </c>
      <c r="F719" s="162">
        <v>253.90329414965043</v>
      </c>
      <c r="G719" s="171">
        <f t="shared" si="45"/>
        <v>180779.14543455112</v>
      </c>
      <c r="I719" s="168">
        <v>712</v>
      </c>
      <c r="J719" s="167">
        <f>ROUND(B719*('Model Data Inputs'!$E$184*'Model Data Inputs'!$E$185*'Model Data Inputs'!$E$186*'Model Data Inputs'!$E$187),2)</f>
        <v>698.07</v>
      </c>
      <c r="K719" s="169">
        <f t="shared" si="46"/>
        <v>497025.84</v>
      </c>
      <c r="L719" s="153"/>
      <c r="M719" s="170">
        <v>712</v>
      </c>
      <c r="N719" s="164">
        <f>ROUND(F719*('Model Data Inputs'!$E$184*'Model Data Inputs'!$E$185*'Model Data Inputs'!$E$186*'Model Data Inputs'!$E$187),2)</f>
        <v>253.9</v>
      </c>
      <c r="O719" s="171">
        <f t="shared" si="47"/>
        <v>180776.80000000002</v>
      </c>
    </row>
    <row r="720" spans="1:15" x14ac:dyDescent="0.2">
      <c r="A720" s="168">
        <v>713</v>
      </c>
      <c r="B720" s="159">
        <v>697.88537762368389</v>
      </c>
      <c r="C720" s="169">
        <f t="shared" si="44"/>
        <v>497592.2742456866</v>
      </c>
      <c r="D720" s="153"/>
      <c r="E720" s="170">
        <v>713</v>
      </c>
      <c r="F720" s="162">
        <v>253.80890794817537</v>
      </c>
      <c r="G720" s="171">
        <f t="shared" si="45"/>
        <v>180965.75136704903</v>
      </c>
      <c r="I720" s="168">
        <v>713</v>
      </c>
      <c r="J720" s="167">
        <f>ROUND(B720*('Model Data Inputs'!$E$184*'Model Data Inputs'!$E$185*'Model Data Inputs'!$E$186*'Model Data Inputs'!$E$187),2)</f>
        <v>697.89</v>
      </c>
      <c r="K720" s="169">
        <f t="shared" si="46"/>
        <v>497595.57</v>
      </c>
      <c r="L720" s="153"/>
      <c r="M720" s="170">
        <v>713</v>
      </c>
      <c r="N720" s="164">
        <f>ROUND(F720*('Model Data Inputs'!$E$184*'Model Data Inputs'!$E$185*'Model Data Inputs'!$E$186*'Model Data Inputs'!$E$187),2)</f>
        <v>253.81</v>
      </c>
      <c r="O720" s="171">
        <f t="shared" si="47"/>
        <v>180966.53</v>
      </c>
    </row>
    <row r="721" spans="1:15" x14ac:dyDescent="0.2">
      <c r="A721" s="168">
        <v>714</v>
      </c>
      <c r="B721" s="159">
        <v>697.69652197202049</v>
      </c>
      <c r="C721" s="169">
        <f t="shared" si="44"/>
        <v>498155.31668802263</v>
      </c>
      <c r="D721" s="153"/>
      <c r="E721" s="170">
        <v>714</v>
      </c>
      <c r="F721" s="162">
        <v>253.71452174670034</v>
      </c>
      <c r="G721" s="171">
        <f t="shared" si="45"/>
        <v>181152.16852714404</v>
      </c>
      <c r="I721" s="168">
        <v>714</v>
      </c>
      <c r="J721" s="167">
        <f>ROUND(B721*('Model Data Inputs'!$E$184*'Model Data Inputs'!$E$185*'Model Data Inputs'!$E$186*'Model Data Inputs'!$E$187),2)</f>
        <v>697.7</v>
      </c>
      <c r="K721" s="169">
        <f t="shared" si="46"/>
        <v>498157.80000000005</v>
      </c>
      <c r="L721" s="153"/>
      <c r="M721" s="170">
        <v>714</v>
      </c>
      <c r="N721" s="164">
        <f>ROUND(F721*('Model Data Inputs'!$E$184*'Model Data Inputs'!$E$185*'Model Data Inputs'!$E$186*'Model Data Inputs'!$E$187),2)</f>
        <v>253.71</v>
      </c>
      <c r="O721" s="171">
        <f t="shared" si="47"/>
        <v>181148.94</v>
      </c>
    </row>
    <row r="722" spans="1:15" x14ac:dyDescent="0.2">
      <c r="A722" s="168">
        <v>715</v>
      </c>
      <c r="B722" s="159">
        <v>697.50766632035766</v>
      </c>
      <c r="C722" s="169">
        <f t="shared" si="44"/>
        <v>498717.98141905572</v>
      </c>
      <c r="D722" s="153"/>
      <c r="E722" s="170">
        <v>715</v>
      </c>
      <c r="F722" s="162">
        <v>253.62013554522537</v>
      </c>
      <c r="G722" s="171">
        <f t="shared" si="45"/>
        <v>181338.39691483614</v>
      </c>
      <c r="I722" s="168">
        <v>715</v>
      </c>
      <c r="J722" s="167">
        <f>ROUND(B722*('Model Data Inputs'!$E$184*'Model Data Inputs'!$E$185*'Model Data Inputs'!$E$186*'Model Data Inputs'!$E$187),2)</f>
        <v>697.51</v>
      </c>
      <c r="K722" s="169">
        <f t="shared" si="46"/>
        <v>498719.64999999997</v>
      </c>
      <c r="L722" s="153"/>
      <c r="M722" s="170">
        <v>715</v>
      </c>
      <c r="N722" s="164">
        <f>ROUND(F722*('Model Data Inputs'!$E$184*'Model Data Inputs'!$E$185*'Model Data Inputs'!$E$186*'Model Data Inputs'!$E$187),2)</f>
        <v>253.62</v>
      </c>
      <c r="O722" s="171">
        <f t="shared" si="47"/>
        <v>181338.30000000002</v>
      </c>
    </row>
    <row r="723" spans="1:15" x14ac:dyDescent="0.2">
      <c r="A723" s="168">
        <v>716</v>
      </c>
      <c r="B723" s="159">
        <v>697.31881066869448</v>
      </c>
      <c r="C723" s="169">
        <f t="shared" si="44"/>
        <v>499280.26843878522</v>
      </c>
      <c r="D723" s="153"/>
      <c r="E723" s="170">
        <v>716</v>
      </c>
      <c r="F723" s="162">
        <v>253.52574934375028</v>
      </c>
      <c r="G723" s="171">
        <f t="shared" si="45"/>
        <v>181524.43653012521</v>
      </c>
      <c r="I723" s="168">
        <v>716</v>
      </c>
      <c r="J723" s="167">
        <f>ROUND(B723*('Model Data Inputs'!$E$184*'Model Data Inputs'!$E$185*'Model Data Inputs'!$E$186*'Model Data Inputs'!$E$187),2)</f>
        <v>697.32</v>
      </c>
      <c r="K723" s="169">
        <f t="shared" si="46"/>
        <v>499281.12000000005</v>
      </c>
      <c r="L723" s="153"/>
      <c r="M723" s="170">
        <v>716</v>
      </c>
      <c r="N723" s="164">
        <f>ROUND(F723*('Model Data Inputs'!$E$184*'Model Data Inputs'!$E$185*'Model Data Inputs'!$E$186*'Model Data Inputs'!$E$187),2)</f>
        <v>253.53</v>
      </c>
      <c r="O723" s="171">
        <f t="shared" si="47"/>
        <v>181527.48</v>
      </c>
    </row>
    <row r="724" spans="1:15" x14ac:dyDescent="0.2">
      <c r="A724" s="168">
        <v>717</v>
      </c>
      <c r="B724" s="159">
        <v>697.12995501703165</v>
      </c>
      <c r="C724" s="169">
        <f t="shared" si="44"/>
        <v>499842.17774721171</v>
      </c>
      <c r="D724" s="153"/>
      <c r="E724" s="170">
        <v>717</v>
      </c>
      <c r="F724" s="162">
        <v>253.4313631422753</v>
      </c>
      <c r="G724" s="171">
        <f t="shared" si="45"/>
        <v>181710.28737301138</v>
      </c>
      <c r="I724" s="168">
        <v>717</v>
      </c>
      <c r="J724" s="167">
        <f>ROUND(B724*('Model Data Inputs'!$E$184*'Model Data Inputs'!$E$185*'Model Data Inputs'!$E$186*'Model Data Inputs'!$E$187),2)</f>
        <v>697.13</v>
      </c>
      <c r="K724" s="169">
        <f t="shared" si="46"/>
        <v>499842.21</v>
      </c>
      <c r="L724" s="153"/>
      <c r="M724" s="170">
        <v>717</v>
      </c>
      <c r="N724" s="164">
        <f>ROUND(F724*('Model Data Inputs'!$E$184*'Model Data Inputs'!$E$185*'Model Data Inputs'!$E$186*'Model Data Inputs'!$E$187),2)</f>
        <v>253.43</v>
      </c>
      <c r="O724" s="171">
        <f t="shared" si="47"/>
        <v>181709.31</v>
      </c>
    </row>
    <row r="725" spans="1:15" x14ac:dyDescent="0.2">
      <c r="A725" s="168">
        <v>718</v>
      </c>
      <c r="B725" s="159">
        <v>696.94109936536847</v>
      </c>
      <c r="C725" s="169">
        <f t="shared" si="44"/>
        <v>500403.70934433455</v>
      </c>
      <c r="D725" s="153"/>
      <c r="E725" s="170">
        <v>718</v>
      </c>
      <c r="F725" s="162">
        <v>253.33697694080024</v>
      </c>
      <c r="G725" s="171">
        <f t="shared" si="45"/>
        <v>181895.94944349458</v>
      </c>
      <c r="I725" s="168">
        <v>718</v>
      </c>
      <c r="J725" s="167">
        <f>ROUND(B725*('Model Data Inputs'!$E$184*'Model Data Inputs'!$E$185*'Model Data Inputs'!$E$186*'Model Data Inputs'!$E$187),2)</f>
        <v>696.94</v>
      </c>
      <c r="K725" s="169">
        <f t="shared" si="46"/>
        <v>500402.92000000004</v>
      </c>
      <c r="L725" s="153"/>
      <c r="M725" s="170">
        <v>718</v>
      </c>
      <c r="N725" s="164">
        <f>ROUND(F725*('Model Data Inputs'!$E$184*'Model Data Inputs'!$E$185*'Model Data Inputs'!$E$186*'Model Data Inputs'!$E$187),2)</f>
        <v>253.34</v>
      </c>
      <c r="O725" s="171">
        <f t="shared" si="47"/>
        <v>181898.12</v>
      </c>
    </row>
    <row r="726" spans="1:15" x14ac:dyDescent="0.2">
      <c r="A726" s="168">
        <v>719</v>
      </c>
      <c r="B726" s="159">
        <v>696.7522437137053</v>
      </c>
      <c r="C726" s="169">
        <f t="shared" si="44"/>
        <v>500964.86323015409</v>
      </c>
      <c r="D726" s="153"/>
      <c r="E726" s="170">
        <v>719</v>
      </c>
      <c r="F726" s="162">
        <v>253.24259073932512</v>
      </c>
      <c r="G726" s="171">
        <f t="shared" si="45"/>
        <v>182081.42274157476</v>
      </c>
      <c r="I726" s="168">
        <v>719</v>
      </c>
      <c r="J726" s="167">
        <f>ROUND(B726*('Model Data Inputs'!$E$184*'Model Data Inputs'!$E$185*'Model Data Inputs'!$E$186*'Model Data Inputs'!$E$187),2)</f>
        <v>696.75</v>
      </c>
      <c r="K726" s="169">
        <f t="shared" si="46"/>
        <v>500963.25</v>
      </c>
      <c r="L726" s="153"/>
      <c r="M726" s="170">
        <v>719</v>
      </c>
      <c r="N726" s="164">
        <f>ROUND(F726*('Model Data Inputs'!$E$184*'Model Data Inputs'!$E$185*'Model Data Inputs'!$E$186*'Model Data Inputs'!$E$187),2)</f>
        <v>253.24</v>
      </c>
      <c r="O726" s="171">
        <f t="shared" si="47"/>
        <v>182079.56</v>
      </c>
    </row>
    <row r="727" spans="1:15" x14ac:dyDescent="0.2">
      <c r="A727" s="168">
        <v>720</v>
      </c>
      <c r="B727" s="159">
        <v>696.56338806204212</v>
      </c>
      <c r="C727" s="169">
        <f t="shared" si="44"/>
        <v>501525.63940467034</v>
      </c>
      <c r="D727" s="153"/>
      <c r="E727" s="170">
        <v>720</v>
      </c>
      <c r="F727" s="162">
        <v>253.14820453785012</v>
      </c>
      <c r="G727" s="171">
        <f t="shared" si="45"/>
        <v>182266.70726725209</v>
      </c>
      <c r="I727" s="168">
        <v>720</v>
      </c>
      <c r="J727" s="167">
        <f>ROUND(B727*('Model Data Inputs'!$E$184*'Model Data Inputs'!$E$185*'Model Data Inputs'!$E$186*'Model Data Inputs'!$E$187),2)</f>
        <v>696.56</v>
      </c>
      <c r="K727" s="169">
        <f t="shared" si="46"/>
        <v>501523.19999999995</v>
      </c>
      <c r="L727" s="153"/>
      <c r="M727" s="170">
        <v>720</v>
      </c>
      <c r="N727" s="164">
        <f>ROUND(F727*('Model Data Inputs'!$E$184*'Model Data Inputs'!$E$185*'Model Data Inputs'!$E$186*'Model Data Inputs'!$E$187),2)</f>
        <v>253.15</v>
      </c>
      <c r="O727" s="171">
        <f t="shared" si="47"/>
        <v>182268</v>
      </c>
    </row>
    <row r="728" spans="1:15" x14ac:dyDescent="0.2">
      <c r="A728" s="168">
        <v>721</v>
      </c>
      <c r="B728" s="159">
        <v>696.37453241037917</v>
      </c>
      <c r="C728" s="169">
        <f t="shared" si="44"/>
        <v>502086.03786788339</v>
      </c>
      <c r="D728" s="153"/>
      <c r="E728" s="170">
        <v>721</v>
      </c>
      <c r="F728" s="162">
        <v>253.05381833637506</v>
      </c>
      <c r="G728" s="171">
        <f t="shared" si="45"/>
        <v>182451.80302052642</v>
      </c>
      <c r="I728" s="168">
        <v>721</v>
      </c>
      <c r="J728" s="167">
        <f>ROUND(B728*('Model Data Inputs'!$E$184*'Model Data Inputs'!$E$185*'Model Data Inputs'!$E$186*'Model Data Inputs'!$E$187),2)</f>
        <v>696.37</v>
      </c>
      <c r="K728" s="169">
        <f t="shared" si="46"/>
        <v>502082.77</v>
      </c>
      <c r="L728" s="153"/>
      <c r="M728" s="170">
        <v>721</v>
      </c>
      <c r="N728" s="164">
        <f>ROUND(F728*('Model Data Inputs'!$E$184*'Model Data Inputs'!$E$185*'Model Data Inputs'!$E$186*'Model Data Inputs'!$E$187),2)</f>
        <v>253.05</v>
      </c>
      <c r="O728" s="171">
        <f t="shared" si="47"/>
        <v>182449.05000000002</v>
      </c>
    </row>
    <row r="729" spans="1:15" x14ac:dyDescent="0.2">
      <c r="A729" s="168">
        <v>722</v>
      </c>
      <c r="B729" s="159">
        <v>696.18567675871611</v>
      </c>
      <c r="C729" s="169">
        <f t="shared" si="44"/>
        <v>502646.05861979304</v>
      </c>
      <c r="D729" s="153"/>
      <c r="E729" s="170">
        <v>722</v>
      </c>
      <c r="F729" s="162">
        <v>252.95943213490006</v>
      </c>
      <c r="G729" s="171">
        <f t="shared" si="45"/>
        <v>182636.71000139785</v>
      </c>
      <c r="I729" s="168">
        <v>722</v>
      </c>
      <c r="J729" s="167">
        <f>ROUND(B729*('Model Data Inputs'!$E$184*'Model Data Inputs'!$E$185*'Model Data Inputs'!$E$186*'Model Data Inputs'!$E$187),2)</f>
        <v>696.19</v>
      </c>
      <c r="K729" s="169">
        <f t="shared" si="46"/>
        <v>502649.18000000005</v>
      </c>
      <c r="L729" s="153"/>
      <c r="M729" s="170">
        <v>722</v>
      </c>
      <c r="N729" s="164">
        <f>ROUND(F729*('Model Data Inputs'!$E$184*'Model Data Inputs'!$E$185*'Model Data Inputs'!$E$186*'Model Data Inputs'!$E$187),2)</f>
        <v>252.96</v>
      </c>
      <c r="O729" s="171">
        <f t="shared" si="47"/>
        <v>182637.12</v>
      </c>
    </row>
    <row r="730" spans="1:15" x14ac:dyDescent="0.2">
      <c r="A730" s="168">
        <v>723</v>
      </c>
      <c r="B730" s="159">
        <v>695.99682110705305</v>
      </c>
      <c r="C730" s="169">
        <f t="shared" si="44"/>
        <v>503205.70166039938</v>
      </c>
      <c r="D730" s="153"/>
      <c r="E730" s="170">
        <v>723</v>
      </c>
      <c r="F730" s="162">
        <v>252.86504593342497</v>
      </c>
      <c r="G730" s="171">
        <f t="shared" si="45"/>
        <v>182821.42820986625</v>
      </c>
      <c r="I730" s="168">
        <v>723</v>
      </c>
      <c r="J730" s="167">
        <f>ROUND(B730*('Model Data Inputs'!$E$184*'Model Data Inputs'!$E$185*'Model Data Inputs'!$E$186*'Model Data Inputs'!$E$187),2)</f>
        <v>696</v>
      </c>
      <c r="K730" s="169">
        <f t="shared" si="46"/>
        <v>503208</v>
      </c>
      <c r="L730" s="153"/>
      <c r="M730" s="170">
        <v>723</v>
      </c>
      <c r="N730" s="164">
        <f>ROUND(F730*('Model Data Inputs'!$E$184*'Model Data Inputs'!$E$185*'Model Data Inputs'!$E$186*'Model Data Inputs'!$E$187),2)</f>
        <v>252.87</v>
      </c>
      <c r="O730" s="171">
        <f t="shared" si="47"/>
        <v>182825.01</v>
      </c>
    </row>
    <row r="731" spans="1:15" x14ac:dyDescent="0.2">
      <c r="A731" s="168">
        <v>724</v>
      </c>
      <c r="B731" s="159">
        <v>695.8079654553901</v>
      </c>
      <c r="C731" s="169">
        <f t="shared" si="44"/>
        <v>503764.96698970243</v>
      </c>
      <c r="D731" s="153"/>
      <c r="E731" s="170">
        <v>724</v>
      </c>
      <c r="F731" s="162">
        <v>252.77065973194996</v>
      </c>
      <c r="G731" s="171">
        <f t="shared" si="45"/>
        <v>183005.95764593178</v>
      </c>
      <c r="I731" s="168">
        <v>724</v>
      </c>
      <c r="J731" s="167">
        <f>ROUND(B731*('Model Data Inputs'!$E$184*'Model Data Inputs'!$E$185*'Model Data Inputs'!$E$186*'Model Data Inputs'!$E$187),2)</f>
        <v>695.81</v>
      </c>
      <c r="K731" s="169">
        <f t="shared" si="46"/>
        <v>503766.43999999994</v>
      </c>
      <c r="L731" s="153"/>
      <c r="M731" s="170">
        <v>724</v>
      </c>
      <c r="N731" s="164">
        <f>ROUND(F731*('Model Data Inputs'!$E$184*'Model Data Inputs'!$E$185*'Model Data Inputs'!$E$186*'Model Data Inputs'!$E$187),2)</f>
        <v>252.77</v>
      </c>
      <c r="O731" s="171">
        <f t="shared" si="47"/>
        <v>183005.48</v>
      </c>
    </row>
    <row r="732" spans="1:15" x14ac:dyDescent="0.2">
      <c r="A732" s="168">
        <v>725</v>
      </c>
      <c r="B732" s="159">
        <v>695.61910980372693</v>
      </c>
      <c r="C732" s="169">
        <f t="shared" si="44"/>
        <v>504323.854607702</v>
      </c>
      <c r="D732" s="153"/>
      <c r="E732" s="170">
        <v>725</v>
      </c>
      <c r="F732" s="162">
        <v>252.67627353047493</v>
      </c>
      <c r="G732" s="171">
        <f t="shared" si="45"/>
        <v>183190.29830959433</v>
      </c>
      <c r="I732" s="168">
        <v>725</v>
      </c>
      <c r="J732" s="167">
        <f>ROUND(B732*('Model Data Inputs'!$E$184*'Model Data Inputs'!$E$185*'Model Data Inputs'!$E$186*'Model Data Inputs'!$E$187),2)</f>
        <v>695.62</v>
      </c>
      <c r="K732" s="169">
        <f t="shared" si="46"/>
        <v>504324.5</v>
      </c>
      <c r="L732" s="153"/>
      <c r="M732" s="170">
        <v>725</v>
      </c>
      <c r="N732" s="164">
        <f>ROUND(F732*('Model Data Inputs'!$E$184*'Model Data Inputs'!$E$185*'Model Data Inputs'!$E$186*'Model Data Inputs'!$E$187),2)</f>
        <v>252.68</v>
      </c>
      <c r="O732" s="171">
        <f t="shared" si="47"/>
        <v>183193</v>
      </c>
    </row>
    <row r="733" spans="1:15" x14ac:dyDescent="0.2">
      <c r="A733" s="168">
        <v>726</v>
      </c>
      <c r="B733" s="159">
        <v>695.43025415206387</v>
      </c>
      <c r="C733" s="169">
        <f t="shared" si="44"/>
        <v>504882.36451439839</v>
      </c>
      <c r="D733" s="153"/>
      <c r="E733" s="170">
        <v>726</v>
      </c>
      <c r="F733" s="162">
        <v>252.58188732899998</v>
      </c>
      <c r="G733" s="171">
        <f t="shared" si="45"/>
        <v>183374.45020085399</v>
      </c>
      <c r="I733" s="168">
        <v>726</v>
      </c>
      <c r="J733" s="167">
        <f>ROUND(B733*('Model Data Inputs'!$E$184*'Model Data Inputs'!$E$185*'Model Data Inputs'!$E$186*'Model Data Inputs'!$E$187),2)</f>
        <v>695.43</v>
      </c>
      <c r="K733" s="169">
        <f t="shared" si="46"/>
        <v>504882.17999999993</v>
      </c>
      <c r="L733" s="153"/>
      <c r="M733" s="170">
        <v>726</v>
      </c>
      <c r="N733" s="164">
        <f>ROUND(F733*('Model Data Inputs'!$E$184*'Model Data Inputs'!$E$185*'Model Data Inputs'!$E$186*'Model Data Inputs'!$E$187),2)</f>
        <v>252.58</v>
      </c>
      <c r="O733" s="171">
        <f t="shared" si="47"/>
        <v>183373.08000000002</v>
      </c>
    </row>
    <row r="734" spans="1:15" x14ac:dyDescent="0.2">
      <c r="A734" s="168">
        <v>727</v>
      </c>
      <c r="B734" s="159">
        <v>695.24139850040069</v>
      </c>
      <c r="C734" s="169">
        <f t="shared" si="44"/>
        <v>505440.4967097913</v>
      </c>
      <c r="D734" s="153"/>
      <c r="E734" s="170">
        <v>727</v>
      </c>
      <c r="F734" s="162">
        <v>252.48750112752489</v>
      </c>
      <c r="G734" s="171">
        <f t="shared" si="45"/>
        <v>183558.41331971058</v>
      </c>
      <c r="I734" s="168">
        <v>727</v>
      </c>
      <c r="J734" s="167">
        <f>ROUND(B734*('Model Data Inputs'!$E$184*'Model Data Inputs'!$E$185*'Model Data Inputs'!$E$186*'Model Data Inputs'!$E$187),2)</f>
        <v>695.24</v>
      </c>
      <c r="K734" s="169">
        <f t="shared" si="46"/>
        <v>505439.48</v>
      </c>
      <c r="L734" s="153"/>
      <c r="M734" s="170">
        <v>727</v>
      </c>
      <c r="N734" s="164">
        <f>ROUND(F734*('Model Data Inputs'!$E$184*'Model Data Inputs'!$E$185*'Model Data Inputs'!$E$186*'Model Data Inputs'!$E$187),2)</f>
        <v>252.49</v>
      </c>
      <c r="O734" s="171">
        <f t="shared" si="47"/>
        <v>183560.23</v>
      </c>
    </row>
    <row r="735" spans="1:15" x14ac:dyDescent="0.2">
      <c r="A735" s="168">
        <v>728</v>
      </c>
      <c r="B735" s="159">
        <v>695.05254284873752</v>
      </c>
      <c r="C735" s="169">
        <f t="shared" si="44"/>
        <v>505998.25119388092</v>
      </c>
      <c r="D735" s="153"/>
      <c r="E735" s="170">
        <v>728</v>
      </c>
      <c r="F735" s="162">
        <v>252.39311492604983</v>
      </c>
      <c r="G735" s="171">
        <f t="shared" si="45"/>
        <v>183742.18766616427</v>
      </c>
      <c r="I735" s="168">
        <v>728</v>
      </c>
      <c r="J735" s="167">
        <f>ROUND(B735*('Model Data Inputs'!$E$184*'Model Data Inputs'!$E$185*'Model Data Inputs'!$E$186*'Model Data Inputs'!$E$187),2)</f>
        <v>695.05</v>
      </c>
      <c r="K735" s="169">
        <f t="shared" si="46"/>
        <v>505996.39999999997</v>
      </c>
      <c r="L735" s="153"/>
      <c r="M735" s="170">
        <v>728</v>
      </c>
      <c r="N735" s="164">
        <f>ROUND(F735*('Model Data Inputs'!$E$184*'Model Data Inputs'!$E$185*'Model Data Inputs'!$E$186*'Model Data Inputs'!$E$187),2)</f>
        <v>252.39</v>
      </c>
      <c r="O735" s="171">
        <f t="shared" si="47"/>
        <v>183739.91999999998</v>
      </c>
    </row>
    <row r="736" spans="1:15" x14ac:dyDescent="0.2">
      <c r="A736" s="168">
        <v>729</v>
      </c>
      <c r="B736" s="159">
        <v>694.86368719707434</v>
      </c>
      <c r="C736" s="169">
        <f t="shared" si="44"/>
        <v>506555.62796666718</v>
      </c>
      <c r="D736" s="153"/>
      <c r="E736" s="170">
        <v>729</v>
      </c>
      <c r="F736" s="162">
        <v>252.29872872457477</v>
      </c>
      <c r="G736" s="171">
        <f t="shared" si="45"/>
        <v>183925.773240215</v>
      </c>
      <c r="I736" s="168">
        <v>729</v>
      </c>
      <c r="J736" s="167">
        <f>ROUND(B736*('Model Data Inputs'!$E$184*'Model Data Inputs'!$E$185*'Model Data Inputs'!$E$186*'Model Data Inputs'!$E$187),2)</f>
        <v>694.86</v>
      </c>
      <c r="K736" s="169">
        <f t="shared" si="46"/>
        <v>506552.94</v>
      </c>
      <c r="L736" s="153"/>
      <c r="M736" s="170">
        <v>729</v>
      </c>
      <c r="N736" s="164">
        <f>ROUND(F736*('Model Data Inputs'!$E$184*'Model Data Inputs'!$E$185*'Model Data Inputs'!$E$186*'Model Data Inputs'!$E$187),2)</f>
        <v>252.3</v>
      </c>
      <c r="O736" s="171">
        <f t="shared" si="47"/>
        <v>183926.7</v>
      </c>
    </row>
    <row r="737" spans="1:15" x14ac:dyDescent="0.2">
      <c r="A737" s="168">
        <v>730</v>
      </c>
      <c r="B737" s="159">
        <v>694.67483154541128</v>
      </c>
      <c r="C737" s="169">
        <f t="shared" si="44"/>
        <v>507112.62702815025</v>
      </c>
      <c r="D737" s="153"/>
      <c r="E737" s="170">
        <v>730</v>
      </c>
      <c r="F737" s="162">
        <v>252.20434252309977</v>
      </c>
      <c r="G737" s="171">
        <f t="shared" si="45"/>
        <v>184109.17004186282</v>
      </c>
      <c r="I737" s="168">
        <v>730</v>
      </c>
      <c r="J737" s="167">
        <f>ROUND(B737*('Model Data Inputs'!$E$184*'Model Data Inputs'!$E$185*'Model Data Inputs'!$E$186*'Model Data Inputs'!$E$187),2)</f>
        <v>694.67</v>
      </c>
      <c r="K737" s="169">
        <f t="shared" si="46"/>
        <v>507109.1</v>
      </c>
      <c r="L737" s="153"/>
      <c r="M737" s="170">
        <v>730</v>
      </c>
      <c r="N737" s="164">
        <f>ROUND(F737*('Model Data Inputs'!$E$184*'Model Data Inputs'!$E$185*'Model Data Inputs'!$E$186*'Model Data Inputs'!$E$187),2)</f>
        <v>252.2</v>
      </c>
      <c r="O737" s="171">
        <f t="shared" si="47"/>
        <v>184106</v>
      </c>
    </row>
    <row r="738" spans="1:15" x14ac:dyDescent="0.2">
      <c r="A738" s="168">
        <v>731</v>
      </c>
      <c r="B738" s="159">
        <v>694.48597589374822</v>
      </c>
      <c r="C738" s="169">
        <f t="shared" si="44"/>
        <v>507669.24837832997</v>
      </c>
      <c r="D738" s="153"/>
      <c r="E738" s="170">
        <v>731</v>
      </c>
      <c r="F738" s="162">
        <v>252.10995632162471</v>
      </c>
      <c r="G738" s="171">
        <f t="shared" si="45"/>
        <v>184292.37807110767</v>
      </c>
      <c r="I738" s="168">
        <v>731</v>
      </c>
      <c r="J738" s="167">
        <f>ROUND(B738*('Model Data Inputs'!$E$184*'Model Data Inputs'!$E$185*'Model Data Inputs'!$E$186*'Model Data Inputs'!$E$187),2)</f>
        <v>694.49</v>
      </c>
      <c r="K738" s="169">
        <f t="shared" si="46"/>
        <v>507672.19</v>
      </c>
      <c r="L738" s="153"/>
      <c r="M738" s="170">
        <v>731</v>
      </c>
      <c r="N738" s="164">
        <f>ROUND(F738*('Model Data Inputs'!$E$184*'Model Data Inputs'!$E$185*'Model Data Inputs'!$E$186*'Model Data Inputs'!$E$187),2)</f>
        <v>252.11</v>
      </c>
      <c r="O738" s="171">
        <f t="shared" si="47"/>
        <v>184292.41</v>
      </c>
    </row>
    <row r="739" spans="1:15" x14ac:dyDescent="0.2">
      <c r="A739" s="168">
        <v>732</v>
      </c>
      <c r="B739" s="159">
        <v>694.29712024208516</v>
      </c>
      <c r="C739" s="169">
        <f t="shared" si="44"/>
        <v>508225.49201720633</v>
      </c>
      <c r="D739" s="153"/>
      <c r="E739" s="170">
        <v>732</v>
      </c>
      <c r="F739" s="162">
        <v>252.0155701201497</v>
      </c>
      <c r="G739" s="171">
        <f t="shared" si="45"/>
        <v>184475.39732794958</v>
      </c>
      <c r="I739" s="168">
        <v>732</v>
      </c>
      <c r="J739" s="167">
        <f>ROUND(B739*('Model Data Inputs'!$E$184*'Model Data Inputs'!$E$185*'Model Data Inputs'!$E$186*'Model Data Inputs'!$E$187),2)</f>
        <v>694.3</v>
      </c>
      <c r="K739" s="169">
        <f t="shared" si="46"/>
        <v>508227.6</v>
      </c>
      <c r="L739" s="153"/>
      <c r="M739" s="170">
        <v>732</v>
      </c>
      <c r="N739" s="164">
        <f>ROUND(F739*('Model Data Inputs'!$E$184*'Model Data Inputs'!$E$185*'Model Data Inputs'!$E$186*'Model Data Inputs'!$E$187),2)</f>
        <v>252.02</v>
      </c>
      <c r="O739" s="171">
        <f t="shared" si="47"/>
        <v>184478.64</v>
      </c>
    </row>
    <row r="740" spans="1:15" x14ac:dyDescent="0.2">
      <c r="A740" s="168">
        <v>733</v>
      </c>
      <c r="B740" s="159">
        <v>694.10826459042221</v>
      </c>
      <c r="C740" s="169">
        <f t="shared" si="44"/>
        <v>508781.35794477951</v>
      </c>
      <c r="D740" s="153"/>
      <c r="E740" s="170">
        <v>733</v>
      </c>
      <c r="F740" s="162">
        <v>251.92118391867461</v>
      </c>
      <c r="G740" s="171">
        <f t="shared" si="45"/>
        <v>184658.2278123885</v>
      </c>
      <c r="I740" s="168">
        <v>733</v>
      </c>
      <c r="J740" s="167">
        <f>ROUND(B740*('Model Data Inputs'!$E$184*'Model Data Inputs'!$E$185*'Model Data Inputs'!$E$186*'Model Data Inputs'!$E$187),2)</f>
        <v>694.11</v>
      </c>
      <c r="K740" s="169">
        <f t="shared" si="46"/>
        <v>508782.63</v>
      </c>
      <c r="L740" s="153"/>
      <c r="M740" s="170">
        <v>733</v>
      </c>
      <c r="N740" s="164">
        <f>ROUND(F740*('Model Data Inputs'!$E$184*'Model Data Inputs'!$E$185*'Model Data Inputs'!$E$186*'Model Data Inputs'!$E$187),2)</f>
        <v>251.92</v>
      </c>
      <c r="O740" s="171">
        <f t="shared" si="47"/>
        <v>184657.36</v>
      </c>
    </row>
    <row r="741" spans="1:15" x14ac:dyDescent="0.2">
      <c r="A741" s="168">
        <v>734</v>
      </c>
      <c r="B741" s="159">
        <v>693.91940893875903</v>
      </c>
      <c r="C741" s="169">
        <f t="shared" si="44"/>
        <v>509336.84616104915</v>
      </c>
      <c r="D741" s="153"/>
      <c r="E741" s="170">
        <v>734</v>
      </c>
      <c r="F741" s="162">
        <v>251.82679771719961</v>
      </c>
      <c r="G741" s="171">
        <f t="shared" si="45"/>
        <v>184840.86952442452</v>
      </c>
      <c r="I741" s="168">
        <v>734</v>
      </c>
      <c r="J741" s="167">
        <f>ROUND(B741*('Model Data Inputs'!$E$184*'Model Data Inputs'!$E$185*'Model Data Inputs'!$E$186*'Model Data Inputs'!$E$187),2)</f>
        <v>693.92</v>
      </c>
      <c r="K741" s="169">
        <f t="shared" si="46"/>
        <v>509337.27999999997</v>
      </c>
      <c r="L741" s="153"/>
      <c r="M741" s="170">
        <v>734</v>
      </c>
      <c r="N741" s="164">
        <f>ROUND(F741*('Model Data Inputs'!$E$184*'Model Data Inputs'!$E$185*'Model Data Inputs'!$E$186*'Model Data Inputs'!$E$187),2)</f>
        <v>251.83</v>
      </c>
      <c r="O741" s="171">
        <f t="shared" si="47"/>
        <v>184843.22</v>
      </c>
    </row>
    <row r="742" spans="1:15" x14ac:dyDescent="0.2">
      <c r="A742" s="168">
        <v>735</v>
      </c>
      <c r="B742" s="159">
        <v>693.73055328709609</v>
      </c>
      <c r="C742" s="169">
        <f t="shared" si="44"/>
        <v>509891.95666601561</v>
      </c>
      <c r="D742" s="153"/>
      <c r="E742" s="170">
        <v>735</v>
      </c>
      <c r="F742" s="162">
        <v>251.73241151572455</v>
      </c>
      <c r="G742" s="171">
        <f t="shared" si="45"/>
        <v>185023.32246405754</v>
      </c>
      <c r="I742" s="168">
        <v>735</v>
      </c>
      <c r="J742" s="167">
        <f>ROUND(B742*('Model Data Inputs'!$E$184*'Model Data Inputs'!$E$185*'Model Data Inputs'!$E$186*'Model Data Inputs'!$E$187),2)</f>
        <v>693.73</v>
      </c>
      <c r="K742" s="169">
        <f t="shared" si="46"/>
        <v>509891.55</v>
      </c>
      <c r="L742" s="153"/>
      <c r="M742" s="170">
        <v>735</v>
      </c>
      <c r="N742" s="164">
        <f>ROUND(F742*('Model Data Inputs'!$E$184*'Model Data Inputs'!$E$185*'Model Data Inputs'!$E$186*'Model Data Inputs'!$E$187),2)</f>
        <v>251.73</v>
      </c>
      <c r="O742" s="171">
        <f t="shared" si="47"/>
        <v>185021.55</v>
      </c>
    </row>
    <row r="743" spans="1:15" x14ac:dyDescent="0.2">
      <c r="A743" s="168">
        <v>736</v>
      </c>
      <c r="B743" s="159">
        <v>693.54169763543291</v>
      </c>
      <c r="C743" s="169">
        <f t="shared" si="44"/>
        <v>510446.6894596786</v>
      </c>
      <c r="D743" s="153"/>
      <c r="E743" s="170">
        <v>736</v>
      </c>
      <c r="F743" s="162">
        <v>251.63802531424955</v>
      </c>
      <c r="G743" s="171">
        <f t="shared" si="45"/>
        <v>185205.58663128768</v>
      </c>
      <c r="I743" s="168">
        <v>736</v>
      </c>
      <c r="J743" s="167">
        <f>ROUND(B743*('Model Data Inputs'!$E$184*'Model Data Inputs'!$E$185*'Model Data Inputs'!$E$186*'Model Data Inputs'!$E$187),2)</f>
        <v>693.54</v>
      </c>
      <c r="K743" s="169">
        <f t="shared" si="46"/>
        <v>510445.43999999994</v>
      </c>
      <c r="L743" s="153"/>
      <c r="M743" s="170">
        <v>736</v>
      </c>
      <c r="N743" s="164">
        <f>ROUND(F743*('Model Data Inputs'!$E$184*'Model Data Inputs'!$E$185*'Model Data Inputs'!$E$186*'Model Data Inputs'!$E$187),2)</f>
        <v>251.64</v>
      </c>
      <c r="O743" s="171">
        <f t="shared" si="47"/>
        <v>185207.03999999998</v>
      </c>
    </row>
    <row r="744" spans="1:15" x14ac:dyDescent="0.2">
      <c r="A744" s="168">
        <v>737</v>
      </c>
      <c r="B744" s="159">
        <v>693.35284198376985</v>
      </c>
      <c r="C744" s="169">
        <f t="shared" si="44"/>
        <v>511001.04454203841</v>
      </c>
      <c r="D744" s="153"/>
      <c r="E744" s="170">
        <v>737</v>
      </c>
      <c r="F744" s="162">
        <v>251.54363911277451</v>
      </c>
      <c r="G744" s="171">
        <f t="shared" si="45"/>
        <v>185387.66202611482</v>
      </c>
      <c r="I744" s="168">
        <v>737</v>
      </c>
      <c r="J744" s="167">
        <f>ROUND(B744*('Model Data Inputs'!$E$184*'Model Data Inputs'!$E$185*'Model Data Inputs'!$E$186*'Model Data Inputs'!$E$187),2)</f>
        <v>693.35</v>
      </c>
      <c r="K744" s="169">
        <f t="shared" si="46"/>
        <v>510998.95</v>
      </c>
      <c r="L744" s="153"/>
      <c r="M744" s="170">
        <v>737</v>
      </c>
      <c r="N744" s="164">
        <f>ROUND(F744*('Model Data Inputs'!$E$184*'Model Data Inputs'!$E$185*'Model Data Inputs'!$E$186*'Model Data Inputs'!$E$187),2)</f>
        <v>251.54</v>
      </c>
      <c r="O744" s="171">
        <f t="shared" si="47"/>
        <v>185384.97999999998</v>
      </c>
    </row>
    <row r="745" spans="1:15" x14ac:dyDescent="0.2">
      <c r="A745" s="168">
        <v>738</v>
      </c>
      <c r="B745" s="159">
        <v>693.16398633210679</v>
      </c>
      <c r="C745" s="169">
        <f t="shared" si="44"/>
        <v>511555.0219130948</v>
      </c>
      <c r="D745" s="153"/>
      <c r="E745" s="170">
        <v>738</v>
      </c>
      <c r="F745" s="162">
        <v>251.4492529112994</v>
      </c>
      <c r="G745" s="171">
        <f t="shared" si="45"/>
        <v>185569.54864853894</v>
      </c>
      <c r="I745" s="168">
        <v>738</v>
      </c>
      <c r="J745" s="167">
        <f>ROUND(B745*('Model Data Inputs'!$E$184*'Model Data Inputs'!$E$185*'Model Data Inputs'!$E$186*'Model Data Inputs'!$E$187),2)</f>
        <v>693.16</v>
      </c>
      <c r="K745" s="169">
        <f t="shared" si="46"/>
        <v>511552.07999999996</v>
      </c>
      <c r="L745" s="153"/>
      <c r="M745" s="170">
        <v>738</v>
      </c>
      <c r="N745" s="164">
        <f>ROUND(F745*('Model Data Inputs'!$E$184*'Model Data Inputs'!$E$185*'Model Data Inputs'!$E$186*'Model Data Inputs'!$E$187),2)</f>
        <v>251.45</v>
      </c>
      <c r="O745" s="171">
        <f t="shared" si="47"/>
        <v>185570.1</v>
      </c>
    </row>
    <row r="746" spans="1:15" x14ac:dyDescent="0.2">
      <c r="A746" s="168">
        <v>739</v>
      </c>
      <c r="B746" s="159">
        <v>692.97513068044361</v>
      </c>
      <c r="C746" s="169">
        <f t="shared" si="44"/>
        <v>512108.62157284783</v>
      </c>
      <c r="D746" s="153"/>
      <c r="E746" s="170">
        <v>739</v>
      </c>
      <c r="F746" s="162">
        <v>251.35486670982442</v>
      </c>
      <c r="G746" s="171">
        <f t="shared" si="45"/>
        <v>185751.24649856024</v>
      </c>
      <c r="I746" s="168">
        <v>739</v>
      </c>
      <c r="J746" s="167">
        <f>ROUND(B746*('Model Data Inputs'!$E$184*'Model Data Inputs'!$E$185*'Model Data Inputs'!$E$186*'Model Data Inputs'!$E$187),2)</f>
        <v>692.98</v>
      </c>
      <c r="K746" s="169">
        <f t="shared" si="46"/>
        <v>512112.22000000003</v>
      </c>
      <c r="L746" s="153"/>
      <c r="M746" s="170">
        <v>739</v>
      </c>
      <c r="N746" s="164">
        <f>ROUND(F746*('Model Data Inputs'!$E$184*'Model Data Inputs'!$E$185*'Model Data Inputs'!$E$186*'Model Data Inputs'!$E$187),2)</f>
        <v>251.35</v>
      </c>
      <c r="O746" s="171">
        <f t="shared" si="47"/>
        <v>185747.65</v>
      </c>
    </row>
    <row r="747" spans="1:15" x14ac:dyDescent="0.2">
      <c r="A747" s="168">
        <v>740</v>
      </c>
      <c r="B747" s="159">
        <v>692.78627502878055</v>
      </c>
      <c r="C747" s="169">
        <f t="shared" si="44"/>
        <v>512661.84352129762</v>
      </c>
      <c r="D747" s="153"/>
      <c r="E747" s="170">
        <v>740</v>
      </c>
      <c r="F747" s="162">
        <v>251.26048050834942</v>
      </c>
      <c r="G747" s="171">
        <f t="shared" si="45"/>
        <v>185932.75557617858</v>
      </c>
      <c r="I747" s="168">
        <v>740</v>
      </c>
      <c r="J747" s="167">
        <f>ROUND(B747*('Model Data Inputs'!$E$184*'Model Data Inputs'!$E$185*'Model Data Inputs'!$E$186*'Model Data Inputs'!$E$187),2)</f>
        <v>692.79</v>
      </c>
      <c r="K747" s="169">
        <f t="shared" si="46"/>
        <v>512664.6</v>
      </c>
      <c r="L747" s="153"/>
      <c r="M747" s="170">
        <v>740</v>
      </c>
      <c r="N747" s="164">
        <f>ROUND(F747*('Model Data Inputs'!$E$184*'Model Data Inputs'!$E$185*'Model Data Inputs'!$E$186*'Model Data Inputs'!$E$187),2)</f>
        <v>251.26</v>
      </c>
      <c r="O747" s="171">
        <f t="shared" si="47"/>
        <v>185932.4</v>
      </c>
    </row>
    <row r="748" spans="1:15" x14ac:dyDescent="0.2">
      <c r="A748" s="168">
        <v>741</v>
      </c>
      <c r="B748" s="159">
        <v>692.59741937711749</v>
      </c>
      <c r="C748" s="169">
        <f t="shared" si="44"/>
        <v>513214.68775844405</v>
      </c>
      <c r="D748" s="153"/>
      <c r="E748" s="170">
        <v>741</v>
      </c>
      <c r="F748" s="162">
        <v>251.16609430687441</v>
      </c>
      <c r="G748" s="171">
        <f t="shared" si="45"/>
        <v>186114.07588139395</v>
      </c>
      <c r="I748" s="168">
        <v>741</v>
      </c>
      <c r="J748" s="167">
        <f>ROUND(B748*('Model Data Inputs'!$E$184*'Model Data Inputs'!$E$185*'Model Data Inputs'!$E$186*'Model Data Inputs'!$E$187),2)</f>
        <v>692.6</v>
      </c>
      <c r="K748" s="169">
        <f t="shared" si="46"/>
        <v>513216.60000000003</v>
      </c>
      <c r="L748" s="153"/>
      <c r="M748" s="170">
        <v>741</v>
      </c>
      <c r="N748" s="164">
        <f>ROUND(F748*('Model Data Inputs'!$E$184*'Model Data Inputs'!$E$185*'Model Data Inputs'!$E$186*'Model Data Inputs'!$E$187),2)</f>
        <v>251.17</v>
      </c>
      <c r="O748" s="171">
        <f t="shared" si="47"/>
        <v>186116.97</v>
      </c>
    </row>
    <row r="749" spans="1:15" x14ac:dyDescent="0.2">
      <c r="A749" s="168">
        <v>742</v>
      </c>
      <c r="B749" s="159">
        <v>692.40856372545443</v>
      </c>
      <c r="C749" s="169">
        <f t="shared" si="44"/>
        <v>513767.15428428719</v>
      </c>
      <c r="D749" s="153"/>
      <c r="E749" s="170">
        <v>742</v>
      </c>
      <c r="F749" s="162">
        <v>251.0717081053993</v>
      </c>
      <c r="G749" s="171">
        <f t="shared" si="45"/>
        <v>186295.20741420626</v>
      </c>
      <c r="I749" s="168">
        <v>742</v>
      </c>
      <c r="J749" s="167">
        <f>ROUND(B749*('Model Data Inputs'!$E$184*'Model Data Inputs'!$E$185*'Model Data Inputs'!$E$186*'Model Data Inputs'!$E$187),2)</f>
        <v>692.41</v>
      </c>
      <c r="K749" s="169">
        <f t="shared" si="46"/>
        <v>513768.22</v>
      </c>
      <c r="L749" s="153"/>
      <c r="M749" s="170">
        <v>742</v>
      </c>
      <c r="N749" s="164">
        <f>ROUND(F749*('Model Data Inputs'!$E$184*'Model Data Inputs'!$E$185*'Model Data Inputs'!$E$186*'Model Data Inputs'!$E$187),2)</f>
        <v>251.07</v>
      </c>
      <c r="O749" s="171">
        <f t="shared" si="47"/>
        <v>186293.94</v>
      </c>
    </row>
    <row r="750" spans="1:15" x14ac:dyDescent="0.2">
      <c r="A750" s="168">
        <v>743</v>
      </c>
      <c r="B750" s="159">
        <v>692.21970807379114</v>
      </c>
      <c r="C750" s="169">
        <f t="shared" si="44"/>
        <v>514319.24309882679</v>
      </c>
      <c r="D750" s="153"/>
      <c r="E750" s="170">
        <v>743</v>
      </c>
      <c r="F750" s="162">
        <v>250.97732190392423</v>
      </c>
      <c r="G750" s="171">
        <f t="shared" si="45"/>
        <v>186476.1501746157</v>
      </c>
      <c r="I750" s="168">
        <v>743</v>
      </c>
      <c r="J750" s="167">
        <f>ROUND(B750*('Model Data Inputs'!$E$184*'Model Data Inputs'!$E$185*'Model Data Inputs'!$E$186*'Model Data Inputs'!$E$187),2)</f>
        <v>692.22</v>
      </c>
      <c r="K750" s="169">
        <f t="shared" si="46"/>
        <v>514319.46</v>
      </c>
      <c r="L750" s="153"/>
      <c r="M750" s="170">
        <v>743</v>
      </c>
      <c r="N750" s="164">
        <f>ROUND(F750*('Model Data Inputs'!$E$184*'Model Data Inputs'!$E$185*'Model Data Inputs'!$E$186*'Model Data Inputs'!$E$187),2)</f>
        <v>250.98</v>
      </c>
      <c r="O750" s="171">
        <f t="shared" si="47"/>
        <v>186478.13999999998</v>
      </c>
    </row>
    <row r="751" spans="1:15" x14ac:dyDescent="0.2">
      <c r="A751" s="168">
        <v>744</v>
      </c>
      <c r="B751" s="159">
        <v>692.03085242212808</v>
      </c>
      <c r="C751" s="169">
        <f t="shared" si="44"/>
        <v>514870.95420206327</v>
      </c>
      <c r="D751" s="153"/>
      <c r="E751" s="170">
        <v>744</v>
      </c>
      <c r="F751" s="162">
        <v>250.88293570244923</v>
      </c>
      <c r="G751" s="171">
        <f t="shared" si="45"/>
        <v>186656.90416262223</v>
      </c>
      <c r="I751" s="168">
        <v>744</v>
      </c>
      <c r="J751" s="167">
        <f>ROUND(B751*('Model Data Inputs'!$E$184*'Model Data Inputs'!$E$185*'Model Data Inputs'!$E$186*'Model Data Inputs'!$E$187),2)</f>
        <v>692.03</v>
      </c>
      <c r="K751" s="169">
        <f t="shared" si="46"/>
        <v>514870.32</v>
      </c>
      <c r="L751" s="153"/>
      <c r="M751" s="170">
        <v>744</v>
      </c>
      <c r="N751" s="164">
        <f>ROUND(F751*('Model Data Inputs'!$E$184*'Model Data Inputs'!$E$185*'Model Data Inputs'!$E$186*'Model Data Inputs'!$E$187),2)</f>
        <v>250.88</v>
      </c>
      <c r="O751" s="171">
        <f t="shared" si="47"/>
        <v>186654.72</v>
      </c>
    </row>
    <row r="752" spans="1:15" x14ac:dyDescent="0.2">
      <c r="A752" s="168">
        <v>745</v>
      </c>
      <c r="B752" s="159">
        <v>691.84199677046513</v>
      </c>
      <c r="C752" s="169">
        <f t="shared" si="44"/>
        <v>515422.2875939965</v>
      </c>
      <c r="D752" s="153"/>
      <c r="E752" s="170">
        <v>745</v>
      </c>
      <c r="F752" s="162">
        <v>250.78854950097423</v>
      </c>
      <c r="G752" s="171">
        <f t="shared" si="45"/>
        <v>186837.4693782258</v>
      </c>
      <c r="I752" s="168">
        <v>745</v>
      </c>
      <c r="J752" s="167">
        <f>ROUND(B752*('Model Data Inputs'!$E$184*'Model Data Inputs'!$E$185*'Model Data Inputs'!$E$186*'Model Data Inputs'!$E$187),2)</f>
        <v>691.84</v>
      </c>
      <c r="K752" s="169">
        <f t="shared" si="46"/>
        <v>515420.80000000005</v>
      </c>
      <c r="L752" s="153"/>
      <c r="M752" s="170">
        <v>745</v>
      </c>
      <c r="N752" s="164">
        <f>ROUND(F752*('Model Data Inputs'!$E$184*'Model Data Inputs'!$E$185*'Model Data Inputs'!$E$186*'Model Data Inputs'!$E$187),2)</f>
        <v>250.79</v>
      </c>
      <c r="O752" s="171">
        <f t="shared" si="47"/>
        <v>186838.55</v>
      </c>
    </row>
    <row r="753" spans="1:15" x14ac:dyDescent="0.2">
      <c r="A753" s="168">
        <v>746</v>
      </c>
      <c r="B753" s="159">
        <v>691.65314111880218</v>
      </c>
      <c r="C753" s="169">
        <f t="shared" si="44"/>
        <v>515973.24327462644</v>
      </c>
      <c r="D753" s="153"/>
      <c r="E753" s="170">
        <v>746</v>
      </c>
      <c r="F753" s="162">
        <v>250.69416329949917</v>
      </c>
      <c r="G753" s="171">
        <f t="shared" si="45"/>
        <v>187017.84582142637</v>
      </c>
      <c r="I753" s="168">
        <v>746</v>
      </c>
      <c r="J753" s="167">
        <f>ROUND(B753*('Model Data Inputs'!$E$184*'Model Data Inputs'!$E$185*'Model Data Inputs'!$E$186*'Model Data Inputs'!$E$187),2)</f>
        <v>691.65</v>
      </c>
      <c r="K753" s="169">
        <f t="shared" si="46"/>
        <v>515970.89999999997</v>
      </c>
      <c r="L753" s="153"/>
      <c r="M753" s="170">
        <v>746</v>
      </c>
      <c r="N753" s="164">
        <f>ROUND(F753*('Model Data Inputs'!$E$184*'Model Data Inputs'!$E$185*'Model Data Inputs'!$E$186*'Model Data Inputs'!$E$187),2)</f>
        <v>250.69</v>
      </c>
      <c r="O753" s="171">
        <f t="shared" si="47"/>
        <v>187014.74</v>
      </c>
    </row>
    <row r="754" spans="1:15" x14ac:dyDescent="0.2">
      <c r="A754" s="168">
        <v>747</v>
      </c>
      <c r="B754" s="159">
        <v>691.46428546713901</v>
      </c>
      <c r="C754" s="169">
        <f t="shared" si="44"/>
        <v>516523.82124395284</v>
      </c>
      <c r="D754" s="153"/>
      <c r="E754" s="170">
        <v>747</v>
      </c>
      <c r="F754" s="162">
        <v>250.59977709802413</v>
      </c>
      <c r="G754" s="171">
        <f t="shared" si="45"/>
        <v>187198.03349222403</v>
      </c>
      <c r="I754" s="168">
        <v>747</v>
      </c>
      <c r="J754" s="167">
        <f>ROUND(B754*('Model Data Inputs'!$E$184*'Model Data Inputs'!$E$185*'Model Data Inputs'!$E$186*'Model Data Inputs'!$E$187),2)</f>
        <v>691.46</v>
      </c>
      <c r="K754" s="169">
        <f t="shared" si="46"/>
        <v>516520.62000000005</v>
      </c>
      <c r="L754" s="153"/>
      <c r="M754" s="170">
        <v>747</v>
      </c>
      <c r="N754" s="164">
        <f>ROUND(F754*('Model Data Inputs'!$E$184*'Model Data Inputs'!$E$185*'Model Data Inputs'!$E$186*'Model Data Inputs'!$E$187),2)</f>
        <v>250.6</v>
      </c>
      <c r="O754" s="171">
        <f t="shared" si="47"/>
        <v>187198.19999999998</v>
      </c>
    </row>
    <row r="755" spans="1:15" x14ac:dyDescent="0.2">
      <c r="A755" s="168">
        <v>748</v>
      </c>
      <c r="B755" s="159">
        <v>691.27542981547595</v>
      </c>
      <c r="C755" s="169">
        <f t="shared" si="44"/>
        <v>517074.02150197601</v>
      </c>
      <c r="D755" s="153"/>
      <c r="E755" s="170">
        <v>748</v>
      </c>
      <c r="F755" s="162">
        <v>250.50539089654905</v>
      </c>
      <c r="G755" s="171">
        <f t="shared" si="45"/>
        <v>187378.0323906187</v>
      </c>
      <c r="I755" s="168">
        <v>748</v>
      </c>
      <c r="J755" s="167">
        <f>ROUND(B755*('Model Data Inputs'!$E$184*'Model Data Inputs'!$E$185*'Model Data Inputs'!$E$186*'Model Data Inputs'!$E$187),2)</f>
        <v>691.28</v>
      </c>
      <c r="K755" s="169">
        <f t="shared" si="46"/>
        <v>517077.44</v>
      </c>
      <c r="L755" s="153"/>
      <c r="M755" s="170">
        <v>748</v>
      </c>
      <c r="N755" s="164">
        <f>ROUND(F755*('Model Data Inputs'!$E$184*'Model Data Inputs'!$E$185*'Model Data Inputs'!$E$186*'Model Data Inputs'!$E$187),2)</f>
        <v>250.51</v>
      </c>
      <c r="O755" s="171">
        <f t="shared" si="47"/>
        <v>187381.47999999998</v>
      </c>
    </row>
    <row r="756" spans="1:15" x14ac:dyDescent="0.2">
      <c r="A756" s="168">
        <v>749</v>
      </c>
      <c r="B756" s="159">
        <v>691.08657416381266</v>
      </c>
      <c r="C756" s="169">
        <f t="shared" si="44"/>
        <v>517623.8440486957</v>
      </c>
      <c r="D756" s="153"/>
      <c r="E756" s="170">
        <v>749</v>
      </c>
      <c r="F756" s="162">
        <v>250.41100469507401</v>
      </c>
      <c r="G756" s="171">
        <f t="shared" si="45"/>
        <v>187557.84251661043</v>
      </c>
      <c r="I756" s="168">
        <v>749</v>
      </c>
      <c r="J756" s="167">
        <f>ROUND(B756*('Model Data Inputs'!$E$184*'Model Data Inputs'!$E$185*'Model Data Inputs'!$E$186*'Model Data Inputs'!$E$187),2)</f>
        <v>691.09</v>
      </c>
      <c r="K756" s="169">
        <f t="shared" si="46"/>
        <v>517626.41000000003</v>
      </c>
      <c r="L756" s="153"/>
      <c r="M756" s="170">
        <v>749</v>
      </c>
      <c r="N756" s="164">
        <f>ROUND(F756*('Model Data Inputs'!$E$184*'Model Data Inputs'!$E$185*'Model Data Inputs'!$E$186*'Model Data Inputs'!$E$187),2)</f>
        <v>250.41</v>
      </c>
      <c r="O756" s="171">
        <f t="shared" si="47"/>
        <v>187557.09</v>
      </c>
    </row>
    <row r="757" spans="1:15" x14ac:dyDescent="0.2">
      <c r="A757" s="168">
        <v>750</v>
      </c>
      <c r="B757" s="159">
        <v>690.89771851214971</v>
      </c>
      <c r="C757" s="169">
        <f t="shared" si="44"/>
        <v>518173.28888411226</v>
      </c>
      <c r="D757" s="153"/>
      <c r="E757" s="170">
        <v>750</v>
      </c>
      <c r="F757" s="162">
        <v>250.31661849359898</v>
      </c>
      <c r="G757" s="171">
        <f t="shared" si="45"/>
        <v>187737.46387019922</v>
      </c>
      <c r="I757" s="168">
        <v>750</v>
      </c>
      <c r="J757" s="167">
        <f>ROUND(B757*('Model Data Inputs'!$E$184*'Model Data Inputs'!$E$185*'Model Data Inputs'!$E$186*'Model Data Inputs'!$E$187),2)</f>
        <v>690.9</v>
      </c>
      <c r="K757" s="169">
        <f t="shared" si="46"/>
        <v>518175</v>
      </c>
      <c r="L757" s="153"/>
      <c r="M757" s="170">
        <v>750</v>
      </c>
      <c r="N757" s="164">
        <f>ROUND(F757*('Model Data Inputs'!$E$184*'Model Data Inputs'!$E$185*'Model Data Inputs'!$E$186*'Model Data Inputs'!$E$187),2)</f>
        <v>250.32</v>
      </c>
      <c r="O757" s="171">
        <f t="shared" si="47"/>
        <v>187740</v>
      </c>
    </row>
    <row r="758" spans="1:15" x14ac:dyDescent="0.2">
      <c r="A758" s="168">
        <v>751</v>
      </c>
      <c r="B758" s="159">
        <v>690.70886286048653</v>
      </c>
      <c r="C758" s="169">
        <f t="shared" si="44"/>
        <v>518722.35600822541</v>
      </c>
      <c r="D758" s="153"/>
      <c r="E758" s="170">
        <v>751</v>
      </c>
      <c r="F758" s="162">
        <v>250.22223229212398</v>
      </c>
      <c r="G758" s="171">
        <f t="shared" si="45"/>
        <v>187916.89645138511</v>
      </c>
      <c r="I758" s="168">
        <v>751</v>
      </c>
      <c r="J758" s="167">
        <f>ROUND(B758*('Model Data Inputs'!$E$184*'Model Data Inputs'!$E$185*'Model Data Inputs'!$E$186*'Model Data Inputs'!$E$187),2)</f>
        <v>690.71</v>
      </c>
      <c r="K758" s="169">
        <f t="shared" si="46"/>
        <v>518723.21</v>
      </c>
      <c r="L758" s="153"/>
      <c r="M758" s="170">
        <v>751</v>
      </c>
      <c r="N758" s="164">
        <f>ROUND(F758*('Model Data Inputs'!$E$184*'Model Data Inputs'!$E$185*'Model Data Inputs'!$E$186*'Model Data Inputs'!$E$187),2)</f>
        <v>250.22</v>
      </c>
      <c r="O758" s="171">
        <f t="shared" si="47"/>
        <v>187915.22</v>
      </c>
    </row>
    <row r="759" spans="1:15" x14ac:dyDescent="0.2">
      <c r="A759" s="168">
        <v>752</v>
      </c>
      <c r="B759" s="159">
        <v>690.52000720882359</v>
      </c>
      <c r="C759" s="169">
        <f t="shared" si="44"/>
        <v>519271.04542103532</v>
      </c>
      <c r="D759" s="153"/>
      <c r="E759" s="170">
        <v>752</v>
      </c>
      <c r="F759" s="162">
        <v>250.12784609064892</v>
      </c>
      <c r="G759" s="171">
        <f t="shared" si="45"/>
        <v>188096.14026016797</v>
      </c>
      <c r="I759" s="168">
        <v>752</v>
      </c>
      <c r="J759" s="167">
        <f>ROUND(B759*('Model Data Inputs'!$E$184*'Model Data Inputs'!$E$185*'Model Data Inputs'!$E$186*'Model Data Inputs'!$E$187),2)</f>
        <v>690.52</v>
      </c>
      <c r="K759" s="169">
        <f t="shared" si="46"/>
        <v>519271.04</v>
      </c>
      <c r="L759" s="153"/>
      <c r="M759" s="170">
        <v>752</v>
      </c>
      <c r="N759" s="164">
        <f>ROUND(F759*('Model Data Inputs'!$E$184*'Model Data Inputs'!$E$185*'Model Data Inputs'!$E$186*'Model Data Inputs'!$E$187),2)</f>
        <v>250.13</v>
      </c>
      <c r="O759" s="171">
        <f t="shared" si="47"/>
        <v>188097.76</v>
      </c>
    </row>
    <row r="760" spans="1:15" x14ac:dyDescent="0.2">
      <c r="A760" s="168">
        <v>753</v>
      </c>
      <c r="B760" s="159">
        <v>690.3311515571603</v>
      </c>
      <c r="C760" s="169">
        <f t="shared" si="44"/>
        <v>519819.3571225417</v>
      </c>
      <c r="D760" s="153"/>
      <c r="E760" s="170">
        <v>753</v>
      </c>
      <c r="F760" s="162">
        <v>250.03345988917388</v>
      </c>
      <c r="G760" s="171">
        <f t="shared" si="45"/>
        <v>188275.19529654793</v>
      </c>
      <c r="I760" s="168">
        <v>753</v>
      </c>
      <c r="J760" s="167">
        <f>ROUND(B760*('Model Data Inputs'!$E$184*'Model Data Inputs'!$E$185*'Model Data Inputs'!$E$186*'Model Data Inputs'!$E$187),2)</f>
        <v>690.33</v>
      </c>
      <c r="K760" s="169">
        <f t="shared" si="46"/>
        <v>519818.49000000005</v>
      </c>
      <c r="L760" s="153"/>
      <c r="M760" s="170">
        <v>753</v>
      </c>
      <c r="N760" s="164">
        <f>ROUND(F760*('Model Data Inputs'!$E$184*'Model Data Inputs'!$E$185*'Model Data Inputs'!$E$186*'Model Data Inputs'!$E$187),2)</f>
        <v>250.03</v>
      </c>
      <c r="O760" s="171">
        <f t="shared" si="47"/>
        <v>188272.59</v>
      </c>
    </row>
    <row r="761" spans="1:15" x14ac:dyDescent="0.2">
      <c r="A761" s="168">
        <v>754</v>
      </c>
      <c r="B761" s="159">
        <v>690.14229590549746</v>
      </c>
      <c r="C761" s="169">
        <f t="shared" si="44"/>
        <v>520367.29111274506</v>
      </c>
      <c r="D761" s="153"/>
      <c r="E761" s="170">
        <v>754</v>
      </c>
      <c r="F761" s="162">
        <v>249.93907368769885</v>
      </c>
      <c r="G761" s="171">
        <f t="shared" si="45"/>
        <v>188454.06156052495</v>
      </c>
      <c r="I761" s="168">
        <v>754</v>
      </c>
      <c r="J761" s="167">
        <f>ROUND(B761*('Model Data Inputs'!$E$184*'Model Data Inputs'!$E$185*'Model Data Inputs'!$E$186*'Model Data Inputs'!$E$187),2)</f>
        <v>690.14</v>
      </c>
      <c r="K761" s="169">
        <f t="shared" si="46"/>
        <v>520365.56</v>
      </c>
      <c r="L761" s="153"/>
      <c r="M761" s="170">
        <v>754</v>
      </c>
      <c r="N761" s="164">
        <f>ROUND(F761*('Model Data Inputs'!$E$184*'Model Data Inputs'!$E$185*'Model Data Inputs'!$E$186*'Model Data Inputs'!$E$187),2)</f>
        <v>249.94</v>
      </c>
      <c r="O761" s="171">
        <f t="shared" si="47"/>
        <v>188454.76</v>
      </c>
    </row>
    <row r="762" spans="1:15" x14ac:dyDescent="0.2">
      <c r="A762" s="168">
        <v>755</v>
      </c>
      <c r="B762" s="159">
        <v>689.95344025383417</v>
      </c>
      <c r="C762" s="169">
        <f t="shared" si="44"/>
        <v>520914.84739164478</v>
      </c>
      <c r="D762" s="153"/>
      <c r="E762" s="170">
        <v>755</v>
      </c>
      <c r="F762" s="162">
        <v>249.84468748622382</v>
      </c>
      <c r="G762" s="171">
        <f t="shared" si="45"/>
        <v>188632.73905209897</v>
      </c>
      <c r="I762" s="168">
        <v>755</v>
      </c>
      <c r="J762" s="167">
        <f>ROUND(B762*('Model Data Inputs'!$E$184*'Model Data Inputs'!$E$185*'Model Data Inputs'!$E$186*'Model Data Inputs'!$E$187),2)</f>
        <v>689.95</v>
      </c>
      <c r="K762" s="169">
        <f t="shared" si="46"/>
        <v>520912.25000000006</v>
      </c>
      <c r="L762" s="153"/>
      <c r="M762" s="170">
        <v>755</v>
      </c>
      <c r="N762" s="164">
        <f>ROUND(F762*('Model Data Inputs'!$E$184*'Model Data Inputs'!$E$185*'Model Data Inputs'!$E$186*'Model Data Inputs'!$E$187),2)</f>
        <v>249.84</v>
      </c>
      <c r="O762" s="171">
        <f t="shared" si="47"/>
        <v>188629.2</v>
      </c>
    </row>
    <row r="763" spans="1:15" x14ac:dyDescent="0.2">
      <c r="A763" s="168">
        <v>756</v>
      </c>
      <c r="B763" s="159">
        <v>689.76458460217123</v>
      </c>
      <c r="C763" s="169">
        <f t="shared" si="44"/>
        <v>521462.02595924144</v>
      </c>
      <c r="D763" s="153"/>
      <c r="E763" s="170">
        <v>756</v>
      </c>
      <c r="F763" s="162">
        <v>249.75030128474884</v>
      </c>
      <c r="G763" s="171">
        <f t="shared" si="45"/>
        <v>188811.22777127012</v>
      </c>
      <c r="I763" s="168">
        <v>756</v>
      </c>
      <c r="J763" s="167">
        <f>ROUND(B763*('Model Data Inputs'!$E$184*'Model Data Inputs'!$E$185*'Model Data Inputs'!$E$186*'Model Data Inputs'!$E$187),2)</f>
        <v>689.76</v>
      </c>
      <c r="K763" s="169">
        <f t="shared" si="46"/>
        <v>521458.56</v>
      </c>
      <c r="L763" s="153"/>
      <c r="M763" s="170">
        <v>756</v>
      </c>
      <c r="N763" s="164">
        <f>ROUND(F763*('Model Data Inputs'!$E$184*'Model Data Inputs'!$E$185*'Model Data Inputs'!$E$186*'Model Data Inputs'!$E$187),2)</f>
        <v>249.75</v>
      </c>
      <c r="O763" s="171">
        <f t="shared" si="47"/>
        <v>188811</v>
      </c>
    </row>
    <row r="764" spans="1:15" x14ac:dyDescent="0.2">
      <c r="A764" s="168">
        <v>757</v>
      </c>
      <c r="B764" s="159">
        <v>689.57572895050805</v>
      </c>
      <c r="C764" s="169">
        <f t="shared" si="44"/>
        <v>522008.82681553462</v>
      </c>
      <c r="D764" s="153"/>
      <c r="E764" s="170">
        <v>757</v>
      </c>
      <c r="F764" s="162">
        <v>249.65591508327375</v>
      </c>
      <c r="G764" s="171">
        <f t="shared" si="45"/>
        <v>188989.52771803824</v>
      </c>
      <c r="I764" s="168">
        <v>757</v>
      </c>
      <c r="J764" s="167">
        <f>ROUND(B764*('Model Data Inputs'!$E$184*'Model Data Inputs'!$E$185*'Model Data Inputs'!$E$186*'Model Data Inputs'!$E$187),2)</f>
        <v>689.58</v>
      </c>
      <c r="K764" s="169">
        <f t="shared" si="46"/>
        <v>522012.06000000006</v>
      </c>
      <c r="L764" s="153"/>
      <c r="M764" s="170">
        <v>757</v>
      </c>
      <c r="N764" s="164">
        <f>ROUND(F764*('Model Data Inputs'!$E$184*'Model Data Inputs'!$E$185*'Model Data Inputs'!$E$186*'Model Data Inputs'!$E$187),2)</f>
        <v>249.66</v>
      </c>
      <c r="O764" s="171">
        <f t="shared" si="47"/>
        <v>188992.62</v>
      </c>
    </row>
    <row r="765" spans="1:15" x14ac:dyDescent="0.2">
      <c r="A765" s="168">
        <v>758</v>
      </c>
      <c r="B765" s="159">
        <v>689.38687329884488</v>
      </c>
      <c r="C765" s="169">
        <f t="shared" si="44"/>
        <v>522555.24996052444</v>
      </c>
      <c r="D765" s="153"/>
      <c r="E765" s="170">
        <v>758</v>
      </c>
      <c r="F765" s="162">
        <v>249.56152888179869</v>
      </c>
      <c r="G765" s="171">
        <f t="shared" si="45"/>
        <v>189167.6388924034</v>
      </c>
      <c r="I765" s="168">
        <v>758</v>
      </c>
      <c r="J765" s="167">
        <f>ROUND(B765*('Model Data Inputs'!$E$184*'Model Data Inputs'!$E$185*'Model Data Inputs'!$E$186*'Model Data Inputs'!$E$187),2)</f>
        <v>689.39</v>
      </c>
      <c r="K765" s="169">
        <f t="shared" si="46"/>
        <v>522557.62</v>
      </c>
      <c r="L765" s="153"/>
      <c r="M765" s="170">
        <v>758</v>
      </c>
      <c r="N765" s="164">
        <f>ROUND(F765*('Model Data Inputs'!$E$184*'Model Data Inputs'!$E$185*'Model Data Inputs'!$E$186*'Model Data Inputs'!$E$187),2)</f>
        <v>249.56</v>
      </c>
      <c r="O765" s="171">
        <f t="shared" si="47"/>
        <v>189166.48</v>
      </c>
    </row>
    <row r="766" spans="1:15" x14ac:dyDescent="0.2">
      <c r="A766" s="168">
        <v>759</v>
      </c>
      <c r="B766" s="159">
        <v>689.19801764718193</v>
      </c>
      <c r="C766" s="169">
        <f t="shared" si="44"/>
        <v>523101.29539421108</v>
      </c>
      <c r="D766" s="153"/>
      <c r="E766" s="170">
        <v>759</v>
      </c>
      <c r="F766" s="162">
        <v>249.46714268032366</v>
      </c>
      <c r="G766" s="171">
        <f t="shared" si="45"/>
        <v>189345.56129436565</v>
      </c>
      <c r="I766" s="168">
        <v>759</v>
      </c>
      <c r="J766" s="167">
        <f>ROUND(B766*('Model Data Inputs'!$E$184*'Model Data Inputs'!$E$185*'Model Data Inputs'!$E$186*'Model Data Inputs'!$E$187),2)</f>
        <v>689.2</v>
      </c>
      <c r="K766" s="169">
        <f t="shared" si="46"/>
        <v>523102.80000000005</v>
      </c>
      <c r="L766" s="153"/>
      <c r="M766" s="170">
        <v>759</v>
      </c>
      <c r="N766" s="164">
        <f>ROUND(F766*('Model Data Inputs'!$E$184*'Model Data Inputs'!$E$185*'Model Data Inputs'!$E$186*'Model Data Inputs'!$E$187),2)</f>
        <v>249.47</v>
      </c>
      <c r="O766" s="171">
        <f t="shared" si="47"/>
        <v>189347.73</v>
      </c>
    </row>
    <row r="767" spans="1:15" x14ac:dyDescent="0.2">
      <c r="A767" s="168">
        <v>760</v>
      </c>
      <c r="B767" s="159">
        <v>689.00916199551887</v>
      </c>
      <c r="C767" s="169">
        <f t="shared" si="44"/>
        <v>523646.96311659436</v>
      </c>
      <c r="D767" s="153"/>
      <c r="E767" s="170">
        <v>760</v>
      </c>
      <c r="F767" s="162">
        <v>249.37275647884866</v>
      </c>
      <c r="G767" s="171">
        <f t="shared" si="45"/>
        <v>189523.29492392499</v>
      </c>
      <c r="I767" s="168">
        <v>760</v>
      </c>
      <c r="J767" s="167">
        <f>ROUND(B767*('Model Data Inputs'!$E$184*'Model Data Inputs'!$E$185*'Model Data Inputs'!$E$186*'Model Data Inputs'!$E$187),2)</f>
        <v>689.01</v>
      </c>
      <c r="K767" s="169">
        <f t="shared" si="46"/>
        <v>523647.6</v>
      </c>
      <c r="L767" s="153"/>
      <c r="M767" s="170">
        <v>760</v>
      </c>
      <c r="N767" s="164">
        <f>ROUND(F767*('Model Data Inputs'!$E$184*'Model Data Inputs'!$E$185*'Model Data Inputs'!$E$186*'Model Data Inputs'!$E$187),2)</f>
        <v>249.37</v>
      </c>
      <c r="O767" s="171">
        <f t="shared" si="47"/>
        <v>189521.2</v>
      </c>
    </row>
    <row r="768" spans="1:15" x14ac:dyDescent="0.2">
      <c r="A768" s="168">
        <v>761</v>
      </c>
      <c r="B768" s="159">
        <v>688.8203063438558</v>
      </c>
      <c r="C768" s="169">
        <f t="shared" si="44"/>
        <v>524192.25312767428</v>
      </c>
      <c r="D768" s="153"/>
      <c r="E768" s="170">
        <v>761</v>
      </c>
      <c r="F768" s="162">
        <v>249.2783702773736</v>
      </c>
      <c r="G768" s="171">
        <f t="shared" si="45"/>
        <v>189700.8397810813</v>
      </c>
      <c r="I768" s="168">
        <v>761</v>
      </c>
      <c r="J768" s="167">
        <f>ROUND(B768*('Model Data Inputs'!$E$184*'Model Data Inputs'!$E$185*'Model Data Inputs'!$E$186*'Model Data Inputs'!$E$187),2)</f>
        <v>688.82</v>
      </c>
      <c r="K768" s="169">
        <f t="shared" si="46"/>
        <v>524192.02</v>
      </c>
      <c r="L768" s="153"/>
      <c r="M768" s="170">
        <v>761</v>
      </c>
      <c r="N768" s="164">
        <f>ROUND(F768*('Model Data Inputs'!$E$184*'Model Data Inputs'!$E$185*'Model Data Inputs'!$E$186*'Model Data Inputs'!$E$187),2)</f>
        <v>249.28</v>
      </c>
      <c r="O768" s="171">
        <f t="shared" si="47"/>
        <v>189702.08</v>
      </c>
    </row>
    <row r="769" spans="1:15" x14ac:dyDescent="0.2">
      <c r="A769" s="168">
        <v>762</v>
      </c>
      <c r="B769" s="159">
        <v>688.63145069219263</v>
      </c>
      <c r="C769" s="169">
        <f t="shared" si="44"/>
        <v>524737.16542745079</v>
      </c>
      <c r="D769" s="153"/>
      <c r="E769" s="170">
        <v>762</v>
      </c>
      <c r="F769" s="162">
        <v>249.18398407589856</v>
      </c>
      <c r="G769" s="171">
        <f t="shared" si="45"/>
        <v>189878.19586583471</v>
      </c>
      <c r="I769" s="168">
        <v>762</v>
      </c>
      <c r="J769" s="167">
        <f>ROUND(B769*('Model Data Inputs'!$E$184*'Model Data Inputs'!$E$185*'Model Data Inputs'!$E$186*'Model Data Inputs'!$E$187),2)</f>
        <v>688.63</v>
      </c>
      <c r="K769" s="169">
        <f t="shared" si="46"/>
        <v>524736.05999999994</v>
      </c>
      <c r="L769" s="153"/>
      <c r="M769" s="170">
        <v>762</v>
      </c>
      <c r="N769" s="164">
        <f>ROUND(F769*('Model Data Inputs'!$E$184*'Model Data Inputs'!$E$185*'Model Data Inputs'!$E$186*'Model Data Inputs'!$E$187),2)</f>
        <v>249.18</v>
      </c>
      <c r="O769" s="171">
        <f t="shared" si="47"/>
        <v>189875.16</v>
      </c>
    </row>
    <row r="770" spans="1:15" x14ac:dyDescent="0.2">
      <c r="A770" s="168">
        <v>763</v>
      </c>
      <c r="B770" s="159">
        <v>688.44259504052945</v>
      </c>
      <c r="C770" s="169">
        <f t="shared" si="44"/>
        <v>525281.70001592394</v>
      </c>
      <c r="D770" s="153"/>
      <c r="E770" s="170">
        <v>763</v>
      </c>
      <c r="F770" s="162">
        <v>249.0895978744235</v>
      </c>
      <c r="G770" s="171">
        <f t="shared" si="45"/>
        <v>190055.36317818513</v>
      </c>
      <c r="I770" s="168">
        <v>763</v>
      </c>
      <c r="J770" s="167">
        <f>ROUND(B770*('Model Data Inputs'!$E$184*'Model Data Inputs'!$E$185*'Model Data Inputs'!$E$186*'Model Data Inputs'!$E$187),2)</f>
        <v>688.44</v>
      </c>
      <c r="K770" s="169">
        <f t="shared" si="46"/>
        <v>525279.72000000009</v>
      </c>
      <c r="L770" s="153"/>
      <c r="M770" s="170">
        <v>763</v>
      </c>
      <c r="N770" s="164">
        <f>ROUND(F770*('Model Data Inputs'!$E$184*'Model Data Inputs'!$E$185*'Model Data Inputs'!$E$186*'Model Data Inputs'!$E$187),2)</f>
        <v>249.09</v>
      </c>
      <c r="O770" s="171">
        <f t="shared" si="47"/>
        <v>190055.67</v>
      </c>
    </row>
    <row r="771" spans="1:15" x14ac:dyDescent="0.2">
      <c r="A771" s="168">
        <v>764</v>
      </c>
      <c r="B771" s="159">
        <v>688.25373938886639</v>
      </c>
      <c r="C771" s="169">
        <f t="shared" si="44"/>
        <v>525825.85689309391</v>
      </c>
      <c r="D771" s="153"/>
      <c r="E771" s="170">
        <v>764</v>
      </c>
      <c r="F771" s="162">
        <v>248.99521167294844</v>
      </c>
      <c r="G771" s="171">
        <f t="shared" si="45"/>
        <v>190232.34171813261</v>
      </c>
      <c r="I771" s="168">
        <v>764</v>
      </c>
      <c r="J771" s="167">
        <f>ROUND(B771*('Model Data Inputs'!$E$184*'Model Data Inputs'!$E$185*'Model Data Inputs'!$E$186*'Model Data Inputs'!$E$187),2)</f>
        <v>688.25</v>
      </c>
      <c r="K771" s="169">
        <f t="shared" si="46"/>
        <v>525823</v>
      </c>
      <c r="L771" s="153"/>
      <c r="M771" s="170">
        <v>764</v>
      </c>
      <c r="N771" s="164">
        <f>ROUND(F771*('Model Data Inputs'!$E$184*'Model Data Inputs'!$E$185*'Model Data Inputs'!$E$186*'Model Data Inputs'!$E$187),2)</f>
        <v>249</v>
      </c>
      <c r="O771" s="171">
        <f t="shared" si="47"/>
        <v>190236</v>
      </c>
    </row>
    <row r="772" spans="1:15" x14ac:dyDescent="0.2">
      <c r="A772" s="168">
        <v>765</v>
      </c>
      <c r="B772" s="159">
        <v>688.06488373720333</v>
      </c>
      <c r="C772" s="169">
        <f t="shared" si="44"/>
        <v>526369.63605896058</v>
      </c>
      <c r="D772" s="153"/>
      <c r="E772" s="170">
        <v>765</v>
      </c>
      <c r="F772" s="162">
        <v>248.90082547147341</v>
      </c>
      <c r="G772" s="171">
        <f t="shared" si="45"/>
        <v>190409.13148567715</v>
      </c>
      <c r="I772" s="168">
        <v>765</v>
      </c>
      <c r="J772" s="167">
        <f>ROUND(B772*('Model Data Inputs'!$E$184*'Model Data Inputs'!$E$185*'Model Data Inputs'!$E$186*'Model Data Inputs'!$E$187),2)</f>
        <v>688.06</v>
      </c>
      <c r="K772" s="169">
        <f t="shared" si="46"/>
        <v>526365.89999999991</v>
      </c>
      <c r="L772" s="153"/>
      <c r="M772" s="170">
        <v>765</v>
      </c>
      <c r="N772" s="164">
        <f>ROUND(F772*('Model Data Inputs'!$E$184*'Model Data Inputs'!$E$185*'Model Data Inputs'!$E$186*'Model Data Inputs'!$E$187),2)</f>
        <v>248.9</v>
      </c>
      <c r="O772" s="171">
        <f t="shared" si="47"/>
        <v>190408.5</v>
      </c>
    </row>
    <row r="773" spans="1:15" x14ac:dyDescent="0.2">
      <c r="A773" s="168">
        <v>766</v>
      </c>
      <c r="B773" s="159">
        <v>687.87602808554038</v>
      </c>
      <c r="C773" s="169">
        <f t="shared" si="44"/>
        <v>526913.03751352394</v>
      </c>
      <c r="D773" s="153"/>
      <c r="E773" s="170">
        <v>766</v>
      </c>
      <c r="F773" s="162">
        <v>248.80643926999841</v>
      </c>
      <c r="G773" s="171">
        <f t="shared" si="45"/>
        <v>190585.73248081878</v>
      </c>
      <c r="I773" s="168">
        <v>766</v>
      </c>
      <c r="J773" s="167">
        <f>ROUND(B773*('Model Data Inputs'!$E$184*'Model Data Inputs'!$E$185*'Model Data Inputs'!$E$186*'Model Data Inputs'!$E$187),2)</f>
        <v>687.88</v>
      </c>
      <c r="K773" s="169">
        <f t="shared" si="46"/>
        <v>526916.07999999996</v>
      </c>
      <c r="L773" s="153"/>
      <c r="M773" s="170">
        <v>766</v>
      </c>
      <c r="N773" s="164">
        <f>ROUND(F773*('Model Data Inputs'!$E$184*'Model Data Inputs'!$E$185*'Model Data Inputs'!$E$186*'Model Data Inputs'!$E$187),2)</f>
        <v>248.81</v>
      </c>
      <c r="O773" s="171">
        <f t="shared" si="47"/>
        <v>190588.46</v>
      </c>
    </row>
    <row r="774" spans="1:15" x14ac:dyDescent="0.2">
      <c r="A774" s="168">
        <v>767</v>
      </c>
      <c r="B774" s="159">
        <v>687.68717243387744</v>
      </c>
      <c r="C774" s="169">
        <f t="shared" si="44"/>
        <v>527456.06125678401</v>
      </c>
      <c r="D774" s="153"/>
      <c r="E774" s="170">
        <v>767</v>
      </c>
      <c r="F774" s="162">
        <v>248.7120530685234</v>
      </c>
      <c r="G774" s="171">
        <f t="shared" si="45"/>
        <v>190762.14470355745</v>
      </c>
      <c r="I774" s="168">
        <v>767</v>
      </c>
      <c r="J774" s="167">
        <f>ROUND(B774*('Model Data Inputs'!$E$184*'Model Data Inputs'!$E$185*'Model Data Inputs'!$E$186*'Model Data Inputs'!$E$187),2)</f>
        <v>687.69</v>
      </c>
      <c r="K774" s="169">
        <f t="shared" si="46"/>
        <v>527458.2300000001</v>
      </c>
      <c r="L774" s="153"/>
      <c r="M774" s="170">
        <v>767</v>
      </c>
      <c r="N774" s="164">
        <f>ROUND(F774*('Model Data Inputs'!$E$184*'Model Data Inputs'!$E$185*'Model Data Inputs'!$E$186*'Model Data Inputs'!$E$187),2)</f>
        <v>248.71</v>
      </c>
      <c r="O774" s="171">
        <f t="shared" si="47"/>
        <v>190760.57</v>
      </c>
    </row>
    <row r="775" spans="1:15" x14ac:dyDescent="0.2">
      <c r="A775" s="168">
        <v>768</v>
      </c>
      <c r="B775" s="159">
        <v>687.49831678221403</v>
      </c>
      <c r="C775" s="169">
        <f t="shared" si="44"/>
        <v>527998.70728874044</v>
      </c>
      <c r="D775" s="153"/>
      <c r="E775" s="170">
        <v>768</v>
      </c>
      <c r="F775" s="162">
        <v>248.61766686704831</v>
      </c>
      <c r="G775" s="171">
        <f t="shared" si="45"/>
        <v>190938.3681538931</v>
      </c>
      <c r="I775" s="168">
        <v>768</v>
      </c>
      <c r="J775" s="167">
        <f>ROUND(B775*('Model Data Inputs'!$E$184*'Model Data Inputs'!$E$185*'Model Data Inputs'!$E$186*'Model Data Inputs'!$E$187),2)</f>
        <v>687.5</v>
      </c>
      <c r="K775" s="169">
        <f t="shared" si="46"/>
        <v>528000</v>
      </c>
      <c r="L775" s="153"/>
      <c r="M775" s="170">
        <v>768</v>
      </c>
      <c r="N775" s="164">
        <f>ROUND(F775*('Model Data Inputs'!$E$184*'Model Data Inputs'!$E$185*'Model Data Inputs'!$E$186*'Model Data Inputs'!$E$187),2)</f>
        <v>248.62</v>
      </c>
      <c r="O775" s="171">
        <f t="shared" si="47"/>
        <v>190940.16</v>
      </c>
    </row>
    <row r="776" spans="1:15" x14ac:dyDescent="0.2">
      <c r="A776" s="168">
        <v>769</v>
      </c>
      <c r="B776" s="159">
        <v>687.30946113055109</v>
      </c>
      <c r="C776" s="169">
        <f t="shared" ref="C776:C839" si="48">A776*B776</f>
        <v>528540.97560939379</v>
      </c>
      <c r="D776" s="153"/>
      <c r="E776" s="170">
        <v>769</v>
      </c>
      <c r="F776" s="162">
        <v>248.52328066557328</v>
      </c>
      <c r="G776" s="171">
        <f t="shared" ref="G776:G839" si="49">E776*F776</f>
        <v>191114.40283182586</v>
      </c>
      <c r="I776" s="168">
        <v>769</v>
      </c>
      <c r="J776" s="167">
        <f>ROUND(B776*('Model Data Inputs'!$E$184*'Model Data Inputs'!$E$185*'Model Data Inputs'!$E$186*'Model Data Inputs'!$E$187),2)</f>
        <v>687.31</v>
      </c>
      <c r="K776" s="169">
        <f t="shared" ref="K776:K839" si="50">I776*J776</f>
        <v>528541.39</v>
      </c>
      <c r="L776" s="153"/>
      <c r="M776" s="170">
        <v>769</v>
      </c>
      <c r="N776" s="164">
        <f>ROUND(F776*('Model Data Inputs'!$E$184*'Model Data Inputs'!$E$185*'Model Data Inputs'!$E$186*'Model Data Inputs'!$E$187),2)</f>
        <v>248.52</v>
      </c>
      <c r="O776" s="171">
        <f t="shared" ref="O776:O839" si="51">M776*N776</f>
        <v>191111.88</v>
      </c>
    </row>
    <row r="777" spans="1:15" x14ac:dyDescent="0.2">
      <c r="A777" s="168">
        <v>770</v>
      </c>
      <c r="B777" s="159">
        <v>687.12060547888802</v>
      </c>
      <c r="C777" s="169">
        <f t="shared" si="48"/>
        <v>529082.86621874373</v>
      </c>
      <c r="D777" s="153"/>
      <c r="E777" s="170">
        <v>770</v>
      </c>
      <c r="F777" s="162">
        <v>248.42889446409828</v>
      </c>
      <c r="G777" s="171">
        <f t="shared" si="49"/>
        <v>191290.24873735567</v>
      </c>
      <c r="I777" s="168">
        <v>770</v>
      </c>
      <c r="J777" s="167">
        <f>ROUND(B777*('Model Data Inputs'!$E$184*'Model Data Inputs'!$E$185*'Model Data Inputs'!$E$186*'Model Data Inputs'!$E$187),2)</f>
        <v>687.12</v>
      </c>
      <c r="K777" s="169">
        <f t="shared" si="50"/>
        <v>529082.4</v>
      </c>
      <c r="L777" s="153"/>
      <c r="M777" s="170">
        <v>770</v>
      </c>
      <c r="N777" s="164">
        <f>ROUND(F777*('Model Data Inputs'!$E$184*'Model Data Inputs'!$E$185*'Model Data Inputs'!$E$186*'Model Data Inputs'!$E$187),2)</f>
        <v>248.43</v>
      </c>
      <c r="O777" s="171">
        <f t="shared" si="51"/>
        <v>191291.1</v>
      </c>
    </row>
    <row r="778" spans="1:15" x14ac:dyDescent="0.2">
      <c r="A778" s="168">
        <v>771</v>
      </c>
      <c r="B778" s="159">
        <v>686.93174982722496</v>
      </c>
      <c r="C778" s="169">
        <f t="shared" si="48"/>
        <v>529624.37911679049</v>
      </c>
      <c r="D778" s="153"/>
      <c r="E778" s="170">
        <v>771</v>
      </c>
      <c r="F778" s="162">
        <v>248.33450826262325</v>
      </c>
      <c r="G778" s="171">
        <f t="shared" si="49"/>
        <v>191465.90587048253</v>
      </c>
      <c r="I778" s="168">
        <v>771</v>
      </c>
      <c r="J778" s="167">
        <f>ROUND(B778*('Model Data Inputs'!$E$184*'Model Data Inputs'!$E$185*'Model Data Inputs'!$E$186*'Model Data Inputs'!$E$187),2)</f>
        <v>686.93</v>
      </c>
      <c r="K778" s="169">
        <f t="shared" si="50"/>
        <v>529623.02999999991</v>
      </c>
      <c r="L778" s="153"/>
      <c r="M778" s="170">
        <v>771</v>
      </c>
      <c r="N778" s="164">
        <f>ROUND(F778*('Model Data Inputs'!$E$184*'Model Data Inputs'!$E$185*'Model Data Inputs'!$E$186*'Model Data Inputs'!$E$187),2)</f>
        <v>248.33</v>
      </c>
      <c r="O778" s="171">
        <f t="shared" si="51"/>
        <v>191462.43000000002</v>
      </c>
    </row>
    <row r="779" spans="1:15" x14ac:dyDescent="0.2">
      <c r="A779" s="168">
        <v>772</v>
      </c>
      <c r="B779" s="159">
        <v>686.7428941755619</v>
      </c>
      <c r="C779" s="169">
        <f t="shared" si="48"/>
        <v>530165.51430353383</v>
      </c>
      <c r="D779" s="153"/>
      <c r="E779" s="170">
        <v>772</v>
      </c>
      <c r="F779" s="162">
        <v>248.24012206114818</v>
      </c>
      <c r="G779" s="171">
        <f t="shared" si="49"/>
        <v>191641.3742312064</v>
      </c>
      <c r="I779" s="168">
        <v>772</v>
      </c>
      <c r="J779" s="167">
        <f>ROUND(B779*('Model Data Inputs'!$E$184*'Model Data Inputs'!$E$185*'Model Data Inputs'!$E$186*'Model Data Inputs'!$E$187),2)</f>
        <v>686.74</v>
      </c>
      <c r="K779" s="169">
        <f t="shared" si="50"/>
        <v>530163.28</v>
      </c>
      <c r="L779" s="153"/>
      <c r="M779" s="170">
        <v>772</v>
      </c>
      <c r="N779" s="164">
        <f>ROUND(F779*('Model Data Inputs'!$E$184*'Model Data Inputs'!$E$185*'Model Data Inputs'!$E$186*'Model Data Inputs'!$E$187),2)</f>
        <v>248.24</v>
      </c>
      <c r="O779" s="171">
        <f t="shared" si="51"/>
        <v>191641.28</v>
      </c>
    </row>
    <row r="780" spans="1:15" x14ac:dyDescent="0.2">
      <c r="A780" s="168">
        <v>773</v>
      </c>
      <c r="B780" s="159">
        <v>686.55403852389895</v>
      </c>
      <c r="C780" s="169">
        <f t="shared" si="48"/>
        <v>530706.27177897387</v>
      </c>
      <c r="D780" s="153"/>
      <c r="E780" s="170">
        <v>773</v>
      </c>
      <c r="F780" s="162">
        <v>248.14573585967312</v>
      </c>
      <c r="G780" s="171">
        <f t="shared" si="49"/>
        <v>191816.65381952733</v>
      </c>
      <c r="I780" s="168">
        <v>773</v>
      </c>
      <c r="J780" s="167">
        <f>ROUND(B780*('Model Data Inputs'!$E$184*'Model Data Inputs'!$E$185*'Model Data Inputs'!$E$186*'Model Data Inputs'!$E$187),2)</f>
        <v>686.55</v>
      </c>
      <c r="K780" s="169">
        <f t="shared" si="50"/>
        <v>530703.14999999991</v>
      </c>
      <c r="L780" s="153"/>
      <c r="M780" s="170">
        <v>773</v>
      </c>
      <c r="N780" s="164">
        <f>ROUND(F780*('Model Data Inputs'!$E$184*'Model Data Inputs'!$E$185*'Model Data Inputs'!$E$186*'Model Data Inputs'!$E$187),2)</f>
        <v>248.15</v>
      </c>
      <c r="O780" s="171">
        <f t="shared" si="51"/>
        <v>191819.95</v>
      </c>
    </row>
    <row r="781" spans="1:15" x14ac:dyDescent="0.2">
      <c r="A781" s="168">
        <v>774</v>
      </c>
      <c r="B781" s="159">
        <v>686.36518287223566</v>
      </c>
      <c r="C781" s="169">
        <f t="shared" si="48"/>
        <v>531246.65154311038</v>
      </c>
      <c r="D781" s="153"/>
      <c r="E781" s="170">
        <v>774</v>
      </c>
      <c r="F781" s="162">
        <v>248.05134965819809</v>
      </c>
      <c r="G781" s="171">
        <f t="shared" si="49"/>
        <v>191991.74463544533</v>
      </c>
      <c r="I781" s="168">
        <v>774</v>
      </c>
      <c r="J781" s="167">
        <f>ROUND(B781*('Model Data Inputs'!$E$184*'Model Data Inputs'!$E$185*'Model Data Inputs'!$E$186*'Model Data Inputs'!$E$187),2)</f>
        <v>686.37</v>
      </c>
      <c r="K781" s="169">
        <f t="shared" si="50"/>
        <v>531250.38</v>
      </c>
      <c r="L781" s="153"/>
      <c r="M781" s="170">
        <v>774</v>
      </c>
      <c r="N781" s="164">
        <f>ROUND(F781*('Model Data Inputs'!$E$184*'Model Data Inputs'!$E$185*'Model Data Inputs'!$E$186*'Model Data Inputs'!$E$187),2)</f>
        <v>248.05</v>
      </c>
      <c r="O781" s="171">
        <f t="shared" si="51"/>
        <v>191990.7</v>
      </c>
    </row>
    <row r="782" spans="1:15" x14ac:dyDescent="0.2">
      <c r="A782" s="168">
        <v>775</v>
      </c>
      <c r="B782" s="159">
        <v>686.1763272205726</v>
      </c>
      <c r="C782" s="169">
        <f t="shared" si="48"/>
        <v>531786.65359594382</v>
      </c>
      <c r="D782" s="153"/>
      <c r="E782" s="170">
        <v>775</v>
      </c>
      <c r="F782" s="162">
        <v>247.95696345672309</v>
      </c>
      <c r="G782" s="171">
        <f t="shared" si="49"/>
        <v>192166.64667896039</v>
      </c>
      <c r="I782" s="168">
        <v>775</v>
      </c>
      <c r="J782" s="167">
        <f>ROUND(B782*('Model Data Inputs'!$E$184*'Model Data Inputs'!$E$185*'Model Data Inputs'!$E$186*'Model Data Inputs'!$E$187),2)</f>
        <v>686.18</v>
      </c>
      <c r="K782" s="169">
        <f t="shared" si="50"/>
        <v>531789.5</v>
      </c>
      <c r="L782" s="153"/>
      <c r="M782" s="170">
        <v>775</v>
      </c>
      <c r="N782" s="164">
        <f>ROUND(F782*('Model Data Inputs'!$E$184*'Model Data Inputs'!$E$185*'Model Data Inputs'!$E$186*'Model Data Inputs'!$E$187),2)</f>
        <v>247.96</v>
      </c>
      <c r="O782" s="171">
        <f t="shared" si="51"/>
        <v>192169</v>
      </c>
    </row>
    <row r="783" spans="1:15" x14ac:dyDescent="0.2">
      <c r="A783" s="168">
        <v>776</v>
      </c>
      <c r="B783" s="159">
        <v>685.98747156890954</v>
      </c>
      <c r="C783" s="169">
        <f t="shared" si="48"/>
        <v>532326.27793747385</v>
      </c>
      <c r="D783" s="153"/>
      <c r="E783" s="170">
        <v>776</v>
      </c>
      <c r="F783" s="162">
        <v>247.86257725524803</v>
      </c>
      <c r="G783" s="171">
        <f t="shared" si="49"/>
        <v>192341.35995007248</v>
      </c>
      <c r="I783" s="168">
        <v>776</v>
      </c>
      <c r="J783" s="167">
        <f>ROUND(B783*('Model Data Inputs'!$E$184*'Model Data Inputs'!$E$185*'Model Data Inputs'!$E$186*'Model Data Inputs'!$E$187),2)</f>
        <v>685.99</v>
      </c>
      <c r="K783" s="169">
        <f t="shared" si="50"/>
        <v>532328.24</v>
      </c>
      <c r="L783" s="153"/>
      <c r="M783" s="170">
        <v>776</v>
      </c>
      <c r="N783" s="164">
        <f>ROUND(F783*('Model Data Inputs'!$E$184*'Model Data Inputs'!$E$185*'Model Data Inputs'!$E$186*'Model Data Inputs'!$E$187),2)</f>
        <v>247.86</v>
      </c>
      <c r="O783" s="171">
        <f t="shared" si="51"/>
        <v>192339.36000000002</v>
      </c>
    </row>
    <row r="784" spans="1:15" x14ac:dyDescent="0.2">
      <c r="A784" s="168">
        <v>777</v>
      </c>
      <c r="B784" s="159">
        <v>685.79861591724637</v>
      </c>
      <c r="C784" s="169">
        <f t="shared" si="48"/>
        <v>532865.52456770046</v>
      </c>
      <c r="D784" s="153"/>
      <c r="E784" s="170">
        <v>777</v>
      </c>
      <c r="F784" s="162">
        <v>247.76819105377299</v>
      </c>
      <c r="G784" s="171">
        <f t="shared" si="49"/>
        <v>192515.88444878161</v>
      </c>
      <c r="I784" s="168">
        <v>777</v>
      </c>
      <c r="J784" s="167">
        <f>ROUND(B784*('Model Data Inputs'!$E$184*'Model Data Inputs'!$E$185*'Model Data Inputs'!$E$186*'Model Data Inputs'!$E$187),2)</f>
        <v>685.8</v>
      </c>
      <c r="K784" s="169">
        <f t="shared" si="50"/>
        <v>532866.6</v>
      </c>
      <c r="L784" s="153"/>
      <c r="M784" s="170">
        <v>777</v>
      </c>
      <c r="N784" s="164">
        <f>ROUND(F784*('Model Data Inputs'!$E$184*'Model Data Inputs'!$E$185*'Model Data Inputs'!$E$186*'Model Data Inputs'!$E$187),2)</f>
        <v>247.77</v>
      </c>
      <c r="O784" s="171">
        <f t="shared" si="51"/>
        <v>192517.29</v>
      </c>
    </row>
    <row r="785" spans="1:15" x14ac:dyDescent="0.2">
      <c r="A785" s="168">
        <v>778</v>
      </c>
      <c r="B785" s="159">
        <v>685.60976026558319</v>
      </c>
      <c r="C785" s="169">
        <f t="shared" si="48"/>
        <v>533404.39348662377</v>
      </c>
      <c r="D785" s="153"/>
      <c r="E785" s="170">
        <v>778</v>
      </c>
      <c r="F785" s="162">
        <v>247.67380485229791</v>
      </c>
      <c r="G785" s="171">
        <f t="shared" si="49"/>
        <v>192690.22017508777</v>
      </c>
      <c r="I785" s="168">
        <v>778</v>
      </c>
      <c r="J785" s="167">
        <f>ROUND(B785*('Model Data Inputs'!$E$184*'Model Data Inputs'!$E$185*'Model Data Inputs'!$E$186*'Model Data Inputs'!$E$187),2)</f>
        <v>685.61</v>
      </c>
      <c r="K785" s="169">
        <f t="shared" si="50"/>
        <v>533404.57999999996</v>
      </c>
      <c r="L785" s="153"/>
      <c r="M785" s="170">
        <v>778</v>
      </c>
      <c r="N785" s="164">
        <f>ROUND(F785*('Model Data Inputs'!$E$184*'Model Data Inputs'!$E$185*'Model Data Inputs'!$E$186*'Model Data Inputs'!$E$187),2)</f>
        <v>247.67</v>
      </c>
      <c r="O785" s="171">
        <f t="shared" si="51"/>
        <v>192687.25999999998</v>
      </c>
    </row>
    <row r="786" spans="1:15" x14ac:dyDescent="0.2">
      <c r="A786" s="168">
        <v>779</v>
      </c>
      <c r="B786" s="159">
        <v>685.42090461392013</v>
      </c>
      <c r="C786" s="169">
        <f t="shared" si="48"/>
        <v>533942.88469424378</v>
      </c>
      <c r="D786" s="153"/>
      <c r="E786" s="170">
        <v>779</v>
      </c>
      <c r="F786" s="162">
        <v>247.57941865082287</v>
      </c>
      <c r="G786" s="171">
        <f t="shared" si="49"/>
        <v>192864.36712899103</v>
      </c>
      <c r="I786" s="168">
        <v>779</v>
      </c>
      <c r="J786" s="167">
        <f>ROUND(B786*('Model Data Inputs'!$E$184*'Model Data Inputs'!$E$185*'Model Data Inputs'!$E$186*'Model Data Inputs'!$E$187),2)</f>
        <v>685.42</v>
      </c>
      <c r="K786" s="169">
        <f t="shared" si="50"/>
        <v>533942.17999999993</v>
      </c>
      <c r="L786" s="153"/>
      <c r="M786" s="170">
        <v>779</v>
      </c>
      <c r="N786" s="164">
        <f>ROUND(F786*('Model Data Inputs'!$E$184*'Model Data Inputs'!$E$185*'Model Data Inputs'!$E$186*'Model Data Inputs'!$E$187),2)</f>
        <v>247.58</v>
      </c>
      <c r="O786" s="171">
        <f t="shared" si="51"/>
        <v>192864.82</v>
      </c>
    </row>
    <row r="787" spans="1:15" x14ac:dyDescent="0.2">
      <c r="A787" s="168">
        <v>780</v>
      </c>
      <c r="B787" s="159">
        <v>685.23204896225707</v>
      </c>
      <c r="C787" s="169">
        <f t="shared" si="48"/>
        <v>534480.99819056049</v>
      </c>
      <c r="D787" s="153"/>
      <c r="E787" s="170">
        <v>780</v>
      </c>
      <c r="F787" s="162">
        <v>247.48503244934787</v>
      </c>
      <c r="G787" s="171">
        <f t="shared" si="49"/>
        <v>193038.32531049135</v>
      </c>
      <c r="I787" s="168">
        <v>780</v>
      </c>
      <c r="J787" s="167">
        <f>ROUND(B787*('Model Data Inputs'!$E$184*'Model Data Inputs'!$E$185*'Model Data Inputs'!$E$186*'Model Data Inputs'!$E$187),2)</f>
        <v>685.23</v>
      </c>
      <c r="K787" s="169">
        <f t="shared" si="50"/>
        <v>534479.4</v>
      </c>
      <c r="L787" s="153"/>
      <c r="M787" s="170">
        <v>780</v>
      </c>
      <c r="N787" s="164">
        <f>ROUND(F787*('Model Data Inputs'!$E$184*'Model Data Inputs'!$E$185*'Model Data Inputs'!$E$186*'Model Data Inputs'!$E$187),2)</f>
        <v>247.49</v>
      </c>
      <c r="O787" s="171">
        <f t="shared" si="51"/>
        <v>193042.2</v>
      </c>
    </row>
    <row r="788" spans="1:15" x14ac:dyDescent="0.2">
      <c r="A788" s="168">
        <v>781</v>
      </c>
      <c r="B788" s="159">
        <v>685.04319331059401</v>
      </c>
      <c r="C788" s="169">
        <f t="shared" si="48"/>
        <v>535018.73397557391</v>
      </c>
      <c r="D788" s="153"/>
      <c r="E788" s="170">
        <v>781</v>
      </c>
      <c r="F788" s="162">
        <v>247.39064624787338</v>
      </c>
      <c r="G788" s="171">
        <f t="shared" si="49"/>
        <v>193212.09471958911</v>
      </c>
      <c r="I788" s="168">
        <v>781</v>
      </c>
      <c r="J788" s="167">
        <f>ROUND(B788*('Model Data Inputs'!$E$184*'Model Data Inputs'!$E$185*'Model Data Inputs'!$E$186*'Model Data Inputs'!$E$187),2)</f>
        <v>685.04</v>
      </c>
      <c r="K788" s="169">
        <f t="shared" si="50"/>
        <v>535016.24</v>
      </c>
      <c r="L788" s="153"/>
      <c r="M788" s="170">
        <v>781</v>
      </c>
      <c r="N788" s="164">
        <f>ROUND(F788*('Model Data Inputs'!$E$184*'Model Data Inputs'!$E$185*'Model Data Inputs'!$E$186*'Model Data Inputs'!$E$187),2)</f>
        <v>247.39</v>
      </c>
      <c r="O788" s="171">
        <f t="shared" si="51"/>
        <v>193211.59</v>
      </c>
    </row>
    <row r="789" spans="1:15" x14ac:dyDescent="0.2">
      <c r="A789" s="168">
        <v>782</v>
      </c>
      <c r="B789" s="159">
        <v>684.85433765893094</v>
      </c>
      <c r="C789" s="169">
        <f t="shared" si="48"/>
        <v>535556.09204928402</v>
      </c>
      <c r="D789" s="153"/>
      <c r="E789" s="170">
        <v>782</v>
      </c>
      <c r="F789" s="162">
        <v>247.2962600463978</v>
      </c>
      <c r="G789" s="171">
        <f t="shared" si="49"/>
        <v>193385.67535628309</v>
      </c>
      <c r="I789" s="168">
        <v>782</v>
      </c>
      <c r="J789" s="167">
        <f>ROUND(B789*('Model Data Inputs'!$E$184*'Model Data Inputs'!$E$185*'Model Data Inputs'!$E$186*'Model Data Inputs'!$E$187),2)</f>
        <v>684.85</v>
      </c>
      <c r="K789" s="169">
        <f t="shared" si="50"/>
        <v>535552.70000000007</v>
      </c>
      <c r="L789" s="153"/>
      <c r="M789" s="170">
        <v>782</v>
      </c>
      <c r="N789" s="164">
        <f>ROUND(F789*('Model Data Inputs'!$E$184*'Model Data Inputs'!$E$185*'Model Data Inputs'!$E$186*'Model Data Inputs'!$E$187),2)</f>
        <v>247.3</v>
      </c>
      <c r="O789" s="171">
        <f t="shared" si="51"/>
        <v>193388.6</v>
      </c>
    </row>
    <row r="790" spans="1:15" x14ac:dyDescent="0.2">
      <c r="A790" s="168">
        <v>783</v>
      </c>
      <c r="B790" s="159">
        <v>684.665482007268</v>
      </c>
      <c r="C790" s="169">
        <f t="shared" si="48"/>
        <v>536093.07241169084</v>
      </c>
      <c r="D790" s="153"/>
      <c r="E790" s="170">
        <v>783</v>
      </c>
      <c r="F790" s="162">
        <v>247.20187384492277</v>
      </c>
      <c r="G790" s="171">
        <f t="shared" si="49"/>
        <v>193559.06722057454</v>
      </c>
      <c r="I790" s="168">
        <v>783</v>
      </c>
      <c r="J790" s="167">
        <f>ROUND(B790*('Model Data Inputs'!$E$184*'Model Data Inputs'!$E$185*'Model Data Inputs'!$E$186*'Model Data Inputs'!$E$187),2)</f>
        <v>684.67</v>
      </c>
      <c r="K790" s="169">
        <f t="shared" si="50"/>
        <v>536096.61</v>
      </c>
      <c r="L790" s="153"/>
      <c r="M790" s="170">
        <v>783</v>
      </c>
      <c r="N790" s="164">
        <f>ROUND(F790*('Model Data Inputs'!$E$184*'Model Data Inputs'!$E$185*'Model Data Inputs'!$E$186*'Model Data Inputs'!$E$187),2)</f>
        <v>247.2</v>
      </c>
      <c r="O790" s="171">
        <f t="shared" si="51"/>
        <v>193557.59999999998</v>
      </c>
    </row>
    <row r="791" spans="1:15" x14ac:dyDescent="0.2">
      <c r="A791" s="168">
        <v>784</v>
      </c>
      <c r="B791" s="159">
        <v>684.47662635560482</v>
      </c>
      <c r="C791" s="169">
        <f t="shared" si="48"/>
        <v>536629.67506279424</v>
      </c>
      <c r="D791" s="153"/>
      <c r="E791" s="170">
        <v>784</v>
      </c>
      <c r="F791" s="162">
        <v>247.10748764344774</v>
      </c>
      <c r="G791" s="171">
        <f t="shared" si="49"/>
        <v>193732.27031246302</v>
      </c>
      <c r="I791" s="168">
        <v>784</v>
      </c>
      <c r="J791" s="167">
        <f>ROUND(B791*('Model Data Inputs'!$E$184*'Model Data Inputs'!$E$185*'Model Data Inputs'!$E$186*'Model Data Inputs'!$E$187),2)</f>
        <v>684.48</v>
      </c>
      <c r="K791" s="169">
        <f t="shared" si="50"/>
        <v>536632.32000000007</v>
      </c>
      <c r="L791" s="153"/>
      <c r="M791" s="170">
        <v>784</v>
      </c>
      <c r="N791" s="164">
        <f>ROUND(F791*('Model Data Inputs'!$E$184*'Model Data Inputs'!$E$185*'Model Data Inputs'!$E$186*'Model Data Inputs'!$E$187),2)</f>
        <v>247.11</v>
      </c>
      <c r="O791" s="171">
        <f t="shared" si="51"/>
        <v>193734.24000000002</v>
      </c>
    </row>
    <row r="792" spans="1:15" x14ac:dyDescent="0.2">
      <c r="A792" s="168">
        <v>785</v>
      </c>
      <c r="B792" s="159">
        <v>684.28777070394187</v>
      </c>
      <c r="C792" s="169">
        <f t="shared" si="48"/>
        <v>537165.90000259434</v>
      </c>
      <c r="D792" s="153"/>
      <c r="E792" s="170">
        <v>785</v>
      </c>
      <c r="F792" s="162">
        <v>247.01310144197274</v>
      </c>
      <c r="G792" s="171">
        <f t="shared" si="49"/>
        <v>193905.2846319486</v>
      </c>
      <c r="I792" s="168">
        <v>785</v>
      </c>
      <c r="J792" s="167">
        <f>ROUND(B792*('Model Data Inputs'!$E$184*'Model Data Inputs'!$E$185*'Model Data Inputs'!$E$186*'Model Data Inputs'!$E$187),2)</f>
        <v>684.29</v>
      </c>
      <c r="K792" s="169">
        <f t="shared" si="50"/>
        <v>537167.65</v>
      </c>
      <c r="L792" s="153"/>
      <c r="M792" s="170">
        <v>785</v>
      </c>
      <c r="N792" s="164">
        <f>ROUND(F792*('Model Data Inputs'!$E$184*'Model Data Inputs'!$E$185*'Model Data Inputs'!$E$186*'Model Data Inputs'!$E$187),2)</f>
        <v>247.01</v>
      </c>
      <c r="O792" s="171">
        <f t="shared" si="51"/>
        <v>193902.85</v>
      </c>
    </row>
    <row r="793" spans="1:15" x14ac:dyDescent="0.2">
      <c r="A793" s="168">
        <v>786</v>
      </c>
      <c r="B793" s="159">
        <v>684.09891505227858</v>
      </c>
      <c r="C793" s="169">
        <f t="shared" si="48"/>
        <v>537701.74723109102</v>
      </c>
      <c r="D793" s="153"/>
      <c r="E793" s="170">
        <v>786</v>
      </c>
      <c r="F793" s="162">
        <v>246.91871524049768</v>
      </c>
      <c r="G793" s="171">
        <f t="shared" si="49"/>
        <v>194078.11017903118</v>
      </c>
      <c r="I793" s="168">
        <v>786</v>
      </c>
      <c r="J793" s="167">
        <f>ROUND(B793*('Model Data Inputs'!$E$184*'Model Data Inputs'!$E$185*'Model Data Inputs'!$E$186*'Model Data Inputs'!$E$187),2)</f>
        <v>684.1</v>
      </c>
      <c r="K793" s="169">
        <f t="shared" si="50"/>
        <v>537702.6</v>
      </c>
      <c r="L793" s="153"/>
      <c r="M793" s="170">
        <v>786</v>
      </c>
      <c r="N793" s="164">
        <f>ROUND(F793*('Model Data Inputs'!$E$184*'Model Data Inputs'!$E$185*'Model Data Inputs'!$E$186*'Model Data Inputs'!$E$187),2)</f>
        <v>246.92</v>
      </c>
      <c r="O793" s="171">
        <f t="shared" si="51"/>
        <v>194079.12</v>
      </c>
    </row>
    <row r="794" spans="1:15" x14ac:dyDescent="0.2">
      <c r="A794" s="168">
        <v>787</v>
      </c>
      <c r="B794" s="159">
        <v>683.91005940061564</v>
      </c>
      <c r="C794" s="169">
        <f t="shared" si="48"/>
        <v>538237.21674828453</v>
      </c>
      <c r="D794" s="153"/>
      <c r="E794" s="170">
        <v>787</v>
      </c>
      <c r="F794" s="162">
        <v>246.82432903902256</v>
      </c>
      <c r="G794" s="171">
        <f t="shared" si="49"/>
        <v>194250.74695371074</v>
      </c>
      <c r="I794" s="168">
        <v>787</v>
      </c>
      <c r="J794" s="167">
        <f>ROUND(B794*('Model Data Inputs'!$E$184*'Model Data Inputs'!$E$185*'Model Data Inputs'!$E$186*'Model Data Inputs'!$E$187),2)</f>
        <v>683.91</v>
      </c>
      <c r="K794" s="169">
        <f t="shared" si="50"/>
        <v>538237.16999999993</v>
      </c>
      <c r="L794" s="153"/>
      <c r="M794" s="170">
        <v>787</v>
      </c>
      <c r="N794" s="164">
        <f>ROUND(F794*('Model Data Inputs'!$E$184*'Model Data Inputs'!$E$185*'Model Data Inputs'!$E$186*'Model Data Inputs'!$E$187),2)</f>
        <v>246.82</v>
      </c>
      <c r="O794" s="171">
        <f t="shared" si="51"/>
        <v>194247.34</v>
      </c>
    </row>
    <row r="795" spans="1:15" x14ac:dyDescent="0.2">
      <c r="A795" s="168">
        <v>788</v>
      </c>
      <c r="B795" s="159">
        <v>683.72120374895246</v>
      </c>
      <c r="C795" s="169">
        <f t="shared" si="48"/>
        <v>538772.30855417449</v>
      </c>
      <c r="D795" s="153"/>
      <c r="E795" s="170">
        <v>788</v>
      </c>
      <c r="F795" s="162">
        <v>246.72994283754753</v>
      </c>
      <c r="G795" s="171">
        <f t="shared" si="49"/>
        <v>194423.19495598745</v>
      </c>
      <c r="I795" s="168">
        <v>788</v>
      </c>
      <c r="J795" s="167">
        <f>ROUND(B795*('Model Data Inputs'!$E$184*'Model Data Inputs'!$E$185*'Model Data Inputs'!$E$186*'Model Data Inputs'!$E$187),2)</f>
        <v>683.72</v>
      </c>
      <c r="K795" s="169">
        <f t="shared" si="50"/>
        <v>538771.36</v>
      </c>
      <c r="L795" s="153"/>
      <c r="M795" s="170">
        <v>788</v>
      </c>
      <c r="N795" s="164">
        <f>ROUND(F795*('Model Data Inputs'!$E$184*'Model Data Inputs'!$E$185*'Model Data Inputs'!$E$186*'Model Data Inputs'!$E$187),2)</f>
        <v>246.73</v>
      </c>
      <c r="O795" s="171">
        <f t="shared" si="51"/>
        <v>194423.24</v>
      </c>
    </row>
    <row r="796" spans="1:15" x14ac:dyDescent="0.2">
      <c r="A796" s="168">
        <v>789</v>
      </c>
      <c r="B796" s="159">
        <v>683.53234809728929</v>
      </c>
      <c r="C796" s="169">
        <f t="shared" si="48"/>
        <v>539307.02264876128</v>
      </c>
      <c r="D796" s="153"/>
      <c r="E796" s="170">
        <v>789</v>
      </c>
      <c r="F796" s="162">
        <v>246.63555663607252</v>
      </c>
      <c r="G796" s="171">
        <f t="shared" si="49"/>
        <v>194595.45418586122</v>
      </c>
      <c r="I796" s="168">
        <v>789</v>
      </c>
      <c r="J796" s="167">
        <f>ROUND(B796*('Model Data Inputs'!$E$184*'Model Data Inputs'!$E$185*'Model Data Inputs'!$E$186*'Model Data Inputs'!$E$187),2)</f>
        <v>683.53</v>
      </c>
      <c r="K796" s="169">
        <f t="shared" si="50"/>
        <v>539305.16999999993</v>
      </c>
      <c r="L796" s="153"/>
      <c r="M796" s="170">
        <v>789</v>
      </c>
      <c r="N796" s="164">
        <f>ROUND(F796*('Model Data Inputs'!$E$184*'Model Data Inputs'!$E$185*'Model Data Inputs'!$E$186*'Model Data Inputs'!$E$187),2)</f>
        <v>246.64</v>
      </c>
      <c r="O796" s="171">
        <f t="shared" si="51"/>
        <v>194598.96</v>
      </c>
    </row>
    <row r="797" spans="1:15" x14ac:dyDescent="0.2">
      <c r="A797" s="168">
        <v>790</v>
      </c>
      <c r="B797" s="159">
        <v>683.34349244562611</v>
      </c>
      <c r="C797" s="169">
        <f t="shared" si="48"/>
        <v>539841.35903204465</v>
      </c>
      <c r="D797" s="153"/>
      <c r="E797" s="170">
        <v>790</v>
      </c>
      <c r="F797" s="162">
        <v>246.54117043459749</v>
      </c>
      <c r="G797" s="171">
        <f t="shared" si="49"/>
        <v>194767.52464333203</v>
      </c>
      <c r="I797" s="168">
        <v>790</v>
      </c>
      <c r="J797" s="167">
        <f>ROUND(B797*('Model Data Inputs'!$E$184*'Model Data Inputs'!$E$185*'Model Data Inputs'!$E$186*'Model Data Inputs'!$E$187),2)</f>
        <v>683.34</v>
      </c>
      <c r="K797" s="169">
        <f t="shared" si="50"/>
        <v>539838.6</v>
      </c>
      <c r="L797" s="153"/>
      <c r="M797" s="170">
        <v>790</v>
      </c>
      <c r="N797" s="164">
        <f>ROUND(F797*('Model Data Inputs'!$E$184*'Model Data Inputs'!$E$185*'Model Data Inputs'!$E$186*'Model Data Inputs'!$E$187),2)</f>
        <v>246.54</v>
      </c>
      <c r="O797" s="171">
        <f t="shared" si="51"/>
        <v>194766.6</v>
      </c>
    </row>
    <row r="798" spans="1:15" x14ac:dyDescent="0.2">
      <c r="A798" s="168">
        <v>791</v>
      </c>
      <c r="B798" s="159">
        <v>683.15463679396316</v>
      </c>
      <c r="C798" s="169">
        <f t="shared" si="48"/>
        <v>540375.31770402484</v>
      </c>
      <c r="D798" s="153"/>
      <c r="E798" s="170">
        <v>791</v>
      </c>
      <c r="F798" s="162">
        <v>246.44678423312246</v>
      </c>
      <c r="G798" s="171">
        <f t="shared" si="49"/>
        <v>194939.40632839987</v>
      </c>
      <c r="I798" s="168">
        <v>791</v>
      </c>
      <c r="J798" s="167">
        <f>ROUND(B798*('Model Data Inputs'!$E$184*'Model Data Inputs'!$E$185*'Model Data Inputs'!$E$186*'Model Data Inputs'!$E$187),2)</f>
        <v>683.15</v>
      </c>
      <c r="K798" s="169">
        <f t="shared" si="50"/>
        <v>540371.65</v>
      </c>
      <c r="L798" s="153"/>
      <c r="M798" s="170">
        <v>791</v>
      </c>
      <c r="N798" s="164">
        <f>ROUND(F798*('Model Data Inputs'!$E$184*'Model Data Inputs'!$E$185*'Model Data Inputs'!$E$186*'Model Data Inputs'!$E$187),2)</f>
        <v>246.45</v>
      </c>
      <c r="O798" s="171">
        <f t="shared" si="51"/>
        <v>194941.94999999998</v>
      </c>
    </row>
    <row r="799" spans="1:15" x14ac:dyDescent="0.2">
      <c r="A799" s="168">
        <v>792</v>
      </c>
      <c r="B799" s="159">
        <v>682.96578114229987</v>
      </c>
      <c r="C799" s="169">
        <f t="shared" si="48"/>
        <v>540908.8986647015</v>
      </c>
      <c r="D799" s="153"/>
      <c r="E799" s="170">
        <v>792</v>
      </c>
      <c r="F799" s="162">
        <v>246.3523980316474</v>
      </c>
      <c r="G799" s="171">
        <f t="shared" si="49"/>
        <v>195111.09924106475</v>
      </c>
      <c r="I799" s="168">
        <v>792</v>
      </c>
      <c r="J799" s="167">
        <f>ROUND(B799*('Model Data Inputs'!$E$184*'Model Data Inputs'!$E$185*'Model Data Inputs'!$E$186*'Model Data Inputs'!$E$187),2)</f>
        <v>682.97</v>
      </c>
      <c r="K799" s="169">
        <f t="shared" si="50"/>
        <v>540912.24</v>
      </c>
      <c r="L799" s="153"/>
      <c r="M799" s="170">
        <v>792</v>
      </c>
      <c r="N799" s="164">
        <f>ROUND(F799*('Model Data Inputs'!$E$184*'Model Data Inputs'!$E$185*'Model Data Inputs'!$E$186*'Model Data Inputs'!$E$187),2)</f>
        <v>246.35</v>
      </c>
      <c r="O799" s="171">
        <f t="shared" si="51"/>
        <v>195109.19999999998</v>
      </c>
    </row>
    <row r="800" spans="1:15" x14ac:dyDescent="0.2">
      <c r="A800" s="168">
        <v>793</v>
      </c>
      <c r="B800" s="159">
        <v>682.77692549063693</v>
      </c>
      <c r="C800" s="169">
        <f t="shared" si="48"/>
        <v>541442.10191407509</v>
      </c>
      <c r="D800" s="153"/>
      <c r="E800" s="170">
        <v>793</v>
      </c>
      <c r="F800" s="162">
        <v>246.25801183017236</v>
      </c>
      <c r="G800" s="171">
        <f t="shared" si="49"/>
        <v>195282.60338132668</v>
      </c>
      <c r="I800" s="168">
        <v>793</v>
      </c>
      <c r="J800" s="167">
        <f>ROUND(B800*('Model Data Inputs'!$E$184*'Model Data Inputs'!$E$185*'Model Data Inputs'!$E$186*'Model Data Inputs'!$E$187),2)</f>
        <v>682.78</v>
      </c>
      <c r="K800" s="169">
        <f t="shared" si="50"/>
        <v>541444.53999999992</v>
      </c>
      <c r="L800" s="153"/>
      <c r="M800" s="170">
        <v>793</v>
      </c>
      <c r="N800" s="164">
        <f>ROUND(F800*('Model Data Inputs'!$E$184*'Model Data Inputs'!$E$185*'Model Data Inputs'!$E$186*'Model Data Inputs'!$E$187),2)</f>
        <v>246.26</v>
      </c>
      <c r="O800" s="171">
        <f t="shared" si="51"/>
        <v>195284.18</v>
      </c>
    </row>
    <row r="801" spans="1:15" x14ac:dyDescent="0.2">
      <c r="A801" s="168">
        <v>794</v>
      </c>
      <c r="B801" s="159">
        <v>682.58806983897387</v>
      </c>
      <c r="C801" s="169">
        <f t="shared" si="48"/>
        <v>541974.92745214526</v>
      </c>
      <c r="D801" s="153"/>
      <c r="E801" s="170">
        <v>794</v>
      </c>
      <c r="F801" s="162">
        <v>246.16362562869736</v>
      </c>
      <c r="G801" s="171">
        <f t="shared" si="49"/>
        <v>195453.91874918572</v>
      </c>
      <c r="I801" s="168">
        <v>794</v>
      </c>
      <c r="J801" s="167">
        <f>ROUND(B801*('Model Data Inputs'!$E$184*'Model Data Inputs'!$E$185*'Model Data Inputs'!$E$186*'Model Data Inputs'!$E$187),2)</f>
        <v>682.59</v>
      </c>
      <c r="K801" s="169">
        <f t="shared" si="50"/>
        <v>541976.46000000008</v>
      </c>
      <c r="L801" s="153"/>
      <c r="M801" s="170">
        <v>794</v>
      </c>
      <c r="N801" s="164">
        <f>ROUND(F801*('Model Data Inputs'!$E$184*'Model Data Inputs'!$E$185*'Model Data Inputs'!$E$186*'Model Data Inputs'!$E$187),2)</f>
        <v>246.16</v>
      </c>
      <c r="O801" s="171">
        <f t="shared" si="51"/>
        <v>195451.04</v>
      </c>
    </row>
    <row r="802" spans="1:15" x14ac:dyDescent="0.2">
      <c r="A802" s="168">
        <v>795</v>
      </c>
      <c r="B802" s="159">
        <v>682.39921418731092</v>
      </c>
      <c r="C802" s="169">
        <f t="shared" si="48"/>
        <v>542507.37527891214</v>
      </c>
      <c r="D802" s="153"/>
      <c r="E802" s="170">
        <v>795</v>
      </c>
      <c r="F802" s="162">
        <v>246.0692394272223</v>
      </c>
      <c r="G802" s="171">
        <f t="shared" si="49"/>
        <v>195625.04534464172</v>
      </c>
      <c r="I802" s="168">
        <v>795</v>
      </c>
      <c r="J802" s="167">
        <f>ROUND(B802*('Model Data Inputs'!$E$184*'Model Data Inputs'!$E$185*'Model Data Inputs'!$E$186*'Model Data Inputs'!$E$187),2)</f>
        <v>682.4</v>
      </c>
      <c r="K802" s="169">
        <f t="shared" si="50"/>
        <v>542508</v>
      </c>
      <c r="L802" s="153"/>
      <c r="M802" s="170">
        <v>795</v>
      </c>
      <c r="N802" s="164">
        <f>ROUND(F802*('Model Data Inputs'!$E$184*'Model Data Inputs'!$E$185*'Model Data Inputs'!$E$186*'Model Data Inputs'!$E$187),2)</f>
        <v>246.07</v>
      </c>
      <c r="O802" s="171">
        <f t="shared" si="51"/>
        <v>195625.65</v>
      </c>
    </row>
    <row r="803" spans="1:15" x14ac:dyDescent="0.2">
      <c r="A803" s="168">
        <v>796</v>
      </c>
      <c r="B803" s="159">
        <v>682.21035853564797</v>
      </c>
      <c r="C803" s="169">
        <f t="shared" si="48"/>
        <v>543039.44539437583</v>
      </c>
      <c r="D803" s="153"/>
      <c r="E803" s="170">
        <v>796</v>
      </c>
      <c r="F803" s="162">
        <v>245.9748532257473</v>
      </c>
      <c r="G803" s="171">
        <f t="shared" si="49"/>
        <v>195795.98316769485</v>
      </c>
      <c r="I803" s="168">
        <v>796</v>
      </c>
      <c r="J803" s="167">
        <f>ROUND(B803*('Model Data Inputs'!$E$184*'Model Data Inputs'!$E$185*'Model Data Inputs'!$E$186*'Model Data Inputs'!$E$187),2)</f>
        <v>682.21</v>
      </c>
      <c r="K803" s="169">
        <f t="shared" si="50"/>
        <v>543039.16</v>
      </c>
      <c r="L803" s="153"/>
      <c r="M803" s="170">
        <v>796</v>
      </c>
      <c r="N803" s="164">
        <f>ROUND(F803*('Model Data Inputs'!$E$184*'Model Data Inputs'!$E$185*'Model Data Inputs'!$E$186*'Model Data Inputs'!$E$187),2)</f>
        <v>245.97</v>
      </c>
      <c r="O803" s="171">
        <f t="shared" si="51"/>
        <v>195792.12</v>
      </c>
    </row>
    <row r="804" spans="1:15" x14ac:dyDescent="0.2">
      <c r="A804" s="168">
        <v>797</v>
      </c>
      <c r="B804" s="159">
        <v>682.02150288398468</v>
      </c>
      <c r="C804" s="169">
        <f t="shared" si="48"/>
        <v>543571.13779853575</v>
      </c>
      <c r="D804" s="153"/>
      <c r="E804" s="170">
        <v>797</v>
      </c>
      <c r="F804" s="162">
        <v>245.88046702427221</v>
      </c>
      <c r="G804" s="171">
        <f t="shared" si="49"/>
        <v>195966.73221834496</v>
      </c>
      <c r="I804" s="168">
        <v>797</v>
      </c>
      <c r="J804" s="167">
        <f>ROUND(B804*('Model Data Inputs'!$E$184*'Model Data Inputs'!$E$185*'Model Data Inputs'!$E$186*'Model Data Inputs'!$E$187),2)</f>
        <v>682.02</v>
      </c>
      <c r="K804" s="169">
        <f t="shared" si="50"/>
        <v>543569.93999999994</v>
      </c>
      <c r="L804" s="153"/>
      <c r="M804" s="170">
        <v>797</v>
      </c>
      <c r="N804" s="164">
        <f>ROUND(F804*('Model Data Inputs'!$E$184*'Model Data Inputs'!$E$185*'Model Data Inputs'!$E$186*'Model Data Inputs'!$E$187),2)</f>
        <v>245.88</v>
      </c>
      <c r="O804" s="171">
        <f t="shared" si="51"/>
        <v>195966.36</v>
      </c>
    </row>
    <row r="805" spans="1:15" x14ac:dyDescent="0.2">
      <c r="A805" s="168">
        <v>798</v>
      </c>
      <c r="B805" s="159">
        <v>681.83264723232162</v>
      </c>
      <c r="C805" s="169">
        <f t="shared" si="48"/>
        <v>544102.45249139261</v>
      </c>
      <c r="D805" s="153"/>
      <c r="E805" s="170">
        <v>798</v>
      </c>
      <c r="F805" s="162">
        <v>245.78608082279717</v>
      </c>
      <c r="G805" s="171">
        <f t="shared" si="49"/>
        <v>196137.29249659216</v>
      </c>
      <c r="I805" s="168">
        <v>798</v>
      </c>
      <c r="J805" s="167">
        <f>ROUND(B805*('Model Data Inputs'!$E$184*'Model Data Inputs'!$E$185*'Model Data Inputs'!$E$186*'Model Data Inputs'!$E$187),2)</f>
        <v>681.83</v>
      </c>
      <c r="K805" s="169">
        <f t="shared" si="50"/>
        <v>544100.34000000008</v>
      </c>
      <c r="L805" s="153"/>
      <c r="M805" s="170">
        <v>798</v>
      </c>
      <c r="N805" s="164">
        <f>ROUND(F805*('Model Data Inputs'!$E$184*'Model Data Inputs'!$E$185*'Model Data Inputs'!$E$186*'Model Data Inputs'!$E$187),2)</f>
        <v>245.79</v>
      </c>
      <c r="O805" s="171">
        <f t="shared" si="51"/>
        <v>196140.41999999998</v>
      </c>
    </row>
    <row r="806" spans="1:15" x14ac:dyDescent="0.2">
      <c r="A806" s="168">
        <v>799</v>
      </c>
      <c r="B806" s="159">
        <v>681.64379158065844</v>
      </c>
      <c r="C806" s="169">
        <f t="shared" si="48"/>
        <v>544633.38947294606</v>
      </c>
      <c r="D806" s="153"/>
      <c r="E806" s="170">
        <v>799</v>
      </c>
      <c r="F806" s="162">
        <v>245.69169462132214</v>
      </c>
      <c r="G806" s="171">
        <f t="shared" si="49"/>
        <v>196307.66400243639</v>
      </c>
      <c r="I806" s="168">
        <v>799</v>
      </c>
      <c r="J806" s="167">
        <f>ROUND(B806*('Model Data Inputs'!$E$184*'Model Data Inputs'!$E$185*'Model Data Inputs'!$E$186*'Model Data Inputs'!$E$187),2)</f>
        <v>681.64</v>
      </c>
      <c r="K806" s="169">
        <f t="shared" si="50"/>
        <v>544630.36</v>
      </c>
      <c r="L806" s="153"/>
      <c r="M806" s="170">
        <v>799</v>
      </c>
      <c r="N806" s="164">
        <f>ROUND(F806*('Model Data Inputs'!$E$184*'Model Data Inputs'!$E$185*'Model Data Inputs'!$E$186*'Model Data Inputs'!$E$187),2)</f>
        <v>245.69</v>
      </c>
      <c r="O806" s="171">
        <f t="shared" si="51"/>
        <v>196306.31</v>
      </c>
    </row>
    <row r="807" spans="1:15" x14ac:dyDescent="0.2">
      <c r="A807" s="168">
        <v>800</v>
      </c>
      <c r="B807" s="159">
        <v>681.4549359289955</v>
      </c>
      <c r="C807" s="169">
        <f t="shared" si="48"/>
        <v>545163.94874319644</v>
      </c>
      <c r="D807" s="153"/>
      <c r="E807" s="170">
        <v>800</v>
      </c>
      <c r="F807" s="162">
        <v>245.59730841984714</v>
      </c>
      <c r="G807" s="171">
        <f t="shared" si="49"/>
        <v>196477.84673587771</v>
      </c>
      <c r="I807" s="168">
        <v>800</v>
      </c>
      <c r="J807" s="167">
        <f>ROUND(B807*('Model Data Inputs'!$E$184*'Model Data Inputs'!$E$185*'Model Data Inputs'!$E$186*'Model Data Inputs'!$E$187),2)</f>
        <v>681.45</v>
      </c>
      <c r="K807" s="169">
        <f t="shared" si="50"/>
        <v>545160</v>
      </c>
      <c r="L807" s="153"/>
      <c r="M807" s="170">
        <v>800</v>
      </c>
      <c r="N807" s="164">
        <f>ROUND(F807*('Model Data Inputs'!$E$184*'Model Data Inputs'!$E$185*'Model Data Inputs'!$E$186*'Model Data Inputs'!$E$187),2)</f>
        <v>245.6</v>
      </c>
      <c r="O807" s="171">
        <f t="shared" si="51"/>
        <v>196480</v>
      </c>
    </row>
    <row r="808" spans="1:15" x14ac:dyDescent="0.2">
      <c r="A808" s="168">
        <v>801</v>
      </c>
      <c r="B808" s="159">
        <v>681.26608027733232</v>
      </c>
      <c r="C808" s="169">
        <f t="shared" si="48"/>
        <v>545694.13030214317</v>
      </c>
      <c r="D808" s="153"/>
      <c r="E808" s="170">
        <v>801</v>
      </c>
      <c r="F808" s="162">
        <v>245.50292221837208</v>
      </c>
      <c r="G808" s="171">
        <f t="shared" si="49"/>
        <v>196647.84069691604</v>
      </c>
      <c r="I808" s="168">
        <v>801</v>
      </c>
      <c r="J808" s="167">
        <f>ROUND(B808*('Model Data Inputs'!$E$184*'Model Data Inputs'!$E$185*'Model Data Inputs'!$E$186*'Model Data Inputs'!$E$187),2)</f>
        <v>681.27</v>
      </c>
      <c r="K808" s="169">
        <f t="shared" si="50"/>
        <v>545697.27</v>
      </c>
      <c r="L808" s="153"/>
      <c r="M808" s="170">
        <v>801</v>
      </c>
      <c r="N808" s="164">
        <f>ROUND(F808*('Model Data Inputs'!$E$184*'Model Data Inputs'!$E$185*'Model Data Inputs'!$E$186*'Model Data Inputs'!$E$187),2)</f>
        <v>245.5</v>
      </c>
      <c r="O808" s="171">
        <f t="shared" si="51"/>
        <v>196645.5</v>
      </c>
    </row>
    <row r="809" spans="1:15" x14ac:dyDescent="0.2">
      <c r="A809" s="168">
        <v>802</v>
      </c>
      <c r="B809" s="159">
        <v>681.07722462566937</v>
      </c>
      <c r="C809" s="169">
        <f t="shared" si="48"/>
        <v>546223.93414978683</v>
      </c>
      <c r="D809" s="153"/>
      <c r="E809" s="170">
        <v>802</v>
      </c>
      <c r="F809" s="162">
        <v>245.40853601689702</v>
      </c>
      <c r="G809" s="171">
        <f t="shared" si="49"/>
        <v>196817.64588555141</v>
      </c>
      <c r="I809" s="168">
        <v>802</v>
      </c>
      <c r="J809" s="167">
        <f>ROUND(B809*('Model Data Inputs'!$E$184*'Model Data Inputs'!$E$185*'Model Data Inputs'!$E$186*'Model Data Inputs'!$E$187),2)</f>
        <v>681.08</v>
      </c>
      <c r="K809" s="169">
        <f t="shared" si="50"/>
        <v>546226.16</v>
      </c>
      <c r="L809" s="153"/>
      <c r="M809" s="170">
        <v>802</v>
      </c>
      <c r="N809" s="164">
        <f>ROUND(F809*('Model Data Inputs'!$E$184*'Model Data Inputs'!$E$185*'Model Data Inputs'!$E$186*'Model Data Inputs'!$E$187),2)</f>
        <v>245.41</v>
      </c>
      <c r="O809" s="171">
        <f t="shared" si="51"/>
        <v>196818.82</v>
      </c>
    </row>
    <row r="810" spans="1:15" x14ac:dyDescent="0.2">
      <c r="A810" s="168">
        <v>803</v>
      </c>
      <c r="B810" s="159">
        <v>680.8883689740062</v>
      </c>
      <c r="C810" s="169">
        <f t="shared" si="48"/>
        <v>546753.36028612696</v>
      </c>
      <c r="D810" s="153"/>
      <c r="E810" s="170">
        <v>803</v>
      </c>
      <c r="F810" s="162">
        <v>245.31414981542201</v>
      </c>
      <c r="G810" s="171">
        <f t="shared" si="49"/>
        <v>196987.26230178386</v>
      </c>
      <c r="I810" s="168">
        <v>803</v>
      </c>
      <c r="J810" s="167">
        <f>ROUND(B810*('Model Data Inputs'!$E$184*'Model Data Inputs'!$E$185*'Model Data Inputs'!$E$186*'Model Data Inputs'!$E$187),2)</f>
        <v>680.89</v>
      </c>
      <c r="K810" s="169">
        <f t="shared" si="50"/>
        <v>546754.67000000004</v>
      </c>
      <c r="L810" s="153"/>
      <c r="M810" s="170">
        <v>803</v>
      </c>
      <c r="N810" s="164">
        <f>ROUND(F810*('Model Data Inputs'!$E$184*'Model Data Inputs'!$E$185*'Model Data Inputs'!$E$186*'Model Data Inputs'!$E$187),2)</f>
        <v>245.31</v>
      </c>
      <c r="O810" s="171">
        <f t="shared" si="51"/>
        <v>196983.93</v>
      </c>
    </row>
    <row r="811" spans="1:15" x14ac:dyDescent="0.2">
      <c r="A811" s="168">
        <v>804</v>
      </c>
      <c r="B811" s="159">
        <v>680.69951332234314</v>
      </c>
      <c r="C811" s="169">
        <f t="shared" si="48"/>
        <v>547282.40871116391</v>
      </c>
      <c r="D811" s="153"/>
      <c r="E811" s="170">
        <v>804</v>
      </c>
      <c r="F811" s="162">
        <v>245.21976361394701</v>
      </c>
      <c r="G811" s="171">
        <f t="shared" si="49"/>
        <v>197156.68994561338</v>
      </c>
      <c r="I811" s="168">
        <v>804</v>
      </c>
      <c r="J811" s="167">
        <f>ROUND(B811*('Model Data Inputs'!$E$184*'Model Data Inputs'!$E$185*'Model Data Inputs'!$E$186*'Model Data Inputs'!$E$187),2)</f>
        <v>680.7</v>
      </c>
      <c r="K811" s="169">
        <f t="shared" si="50"/>
        <v>547282.80000000005</v>
      </c>
      <c r="L811" s="153"/>
      <c r="M811" s="170">
        <v>804</v>
      </c>
      <c r="N811" s="164">
        <f>ROUND(F811*('Model Data Inputs'!$E$184*'Model Data Inputs'!$E$185*'Model Data Inputs'!$E$186*'Model Data Inputs'!$E$187),2)</f>
        <v>245.22</v>
      </c>
      <c r="O811" s="171">
        <f t="shared" si="51"/>
        <v>197156.88</v>
      </c>
    </row>
    <row r="812" spans="1:15" x14ac:dyDescent="0.2">
      <c r="A812" s="168">
        <v>805</v>
      </c>
      <c r="B812" s="159">
        <v>680.51065767067985</v>
      </c>
      <c r="C812" s="169">
        <f t="shared" si="48"/>
        <v>547811.07942489733</v>
      </c>
      <c r="D812" s="153"/>
      <c r="E812" s="170">
        <v>805</v>
      </c>
      <c r="F812" s="162">
        <v>245.12537741247198</v>
      </c>
      <c r="G812" s="171">
        <f t="shared" si="49"/>
        <v>197325.92881703994</v>
      </c>
      <c r="I812" s="168">
        <v>805</v>
      </c>
      <c r="J812" s="167">
        <f>ROUND(B812*('Model Data Inputs'!$E$184*'Model Data Inputs'!$E$185*'Model Data Inputs'!$E$186*'Model Data Inputs'!$E$187),2)</f>
        <v>680.51</v>
      </c>
      <c r="K812" s="169">
        <f t="shared" si="50"/>
        <v>547810.55000000005</v>
      </c>
      <c r="L812" s="153"/>
      <c r="M812" s="170">
        <v>805</v>
      </c>
      <c r="N812" s="164">
        <f>ROUND(F812*('Model Data Inputs'!$E$184*'Model Data Inputs'!$E$185*'Model Data Inputs'!$E$186*'Model Data Inputs'!$E$187),2)</f>
        <v>245.13</v>
      </c>
      <c r="O812" s="171">
        <f t="shared" si="51"/>
        <v>197329.65</v>
      </c>
    </row>
    <row r="813" spans="1:15" x14ac:dyDescent="0.2">
      <c r="A813" s="168">
        <v>806</v>
      </c>
      <c r="B813" s="159">
        <v>680.3218020190169</v>
      </c>
      <c r="C813" s="169">
        <f t="shared" si="48"/>
        <v>548339.37242732767</v>
      </c>
      <c r="D813" s="153"/>
      <c r="E813" s="170">
        <v>806</v>
      </c>
      <c r="F813" s="162">
        <v>245.03099121099692</v>
      </c>
      <c r="G813" s="171">
        <f t="shared" si="49"/>
        <v>197494.97891606353</v>
      </c>
      <c r="I813" s="168">
        <v>806</v>
      </c>
      <c r="J813" s="167">
        <f>ROUND(B813*('Model Data Inputs'!$E$184*'Model Data Inputs'!$E$185*'Model Data Inputs'!$E$186*'Model Data Inputs'!$E$187),2)</f>
        <v>680.32</v>
      </c>
      <c r="K813" s="169">
        <f t="shared" si="50"/>
        <v>548337.92000000004</v>
      </c>
      <c r="L813" s="153"/>
      <c r="M813" s="170">
        <v>806</v>
      </c>
      <c r="N813" s="164">
        <f>ROUND(F813*('Model Data Inputs'!$E$184*'Model Data Inputs'!$E$185*'Model Data Inputs'!$E$186*'Model Data Inputs'!$E$187),2)</f>
        <v>245.03</v>
      </c>
      <c r="O813" s="171">
        <f t="shared" si="51"/>
        <v>197494.18</v>
      </c>
    </row>
    <row r="814" spans="1:15" x14ac:dyDescent="0.2">
      <c r="A814" s="168">
        <v>807</v>
      </c>
      <c r="B814" s="159">
        <v>680.13294636735384</v>
      </c>
      <c r="C814" s="169">
        <f t="shared" si="48"/>
        <v>548867.28771845449</v>
      </c>
      <c r="D814" s="153"/>
      <c r="E814" s="170">
        <v>807</v>
      </c>
      <c r="F814" s="162">
        <v>244.93660500952183</v>
      </c>
      <c r="G814" s="171">
        <f t="shared" si="49"/>
        <v>197663.84024268412</v>
      </c>
      <c r="I814" s="168">
        <v>807</v>
      </c>
      <c r="J814" s="167">
        <f>ROUND(B814*('Model Data Inputs'!$E$184*'Model Data Inputs'!$E$185*'Model Data Inputs'!$E$186*'Model Data Inputs'!$E$187),2)</f>
        <v>680.13</v>
      </c>
      <c r="K814" s="169">
        <f t="shared" si="50"/>
        <v>548864.91</v>
      </c>
      <c r="L814" s="153"/>
      <c r="M814" s="170">
        <v>807</v>
      </c>
      <c r="N814" s="164">
        <f>ROUND(F814*('Model Data Inputs'!$E$184*'Model Data Inputs'!$E$185*'Model Data Inputs'!$E$186*'Model Data Inputs'!$E$187),2)</f>
        <v>244.94</v>
      </c>
      <c r="O814" s="171">
        <f t="shared" si="51"/>
        <v>197666.58</v>
      </c>
    </row>
    <row r="815" spans="1:15" x14ac:dyDescent="0.2">
      <c r="A815" s="168">
        <v>808</v>
      </c>
      <c r="B815" s="159">
        <v>679.94409071569078</v>
      </c>
      <c r="C815" s="169">
        <f t="shared" si="48"/>
        <v>549394.82529827813</v>
      </c>
      <c r="D815" s="153"/>
      <c r="E815" s="170">
        <v>808</v>
      </c>
      <c r="F815" s="162">
        <v>244.84221880804679</v>
      </c>
      <c r="G815" s="171">
        <f t="shared" si="49"/>
        <v>197832.51279690181</v>
      </c>
      <c r="I815" s="168">
        <v>808</v>
      </c>
      <c r="J815" s="167">
        <f>ROUND(B815*('Model Data Inputs'!$E$184*'Model Data Inputs'!$E$185*'Model Data Inputs'!$E$186*'Model Data Inputs'!$E$187),2)</f>
        <v>679.94</v>
      </c>
      <c r="K815" s="169">
        <f t="shared" si="50"/>
        <v>549391.52</v>
      </c>
      <c r="L815" s="153"/>
      <c r="M815" s="170">
        <v>808</v>
      </c>
      <c r="N815" s="164">
        <f>ROUND(F815*('Model Data Inputs'!$E$184*'Model Data Inputs'!$E$185*'Model Data Inputs'!$E$186*'Model Data Inputs'!$E$187),2)</f>
        <v>244.84</v>
      </c>
      <c r="O815" s="171">
        <f t="shared" si="51"/>
        <v>197830.72</v>
      </c>
    </row>
    <row r="816" spans="1:15" x14ac:dyDescent="0.2">
      <c r="A816" s="168">
        <v>809</v>
      </c>
      <c r="B816" s="159">
        <v>679.75523506402772</v>
      </c>
      <c r="C816" s="169">
        <f t="shared" si="48"/>
        <v>549921.98516679846</v>
      </c>
      <c r="D816" s="153"/>
      <c r="E816" s="170">
        <v>809</v>
      </c>
      <c r="F816" s="162">
        <v>244.74783260657179</v>
      </c>
      <c r="G816" s="171">
        <f t="shared" si="49"/>
        <v>198000.99657871659</v>
      </c>
      <c r="I816" s="168">
        <v>809</v>
      </c>
      <c r="J816" s="167">
        <f>ROUND(B816*('Model Data Inputs'!$E$184*'Model Data Inputs'!$E$185*'Model Data Inputs'!$E$186*'Model Data Inputs'!$E$187),2)</f>
        <v>679.76</v>
      </c>
      <c r="K816" s="169">
        <f t="shared" si="50"/>
        <v>549925.84</v>
      </c>
      <c r="L816" s="153"/>
      <c r="M816" s="170">
        <v>809</v>
      </c>
      <c r="N816" s="164">
        <f>ROUND(F816*('Model Data Inputs'!$E$184*'Model Data Inputs'!$E$185*'Model Data Inputs'!$E$186*'Model Data Inputs'!$E$187),2)</f>
        <v>244.75</v>
      </c>
      <c r="O816" s="171">
        <f t="shared" si="51"/>
        <v>198002.75</v>
      </c>
    </row>
    <row r="817" spans="1:15" x14ac:dyDescent="0.2">
      <c r="A817" s="168">
        <v>810</v>
      </c>
      <c r="B817" s="159">
        <v>679.56637941236465</v>
      </c>
      <c r="C817" s="169">
        <f t="shared" si="48"/>
        <v>550448.76732401538</v>
      </c>
      <c r="D817" s="153"/>
      <c r="E817" s="170">
        <v>810</v>
      </c>
      <c r="F817" s="162">
        <v>244.65344640509676</v>
      </c>
      <c r="G817" s="171">
        <f t="shared" si="49"/>
        <v>198169.29158812837</v>
      </c>
      <c r="I817" s="168">
        <v>810</v>
      </c>
      <c r="J817" s="167">
        <f>ROUND(B817*('Model Data Inputs'!$E$184*'Model Data Inputs'!$E$185*'Model Data Inputs'!$E$186*'Model Data Inputs'!$E$187),2)</f>
        <v>679.57</v>
      </c>
      <c r="K817" s="169">
        <f t="shared" si="50"/>
        <v>550451.70000000007</v>
      </c>
      <c r="L817" s="153"/>
      <c r="M817" s="170">
        <v>810</v>
      </c>
      <c r="N817" s="164">
        <f>ROUND(F817*('Model Data Inputs'!$E$184*'Model Data Inputs'!$E$185*'Model Data Inputs'!$E$186*'Model Data Inputs'!$E$187),2)</f>
        <v>244.65</v>
      </c>
      <c r="O817" s="171">
        <f t="shared" si="51"/>
        <v>198166.5</v>
      </c>
    </row>
    <row r="818" spans="1:15" x14ac:dyDescent="0.2">
      <c r="A818" s="168">
        <v>811</v>
      </c>
      <c r="B818" s="159">
        <v>679.37752376070148</v>
      </c>
      <c r="C818" s="169">
        <f t="shared" si="48"/>
        <v>550975.17176992889</v>
      </c>
      <c r="D818" s="153"/>
      <c r="E818" s="170">
        <v>811</v>
      </c>
      <c r="F818" s="162">
        <v>244.55906020362173</v>
      </c>
      <c r="G818" s="171">
        <f t="shared" si="49"/>
        <v>198337.39782513722</v>
      </c>
      <c r="I818" s="168">
        <v>811</v>
      </c>
      <c r="J818" s="167">
        <f>ROUND(B818*('Model Data Inputs'!$E$184*'Model Data Inputs'!$E$185*'Model Data Inputs'!$E$186*'Model Data Inputs'!$E$187),2)</f>
        <v>679.38</v>
      </c>
      <c r="K818" s="169">
        <f t="shared" si="50"/>
        <v>550977.18000000005</v>
      </c>
      <c r="L818" s="153"/>
      <c r="M818" s="170">
        <v>811</v>
      </c>
      <c r="N818" s="164">
        <f>ROUND(F818*('Model Data Inputs'!$E$184*'Model Data Inputs'!$E$185*'Model Data Inputs'!$E$186*'Model Data Inputs'!$E$187),2)</f>
        <v>244.56</v>
      </c>
      <c r="O818" s="171">
        <f t="shared" si="51"/>
        <v>198338.16</v>
      </c>
    </row>
    <row r="819" spans="1:15" x14ac:dyDescent="0.2">
      <c r="A819" s="168">
        <v>812</v>
      </c>
      <c r="B819" s="159">
        <v>679.18866810903842</v>
      </c>
      <c r="C819" s="169">
        <f t="shared" si="48"/>
        <v>551501.19850453921</v>
      </c>
      <c r="D819" s="153"/>
      <c r="E819" s="170">
        <v>812</v>
      </c>
      <c r="F819" s="162">
        <v>244.46467400214664</v>
      </c>
      <c r="G819" s="171">
        <f t="shared" si="49"/>
        <v>198505.31528974307</v>
      </c>
      <c r="I819" s="168">
        <v>812</v>
      </c>
      <c r="J819" s="167">
        <f>ROUND(B819*('Model Data Inputs'!$E$184*'Model Data Inputs'!$E$185*'Model Data Inputs'!$E$186*'Model Data Inputs'!$E$187),2)</f>
        <v>679.19</v>
      </c>
      <c r="K819" s="169">
        <f t="shared" si="50"/>
        <v>551502.28</v>
      </c>
      <c r="L819" s="153"/>
      <c r="M819" s="170">
        <v>812</v>
      </c>
      <c r="N819" s="164">
        <f>ROUND(F819*('Model Data Inputs'!$E$184*'Model Data Inputs'!$E$185*'Model Data Inputs'!$E$186*'Model Data Inputs'!$E$187),2)</f>
        <v>244.46</v>
      </c>
      <c r="O819" s="171">
        <f t="shared" si="51"/>
        <v>198501.52000000002</v>
      </c>
    </row>
    <row r="820" spans="1:15" x14ac:dyDescent="0.2">
      <c r="A820" s="168">
        <v>813</v>
      </c>
      <c r="B820" s="159">
        <v>678.99981245737536</v>
      </c>
      <c r="C820" s="169">
        <f t="shared" si="48"/>
        <v>552026.84752784611</v>
      </c>
      <c r="D820" s="153"/>
      <c r="E820" s="170">
        <v>813</v>
      </c>
      <c r="F820" s="162">
        <v>244.3702878006716</v>
      </c>
      <c r="G820" s="171">
        <f t="shared" si="49"/>
        <v>198673.04398194602</v>
      </c>
      <c r="I820" s="168">
        <v>813</v>
      </c>
      <c r="J820" s="167">
        <f>ROUND(B820*('Model Data Inputs'!$E$184*'Model Data Inputs'!$E$185*'Model Data Inputs'!$E$186*'Model Data Inputs'!$E$187),2)</f>
        <v>679</v>
      </c>
      <c r="K820" s="169">
        <f t="shared" si="50"/>
        <v>552027</v>
      </c>
      <c r="L820" s="153"/>
      <c r="M820" s="170">
        <v>813</v>
      </c>
      <c r="N820" s="164">
        <f>ROUND(F820*('Model Data Inputs'!$E$184*'Model Data Inputs'!$E$185*'Model Data Inputs'!$E$186*'Model Data Inputs'!$E$187),2)</f>
        <v>244.37</v>
      </c>
      <c r="O820" s="171">
        <f t="shared" si="51"/>
        <v>198672.81</v>
      </c>
    </row>
    <row r="821" spans="1:15" x14ac:dyDescent="0.2">
      <c r="A821" s="168">
        <v>814</v>
      </c>
      <c r="B821" s="159">
        <v>678.81095680571218</v>
      </c>
      <c r="C821" s="169">
        <f t="shared" si="48"/>
        <v>552552.11883984972</v>
      </c>
      <c r="D821" s="153"/>
      <c r="E821" s="170">
        <v>814</v>
      </c>
      <c r="F821" s="162">
        <v>244.27590159919657</v>
      </c>
      <c r="G821" s="171">
        <f t="shared" si="49"/>
        <v>198840.58390174602</v>
      </c>
      <c r="I821" s="168">
        <v>814</v>
      </c>
      <c r="J821" s="167">
        <f>ROUND(B821*('Model Data Inputs'!$E$184*'Model Data Inputs'!$E$185*'Model Data Inputs'!$E$186*'Model Data Inputs'!$E$187),2)</f>
        <v>678.81</v>
      </c>
      <c r="K821" s="169">
        <f t="shared" si="50"/>
        <v>552551.34</v>
      </c>
      <c r="L821" s="153"/>
      <c r="M821" s="170">
        <v>814</v>
      </c>
      <c r="N821" s="164">
        <f>ROUND(F821*('Model Data Inputs'!$E$184*'Model Data Inputs'!$E$185*'Model Data Inputs'!$E$186*'Model Data Inputs'!$E$187),2)</f>
        <v>244.28</v>
      </c>
      <c r="O821" s="171">
        <f t="shared" si="51"/>
        <v>198843.92</v>
      </c>
    </row>
    <row r="822" spans="1:15" x14ac:dyDescent="0.2">
      <c r="A822" s="168">
        <v>815</v>
      </c>
      <c r="B822" s="159">
        <v>678.62210115404923</v>
      </c>
      <c r="C822" s="169">
        <f t="shared" si="48"/>
        <v>553077.01244055014</v>
      </c>
      <c r="D822" s="153"/>
      <c r="E822" s="170">
        <v>815</v>
      </c>
      <c r="F822" s="162">
        <v>244.1815153977216</v>
      </c>
      <c r="G822" s="171">
        <f t="shared" si="49"/>
        <v>199007.9350491431</v>
      </c>
      <c r="I822" s="168">
        <v>815</v>
      </c>
      <c r="J822" s="167">
        <f>ROUND(B822*('Model Data Inputs'!$E$184*'Model Data Inputs'!$E$185*'Model Data Inputs'!$E$186*'Model Data Inputs'!$E$187),2)</f>
        <v>678.62</v>
      </c>
      <c r="K822" s="169">
        <f t="shared" si="50"/>
        <v>553075.30000000005</v>
      </c>
      <c r="L822" s="153"/>
      <c r="M822" s="170">
        <v>815</v>
      </c>
      <c r="N822" s="164">
        <f>ROUND(F822*('Model Data Inputs'!$E$184*'Model Data Inputs'!$E$185*'Model Data Inputs'!$E$186*'Model Data Inputs'!$E$187),2)</f>
        <v>244.18</v>
      </c>
      <c r="O822" s="171">
        <f t="shared" si="51"/>
        <v>199006.7</v>
      </c>
    </row>
    <row r="823" spans="1:15" x14ac:dyDescent="0.2">
      <c r="A823" s="168">
        <v>816</v>
      </c>
      <c r="B823" s="159">
        <v>678.43324550238617</v>
      </c>
      <c r="C823" s="169">
        <f t="shared" si="48"/>
        <v>553601.52832994715</v>
      </c>
      <c r="D823" s="153"/>
      <c r="E823" s="170">
        <v>816</v>
      </c>
      <c r="F823" s="162">
        <v>244.08712919624654</v>
      </c>
      <c r="G823" s="171">
        <f t="shared" si="49"/>
        <v>199175.09742413717</v>
      </c>
      <c r="I823" s="168">
        <v>816</v>
      </c>
      <c r="J823" s="167">
        <f>ROUND(B823*('Model Data Inputs'!$E$184*'Model Data Inputs'!$E$185*'Model Data Inputs'!$E$186*'Model Data Inputs'!$E$187),2)</f>
        <v>678.43</v>
      </c>
      <c r="K823" s="169">
        <f t="shared" si="50"/>
        <v>553598.88</v>
      </c>
      <c r="L823" s="153"/>
      <c r="M823" s="170">
        <v>816</v>
      </c>
      <c r="N823" s="164">
        <f>ROUND(F823*('Model Data Inputs'!$E$184*'Model Data Inputs'!$E$185*'Model Data Inputs'!$E$186*'Model Data Inputs'!$E$187),2)</f>
        <v>244.09</v>
      </c>
      <c r="O823" s="171">
        <f t="shared" si="51"/>
        <v>199177.44</v>
      </c>
    </row>
    <row r="824" spans="1:15" x14ac:dyDescent="0.2">
      <c r="A824" s="168">
        <v>817</v>
      </c>
      <c r="B824" s="159">
        <v>678.24438985072288</v>
      </c>
      <c r="C824" s="169">
        <f t="shared" si="48"/>
        <v>554125.66650804062</v>
      </c>
      <c r="D824" s="153"/>
      <c r="E824" s="170">
        <v>817</v>
      </c>
      <c r="F824" s="162">
        <v>243.99274299477145</v>
      </c>
      <c r="G824" s="171">
        <f t="shared" si="49"/>
        <v>199342.07102672828</v>
      </c>
      <c r="I824" s="168">
        <v>817</v>
      </c>
      <c r="J824" s="167">
        <f>ROUND(B824*('Model Data Inputs'!$E$184*'Model Data Inputs'!$E$185*'Model Data Inputs'!$E$186*'Model Data Inputs'!$E$187),2)</f>
        <v>678.24</v>
      </c>
      <c r="K824" s="169">
        <f t="shared" si="50"/>
        <v>554122.07999999996</v>
      </c>
      <c r="L824" s="153"/>
      <c r="M824" s="170">
        <v>817</v>
      </c>
      <c r="N824" s="164">
        <f>ROUND(F824*('Model Data Inputs'!$E$184*'Model Data Inputs'!$E$185*'Model Data Inputs'!$E$186*'Model Data Inputs'!$E$187),2)</f>
        <v>243.99</v>
      </c>
      <c r="O824" s="171">
        <f t="shared" si="51"/>
        <v>199339.83000000002</v>
      </c>
    </row>
    <row r="825" spans="1:15" x14ac:dyDescent="0.2">
      <c r="A825" s="168">
        <v>818</v>
      </c>
      <c r="B825" s="159">
        <v>678.05553419905982</v>
      </c>
      <c r="C825" s="169">
        <f t="shared" si="48"/>
        <v>554649.42697483092</v>
      </c>
      <c r="D825" s="153"/>
      <c r="E825" s="170">
        <v>818</v>
      </c>
      <c r="F825" s="162">
        <v>243.89835679329641</v>
      </c>
      <c r="G825" s="171">
        <f t="shared" si="49"/>
        <v>199508.85585691646</v>
      </c>
      <c r="I825" s="168">
        <v>818</v>
      </c>
      <c r="J825" s="167">
        <f>ROUND(B825*('Model Data Inputs'!$E$184*'Model Data Inputs'!$E$185*'Model Data Inputs'!$E$186*'Model Data Inputs'!$E$187),2)</f>
        <v>678.06</v>
      </c>
      <c r="K825" s="169">
        <f t="shared" si="50"/>
        <v>554653.07999999996</v>
      </c>
      <c r="L825" s="153"/>
      <c r="M825" s="170">
        <v>818</v>
      </c>
      <c r="N825" s="164">
        <f>ROUND(F825*('Model Data Inputs'!$E$184*'Model Data Inputs'!$E$185*'Model Data Inputs'!$E$186*'Model Data Inputs'!$E$187),2)</f>
        <v>243.9</v>
      </c>
      <c r="O825" s="171">
        <f t="shared" si="51"/>
        <v>199510.2</v>
      </c>
    </row>
    <row r="826" spans="1:15" x14ac:dyDescent="0.2">
      <c r="A826" s="168">
        <v>819</v>
      </c>
      <c r="B826" s="159">
        <v>677.86667854739676</v>
      </c>
      <c r="C826" s="169">
        <f t="shared" si="48"/>
        <v>555172.80973031791</v>
      </c>
      <c r="D826" s="153"/>
      <c r="E826" s="170">
        <v>819</v>
      </c>
      <c r="F826" s="162">
        <v>243.80397059182141</v>
      </c>
      <c r="G826" s="171">
        <f t="shared" si="49"/>
        <v>199675.45191470173</v>
      </c>
      <c r="I826" s="168">
        <v>819</v>
      </c>
      <c r="J826" s="167">
        <f>ROUND(B826*('Model Data Inputs'!$E$184*'Model Data Inputs'!$E$185*'Model Data Inputs'!$E$186*'Model Data Inputs'!$E$187),2)</f>
        <v>677.87</v>
      </c>
      <c r="K826" s="169">
        <f t="shared" si="50"/>
        <v>555175.53</v>
      </c>
      <c r="L826" s="153"/>
      <c r="M826" s="170">
        <v>819</v>
      </c>
      <c r="N826" s="164">
        <f>ROUND(F826*('Model Data Inputs'!$E$184*'Model Data Inputs'!$E$185*'Model Data Inputs'!$E$186*'Model Data Inputs'!$E$187),2)</f>
        <v>243.8</v>
      </c>
      <c r="O826" s="171">
        <f t="shared" si="51"/>
        <v>199672.2</v>
      </c>
    </row>
    <row r="827" spans="1:15" x14ac:dyDescent="0.2">
      <c r="A827" s="168">
        <v>820</v>
      </c>
      <c r="B827" s="159">
        <v>677.6778228957337</v>
      </c>
      <c r="C827" s="169">
        <f t="shared" si="48"/>
        <v>555695.8147745016</v>
      </c>
      <c r="D827" s="153"/>
      <c r="E827" s="170">
        <v>820</v>
      </c>
      <c r="F827" s="162">
        <v>243.70958439034638</v>
      </c>
      <c r="G827" s="171">
        <f t="shared" si="49"/>
        <v>199841.85920008403</v>
      </c>
      <c r="I827" s="168">
        <v>820</v>
      </c>
      <c r="J827" s="167">
        <f>ROUND(B827*('Model Data Inputs'!$E$184*'Model Data Inputs'!$E$185*'Model Data Inputs'!$E$186*'Model Data Inputs'!$E$187),2)</f>
        <v>677.68</v>
      </c>
      <c r="K827" s="169">
        <f t="shared" si="50"/>
        <v>555697.6</v>
      </c>
      <c r="L827" s="153"/>
      <c r="M827" s="170">
        <v>820</v>
      </c>
      <c r="N827" s="164">
        <f>ROUND(F827*('Model Data Inputs'!$E$184*'Model Data Inputs'!$E$185*'Model Data Inputs'!$E$186*'Model Data Inputs'!$E$187),2)</f>
        <v>243.71</v>
      </c>
      <c r="O827" s="171">
        <f t="shared" si="51"/>
        <v>199842.2</v>
      </c>
    </row>
    <row r="828" spans="1:15" x14ac:dyDescent="0.2">
      <c r="A828" s="168">
        <v>821</v>
      </c>
      <c r="B828" s="159">
        <v>677.48896724407052</v>
      </c>
      <c r="C828" s="169">
        <f t="shared" si="48"/>
        <v>556218.44210738188</v>
      </c>
      <c r="D828" s="153"/>
      <c r="E828" s="170">
        <v>821</v>
      </c>
      <c r="F828" s="162">
        <v>243.61519818887132</v>
      </c>
      <c r="G828" s="171">
        <f t="shared" si="49"/>
        <v>200008.07771306337</v>
      </c>
      <c r="I828" s="168">
        <v>821</v>
      </c>
      <c r="J828" s="167">
        <f>ROUND(B828*('Model Data Inputs'!$E$184*'Model Data Inputs'!$E$185*'Model Data Inputs'!$E$186*'Model Data Inputs'!$E$187),2)</f>
        <v>677.49</v>
      </c>
      <c r="K828" s="169">
        <f t="shared" si="50"/>
        <v>556219.29</v>
      </c>
      <c r="L828" s="153"/>
      <c r="M828" s="170">
        <v>821</v>
      </c>
      <c r="N828" s="164">
        <f>ROUND(F828*('Model Data Inputs'!$E$184*'Model Data Inputs'!$E$185*'Model Data Inputs'!$E$186*'Model Data Inputs'!$E$187),2)</f>
        <v>243.62</v>
      </c>
      <c r="O828" s="171">
        <f t="shared" si="51"/>
        <v>200012.02</v>
      </c>
    </row>
    <row r="829" spans="1:15" x14ac:dyDescent="0.2">
      <c r="A829" s="168">
        <v>822</v>
      </c>
      <c r="B829" s="159">
        <v>677.30011159240769</v>
      </c>
      <c r="C829" s="169">
        <f t="shared" si="48"/>
        <v>556740.69172895909</v>
      </c>
      <c r="D829" s="153"/>
      <c r="E829" s="170">
        <v>822</v>
      </c>
      <c r="F829" s="162">
        <v>243.52081198739626</v>
      </c>
      <c r="G829" s="171">
        <f t="shared" si="49"/>
        <v>200174.10745363974</v>
      </c>
      <c r="I829" s="168">
        <v>822</v>
      </c>
      <c r="J829" s="167">
        <f>ROUND(B829*('Model Data Inputs'!$E$184*'Model Data Inputs'!$E$185*'Model Data Inputs'!$E$186*'Model Data Inputs'!$E$187),2)</f>
        <v>677.3</v>
      </c>
      <c r="K829" s="169">
        <f t="shared" si="50"/>
        <v>556740.6</v>
      </c>
      <c r="L829" s="153"/>
      <c r="M829" s="170">
        <v>822</v>
      </c>
      <c r="N829" s="164">
        <f>ROUND(F829*('Model Data Inputs'!$E$184*'Model Data Inputs'!$E$185*'Model Data Inputs'!$E$186*'Model Data Inputs'!$E$187),2)</f>
        <v>243.52</v>
      </c>
      <c r="O829" s="171">
        <f t="shared" si="51"/>
        <v>200173.44</v>
      </c>
    </row>
    <row r="830" spans="1:15" x14ac:dyDescent="0.2">
      <c r="A830" s="168">
        <v>823</v>
      </c>
      <c r="B830" s="159">
        <v>677.1112559407444</v>
      </c>
      <c r="C830" s="169">
        <f t="shared" si="48"/>
        <v>557262.56363923266</v>
      </c>
      <c r="D830" s="153"/>
      <c r="E830" s="170">
        <v>823</v>
      </c>
      <c r="F830" s="162">
        <v>243.42642578592125</v>
      </c>
      <c r="G830" s="171">
        <f t="shared" si="49"/>
        <v>200339.9484218132</v>
      </c>
      <c r="I830" s="168">
        <v>823</v>
      </c>
      <c r="J830" s="167">
        <f>ROUND(B830*('Model Data Inputs'!$E$184*'Model Data Inputs'!$E$185*'Model Data Inputs'!$E$186*'Model Data Inputs'!$E$187),2)</f>
        <v>677.11</v>
      </c>
      <c r="K830" s="169">
        <f t="shared" si="50"/>
        <v>557261.53</v>
      </c>
      <c r="L830" s="153"/>
      <c r="M830" s="170">
        <v>823</v>
      </c>
      <c r="N830" s="164">
        <f>ROUND(F830*('Model Data Inputs'!$E$184*'Model Data Inputs'!$E$185*'Model Data Inputs'!$E$186*'Model Data Inputs'!$E$187),2)</f>
        <v>243.43</v>
      </c>
      <c r="O830" s="171">
        <f t="shared" si="51"/>
        <v>200342.89</v>
      </c>
    </row>
    <row r="831" spans="1:15" x14ac:dyDescent="0.2">
      <c r="A831" s="168">
        <v>824</v>
      </c>
      <c r="B831" s="159">
        <v>676.92240028908145</v>
      </c>
      <c r="C831" s="169">
        <f t="shared" si="48"/>
        <v>557784.05783820315</v>
      </c>
      <c r="D831" s="153"/>
      <c r="E831" s="170">
        <v>824</v>
      </c>
      <c r="F831" s="162">
        <v>243.33203958444625</v>
      </c>
      <c r="G831" s="171">
        <f t="shared" si="49"/>
        <v>200505.6006175837</v>
      </c>
      <c r="I831" s="168">
        <v>824</v>
      </c>
      <c r="J831" s="167">
        <f>ROUND(B831*('Model Data Inputs'!$E$184*'Model Data Inputs'!$E$185*'Model Data Inputs'!$E$186*'Model Data Inputs'!$E$187),2)</f>
        <v>676.92</v>
      </c>
      <c r="K831" s="169">
        <f t="shared" si="50"/>
        <v>557782.07999999996</v>
      </c>
      <c r="L831" s="153"/>
      <c r="M831" s="170">
        <v>824</v>
      </c>
      <c r="N831" s="164">
        <f>ROUND(F831*('Model Data Inputs'!$E$184*'Model Data Inputs'!$E$185*'Model Data Inputs'!$E$186*'Model Data Inputs'!$E$187),2)</f>
        <v>243.33</v>
      </c>
      <c r="O831" s="171">
        <f t="shared" si="51"/>
        <v>200503.92</v>
      </c>
    </row>
    <row r="832" spans="1:15" x14ac:dyDescent="0.2">
      <c r="A832" s="168">
        <v>825</v>
      </c>
      <c r="B832" s="159">
        <v>676.73354463741839</v>
      </c>
      <c r="C832" s="169">
        <f t="shared" si="48"/>
        <v>558305.17432587012</v>
      </c>
      <c r="D832" s="153"/>
      <c r="E832" s="170">
        <v>825</v>
      </c>
      <c r="F832" s="162">
        <v>243.23765338297122</v>
      </c>
      <c r="G832" s="171">
        <f t="shared" si="49"/>
        <v>200671.06404095126</v>
      </c>
      <c r="I832" s="168">
        <v>825</v>
      </c>
      <c r="J832" s="167">
        <f>ROUND(B832*('Model Data Inputs'!$E$184*'Model Data Inputs'!$E$185*'Model Data Inputs'!$E$186*'Model Data Inputs'!$E$187),2)</f>
        <v>676.73</v>
      </c>
      <c r="K832" s="169">
        <f t="shared" si="50"/>
        <v>558302.25</v>
      </c>
      <c r="L832" s="153"/>
      <c r="M832" s="170">
        <v>825</v>
      </c>
      <c r="N832" s="164">
        <f>ROUND(F832*('Model Data Inputs'!$E$184*'Model Data Inputs'!$E$185*'Model Data Inputs'!$E$186*'Model Data Inputs'!$E$187),2)</f>
        <v>243.24</v>
      </c>
      <c r="O832" s="171">
        <f t="shared" si="51"/>
        <v>200673</v>
      </c>
    </row>
    <row r="833" spans="1:15" x14ac:dyDescent="0.2">
      <c r="A833" s="168">
        <v>826</v>
      </c>
      <c r="B833" s="159">
        <v>676.54468898575522</v>
      </c>
      <c r="C833" s="169">
        <f t="shared" si="48"/>
        <v>558825.91310223378</v>
      </c>
      <c r="D833" s="153"/>
      <c r="E833" s="170">
        <v>826</v>
      </c>
      <c r="F833" s="162">
        <v>243.14326718149616</v>
      </c>
      <c r="G833" s="171">
        <f t="shared" si="49"/>
        <v>200836.33869191582</v>
      </c>
      <c r="I833" s="168">
        <v>826</v>
      </c>
      <c r="J833" s="167">
        <f>ROUND(B833*('Model Data Inputs'!$E$184*'Model Data Inputs'!$E$185*'Model Data Inputs'!$E$186*'Model Data Inputs'!$E$187),2)</f>
        <v>676.54</v>
      </c>
      <c r="K833" s="169">
        <f t="shared" si="50"/>
        <v>558822.03999999992</v>
      </c>
      <c r="L833" s="153"/>
      <c r="M833" s="170">
        <v>826</v>
      </c>
      <c r="N833" s="164">
        <f>ROUND(F833*('Model Data Inputs'!$E$184*'Model Data Inputs'!$E$185*'Model Data Inputs'!$E$186*'Model Data Inputs'!$E$187),2)</f>
        <v>243.14</v>
      </c>
      <c r="O833" s="171">
        <f t="shared" si="51"/>
        <v>200833.63999999998</v>
      </c>
    </row>
    <row r="834" spans="1:15" x14ac:dyDescent="0.2">
      <c r="A834" s="168">
        <v>827</v>
      </c>
      <c r="B834" s="159">
        <v>676.35583333409204</v>
      </c>
      <c r="C834" s="169">
        <f t="shared" si="48"/>
        <v>559346.27416729415</v>
      </c>
      <c r="D834" s="153"/>
      <c r="E834" s="170">
        <v>827</v>
      </c>
      <c r="F834" s="162">
        <v>243.0488809800211</v>
      </c>
      <c r="G834" s="171">
        <f t="shared" si="49"/>
        <v>201001.42457047745</v>
      </c>
      <c r="I834" s="168">
        <v>827</v>
      </c>
      <c r="J834" s="167">
        <f>ROUND(B834*('Model Data Inputs'!$E$184*'Model Data Inputs'!$E$185*'Model Data Inputs'!$E$186*'Model Data Inputs'!$E$187),2)</f>
        <v>676.36</v>
      </c>
      <c r="K834" s="169">
        <f t="shared" si="50"/>
        <v>559349.72</v>
      </c>
      <c r="L834" s="153"/>
      <c r="M834" s="170">
        <v>827</v>
      </c>
      <c r="N834" s="164">
        <f>ROUND(F834*('Model Data Inputs'!$E$184*'Model Data Inputs'!$E$185*'Model Data Inputs'!$E$186*'Model Data Inputs'!$E$187),2)</f>
        <v>243.05</v>
      </c>
      <c r="O834" s="171">
        <f t="shared" si="51"/>
        <v>201002.35</v>
      </c>
    </row>
    <row r="835" spans="1:15" x14ac:dyDescent="0.2">
      <c r="A835" s="168">
        <v>828</v>
      </c>
      <c r="B835" s="159">
        <v>676.16697768242898</v>
      </c>
      <c r="C835" s="169">
        <f t="shared" si="48"/>
        <v>559866.25752105122</v>
      </c>
      <c r="D835" s="153"/>
      <c r="E835" s="170">
        <v>828</v>
      </c>
      <c r="F835" s="162">
        <v>242.95449477854606</v>
      </c>
      <c r="G835" s="171">
        <f t="shared" si="49"/>
        <v>201166.32167663614</v>
      </c>
      <c r="I835" s="168">
        <v>828</v>
      </c>
      <c r="J835" s="167">
        <f>ROUND(B835*('Model Data Inputs'!$E$184*'Model Data Inputs'!$E$185*'Model Data Inputs'!$E$186*'Model Data Inputs'!$E$187),2)</f>
        <v>676.17</v>
      </c>
      <c r="K835" s="169">
        <f t="shared" si="50"/>
        <v>559868.76</v>
      </c>
      <c r="L835" s="153"/>
      <c r="M835" s="170">
        <v>828</v>
      </c>
      <c r="N835" s="164">
        <f>ROUND(F835*('Model Data Inputs'!$E$184*'Model Data Inputs'!$E$185*'Model Data Inputs'!$E$186*'Model Data Inputs'!$E$187),2)</f>
        <v>242.95</v>
      </c>
      <c r="O835" s="171">
        <f t="shared" si="51"/>
        <v>201162.59999999998</v>
      </c>
    </row>
    <row r="836" spans="1:15" x14ac:dyDescent="0.2">
      <c r="A836" s="168">
        <v>829</v>
      </c>
      <c r="B836" s="159">
        <v>675.97812203076592</v>
      </c>
      <c r="C836" s="169">
        <f t="shared" si="48"/>
        <v>560385.86316350498</v>
      </c>
      <c r="D836" s="153"/>
      <c r="E836" s="170">
        <v>829</v>
      </c>
      <c r="F836" s="162">
        <v>242.86010857707103</v>
      </c>
      <c r="G836" s="171">
        <f t="shared" si="49"/>
        <v>201331.03001039187</v>
      </c>
      <c r="I836" s="168">
        <v>829</v>
      </c>
      <c r="J836" s="167">
        <f>ROUND(B836*('Model Data Inputs'!$E$184*'Model Data Inputs'!$E$185*'Model Data Inputs'!$E$186*'Model Data Inputs'!$E$187),2)</f>
        <v>675.98</v>
      </c>
      <c r="K836" s="169">
        <f t="shared" si="50"/>
        <v>560387.42000000004</v>
      </c>
      <c r="L836" s="153"/>
      <c r="M836" s="170">
        <v>829</v>
      </c>
      <c r="N836" s="164">
        <f>ROUND(F836*('Model Data Inputs'!$E$184*'Model Data Inputs'!$E$185*'Model Data Inputs'!$E$186*'Model Data Inputs'!$E$187),2)</f>
        <v>242.86</v>
      </c>
      <c r="O836" s="171">
        <f t="shared" si="51"/>
        <v>201330.94</v>
      </c>
    </row>
    <row r="837" spans="1:15" x14ac:dyDescent="0.2">
      <c r="A837" s="168">
        <v>830</v>
      </c>
      <c r="B837" s="159">
        <v>675.78926637910286</v>
      </c>
      <c r="C837" s="169">
        <f t="shared" si="48"/>
        <v>560905.09109465533</v>
      </c>
      <c r="D837" s="153"/>
      <c r="E837" s="170">
        <v>830</v>
      </c>
      <c r="F837" s="162">
        <v>242.76572237559603</v>
      </c>
      <c r="G837" s="171">
        <f t="shared" si="49"/>
        <v>201495.54957174469</v>
      </c>
      <c r="I837" s="168">
        <v>830</v>
      </c>
      <c r="J837" s="167">
        <f>ROUND(B837*('Model Data Inputs'!$E$184*'Model Data Inputs'!$E$185*'Model Data Inputs'!$E$186*'Model Data Inputs'!$E$187),2)</f>
        <v>675.79</v>
      </c>
      <c r="K837" s="169">
        <f t="shared" si="50"/>
        <v>560905.69999999995</v>
      </c>
      <c r="L837" s="153"/>
      <c r="M837" s="170">
        <v>830</v>
      </c>
      <c r="N837" s="164">
        <f>ROUND(F837*('Model Data Inputs'!$E$184*'Model Data Inputs'!$E$185*'Model Data Inputs'!$E$186*'Model Data Inputs'!$E$187),2)</f>
        <v>242.77</v>
      </c>
      <c r="O837" s="171">
        <f t="shared" si="51"/>
        <v>201499.1</v>
      </c>
    </row>
    <row r="838" spans="1:15" x14ac:dyDescent="0.2">
      <c r="A838" s="168">
        <v>831</v>
      </c>
      <c r="B838" s="159">
        <v>675.60041072743979</v>
      </c>
      <c r="C838" s="169">
        <f t="shared" si="48"/>
        <v>561423.9413145025</v>
      </c>
      <c r="D838" s="153"/>
      <c r="E838" s="170">
        <v>831</v>
      </c>
      <c r="F838" s="162">
        <v>242.67133617412097</v>
      </c>
      <c r="G838" s="171">
        <f t="shared" si="49"/>
        <v>201659.88036069451</v>
      </c>
      <c r="I838" s="168">
        <v>831</v>
      </c>
      <c r="J838" s="167">
        <f>ROUND(B838*('Model Data Inputs'!$E$184*'Model Data Inputs'!$E$185*'Model Data Inputs'!$E$186*'Model Data Inputs'!$E$187),2)</f>
        <v>675.6</v>
      </c>
      <c r="K838" s="169">
        <f t="shared" si="50"/>
        <v>561423.6</v>
      </c>
      <c r="L838" s="153"/>
      <c r="M838" s="170">
        <v>831</v>
      </c>
      <c r="N838" s="164">
        <f>ROUND(F838*('Model Data Inputs'!$E$184*'Model Data Inputs'!$E$185*'Model Data Inputs'!$E$186*'Model Data Inputs'!$E$187),2)</f>
        <v>242.67</v>
      </c>
      <c r="O838" s="171">
        <f t="shared" si="51"/>
        <v>201658.77</v>
      </c>
    </row>
    <row r="839" spans="1:15" x14ac:dyDescent="0.2">
      <c r="A839" s="168">
        <v>832</v>
      </c>
      <c r="B839" s="159">
        <v>675.41155507577673</v>
      </c>
      <c r="C839" s="169">
        <f t="shared" si="48"/>
        <v>561942.41382304626</v>
      </c>
      <c r="D839" s="153"/>
      <c r="E839" s="170">
        <v>832</v>
      </c>
      <c r="F839" s="162">
        <v>242.57694997264591</v>
      </c>
      <c r="G839" s="171">
        <f t="shared" si="49"/>
        <v>201824.0223772414</v>
      </c>
      <c r="I839" s="168">
        <v>832</v>
      </c>
      <c r="J839" s="167">
        <f>ROUND(B839*('Model Data Inputs'!$E$184*'Model Data Inputs'!$E$185*'Model Data Inputs'!$E$186*'Model Data Inputs'!$E$187),2)</f>
        <v>675.41</v>
      </c>
      <c r="K839" s="169">
        <f t="shared" si="50"/>
        <v>561941.12</v>
      </c>
      <c r="L839" s="153"/>
      <c r="M839" s="170">
        <v>832</v>
      </c>
      <c r="N839" s="164">
        <f>ROUND(F839*('Model Data Inputs'!$E$184*'Model Data Inputs'!$E$185*'Model Data Inputs'!$E$186*'Model Data Inputs'!$E$187),2)</f>
        <v>242.58</v>
      </c>
      <c r="O839" s="171">
        <f t="shared" si="51"/>
        <v>201826.56</v>
      </c>
    </row>
    <row r="840" spans="1:15" x14ac:dyDescent="0.2">
      <c r="A840" s="168">
        <v>833</v>
      </c>
      <c r="B840" s="159">
        <v>675.22269942411378</v>
      </c>
      <c r="C840" s="169">
        <f t="shared" ref="C840:C903" si="52">A840*B840</f>
        <v>562460.50862028683</v>
      </c>
      <c r="D840" s="153"/>
      <c r="E840" s="170">
        <v>833</v>
      </c>
      <c r="F840" s="162">
        <v>242.48256377117087</v>
      </c>
      <c r="G840" s="171">
        <f t="shared" ref="G840:G903" si="53">E840*F840</f>
        <v>201987.97562138533</v>
      </c>
      <c r="I840" s="168">
        <v>833</v>
      </c>
      <c r="J840" s="167">
        <f>ROUND(B840*('Model Data Inputs'!$E$184*'Model Data Inputs'!$E$185*'Model Data Inputs'!$E$186*'Model Data Inputs'!$E$187),2)</f>
        <v>675.22</v>
      </c>
      <c r="K840" s="169">
        <f t="shared" ref="K840:K903" si="54">I840*J840</f>
        <v>562458.26</v>
      </c>
      <c r="L840" s="153"/>
      <c r="M840" s="170">
        <v>833</v>
      </c>
      <c r="N840" s="164">
        <f>ROUND(F840*('Model Data Inputs'!$E$184*'Model Data Inputs'!$E$185*'Model Data Inputs'!$E$186*'Model Data Inputs'!$E$187),2)</f>
        <v>242.48</v>
      </c>
      <c r="O840" s="171">
        <f t="shared" ref="O840:O903" si="55">M840*N840</f>
        <v>201985.84</v>
      </c>
    </row>
    <row r="841" spans="1:15" x14ac:dyDescent="0.2">
      <c r="A841" s="168">
        <v>834</v>
      </c>
      <c r="B841" s="159">
        <v>675.03384377245061</v>
      </c>
      <c r="C841" s="169">
        <f t="shared" si="52"/>
        <v>562978.22570622386</v>
      </c>
      <c r="D841" s="153"/>
      <c r="E841" s="170">
        <v>834</v>
      </c>
      <c r="F841" s="162">
        <v>242.38817756969587</v>
      </c>
      <c r="G841" s="171">
        <f t="shared" si="53"/>
        <v>202151.74009312637</v>
      </c>
      <c r="I841" s="168">
        <v>834</v>
      </c>
      <c r="J841" s="167">
        <f>ROUND(B841*('Model Data Inputs'!$E$184*'Model Data Inputs'!$E$185*'Model Data Inputs'!$E$186*'Model Data Inputs'!$E$187),2)</f>
        <v>675.03</v>
      </c>
      <c r="K841" s="169">
        <f t="shared" si="54"/>
        <v>562975.02</v>
      </c>
      <c r="L841" s="153"/>
      <c r="M841" s="170">
        <v>834</v>
      </c>
      <c r="N841" s="164">
        <f>ROUND(F841*('Model Data Inputs'!$E$184*'Model Data Inputs'!$E$185*'Model Data Inputs'!$E$186*'Model Data Inputs'!$E$187),2)</f>
        <v>242.39</v>
      </c>
      <c r="O841" s="171">
        <f t="shared" si="55"/>
        <v>202153.25999999998</v>
      </c>
    </row>
    <row r="842" spans="1:15" x14ac:dyDescent="0.2">
      <c r="A842" s="168">
        <v>835</v>
      </c>
      <c r="B842" s="159">
        <v>674.84498812078743</v>
      </c>
      <c r="C842" s="169">
        <f t="shared" si="52"/>
        <v>563495.56508085749</v>
      </c>
      <c r="D842" s="153"/>
      <c r="E842" s="170">
        <v>835</v>
      </c>
      <c r="F842" s="162">
        <v>242.29379136822084</v>
      </c>
      <c r="G842" s="171">
        <f t="shared" si="53"/>
        <v>202315.31579246439</v>
      </c>
      <c r="I842" s="168">
        <v>835</v>
      </c>
      <c r="J842" s="167">
        <f>ROUND(B842*('Model Data Inputs'!$E$184*'Model Data Inputs'!$E$185*'Model Data Inputs'!$E$186*'Model Data Inputs'!$E$187),2)</f>
        <v>674.84</v>
      </c>
      <c r="K842" s="169">
        <f t="shared" si="54"/>
        <v>563491.4</v>
      </c>
      <c r="L842" s="153"/>
      <c r="M842" s="170">
        <v>835</v>
      </c>
      <c r="N842" s="164">
        <f>ROUND(F842*('Model Data Inputs'!$E$184*'Model Data Inputs'!$E$185*'Model Data Inputs'!$E$186*'Model Data Inputs'!$E$187),2)</f>
        <v>242.29</v>
      </c>
      <c r="O842" s="171">
        <f t="shared" si="55"/>
        <v>202312.15</v>
      </c>
    </row>
    <row r="843" spans="1:15" x14ac:dyDescent="0.2">
      <c r="A843" s="168">
        <v>836</v>
      </c>
      <c r="B843" s="159">
        <v>674.65613246912437</v>
      </c>
      <c r="C843" s="169">
        <f t="shared" si="52"/>
        <v>564012.52674418793</v>
      </c>
      <c r="D843" s="153"/>
      <c r="E843" s="170">
        <v>836</v>
      </c>
      <c r="F843" s="162">
        <v>242.19940516674572</v>
      </c>
      <c r="G843" s="171">
        <f t="shared" si="53"/>
        <v>202478.70271939941</v>
      </c>
      <c r="I843" s="168">
        <v>836</v>
      </c>
      <c r="J843" s="167">
        <f>ROUND(B843*('Model Data Inputs'!$E$184*'Model Data Inputs'!$E$185*'Model Data Inputs'!$E$186*'Model Data Inputs'!$E$187),2)</f>
        <v>674.66</v>
      </c>
      <c r="K843" s="169">
        <f t="shared" si="54"/>
        <v>564015.76</v>
      </c>
      <c r="L843" s="153"/>
      <c r="M843" s="170">
        <v>836</v>
      </c>
      <c r="N843" s="164">
        <f>ROUND(F843*('Model Data Inputs'!$E$184*'Model Data Inputs'!$E$185*'Model Data Inputs'!$E$186*'Model Data Inputs'!$E$187),2)</f>
        <v>242.2</v>
      </c>
      <c r="O843" s="171">
        <f t="shared" si="55"/>
        <v>202479.19999999998</v>
      </c>
    </row>
    <row r="844" spans="1:15" x14ac:dyDescent="0.2">
      <c r="A844" s="168">
        <v>837</v>
      </c>
      <c r="B844" s="159">
        <v>674.46727681746131</v>
      </c>
      <c r="C844" s="169">
        <f t="shared" si="52"/>
        <v>564529.11069621507</v>
      </c>
      <c r="D844" s="153"/>
      <c r="E844" s="170">
        <v>837</v>
      </c>
      <c r="F844" s="162">
        <v>242.10501896527066</v>
      </c>
      <c r="G844" s="171">
        <f t="shared" si="53"/>
        <v>202641.90087393153</v>
      </c>
      <c r="I844" s="168">
        <v>837</v>
      </c>
      <c r="J844" s="167">
        <f>ROUND(B844*('Model Data Inputs'!$E$184*'Model Data Inputs'!$E$185*'Model Data Inputs'!$E$186*'Model Data Inputs'!$E$187),2)</f>
        <v>674.47</v>
      </c>
      <c r="K844" s="169">
        <f t="shared" si="54"/>
        <v>564531.39</v>
      </c>
      <c r="L844" s="153"/>
      <c r="M844" s="170">
        <v>837</v>
      </c>
      <c r="N844" s="164">
        <f>ROUND(F844*('Model Data Inputs'!$E$184*'Model Data Inputs'!$E$185*'Model Data Inputs'!$E$186*'Model Data Inputs'!$E$187),2)</f>
        <v>242.11</v>
      </c>
      <c r="O844" s="171">
        <f t="shared" si="55"/>
        <v>202646.07</v>
      </c>
    </row>
    <row r="845" spans="1:15" x14ac:dyDescent="0.2">
      <c r="A845" s="168">
        <v>838</v>
      </c>
      <c r="B845" s="159">
        <v>674.27842116579814</v>
      </c>
      <c r="C845" s="169">
        <f t="shared" si="52"/>
        <v>565045.31693693879</v>
      </c>
      <c r="D845" s="153"/>
      <c r="E845" s="170">
        <v>838</v>
      </c>
      <c r="F845" s="162">
        <v>242.01063276379568</v>
      </c>
      <c r="G845" s="171">
        <f t="shared" si="53"/>
        <v>202804.91025606077</v>
      </c>
      <c r="I845" s="168">
        <v>838</v>
      </c>
      <c r="J845" s="167">
        <f>ROUND(B845*('Model Data Inputs'!$E$184*'Model Data Inputs'!$E$185*'Model Data Inputs'!$E$186*'Model Data Inputs'!$E$187),2)</f>
        <v>674.28</v>
      </c>
      <c r="K845" s="169">
        <f t="shared" si="54"/>
        <v>565046.64</v>
      </c>
      <c r="L845" s="153"/>
      <c r="M845" s="170">
        <v>838</v>
      </c>
      <c r="N845" s="164">
        <f>ROUND(F845*('Model Data Inputs'!$E$184*'Model Data Inputs'!$E$185*'Model Data Inputs'!$E$186*'Model Data Inputs'!$E$187),2)</f>
        <v>242.01</v>
      </c>
      <c r="O845" s="171">
        <f t="shared" si="55"/>
        <v>202804.38</v>
      </c>
    </row>
    <row r="846" spans="1:15" x14ac:dyDescent="0.2">
      <c r="A846" s="168">
        <v>839</v>
      </c>
      <c r="B846" s="159">
        <v>674.08956551413507</v>
      </c>
      <c r="C846" s="169">
        <f t="shared" si="52"/>
        <v>565561.14546635933</v>
      </c>
      <c r="D846" s="153"/>
      <c r="E846" s="170">
        <v>839</v>
      </c>
      <c r="F846" s="162">
        <v>241.91624656232068</v>
      </c>
      <c r="G846" s="171">
        <f t="shared" si="53"/>
        <v>202967.73086578705</v>
      </c>
      <c r="I846" s="168">
        <v>839</v>
      </c>
      <c r="J846" s="167">
        <f>ROUND(B846*('Model Data Inputs'!$E$184*'Model Data Inputs'!$E$185*'Model Data Inputs'!$E$186*'Model Data Inputs'!$E$187),2)</f>
        <v>674.09</v>
      </c>
      <c r="K846" s="169">
        <f t="shared" si="54"/>
        <v>565561.51</v>
      </c>
      <c r="L846" s="153"/>
      <c r="M846" s="170">
        <v>839</v>
      </c>
      <c r="N846" s="164">
        <f>ROUND(F846*('Model Data Inputs'!$E$184*'Model Data Inputs'!$E$185*'Model Data Inputs'!$E$186*'Model Data Inputs'!$E$187),2)</f>
        <v>241.92</v>
      </c>
      <c r="O846" s="171">
        <f t="shared" si="55"/>
        <v>202970.87999999998</v>
      </c>
    </row>
    <row r="847" spans="1:15" x14ac:dyDescent="0.2">
      <c r="A847" s="168">
        <v>840</v>
      </c>
      <c r="B847" s="159">
        <v>673.9007098624719</v>
      </c>
      <c r="C847" s="169">
        <f t="shared" si="52"/>
        <v>566076.59628447634</v>
      </c>
      <c r="D847" s="153"/>
      <c r="E847" s="170">
        <v>840</v>
      </c>
      <c r="F847" s="162">
        <v>241.82186036084562</v>
      </c>
      <c r="G847" s="171">
        <f t="shared" si="53"/>
        <v>203130.36270311032</v>
      </c>
      <c r="I847" s="168">
        <v>840</v>
      </c>
      <c r="J847" s="167">
        <f>ROUND(B847*('Model Data Inputs'!$E$184*'Model Data Inputs'!$E$185*'Model Data Inputs'!$E$186*'Model Data Inputs'!$E$187),2)</f>
        <v>673.9</v>
      </c>
      <c r="K847" s="169">
        <f t="shared" si="54"/>
        <v>566076</v>
      </c>
      <c r="L847" s="153"/>
      <c r="M847" s="170">
        <v>840</v>
      </c>
      <c r="N847" s="164">
        <f>ROUND(F847*('Model Data Inputs'!$E$184*'Model Data Inputs'!$E$185*'Model Data Inputs'!$E$186*'Model Data Inputs'!$E$187),2)</f>
        <v>241.82</v>
      </c>
      <c r="O847" s="171">
        <f t="shared" si="55"/>
        <v>203128.8</v>
      </c>
    </row>
    <row r="848" spans="1:15" x14ac:dyDescent="0.2">
      <c r="A848" s="168">
        <v>841</v>
      </c>
      <c r="B848" s="159">
        <v>673.71185421080884</v>
      </c>
      <c r="C848" s="169">
        <f t="shared" si="52"/>
        <v>566591.66939129028</v>
      </c>
      <c r="D848" s="153"/>
      <c r="E848" s="170">
        <v>841</v>
      </c>
      <c r="F848" s="162">
        <v>241.72747415937059</v>
      </c>
      <c r="G848" s="171">
        <f t="shared" si="53"/>
        <v>203292.80576803067</v>
      </c>
      <c r="I848" s="168">
        <v>841</v>
      </c>
      <c r="J848" s="167">
        <f>ROUND(B848*('Model Data Inputs'!$E$184*'Model Data Inputs'!$E$185*'Model Data Inputs'!$E$186*'Model Data Inputs'!$E$187),2)</f>
        <v>673.71</v>
      </c>
      <c r="K848" s="169">
        <f t="shared" si="54"/>
        <v>566590.11</v>
      </c>
      <c r="L848" s="153"/>
      <c r="M848" s="170">
        <v>841</v>
      </c>
      <c r="N848" s="164">
        <f>ROUND(F848*('Model Data Inputs'!$E$184*'Model Data Inputs'!$E$185*'Model Data Inputs'!$E$186*'Model Data Inputs'!$E$187),2)</f>
        <v>241.73</v>
      </c>
      <c r="O848" s="171">
        <f t="shared" si="55"/>
        <v>203294.93</v>
      </c>
    </row>
    <row r="849" spans="1:15" x14ac:dyDescent="0.2">
      <c r="A849" s="168">
        <v>842</v>
      </c>
      <c r="B849" s="159">
        <v>673.52299855914555</v>
      </c>
      <c r="C849" s="169">
        <f t="shared" si="52"/>
        <v>567106.36478680058</v>
      </c>
      <c r="D849" s="153"/>
      <c r="E849" s="170">
        <v>842</v>
      </c>
      <c r="F849" s="162">
        <v>241.63308795789555</v>
      </c>
      <c r="G849" s="171">
        <f t="shared" si="53"/>
        <v>203455.06006054804</v>
      </c>
      <c r="I849" s="168">
        <v>842</v>
      </c>
      <c r="J849" s="167">
        <f>ROUND(B849*('Model Data Inputs'!$E$184*'Model Data Inputs'!$E$185*'Model Data Inputs'!$E$186*'Model Data Inputs'!$E$187),2)</f>
        <v>673.52</v>
      </c>
      <c r="K849" s="169">
        <f t="shared" si="54"/>
        <v>567103.84</v>
      </c>
      <c r="L849" s="153"/>
      <c r="M849" s="170">
        <v>842</v>
      </c>
      <c r="N849" s="164">
        <f>ROUND(F849*('Model Data Inputs'!$E$184*'Model Data Inputs'!$E$185*'Model Data Inputs'!$E$186*'Model Data Inputs'!$E$187),2)</f>
        <v>241.63</v>
      </c>
      <c r="O849" s="171">
        <f t="shared" si="55"/>
        <v>203452.46</v>
      </c>
    </row>
    <row r="850" spans="1:15" x14ac:dyDescent="0.2">
      <c r="A850" s="168">
        <v>843</v>
      </c>
      <c r="B850" s="159">
        <v>673.33414290748283</v>
      </c>
      <c r="C850" s="169">
        <f t="shared" si="52"/>
        <v>567620.68247100804</v>
      </c>
      <c r="D850" s="153"/>
      <c r="E850" s="170">
        <v>843</v>
      </c>
      <c r="F850" s="162">
        <v>241.53870175642049</v>
      </c>
      <c r="G850" s="171">
        <f t="shared" si="53"/>
        <v>203617.12558066248</v>
      </c>
      <c r="I850" s="168">
        <v>843</v>
      </c>
      <c r="J850" s="167">
        <f>ROUND(B850*('Model Data Inputs'!$E$184*'Model Data Inputs'!$E$185*'Model Data Inputs'!$E$186*'Model Data Inputs'!$E$187),2)</f>
        <v>673.33</v>
      </c>
      <c r="K850" s="169">
        <f t="shared" si="54"/>
        <v>567617.19000000006</v>
      </c>
      <c r="L850" s="153"/>
      <c r="M850" s="170">
        <v>843</v>
      </c>
      <c r="N850" s="164">
        <f>ROUND(F850*('Model Data Inputs'!$E$184*'Model Data Inputs'!$E$185*'Model Data Inputs'!$E$186*'Model Data Inputs'!$E$187),2)</f>
        <v>241.54</v>
      </c>
      <c r="O850" s="171">
        <f t="shared" si="55"/>
        <v>203618.22</v>
      </c>
    </row>
    <row r="851" spans="1:15" x14ac:dyDescent="0.2">
      <c r="A851" s="168">
        <v>844</v>
      </c>
      <c r="B851" s="159">
        <v>673.14528725581977</v>
      </c>
      <c r="C851" s="169">
        <f t="shared" si="52"/>
        <v>568134.62244391185</v>
      </c>
      <c r="D851" s="153"/>
      <c r="E851" s="170">
        <v>844</v>
      </c>
      <c r="F851" s="162">
        <v>241.44431555494546</v>
      </c>
      <c r="G851" s="171">
        <f t="shared" si="53"/>
        <v>203779.00232837396</v>
      </c>
      <c r="I851" s="168">
        <v>844</v>
      </c>
      <c r="J851" s="167">
        <f>ROUND(B851*('Model Data Inputs'!$E$184*'Model Data Inputs'!$E$185*'Model Data Inputs'!$E$186*'Model Data Inputs'!$E$187),2)</f>
        <v>673.15</v>
      </c>
      <c r="K851" s="169">
        <f t="shared" si="54"/>
        <v>568138.6</v>
      </c>
      <c r="L851" s="153"/>
      <c r="M851" s="170">
        <v>844</v>
      </c>
      <c r="N851" s="164">
        <f>ROUND(F851*('Model Data Inputs'!$E$184*'Model Data Inputs'!$E$185*'Model Data Inputs'!$E$186*'Model Data Inputs'!$E$187),2)</f>
        <v>241.44</v>
      </c>
      <c r="O851" s="171">
        <f t="shared" si="55"/>
        <v>203775.35999999999</v>
      </c>
    </row>
    <row r="852" spans="1:15" x14ac:dyDescent="0.2">
      <c r="A852" s="168">
        <v>845</v>
      </c>
      <c r="B852" s="159">
        <v>672.95643160415671</v>
      </c>
      <c r="C852" s="169">
        <f t="shared" si="52"/>
        <v>568648.18470551237</v>
      </c>
      <c r="D852" s="153"/>
      <c r="E852" s="170">
        <v>845</v>
      </c>
      <c r="F852" s="162">
        <v>241.34992935347043</v>
      </c>
      <c r="G852" s="171">
        <f t="shared" si="53"/>
        <v>203940.69030368252</v>
      </c>
      <c r="I852" s="168">
        <v>845</v>
      </c>
      <c r="J852" s="167">
        <f>ROUND(B852*('Model Data Inputs'!$E$184*'Model Data Inputs'!$E$185*'Model Data Inputs'!$E$186*'Model Data Inputs'!$E$187),2)</f>
        <v>672.96</v>
      </c>
      <c r="K852" s="169">
        <f t="shared" si="54"/>
        <v>568651.20000000007</v>
      </c>
      <c r="L852" s="153"/>
      <c r="M852" s="170">
        <v>845</v>
      </c>
      <c r="N852" s="164">
        <f>ROUND(F852*('Model Data Inputs'!$E$184*'Model Data Inputs'!$E$185*'Model Data Inputs'!$E$186*'Model Data Inputs'!$E$187),2)</f>
        <v>241.35</v>
      </c>
      <c r="O852" s="171">
        <f t="shared" si="55"/>
        <v>203940.75</v>
      </c>
    </row>
    <row r="853" spans="1:15" x14ac:dyDescent="0.2">
      <c r="A853" s="168">
        <v>846</v>
      </c>
      <c r="B853" s="159">
        <v>672.76757595249364</v>
      </c>
      <c r="C853" s="169">
        <f t="shared" si="52"/>
        <v>569161.36925580958</v>
      </c>
      <c r="D853" s="153"/>
      <c r="E853" s="170">
        <v>846</v>
      </c>
      <c r="F853" s="162">
        <v>241.25554315199537</v>
      </c>
      <c r="G853" s="171">
        <f t="shared" si="53"/>
        <v>204102.1895065881</v>
      </c>
      <c r="I853" s="168">
        <v>846</v>
      </c>
      <c r="J853" s="167">
        <f>ROUND(B853*('Model Data Inputs'!$E$184*'Model Data Inputs'!$E$185*'Model Data Inputs'!$E$186*'Model Data Inputs'!$E$187),2)</f>
        <v>672.77</v>
      </c>
      <c r="K853" s="169">
        <f t="shared" si="54"/>
        <v>569163.42000000004</v>
      </c>
      <c r="L853" s="153"/>
      <c r="M853" s="170">
        <v>846</v>
      </c>
      <c r="N853" s="164">
        <f>ROUND(F853*('Model Data Inputs'!$E$184*'Model Data Inputs'!$E$185*'Model Data Inputs'!$E$186*'Model Data Inputs'!$E$187),2)</f>
        <v>241.26</v>
      </c>
      <c r="O853" s="171">
        <f t="shared" si="55"/>
        <v>204105.96</v>
      </c>
    </row>
    <row r="854" spans="1:15" x14ac:dyDescent="0.2">
      <c r="A854" s="168">
        <v>847</v>
      </c>
      <c r="B854" s="159">
        <v>672.57872030083035</v>
      </c>
      <c r="C854" s="169">
        <f t="shared" si="52"/>
        <v>569674.17609480326</v>
      </c>
      <c r="D854" s="153"/>
      <c r="E854" s="170">
        <v>847</v>
      </c>
      <c r="F854" s="162">
        <v>241.16115695052031</v>
      </c>
      <c r="G854" s="171">
        <f t="shared" si="53"/>
        <v>204263.4999370907</v>
      </c>
      <c r="I854" s="168">
        <v>847</v>
      </c>
      <c r="J854" s="167">
        <f>ROUND(B854*('Model Data Inputs'!$E$184*'Model Data Inputs'!$E$185*'Model Data Inputs'!$E$186*'Model Data Inputs'!$E$187),2)</f>
        <v>672.58</v>
      </c>
      <c r="K854" s="169">
        <f t="shared" si="54"/>
        <v>569675.26</v>
      </c>
      <c r="L854" s="153"/>
      <c r="M854" s="170">
        <v>847</v>
      </c>
      <c r="N854" s="164">
        <f>ROUND(F854*('Model Data Inputs'!$E$184*'Model Data Inputs'!$E$185*'Model Data Inputs'!$E$186*'Model Data Inputs'!$E$187),2)</f>
        <v>241.16</v>
      </c>
      <c r="O854" s="171">
        <f t="shared" si="55"/>
        <v>204262.52</v>
      </c>
    </row>
    <row r="855" spans="1:15" x14ac:dyDescent="0.2">
      <c r="A855" s="168">
        <v>848</v>
      </c>
      <c r="B855" s="159">
        <v>672.38986464916729</v>
      </c>
      <c r="C855" s="169">
        <f t="shared" si="52"/>
        <v>570186.60522249388</v>
      </c>
      <c r="D855" s="153"/>
      <c r="E855" s="170">
        <v>848</v>
      </c>
      <c r="F855" s="162">
        <v>241.06677074904528</v>
      </c>
      <c r="G855" s="171">
        <f t="shared" si="53"/>
        <v>204424.6215951904</v>
      </c>
      <c r="I855" s="168">
        <v>848</v>
      </c>
      <c r="J855" s="167">
        <f>ROUND(B855*('Model Data Inputs'!$E$184*'Model Data Inputs'!$E$185*'Model Data Inputs'!$E$186*'Model Data Inputs'!$E$187),2)</f>
        <v>672.39</v>
      </c>
      <c r="K855" s="169">
        <f t="shared" si="54"/>
        <v>570186.72</v>
      </c>
      <c r="L855" s="153"/>
      <c r="M855" s="170">
        <v>848</v>
      </c>
      <c r="N855" s="164">
        <f>ROUND(F855*('Model Data Inputs'!$E$184*'Model Data Inputs'!$E$185*'Model Data Inputs'!$E$186*'Model Data Inputs'!$E$187),2)</f>
        <v>241.07</v>
      </c>
      <c r="O855" s="171">
        <f t="shared" si="55"/>
        <v>204427.36</v>
      </c>
    </row>
    <row r="856" spans="1:15" x14ac:dyDescent="0.2">
      <c r="A856" s="168">
        <v>849</v>
      </c>
      <c r="B856" s="159">
        <v>672.20100899750423</v>
      </c>
      <c r="C856" s="169">
        <f t="shared" si="52"/>
        <v>570698.65663888108</v>
      </c>
      <c r="D856" s="153"/>
      <c r="E856" s="170">
        <v>849</v>
      </c>
      <c r="F856" s="162">
        <v>240.9723845475703</v>
      </c>
      <c r="G856" s="171">
        <f t="shared" si="53"/>
        <v>204585.55448088719</v>
      </c>
      <c r="I856" s="168">
        <v>849</v>
      </c>
      <c r="J856" s="167">
        <f>ROUND(B856*('Model Data Inputs'!$E$184*'Model Data Inputs'!$E$185*'Model Data Inputs'!$E$186*'Model Data Inputs'!$E$187),2)</f>
        <v>672.2</v>
      </c>
      <c r="K856" s="169">
        <f t="shared" si="54"/>
        <v>570697.80000000005</v>
      </c>
      <c r="L856" s="153"/>
      <c r="M856" s="170">
        <v>849</v>
      </c>
      <c r="N856" s="164">
        <f>ROUND(F856*('Model Data Inputs'!$E$184*'Model Data Inputs'!$E$185*'Model Data Inputs'!$E$186*'Model Data Inputs'!$E$187),2)</f>
        <v>240.97</v>
      </c>
      <c r="O856" s="171">
        <f t="shared" si="55"/>
        <v>204583.53</v>
      </c>
    </row>
    <row r="857" spans="1:15" x14ac:dyDescent="0.2">
      <c r="A857" s="168">
        <v>850</v>
      </c>
      <c r="B857" s="159">
        <v>672.0121533458414</v>
      </c>
      <c r="C857" s="169">
        <f t="shared" si="52"/>
        <v>571210.33034396521</v>
      </c>
      <c r="D857" s="153"/>
      <c r="E857" s="170">
        <v>850</v>
      </c>
      <c r="F857" s="162">
        <v>240.87799834609524</v>
      </c>
      <c r="G857" s="171">
        <f t="shared" si="53"/>
        <v>204746.29859418096</v>
      </c>
      <c r="I857" s="168">
        <v>850</v>
      </c>
      <c r="J857" s="167">
        <f>ROUND(B857*('Model Data Inputs'!$E$184*'Model Data Inputs'!$E$185*'Model Data Inputs'!$E$186*'Model Data Inputs'!$E$187),2)</f>
        <v>672.01</v>
      </c>
      <c r="K857" s="169">
        <f t="shared" si="54"/>
        <v>571208.5</v>
      </c>
      <c r="L857" s="153"/>
      <c r="M857" s="170">
        <v>850</v>
      </c>
      <c r="N857" s="164">
        <f>ROUND(F857*('Model Data Inputs'!$E$184*'Model Data Inputs'!$E$185*'Model Data Inputs'!$E$186*'Model Data Inputs'!$E$187),2)</f>
        <v>240.88</v>
      </c>
      <c r="O857" s="171">
        <f t="shared" si="55"/>
        <v>204748</v>
      </c>
    </row>
    <row r="858" spans="1:15" x14ac:dyDescent="0.2">
      <c r="A858" s="168">
        <v>851</v>
      </c>
      <c r="B858" s="159">
        <v>671.823297694178</v>
      </c>
      <c r="C858" s="169">
        <f t="shared" si="52"/>
        <v>571721.62633774546</v>
      </c>
      <c r="D858" s="153"/>
      <c r="E858" s="170">
        <v>851</v>
      </c>
      <c r="F858" s="162">
        <v>240.78361214462021</v>
      </c>
      <c r="G858" s="171">
        <f t="shared" si="53"/>
        <v>204906.85393507179</v>
      </c>
      <c r="I858" s="168">
        <v>851</v>
      </c>
      <c r="J858" s="167">
        <f>ROUND(B858*('Model Data Inputs'!$E$184*'Model Data Inputs'!$E$185*'Model Data Inputs'!$E$186*'Model Data Inputs'!$E$187),2)</f>
        <v>671.82</v>
      </c>
      <c r="K858" s="169">
        <f t="shared" si="54"/>
        <v>571718.82000000007</v>
      </c>
      <c r="L858" s="153"/>
      <c r="M858" s="170">
        <v>851</v>
      </c>
      <c r="N858" s="164">
        <f>ROUND(F858*('Model Data Inputs'!$E$184*'Model Data Inputs'!$E$185*'Model Data Inputs'!$E$186*'Model Data Inputs'!$E$187),2)</f>
        <v>240.78</v>
      </c>
      <c r="O858" s="171">
        <f t="shared" si="55"/>
        <v>204903.78</v>
      </c>
    </row>
    <row r="859" spans="1:15" x14ac:dyDescent="0.2">
      <c r="A859" s="168">
        <v>852</v>
      </c>
      <c r="B859" s="159">
        <v>671.63444204251505</v>
      </c>
      <c r="C859" s="169">
        <f t="shared" si="52"/>
        <v>572232.54462022288</v>
      </c>
      <c r="D859" s="153"/>
      <c r="E859" s="170">
        <v>852</v>
      </c>
      <c r="F859" s="162">
        <v>240.68922594314515</v>
      </c>
      <c r="G859" s="171">
        <f t="shared" si="53"/>
        <v>205067.22050355966</v>
      </c>
      <c r="I859" s="168">
        <v>852</v>
      </c>
      <c r="J859" s="167">
        <f>ROUND(B859*('Model Data Inputs'!$E$184*'Model Data Inputs'!$E$185*'Model Data Inputs'!$E$186*'Model Data Inputs'!$E$187),2)</f>
        <v>671.63</v>
      </c>
      <c r="K859" s="169">
        <f t="shared" si="54"/>
        <v>572228.76</v>
      </c>
      <c r="L859" s="153"/>
      <c r="M859" s="170">
        <v>852</v>
      </c>
      <c r="N859" s="164">
        <f>ROUND(F859*('Model Data Inputs'!$E$184*'Model Data Inputs'!$E$185*'Model Data Inputs'!$E$186*'Model Data Inputs'!$E$187),2)</f>
        <v>240.69</v>
      </c>
      <c r="O859" s="171">
        <f t="shared" si="55"/>
        <v>205067.88</v>
      </c>
    </row>
    <row r="860" spans="1:15" x14ac:dyDescent="0.2">
      <c r="A860" s="168">
        <v>853</v>
      </c>
      <c r="B860" s="159">
        <v>671.44558639085176</v>
      </c>
      <c r="C860" s="169">
        <f t="shared" si="52"/>
        <v>572743.08519139653</v>
      </c>
      <c r="D860" s="153"/>
      <c r="E860" s="170">
        <v>853</v>
      </c>
      <c r="F860" s="162">
        <v>240.59483974167017</v>
      </c>
      <c r="G860" s="171">
        <f t="shared" si="53"/>
        <v>205227.39829964464</v>
      </c>
      <c r="I860" s="168">
        <v>853</v>
      </c>
      <c r="J860" s="167">
        <f>ROUND(B860*('Model Data Inputs'!$E$184*'Model Data Inputs'!$E$185*'Model Data Inputs'!$E$186*'Model Data Inputs'!$E$187),2)</f>
        <v>671.45</v>
      </c>
      <c r="K860" s="169">
        <f t="shared" si="54"/>
        <v>572746.85000000009</v>
      </c>
      <c r="L860" s="153"/>
      <c r="M860" s="170">
        <v>853</v>
      </c>
      <c r="N860" s="164">
        <f>ROUND(F860*('Model Data Inputs'!$E$184*'Model Data Inputs'!$E$185*'Model Data Inputs'!$E$186*'Model Data Inputs'!$E$187),2)</f>
        <v>240.59</v>
      </c>
      <c r="O860" s="171">
        <f t="shared" si="55"/>
        <v>205223.27</v>
      </c>
    </row>
    <row r="861" spans="1:15" x14ac:dyDescent="0.2">
      <c r="A861" s="168">
        <v>854</v>
      </c>
      <c r="B861" s="159">
        <v>671.25673073918881</v>
      </c>
      <c r="C861" s="169">
        <f t="shared" si="52"/>
        <v>573253.24805126723</v>
      </c>
      <c r="D861" s="153"/>
      <c r="E861" s="170">
        <v>854</v>
      </c>
      <c r="F861" s="162">
        <v>240.50045354019514</v>
      </c>
      <c r="G861" s="171">
        <f t="shared" si="53"/>
        <v>205387.38732332663</v>
      </c>
      <c r="I861" s="168">
        <v>854</v>
      </c>
      <c r="J861" s="167">
        <f>ROUND(B861*('Model Data Inputs'!$E$184*'Model Data Inputs'!$E$185*'Model Data Inputs'!$E$186*'Model Data Inputs'!$E$187),2)</f>
        <v>671.26</v>
      </c>
      <c r="K861" s="169">
        <f t="shared" si="54"/>
        <v>573256.04</v>
      </c>
      <c r="L861" s="153"/>
      <c r="M861" s="170">
        <v>854</v>
      </c>
      <c r="N861" s="164">
        <f>ROUND(F861*('Model Data Inputs'!$E$184*'Model Data Inputs'!$E$185*'Model Data Inputs'!$E$186*'Model Data Inputs'!$E$187),2)</f>
        <v>240.5</v>
      </c>
      <c r="O861" s="171">
        <f t="shared" si="55"/>
        <v>205387</v>
      </c>
    </row>
    <row r="862" spans="1:15" x14ac:dyDescent="0.2">
      <c r="A862" s="168">
        <v>855</v>
      </c>
      <c r="B862" s="159">
        <v>671.06787508752564</v>
      </c>
      <c r="C862" s="169">
        <f t="shared" si="52"/>
        <v>573763.0331998344</v>
      </c>
      <c r="D862" s="153"/>
      <c r="E862" s="170">
        <v>855</v>
      </c>
      <c r="F862" s="162">
        <v>240.40606733872008</v>
      </c>
      <c r="G862" s="171">
        <f t="shared" si="53"/>
        <v>205547.18757460566</v>
      </c>
      <c r="I862" s="168">
        <v>855</v>
      </c>
      <c r="J862" s="167">
        <f>ROUND(B862*('Model Data Inputs'!$E$184*'Model Data Inputs'!$E$185*'Model Data Inputs'!$E$186*'Model Data Inputs'!$E$187),2)</f>
        <v>671.07</v>
      </c>
      <c r="K862" s="169">
        <f t="shared" si="54"/>
        <v>573764.85000000009</v>
      </c>
      <c r="L862" s="153"/>
      <c r="M862" s="170">
        <v>855</v>
      </c>
      <c r="N862" s="164">
        <f>ROUND(F862*('Model Data Inputs'!$E$184*'Model Data Inputs'!$E$185*'Model Data Inputs'!$E$186*'Model Data Inputs'!$E$187),2)</f>
        <v>240.41</v>
      </c>
      <c r="O862" s="171">
        <f t="shared" si="55"/>
        <v>205550.55</v>
      </c>
    </row>
    <row r="863" spans="1:15" x14ac:dyDescent="0.2">
      <c r="A863" s="168">
        <v>856</v>
      </c>
      <c r="B863" s="159">
        <v>670.87901943586269</v>
      </c>
      <c r="C863" s="169">
        <f t="shared" si="52"/>
        <v>574272.44063709851</v>
      </c>
      <c r="D863" s="153"/>
      <c r="E863" s="170">
        <v>856</v>
      </c>
      <c r="F863" s="162">
        <v>240.31168113724502</v>
      </c>
      <c r="G863" s="171">
        <f t="shared" si="53"/>
        <v>205706.79905348172</v>
      </c>
      <c r="I863" s="168">
        <v>856</v>
      </c>
      <c r="J863" s="167">
        <f>ROUND(B863*('Model Data Inputs'!$E$184*'Model Data Inputs'!$E$185*'Model Data Inputs'!$E$186*'Model Data Inputs'!$E$187),2)</f>
        <v>670.88</v>
      </c>
      <c r="K863" s="169">
        <f t="shared" si="54"/>
        <v>574273.28000000003</v>
      </c>
      <c r="L863" s="153"/>
      <c r="M863" s="170">
        <v>856</v>
      </c>
      <c r="N863" s="164">
        <f>ROUND(F863*('Model Data Inputs'!$E$184*'Model Data Inputs'!$E$185*'Model Data Inputs'!$E$186*'Model Data Inputs'!$E$187),2)</f>
        <v>240.31</v>
      </c>
      <c r="O863" s="171">
        <f t="shared" si="55"/>
        <v>205705.36000000002</v>
      </c>
    </row>
    <row r="864" spans="1:15" x14ac:dyDescent="0.2">
      <c r="A864" s="168">
        <v>857</v>
      </c>
      <c r="B864" s="159">
        <v>670.69016378419963</v>
      </c>
      <c r="C864" s="169">
        <f t="shared" si="52"/>
        <v>574781.47036305908</v>
      </c>
      <c r="D864" s="153"/>
      <c r="E864" s="170">
        <v>857</v>
      </c>
      <c r="F864" s="162">
        <v>240.21729493576998</v>
      </c>
      <c r="G864" s="171">
        <f t="shared" si="53"/>
        <v>205866.22175995487</v>
      </c>
      <c r="I864" s="168">
        <v>857</v>
      </c>
      <c r="J864" s="167">
        <f>ROUND(B864*('Model Data Inputs'!$E$184*'Model Data Inputs'!$E$185*'Model Data Inputs'!$E$186*'Model Data Inputs'!$E$187),2)</f>
        <v>670.69</v>
      </c>
      <c r="K864" s="169">
        <f t="shared" si="54"/>
        <v>574781.33000000007</v>
      </c>
      <c r="L864" s="153"/>
      <c r="M864" s="170">
        <v>857</v>
      </c>
      <c r="N864" s="164">
        <f>ROUND(F864*('Model Data Inputs'!$E$184*'Model Data Inputs'!$E$185*'Model Data Inputs'!$E$186*'Model Data Inputs'!$E$187),2)</f>
        <v>240.22</v>
      </c>
      <c r="O864" s="171">
        <f t="shared" si="55"/>
        <v>205868.54</v>
      </c>
    </row>
    <row r="865" spans="1:15" x14ac:dyDescent="0.2">
      <c r="A865" s="168">
        <v>858</v>
      </c>
      <c r="B865" s="159">
        <v>670.50130813253656</v>
      </c>
      <c r="C865" s="169">
        <f t="shared" si="52"/>
        <v>575290.12237771635</v>
      </c>
      <c r="D865" s="153"/>
      <c r="E865" s="170">
        <v>858</v>
      </c>
      <c r="F865" s="162">
        <v>240.1229087342949</v>
      </c>
      <c r="G865" s="171">
        <f t="shared" si="53"/>
        <v>206025.45569402503</v>
      </c>
      <c r="I865" s="168">
        <v>858</v>
      </c>
      <c r="J865" s="167">
        <f>ROUND(B865*('Model Data Inputs'!$E$184*'Model Data Inputs'!$E$185*'Model Data Inputs'!$E$186*'Model Data Inputs'!$E$187),2)</f>
        <v>670.5</v>
      </c>
      <c r="K865" s="169">
        <f t="shared" si="54"/>
        <v>575289</v>
      </c>
      <c r="L865" s="153"/>
      <c r="M865" s="170">
        <v>858</v>
      </c>
      <c r="N865" s="164">
        <f>ROUND(F865*('Model Data Inputs'!$E$184*'Model Data Inputs'!$E$185*'Model Data Inputs'!$E$186*'Model Data Inputs'!$E$187),2)</f>
        <v>240.12</v>
      </c>
      <c r="O865" s="171">
        <f t="shared" si="55"/>
        <v>206022.96</v>
      </c>
    </row>
    <row r="866" spans="1:15" x14ac:dyDescent="0.2">
      <c r="A866" s="168">
        <v>859</v>
      </c>
      <c r="B866" s="159">
        <v>670.3124524808735</v>
      </c>
      <c r="C866" s="169">
        <f t="shared" si="52"/>
        <v>575798.39668107033</v>
      </c>
      <c r="D866" s="153"/>
      <c r="E866" s="170">
        <v>859</v>
      </c>
      <c r="F866" s="162">
        <v>240.02852253281989</v>
      </c>
      <c r="G866" s="171">
        <f t="shared" si="53"/>
        <v>206184.50085569228</v>
      </c>
      <c r="I866" s="168">
        <v>859</v>
      </c>
      <c r="J866" s="167">
        <f>ROUND(B866*('Model Data Inputs'!$E$184*'Model Data Inputs'!$E$185*'Model Data Inputs'!$E$186*'Model Data Inputs'!$E$187),2)</f>
        <v>670.31</v>
      </c>
      <c r="K866" s="169">
        <f t="shared" si="54"/>
        <v>575796.28999999992</v>
      </c>
      <c r="L866" s="153"/>
      <c r="M866" s="170">
        <v>859</v>
      </c>
      <c r="N866" s="164">
        <f>ROUND(F866*('Model Data Inputs'!$E$184*'Model Data Inputs'!$E$185*'Model Data Inputs'!$E$186*'Model Data Inputs'!$E$187),2)</f>
        <v>240.03</v>
      </c>
      <c r="O866" s="171">
        <f t="shared" si="55"/>
        <v>206185.77</v>
      </c>
    </row>
    <row r="867" spans="1:15" x14ac:dyDescent="0.2">
      <c r="A867" s="168">
        <v>860</v>
      </c>
      <c r="B867" s="159">
        <v>670.12359682921033</v>
      </c>
      <c r="C867" s="169">
        <f t="shared" si="52"/>
        <v>576306.29327312089</v>
      </c>
      <c r="D867" s="153"/>
      <c r="E867" s="170">
        <v>860</v>
      </c>
      <c r="F867" s="162">
        <v>239.93413633134483</v>
      </c>
      <c r="G867" s="171">
        <f t="shared" si="53"/>
        <v>206343.35724495657</v>
      </c>
      <c r="I867" s="168">
        <v>860</v>
      </c>
      <c r="J867" s="167">
        <f>ROUND(B867*('Model Data Inputs'!$E$184*'Model Data Inputs'!$E$185*'Model Data Inputs'!$E$186*'Model Data Inputs'!$E$187),2)</f>
        <v>670.12</v>
      </c>
      <c r="K867" s="169">
        <f t="shared" si="54"/>
        <v>576303.19999999995</v>
      </c>
      <c r="L867" s="153"/>
      <c r="M867" s="170">
        <v>860</v>
      </c>
      <c r="N867" s="164">
        <f>ROUND(F867*('Model Data Inputs'!$E$184*'Model Data Inputs'!$E$185*'Model Data Inputs'!$E$186*'Model Data Inputs'!$E$187),2)</f>
        <v>239.93</v>
      </c>
      <c r="O867" s="171">
        <f t="shared" si="55"/>
        <v>206339.80000000002</v>
      </c>
    </row>
    <row r="868" spans="1:15" x14ac:dyDescent="0.2">
      <c r="A868" s="168">
        <v>861</v>
      </c>
      <c r="B868" s="159">
        <v>669.93474117754727</v>
      </c>
      <c r="C868" s="169">
        <f t="shared" si="52"/>
        <v>576813.81215386814</v>
      </c>
      <c r="D868" s="153"/>
      <c r="E868" s="170">
        <v>861</v>
      </c>
      <c r="F868" s="162">
        <v>239.83975012986986</v>
      </c>
      <c r="G868" s="171">
        <f t="shared" si="53"/>
        <v>206502.02486181795</v>
      </c>
      <c r="I868" s="168">
        <v>861</v>
      </c>
      <c r="J868" s="167">
        <f>ROUND(B868*('Model Data Inputs'!$E$184*'Model Data Inputs'!$E$185*'Model Data Inputs'!$E$186*'Model Data Inputs'!$E$187),2)</f>
        <v>669.93</v>
      </c>
      <c r="K868" s="169">
        <f t="shared" si="54"/>
        <v>576809.73</v>
      </c>
      <c r="L868" s="153"/>
      <c r="M868" s="170">
        <v>861</v>
      </c>
      <c r="N868" s="164">
        <f>ROUND(F868*('Model Data Inputs'!$E$184*'Model Data Inputs'!$E$185*'Model Data Inputs'!$E$186*'Model Data Inputs'!$E$187),2)</f>
        <v>239.84</v>
      </c>
      <c r="O868" s="171">
        <f t="shared" si="55"/>
        <v>206502.24</v>
      </c>
    </row>
    <row r="869" spans="1:15" x14ac:dyDescent="0.2">
      <c r="A869" s="168">
        <v>862</v>
      </c>
      <c r="B869" s="159">
        <v>669.7458855258842</v>
      </c>
      <c r="C869" s="169">
        <f t="shared" si="52"/>
        <v>577320.95332331222</v>
      </c>
      <c r="D869" s="153"/>
      <c r="E869" s="170">
        <v>862</v>
      </c>
      <c r="F869" s="162">
        <v>239.74536392839477</v>
      </c>
      <c r="G869" s="171">
        <f t="shared" si="53"/>
        <v>206660.5037062763</v>
      </c>
      <c r="I869" s="168">
        <v>862</v>
      </c>
      <c r="J869" s="167">
        <f>ROUND(B869*('Model Data Inputs'!$E$184*'Model Data Inputs'!$E$185*'Model Data Inputs'!$E$186*'Model Data Inputs'!$E$187),2)</f>
        <v>669.75</v>
      </c>
      <c r="K869" s="169">
        <f t="shared" si="54"/>
        <v>577324.5</v>
      </c>
      <c r="L869" s="153"/>
      <c r="M869" s="170">
        <v>862</v>
      </c>
      <c r="N869" s="164">
        <f>ROUND(F869*('Model Data Inputs'!$E$184*'Model Data Inputs'!$E$185*'Model Data Inputs'!$E$186*'Model Data Inputs'!$E$187),2)</f>
        <v>239.75</v>
      </c>
      <c r="O869" s="171">
        <f t="shared" si="55"/>
        <v>206664.5</v>
      </c>
    </row>
    <row r="870" spans="1:15" x14ac:dyDescent="0.2">
      <c r="A870" s="168">
        <v>863</v>
      </c>
      <c r="B870" s="159">
        <v>669.55702987422114</v>
      </c>
      <c r="C870" s="169">
        <f t="shared" si="52"/>
        <v>577827.71678145288</v>
      </c>
      <c r="D870" s="153"/>
      <c r="E870" s="170">
        <v>863</v>
      </c>
      <c r="F870" s="162">
        <v>239.65097772691973</v>
      </c>
      <c r="G870" s="171">
        <f t="shared" si="53"/>
        <v>206818.79377833172</v>
      </c>
      <c r="I870" s="168">
        <v>863</v>
      </c>
      <c r="J870" s="167">
        <f>ROUND(B870*('Model Data Inputs'!$E$184*'Model Data Inputs'!$E$185*'Model Data Inputs'!$E$186*'Model Data Inputs'!$E$187),2)</f>
        <v>669.56</v>
      </c>
      <c r="K870" s="169">
        <f t="shared" si="54"/>
        <v>577830.27999999991</v>
      </c>
      <c r="L870" s="153"/>
      <c r="M870" s="170">
        <v>863</v>
      </c>
      <c r="N870" s="164">
        <f>ROUND(F870*('Model Data Inputs'!$E$184*'Model Data Inputs'!$E$185*'Model Data Inputs'!$E$186*'Model Data Inputs'!$E$187),2)</f>
        <v>239.65</v>
      </c>
      <c r="O870" s="171">
        <f t="shared" si="55"/>
        <v>206817.95</v>
      </c>
    </row>
    <row r="871" spans="1:15" x14ac:dyDescent="0.2">
      <c r="A871" s="168">
        <v>864</v>
      </c>
      <c r="B871" s="159">
        <v>669.36817422255808</v>
      </c>
      <c r="C871" s="169">
        <f t="shared" si="52"/>
        <v>578334.10252829012</v>
      </c>
      <c r="D871" s="153"/>
      <c r="E871" s="170">
        <v>864</v>
      </c>
      <c r="F871" s="162">
        <v>239.55659152544473</v>
      </c>
      <c r="G871" s="171">
        <f t="shared" si="53"/>
        <v>206976.89507798426</v>
      </c>
      <c r="I871" s="168">
        <v>864</v>
      </c>
      <c r="J871" s="167">
        <f>ROUND(B871*('Model Data Inputs'!$E$184*'Model Data Inputs'!$E$185*'Model Data Inputs'!$E$186*'Model Data Inputs'!$E$187),2)</f>
        <v>669.37</v>
      </c>
      <c r="K871" s="169">
        <f t="shared" si="54"/>
        <v>578335.68000000005</v>
      </c>
      <c r="L871" s="153"/>
      <c r="M871" s="170">
        <v>864</v>
      </c>
      <c r="N871" s="164">
        <f>ROUND(F871*('Model Data Inputs'!$E$184*'Model Data Inputs'!$E$185*'Model Data Inputs'!$E$186*'Model Data Inputs'!$E$187),2)</f>
        <v>239.56</v>
      </c>
      <c r="O871" s="171">
        <f t="shared" si="55"/>
        <v>206979.84</v>
      </c>
    </row>
    <row r="872" spans="1:15" x14ac:dyDescent="0.2">
      <c r="A872" s="168">
        <v>865</v>
      </c>
      <c r="B872" s="159">
        <v>669.17931857089502</v>
      </c>
      <c r="C872" s="169">
        <f t="shared" si="52"/>
        <v>578840.11056382419</v>
      </c>
      <c r="D872" s="153"/>
      <c r="E872" s="170">
        <v>865</v>
      </c>
      <c r="F872" s="162">
        <v>239.46220532396964</v>
      </c>
      <c r="G872" s="171">
        <f t="shared" si="53"/>
        <v>207134.80760523374</v>
      </c>
      <c r="I872" s="168">
        <v>865</v>
      </c>
      <c r="J872" s="167">
        <f>ROUND(B872*('Model Data Inputs'!$E$184*'Model Data Inputs'!$E$185*'Model Data Inputs'!$E$186*'Model Data Inputs'!$E$187),2)</f>
        <v>669.18</v>
      </c>
      <c r="K872" s="169">
        <f t="shared" si="54"/>
        <v>578840.69999999995</v>
      </c>
      <c r="L872" s="153"/>
      <c r="M872" s="170">
        <v>865</v>
      </c>
      <c r="N872" s="164">
        <f>ROUND(F872*('Model Data Inputs'!$E$184*'Model Data Inputs'!$E$185*'Model Data Inputs'!$E$186*'Model Data Inputs'!$E$187),2)</f>
        <v>239.46</v>
      </c>
      <c r="O872" s="171">
        <f t="shared" si="55"/>
        <v>207132.9</v>
      </c>
    </row>
    <row r="873" spans="1:15" x14ac:dyDescent="0.2">
      <c r="A873" s="168">
        <v>866</v>
      </c>
      <c r="B873" s="159">
        <v>668.99046291923173</v>
      </c>
      <c r="C873" s="169">
        <f t="shared" si="52"/>
        <v>579345.74088805472</v>
      </c>
      <c r="D873" s="153"/>
      <c r="E873" s="170">
        <v>866</v>
      </c>
      <c r="F873" s="162">
        <v>239.36781912249461</v>
      </c>
      <c r="G873" s="171">
        <f t="shared" si="53"/>
        <v>207292.53136008032</v>
      </c>
      <c r="I873" s="168">
        <v>866</v>
      </c>
      <c r="J873" s="167">
        <f>ROUND(B873*('Model Data Inputs'!$E$184*'Model Data Inputs'!$E$185*'Model Data Inputs'!$E$186*'Model Data Inputs'!$E$187),2)</f>
        <v>668.99</v>
      </c>
      <c r="K873" s="169">
        <f t="shared" si="54"/>
        <v>579345.34</v>
      </c>
      <c r="L873" s="153"/>
      <c r="M873" s="170">
        <v>866</v>
      </c>
      <c r="N873" s="164">
        <f>ROUND(F873*('Model Data Inputs'!$E$184*'Model Data Inputs'!$E$185*'Model Data Inputs'!$E$186*'Model Data Inputs'!$E$187),2)</f>
        <v>239.37</v>
      </c>
      <c r="O873" s="171">
        <f t="shared" si="55"/>
        <v>207294.42</v>
      </c>
    </row>
    <row r="874" spans="1:15" x14ac:dyDescent="0.2">
      <c r="A874" s="168">
        <v>867</v>
      </c>
      <c r="B874" s="159">
        <v>668.80160726756856</v>
      </c>
      <c r="C874" s="169">
        <f t="shared" si="52"/>
        <v>579850.99350098195</v>
      </c>
      <c r="D874" s="153"/>
      <c r="E874" s="170">
        <v>867</v>
      </c>
      <c r="F874" s="162">
        <v>239.27343292101958</v>
      </c>
      <c r="G874" s="171">
        <f t="shared" si="53"/>
        <v>207450.06634252396</v>
      </c>
      <c r="I874" s="168">
        <v>867</v>
      </c>
      <c r="J874" s="167">
        <f>ROUND(B874*('Model Data Inputs'!$E$184*'Model Data Inputs'!$E$185*'Model Data Inputs'!$E$186*'Model Data Inputs'!$E$187),2)</f>
        <v>668.8</v>
      </c>
      <c r="K874" s="169">
        <f t="shared" si="54"/>
        <v>579849.6</v>
      </c>
      <c r="L874" s="153"/>
      <c r="M874" s="170">
        <v>867</v>
      </c>
      <c r="N874" s="164">
        <f>ROUND(F874*('Model Data Inputs'!$E$184*'Model Data Inputs'!$E$185*'Model Data Inputs'!$E$186*'Model Data Inputs'!$E$187),2)</f>
        <v>239.27</v>
      </c>
      <c r="O874" s="171">
        <f t="shared" si="55"/>
        <v>207447.09</v>
      </c>
    </row>
    <row r="875" spans="1:15" x14ac:dyDescent="0.2">
      <c r="A875" s="168">
        <v>868</v>
      </c>
      <c r="B875" s="159">
        <v>668.61275161590549</v>
      </c>
      <c r="C875" s="169">
        <f t="shared" si="52"/>
        <v>580355.86840260599</v>
      </c>
      <c r="D875" s="153"/>
      <c r="E875" s="170">
        <v>868</v>
      </c>
      <c r="F875" s="162">
        <v>239.17904671954457</v>
      </c>
      <c r="G875" s="171">
        <f t="shared" si="53"/>
        <v>207607.4125525647</v>
      </c>
      <c r="I875" s="168">
        <v>868</v>
      </c>
      <c r="J875" s="167">
        <f>ROUND(B875*('Model Data Inputs'!$E$184*'Model Data Inputs'!$E$185*'Model Data Inputs'!$E$186*'Model Data Inputs'!$E$187),2)</f>
        <v>668.61</v>
      </c>
      <c r="K875" s="169">
        <f t="shared" si="54"/>
        <v>580353.48</v>
      </c>
      <c r="L875" s="153"/>
      <c r="M875" s="170">
        <v>868</v>
      </c>
      <c r="N875" s="164">
        <f>ROUND(F875*('Model Data Inputs'!$E$184*'Model Data Inputs'!$E$185*'Model Data Inputs'!$E$186*'Model Data Inputs'!$E$187),2)</f>
        <v>239.18</v>
      </c>
      <c r="O875" s="171">
        <f t="shared" si="55"/>
        <v>207608.24000000002</v>
      </c>
    </row>
    <row r="876" spans="1:15" x14ac:dyDescent="0.2">
      <c r="A876" s="168">
        <v>869</v>
      </c>
      <c r="B876" s="159">
        <v>668.42389596424243</v>
      </c>
      <c r="C876" s="169">
        <f t="shared" si="52"/>
        <v>580860.36559292662</v>
      </c>
      <c r="D876" s="153"/>
      <c r="E876" s="170">
        <v>869</v>
      </c>
      <c r="F876" s="162">
        <v>239.08466051806954</v>
      </c>
      <c r="G876" s="171">
        <f t="shared" si="53"/>
        <v>207764.56999020244</v>
      </c>
      <c r="I876" s="168">
        <v>869</v>
      </c>
      <c r="J876" s="167">
        <f>ROUND(B876*('Model Data Inputs'!$E$184*'Model Data Inputs'!$E$185*'Model Data Inputs'!$E$186*'Model Data Inputs'!$E$187),2)</f>
        <v>668.42</v>
      </c>
      <c r="K876" s="169">
        <f t="shared" si="54"/>
        <v>580856.98</v>
      </c>
      <c r="L876" s="153"/>
      <c r="M876" s="170">
        <v>869</v>
      </c>
      <c r="N876" s="164">
        <f>ROUND(F876*('Model Data Inputs'!$E$184*'Model Data Inputs'!$E$185*'Model Data Inputs'!$E$186*'Model Data Inputs'!$E$187),2)</f>
        <v>239.08</v>
      </c>
      <c r="O876" s="171">
        <f t="shared" si="55"/>
        <v>207760.52000000002</v>
      </c>
    </row>
    <row r="877" spans="1:15" x14ac:dyDescent="0.2">
      <c r="A877" s="168">
        <v>870</v>
      </c>
      <c r="B877" s="159">
        <v>668.23504031257949</v>
      </c>
      <c r="C877" s="169">
        <f t="shared" si="52"/>
        <v>581364.48507194419</v>
      </c>
      <c r="D877" s="153"/>
      <c r="E877" s="170">
        <v>870</v>
      </c>
      <c r="F877" s="162">
        <v>238.99027431659448</v>
      </c>
      <c r="G877" s="171">
        <f t="shared" si="53"/>
        <v>207921.53865543721</v>
      </c>
      <c r="I877" s="168">
        <v>870</v>
      </c>
      <c r="J877" s="167">
        <f>ROUND(B877*('Model Data Inputs'!$E$184*'Model Data Inputs'!$E$185*'Model Data Inputs'!$E$186*'Model Data Inputs'!$E$187),2)</f>
        <v>668.24</v>
      </c>
      <c r="K877" s="169">
        <f t="shared" si="54"/>
        <v>581368.80000000005</v>
      </c>
      <c r="L877" s="153"/>
      <c r="M877" s="170">
        <v>870</v>
      </c>
      <c r="N877" s="164">
        <f>ROUND(F877*('Model Data Inputs'!$E$184*'Model Data Inputs'!$E$185*'Model Data Inputs'!$E$186*'Model Data Inputs'!$E$187),2)</f>
        <v>238.99</v>
      </c>
      <c r="O877" s="171">
        <f t="shared" si="55"/>
        <v>207921.30000000002</v>
      </c>
    </row>
    <row r="878" spans="1:15" x14ac:dyDescent="0.2">
      <c r="A878" s="168">
        <v>871</v>
      </c>
      <c r="B878" s="159">
        <v>668.04618466091642</v>
      </c>
      <c r="C878" s="169">
        <f t="shared" si="52"/>
        <v>581868.22683965822</v>
      </c>
      <c r="D878" s="153"/>
      <c r="E878" s="170">
        <v>871</v>
      </c>
      <c r="F878" s="162">
        <v>238.89588811511945</v>
      </c>
      <c r="G878" s="171">
        <f t="shared" si="53"/>
        <v>208078.31854826905</v>
      </c>
      <c r="I878" s="168">
        <v>871</v>
      </c>
      <c r="J878" s="167">
        <f>ROUND(B878*('Model Data Inputs'!$E$184*'Model Data Inputs'!$E$185*'Model Data Inputs'!$E$186*'Model Data Inputs'!$E$187),2)</f>
        <v>668.05</v>
      </c>
      <c r="K878" s="169">
        <f t="shared" si="54"/>
        <v>581871.54999999993</v>
      </c>
      <c r="L878" s="153"/>
      <c r="M878" s="170">
        <v>871</v>
      </c>
      <c r="N878" s="164">
        <f>ROUND(F878*('Model Data Inputs'!$E$184*'Model Data Inputs'!$E$185*'Model Data Inputs'!$E$186*'Model Data Inputs'!$E$187),2)</f>
        <v>238.9</v>
      </c>
      <c r="O878" s="171">
        <f t="shared" si="55"/>
        <v>208081.9</v>
      </c>
    </row>
    <row r="879" spans="1:15" x14ac:dyDescent="0.2">
      <c r="A879" s="168">
        <v>872</v>
      </c>
      <c r="B879" s="159">
        <v>667.85732900925336</v>
      </c>
      <c r="C879" s="169">
        <f t="shared" si="52"/>
        <v>582371.59089606896</v>
      </c>
      <c r="D879" s="153"/>
      <c r="E879" s="170">
        <v>872</v>
      </c>
      <c r="F879" s="162">
        <v>238.80150191364442</v>
      </c>
      <c r="G879" s="171">
        <f t="shared" si="53"/>
        <v>208234.90966869792</v>
      </c>
      <c r="I879" s="168">
        <v>872</v>
      </c>
      <c r="J879" s="167">
        <f>ROUND(B879*('Model Data Inputs'!$E$184*'Model Data Inputs'!$E$185*'Model Data Inputs'!$E$186*'Model Data Inputs'!$E$187),2)</f>
        <v>667.86</v>
      </c>
      <c r="K879" s="169">
        <f t="shared" si="54"/>
        <v>582373.92000000004</v>
      </c>
      <c r="L879" s="153"/>
      <c r="M879" s="170">
        <v>872</v>
      </c>
      <c r="N879" s="164">
        <f>ROUND(F879*('Model Data Inputs'!$E$184*'Model Data Inputs'!$E$185*'Model Data Inputs'!$E$186*'Model Data Inputs'!$E$187),2)</f>
        <v>238.8</v>
      </c>
      <c r="O879" s="171">
        <f t="shared" si="55"/>
        <v>208233.60000000001</v>
      </c>
    </row>
    <row r="880" spans="1:15" x14ac:dyDescent="0.2">
      <c r="A880" s="168">
        <v>873</v>
      </c>
      <c r="B880" s="159">
        <v>667.66847335759019</v>
      </c>
      <c r="C880" s="169">
        <f t="shared" si="52"/>
        <v>582874.57724117627</v>
      </c>
      <c r="D880" s="153"/>
      <c r="E880" s="170">
        <v>873</v>
      </c>
      <c r="F880" s="162">
        <v>238.70711571216938</v>
      </c>
      <c r="G880" s="171">
        <f t="shared" si="53"/>
        <v>208391.31201672388</v>
      </c>
      <c r="I880" s="168">
        <v>873</v>
      </c>
      <c r="J880" s="167">
        <f>ROUND(B880*('Model Data Inputs'!$E$184*'Model Data Inputs'!$E$185*'Model Data Inputs'!$E$186*'Model Data Inputs'!$E$187),2)</f>
        <v>667.67</v>
      </c>
      <c r="K880" s="169">
        <f t="shared" si="54"/>
        <v>582875.90999999992</v>
      </c>
      <c r="L880" s="153"/>
      <c r="M880" s="170">
        <v>873</v>
      </c>
      <c r="N880" s="164">
        <f>ROUND(F880*('Model Data Inputs'!$E$184*'Model Data Inputs'!$E$185*'Model Data Inputs'!$E$186*'Model Data Inputs'!$E$187),2)</f>
        <v>238.71</v>
      </c>
      <c r="O880" s="171">
        <f t="shared" si="55"/>
        <v>208393.83000000002</v>
      </c>
    </row>
    <row r="881" spans="1:15" x14ac:dyDescent="0.2">
      <c r="A881" s="168">
        <v>874</v>
      </c>
      <c r="B881" s="159">
        <v>667.47961770592724</v>
      </c>
      <c r="C881" s="169">
        <f t="shared" si="52"/>
        <v>583377.18587498041</v>
      </c>
      <c r="D881" s="153"/>
      <c r="E881" s="170">
        <v>874</v>
      </c>
      <c r="F881" s="162">
        <v>238.61272951069438</v>
      </c>
      <c r="G881" s="171">
        <f t="shared" si="53"/>
        <v>208547.52559234688</v>
      </c>
      <c r="I881" s="168">
        <v>874</v>
      </c>
      <c r="J881" s="167">
        <f>ROUND(B881*('Model Data Inputs'!$E$184*'Model Data Inputs'!$E$185*'Model Data Inputs'!$E$186*'Model Data Inputs'!$E$187),2)</f>
        <v>667.48</v>
      </c>
      <c r="K881" s="169">
        <f t="shared" si="54"/>
        <v>583377.52</v>
      </c>
      <c r="L881" s="153"/>
      <c r="M881" s="170">
        <v>874</v>
      </c>
      <c r="N881" s="164">
        <f>ROUND(F881*('Model Data Inputs'!$E$184*'Model Data Inputs'!$E$185*'Model Data Inputs'!$E$186*'Model Data Inputs'!$E$187),2)</f>
        <v>238.61</v>
      </c>
      <c r="O881" s="171">
        <f t="shared" si="55"/>
        <v>208545.14</v>
      </c>
    </row>
    <row r="882" spans="1:15" x14ac:dyDescent="0.2">
      <c r="A882" s="168">
        <v>875</v>
      </c>
      <c r="B882" s="159">
        <v>667.29076205426406</v>
      </c>
      <c r="C882" s="169">
        <f t="shared" si="52"/>
        <v>583879.41679748101</v>
      </c>
      <c r="D882" s="153"/>
      <c r="E882" s="170">
        <v>875</v>
      </c>
      <c r="F882" s="162">
        <v>238.51834330921929</v>
      </c>
      <c r="G882" s="171">
        <f t="shared" si="53"/>
        <v>208703.55039556688</v>
      </c>
      <c r="I882" s="168">
        <v>875</v>
      </c>
      <c r="J882" s="167">
        <f>ROUND(B882*('Model Data Inputs'!$E$184*'Model Data Inputs'!$E$185*'Model Data Inputs'!$E$186*'Model Data Inputs'!$E$187),2)</f>
        <v>667.29</v>
      </c>
      <c r="K882" s="169">
        <f t="shared" si="54"/>
        <v>583878.75</v>
      </c>
      <c r="L882" s="153"/>
      <c r="M882" s="170">
        <v>875</v>
      </c>
      <c r="N882" s="164">
        <f>ROUND(F882*('Model Data Inputs'!$E$184*'Model Data Inputs'!$E$185*'Model Data Inputs'!$E$186*'Model Data Inputs'!$E$187),2)</f>
        <v>238.52</v>
      </c>
      <c r="O882" s="171">
        <f t="shared" si="55"/>
        <v>208705</v>
      </c>
    </row>
    <row r="883" spans="1:15" x14ac:dyDescent="0.2">
      <c r="A883" s="168">
        <v>876</v>
      </c>
      <c r="B883" s="159">
        <v>667.101906402601</v>
      </c>
      <c r="C883" s="169">
        <f t="shared" si="52"/>
        <v>584381.27000867843</v>
      </c>
      <c r="D883" s="153"/>
      <c r="E883" s="170">
        <v>876</v>
      </c>
      <c r="F883" s="162">
        <v>238.42395710774429</v>
      </c>
      <c r="G883" s="171">
        <f t="shared" si="53"/>
        <v>208859.38642638401</v>
      </c>
      <c r="I883" s="168">
        <v>876</v>
      </c>
      <c r="J883" s="167">
        <f>ROUND(B883*('Model Data Inputs'!$E$184*'Model Data Inputs'!$E$185*'Model Data Inputs'!$E$186*'Model Data Inputs'!$E$187),2)</f>
        <v>667.1</v>
      </c>
      <c r="K883" s="169">
        <f t="shared" si="54"/>
        <v>584379.6</v>
      </c>
      <c r="L883" s="153"/>
      <c r="M883" s="170">
        <v>876</v>
      </c>
      <c r="N883" s="164">
        <f>ROUND(F883*('Model Data Inputs'!$E$184*'Model Data Inputs'!$E$185*'Model Data Inputs'!$E$186*'Model Data Inputs'!$E$187),2)</f>
        <v>238.42</v>
      </c>
      <c r="O883" s="171">
        <f t="shared" si="55"/>
        <v>208855.91999999998</v>
      </c>
    </row>
    <row r="884" spans="1:15" x14ac:dyDescent="0.2">
      <c r="A884" s="168">
        <v>877</v>
      </c>
      <c r="B884" s="159">
        <v>666.91305075093771</v>
      </c>
      <c r="C884" s="169">
        <f t="shared" si="52"/>
        <v>584882.74550857232</v>
      </c>
      <c r="D884" s="153"/>
      <c r="E884" s="170">
        <v>877</v>
      </c>
      <c r="F884" s="162">
        <v>238.3295709062692</v>
      </c>
      <c r="G884" s="171">
        <f t="shared" si="53"/>
        <v>209015.03368479808</v>
      </c>
      <c r="I884" s="168">
        <v>877</v>
      </c>
      <c r="J884" s="167">
        <f>ROUND(B884*('Model Data Inputs'!$E$184*'Model Data Inputs'!$E$185*'Model Data Inputs'!$E$186*'Model Data Inputs'!$E$187),2)</f>
        <v>666.91</v>
      </c>
      <c r="K884" s="169">
        <f t="shared" si="54"/>
        <v>584880.06999999995</v>
      </c>
      <c r="L884" s="153"/>
      <c r="M884" s="170">
        <v>877</v>
      </c>
      <c r="N884" s="164">
        <f>ROUND(F884*('Model Data Inputs'!$E$184*'Model Data Inputs'!$E$185*'Model Data Inputs'!$E$186*'Model Data Inputs'!$E$187),2)</f>
        <v>238.33</v>
      </c>
      <c r="O884" s="171">
        <f t="shared" si="55"/>
        <v>209015.41</v>
      </c>
    </row>
    <row r="885" spans="1:15" x14ac:dyDescent="0.2">
      <c r="A885" s="168">
        <v>878</v>
      </c>
      <c r="B885" s="159">
        <v>666.72419509927477</v>
      </c>
      <c r="C885" s="169">
        <f t="shared" si="52"/>
        <v>585383.84329716326</v>
      </c>
      <c r="D885" s="153"/>
      <c r="E885" s="170">
        <v>878</v>
      </c>
      <c r="F885" s="162">
        <v>238.23518470479419</v>
      </c>
      <c r="G885" s="171">
        <f t="shared" si="53"/>
        <v>209170.4921708093</v>
      </c>
      <c r="I885" s="168">
        <v>878</v>
      </c>
      <c r="J885" s="167">
        <f>ROUND(B885*('Model Data Inputs'!$E$184*'Model Data Inputs'!$E$185*'Model Data Inputs'!$E$186*'Model Data Inputs'!$E$187),2)</f>
        <v>666.72</v>
      </c>
      <c r="K885" s="169">
        <f t="shared" si="54"/>
        <v>585380.16</v>
      </c>
      <c r="L885" s="153"/>
      <c r="M885" s="170">
        <v>878</v>
      </c>
      <c r="N885" s="164">
        <f>ROUND(F885*('Model Data Inputs'!$E$184*'Model Data Inputs'!$E$185*'Model Data Inputs'!$E$186*'Model Data Inputs'!$E$187),2)</f>
        <v>238.24</v>
      </c>
      <c r="O885" s="171">
        <f t="shared" si="55"/>
        <v>209174.72</v>
      </c>
    </row>
    <row r="886" spans="1:15" x14ac:dyDescent="0.2">
      <c r="A886" s="168">
        <v>879</v>
      </c>
      <c r="B886" s="159">
        <v>666.53533944761159</v>
      </c>
      <c r="C886" s="169">
        <f t="shared" si="52"/>
        <v>585884.56337445055</v>
      </c>
      <c r="D886" s="153"/>
      <c r="E886" s="170">
        <v>879</v>
      </c>
      <c r="F886" s="162">
        <v>238.14079850331916</v>
      </c>
      <c r="G886" s="171">
        <f t="shared" si="53"/>
        <v>209325.76188441753</v>
      </c>
      <c r="I886" s="168">
        <v>879</v>
      </c>
      <c r="J886" s="167">
        <f>ROUND(B886*('Model Data Inputs'!$E$184*'Model Data Inputs'!$E$185*'Model Data Inputs'!$E$186*'Model Data Inputs'!$E$187),2)</f>
        <v>666.54</v>
      </c>
      <c r="K886" s="169">
        <f t="shared" si="54"/>
        <v>585888.65999999992</v>
      </c>
      <c r="L886" s="153"/>
      <c r="M886" s="170">
        <v>879</v>
      </c>
      <c r="N886" s="164">
        <f>ROUND(F886*('Model Data Inputs'!$E$184*'Model Data Inputs'!$E$185*'Model Data Inputs'!$E$186*'Model Data Inputs'!$E$187),2)</f>
        <v>238.14</v>
      </c>
      <c r="O886" s="171">
        <f t="shared" si="55"/>
        <v>209325.06</v>
      </c>
    </row>
    <row r="887" spans="1:15" x14ac:dyDescent="0.2">
      <c r="A887" s="168">
        <v>880</v>
      </c>
      <c r="B887" s="159">
        <v>666.34648379594864</v>
      </c>
      <c r="C887" s="169">
        <f t="shared" si="52"/>
        <v>586384.90574043477</v>
      </c>
      <c r="D887" s="153"/>
      <c r="E887" s="170">
        <v>880</v>
      </c>
      <c r="F887" s="162">
        <v>238.0464123018441</v>
      </c>
      <c r="G887" s="171">
        <f t="shared" si="53"/>
        <v>209480.84282562282</v>
      </c>
      <c r="I887" s="168">
        <v>880</v>
      </c>
      <c r="J887" s="167">
        <f>ROUND(B887*('Model Data Inputs'!$E$184*'Model Data Inputs'!$E$185*'Model Data Inputs'!$E$186*'Model Data Inputs'!$E$187),2)</f>
        <v>666.35</v>
      </c>
      <c r="K887" s="169">
        <f t="shared" si="54"/>
        <v>586388</v>
      </c>
      <c r="L887" s="153"/>
      <c r="M887" s="170">
        <v>880</v>
      </c>
      <c r="N887" s="164">
        <f>ROUND(F887*('Model Data Inputs'!$E$184*'Model Data Inputs'!$E$185*'Model Data Inputs'!$E$186*'Model Data Inputs'!$E$187),2)</f>
        <v>238.05</v>
      </c>
      <c r="O887" s="171">
        <f t="shared" si="55"/>
        <v>209484</v>
      </c>
    </row>
    <row r="888" spans="1:15" x14ac:dyDescent="0.2">
      <c r="A888" s="168">
        <v>881</v>
      </c>
      <c r="B888" s="159">
        <v>666.15762814428558</v>
      </c>
      <c r="C888" s="169">
        <f t="shared" si="52"/>
        <v>586884.87039511558</v>
      </c>
      <c r="D888" s="153"/>
      <c r="E888" s="170">
        <v>881</v>
      </c>
      <c r="F888" s="162">
        <v>237.9520261003691</v>
      </c>
      <c r="G888" s="171">
        <f t="shared" si="53"/>
        <v>209635.73499442518</v>
      </c>
      <c r="I888" s="168">
        <v>881</v>
      </c>
      <c r="J888" s="167">
        <f>ROUND(B888*('Model Data Inputs'!$E$184*'Model Data Inputs'!$E$185*'Model Data Inputs'!$E$186*'Model Data Inputs'!$E$187),2)</f>
        <v>666.16</v>
      </c>
      <c r="K888" s="169">
        <f t="shared" si="54"/>
        <v>586886.96</v>
      </c>
      <c r="L888" s="153"/>
      <c r="M888" s="170">
        <v>881</v>
      </c>
      <c r="N888" s="164">
        <f>ROUND(F888*('Model Data Inputs'!$E$184*'Model Data Inputs'!$E$185*'Model Data Inputs'!$E$186*'Model Data Inputs'!$E$187),2)</f>
        <v>237.95</v>
      </c>
      <c r="O888" s="171">
        <f t="shared" si="55"/>
        <v>209633.94999999998</v>
      </c>
    </row>
    <row r="889" spans="1:15" x14ac:dyDescent="0.2">
      <c r="A889" s="168">
        <v>882</v>
      </c>
      <c r="B889" s="159">
        <v>665.96877249262241</v>
      </c>
      <c r="C889" s="169">
        <f t="shared" si="52"/>
        <v>587384.45733849297</v>
      </c>
      <c r="D889" s="153"/>
      <c r="E889" s="170">
        <v>882</v>
      </c>
      <c r="F889" s="162">
        <v>237.85763989889401</v>
      </c>
      <c r="G889" s="171">
        <f t="shared" si="53"/>
        <v>209790.43839082451</v>
      </c>
      <c r="I889" s="168">
        <v>882</v>
      </c>
      <c r="J889" s="167">
        <f>ROUND(B889*('Model Data Inputs'!$E$184*'Model Data Inputs'!$E$185*'Model Data Inputs'!$E$186*'Model Data Inputs'!$E$187),2)</f>
        <v>665.97</v>
      </c>
      <c r="K889" s="169">
        <f t="shared" si="54"/>
        <v>587385.54</v>
      </c>
      <c r="L889" s="153"/>
      <c r="M889" s="170">
        <v>882</v>
      </c>
      <c r="N889" s="164">
        <f>ROUND(F889*('Model Data Inputs'!$E$184*'Model Data Inputs'!$E$185*'Model Data Inputs'!$E$186*'Model Data Inputs'!$E$187),2)</f>
        <v>237.86</v>
      </c>
      <c r="O889" s="171">
        <f t="shared" si="55"/>
        <v>209792.52000000002</v>
      </c>
    </row>
    <row r="890" spans="1:15" x14ac:dyDescent="0.2">
      <c r="A890" s="168">
        <v>883</v>
      </c>
      <c r="B890" s="159">
        <v>665.77991684095946</v>
      </c>
      <c r="C890" s="169">
        <f t="shared" si="52"/>
        <v>587883.66657056718</v>
      </c>
      <c r="D890" s="153"/>
      <c r="E890" s="170">
        <v>883</v>
      </c>
      <c r="F890" s="162">
        <v>237.763253697419</v>
      </c>
      <c r="G890" s="171">
        <f t="shared" si="53"/>
        <v>209944.95301482099</v>
      </c>
      <c r="I890" s="168">
        <v>883</v>
      </c>
      <c r="J890" s="167">
        <f>ROUND(B890*('Model Data Inputs'!$E$184*'Model Data Inputs'!$E$185*'Model Data Inputs'!$E$186*'Model Data Inputs'!$E$187),2)</f>
        <v>665.78</v>
      </c>
      <c r="K890" s="169">
        <f t="shared" si="54"/>
        <v>587883.74</v>
      </c>
      <c r="L890" s="153"/>
      <c r="M890" s="170">
        <v>883</v>
      </c>
      <c r="N890" s="164">
        <f>ROUND(F890*('Model Data Inputs'!$E$184*'Model Data Inputs'!$E$185*'Model Data Inputs'!$E$186*'Model Data Inputs'!$E$187),2)</f>
        <v>237.76</v>
      </c>
      <c r="O890" s="171">
        <f t="shared" si="55"/>
        <v>209942.08</v>
      </c>
    </row>
    <row r="891" spans="1:15" x14ac:dyDescent="0.2">
      <c r="A891" s="168">
        <v>884</v>
      </c>
      <c r="B891" s="159">
        <v>665.59106118929617</v>
      </c>
      <c r="C891" s="169">
        <f t="shared" si="52"/>
        <v>588382.49809133785</v>
      </c>
      <c r="D891" s="153"/>
      <c r="E891" s="170">
        <v>884</v>
      </c>
      <c r="F891" s="162">
        <v>237.66886749594397</v>
      </c>
      <c r="G891" s="171">
        <f t="shared" si="53"/>
        <v>210099.27886641448</v>
      </c>
      <c r="I891" s="168">
        <v>884</v>
      </c>
      <c r="J891" s="167">
        <f>ROUND(B891*('Model Data Inputs'!$E$184*'Model Data Inputs'!$E$185*'Model Data Inputs'!$E$186*'Model Data Inputs'!$E$187),2)</f>
        <v>665.59</v>
      </c>
      <c r="K891" s="169">
        <f t="shared" si="54"/>
        <v>588381.56000000006</v>
      </c>
      <c r="L891" s="153"/>
      <c r="M891" s="170">
        <v>884</v>
      </c>
      <c r="N891" s="164">
        <f>ROUND(F891*('Model Data Inputs'!$E$184*'Model Data Inputs'!$E$185*'Model Data Inputs'!$E$186*'Model Data Inputs'!$E$187),2)</f>
        <v>237.67</v>
      </c>
      <c r="O891" s="171">
        <f t="shared" si="55"/>
        <v>210100.28</v>
      </c>
    </row>
    <row r="892" spans="1:15" x14ac:dyDescent="0.2">
      <c r="A892" s="168">
        <v>885</v>
      </c>
      <c r="B892" s="159">
        <v>665.40220553763334</v>
      </c>
      <c r="C892" s="169">
        <f t="shared" si="52"/>
        <v>588880.95190080546</v>
      </c>
      <c r="D892" s="153"/>
      <c r="E892" s="170">
        <v>885</v>
      </c>
      <c r="F892" s="162">
        <v>237.57448129446891</v>
      </c>
      <c r="G892" s="171">
        <f t="shared" si="53"/>
        <v>210253.415945605</v>
      </c>
      <c r="I892" s="168">
        <v>885</v>
      </c>
      <c r="J892" s="167">
        <f>ROUND(B892*('Model Data Inputs'!$E$184*'Model Data Inputs'!$E$185*'Model Data Inputs'!$E$186*'Model Data Inputs'!$E$187),2)</f>
        <v>665.4</v>
      </c>
      <c r="K892" s="169">
        <f t="shared" si="54"/>
        <v>588879</v>
      </c>
      <c r="L892" s="153"/>
      <c r="M892" s="170">
        <v>885</v>
      </c>
      <c r="N892" s="164">
        <f>ROUND(F892*('Model Data Inputs'!$E$184*'Model Data Inputs'!$E$185*'Model Data Inputs'!$E$186*'Model Data Inputs'!$E$187),2)</f>
        <v>237.57</v>
      </c>
      <c r="O892" s="171">
        <f t="shared" si="55"/>
        <v>210249.44999999998</v>
      </c>
    </row>
    <row r="893" spans="1:15" x14ac:dyDescent="0.2">
      <c r="A893" s="168">
        <v>886</v>
      </c>
      <c r="B893" s="159">
        <v>665.21334988597005</v>
      </c>
      <c r="C893" s="169">
        <f t="shared" si="52"/>
        <v>589379.02799896942</v>
      </c>
      <c r="D893" s="153"/>
      <c r="E893" s="170">
        <v>886</v>
      </c>
      <c r="F893" s="162">
        <v>237.48009509299388</v>
      </c>
      <c r="G893" s="171">
        <f t="shared" si="53"/>
        <v>210407.36425239258</v>
      </c>
      <c r="I893" s="168">
        <v>886</v>
      </c>
      <c r="J893" s="167">
        <f>ROUND(B893*('Model Data Inputs'!$E$184*'Model Data Inputs'!$E$185*'Model Data Inputs'!$E$186*'Model Data Inputs'!$E$187),2)</f>
        <v>665.21</v>
      </c>
      <c r="K893" s="169">
        <f t="shared" si="54"/>
        <v>589376.06000000006</v>
      </c>
      <c r="L893" s="153"/>
      <c r="M893" s="170">
        <v>886</v>
      </c>
      <c r="N893" s="164">
        <f>ROUND(F893*('Model Data Inputs'!$E$184*'Model Data Inputs'!$E$185*'Model Data Inputs'!$E$186*'Model Data Inputs'!$E$187),2)</f>
        <v>237.48</v>
      </c>
      <c r="O893" s="171">
        <f t="shared" si="55"/>
        <v>210407.28</v>
      </c>
    </row>
    <row r="894" spans="1:15" x14ac:dyDescent="0.2">
      <c r="A894" s="168">
        <v>887</v>
      </c>
      <c r="B894" s="159">
        <v>665.0244942343071</v>
      </c>
      <c r="C894" s="169">
        <f t="shared" si="52"/>
        <v>589876.72638583044</v>
      </c>
      <c r="D894" s="153"/>
      <c r="E894" s="170">
        <v>887</v>
      </c>
      <c r="F894" s="162">
        <v>237.38570889151885</v>
      </c>
      <c r="G894" s="171">
        <f t="shared" si="53"/>
        <v>210561.12378677723</v>
      </c>
      <c r="I894" s="168">
        <v>887</v>
      </c>
      <c r="J894" s="167">
        <f>ROUND(B894*('Model Data Inputs'!$E$184*'Model Data Inputs'!$E$185*'Model Data Inputs'!$E$186*'Model Data Inputs'!$E$187),2)</f>
        <v>665.02</v>
      </c>
      <c r="K894" s="169">
        <f t="shared" si="54"/>
        <v>589872.74</v>
      </c>
      <c r="L894" s="153"/>
      <c r="M894" s="170">
        <v>887</v>
      </c>
      <c r="N894" s="164">
        <f>ROUND(F894*('Model Data Inputs'!$E$184*'Model Data Inputs'!$E$185*'Model Data Inputs'!$E$186*'Model Data Inputs'!$E$187),2)</f>
        <v>237.39</v>
      </c>
      <c r="O894" s="171">
        <f t="shared" si="55"/>
        <v>210564.93</v>
      </c>
    </row>
    <row r="895" spans="1:15" x14ac:dyDescent="0.2">
      <c r="A895" s="168">
        <v>888</v>
      </c>
      <c r="B895" s="159">
        <v>664.83563858264392</v>
      </c>
      <c r="C895" s="169">
        <f t="shared" si="52"/>
        <v>590374.0470613878</v>
      </c>
      <c r="D895" s="153"/>
      <c r="E895" s="170">
        <v>888</v>
      </c>
      <c r="F895" s="162">
        <v>237.29132269004381</v>
      </c>
      <c r="G895" s="171">
        <f t="shared" si="53"/>
        <v>210714.69454875891</v>
      </c>
      <c r="I895" s="168">
        <v>888</v>
      </c>
      <c r="J895" s="167">
        <f>ROUND(B895*('Model Data Inputs'!$E$184*'Model Data Inputs'!$E$185*'Model Data Inputs'!$E$186*'Model Data Inputs'!$E$187),2)</f>
        <v>664.84</v>
      </c>
      <c r="K895" s="169">
        <f t="shared" si="54"/>
        <v>590377.92000000004</v>
      </c>
      <c r="L895" s="153"/>
      <c r="M895" s="170">
        <v>888</v>
      </c>
      <c r="N895" s="164">
        <f>ROUND(F895*('Model Data Inputs'!$E$184*'Model Data Inputs'!$E$185*'Model Data Inputs'!$E$186*'Model Data Inputs'!$E$187),2)</f>
        <v>237.29</v>
      </c>
      <c r="O895" s="171">
        <f t="shared" si="55"/>
        <v>210713.52</v>
      </c>
    </row>
    <row r="896" spans="1:15" x14ac:dyDescent="0.2">
      <c r="A896" s="168">
        <v>889</v>
      </c>
      <c r="B896" s="159">
        <v>664.64678293098086</v>
      </c>
      <c r="C896" s="169">
        <f t="shared" si="52"/>
        <v>590870.99002564198</v>
      </c>
      <c r="D896" s="153"/>
      <c r="E896" s="170">
        <v>889</v>
      </c>
      <c r="F896" s="162">
        <v>237.19693648856878</v>
      </c>
      <c r="G896" s="171">
        <f t="shared" si="53"/>
        <v>210868.07653833766</v>
      </c>
      <c r="I896" s="168">
        <v>889</v>
      </c>
      <c r="J896" s="167">
        <f>ROUND(B896*('Model Data Inputs'!$E$184*'Model Data Inputs'!$E$185*'Model Data Inputs'!$E$186*'Model Data Inputs'!$E$187),2)</f>
        <v>664.65</v>
      </c>
      <c r="K896" s="169">
        <f t="shared" si="54"/>
        <v>590873.85</v>
      </c>
      <c r="L896" s="153"/>
      <c r="M896" s="170">
        <v>889</v>
      </c>
      <c r="N896" s="164">
        <f>ROUND(F896*('Model Data Inputs'!$E$184*'Model Data Inputs'!$E$185*'Model Data Inputs'!$E$186*'Model Data Inputs'!$E$187),2)</f>
        <v>237.2</v>
      </c>
      <c r="O896" s="171">
        <f t="shared" si="55"/>
        <v>210870.8</v>
      </c>
    </row>
    <row r="897" spans="1:15" x14ac:dyDescent="0.2">
      <c r="A897" s="168">
        <v>890</v>
      </c>
      <c r="B897" s="159">
        <v>664.45792727931757</v>
      </c>
      <c r="C897" s="169">
        <f t="shared" si="52"/>
        <v>591367.55527859263</v>
      </c>
      <c r="D897" s="153"/>
      <c r="E897" s="170">
        <v>890</v>
      </c>
      <c r="F897" s="162">
        <v>237.10255028709372</v>
      </c>
      <c r="G897" s="171">
        <f t="shared" si="53"/>
        <v>211021.26975551341</v>
      </c>
      <c r="I897" s="168">
        <v>890</v>
      </c>
      <c r="J897" s="167">
        <f>ROUND(B897*('Model Data Inputs'!$E$184*'Model Data Inputs'!$E$185*'Model Data Inputs'!$E$186*'Model Data Inputs'!$E$187),2)</f>
        <v>664.46</v>
      </c>
      <c r="K897" s="169">
        <f t="shared" si="54"/>
        <v>591369.4</v>
      </c>
      <c r="L897" s="153"/>
      <c r="M897" s="170">
        <v>890</v>
      </c>
      <c r="N897" s="164">
        <f>ROUND(F897*('Model Data Inputs'!$E$184*'Model Data Inputs'!$E$185*'Model Data Inputs'!$E$186*'Model Data Inputs'!$E$187),2)</f>
        <v>237.1</v>
      </c>
      <c r="O897" s="171">
        <f t="shared" si="55"/>
        <v>211019</v>
      </c>
    </row>
    <row r="898" spans="1:15" x14ac:dyDescent="0.2">
      <c r="A898" s="168">
        <v>891</v>
      </c>
      <c r="B898" s="159">
        <v>664.26907162765463</v>
      </c>
      <c r="C898" s="169">
        <f t="shared" si="52"/>
        <v>591863.74282024032</v>
      </c>
      <c r="D898" s="153"/>
      <c r="E898" s="170">
        <v>891</v>
      </c>
      <c r="F898" s="162">
        <v>237.00816408561872</v>
      </c>
      <c r="G898" s="171">
        <f t="shared" si="53"/>
        <v>211174.27420028628</v>
      </c>
      <c r="I898" s="168">
        <v>891</v>
      </c>
      <c r="J898" s="167">
        <f>ROUND(B898*('Model Data Inputs'!$E$184*'Model Data Inputs'!$E$185*'Model Data Inputs'!$E$186*'Model Data Inputs'!$E$187),2)</f>
        <v>664.27</v>
      </c>
      <c r="K898" s="169">
        <f t="shared" si="54"/>
        <v>591864.56999999995</v>
      </c>
      <c r="L898" s="153"/>
      <c r="M898" s="170">
        <v>891</v>
      </c>
      <c r="N898" s="164">
        <f>ROUND(F898*('Model Data Inputs'!$E$184*'Model Data Inputs'!$E$185*'Model Data Inputs'!$E$186*'Model Data Inputs'!$E$187),2)</f>
        <v>237.01</v>
      </c>
      <c r="O898" s="171">
        <f t="shared" si="55"/>
        <v>211175.91</v>
      </c>
    </row>
    <row r="899" spans="1:15" x14ac:dyDescent="0.2">
      <c r="A899" s="168">
        <v>892</v>
      </c>
      <c r="B899" s="159">
        <v>664.08021597599156</v>
      </c>
      <c r="C899" s="169">
        <f t="shared" si="52"/>
        <v>592359.55265058449</v>
      </c>
      <c r="D899" s="153"/>
      <c r="E899" s="170">
        <v>892</v>
      </c>
      <c r="F899" s="162">
        <v>236.91377788414363</v>
      </c>
      <c r="G899" s="171">
        <f t="shared" si="53"/>
        <v>211327.08987265613</v>
      </c>
      <c r="I899" s="168">
        <v>892</v>
      </c>
      <c r="J899" s="167">
        <f>ROUND(B899*('Model Data Inputs'!$E$184*'Model Data Inputs'!$E$185*'Model Data Inputs'!$E$186*'Model Data Inputs'!$E$187),2)</f>
        <v>664.08</v>
      </c>
      <c r="K899" s="169">
        <f t="shared" si="54"/>
        <v>592359.36</v>
      </c>
      <c r="L899" s="153"/>
      <c r="M899" s="170">
        <v>892</v>
      </c>
      <c r="N899" s="164">
        <f>ROUND(F899*('Model Data Inputs'!$E$184*'Model Data Inputs'!$E$185*'Model Data Inputs'!$E$186*'Model Data Inputs'!$E$187),2)</f>
        <v>236.91</v>
      </c>
      <c r="O899" s="171">
        <f t="shared" si="55"/>
        <v>211323.72</v>
      </c>
    </row>
    <row r="900" spans="1:15" x14ac:dyDescent="0.2">
      <c r="A900" s="168">
        <v>893</v>
      </c>
      <c r="B900" s="159">
        <v>663.89136032432862</v>
      </c>
      <c r="C900" s="169">
        <f t="shared" si="52"/>
        <v>592854.98476962547</v>
      </c>
      <c r="D900" s="153"/>
      <c r="E900" s="170">
        <v>893</v>
      </c>
      <c r="F900" s="162">
        <v>236.81939168266862</v>
      </c>
      <c r="G900" s="171">
        <f t="shared" si="53"/>
        <v>211479.71677262307</v>
      </c>
      <c r="I900" s="168">
        <v>893</v>
      </c>
      <c r="J900" s="167">
        <f>ROUND(B900*('Model Data Inputs'!$E$184*'Model Data Inputs'!$E$185*'Model Data Inputs'!$E$186*'Model Data Inputs'!$E$187),2)</f>
        <v>663.89</v>
      </c>
      <c r="K900" s="169">
        <f t="shared" si="54"/>
        <v>592853.77</v>
      </c>
      <c r="L900" s="153"/>
      <c r="M900" s="170">
        <v>893</v>
      </c>
      <c r="N900" s="164">
        <f>ROUND(F900*('Model Data Inputs'!$E$184*'Model Data Inputs'!$E$185*'Model Data Inputs'!$E$186*'Model Data Inputs'!$E$187),2)</f>
        <v>236.82</v>
      </c>
      <c r="O900" s="171">
        <f t="shared" si="55"/>
        <v>211480.25999999998</v>
      </c>
    </row>
    <row r="901" spans="1:15" x14ac:dyDescent="0.2">
      <c r="A901" s="168">
        <v>894</v>
      </c>
      <c r="B901" s="159">
        <v>663.70250467266555</v>
      </c>
      <c r="C901" s="169">
        <f t="shared" si="52"/>
        <v>593350.03917736304</v>
      </c>
      <c r="D901" s="153"/>
      <c r="E901" s="170">
        <v>894</v>
      </c>
      <c r="F901" s="162">
        <v>236.72500548119359</v>
      </c>
      <c r="G901" s="171">
        <f t="shared" si="53"/>
        <v>211632.15490018707</v>
      </c>
      <c r="I901" s="168">
        <v>894</v>
      </c>
      <c r="J901" s="167">
        <f>ROUND(B901*('Model Data Inputs'!$E$184*'Model Data Inputs'!$E$185*'Model Data Inputs'!$E$186*'Model Data Inputs'!$E$187),2)</f>
        <v>663.7</v>
      </c>
      <c r="K901" s="169">
        <f t="shared" si="54"/>
        <v>593347.80000000005</v>
      </c>
      <c r="L901" s="153"/>
      <c r="M901" s="170">
        <v>894</v>
      </c>
      <c r="N901" s="164">
        <f>ROUND(F901*('Model Data Inputs'!$E$184*'Model Data Inputs'!$E$185*'Model Data Inputs'!$E$186*'Model Data Inputs'!$E$187),2)</f>
        <v>236.73</v>
      </c>
      <c r="O901" s="171">
        <f t="shared" si="55"/>
        <v>211636.62</v>
      </c>
    </row>
    <row r="902" spans="1:15" x14ac:dyDescent="0.2">
      <c r="A902" s="168">
        <v>895</v>
      </c>
      <c r="B902" s="159">
        <v>663.51364902100249</v>
      </c>
      <c r="C902" s="169">
        <f t="shared" si="52"/>
        <v>593844.71587379719</v>
      </c>
      <c r="D902" s="153"/>
      <c r="E902" s="170">
        <v>895</v>
      </c>
      <c r="F902" s="162">
        <v>236.63061927971853</v>
      </c>
      <c r="G902" s="171">
        <f t="shared" si="53"/>
        <v>211784.40425534808</v>
      </c>
      <c r="I902" s="168">
        <v>895</v>
      </c>
      <c r="J902" s="167">
        <f>ROUND(B902*('Model Data Inputs'!$E$184*'Model Data Inputs'!$E$185*'Model Data Inputs'!$E$186*'Model Data Inputs'!$E$187),2)</f>
        <v>663.51</v>
      </c>
      <c r="K902" s="169">
        <f t="shared" si="54"/>
        <v>593841.44999999995</v>
      </c>
      <c r="L902" s="153"/>
      <c r="M902" s="170">
        <v>895</v>
      </c>
      <c r="N902" s="164">
        <f>ROUND(F902*('Model Data Inputs'!$E$184*'Model Data Inputs'!$E$185*'Model Data Inputs'!$E$186*'Model Data Inputs'!$E$187),2)</f>
        <v>236.63</v>
      </c>
      <c r="O902" s="171">
        <f t="shared" si="55"/>
        <v>211783.85</v>
      </c>
    </row>
    <row r="903" spans="1:15" x14ac:dyDescent="0.2">
      <c r="A903" s="168">
        <v>896</v>
      </c>
      <c r="B903" s="159">
        <v>663.3247933693392</v>
      </c>
      <c r="C903" s="169">
        <f t="shared" si="52"/>
        <v>594339.01485892793</v>
      </c>
      <c r="D903" s="153"/>
      <c r="E903" s="170">
        <v>896</v>
      </c>
      <c r="F903" s="162">
        <v>236.53623307824353</v>
      </c>
      <c r="G903" s="171">
        <f t="shared" si="53"/>
        <v>211936.46483810619</v>
      </c>
      <c r="I903" s="168">
        <v>896</v>
      </c>
      <c r="J903" s="167">
        <f>ROUND(B903*('Model Data Inputs'!$E$184*'Model Data Inputs'!$E$185*'Model Data Inputs'!$E$186*'Model Data Inputs'!$E$187),2)</f>
        <v>663.32</v>
      </c>
      <c r="K903" s="169">
        <f t="shared" si="54"/>
        <v>594334.72000000009</v>
      </c>
      <c r="L903" s="153"/>
      <c r="M903" s="170">
        <v>896</v>
      </c>
      <c r="N903" s="164">
        <f>ROUND(F903*('Model Data Inputs'!$E$184*'Model Data Inputs'!$E$185*'Model Data Inputs'!$E$186*'Model Data Inputs'!$E$187),2)</f>
        <v>236.54</v>
      </c>
      <c r="O903" s="171">
        <f t="shared" si="55"/>
        <v>211939.84</v>
      </c>
    </row>
    <row r="904" spans="1:15" x14ac:dyDescent="0.2">
      <c r="A904" s="168">
        <v>897</v>
      </c>
      <c r="B904" s="159">
        <v>663.13593771767603</v>
      </c>
      <c r="C904" s="169">
        <f t="shared" ref="C904:C967" si="56">A904*B904</f>
        <v>594832.93613275536</v>
      </c>
      <c r="D904" s="153"/>
      <c r="E904" s="170">
        <v>897</v>
      </c>
      <c r="F904" s="162">
        <v>236.44184687676847</v>
      </c>
      <c r="G904" s="171">
        <f t="shared" ref="G904:G967" si="57">E904*F904</f>
        <v>212088.33664846132</v>
      </c>
      <c r="I904" s="168">
        <v>897</v>
      </c>
      <c r="J904" s="167">
        <f>ROUND(B904*('Model Data Inputs'!$E$184*'Model Data Inputs'!$E$185*'Model Data Inputs'!$E$186*'Model Data Inputs'!$E$187),2)</f>
        <v>663.14</v>
      </c>
      <c r="K904" s="169">
        <f t="shared" ref="K904:K967" si="58">I904*J904</f>
        <v>594836.57999999996</v>
      </c>
      <c r="L904" s="153"/>
      <c r="M904" s="170">
        <v>897</v>
      </c>
      <c r="N904" s="164">
        <f>ROUND(F904*('Model Data Inputs'!$E$184*'Model Data Inputs'!$E$185*'Model Data Inputs'!$E$186*'Model Data Inputs'!$E$187),2)</f>
        <v>236.44</v>
      </c>
      <c r="O904" s="171">
        <f t="shared" ref="O904:O967" si="59">M904*N904</f>
        <v>212086.68</v>
      </c>
    </row>
    <row r="905" spans="1:15" x14ac:dyDescent="0.2">
      <c r="A905" s="168">
        <v>898</v>
      </c>
      <c r="B905" s="159">
        <v>662.94708206601297</v>
      </c>
      <c r="C905" s="169">
        <f t="shared" si="56"/>
        <v>595326.47969527962</v>
      </c>
      <c r="D905" s="153"/>
      <c r="E905" s="170">
        <v>898</v>
      </c>
      <c r="F905" s="162">
        <v>236.34746067529346</v>
      </c>
      <c r="G905" s="171">
        <f t="shared" si="57"/>
        <v>212240.01968641352</v>
      </c>
      <c r="I905" s="168">
        <v>898</v>
      </c>
      <c r="J905" s="167">
        <f>ROUND(B905*('Model Data Inputs'!$E$184*'Model Data Inputs'!$E$185*'Model Data Inputs'!$E$186*'Model Data Inputs'!$E$187),2)</f>
        <v>662.95</v>
      </c>
      <c r="K905" s="169">
        <f t="shared" si="58"/>
        <v>595329.10000000009</v>
      </c>
      <c r="L905" s="153"/>
      <c r="M905" s="170">
        <v>898</v>
      </c>
      <c r="N905" s="164">
        <f>ROUND(F905*('Model Data Inputs'!$E$184*'Model Data Inputs'!$E$185*'Model Data Inputs'!$E$186*'Model Data Inputs'!$E$187),2)</f>
        <v>236.35</v>
      </c>
      <c r="O905" s="171">
        <f t="shared" si="59"/>
        <v>212242.3</v>
      </c>
    </row>
    <row r="906" spans="1:15" x14ac:dyDescent="0.2">
      <c r="A906" s="168">
        <v>899</v>
      </c>
      <c r="B906" s="159">
        <v>662.75822641435002</v>
      </c>
      <c r="C906" s="169">
        <f t="shared" si="56"/>
        <v>595819.64554650069</v>
      </c>
      <c r="D906" s="153"/>
      <c r="E906" s="170">
        <v>899</v>
      </c>
      <c r="F906" s="162">
        <v>236.2530744738184</v>
      </c>
      <c r="G906" s="171">
        <f t="shared" si="57"/>
        <v>212391.51395196276</v>
      </c>
      <c r="I906" s="168">
        <v>899</v>
      </c>
      <c r="J906" s="167">
        <f>ROUND(B906*('Model Data Inputs'!$E$184*'Model Data Inputs'!$E$185*'Model Data Inputs'!$E$186*'Model Data Inputs'!$E$187),2)</f>
        <v>662.76</v>
      </c>
      <c r="K906" s="169">
        <f t="shared" si="58"/>
        <v>595821.24</v>
      </c>
      <c r="L906" s="153"/>
      <c r="M906" s="170">
        <v>899</v>
      </c>
      <c r="N906" s="164">
        <f>ROUND(F906*('Model Data Inputs'!$E$184*'Model Data Inputs'!$E$185*'Model Data Inputs'!$E$186*'Model Data Inputs'!$E$187),2)</f>
        <v>236.25</v>
      </c>
      <c r="O906" s="171">
        <f t="shared" si="59"/>
        <v>212388.75</v>
      </c>
    </row>
    <row r="907" spans="1:15" x14ac:dyDescent="0.2">
      <c r="A907" s="168">
        <v>900</v>
      </c>
      <c r="B907" s="159">
        <v>662.56937076268696</v>
      </c>
      <c r="C907" s="169">
        <f t="shared" si="56"/>
        <v>596312.43368641823</v>
      </c>
      <c r="D907" s="153"/>
      <c r="E907" s="170">
        <v>900</v>
      </c>
      <c r="F907" s="162">
        <v>236.15868827234337</v>
      </c>
      <c r="G907" s="171">
        <f t="shared" si="57"/>
        <v>212542.81944510902</v>
      </c>
      <c r="I907" s="168">
        <v>900</v>
      </c>
      <c r="J907" s="167">
        <f>ROUND(B907*('Model Data Inputs'!$E$184*'Model Data Inputs'!$E$185*'Model Data Inputs'!$E$186*'Model Data Inputs'!$E$187),2)</f>
        <v>662.57</v>
      </c>
      <c r="K907" s="169">
        <f t="shared" si="58"/>
        <v>596313</v>
      </c>
      <c r="L907" s="153"/>
      <c r="M907" s="170">
        <v>900</v>
      </c>
      <c r="N907" s="164">
        <f>ROUND(F907*('Model Data Inputs'!$E$184*'Model Data Inputs'!$E$185*'Model Data Inputs'!$E$186*'Model Data Inputs'!$E$187),2)</f>
        <v>236.16</v>
      </c>
      <c r="O907" s="171">
        <f t="shared" si="59"/>
        <v>212544</v>
      </c>
    </row>
    <row r="908" spans="1:15" x14ac:dyDescent="0.2">
      <c r="A908" s="168">
        <v>901</v>
      </c>
      <c r="B908" s="159">
        <v>662.38051511102378</v>
      </c>
      <c r="C908" s="169">
        <f t="shared" si="56"/>
        <v>596804.84411503247</v>
      </c>
      <c r="D908" s="153"/>
      <c r="E908" s="170">
        <v>901</v>
      </c>
      <c r="F908" s="162">
        <v>236.06430207086834</v>
      </c>
      <c r="G908" s="171">
        <f t="shared" si="57"/>
        <v>212693.93616585238</v>
      </c>
      <c r="I908" s="168">
        <v>901</v>
      </c>
      <c r="J908" s="167">
        <f>ROUND(B908*('Model Data Inputs'!$E$184*'Model Data Inputs'!$E$185*'Model Data Inputs'!$E$186*'Model Data Inputs'!$E$187),2)</f>
        <v>662.38</v>
      </c>
      <c r="K908" s="169">
        <f t="shared" si="58"/>
        <v>596804.38</v>
      </c>
      <c r="L908" s="153"/>
      <c r="M908" s="170">
        <v>901</v>
      </c>
      <c r="N908" s="164">
        <f>ROUND(F908*('Model Data Inputs'!$E$184*'Model Data Inputs'!$E$185*'Model Data Inputs'!$E$186*'Model Data Inputs'!$E$187),2)</f>
        <v>236.06</v>
      </c>
      <c r="O908" s="171">
        <f t="shared" si="59"/>
        <v>212690.06</v>
      </c>
    </row>
    <row r="909" spans="1:15" x14ac:dyDescent="0.2">
      <c r="A909" s="168">
        <v>902</v>
      </c>
      <c r="B909" s="159">
        <v>662.19165945936061</v>
      </c>
      <c r="C909" s="169">
        <f t="shared" si="56"/>
        <v>597296.87683234329</v>
      </c>
      <c r="D909" s="153"/>
      <c r="E909" s="170">
        <v>902</v>
      </c>
      <c r="F909" s="162">
        <v>235.9699158693933</v>
      </c>
      <c r="G909" s="171">
        <f t="shared" si="57"/>
        <v>212844.86411419275</v>
      </c>
      <c r="I909" s="168">
        <v>902</v>
      </c>
      <c r="J909" s="167">
        <f>ROUND(B909*('Model Data Inputs'!$E$184*'Model Data Inputs'!$E$185*'Model Data Inputs'!$E$186*'Model Data Inputs'!$E$187),2)</f>
        <v>662.19</v>
      </c>
      <c r="K909" s="169">
        <f t="shared" si="58"/>
        <v>597295.38</v>
      </c>
      <c r="L909" s="153"/>
      <c r="M909" s="170">
        <v>902</v>
      </c>
      <c r="N909" s="164">
        <f>ROUND(F909*('Model Data Inputs'!$E$184*'Model Data Inputs'!$E$185*'Model Data Inputs'!$E$186*'Model Data Inputs'!$E$187),2)</f>
        <v>235.97</v>
      </c>
      <c r="O909" s="171">
        <f t="shared" si="59"/>
        <v>212844.94</v>
      </c>
    </row>
    <row r="910" spans="1:15" x14ac:dyDescent="0.2">
      <c r="A910" s="168">
        <v>903</v>
      </c>
      <c r="B910" s="159">
        <v>662.00280380769755</v>
      </c>
      <c r="C910" s="169">
        <f t="shared" si="56"/>
        <v>597788.53183835093</v>
      </c>
      <c r="D910" s="153"/>
      <c r="E910" s="170">
        <v>903</v>
      </c>
      <c r="F910" s="162">
        <v>235.87552966791827</v>
      </c>
      <c r="G910" s="171">
        <f t="shared" si="57"/>
        <v>212995.60329013021</v>
      </c>
      <c r="I910" s="168">
        <v>903</v>
      </c>
      <c r="J910" s="167">
        <f>ROUND(B910*('Model Data Inputs'!$E$184*'Model Data Inputs'!$E$185*'Model Data Inputs'!$E$186*'Model Data Inputs'!$E$187),2)</f>
        <v>662</v>
      </c>
      <c r="K910" s="169">
        <f t="shared" si="58"/>
        <v>597786</v>
      </c>
      <c r="L910" s="153"/>
      <c r="M910" s="170">
        <v>903</v>
      </c>
      <c r="N910" s="164">
        <f>ROUND(F910*('Model Data Inputs'!$E$184*'Model Data Inputs'!$E$185*'Model Data Inputs'!$E$186*'Model Data Inputs'!$E$187),2)</f>
        <v>235.88</v>
      </c>
      <c r="O910" s="171">
        <f t="shared" si="59"/>
        <v>212999.63999999998</v>
      </c>
    </row>
    <row r="911" spans="1:15" x14ac:dyDescent="0.2">
      <c r="A911" s="168">
        <v>904</v>
      </c>
      <c r="B911" s="159">
        <v>661.81394815603448</v>
      </c>
      <c r="C911" s="169">
        <f t="shared" si="56"/>
        <v>598279.80913305515</v>
      </c>
      <c r="D911" s="153"/>
      <c r="E911" s="170">
        <v>904</v>
      </c>
      <c r="F911" s="162">
        <v>235.78114346644318</v>
      </c>
      <c r="G911" s="171">
        <f t="shared" si="57"/>
        <v>213146.15369366464</v>
      </c>
      <c r="I911" s="168">
        <v>904</v>
      </c>
      <c r="J911" s="167">
        <f>ROUND(B911*('Model Data Inputs'!$E$184*'Model Data Inputs'!$E$185*'Model Data Inputs'!$E$186*'Model Data Inputs'!$E$187),2)</f>
        <v>661.81</v>
      </c>
      <c r="K911" s="169">
        <f t="shared" si="58"/>
        <v>598276.24</v>
      </c>
      <c r="L911" s="153"/>
      <c r="M911" s="170">
        <v>904</v>
      </c>
      <c r="N911" s="164">
        <f>ROUND(F911*('Model Data Inputs'!$E$184*'Model Data Inputs'!$E$185*'Model Data Inputs'!$E$186*'Model Data Inputs'!$E$187),2)</f>
        <v>235.78</v>
      </c>
      <c r="O911" s="171">
        <f t="shared" si="59"/>
        <v>213145.12</v>
      </c>
    </row>
    <row r="912" spans="1:15" x14ac:dyDescent="0.2">
      <c r="A912" s="168">
        <v>905</v>
      </c>
      <c r="B912" s="159">
        <v>661.62509250437142</v>
      </c>
      <c r="C912" s="169">
        <f t="shared" si="56"/>
        <v>598770.70871645608</v>
      </c>
      <c r="D912" s="153"/>
      <c r="E912" s="170">
        <v>905</v>
      </c>
      <c r="F912" s="162">
        <v>235.68675726496812</v>
      </c>
      <c r="G912" s="171">
        <f t="shared" si="57"/>
        <v>213296.51532479614</v>
      </c>
      <c r="I912" s="168">
        <v>905</v>
      </c>
      <c r="J912" s="167">
        <f>ROUND(B912*('Model Data Inputs'!$E$184*'Model Data Inputs'!$E$185*'Model Data Inputs'!$E$186*'Model Data Inputs'!$E$187),2)</f>
        <v>661.63</v>
      </c>
      <c r="K912" s="169">
        <f t="shared" si="58"/>
        <v>598775.15</v>
      </c>
      <c r="L912" s="153"/>
      <c r="M912" s="170">
        <v>905</v>
      </c>
      <c r="N912" s="164">
        <f>ROUND(F912*('Model Data Inputs'!$E$184*'Model Data Inputs'!$E$185*'Model Data Inputs'!$E$186*'Model Data Inputs'!$E$187),2)</f>
        <v>235.69</v>
      </c>
      <c r="O912" s="171">
        <f t="shared" si="59"/>
        <v>213299.45</v>
      </c>
    </row>
    <row r="913" spans="1:15" x14ac:dyDescent="0.2">
      <c r="A913" s="168">
        <v>906</v>
      </c>
      <c r="B913" s="159">
        <v>661.43623685270836</v>
      </c>
      <c r="C913" s="169">
        <f t="shared" si="56"/>
        <v>599261.23058855382</v>
      </c>
      <c r="D913" s="153"/>
      <c r="E913" s="170">
        <v>906</v>
      </c>
      <c r="F913" s="162">
        <v>235.59237106349303</v>
      </c>
      <c r="G913" s="171">
        <f t="shared" si="57"/>
        <v>213446.68818352467</v>
      </c>
      <c r="I913" s="168">
        <v>906</v>
      </c>
      <c r="J913" s="167">
        <f>ROUND(B913*('Model Data Inputs'!$E$184*'Model Data Inputs'!$E$185*'Model Data Inputs'!$E$186*'Model Data Inputs'!$E$187),2)</f>
        <v>661.44</v>
      </c>
      <c r="K913" s="169">
        <f t="shared" si="58"/>
        <v>599264.64</v>
      </c>
      <c r="L913" s="153"/>
      <c r="M913" s="170">
        <v>906</v>
      </c>
      <c r="N913" s="164">
        <f>ROUND(F913*('Model Data Inputs'!$E$184*'Model Data Inputs'!$E$185*'Model Data Inputs'!$E$186*'Model Data Inputs'!$E$187),2)</f>
        <v>235.59</v>
      </c>
      <c r="O913" s="171">
        <f t="shared" si="59"/>
        <v>213444.54</v>
      </c>
    </row>
    <row r="914" spans="1:15" x14ac:dyDescent="0.2">
      <c r="A914" s="168">
        <v>907</v>
      </c>
      <c r="B914" s="159">
        <v>661.24738120104541</v>
      </c>
      <c r="C914" s="169">
        <f t="shared" si="56"/>
        <v>599751.37474934815</v>
      </c>
      <c r="D914" s="153"/>
      <c r="E914" s="170">
        <v>907</v>
      </c>
      <c r="F914" s="162">
        <v>235.49798486201803</v>
      </c>
      <c r="G914" s="171">
        <f t="shared" si="57"/>
        <v>213596.67226985036</v>
      </c>
      <c r="I914" s="168">
        <v>907</v>
      </c>
      <c r="J914" s="167">
        <f>ROUND(B914*('Model Data Inputs'!$E$184*'Model Data Inputs'!$E$185*'Model Data Inputs'!$E$186*'Model Data Inputs'!$E$187),2)</f>
        <v>661.25</v>
      </c>
      <c r="K914" s="169">
        <f t="shared" si="58"/>
        <v>599753.75</v>
      </c>
      <c r="L914" s="153"/>
      <c r="M914" s="170">
        <v>907</v>
      </c>
      <c r="N914" s="164">
        <f>ROUND(F914*('Model Data Inputs'!$E$184*'Model Data Inputs'!$E$185*'Model Data Inputs'!$E$186*'Model Data Inputs'!$E$187),2)</f>
        <v>235.5</v>
      </c>
      <c r="O914" s="171">
        <f t="shared" si="59"/>
        <v>213598.5</v>
      </c>
    </row>
    <row r="915" spans="1:15" x14ac:dyDescent="0.2">
      <c r="A915" s="168">
        <v>908</v>
      </c>
      <c r="B915" s="159">
        <v>661.05852554938235</v>
      </c>
      <c r="C915" s="169">
        <f t="shared" si="56"/>
        <v>600241.14119883918</v>
      </c>
      <c r="D915" s="153"/>
      <c r="E915" s="170">
        <v>908</v>
      </c>
      <c r="F915" s="162">
        <v>235.40359866054305</v>
      </c>
      <c r="G915" s="171">
        <f t="shared" si="57"/>
        <v>213746.4675837731</v>
      </c>
      <c r="I915" s="168">
        <v>908</v>
      </c>
      <c r="J915" s="167">
        <f>ROUND(B915*('Model Data Inputs'!$E$184*'Model Data Inputs'!$E$185*'Model Data Inputs'!$E$186*'Model Data Inputs'!$E$187),2)</f>
        <v>661.06</v>
      </c>
      <c r="K915" s="169">
        <f t="shared" si="58"/>
        <v>600242.48</v>
      </c>
      <c r="L915" s="153"/>
      <c r="M915" s="170">
        <v>908</v>
      </c>
      <c r="N915" s="164">
        <f>ROUND(F915*('Model Data Inputs'!$E$184*'Model Data Inputs'!$E$185*'Model Data Inputs'!$E$186*'Model Data Inputs'!$E$187),2)</f>
        <v>235.4</v>
      </c>
      <c r="O915" s="171">
        <f t="shared" si="59"/>
        <v>213743.2</v>
      </c>
    </row>
    <row r="916" spans="1:15" x14ac:dyDescent="0.2">
      <c r="A916" s="168">
        <v>909</v>
      </c>
      <c r="B916" s="159">
        <v>660.86966989771918</v>
      </c>
      <c r="C916" s="169">
        <f t="shared" si="56"/>
        <v>600730.52993702679</v>
      </c>
      <c r="D916" s="153"/>
      <c r="E916" s="170">
        <v>909</v>
      </c>
      <c r="F916" s="162">
        <v>235.30921245906799</v>
      </c>
      <c r="G916" s="171">
        <f t="shared" si="57"/>
        <v>213896.0741252928</v>
      </c>
      <c r="I916" s="168">
        <v>909</v>
      </c>
      <c r="J916" s="167">
        <f>ROUND(B916*('Model Data Inputs'!$E$184*'Model Data Inputs'!$E$185*'Model Data Inputs'!$E$186*'Model Data Inputs'!$E$187),2)</f>
        <v>660.87</v>
      </c>
      <c r="K916" s="169">
        <f t="shared" si="58"/>
        <v>600730.82999999996</v>
      </c>
      <c r="L916" s="153"/>
      <c r="M916" s="170">
        <v>909</v>
      </c>
      <c r="N916" s="164">
        <f>ROUND(F916*('Model Data Inputs'!$E$184*'Model Data Inputs'!$E$185*'Model Data Inputs'!$E$186*'Model Data Inputs'!$E$187),2)</f>
        <v>235.31</v>
      </c>
      <c r="O916" s="171">
        <f t="shared" si="59"/>
        <v>213896.79</v>
      </c>
    </row>
    <row r="917" spans="1:15" x14ac:dyDescent="0.2">
      <c r="A917" s="168">
        <v>910</v>
      </c>
      <c r="B917" s="159">
        <v>660.68081424605612</v>
      </c>
      <c r="C917" s="169">
        <f t="shared" si="56"/>
        <v>601219.5409639111</v>
      </c>
      <c r="D917" s="153"/>
      <c r="E917" s="170">
        <v>910</v>
      </c>
      <c r="F917" s="162">
        <v>235.21482625759302</v>
      </c>
      <c r="G917" s="171">
        <f t="shared" si="57"/>
        <v>214045.49189440964</v>
      </c>
      <c r="I917" s="168">
        <v>910</v>
      </c>
      <c r="J917" s="167">
        <f>ROUND(B917*('Model Data Inputs'!$E$184*'Model Data Inputs'!$E$185*'Model Data Inputs'!$E$186*'Model Data Inputs'!$E$187),2)</f>
        <v>660.68</v>
      </c>
      <c r="K917" s="169">
        <f t="shared" si="58"/>
        <v>601218.79999999993</v>
      </c>
      <c r="L917" s="153"/>
      <c r="M917" s="170">
        <v>910</v>
      </c>
      <c r="N917" s="164">
        <f>ROUND(F917*('Model Data Inputs'!$E$184*'Model Data Inputs'!$E$185*'Model Data Inputs'!$E$186*'Model Data Inputs'!$E$187),2)</f>
        <v>235.21</v>
      </c>
      <c r="O917" s="171">
        <f t="shared" si="59"/>
        <v>214041.1</v>
      </c>
    </row>
    <row r="918" spans="1:15" x14ac:dyDescent="0.2">
      <c r="A918" s="168">
        <v>911</v>
      </c>
      <c r="B918" s="159">
        <v>660.49195859439305</v>
      </c>
      <c r="C918" s="169">
        <f t="shared" si="56"/>
        <v>601708.17427949212</v>
      </c>
      <c r="D918" s="153"/>
      <c r="E918" s="170">
        <v>911</v>
      </c>
      <c r="F918" s="162">
        <v>235.12044005611796</v>
      </c>
      <c r="G918" s="171">
        <f t="shared" si="57"/>
        <v>214194.72089112346</v>
      </c>
      <c r="I918" s="168">
        <v>911</v>
      </c>
      <c r="J918" s="167">
        <f>ROUND(B918*('Model Data Inputs'!$E$184*'Model Data Inputs'!$E$185*'Model Data Inputs'!$E$186*'Model Data Inputs'!$E$187),2)</f>
        <v>660.49</v>
      </c>
      <c r="K918" s="169">
        <f t="shared" si="58"/>
        <v>601706.39</v>
      </c>
      <c r="L918" s="153"/>
      <c r="M918" s="170">
        <v>911</v>
      </c>
      <c r="N918" s="164">
        <f>ROUND(F918*('Model Data Inputs'!$E$184*'Model Data Inputs'!$E$185*'Model Data Inputs'!$E$186*'Model Data Inputs'!$E$187),2)</f>
        <v>235.12</v>
      </c>
      <c r="O918" s="171">
        <f t="shared" si="59"/>
        <v>214194.32</v>
      </c>
    </row>
    <row r="919" spans="1:15" x14ac:dyDescent="0.2">
      <c r="A919" s="168">
        <v>912</v>
      </c>
      <c r="B919" s="159">
        <v>660.30310294272999</v>
      </c>
      <c r="C919" s="169">
        <f t="shared" si="56"/>
        <v>602196.42988376971</v>
      </c>
      <c r="D919" s="153"/>
      <c r="E919" s="170">
        <v>912</v>
      </c>
      <c r="F919" s="162">
        <v>235.02605385464292</v>
      </c>
      <c r="G919" s="171">
        <f t="shared" si="57"/>
        <v>214343.76111543435</v>
      </c>
      <c r="I919" s="168">
        <v>912</v>
      </c>
      <c r="J919" s="167">
        <f>ROUND(B919*('Model Data Inputs'!$E$184*'Model Data Inputs'!$E$185*'Model Data Inputs'!$E$186*'Model Data Inputs'!$E$187),2)</f>
        <v>660.3</v>
      </c>
      <c r="K919" s="169">
        <f t="shared" si="58"/>
        <v>602193.6</v>
      </c>
      <c r="L919" s="153"/>
      <c r="M919" s="170">
        <v>912</v>
      </c>
      <c r="N919" s="164">
        <f>ROUND(F919*('Model Data Inputs'!$E$184*'Model Data Inputs'!$E$185*'Model Data Inputs'!$E$186*'Model Data Inputs'!$E$187),2)</f>
        <v>235.03</v>
      </c>
      <c r="O919" s="171">
        <f t="shared" si="59"/>
        <v>214347.36000000002</v>
      </c>
    </row>
    <row r="920" spans="1:15" x14ac:dyDescent="0.2">
      <c r="A920" s="168">
        <v>913</v>
      </c>
      <c r="B920" s="159">
        <v>660.11424729106704</v>
      </c>
      <c r="C920" s="169">
        <f t="shared" si="56"/>
        <v>602684.30777674424</v>
      </c>
      <c r="D920" s="153"/>
      <c r="E920" s="170">
        <v>913</v>
      </c>
      <c r="F920" s="162">
        <v>234.93166765316789</v>
      </c>
      <c r="G920" s="171">
        <f t="shared" si="57"/>
        <v>214492.61256734229</v>
      </c>
      <c r="I920" s="168">
        <v>913</v>
      </c>
      <c r="J920" s="167">
        <f>ROUND(B920*('Model Data Inputs'!$E$184*'Model Data Inputs'!$E$185*'Model Data Inputs'!$E$186*'Model Data Inputs'!$E$187),2)</f>
        <v>660.11</v>
      </c>
      <c r="K920" s="169">
        <f t="shared" si="58"/>
        <v>602680.43000000005</v>
      </c>
      <c r="L920" s="153"/>
      <c r="M920" s="170">
        <v>913</v>
      </c>
      <c r="N920" s="164">
        <f>ROUND(F920*('Model Data Inputs'!$E$184*'Model Data Inputs'!$E$185*'Model Data Inputs'!$E$186*'Model Data Inputs'!$E$187),2)</f>
        <v>234.93</v>
      </c>
      <c r="O920" s="171">
        <f t="shared" si="59"/>
        <v>214491.09</v>
      </c>
    </row>
    <row r="921" spans="1:15" x14ac:dyDescent="0.2">
      <c r="A921" s="168">
        <v>914</v>
      </c>
      <c r="B921" s="159">
        <v>659.92539163940376</v>
      </c>
      <c r="C921" s="169">
        <f t="shared" si="56"/>
        <v>603171.80795841501</v>
      </c>
      <c r="D921" s="153"/>
      <c r="E921" s="170">
        <v>914</v>
      </c>
      <c r="F921" s="162">
        <v>234.8372814516928</v>
      </c>
      <c r="G921" s="171">
        <f t="shared" si="57"/>
        <v>214641.27524684722</v>
      </c>
      <c r="I921" s="168">
        <v>914</v>
      </c>
      <c r="J921" s="167">
        <f>ROUND(B921*('Model Data Inputs'!$E$184*'Model Data Inputs'!$E$185*'Model Data Inputs'!$E$186*'Model Data Inputs'!$E$187),2)</f>
        <v>659.93</v>
      </c>
      <c r="K921" s="169">
        <f t="shared" si="58"/>
        <v>603176.0199999999</v>
      </c>
      <c r="L921" s="153"/>
      <c r="M921" s="170">
        <v>914</v>
      </c>
      <c r="N921" s="164">
        <f>ROUND(F921*('Model Data Inputs'!$E$184*'Model Data Inputs'!$E$185*'Model Data Inputs'!$E$186*'Model Data Inputs'!$E$187),2)</f>
        <v>234.84</v>
      </c>
      <c r="O921" s="171">
        <f t="shared" si="59"/>
        <v>214643.76</v>
      </c>
    </row>
    <row r="922" spans="1:15" x14ac:dyDescent="0.2">
      <c r="A922" s="168">
        <v>915</v>
      </c>
      <c r="B922" s="159">
        <v>659.73653598774058</v>
      </c>
      <c r="C922" s="169">
        <f t="shared" si="56"/>
        <v>603658.93042878259</v>
      </c>
      <c r="D922" s="153"/>
      <c r="E922" s="170">
        <v>915</v>
      </c>
      <c r="F922" s="162">
        <v>234.74289525021777</v>
      </c>
      <c r="G922" s="171">
        <f t="shared" si="57"/>
        <v>214789.74915394926</v>
      </c>
      <c r="I922" s="168">
        <v>915</v>
      </c>
      <c r="J922" s="167">
        <f>ROUND(B922*('Model Data Inputs'!$E$184*'Model Data Inputs'!$E$185*'Model Data Inputs'!$E$186*'Model Data Inputs'!$E$187),2)</f>
        <v>659.74</v>
      </c>
      <c r="K922" s="169">
        <f t="shared" si="58"/>
        <v>603662.1</v>
      </c>
      <c r="L922" s="153"/>
      <c r="M922" s="170">
        <v>915</v>
      </c>
      <c r="N922" s="164">
        <f>ROUND(F922*('Model Data Inputs'!$E$184*'Model Data Inputs'!$E$185*'Model Data Inputs'!$E$186*'Model Data Inputs'!$E$187),2)</f>
        <v>234.74</v>
      </c>
      <c r="O922" s="171">
        <f t="shared" si="59"/>
        <v>214787.1</v>
      </c>
    </row>
    <row r="923" spans="1:15" x14ac:dyDescent="0.2">
      <c r="A923" s="168">
        <v>916</v>
      </c>
      <c r="B923" s="159">
        <v>659.54768033607741</v>
      </c>
      <c r="C923" s="169">
        <f t="shared" si="56"/>
        <v>604145.67518784688</v>
      </c>
      <c r="D923" s="153"/>
      <c r="E923" s="170">
        <v>916</v>
      </c>
      <c r="F923" s="162">
        <v>234.64850904874274</v>
      </c>
      <c r="G923" s="171">
        <f t="shared" si="57"/>
        <v>214938.03428864834</v>
      </c>
      <c r="I923" s="168">
        <v>916</v>
      </c>
      <c r="J923" s="167">
        <f>ROUND(B923*('Model Data Inputs'!$E$184*'Model Data Inputs'!$E$185*'Model Data Inputs'!$E$186*'Model Data Inputs'!$E$187),2)</f>
        <v>659.55</v>
      </c>
      <c r="K923" s="169">
        <f t="shared" si="58"/>
        <v>604147.79999999993</v>
      </c>
      <c r="L923" s="153"/>
      <c r="M923" s="170">
        <v>916</v>
      </c>
      <c r="N923" s="164">
        <f>ROUND(F923*('Model Data Inputs'!$E$184*'Model Data Inputs'!$E$185*'Model Data Inputs'!$E$186*'Model Data Inputs'!$E$187),2)</f>
        <v>234.65</v>
      </c>
      <c r="O923" s="171">
        <f t="shared" si="59"/>
        <v>214939.4</v>
      </c>
    </row>
    <row r="924" spans="1:15" x14ac:dyDescent="0.2">
      <c r="A924" s="168">
        <v>917</v>
      </c>
      <c r="B924" s="159">
        <v>659.35882468441434</v>
      </c>
      <c r="C924" s="169">
        <f t="shared" si="56"/>
        <v>604632.04223560798</v>
      </c>
      <c r="D924" s="153"/>
      <c r="E924" s="170">
        <v>917</v>
      </c>
      <c r="F924" s="162">
        <v>234.55412284726771</v>
      </c>
      <c r="G924" s="171">
        <f t="shared" si="57"/>
        <v>215086.13065094448</v>
      </c>
      <c r="I924" s="168">
        <v>917</v>
      </c>
      <c r="J924" s="167">
        <f>ROUND(B924*('Model Data Inputs'!$E$184*'Model Data Inputs'!$E$185*'Model Data Inputs'!$E$186*'Model Data Inputs'!$E$187),2)</f>
        <v>659.36</v>
      </c>
      <c r="K924" s="169">
        <f t="shared" si="58"/>
        <v>604633.12</v>
      </c>
      <c r="L924" s="153"/>
      <c r="M924" s="170">
        <v>917</v>
      </c>
      <c r="N924" s="164">
        <f>ROUND(F924*('Model Data Inputs'!$E$184*'Model Data Inputs'!$E$185*'Model Data Inputs'!$E$186*'Model Data Inputs'!$E$187),2)</f>
        <v>234.55</v>
      </c>
      <c r="O924" s="171">
        <f t="shared" si="59"/>
        <v>215082.35</v>
      </c>
    </row>
    <row r="925" spans="1:15" x14ac:dyDescent="0.2">
      <c r="A925" s="168">
        <v>918</v>
      </c>
      <c r="B925" s="159">
        <v>659.1699690327514</v>
      </c>
      <c r="C925" s="169">
        <f t="shared" si="56"/>
        <v>605118.03157206578</v>
      </c>
      <c r="D925" s="153"/>
      <c r="E925" s="170">
        <v>918</v>
      </c>
      <c r="F925" s="162">
        <v>234.45973664579267</v>
      </c>
      <c r="G925" s="171">
        <f t="shared" si="57"/>
        <v>215234.03824083766</v>
      </c>
      <c r="I925" s="168">
        <v>918</v>
      </c>
      <c r="J925" s="167">
        <f>ROUND(B925*('Model Data Inputs'!$E$184*'Model Data Inputs'!$E$185*'Model Data Inputs'!$E$186*'Model Data Inputs'!$E$187),2)</f>
        <v>659.17</v>
      </c>
      <c r="K925" s="169">
        <f t="shared" si="58"/>
        <v>605118.05999999994</v>
      </c>
      <c r="L925" s="153"/>
      <c r="M925" s="170">
        <v>918</v>
      </c>
      <c r="N925" s="164">
        <f>ROUND(F925*('Model Data Inputs'!$E$184*'Model Data Inputs'!$E$185*'Model Data Inputs'!$E$186*'Model Data Inputs'!$E$187),2)</f>
        <v>234.46</v>
      </c>
      <c r="O925" s="171">
        <f t="shared" si="59"/>
        <v>215234.28</v>
      </c>
    </row>
    <row r="926" spans="1:15" x14ac:dyDescent="0.2">
      <c r="A926" s="168">
        <v>919</v>
      </c>
      <c r="B926" s="159">
        <v>658.98111338108822</v>
      </c>
      <c r="C926" s="169">
        <f t="shared" si="56"/>
        <v>605603.64319722005</v>
      </c>
      <c r="D926" s="153"/>
      <c r="E926" s="170">
        <v>919</v>
      </c>
      <c r="F926" s="162">
        <v>234.36535044431761</v>
      </c>
      <c r="G926" s="171">
        <f t="shared" si="57"/>
        <v>215381.75705832787</v>
      </c>
      <c r="I926" s="168">
        <v>919</v>
      </c>
      <c r="J926" s="167">
        <f>ROUND(B926*('Model Data Inputs'!$E$184*'Model Data Inputs'!$E$185*'Model Data Inputs'!$E$186*'Model Data Inputs'!$E$187),2)</f>
        <v>658.98</v>
      </c>
      <c r="K926" s="169">
        <f t="shared" si="58"/>
        <v>605602.62</v>
      </c>
      <c r="L926" s="153"/>
      <c r="M926" s="170">
        <v>919</v>
      </c>
      <c r="N926" s="164">
        <f>ROUND(F926*('Model Data Inputs'!$E$184*'Model Data Inputs'!$E$185*'Model Data Inputs'!$E$186*'Model Data Inputs'!$E$187),2)</f>
        <v>234.37</v>
      </c>
      <c r="O926" s="171">
        <f t="shared" si="59"/>
        <v>215386.03</v>
      </c>
    </row>
    <row r="927" spans="1:15" x14ac:dyDescent="0.2">
      <c r="A927" s="168">
        <v>920</v>
      </c>
      <c r="B927" s="159">
        <v>658.79225772942539</v>
      </c>
      <c r="C927" s="169">
        <f t="shared" si="56"/>
        <v>606088.87711107137</v>
      </c>
      <c r="D927" s="153"/>
      <c r="E927" s="170">
        <v>920</v>
      </c>
      <c r="F927" s="162">
        <v>234.27096424284261</v>
      </c>
      <c r="G927" s="171">
        <f t="shared" si="57"/>
        <v>215529.2871034152</v>
      </c>
      <c r="I927" s="168">
        <v>920</v>
      </c>
      <c r="J927" s="167">
        <f>ROUND(B927*('Model Data Inputs'!$E$184*'Model Data Inputs'!$E$185*'Model Data Inputs'!$E$186*'Model Data Inputs'!$E$187),2)</f>
        <v>658.79</v>
      </c>
      <c r="K927" s="169">
        <f t="shared" si="58"/>
        <v>606086.79999999993</v>
      </c>
      <c r="L927" s="153"/>
      <c r="M927" s="170">
        <v>920</v>
      </c>
      <c r="N927" s="164">
        <f>ROUND(F927*('Model Data Inputs'!$E$184*'Model Data Inputs'!$E$185*'Model Data Inputs'!$E$186*'Model Data Inputs'!$E$187),2)</f>
        <v>234.27</v>
      </c>
      <c r="O927" s="171">
        <f t="shared" si="59"/>
        <v>215528.40000000002</v>
      </c>
    </row>
    <row r="928" spans="1:15" x14ac:dyDescent="0.2">
      <c r="A928" s="168">
        <v>921</v>
      </c>
      <c r="B928" s="159">
        <v>658.6034020777621</v>
      </c>
      <c r="C928" s="169">
        <f t="shared" si="56"/>
        <v>606573.73331361893</v>
      </c>
      <c r="D928" s="153"/>
      <c r="E928" s="170">
        <v>921</v>
      </c>
      <c r="F928" s="162">
        <v>234.17657804136761</v>
      </c>
      <c r="G928" s="171">
        <f t="shared" si="57"/>
        <v>215676.62837609957</v>
      </c>
      <c r="I928" s="168">
        <v>921</v>
      </c>
      <c r="J928" s="167">
        <f>ROUND(B928*('Model Data Inputs'!$E$184*'Model Data Inputs'!$E$185*'Model Data Inputs'!$E$186*'Model Data Inputs'!$E$187),2)</f>
        <v>658.6</v>
      </c>
      <c r="K928" s="169">
        <f t="shared" si="58"/>
        <v>606570.6</v>
      </c>
      <c r="L928" s="153"/>
      <c r="M928" s="170">
        <v>921</v>
      </c>
      <c r="N928" s="164">
        <f>ROUND(F928*('Model Data Inputs'!$E$184*'Model Data Inputs'!$E$185*'Model Data Inputs'!$E$186*'Model Data Inputs'!$E$187),2)</f>
        <v>234.18</v>
      </c>
      <c r="O928" s="171">
        <f t="shared" si="59"/>
        <v>215679.78</v>
      </c>
    </row>
    <row r="929" spans="1:15" x14ac:dyDescent="0.2">
      <c r="A929" s="168">
        <v>922</v>
      </c>
      <c r="B929" s="159">
        <v>658.41454642609915</v>
      </c>
      <c r="C929" s="169">
        <f t="shared" si="56"/>
        <v>607058.21180486341</v>
      </c>
      <c r="D929" s="153"/>
      <c r="E929" s="170">
        <v>922</v>
      </c>
      <c r="F929" s="162">
        <v>234.08219183989252</v>
      </c>
      <c r="G929" s="171">
        <f t="shared" si="57"/>
        <v>215823.78087638089</v>
      </c>
      <c r="I929" s="168">
        <v>922</v>
      </c>
      <c r="J929" s="167">
        <f>ROUND(B929*('Model Data Inputs'!$E$184*'Model Data Inputs'!$E$185*'Model Data Inputs'!$E$186*'Model Data Inputs'!$E$187),2)</f>
        <v>658.41</v>
      </c>
      <c r="K929" s="169">
        <f t="shared" si="58"/>
        <v>607054.02</v>
      </c>
      <c r="L929" s="153"/>
      <c r="M929" s="170">
        <v>922</v>
      </c>
      <c r="N929" s="164">
        <f>ROUND(F929*('Model Data Inputs'!$E$184*'Model Data Inputs'!$E$185*'Model Data Inputs'!$E$186*'Model Data Inputs'!$E$187),2)</f>
        <v>234.08</v>
      </c>
      <c r="O929" s="171">
        <f t="shared" si="59"/>
        <v>215821.76</v>
      </c>
    </row>
    <row r="930" spans="1:15" x14ac:dyDescent="0.2">
      <c r="A930" s="168">
        <v>923</v>
      </c>
      <c r="B930" s="159">
        <v>658.22569077443598</v>
      </c>
      <c r="C930" s="169">
        <f t="shared" si="56"/>
        <v>607542.31258480437</v>
      </c>
      <c r="D930" s="153"/>
      <c r="E930" s="170">
        <v>923</v>
      </c>
      <c r="F930" s="162">
        <v>233.98780563841751</v>
      </c>
      <c r="G930" s="171">
        <f t="shared" si="57"/>
        <v>215970.74460425935</v>
      </c>
      <c r="I930" s="168">
        <v>923</v>
      </c>
      <c r="J930" s="167">
        <f>ROUND(B930*('Model Data Inputs'!$E$184*'Model Data Inputs'!$E$185*'Model Data Inputs'!$E$186*'Model Data Inputs'!$E$187),2)</f>
        <v>658.23</v>
      </c>
      <c r="K930" s="169">
        <f t="shared" si="58"/>
        <v>607546.29</v>
      </c>
      <c r="L930" s="153"/>
      <c r="M930" s="170">
        <v>923</v>
      </c>
      <c r="N930" s="164">
        <f>ROUND(F930*('Model Data Inputs'!$E$184*'Model Data Inputs'!$E$185*'Model Data Inputs'!$E$186*'Model Data Inputs'!$E$187),2)</f>
        <v>233.99</v>
      </c>
      <c r="O930" s="171">
        <f t="shared" si="59"/>
        <v>215972.77000000002</v>
      </c>
    </row>
    <row r="931" spans="1:15" x14ac:dyDescent="0.2">
      <c r="A931" s="168">
        <v>924</v>
      </c>
      <c r="B931" s="159">
        <v>658.03683512277303</v>
      </c>
      <c r="C931" s="169">
        <f t="shared" si="56"/>
        <v>608026.03565344226</v>
      </c>
      <c r="D931" s="153"/>
      <c r="E931" s="170">
        <v>924</v>
      </c>
      <c r="F931" s="162">
        <v>233.89341943694245</v>
      </c>
      <c r="G931" s="171">
        <f t="shared" si="57"/>
        <v>216117.51955973482</v>
      </c>
      <c r="I931" s="168">
        <v>924</v>
      </c>
      <c r="J931" s="167">
        <f>ROUND(B931*('Model Data Inputs'!$E$184*'Model Data Inputs'!$E$185*'Model Data Inputs'!$E$186*'Model Data Inputs'!$E$187),2)</f>
        <v>658.04</v>
      </c>
      <c r="K931" s="169">
        <f t="shared" si="58"/>
        <v>608028.96</v>
      </c>
      <c r="L931" s="153"/>
      <c r="M931" s="170">
        <v>924</v>
      </c>
      <c r="N931" s="164">
        <f>ROUND(F931*('Model Data Inputs'!$E$184*'Model Data Inputs'!$E$185*'Model Data Inputs'!$E$186*'Model Data Inputs'!$E$187),2)</f>
        <v>233.89</v>
      </c>
      <c r="O931" s="171">
        <f t="shared" si="59"/>
        <v>216114.36</v>
      </c>
    </row>
    <row r="932" spans="1:15" x14ac:dyDescent="0.2">
      <c r="A932" s="168">
        <v>925</v>
      </c>
      <c r="B932" s="159">
        <v>657.84797947110985</v>
      </c>
      <c r="C932" s="169">
        <f t="shared" si="56"/>
        <v>608509.38101077662</v>
      </c>
      <c r="D932" s="153"/>
      <c r="E932" s="170">
        <v>925</v>
      </c>
      <c r="F932" s="162">
        <v>233.79903323546745</v>
      </c>
      <c r="G932" s="171">
        <f t="shared" si="57"/>
        <v>216264.10574280738</v>
      </c>
      <c r="I932" s="168">
        <v>925</v>
      </c>
      <c r="J932" s="167">
        <f>ROUND(B932*('Model Data Inputs'!$E$184*'Model Data Inputs'!$E$185*'Model Data Inputs'!$E$186*'Model Data Inputs'!$E$187),2)</f>
        <v>657.85</v>
      </c>
      <c r="K932" s="169">
        <f t="shared" si="58"/>
        <v>608511.25</v>
      </c>
      <c r="L932" s="153"/>
      <c r="M932" s="170">
        <v>925</v>
      </c>
      <c r="N932" s="164">
        <f>ROUND(F932*('Model Data Inputs'!$E$184*'Model Data Inputs'!$E$185*'Model Data Inputs'!$E$186*'Model Data Inputs'!$E$187),2)</f>
        <v>233.8</v>
      </c>
      <c r="O932" s="171">
        <f t="shared" si="59"/>
        <v>216265</v>
      </c>
    </row>
    <row r="933" spans="1:15" x14ac:dyDescent="0.2">
      <c r="A933" s="168">
        <v>926</v>
      </c>
      <c r="B933" s="159">
        <v>657.65912381944668</v>
      </c>
      <c r="C933" s="169">
        <f t="shared" si="56"/>
        <v>608992.34865680768</v>
      </c>
      <c r="D933" s="153"/>
      <c r="E933" s="170">
        <v>926</v>
      </c>
      <c r="F933" s="162">
        <v>233.70464703399239</v>
      </c>
      <c r="G933" s="171">
        <f t="shared" si="57"/>
        <v>216410.50315347695</v>
      </c>
      <c r="I933" s="168">
        <v>926</v>
      </c>
      <c r="J933" s="167">
        <f>ROUND(B933*('Model Data Inputs'!$E$184*'Model Data Inputs'!$E$185*'Model Data Inputs'!$E$186*'Model Data Inputs'!$E$187),2)</f>
        <v>657.66</v>
      </c>
      <c r="K933" s="169">
        <f t="shared" si="58"/>
        <v>608993.15999999992</v>
      </c>
      <c r="L933" s="153"/>
      <c r="M933" s="170">
        <v>926</v>
      </c>
      <c r="N933" s="164">
        <f>ROUND(F933*('Model Data Inputs'!$E$184*'Model Data Inputs'!$E$185*'Model Data Inputs'!$E$186*'Model Data Inputs'!$E$187),2)</f>
        <v>233.7</v>
      </c>
      <c r="O933" s="171">
        <f t="shared" si="59"/>
        <v>216406.19999999998</v>
      </c>
    </row>
    <row r="934" spans="1:15" x14ac:dyDescent="0.2">
      <c r="A934" s="168">
        <v>927</v>
      </c>
      <c r="B934" s="159">
        <v>657.47026816778327</v>
      </c>
      <c r="C934" s="169">
        <f t="shared" si="56"/>
        <v>609474.93859153509</v>
      </c>
      <c r="D934" s="153"/>
      <c r="E934" s="170">
        <v>927</v>
      </c>
      <c r="F934" s="162">
        <v>233.61026083251735</v>
      </c>
      <c r="G934" s="171">
        <f t="shared" si="57"/>
        <v>216556.71179174358</v>
      </c>
      <c r="I934" s="168">
        <v>927</v>
      </c>
      <c r="J934" s="167">
        <f>ROUND(B934*('Model Data Inputs'!$E$184*'Model Data Inputs'!$E$185*'Model Data Inputs'!$E$186*'Model Data Inputs'!$E$187),2)</f>
        <v>657.47</v>
      </c>
      <c r="K934" s="169">
        <f t="shared" si="58"/>
        <v>609474.69000000006</v>
      </c>
      <c r="L934" s="153"/>
      <c r="M934" s="170">
        <v>927</v>
      </c>
      <c r="N934" s="164">
        <f>ROUND(F934*('Model Data Inputs'!$E$184*'Model Data Inputs'!$E$185*'Model Data Inputs'!$E$186*'Model Data Inputs'!$E$187),2)</f>
        <v>233.61</v>
      </c>
      <c r="O934" s="171">
        <f t="shared" si="59"/>
        <v>216556.47</v>
      </c>
    </row>
    <row r="935" spans="1:15" x14ac:dyDescent="0.2">
      <c r="A935" s="168">
        <v>928</v>
      </c>
      <c r="B935" s="159">
        <v>657.28141251612044</v>
      </c>
      <c r="C935" s="169">
        <f t="shared" si="56"/>
        <v>609957.15081495978</v>
      </c>
      <c r="D935" s="153"/>
      <c r="E935" s="170">
        <v>928</v>
      </c>
      <c r="F935" s="162">
        <v>233.51587463104229</v>
      </c>
      <c r="G935" s="171">
        <f t="shared" si="57"/>
        <v>216702.73165760725</v>
      </c>
      <c r="I935" s="168">
        <v>928</v>
      </c>
      <c r="J935" s="167">
        <f>ROUND(B935*('Model Data Inputs'!$E$184*'Model Data Inputs'!$E$185*'Model Data Inputs'!$E$186*'Model Data Inputs'!$E$187),2)</f>
        <v>657.28</v>
      </c>
      <c r="K935" s="169">
        <f t="shared" si="58"/>
        <v>609955.83999999997</v>
      </c>
      <c r="L935" s="153"/>
      <c r="M935" s="170">
        <v>928</v>
      </c>
      <c r="N935" s="164">
        <f>ROUND(F935*('Model Data Inputs'!$E$184*'Model Data Inputs'!$E$185*'Model Data Inputs'!$E$186*'Model Data Inputs'!$E$187),2)</f>
        <v>233.52</v>
      </c>
      <c r="O935" s="171">
        <f t="shared" si="59"/>
        <v>216706.56</v>
      </c>
    </row>
    <row r="936" spans="1:15" x14ac:dyDescent="0.2">
      <c r="A936" s="168">
        <v>929</v>
      </c>
      <c r="B936" s="159">
        <v>657.09255686445726</v>
      </c>
      <c r="C936" s="169">
        <f t="shared" si="56"/>
        <v>610438.98532708082</v>
      </c>
      <c r="D936" s="153"/>
      <c r="E936" s="170">
        <v>929</v>
      </c>
      <c r="F936" s="162">
        <v>233.42148842956726</v>
      </c>
      <c r="G936" s="171">
        <f t="shared" si="57"/>
        <v>216848.56275106798</v>
      </c>
      <c r="I936" s="168">
        <v>929</v>
      </c>
      <c r="J936" s="167">
        <f>ROUND(B936*('Model Data Inputs'!$E$184*'Model Data Inputs'!$E$185*'Model Data Inputs'!$E$186*'Model Data Inputs'!$E$187),2)</f>
        <v>657.09</v>
      </c>
      <c r="K936" s="169">
        <f t="shared" si="58"/>
        <v>610436.61</v>
      </c>
      <c r="L936" s="153"/>
      <c r="M936" s="170">
        <v>929</v>
      </c>
      <c r="N936" s="164">
        <f>ROUND(F936*('Model Data Inputs'!$E$184*'Model Data Inputs'!$E$185*'Model Data Inputs'!$E$186*'Model Data Inputs'!$E$187),2)</f>
        <v>233.42</v>
      </c>
      <c r="O936" s="171">
        <f t="shared" si="59"/>
        <v>216847.18</v>
      </c>
    </row>
    <row r="937" spans="1:15" x14ac:dyDescent="0.2">
      <c r="A937" s="168">
        <v>930</v>
      </c>
      <c r="B937" s="159">
        <v>656.90370121279432</v>
      </c>
      <c r="C937" s="169">
        <f t="shared" si="56"/>
        <v>610920.44212789868</v>
      </c>
      <c r="D937" s="153"/>
      <c r="E937" s="170">
        <v>930</v>
      </c>
      <c r="F937" s="162">
        <v>233.3271022280922</v>
      </c>
      <c r="G937" s="171">
        <f t="shared" si="57"/>
        <v>216994.20507212574</v>
      </c>
      <c r="I937" s="168">
        <v>930</v>
      </c>
      <c r="J937" s="167">
        <f>ROUND(B937*('Model Data Inputs'!$E$184*'Model Data Inputs'!$E$185*'Model Data Inputs'!$E$186*'Model Data Inputs'!$E$187),2)</f>
        <v>656.9</v>
      </c>
      <c r="K937" s="169">
        <f t="shared" si="58"/>
        <v>610917</v>
      </c>
      <c r="L937" s="153"/>
      <c r="M937" s="170">
        <v>930</v>
      </c>
      <c r="N937" s="164">
        <f>ROUND(F937*('Model Data Inputs'!$E$184*'Model Data Inputs'!$E$185*'Model Data Inputs'!$E$186*'Model Data Inputs'!$E$187),2)</f>
        <v>233.33</v>
      </c>
      <c r="O937" s="171">
        <f t="shared" si="59"/>
        <v>216996.90000000002</v>
      </c>
    </row>
    <row r="938" spans="1:15" x14ac:dyDescent="0.2">
      <c r="A938" s="168">
        <v>931</v>
      </c>
      <c r="B938" s="159">
        <v>656.71484556113126</v>
      </c>
      <c r="C938" s="169">
        <f t="shared" si="56"/>
        <v>611401.52121741325</v>
      </c>
      <c r="D938" s="153"/>
      <c r="E938" s="170">
        <v>931</v>
      </c>
      <c r="F938" s="162">
        <v>233.23271602661723</v>
      </c>
      <c r="G938" s="171">
        <f t="shared" si="57"/>
        <v>217139.65862078062</v>
      </c>
      <c r="I938" s="168">
        <v>931</v>
      </c>
      <c r="J938" s="167">
        <f>ROUND(B938*('Model Data Inputs'!$E$184*'Model Data Inputs'!$E$185*'Model Data Inputs'!$E$186*'Model Data Inputs'!$E$187),2)</f>
        <v>656.71</v>
      </c>
      <c r="K938" s="169">
        <f t="shared" si="58"/>
        <v>611397.01</v>
      </c>
      <c r="L938" s="153"/>
      <c r="M938" s="170">
        <v>931</v>
      </c>
      <c r="N938" s="164">
        <f>ROUND(F938*('Model Data Inputs'!$E$184*'Model Data Inputs'!$E$185*'Model Data Inputs'!$E$186*'Model Data Inputs'!$E$187),2)</f>
        <v>233.23</v>
      </c>
      <c r="O938" s="171">
        <f t="shared" si="59"/>
        <v>217137.13</v>
      </c>
    </row>
    <row r="939" spans="1:15" x14ac:dyDescent="0.2">
      <c r="A939" s="168">
        <v>932</v>
      </c>
      <c r="B939" s="159">
        <v>656.52598990946819</v>
      </c>
      <c r="C939" s="169">
        <f t="shared" si="56"/>
        <v>611882.22259562439</v>
      </c>
      <c r="D939" s="153"/>
      <c r="E939" s="170">
        <v>932</v>
      </c>
      <c r="F939" s="162">
        <v>233.13832982514216</v>
      </c>
      <c r="G939" s="171">
        <f t="shared" si="57"/>
        <v>217284.92339703249</v>
      </c>
      <c r="I939" s="168">
        <v>932</v>
      </c>
      <c r="J939" s="167">
        <f>ROUND(B939*('Model Data Inputs'!$E$184*'Model Data Inputs'!$E$185*'Model Data Inputs'!$E$186*'Model Data Inputs'!$E$187),2)</f>
        <v>656.53</v>
      </c>
      <c r="K939" s="169">
        <f t="shared" si="58"/>
        <v>611885.96</v>
      </c>
      <c r="L939" s="153"/>
      <c r="M939" s="170">
        <v>932</v>
      </c>
      <c r="N939" s="164">
        <f>ROUND(F939*('Model Data Inputs'!$E$184*'Model Data Inputs'!$E$185*'Model Data Inputs'!$E$186*'Model Data Inputs'!$E$187),2)</f>
        <v>233.14</v>
      </c>
      <c r="O939" s="171">
        <f t="shared" si="59"/>
        <v>217286.47999999998</v>
      </c>
    </row>
    <row r="940" spans="1:15" x14ac:dyDescent="0.2">
      <c r="A940" s="168">
        <v>933</v>
      </c>
      <c r="B940" s="159">
        <v>656.33713425780502</v>
      </c>
      <c r="C940" s="169">
        <f t="shared" si="56"/>
        <v>612362.54626253212</v>
      </c>
      <c r="D940" s="153"/>
      <c r="E940" s="170">
        <v>933</v>
      </c>
      <c r="F940" s="162">
        <v>233.04394362366713</v>
      </c>
      <c r="G940" s="171">
        <f t="shared" si="57"/>
        <v>217429.99940088144</v>
      </c>
      <c r="I940" s="168">
        <v>933</v>
      </c>
      <c r="J940" s="167">
        <f>ROUND(B940*('Model Data Inputs'!$E$184*'Model Data Inputs'!$E$185*'Model Data Inputs'!$E$186*'Model Data Inputs'!$E$187),2)</f>
        <v>656.34</v>
      </c>
      <c r="K940" s="169">
        <f t="shared" si="58"/>
        <v>612365.22</v>
      </c>
      <c r="L940" s="153"/>
      <c r="M940" s="170">
        <v>933</v>
      </c>
      <c r="N940" s="164">
        <f>ROUND(F940*('Model Data Inputs'!$E$184*'Model Data Inputs'!$E$185*'Model Data Inputs'!$E$186*'Model Data Inputs'!$E$187),2)</f>
        <v>233.04</v>
      </c>
      <c r="O940" s="171">
        <f t="shared" si="59"/>
        <v>217426.32</v>
      </c>
    </row>
    <row r="941" spans="1:15" x14ac:dyDescent="0.2">
      <c r="A941" s="168">
        <v>934</v>
      </c>
      <c r="B941" s="159">
        <v>656.14827860614207</v>
      </c>
      <c r="C941" s="169">
        <f t="shared" si="56"/>
        <v>612842.49221813667</v>
      </c>
      <c r="D941" s="153"/>
      <c r="E941" s="170">
        <v>934</v>
      </c>
      <c r="F941" s="162">
        <v>232.94955742219204</v>
      </c>
      <c r="G941" s="171">
        <f t="shared" si="57"/>
        <v>217574.88663232737</v>
      </c>
      <c r="I941" s="168">
        <v>934</v>
      </c>
      <c r="J941" s="167">
        <f>ROUND(B941*('Model Data Inputs'!$E$184*'Model Data Inputs'!$E$185*'Model Data Inputs'!$E$186*'Model Data Inputs'!$E$187),2)</f>
        <v>656.15</v>
      </c>
      <c r="K941" s="169">
        <f t="shared" si="58"/>
        <v>612844.1</v>
      </c>
      <c r="L941" s="153"/>
      <c r="M941" s="170">
        <v>934</v>
      </c>
      <c r="N941" s="164">
        <f>ROUND(F941*('Model Data Inputs'!$E$184*'Model Data Inputs'!$E$185*'Model Data Inputs'!$E$186*'Model Data Inputs'!$E$187),2)</f>
        <v>232.95</v>
      </c>
      <c r="O941" s="171">
        <f t="shared" si="59"/>
        <v>217575.3</v>
      </c>
    </row>
    <row r="942" spans="1:15" x14ac:dyDescent="0.2">
      <c r="A942" s="168">
        <v>935</v>
      </c>
      <c r="B942" s="159">
        <v>655.9594229544789</v>
      </c>
      <c r="C942" s="169">
        <f t="shared" si="56"/>
        <v>613322.0604624378</v>
      </c>
      <c r="D942" s="153"/>
      <c r="E942" s="170">
        <v>935</v>
      </c>
      <c r="F942" s="162">
        <v>232.85517122071701</v>
      </c>
      <c r="G942" s="171">
        <f t="shared" si="57"/>
        <v>217719.58509137042</v>
      </c>
      <c r="I942" s="168">
        <v>935</v>
      </c>
      <c r="J942" s="167">
        <f>ROUND(B942*('Model Data Inputs'!$E$184*'Model Data Inputs'!$E$185*'Model Data Inputs'!$E$186*'Model Data Inputs'!$E$187),2)</f>
        <v>655.96</v>
      </c>
      <c r="K942" s="169">
        <f t="shared" si="58"/>
        <v>613322.6</v>
      </c>
      <c r="L942" s="153"/>
      <c r="M942" s="170">
        <v>935</v>
      </c>
      <c r="N942" s="164">
        <f>ROUND(F942*('Model Data Inputs'!$E$184*'Model Data Inputs'!$E$185*'Model Data Inputs'!$E$186*'Model Data Inputs'!$E$187),2)</f>
        <v>232.86</v>
      </c>
      <c r="O942" s="171">
        <f t="shared" si="59"/>
        <v>217724.1</v>
      </c>
    </row>
    <row r="943" spans="1:15" x14ac:dyDescent="0.2">
      <c r="A943" s="168">
        <v>936</v>
      </c>
      <c r="B943" s="159">
        <v>655.77056730281583</v>
      </c>
      <c r="C943" s="169">
        <f t="shared" si="56"/>
        <v>613801.25099543564</v>
      </c>
      <c r="D943" s="153"/>
      <c r="E943" s="170">
        <v>936</v>
      </c>
      <c r="F943" s="162">
        <v>232.76078501924201</v>
      </c>
      <c r="G943" s="171">
        <f t="shared" si="57"/>
        <v>217864.09477801051</v>
      </c>
      <c r="I943" s="168">
        <v>936</v>
      </c>
      <c r="J943" s="167">
        <f>ROUND(B943*('Model Data Inputs'!$E$184*'Model Data Inputs'!$E$185*'Model Data Inputs'!$E$186*'Model Data Inputs'!$E$187),2)</f>
        <v>655.77</v>
      </c>
      <c r="K943" s="169">
        <f t="shared" si="58"/>
        <v>613800.72</v>
      </c>
      <c r="L943" s="153"/>
      <c r="M943" s="170">
        <v>936</v>
      </c>
      <c r="N943" s="164">
        <f>ROUND(F943*('Model Data Inputs'!$E$184*'Model Data Inputs'!$E$185*'Model Data Inputs'!$E$186*'Model Data Inputs'!$E$187),2)</f>
        <v>232.76</v>
      </c>
      <c r="O943" s="171">
        <f t="shared" si="59"/>
        <v>217863.36</v>
      </c>
    </row>
    <row r="944" spans="1:15" x14ac:dyDescent="0.2">
      <c r="A944" s="168">
        <v>937</v>
      </c>
      <c r="B944" s="159">
        <v>655.58171165115289</v>
      </c>
      <c r="C944" s="169">
        <f t="shared" si="56"/>
        <v>614280.06381713029</v>
      </c>
      <c r="D944" s="153"/>
      <c r="E944" s="170">
        <v>937</v>
      </c>
      <c r="F944" s="162">
        <v>232.66639881776692</v>
      </c>
      <c r="G944" s="171">
        <f t="shared" si="57"/>
        <v>218008.4156922476</v>
      </c>
      <c r="I944" s="168">
        <v>937</v>
      </c>
      <c r="J944" s="167">
        <f>ROUND(B944*('Model Data Inputs'!$E$184*'Model Data Inputs'!$E$185*'Model Data Inputs'!$E$186*'Model Data Inputs'!$E$187),2)</f>
        <v>655.58</v>
      </c>
      <c r="K944" s="169">
        <f t="shared" si="58"/>
        <v>614278.46000000008</v>
      </c>
      <c r="L944" s="153"/>
      <c r="M944" s="170">
        <v>937</v>
      </c>
      <c r="N944" s="164">
        <f>ROUND(F944*('Model Data Inputs'!$E$184*'Model Data Inputs'!$E$185*'Model Data Inputs'!$E$186*'Model Data Inputs'!$E$187),2)</f>
        <v>232.67</v>
      </c>
      <c r="O944" s="171">
        <f t="shared" si="59"/>
        <v>218011.78999999998</v>
      </c>
    </row>
    <row r="945" spans="1:15" x14ac:dyDescent="0.2">
      <c r="A945" s="168">
        <v>938</v>
      </c>
      <c r="B945" s="159">
        <v>655.39285599948971</v>
      </c>
      <c r="C945" s="169">
        <f t="shared" si="56"/>
        <v>614758.4989275214</v>
      </c>
      <c r="D945" s="153"/>
      <c r="E945" s="170">
        <v>938</v>
      </c>
      <c r="F945" s="162">
        <v>232.57201261629194</v>
      </c>
      <c r="G945" s="171">
        <f t="shared" si="57"/>
        <v>218152.54783408184</v>
      </c>
      <c r="I945" s="168">
        <v>938</v>
      </c>
      <c r="J945" s="167">
        <f>ROUND(B945*('Model Data Inputs'!$E$184*'Model Data Inputs'!$E$185*'Model Data Inputs'!$E$186*'Model Data Inputs'!$E$187),2)</f>
        <v>655.39</v>
      </c>
      <c r="K945" s="169">
        <f t="shared" si="58"/>
        <v>614755.81999999995</v>
      </c>
      <c r="L945" s="153"/>
      <c r="M945" s="170">
        <v>938</v>
      </c>
      <c r="N945" s="164">
        <f>ROUND(F945*('Model Data Inputs'!$E$184*'Model Data Inputs'!$E$185*'Model Data Inputs'!$E$186*'Model Data Inputs'!$E$187),2)</f>
        <v>232.57</v>
      </c>
      <c r="O945" s="171">
        <f t="shared" si="59"/>
        <v>218150.66</v>
      </c>
    </row>
    <row r="946" spans="1:15" x14ac:dyDescent="0.2">
      <c r="A946" s="168">
        <v>939</v>
      </c>
      <c r="B946" s="159">
        <v>655.20400034782654</v>
      </c>
      <c r="C946" s="169">
        <f t="shared" si="56"/>
        <v>615236.5563266091</v>
      </c>
      <c r="D946" s="153"/>
      <c r="E946" s="170">
        <v>939</v>
      </c>
      <c r="F946" s="162">
        <v>232.47762641481688</v>
      </c>
      <c r="G946" s="171">
        <f t="shared" si="57"/>
        <v>218296.49120351305</v>
      </c>
      <c r="I946" s="168">
        <v>939</v>
      </c>
      <c r="J946" s="167">
        <f>ROUND(B946*('Model Data Inputs'!$E$184*'Model Data Inputs'!$E$185*'Model Data Inputs'!$E$186*'Model Data Inputs'!$E$187),2)</f>
        <v>655.20000000000005</v>
      </c>
      <c r="K946" s="169">
        <f t="shared" si="58"/>
        <v>615232.80000000005</v>
      </c>
      <c r="L946" s="153"/>
      <c r="M946" s="170">
        <v>939</v>
      </c>
      <c r="N946" s="164">
        <f>ROUND(F946*('Model Data Inputs'!$E$184*'Model Data Inputs'!$E$185*'Model Data Inputs'!$E$186*'Model Data Inputs'!$E$187),2)</f>
        <v>232.48</v>
      </c>
      <c r="O946" s="171">
        <f t="shared" si="59"/>
        <v>218298.72</v>
      </c>
    </row>
    <row r="947" spans="1:15" x14ac:dyDescent="0.2">
      <c r="A947" s="168">
        <v>940</v>
      </c>
      <c r="B947" s="159">
        <v>655.01514469616336</v>
      </c>
      <c r="C947" s="169">
        <f t="shared" si="56"/>
        <v>615714.23601439351</v>
      </c>
      <c r="D947" s="153"/>
      <c r="E947" s="170">
        <v>940</v>
      </c>
      <c r="F947" s="162">
        <v>232.38324021334188</v>
      </c>
      <c r="G947" s="171">
        <f t="shared" si="57"/>
        <v>218440.24580054136</v>
      </c>
      <c r="I947" s="168">
        <v>940</v>
      </c>
      <c r="J947" s="167">
        <f>ROUND(B947*('Model Data Inputs'!$E$184*'Model Data Inputs'!$E$185*'Model Data Inputs'!$E$186*'Model Data Inputs'!$E$187),2)</f>
        <v>655.02</v>
      </c>
      <c r="K947" s="169">
        <f t="shared" si="58"/>
        <v>615718.79999999993</v>
      </c>
      <c r="L947" s="153"/>
      <c r="M947" s="170">
        <v>940</v>
      </c>
      <c r="N947" s="164">
        <f>ROUND(F947*('Model Data Inputs'!$E$184*'Model Data Inputs'!$E$185*'Model Data Inputs'!$E$186*'Model Data Inputs'!$E$187),2)</f>
        <v>232.38</v>
      </c>
      <c r="O947" s="171">
        <f t="shared" si="59"/>
        <v>218437.19999999998</v>
      </c>
    </row>
    <row r="948" spans="1:15" x14ac:dyDescent="0.2">
      <c r="A948" s="168">
        <v>941</v>
      </c>
      <c r="B948" s="159">
        <v>654.82628904450053</v>
      </c>
      <c r="C948" s="169">
        <f t="shared" si="56"/>
        <v>616191.53799087496</v>
      </c>
      <c r="D948" s="153"/>
      <c r="E948" s="170">
        <v>941</v>
      </c>
      <c r="F948" s="162">
        <v>232.28885401186682</v>
      </c>
      <c r="G948" s="171">
        <f t="shared" si="57"/>
        <v>218583.81162516668</v>
      </c>
      <c r="I948" s="168">
        <v>941</v>
      </c>
      <c r="J948" s="167">
        <f>ROUND(B948*('Model Data Inputs'!$E$184*'Model Data Inputs'!$E$185*'Model Data Inputs'!$E$186*'Model Data Inputs'!$E$187),2)</f>
        <v>654.83000000000004</v>
      </c>
      <c r="K948" s="169">
        <f t="shared" si="58"/>
        <v>616195.03</v>
      </c>
      <c r="L948" s="153"/>
      <c r="M948" s="170">
        <v>941</v>
      </c>
      <c r="N948" s="164">
        <f>ROUND(F948*('Model Data Inputs'!$E$184*'Model Data Inputs'!$E$185*'Model Data Inputs'!$E$186*'Model Data Inputs'!$E$187),2)</f>
        <v>232.29</v>
      </c>
      <c r="O948" s="171">
        <f t="shared" si="59"/>
        <v>218584.88999999998</v>
      </c>
    </row>
    <row r="949" spans="1:15" x14ac:dyDescent="0.2">
      <c r="A949" s="168">
        <v>942</v>
      </c>
      <c r="B949" s="159">
        <v>654.63743339283735</v>
      </c>
      <c r="C949" s="169">
        <f t="shared" si="56"/>
        <v>616668.46225605276</v>
      </c>
      <c r="D949" s="153"/>
      <c r="E949" s="170">
        <v>942</v>
      </c>
      <c r="F949" s="162">
        <v>232.19446781039179</v>
      </c>
      <c r="G949" s="171">
        <f t="shared" si="57"/>
        <v>218727.18867738906</v>
      </c>
      <c r="I949" s="168">
        <v>942</v>
      </c>
      <c r="J949" s="167">
        <f>ROUND(B949*('Model Data Inputs'!$E$184*'Model Data Inputs'!$E$185*'Model Data Inputs'!$E$186*'Model Data Inputs'!$E$187),2)</f>
        <v>654.64</v>
      </c>
      <c r="K949" s="169">
        <f t="shared" si="58"/>
        <v>616670.88</v>
      </c>
      <c r="L949" s="153"/>
      <c r="M949" s="170">
        <v>942</v>
      </c>
      <c r="N949" s="164">
        <f>ROUND(F949*('Model Data Inputs'!$E$184*'Model Data Inputs'!$E$185*'Model Data Inputs'!$E$186*'Model Data Inputs'!$E$187),2)</f>
        <v>232.19</v>
      </c>
      <c r="O949" s="171">
        <f t="shared" si="59"/>
        <v>218722.98</v>
      </c>
    </row>
    <row r="950" spans="1:15" x14ac:dyDescent="0.2">
      <c r="A950" s="168">
        <v>943</v>
      </c>
      <c r="B950" s="159">
        <v>654.4485777411744</v>
      </c>
      <c r="C950" s="169">
        <f t="shared" si="56"/>
        <v>617145.0088099275</v>
      </c>
      <c r="D950" s="153"/>
      <c r="E950" s="170">
        <v>943</v>
      </c>
      <c r="F950" s="162">
        <v>232.10008160891675</v>
      </c>
      <c r="G950" s="171">
        <f t="shared" si="57"/>
        <v>218870.3769572085</v>
      </c>
      <c r="I950" s="168">
        <v>943</v>
      </c>
      <c r="J950" s="167">
        <f>ROUND(B950*('Model Data Inputs'!$E$184*'Model Data Inputs'!$E$185*'Model Data Inputs'!$E$186*'Model Data Inputs'!$E$187),2)</f>
        <v>654.45000000000005</v>
      </c>
      <c r="K950" s="169">
        <f t="shared" si="58"/>
        <v>617146.35000000009</v>
      </c>
      <c r="L950" s="153"/>
      <c r="M950" s="170">
        <v>943</v>
      </c>
      <c r="N950" s="164">
        <f>ROUND(F950*('Model Data Inputs'!$E$184*'Model Data Inputs'!$E$185*'Model Data Inputs'!$E$186*'Model Data Inputs'!$E$187),2)</f>
        <v>232.1</v>
      </c>
      <c r="O950" s="171">
        <f t="shared" si="59"/>
        <v>218870.3</v>
      </c>
    </row>
    <row r="951" spans="1:15" x14ac:dyDescent="0.2">
      <c r="A951" s="168">
        <v>944</v>
      </c>
      <c r="B951" s="159">
        <v>654.25972208951123</v>
      </c>
      <c r="C951" s="169">
        <f t="shared" si="56"/>
        <v>617621.17765249859</v>
      </c>
      <c r="D951" s="153"/>
      <c r="E951" s="170">
        <v>944</v>
      </c>
      <c r="F951" s="162">
        <v>232.00569540744172</v>
      </c>
      <c r="G951" s="171">
        <f t="shared" si="57"/>
        <v>219013.37646462498</v>
      </c>
      <c r="I951" s="168">
        <v>944</v>
      </c>
      <c r="J951" s="167">
        <f>ROUND(B951*('Model Data Inputs'!$E$184*'Model Data Inputs'!$E$185*'Model Data Inputs'!$E$186*'Model Data Inputs'!$E$187),2)</f>
        <v>654.26</v>
      </c>
      <c r="K951" s="169">
        <f t="shared" si="58"/>
        <v>617621.43999999994</v>
      </c>
      <c r="L951" s="153"/>
      <c r="M951" s="170">
        <v>944</v>
      </c>
      <c r="N951" s="164">
        <f>ROUND(F951*('Model Data Inputs'!$E$184*'Model Data Inputs'!$E$185*'Model Data Inputs'!$E$186*'Model Data Inputs'!$E$187),2)</f>
        <v>232.01</v>
      </c>
      <c r="O951" s="171">
        <f t="shared" si="59"/>
        <v>219017.44</v>
      </c>
    </row>
    <row r="952" spans="1:15" x14ac:dyDescent="0.2">
      <c r="A952" s="168">
        <v>945</v>
      </c>
      <c r="B952" s="159">
        <v>654.07086643784805</v>
      </c>
      <c r="C952" s="169">
        <f t="shared" si="56"/>
        <v>618096.96878376638</v>
      </c>
      <c r="D952" s="153"/>
      <c r="E952" s="170">
        <v>945</v>
      </c>
      <c r="F952" s="162">
        <v>231.91130920596666</v>
      </c>
      <c r="G952" s="171">
        <f t="shared" si="57"/>
        <v>219156.18719963849</v>
      </c>
      <c r="I952" s="168">
        <v>945</v>
      </c>
      <c r="J952" s="167">
        <f>ROUND(B952*('Model Data Inputs'!$E$184*'Model Data Inputs'!$E$185*'Model Data Inputs'!$E$186*'Model Data Inputs'!$E$187),2)</f>
        <v>654.07000000000005</v>
      </c>
      <c r="K952" s="169">
        <f t="shared" si="58"/>
        <v>618096.15</v>
      </c>
      <c r="L952" s="153"/>
      <c r="M952" s="170">
        <v>945</v>
      </c>
      <c r="N952" s="164">
        <f>ROUND(F952*('Model Data Inputs'!$E$184*'Model Data Inputs'!$E$185*'Model Data Inputs'!$E$186*'Model Data Inputs'!$E$187),2)</f>
        <v>231.91</v>
      </c>
      <c r="O952" s="171">
        <f t="shared" si="59"/>
        <v>219154.94999999998</v>
      </c>
    </row>
    <row r="953" spans="1:15" x14ac:dyDescent="0.2">
      <c r="A953" s="168">
        <v>946</v>
      </c>
      <c r="B953" s="159">
        <v>653.88201078618488</v>
      </c>
      <c r="C953" s="169">
        <f t="shared" si="56"/>
        <v>618572.38220373087</v>
      </c>
      <c r="D953" s="153"/>
      <c r="E953" s="170">
        <v>946</v>
      </c>
      <c r="F953" s="162">
        <v>231.81692300449166</v>
      </c>
      <c r="G953" s="171">
        <f t="shared" si="57"/>
        <v>219298.80916224912</v>
      </c>
      <c r="I953" s="168">
        <v>946</v>
      </c>
      <c r="J953" s="167">
        <f>ROUND(B953*('Model Data Inputs'!$E$184*'Model Data Inputs'!$E$185*'Model Data Inputs'!$E$186*'Model Data Inputs'!$E$187),2)</f>
        <v>653.88</v>
      </c>
      <c r="K953" s="169">
        <f t="shared" si="58"/>
        <v>618570.48</v>
      </c>
      <c r="L953" s="153"/>
      <c r="M953" s="170">
        <v>946</v>
      </c>
      <c r="N953" s="164">
        <f>ROUND(F953*('Model Data Inputs'!$E$184*'Model Data Inputs'!$E$185*'Model Data Inputs'!$E$186*'Model Data Inputs'!$E$187),2)</f>
        <v>231.82</v>
      </c>
      <c r="O953" s="171">
        <f t="shared" si="59"/>
        <v>219301.72</v>
      </c>
    </row>
    <row r="954" spans="1:15" x14ac:dyDescent="0.2">
      <c r="A954" s="168">
        <v>947</v>
      </c>
      <c r="B954" s="159">
        <v>653.69315513452182</v>
      </c>
      <c r="C954" s="169">
        <f t="shared" si="56"/>
        <v>619047.41791239218</v>
      </c>
      <c r="D954" s="153"/>
      <c r="E954" s="170">
        <v>947</v>
      </c>
      <c r="F954" s="162">
        <v>231.7225368030166</v>
      </c>
      <c r="G954" s="171">
        <f t="shared" si="57"/>
        <v>219441.24235245673</v>
      </c>
      <c r="I954" s="168">
        <v>947</v>
      </c>
      <c r="J954" s="167">
        <f>ROUND(B954*('Model Data Inputs'!$E$184*'Model Data Inputs'!$E$185*'Model Data Inputs'!$E$186*'Model Data Inputs'!$E$187),2)</f>
        <v>653.69000000000005</v>
      </c>
      <c r="K954" s="169">
        <f t="shared" si="58"/>
        <v>619044.43000000005</v>
      </c>
      <c r="L954" s="153"/>
      <c r="M954" s="170">
        <v>947</v>
      </c>
      <c r="N954" s="164">
        <f>ROUND(F954*('Model Data Inputs'!$E$184*'Model Data Inputs'!$E$185*'Model Data Inputs'!$E$186*'Model Data Inputs'!$E$187),2)</f>
        <v>231.72</v>
      </c>
      <c r="O954" s="171">
        <f t="shared" si="59"/>
        <v>219438.84</v>
      </c>
    </row>
    <row r="955" spans="1:15" x14ac:dyDescent="0.2">
      <c r="A955" s="168">
        <v>948</v>
      </c>
      <c r="B955" s="159">
        <v>653.50429948285887</v>
      </c>
      <c r="C955" s="169">
        <f t="shared" si="56"/>
        <v>619522.07590975019</v>
      </c>
      <c r="D955" s="153"/>
      <c r="E955" s="170">
        <v>948</v>
      </c>
      <c r="F955" s="162">
        <v>231.62815060154156</v>
      </c>
      <c r="G955" s="171">
        <f t="shared" si="57"/>
        <v>219583.4867702614</v>
      </c>
      <c r="I955" s="168">
        <v>948</v>
      </c>
      <c r="J955" s="167">
        <f>ROUND(B955*('Model Data Inputs'!$E$184*'Model Data Inputs'!$E$185*'Model Data Inputs'!$E$186*'Model Data Inputs'!$E$187),2)</f>
        <v>653.5</v>
      </c>
      <c r="K955" s="169">
        <f t="shared" si="58"/>
        <v>619518</v>
      </c>
      <c r="L955" s="153"/>
      <c r="M955" s="170">
        <v>948</v>
      </c>
      <c r="N955" s="164">
        <f>ROUND(F955*('Model Data Inputs'!$E$184*'Model Data Inputs'!$E$185*'Model Data Inputs'!$E$186*'Model Data Inputs'!$E$187),2)</f>
        <v>231.63</v>
      </c>
      <c r="O955" s="171">
        <f t="shared" si="59"/>
        <v>219585.24</v>
      </c>
    </row>
    <row r="956" spans="1:15" x14ac:dyDescent="0.2">
      <c r="A956" s="168">
        <v>949</v>
      </c>
      <c r="B956" s="159">
        <v>653.31544383119581</v>
      </c>
      <c r="C956" s="169">
        <f t="shared" si="56"/>
        <v>619996.35619580478</v>
      </c>
      <c r="D956" s="153"/>
      <c r="E956" s="170">
        <v>949</v>
      </c>
      <c r="F956" s="162">
        <v>231.5337644000665</v>
      </c>
      <c r="G956" s="171">
        <f t="shared" si="57"/>
        <v>219725.54241566311</v>
      </c>
      <c r="I956" s="168">
        <v>949</v>
      </c>
      <c r="J956" s="167">
        <f>ROUND(B956*('Model Data Inputs'!$E$184*'Model Data Inputs'!$E$185*'Model Data Inputs'!$E$186*'Model Data Inputs'!$E$187),2)</f>
        <v>653.32000000000005</v>
      </c>
      <c r="K956" s="169">
        <f t="shared" si="58"/>
        <v>620000.68000000005</v>
      </c>
      <c r="L956" s="153"/>
      <c r="M956" s="170">
        <v>949</v>
      </c>
      <c r="N956" s="164">
        <f>ROUND(F956*('Model Data Inputs'!$E$184*'Model Data Inputs'!$E$185*'Model Data Inputs'!$E$186*'Model Data Inputs'!$E$187),2)</f>
        <v>231.53</v>
      </c>
      <c r="O956" s="171">
        <f t="shared" si="59"/>
        <v>219721.97</v>
      </c>
    </row>
    <row r="957" spans="1:15" x14ac:dyDescent="0.2">
      <c r="A957" s="168">
        <v>950</v>
      </c>
      <c r="B957" s="159">
        <v>653.12658817953275</v>
      </c>
      <c r="C957" s="169">
        <f t="shared" si="56"/>
        <v>620470.25877055607</v>
      </c>
      <c r="D957" s="153"/>
      <c r="E957" s="170">
        <v>950</v>
      </c>
      <c r="F957" s="162">
        <v>231.43937819859147</v>
      </c>
      <c r="G957" s="171">
        <f t="shared" si="57"/>
        <v>219867.4092886619</v>
      </c>
      <c r="I957" s="168">
        <v>950</v>
      </c>
      <c r="J957" s="167">
        <f>ROUND(B957*('Model Data Inputs'!$E$184*'Model Data Inputs'!$E$185*'Model Data Inputs'!$E$186*'Model Data Inputs'!$E$187),2)</f>
        <v>653.13</v>
      </c>
      <c r="K957" s="169">
        <f t="shared" si="58"/>
        <v>620473.5</v>
      </c>
      <c r="L957" s="153"/>
      <c r="M957" s="170">
        <v>950</v>
      </c>
      <c r="N957" s="164">
        <f>ROUND(F957*('Model Data Inputs'!$E$184*'Model Data Inputs'!$E$185*'Model Data Inputs'!$E$186*'Model Data Inputs'!$E$187),2)</f>
        <v>231.44</v>
      </c>
      <c r="O957" s="171">
        <f t="shared" si="59"/>
        <v>219868</v>
      </c>
    </row>
    <row r="958" spans="1:15" x14ac:dyDescent="0.2">
      <c r="A958" s="168">
        <v>951</v>
      </c>
      <c r="B958" s="159">
        <v>652.93773252786946</v>
      </c>
      <c r="C958" s="169">
        <f t="shared" si="56"/>
        <v>620943.78363400383</v>
      </c>
      <c r="D958" s="153"/>
      <c r="E958" s="170">
        <v>951</v>
      </c>
      <c r="F958" s="162">
        <v>231.34499199711647</v>
      </c>
      <c r="G958" s="171">
        <f t="shared" si="57"/>
        <v>220009.08738925777</v>
      </c>
      <c r="I958" s="168">
        <v>951</v>
      </c>
      <c r="J958" s="167">
        <f>ROUND(B958*('Model Data Inputs'!$E$184*'Model Data Inputs'!$E$185*'Model Data Inputs'!$E$186*'Model Data Inputs'!$E$187),2)</f>
        <v>652.94000000000005</v>
      </c>
      <c r="K958" s="169">
        <f t="shared" si="58"/>
        <v>620945.94000000006</v>
      </c>
      <c r="L958" s="153"/>
      <c r="M958" s="170">
        <v>951</v>
      </c>
      <c r="N958" s="164">
        <f>ROUND(F958*('Model Data Inputs'!$E$184*'Model Data Inputs'!$E$185*'Model Data Inputs'!$E$186*'Model Data Inputs'!$E$187),2)</f>
        <v>231.34</v>
      </c>
      <c r="O958" s="171">
        <f t="shared" si="59"/>
        <v>220004.34</v>
      </c>
    </row>
    <row r="959" spans="1:15" x14ac:dyDescent="0.2">
      <c r="A959" s="168">
        <v>952</v>
      </c>
      <c r="B959" s="159">
        <v>652.7488768762064</v>
      </c>
      <c r="C959" s="169">
        <f t="shared" si="56"/>
        <v>621416.93078614853</v>
      </c>
      <c r="D959" s="153"/>
      <c r="E959" s="170">
        <v>952</v>
      </c>
      <c r="F959" s="162">
        <v>231.25060579564138</v>
      </c>
      <c r="G959" s="171">
        <f t="shared" si="57"/>
        <v>220150.5767174506</v>
      </c>
      <c r="I959" s="168">
        <v>952</v>
      </c>
      <c r="J959" s="167">
        <f>ROUND(B959*('Model Data Inputs'!$E$184*'Model Data Inputs'!$E$185*'Model Data Inputs'!$E$186*'Model Data Inputs'!$E$187),2)</f>
        <v>652.75</v>
      </c>
      <c r="K959" s="169">
        <f t="shared" si="58"/>
        <v>621418</v>
      </c>
      <c r="L959" s="153"/>
      <c r="M959" s="170">
        <v>952</v>
      </c>
      <c r="N959" s="164">
        <f>ROUND(F959*('Model Data Inputs'!$E$184*'Model Data Inputs'!$E$185*'Model Data Inputs'!$E$186*'Model Data Inputs'!$E$187),2)</f>
        <v>231.25</v>
      </c>
      <c r="O959" s="171">
        <f t="shared" si="59"/>
        <v>220150</v>
      </c>
    </row>
    <row r="960" spans="1:15" x14ac:dyDescent="0.2">
      <c r="A960" s="168">
        <v>953</v>
      </c>
      <c r="B960" s="159">
        <v>652.56002122454333</v>
      </c>
      <c r="C960" s="169">
        <f t="shared" si="56"/>
        <v>621889.70022698981</v>
      </c>
      <c r="D960" s="153"/>
      <c r="E960" s="170">
        <v>953</v>
      </c>
      <c r="F960" s="162">
        <v>231.15621959416634</v>
      </c>
      <c r="G960" s="171">
        <f t="shared" si="57"/>
        <v>220291.87727324053</v>
      </c>
      <c r="I960" s="168">
        <v>953</v>
      </c>
      <c r="J960" s="167">
        <f>ROUND(B960*('Model Data Inputs'!$E$184*'Model Data Inputs'!$E$185*'Model Data Inputs'!$E$186*'Model Data Inputs'!$E$187),2)</f>
        <v>652.55999999999995</v>
      </c>
      <c r="K960" s="169">
        <f t="shared" si="58"/>
        <v>621889.67999999993</v>
      </c>
      <c r="L960" s="153"/>
      <c r="M960" s="170">
        <v>953</v>
      </c>
      <c r="N960" s="164">
        <f>ROUND(F960*('Model Data Inputs'!$E$184*'Model Data Inputs'!$E$185*'Model Data Inputs'!$E$186*'Model Data Inputs'!$E$187),2)</f>
        <v>231.16</v>
      </c>
      <c r="O960" s="171">
        <f t="shared" si="59"/>
        <v>220295.48</v>
      </c>
    </row>
    <row r="961" spans="1:15" x14ac:dyDescent="0.2">
      <c r="A961" s="168">
        <v>954</v>
      </c>
      <c r="B961" s="159">
        <v>652.37116557288027</v>
      </c>
      <c r="C961" s="169">
        <f t="shared" si="56"/>
        <v>622362.09195652779</v>
      </c>
      <c r="D961" s="153"/>
      <c r="E961" s="170">
        <v>954</v>
      </c>
      <c r="F961" s="162">
        <v>231.06183339269128</v>
      </c>
      <c r="G961" s="171">
        <f t="shared" si="57"/>
        <v>220432.9890566275</v>
      </c>
      <c r="I961" s="168">
        <v>954</v>
      </c>
      <c r="J961" s="167">
        <f>ROUND(B961*('Model Data Inputs'!$E$184*'Model Data Inputs'!$E$185*'Model Data Inputs'!$E$186*'Model Data Inputs'!$E$187),2)</f>
        <v>652.37</v>
      </c>
      <c r="K961" s="169">
        <f t="shared" si="58"/>
        <v>622360.98</v>
      </c>
      <c r="L961" s="153"/>
      <c r="M961" s="170">
        <v>954</v>
      </c>
      <c r="N961" s="164">
        <f>ROUND(F961*('Model Data Inputs'!$E$184*'Model Data Inputs'!$E$185*'Model Data Inputs'!$E$186*'Model Data Inputs'!$E$187),2)</f>
        <v>231.06</v>
      </c>
      <c r="O961" s="171">
        <f t="shared" si="59"/>
        <v>220431.24</v>
      </c>
    </row>
    <row r="962" spans="1:15" x14ac:dyDescent="0.2">
      <c r="A962" s="168">
        <v>955</v>
      </c>
      <c r="B962" s="159">
        <v>652.18230992121732</v>
      </c>
      <c r="C962" s="169">
        <f t="shared" si="56"/>
        <v>622834.10597476258</v>
      </c>
      <c r="D962" s="153"/>
      <c r="E962" s="170">
        <v>955</v>
      </c>
      <c r="F962" s="162">
        <v>230.96744719121631</v>
      </c>
      <c r="G962" s="171">
        <f t="shared" si="57"/>
        <v>220573.91206761159</v>
      </c>
      <c r="I962" s="168">
        <v>955</v>
      </c>
      <c r="J962" s="167">
        <f>ROUND(B962*('Model Data Inputs'!$E$184*'Model Data Inputs'!$E$185*'Model Data Inputs'!$E$186*'Model Data Inputs'!$E$187),2)</f>
        <v>652.17999999999995</v>
      </c>
      <c r="K962" s="169">
        <f t="shared" si="58"/>
        <v>622831.89999999991</v>
      </c>
      <c r="L962" s="153"/>
      <c r="M962" s="170">
        <v>955</v>
      </c>
      <c r="N962" s="164">
        <f>ROUND(F962*('Model Data Inputs'!$E$184*'Model Data Inputs'!$E$185*'Model Data Inputs'!$E$186*'Model Data Inputs'!$E$187),2)</f>
        <v>230.97</v>
      </c>
      <c r="O962" s="171">
        <f t="shared" si="59"/>
        <v>220576.35</v>
      </c>
    </row>
    <row r="963" spans="1:15" x14ac:dyDescent="0.2">
      <c r="A963" s="168">
        <v>956</v>
      </c>
      <c r="B963" s="159">
        <v>651.99345426955415</v>
      </c>
      <c r="C963" s="169">
        <f t="shared" si="56"/>
        <v>623305.74228169373</v>
      </c>
      <c r="D963" s="153"/>
      <c r="E963" s="170">
        <v>956</v>
      </c>
      <c r="F963" s="162">
        <v>230.87306098974125</v>
      </c>
      <c r="G963" s="171">
        <f t="shared" si="57"/>
        <v>220714.64630619262</v>
      </c>
      <c r="I963" s="168">
        <v>956</v>
      </c>
      <c r="J963" s="167">
        <f>ROUND(B963*('Model Data Inputs'!$E$184*'Model Data Inputs'!$E$185*'Model Data Inputs'!$E$186*'Model Data Inputs'!$E$187),2)</f>
        <v>651.99</v>
      </c>
      <c r="K963" s="169">
        <f t="shared" si="58"/>
        <v>623302.44000000006</v>
      </c>
      <c r="L963" s="153"/>
      <c r="M963" s="170">
        <v>956</v>
      </c>
      <c r="N963" s="164">
        <f>ROUND(F963*('Model Data Inputs'!$E$184*'Model Data Inputs'!$E$185*'Model Data Inputs'!$E$186*'Model Data Inputs'!$E$187),2)</f>
        <v>230.87</v>
      </c>
      <c r="O963" s="171">
        <f t="shared" si="59"/>
        <v>220711.72</v>
      </c>
    </row>
    <row r="964" spans="1:15" x14ac:dyDescent="0.2">
      <c r="A964" s="168">
        <v>957</v>
      </c>
      <c r="B964" s="159">
        <v>651.80459861789109</v>
      </c>
      <c r="C964" s="169">
        <f t="shared" si="56"/>
        <v>623777.00087732181</v>
      </c>
      <c r="D964" s="153"/>
      <c r="E964" s="170">
        <v>957</v>
      </c>
      <c r="F964" s="162">
        <v>230.77867478826622</v>
      </c>
      <c r="G964" s="171">
        <f t="shared" si="57"/>
        <v>220855.19177237077</v>
      </c>
      <c r="I964" s="168">
        <v>957</v>
      </c>
      <c r="J964" s="167">
        <f>ROUND(B964*('Model Data Inputs'!$E$184*'Model Data Inputs'!$E$185*'Model Data Inputs'!$E$186*'Model Data Inputs'!$E$187),2)</f>
        <v>651.79999999999995</v>
      </c>
      <c r="K964" s="169">
        <f t="shared" si="58"/>
        <v>623772.6</v>
      </c>
      <c r="L964" s="153"/>
      <c r="M964" s="170">
        <v>957</v>
      </c>
      <c r="N964" s="164">
        <f>ROUND(F964*('Model Data Inputs'!$E$184*'Model Data Inputs'!$E$185*'Model Data Inputs'!$E$186*'Model Data Inputs'!$E$187),2)</f>
        <v>230.78</v>
      </c>
      <c r="O964" s="171">
        <f t="shared" si="59"/>
        <v>220856.46</v>
      </c>
    </row>
    <row r="965" spans="1:15" x14ac:dyDescent="0.2">
      <c r="A965" s="168">
        <v>958</v>
      </c>
      <c r="B965" s="159">
        <v>651.61574296622791</v>
      </c>
      <c r="C965" s="169">
        <f t="shared" si="56"/>
        <v>624247.88176164636</v>
      </c>
      <c r="D965" s="153"/>
      <c r="E965" s="170">
        <v>958</v>
      </c>
      <c r="F965" s="162">
        <v>230.68428858679115</v>
      </c>
      <c r="G965" s="171">
        <f t="shared" si="57"/>
        <v>220995.54846614593</v>
      </c>
      <c r="I965" s="168">
        <v>958</v>
      </c>
      <c r="J965" s="167">
        <f>ROUND(B965*('Model Data Inputs'!$E$184*'Model Data Inputs'!$E$185*'Model Data Inputs'!$E$186*'Model Data Inputs'!$E$187),2)</f>
        <v>651.62</v>
      </c>
      <c r="K965" s="169">
        <f t="shared" si="58"/>
        <v>624251.96</v>
      </c>
      <c r="L965" s="153"/>
      <c r="M965" s="170">
        <v>958</v>
      </c>
      <c r="N965" s="164">
        <f>ROUND(F965*('Model Data Inputs'!$E$184*'Model Data Inputs'!$E$185*'Model Data Inputs'!$E$186*'Model Data Inputs'!$E$187),2)</f>
        <v>230.68</v>
      </c>
      <c r="O965" s="171">
        <f t="shared" si="59"/>
        <v>220991.44</v>
      </c>
    </row>
    <row r="966" spans="1:15" x14ac:dyDescent="0.2">
      <c r="A966" s="168">
        <v>959</v>
      </c>
      <c r="B966" s="159">
        <v>651.42688731456485</v>
      </c>
      <c r="C966" s="169">
        <f t="shared" si="56"/>
        <v>624718.38493466773</v>
      </c>
      <c r="D966" s="153"/>
      <c r="E966" s="170">
        <v>959</v>
      </c>
      <c r="F966" s="162">
        <v>230.58990238531615</v>
      </c>
      <c r="G966" s="171">
        <f t="shared" si="57"/>
        <v>221135.71638751819</v>
      </c>
      <c r="I966" s="168">
        <v>959</v>
      </c>
      <c r="J966" s="167">
        <f>ROUND(B966*('Model Data Inputs'!$E$184*'Model Data Inputs'!$E$185*'Model Data Inputs'!$E$186*'Model Data Inputs'!$E$187),2)</f>
        <v>651.42999999999995</v>
      </c>
      <c r="K966" s="169">
        <f t="shared" si="58"/>
        <v>624721.37</v>
      </c>
      <c r="L966" s="153"/>
      <c r="M966" s="170">
        <v>959</v>
      </c>
      <c r="N966" s="164">
        <f>ROUND(F966*('Model Data Inputs'!$E$184*'Model Data Inputs'!$E$185*'Model Data Inputs'!$E$186*'Model Data Inputs'!$E$187),2)</f>
        <v>230.59</v>
      </c>
      <c r="O966" s="171">
        <f t="shared" si="59"/>
        <v>221135.81</v>
      </c>
    </row>
    <row r="967" spans="1:15" x14ac:dyDescent="0.2">
      <c r="A967" s="168">
        <v>960</v>
      </c>
      <c r="B967" s="159">
        <v>651.23803166290168</v>
      </c>
      <c r="C967" s="169">
        <f t="shared" si="56"/>
        <v>625188.51039638557</v>
      </c>
      <c r="D967" s="153"/>
      <c r="E967" s="170">
        <v>960</v>
      </c>
      <c r="F967" s="162">
        <v>230.49551618384109</v>
      </c>
      <c r="G967" s="171">
        <f t="shared" si="57"/>
        <v>221275.69553648744</v>
      </c>
      <c r="I967" s="168">
        <v>960</v>
      </c>
      <c r="J967" s="167">
        <f>ROUND(B967*('Model Data Inputs'!$E$184*'Model Data Inputs'!$E$185*'Model Data Inputs'!$E$186*'Model Data Inputs'!$E$187),2)</f>
        <v>651.24</v>
      </c>
      <c r="K967" s="169">
        <f t="shared" si="58"/>
        <v>625190.40000000002</v>
      </c>
      <c r="L967" s="153"/>
      <c r="M967" s="170">
        <v>960</v>
      </c>
      <c r="N967" s="164">
        <f>ROUND(F967*('Model Data Inputs'!$E$184*'Model Data Inputs'!$E$185*'Model Data Inputs'!$E$186*'Model Data Inputs'!$E$187),2)</f>
        <v>230.5</v>
      </c>
      <c r="O967" s="171">
        <f t="shared" si="59"/>
        <v>221280</v>
      </c>
    </row>
    <row r="968" spans="1:15" x14ac:dyDescent="0.2">
      <c r="A968" s="168">
        <v>961</v>
      </c>
      <c r="B968" s="159">
        <v>651.04917601123873</v>
      </c>
      <c r="C968" s="169">
        <f t="shared" ref="C968:C1031" si="60">A968*B968</f>
        <v>625658.25814680045</v>
      </c>
      <c r="D968" s="153"/>
      <c r="E968" s="170">
        <v>961</v>
      </c>
      <c r="F968" s="162">
        <v>230.40112998236609</v>
      </c>
      <c r="G968" s="171">
        <f t="shared" ref="G968:G1031" si="61">E968*F968</f>
        <v>221415.4859130538</v>
      </c>
      <c r="I968" s="168">
        <v>961</v>
      </c>
      <c r="J968" s="167">
        <f>ROUND(B968*('Model Data Inputs'!$E$184*'Model Data Inputs'!$E$185*'Model Data Inputs'!$E$186*'Model Data Inputs'!$E$187),2)</f>
        <v>651.04999999999995</v>
      </c>
      <c r="K968" s="169">
        <f t="shared" ref="K968:K1031" si="62">I968*J968</f>
        <v>625659.04999999993</v>
      </c>
      <c r="L968" s="153"/>
      <c r="M968" s="170">
        <v>961</v>
      </c>
      <c r="N968" s="164">
        <f>ROUND(F968*('Model Data Inputs'!$E$184*'Model Data Inputs'!$E$185*'Model Data Inputs'!$E$186*'Model Data Inputs'!$E$187),2)</f>
        <v>230.4</v>
      </c>
      <c r="O968" s="171">
        <f t="shared" ref="O968:O1031" si="63">M968*N968</f>
        <v>221414.39999999999</v>
      </c>
    </row>
    <row r="969" spans="1:15" x14ac:dyDescent="0.2">
      <c r="A969" s="168">
        <v>962</v>
      </c>
      <c r="B969" s="159">
        <v>650.86032035957567</v>
      </c>
      <c r="C969" s="169">
        <f t="shared" si="60"/>
        <v>626127.6281859118</v>
      </c>
      <c r="D969" s="153"/>
      <c r="E969" s="170">
        <v>962</v>
      </c>
      <c r="F969" s="162">
        <v>230.30674378089103</v>
      </c>
      <c r="G969" s="171">
        <f t="shared" si="61"/>
        <v>221555.08751721718</v>
      </c>
      <c r="I969" s="168">
        <v>962</v>
      </c>
      <c r="J969" s="167">
        <f>ROUND(B969*('Model Data Inputs'!$E$184*'Model Data Inputs'!$E$185*'Model Data Inputs'!$E$186*'Model Data Inputs'!$E$187),2)</f>
        <v>650.86</v>
      </c>
      <c r="K969" s="169">
        <f t="shared" si="62"/>
        <v>626127.32000000007</v>
      </c>
      <c r="L969" s="153"/>
      <c r="M969" s="170">
        <v>962</v>
      </c>
      <c r="N969" s="164">
        <f>ROUND(F969*('Model Data Inputs'!$E$184*'Model Data Inputs'!$E$185*'Model Data Inputs'!$E$186*'Model Data Inputs'!$E$187),2)</f>
        <v>230.31</v>
      </c>
      <c r="O969" s="171">
        <f t="shared" si="63"/>
        <v>221558.22</v>
      </c>
    </row>
    <row r="970" spans="1:15" x14ac:dyDescent="0.2">
      <c r="A970" s="168">
        <v>963</v>
      </c>
      <c r="B970" s="159">
        <v>650.67146470791272</v>
      </c>
      <c r="C970" s="169">
        <f t="shared" si="60"/>
        <v>626596.62051371997</v>
      </c>
      <c r="D970" s="153"/>
      <c r="E970" s="170">
        <v>963</v>
      </c>
      <c r="F970" s="162">
        <v>230.21235757941596</v>
      </c>
      <c r="G970" s="171">
        <f t="shared" si="61"/>
        <v>221694.50034897757</v>
      </c>
      <c r="I970" s="168">
        <v>963</v>
      </c>
      <c r="J970" s="167">
        <f>ROUND(B970*('Model Data Inputs'!$E$184*'Model Data Inputs'!$E$185*'Model Data Inputs'!$E$186*'Model Data Inputs'!$E$187),2)</f>
        <v>650.66999999999996</v>
      </c>
      <c r="K970" s="169">
        <f t="shared" si="62"/>
        <v>626595.21</v>
      </c>
      <c r="L970" s="153"/>
      <c r="M970" s="170">
        <v>963</v>
      </c>
      <c r="N970" s="164">
        <f>ROUND(F970*('Model Data Inputs'!$E$184*'Model Data Inputs'!$E$185*'Model Data Inputs'!$E$186*'Model Data Inputs'!$E$187),2)</f>
        <v>230.21</v>
      </c>
      <c r="O970" s="171">
        <f t="shared" si="63"/>
        <v>221692.23</v>
      </c>
    </row>
    <row r="971" spans="1:15" x14ac:dyDescent="0.2">
      <c r="A971" s="168">
        <v>964</v>
      </c>
      <c r="B971" s="159">
        <v>650.48260905624932</v>
      </c>
      <c r="C971" s="169">
        <f t="shared" si="60"/>
        <v>627065.23513022438</v>
      </c>
      <c r="D971" s="153"/>
      <c r="E971" s="170">
        <v>964</v>
      </c>
      <c r="F971" s="162">
        <v>230.1179713779409</v>
      </c>
      <c r="G971" s="171">
        <f t="shared" si="61"/>
        <v>221833.72440833502</v>
      </c>
      <c r="I971" s="168">
        <v>964</v>
      </c>
      <c r="J971" s="167">
        <f>ROUND(B971*('Model Data Inputs'!$E$184*'Model Data Inputs'!$E$185*'Model Data Inputs'!$E$186*'Model Data Inputs'!$E$187),2)</f>
        <v>650.48</v>
      </c>
      <c r="K971" s="169">
        <f t="shared" si="62"/>
        <v>627062.72</v>
      </c>
      <c r="L971" s="153"/>
      <c r="M971" s="170">
        <v>964</v>
      </c>
      <c r="N971" s="164">
        <f>ROUND(F971*('Model Data Inputs'!$E$184*'Model Data Inputs'!$E$185*'Model Data Inputs'!$E$186*'Model Data Inputs'!$E$187),2)</f>
        <v>230.12</v>
      </c>
      <c r="O971" s="171">
        <f t="shared" si="63"/>
        <v>221835.68</v>
      </c>
    </row>
    <row r="972" spans="1:15" x14ac:dyDescent="0.2">
      <c r="A972" s="168">
        <v>965</v>
      </c>
      <c r="B972" s="159">
        <v>650.29375340458625</v>
      </c>
      <c r="C972" s="169">
        <f t="shared" si="60"/>
        <v>627533.47203542572</v>
      </c>
      <c r="D972" s="153"/>
      <c r="E972" s="170">
        <v>965</v>
      </c>
      <c r="F972" s="162">
        <v>230.0235851764659</v>
      </c>
      <c r="G972" s="171">
        <f t="shared" si="61"/>
        <v>221972.7596952896</v>
      </c>
      <c r="I972" s="168">
        <v>965</v>
      </c>
      <c r="J972" s="167">
        <f>ROUND(B972*('Model Data Inputs'!$E$184*'Model Data Inputs'!$E$185*'Model Data Inputs'!$E$186*'Model Data Inputs'!$E$187),2)</f>
        <v>650.29</v>
      </c>
      <c r="K972" s="169">
        <f t="shared" si="62"/>
        <v>627529.85</v>
      </c>
      <c r="L972" s="153"/>
      <c r="M972" s="170">
        <v>965</v>
      </c>
      <c r="N972" s="164">
        <f>ROUND(F972*('Model Data Inputs'!$E$184*'Model Data Inputs'!$E$185*'Model Data Inputs'!$E$186*'Model Data Inputs'!$E$187),2)</f>
        <v>230.02</v>
      </c>
      <c r="O972" s="171">
        <f t="shared" si="63"/>
        <v>221969.30000000002</v>
      </c>
    </row>
    <row r="973" spans="1:15" x14ac:dyDescent="0.2">
      <c r="A973" s="168">
        <v>966</v>
      </c>
      <c r="B973" s="159">
        <v>650.10489775292308</v>
      </c>
      <c r="C973" s="169">
        <f t="shared" si="60"/>
        <v>628001.33122932364</v>
      </c>
      <c r="D973" s="153"/>
      <c r="E973" s="170">
        <v>966</v>
      </c>
      <c r="F973" s="162">
        <v>229.9291989749909</v>
      </c>
      <c r="G973" s="171">
        <f t="shared" si="61"/>
        <v>222111.60620984121</v>
      </c>
      <c r="I973" s="168">
        <v>966</v>
      </c>
      <c r="J973" s="167">
        <f>ROUND(B973*('Model Data Inputs'!$E$184*'Model Data Inputs'!$E$185*'Model Data Inputs'!$E$186*'Model Data Inputs'!$E$187),2)</f>
        <v>650.1</v>
      </c>
      <c r="K973" s="169">
        <f t="shared" si="62"/>
        <v>627996.6</v>
      </c>
      <c r="L973" s="153"/>
      <c r="M973" s="170">
        <v>966</v>
      </c>
      <c r="N973" s="164">
        <f>ROUND(F973*('Model Data Inputs'!$E$184*'Model Data Inputs'!$E$185*'Model Data Inputs'!$E$186*'Model Data Inputs'!$E$187),2)</f>
        <v>229.93</v>
      </c>
      <c r="O973" s="171">
        <f t="shared" si="63"/>
        <v>222112.38</v>
      </c>
    </row>
    <row r="974" spans="1:15" x14ac:dyDescent="0.2">
      <c r="A974" s="168">
        <v>967</v>
      </c>
      <c r="B974" s="159">
        <v>649.91604210126013</v>
      </c>
      <c r="C974" s="169">
        <f t="shared" si="60"/>
        <v>628468.81271191849</v>
      </c>
      <c r="D974" s="153"/>
      <c r="E974" s="170">
        <v>967</v>
      </c>
      <c r="F974" s="162">
        <v>229.83481277351584</v>
      </c>
      <c r="G974" s="171">
        <f t="shared" si="61"/>
        <v>222250.26395198982</v>
      </c>
      <c r="I974" s="168">
        <v>967</v>
      </c>
      <c r="J974" s="167">
        <f>ROUND(B974*('Model Data Inputs'!$E$184*'Model Data Inputs'!$E$185*'Model Data Inputs'!$E$186*'Model Data Inputs'!$E$187),2)</f>
        <v>649.91999999999996</v>
      </c>
      <c r="K974" s="169">
        <f t="shared" si="62"/>
        <v>628472.64</v>
      </c>
      <c r="L974" s="153"/>
      <c r="M974" s="170">
        <v>967</v>
      </c>
      <c r="N974" s="164">
        <f>ROUND(F974*('Model Data Inputs'!$E$184*'Model Data Inputs'!$E$185*'Model Data Inputs'!$E$186*'Model Data Inputs'!$E$187),2)</f>
        <v>229.83</v>
      </c>
      <c r="O974" s="171">
        <f t="shared" si="63"/>
        <v>222245.61000000002</v>
      </c>
    </row>
    <row r="975" spans="1:15" x14ac:dyDescent="0.2">
      <c r="A975" s="168">
        <v>968</v>
      </c>
      <c r="B975" s="159">
        <v>649.72718644959718</v>
      </c>
      <c r="C975" s="169">
        <f t="shared" si="60"/>
        <v>628935.91648321005</v>
      </c>
      <c r="D975" s="153"/>
      <c r="E975" s="170">
        <v>968</v>
      </c>
      <c r="F975" s="162">
        <v>229.7404265720408</v>
      </c>
      <c r="G975" s="171">
        <f t="shared" si="61"/>
        <v>222388.7329217355</v>
      </c>
      <c r="I975" s="168">
        <v>968</v>
      </c>
      <c r="J975" s="167">
        <f>ROUND(B975*('Model Data Inputs'!$E$184*'Model Data Inputs'!$E$185*'Model Data Inputs'!$E$186*'Model Data Inputs'!$E$187),2)</f>
        <v>649.73</v>
      </c>
      <c r="K975" s="169">
        <f t="shared" si="62"/>
        <v>628938.64</v>
      </c>
      <c r="L975" s="153"/>
      <c r="M975" s="170">
        <v>968</v>
      </c>
      <c r="N975" s="164">
        <f>ROUND(F975*('Model Data Inputs'!$E$184*'Model Data Inputs'!$E$185*'Model Data Inputs'!$E$186*'Model Data Inputs'!$E$187),2)</f>
        <v>229.74</v>
      </c>
      <c r="O975" s="171">
        <f t="shared" si="63"/>
        <v>222388.32</v>
      </c>
    </row>
    <row r="976" spans="1:15" x14ac:dyDescent="0.2">
      <c r="A976" s="168">
        <v>969</v>
      </c>
      <c r="B976" s="159">
        <v>649.53833079793412</v>
      </c>
      <c r="C976" s="169">
        <f t="shared" si="60"/>
        <v>629402.64254319819</v>
      </c>
      <c r="D976" s="153"/>
      <c r="E976" s="170">
        <v>969</v>
      </c>
      <c r="F976" s="162">
        <v>229.64604037056577</v>
      </c>
      <c r="G976" s="171">
        <f t="shared" si="61"/>
        <v>222527.01311907824</v>
      </c>
      <c r="I976" s="168">
        <v>969</v>
      </c>
      <c r="J976" s="167">
        <f>ROUND(B976*('Model Data Inputs'!$E$184*'Model Data Inputs'!$E$185*'Model Data Inputs'!$E$186*'Model Data Inputs'!$E$187),2)</f>
        <v>649.54</v>
      </c>
      <c r="K976" s="169">
        <f t="shared" si="62"/>
        <v>629404.26</v>
      </c>
      <c r="L976" s="153"/>
      <c r="M976" s="170">
        <v>969</v>
      </c>
      <c r="N976" s="164">
        <f>ROUND(F976*('Model Data Inputs'!$E$184*'Model Data Inputs'!$E$185*'Model Data Inputs'!$E$186*'Model Data Inputs'!$E$187),2)</f>
        <v>229.65</v>
      </c>
      <c r="O976" s="171">
        <f t="shared" si="63"/>
        <v>222530.85</v>
      </c>
    </row>
    <row r="977" spans="1:15" x14ac:dyDescent="0.2">
      <c r="A977" s="168">
        <v>970</v>
      </c>
      <c r="B977" s="159">
        <v>649.34947514627106</v>
      </c>
      <c r="C977" s="169">
        <f t="shared" si="60"/>
        <v>629868.99089188292</v>
      </c>
      <c r="D977" s="153"/>
      <c r="E977" s="170">
        <v>970</v>
      </c>
      <c r="F977" s="162">
        <v>229.55165416909077</v>
      </c>
      <c r="G977" s="171">
        <f t="shared" si="61"/>
        <v>222665.10454401805</v>
      </c>
      <c r="I977" s="168">
        <v>970</v>
      </c>
      <c r="J977" s="167">
        <f>ROUND(B977*('Model Data Inputs'!$E$184*'Model Data Inputs'!$E$185*'Model Data Inputs'!$E$186*'Model Data Inputs'!$E$187),2)</f>
        <v>649.35</v>
      </c>
      <c r="K977" s="169">
        <f t="shared" si="62"/>
        <v>629869.5</v>
      </c>
      <c r="L977" s="153"/>
      <c r="M977" s="170">
        <v>970</v>
      </c>
      <c r="N977" s="164">
        <f>ROUND(F977*('Model Data Inputs'!$E$184*'Model Data Inputs'!$E$185*'Model Data Inputs'!$E$186*'Model Data Inputs'!$E$187),2)</f>
        <v>229.55</v>
      </c>
      <c r="O977" s="171">
        <f t="shared" si="63"/>
        <v>222663.5</v>
      </c>
    </row>
    <row r="978" spans="1:15" x14ac:dyDescent="0.2">
      <c r="A978" s="168">
        <v>971</v>
      </c>
      <c r="B978" s="159">
        <v>649.16061949460789</v>
      </c>
      <c r="C978" s="169">
        <f t="shared" si="60"/>
        <v>630334.96152926423</v>
      </c>
      <c r="D978" s="153"/>
      <c r="E978" s="170">
        <v>971</v>
      </c>
      <c r="F978" s="162">
        <v>229.45726796761571</v>
      </c>
      <c r="G978" s="171">
        <f t="shared" si="61"/>
        <v>222803.00719655486</v>
      </c>
      <c r="I978" s="168">
        <v>971</v>
      </c>
      <c r="J978" s="167">
        <f>ROUND(B978*('Model Data Inputs'!$E$184*'Model Data Inputs'!$E$185*'Model Data Inputs'!$E$186*'Model Data Inputs'!$E$187),2)</f>
        <v>649.16</v>
      </c>
      <c r="K978" s="169">
        <f t="shared" si="62"/>
        <v>630334.36</v>
      </c>
      <c r="L978" s="153"/>
      <c r="M978" s="170">
        <v>971</v>
      </c>
      <c r="N978" s="164">
        <f>ROUND(F978*('Model Data Inputs'!$E$184*'Model Data Inputs'!$E$185*'Model Data Inputs'!$E$186*'Model Data Inputs'!$E$187),2)</f>
        <v>229.46</v>
      </c>
      <c r="O978" s="171">
        <f t="shared" si="63"/>
        <v>222805.66</v>
      </c>
    </row>
    <row r="979" spans="1:15" x14ac:dyDescent="0.2">
      <c r="A979" s="168">
        <v>972</v>
      </c>
      <c r="B979" s="159">
        <v>648.97176384294494</v>
      </c>
      <c r="C979" s="169">
        <f t="shared" si="60"/>
        <v>630800.55445534247</v>
      </c>
      <c r="D979" s="153"/>
      <c r="E979" s="170">
        <v>972</v>
      </c>
      <c r="F979" s="162">
        <v>229.36288176614065</v>
      </c>
      <c r="G979" s="171">
        <f t="shared" si="61"/>
        <v>222940.7210766887</v>
      </c>
      <c r="I979" s="168">
        <v>972</v>
      </c>
      <c r="J979" s="167">
        <f>ROUND(B979*('Model Data Inputs'!$E$184*'Model Data Inputs'!$E$185*'Model Data Inputs'!$E$186*'Model Data Inputs'!$E$187),2)</f>
        <v>648.97</v>
      </c>
      <c r="K979" s="169">
        <f t="shared" si="62"/>
        <v>630798.84000000008</v>
      </c>
      <c r="L979" s="153"/>
      <c r="M979" s="170">
        <v>972</v>
      </c>
      <c r="N979" s="164">
        <f>ROUND(F979*('Model Data Inputs'!$E$184*'Model Data Inputs'!$E$185*'Model Data Inputs'!$E$186*'Model Data Inputs'!$E$187),2)</f>
        <v>229.36</v>
      </c>
      <c r="O979" s="171">
        <f t="shared" si="63"/>
        <v>222937.92</v>
      </c>
    </row>
    <row r="980" spans="1:15" x14ac:dyDescent="0.2">
      <c r="A980" s="168">
        <v>973</v>
      </c>
      <c r="B980" s="159">
        <v>648.78290819128176</v>
      </c>
      <c r="C980" s="169">
        <f t="shared" si="60"/>
        <v>631265.76967011718</v>
      </c>
      <c r="D980" s="153"/>
      <c r="E980" s="170">
        <v>973</v>
      </c>
      <c r="F980" s="162">
        <v>229.26849556466556</v>
      </c>
      <c r="G980" s="171">
        <f t="shared" si="61"/>
        <v>223078.24618441958</v>
      </c>
      <c r="I980" s="168">
        <v>973</v>
      </c>
      <c r="J980" s="167">
        <f>ROUND(B980*('Model Data Inputs'!$E$184*'Model Data Inputs'!$E$185*'Model Data Inputs'!$E$186*'Model Data Inputs'!$E$187),2)</f>
        <v>648.78</v>
      </c>
      <c r="K980" s="169">
        <f t="shared" si="62"/>
        <v>631262.93999999994</v>
      </c>
      <c r="L980" s="153"/>
      <c r="M980" s="170">
        <v>973</v>
      </c>
      <c r="N980" s="164">
        <f>ROUND(F980*('Model Data Inputs'!$E$184*'Model Data Inputs'!$E$185*'Model Data Inputs'!$E$186*'Model Data Inputs'!$E$187),2)</f>
        <v>229.27</v>
      </c>
      <c r="O980" s="171">
        <f t="shared" si="63"/>
        <v>223079.71000000002</v>
      </c>
    </row>
    <row r="981" spans="1:15" x14ac:dyDescent="0.2">
      <c r="A981" s="168">
        <v>974</v>
      </c>
      <c r="B981" s="159">
        <v>648.59405253961881</v>
      </c>
      <c r="C981" s="169">
        <f t="shared" si="60"/>
        <v>631730.60717358871</v>
      </c>
      <c r="D981" s="153"/>
      <c r="E981" s="170">
        <v>974</v>
      </c>
      <c r="F981" s="162">
        <v>229.17410936319055</v>
      </c>
      <c r="G981" s="171">
        <f t="shared" si="61"/>
        <v>223215.58251974761</v>
      </c>
      <c r="I981" s="168">
        <v>974</v>
      </c>
      <c r="J981" s="167">
        <f>ROUND(B981*('Model Data Inputs'!$E$184*'Model Data Inputs'!$E$185*'Model Data Inputs'!$E$186*'Model Data Inputs'!$E$187),2)</f>
        <v>648.59</v>
      </c>
      <c r="K981" s="169">
        <f t="shared" si="62"/>
        <v>631726.66</v>
      </c>
      <c r="L981" s="153"/>
      <c r="M981" s="170">
        <v>974</v>
      </c>
      <c r="N981" s="164">
        <f>ROUND(F981*('Model Data Inputs'!$E$184*'Model Data Inputs'!$E$185*'Model Data Inputs'!$E$186*'Model Data Inputs'!$E$187),2)</f>
        <v>229.17</v>
      </c>
      <c r="O981" s="171">
        <f t="shared" si="63"/>
        <v>223211.58</v>
      </c>
    </row>
    <row r="982" spans="1:15" x14ac:dyDescent="0.2">
      <c r="A982" s="168">
        <v>975</v>
      </c>
      <c r="B982" s="159">
        <v>648.40519688795541</v>
      </c>
      <c r="C982" s="169">
        <f t="shared" si="60"/>
        <v>632195.06696575647</v>
      </c>
      <c r="D982" s="153"/>
      <c r="E982" s="170">
        <v>975</v>
      </c>
      <c r="F982" s="162">
        <v>229.07972316171549</v>
      </c>
      <c r="G982" s="171">
        <f t="shared" si="61"/>
        <v>223352.73008267261</v>
      </c>
      <c r="I982" s="168">
        <v>975</v>
      </c>
      <c r="J982" s="167">
        <f>ROUND(B982*('Model Data Inputs'!$E$184*'Model Data Inputs'!$E$185*'Model Data Inputs'!$E$186*'Model Data Inputs'!$E$187),2)</f>
        <v>648.41</v>
      </c>
      <c r="K982" s="169">
        <f t="shared" si="62"/>
        <v>632199.75</v>
      </c>
      <c r="L982" s="153"/>
      <c r="M982" s="170">
        <v>975</v>
      </c>
      <c r="N982" s="164">
        <f>ROUND(F982*('Model Data Inputs'!$E$184*'Model Data Inputs'!$E$185*'Model Data Inputs'!$E$186*'Model Data Inputs'!$E$187),2)</f>
        <v>229.08</v>
      </c>
      <c r="O982" s="171">
        <f t="shared" si="63"/>
        <v>223353</v>
      </c>
    </row>
    <row r="983" spans="1:15" x14ac:dyDescent="0.2">
      <c r="A983" s="168">
        <v>976</v>
      </c>
      <c r="B983" s="159">
        <v>648.21634123629224</v>
      </c>
      <c r="C983" s="169">
        <f t="shared" si="60"/>
        <v>632659.14904662117</v>
      </c>
      <c r="D983" s="153"/>
      <c r="E983" s="170">
        <v>976</v>
      </c>
      <c r="F983" s="162">
        <v>228.98533696024049</v>
      </c>
      <c r="G983" s="171">
        <f t="shared" si="61"/>
        <v>223489.68887319471</v>
      </c>
      <c r="I983" s="168">
        <v>976</v>
      </c>
      <c r="J983" s="167">
        <f>ROUND(B983*('Model Data Inputs'!$E$184*'Model Data Inputs'!$E$185*'Model Data Inputs'!$E$186*'Model Data Inputs'!$E$187),2)</f>
        <v>648.22</v>
      </c>
      <c r="K983" s="169">
        <f t="shared" si="62"/>
        <v>632662.72</v>
      </c>
      <c r="L983" s="153"/>
      <c r="M983" s="170">
        <v>976</v>
      </c>
      <c r="N983" s="164">
        <f>ROUND(F983*('Model Data Inputs'!$E$184*'Model Data Inputs'!$E$185*'Model Data Inputs'!$E$186*'Model Data Inputs'!$E$187),2)</f>
        <v>228.99</v>
      </c>
      <c r="O983" s="171">
        <f t="shared" si="63"/>
        <v>223494.24000000002</v>
      </c>
    </row>
    <row r="984" spans="1:15" x14ac:dyDescent="0.2">
      <c r="A984" s="168">
        <v>977</v>
      </c>
      <c r="B984" s="159">
        <v>648.02748558462918</v>
      </c>
      <c r="C984" s="169">
        <f t="shared" si="60"/>
        <v>633122.85341618268</v>
      </c>
      <c r="D984" s="153"/>
      <c r="E984" s="170">
        <v>977</v>
      </c>
      <c r="F984" s="162">
        <v>228.89095075876543</v>
      </c>
      <c r="G984" s="171">
        <f t="shared" si="61"/>
        <v>223626.45889131381</v>
      </c>
      <c r="I984" s="168">
        <v>977</v>
      </c>
      <c r="J984" s="167">
        <f>ROUND(B984*('Model Data Inputs'!$E$184*'Model Data Inputs'!$E$185*'Model Data Inputs'!$E$186*'Model Data Inputs'!$E$187),2)</f>
        <v>648.03</v>
      </c>
      <c r="K984" s="169">
        <f t="shared" si="62"/>
        <v>633125.30999999994</v>
      </c>
      <c r="L984" s="153"/>
      <c r="M984" s="170">
        <v>977</v>
      </c>
      <c r="N984" s="164">
        <f>ROUND(F984*('Model Data Inputs'!$E$184*'Model Data Inputs'!$E$185*'Model Data Inputs'!$E$186*'Model Data Inputs'!$E$187),2)</f>
        <v>228.89</v>
      </c>
      <c r="O984" s="171">
        <f t="shared" si="63"/>
        <v>223625.53</v>
      </c>
    </row>
    <row r="985" spans="1:15" x14ac:dyDescent="0.2">
      <c r="A985" s="168">
        <v>978</v>
      </c>
      <c r="B985" s="159">
        <v>647.83862993296623</v>
      </c>
      <c r="C985" s="169">
        <f t="shared" si="60"/>
        <v>633586.18007444101</v>
      </c>
      <c r="D985" s="153"/>
      <c r="E985" s="170">
        <v>978</v>
      </c>
      <c r="F985" s="162">
        <v>228.79656455729042</v>
      </c>
      <c r="G985" s="171">
        <f t="shared" si="61"/>
        <v>223763.04013703004</v>
      </c>
      <c r="I985" s="168">
        <v>978</v>
      </c>
      <c r="J985" s="167">
        <f>ROUND(B985*('Model Data Inputs'!$E$184*'Model Data Inputs'!$E$185*'Model Data Inputs'!$E$186*'Model Data Inputs'!$E$187),2)</f>
        <v>647.84</v>
      </c>
      <c r="K985" s="169">
        <f t="shared" si="62"/>
        <v>633587.52</v>
      </c>
      <c r="L985" s="153"/>
      <c r="M985" s="170">
        <v>978</v>
      </c>
      <c r="N985" s="164">
        <f>ROUND(F985*('Model Data Inputs'!$E$184*'Model Data Inputs'!$E$185*'Model Data Inputs'!$E$186*'Model Data Inputs'!$E$187),2)</f>
        <v>228.8</v>
      </c>
      <c r="O985" s="171">
        <f t="shared" si="63"/>
        <v>223766.40000000002</v>
      </c>
    </row>
    <row r="986" spans="1:15" x14ac:dyDescent="0.2">
      <c r="A986" s="168">
        <v>979</v>
      </c>
      <c r="B986" s="159">
        <v>647.64977428130317</v>
      </c>
      <c r="C986" s="169">
        <f t="shared" si="60"/>
        <v>634049.12902139581</v>
      </c>
      <c r="D986" s="153"/>
      <c r="E986" s="170">
        <v>979</v>
      </c>
      <c r="F986" s="162">
        <v>228.70217835581536</v>
      </c>
      <c r="G986" s="171">
        <f t="shared" si="61"/>
        <v>223899.43261034324</v>
      </c>
      <c r="I986" s="168">
        <v>979</v>
      </c>
      <c r="J986" s="167">
        <f>ROUND(B986*('Model Data Inputs'!$E$184*'Model Data Inputs'!$E$185*'Model Data Inputs'!$E$186*'Model Data Inputs'!$E$187),2)</f>
        <v>647.65</v>
      </c>
      <c r="K986" s="169">
        <f t="shared" si="62"/>
        <v>634049.35</v>
      </c>
      <c r="L986" s="153"/>
      <c r="M986" s="170">
        <v>979</v>
      </c>
      <c r="N986" s="164">
        <f>ROUND(F986*('Model Data Inputs'!$E$184*'Model Data Inputs'!$E$185*'Model Data Inputs'!$E$186*'Model Data Inputs'!$E$187),2)</f>
        <v>228.7</v>
      </c>
      <c r="O986" s="171">
        <f t="shared" si="63"/>
        <v>223897.3</v>
      </c>
    </row>
    <row r="987" spans="1:15" x14ac:dyDescent="0.2">
      <c r="A987" s="168">
        <v>980</v>
      </c>
      <c r="B987" s="159">
        <v>647.4609186296401</v>
      </c>
      <c r="C987" s="169">
        <f t="shared" si="60"/>
        <v>634511.70025704731</v>
      </c>
      <c r="D987" s="153"/>
      <c r="E987" s="170">
        <v>980</v>
      </c>
      <c r="F987" s="162">
        <v>228.60779215434036</v>
      </c>
      <c r="G987" s="171">
        <f t="shared" si="61"/>
        <v>224035.63631125356</v>
      </c>
      <c r="I987" s="168">
        <v>980</v>
      </c>
      <c r="J987" s="167">
        <f>ROUND(B987*('Model Data Inputs'!$E$184*'Model Data Inputs'!$E$185*'Model Data Inputs'!$E$186*'Model Data Inputs'!$E$187),2)</f>
        <v>647.46</v>
      </c>
      <c r="K987" s="169">
        <f t="shared" si="62"/>
        <v>634510.80000000005</v>
      </c>
      <c r="L987" s="153"/>
      <c r="M987" s="170">
        <v>980</v>
      </c>
      <c r="N987" s="164">
        <f>ROUND(F987*('Model Data Inputs'!$E$184*'Model Data Inputs'!$E$185*'Model Data Inputs'!$E$186*'Model Data Inputs'!$E$187),2)</f>
        <v>228.61</v>
      </c>
      <c r="O987" s="171">
        <f t="shared" si="63"/>
        <v>224037.80000000002</v>
      </c>
    </row>
    <row r="988" spans="1:15" x14ac:dyDescent="0.2">
      <c r="A988" s="168">
        <v>981</v>
      </c>
      <c r="B988" s="159">
        <v>647.27206297797704</v>
      </c>
      <c r="C988" s="169">
        <f t="shared" si="60"/>
        <v>634973.89378139551</v>
      </c>
      <c r="D988" s="153"/>
      <c r="E988" s="170">
        <v>981</v>
      </c>
      <c r="F988" s="162">
        <v>228.51340595286536</v>
      </c>
      <c r="G988" s="171">
        <f t="shared" si="61"/>
        <v>224171.65123976092</v>
      </c>
      <c r="I988" s="168">
        <v>981</v>
      </c>
      <c r="J988" s="167">
        <f>ROUND(B988*('Model Data Inputs'!$E$184*'Model Data Inputs'!$E$185*'Model Data Inputs'!$E$186*'Model Data Inputs'!$E$187),2)</f>
        <v>647.27</v>
      </c>
      <c r="K988" s="169">
        <f t="shared" si="62"/>
        <v>634971.87</v>
      </c>
      <c r="L988" s="153"/>
      <c r="M988" s="170">
        <v>981</v>
      </c>
      <c r="N988" s="164">
        <f>ROUND(F988*('Model Data Inputs'!$E$184*'Model Data Inputs'!$E$185*'Model Data Inputs'!$E$186*'Model Data Inputs'!$E$187),2)</f>
        <v>228.51</v>
      </c>
      <c r="O988" s="171">
        <f t="shared" si="63"/>
        <v>224168.31</v>
      </c>
    </row>
    <row r="989" spans="1:15" x14ac:dyDescent="0.2">
      <c r="A989" s="168">
        <v>982</v>
      </c>
      <c r="B989" s="159">
        <v>647.08320732631387</v>
      </c>
      <c r="C989" s="169">
        <f t="shared" si="60"/>
        <v>635435.70959444018</v>
      </c>
      <c r="D989" s="153"/>
      <c r="E989" s="170">
        <v>982</v>
      </c>
      <c r="F989" s="162">
        <v>228.41901975139032</v>
      </c>
      <c r="G989" s="171">
        <f t="shared" si="61"/>
        <v>224307.47739586531</v>
      </c>
      <c r="I989" s="168">
        <v>982</v>
      </c>
      <c r="J989" s="167">
        <f>ROUND(B989*('Model Data Inputs'!$E$184*'Model Data Inputs'!$E$185*'Model Data Inputs'!$E$186*'Model Data Inputs'!$E$187),2)</f>
        <v>647.08000000000004</v>
      </c>
      <c r="K989" s="169">
        <f t="shared" si="62"/>
        <v>635432.56000000006</v>
      </c>
      <c r="L989" s="153"/>
      <c r="M989" s="170">
        <v>982</v>
      </c>
      <c r="N989" s="164">
        <f>ROUND(F989*('Model Data Inputs'!$E$184*'Model Data Inputs'!$E$185*'Model Data Inputs'!$E$186*'Model Data Inputs'!$E$187),2)</f>
        <v>228.42</v>
      </c>
      <c r="O989" s="171">
        <f t="shared" si="63"/>
        <v>224308.43999999997</v>
      </c>
    </row>
    <row r="990" spans="1:15" x14ac:dyDescent="0.2">
      <c r="A990" s="168">
        <v>983</v>
      </c>
      <c r="B990" s="159">
        <v>646.89435167465092</v>
      </c>
      <c r="C990" s="169">
        <f t="shared" si="60"/>
        <v>635897.1476961819</v>
      </c>
      <c r="D990" s="153"/>
      <c r="E990" s="170">
        <v>983</v>
      </c>
      <c r="F990" s="162">
        <v>228.32463354991521</v>
      </c>
      <c r="G990" s="171">
        <f t="shared" si="61"/>
        <v>224443.11477956665</v>
      </c>
      <c r="I990" s="168">
        <v>983</v>
      </c>
      <c r="J990" s="167">
        <f>ROUND(B990*('Model Data Inputs'!$E$184*'Model Data Inputs'!$E$185*'Model Data Inputs'!$E$186*'Model Data Inputs'!$E$187),2)</f>
        <v>646.89</v>
      </c>
      <c r="K990" s="169">
        <f t="shared" si="62"/>
        <v>635892.87</v>
      </c>
      <c r="L990" s="153"/>
      <c r="M990" s="170">
        <v>983</v>
      </c>
      <c r="N990" s="164">
        <f>ROUND(F990*('Model Data Inputs'!$E$184*'Model Data Inputs'!$E$185*'Model Data Inputs'!$E$186*'Model Data Inputs'!$E$187),2)</f>
        <v>228.32</v>
      </c>
      <c r="O990" s="171">
        <f t="shared" si="63"/>
        <v>224438.56</v>
      </c>
    </row>
    <row r="991" spans="1:15" x14ac:dyDescent="0.2">
      <c r="A991" s="168">
        <v>984</v>
      </c>
      <c r="B991" s="159">
        <v>646.70549602298786</v>
      </c>
      <c r="C991" s="169">
        <f t="shared" si="60"/>
        <v>636358.20808662008</v>
      </c>
      <c r="D991" s="153"/>
      <c r="E991" s="170">
        <v>984</v>
      </c>
      <c r="F991" s="162">
        <v>228.2302473484402</v>
      </c>
      <c r="G991" s="171">
        <f t="shared" si="61"/>
        <v>224578.56339086517</v>
      </c>
      <c r="I991" s="168">
        <v>984</v>
      </c>
      <c r="J991" s="167">
        <f>ROUND(B991*('Model Data Inputs'!$E$184*'Model Data Inputs'!$E$185*'Model Data Inputs'!$E$186*'Model Data Inputs'!$E$187),2)</f>
        <v>646.71</v>
      </c>
      <c r="K991" s="169">
        <f t="shared" si="62"/>
        <v>636362.64</v>
      </c>
      <c r="L991" s="153"/>
      <c r="M991" s="170">
        <v>984</v>
      </c>
      <c r="N991" s="164">
        <f>ROUND(F991*('Model Data Inputs'!$E$184*'Model Data Inputs'!$E$185*'Model Data Inputs'!$E$186*'Model Data Inputs'!$E$187),2)</f>
        <v>228.23</v>
      </c>
      <c r="O991" s="171">
        <f t="shared" si="63"/>
        <v>224578.31999999998</v>
      </c>
    </row>
    <row r="992" spans="1:15" x14ac:dyDescent="0.2">
      <c r="A992" s="168">
        <v>985</v>
      </c>
      <c r="B992" s="159">
        <v>646.51664037132468</v>
      </c>
      <c r="C992" s="169">
        <f t="shared" si="60"/>
        <v>636818.89076575486</v>
      </c>
      <c r="D992" s="153"/>
      <c r="E992" s="170">
        <v>985</v>
      </c>
      <c r="F992" s="162">
        <v>228.13586114696517</v>
      </c>
      <c r="G992" s="171">
        <f t="shared" si="61"/>
        <v>224713.82322976069</v>
      </c>
      <c r="I992" s="168">
        <v>985</v>
      </c>
      <c r="J992" s="167">
        <f>ROUND(B992*('Model Data Inputs'!$E$184*'Model Data Inputs'!$E$185*'Model Data Inputs'!$E$186*'Model Data Inputs'!$E$187),2)</f>
        <v>646.52</v>
      </c>
      <c r="K992" s="169">
        <f t="shared" si="62"/>
        <v>636822.19999999995</v>
      </c>
      <c r="L992" s="153"/>
      <c r="M992" s="170">
        <v>985</v>
      </c>
      <c r="N992" s="164">
        <f>ROUND(F992*('Model Data Inputs'!$E$184*'Model Data Inputs'!$E$185*'Model Data Inputs'!$E$186*'Model Data Inputs'!$E$187),2)</f>
        <v>228.14</v>
      </c>
      <c r="O992" s="171">
        <f t="shared" si="63"/>
        <v>224717.9</v>
      </c>
    </row>
    <row r="993" spans="1:15" x14ac:dyDescent="0.2">
      <c r="A993" s="168">
        <v>986</v>
      </c>
      <c r="B993" s="159">
        <v>646.32778471966162</v>
      </c>
      <c r="C993" s="169">
        <f t="shared" si="60"/>
        <v>637279.19573358633</v>
      </c>
      <c r="D993" s="153"/>
      <c r="E993" s="170">
        <v>986</v>
      </c>
      <c r="F993" s="162">
        <v>228.04147494549011</v>
      </c>
      <c r="G993" s="171">
        <f t="shared" si="61"/>
        <v>224848.89429625325</v>
      </c>
      <c r="I993" s="168">
        <v>986</v>
      </c>
      <c r="J993" s="167">
        <f>ROUND(B993*('Model Data Inputs'!$E$184*'Model Data Inputs'!$E$185*'Model Data Inputs'!$E$186*'Model Data Inputs'!$E$187),2)</f>
        <v>646.33000000000004</v>
      </c>
      <c r="K993" s="169">
        <f t="shared" si="62"/>
        <v>637281.38</v>
      </c>
      <c r="L993" s="153"/>
      <c r="M993" s="170">
        <v>986</v>
      </c>
      <c r="N993" s="164">
        <f>ROUND(F993*('Model Data Inputs'!$E$184*'Model Data Inputs'!$E$185*'Model Data Inputs'!$E$186*'Model Data Inputs'!$E$187),2)</f>
        <v>228.04</v>
      </c>
      <c r="O993" s="171">
        <f t="shared" si="63"/>
        <v>224847.44</v>
      </c>
    </row>
    <row r="994" spans="1:15" x14ac:dyDescent="0.2">
      <c r="A994" s="168">
        <v>987</v>
      </c>
      <c r="B994" s="159">
        <v>646.13892906799856</v>
      </c>
      <c r="C994" s="169">
        <f t="shared" si="60"/>
        <v>637739.12299011461</v>
      </c>
      <c r="D994" s="153"/>
      <c r="E994" s="170">
        <v>987</v>
      </c>
      <c r="F994" s="162">
        <v>227.94708874401508</v>
      </c>
      <c r="G994" s="171">
        <f t="shared" si="61"/>
        <v>224983.77659034287</v>
      </c>
      <c r="I994" s="168">
        <v>987</v>
      </c>
      <c r="J994" s="167">
        <f>ROUND(B994*('Model Data Inputs'!$E$184*'Model Data Inputs'!$E$185*'Model Data Inputs'!$E$186*'Model Data Inputs'!$E$187),2)</f>
        <v>646.14</v>
      </c>
      <c r="K994" s="169">
        <f t="shared" si="62"/>
        <v>637740.17999999993</v>
      </c>
      <c r="L994" s="153"/>
      <c r="M994" s="170">
        <v>987</v>
      </c>
      <c r="N994" s="164">
        <f>ROUND(F994*('Model Data Inputs'!$E$184*'Model Data Inputs'!$E$185*'Model Data Inputs'!$E$186*'Model Data Inputs'!$E$187),2)</f>
        <v>227.95</v>
      </c>
      <c r="O994" s="171">
        <f t="shared" si="63"/>
        <v>224986.65</v>
      </c>
    </row>
    <row r="995" spans="1:15" x14ac:dyDescent="0.2">
      <c r="A995" s="168">
        <v>988</v>
      </c>
      <c r="B995" s="159">
        <v>645.95007341633539</v>
      </c>
      <c r="C995" s="169">
        <f t="shared" si="60"/>
        <v>638198.67253533937</v>
      </c>
      <c r="D995" s="153"/>
      <c r="E995" s="170">
        <v>988</v>
      </c>
      <c r="F995" s="162">
        <v>227.85270254254002</v>
      </c>
      <c r="G995" s="171">
        <f t="shared" si="61"/>
        <v>225118.47011202952</v>
      </c>
      <c r="I995" s="168">
        <v>988</v>
      </c>
      <c r="J995" s="167">
        <f>ROUND(B995*('Model Data Inputs'!$E$184*'Model Data Inputs'!$E$185*'Model Data Inputs'!$E$186*'Model Data Inputs'!$E$187),2)</f>
        <v>645.95000000000005</v>
      </c>
      <c r="K995" s="169">
        <f t="shared" si="62"/>
        <v>638198.60000000009</v>
      </c>
      <c r="L995" s="153"/>
      <c r="M995" s="170">
        <v>988</v>
      </c>
      <c r="N995" s="164">
        <f>ROUND(F995*('Model Data Inputs'!$E$184*'Model Data Inputs'!$E$185*'Model Data Inputs'!$E$186*'Model Data Inputs'!$E$187),2)</f>
        <v>227.85</v>
      </c>
      <c r="O995" s="171">
        <f t="shared" si="63"/>
        <v>225115.8</v>
      </c>
    </row>
    <row r="996" spans="1:15" x14ac:dyDescent="0.2">
      <c r="A996" s="168">
        <v>989</v>
      </c>
      <c r="B996" s="159">
        <v>645.7612177646721</v>
      </c>
      <c r="C996" s="169">
        <f t="shared" si="60"/>
        <v>638657.84436926071</v>
      </c>
      <c r="D996" s="153"/>
      <c r="E996" s="170">
        <v>989</v>
      </c>
      <c r="F996" s="162">
        <v>227.75831634106504</v>
      </c>
      <c r="G996" s="171">
        <f t="shared" si="61"/>
        <v>225252.97486131333</v>
      </c>
      <c r="I996" s="168">
        <v>989</v>
      </c>
      <c r="J996" s="167">
        <f>ROUND(B996*('Model Data Inputs'!$E$184*'Model Data Inputs'!$E$185*'Model Data Inputs'!$E$186*'Model Data Inputs'!$E$187),2)</f>
        <v>645.76</v>
      </c>
      <c r="K996" s="169">
        <f t="shared" si="62"/>
        <v>638656.64</v>
      </c>
      <c r="L996" s="153"/>
      <c r="M996" s="170">
        <v>989</v>
      </c>
      <c r="N996" s="164">
        <f>ROUND(F996*('Model Data Inputs'!$E$184*'Model Data Inputs'!$E$185*'Model Data Inputs'!$E$186*'Model Data Inputs'!$E$187),2)</f>
        <v>227.76</v>
      </c>
      <c r="O996" s="171">
        <f t="shared" si="63"/>
        <v>225254.63999999998</v>
      </c>
    </row>
    <row r="997" spans="1:15" x14ac:dyDescent="0.2">
      <c r="A997" s="168">
        <v>990</v>
      </c>
      <c r="B997" s="159">
        <v>645.57236211300915</v>
      </c>
      <c r="C997" s="169">
        <f t="shared" si="60"/>
        <v>639116.6384918791</v>
      </c>
      <c r="D997" s="153"/>
      <c r="E997" s="170">
        <v>990</v>
      </c>
      <c r="F997" s="162">
        <v>227.66393013958998</v>
      </c>
      <c r="G997" s="171">
        <f t="shared" si="61"/>
        <v>225387.29083819408</v>
      </c>
      <c r="I997" s="168">
        <v>990</v>
      </c>
      <c r="J997" s="167">
        <f>ROUND(B997*('Model Data Inputs'!$E$184*'Model Data Inputs'!$E$185*'Model Data Inputs'!$E$186*'Model Data Inputs'!$E$187),2)</f>
        <v>645.57000000000005</v>
      </c>
      <c r="K997" s="169">
        <f t="shared" si="62"/>
        <v>639114.30000000005</v>
      </c>
      <c r="L997" s="153"/>
      <c r="M997" s="170">
        <v>990</v>
      </c>
      <c r="N997" s="164">
        <f>ROUND(F997*('Model Data Inputs'!$E$184*'Model Data Inputs'!$E$185*'Model Data Inputs'!$E$186*'Model Data Inputs'!$E$187),2)</f>
        <v>227.66</v>
      </c>
      <c r="O997" s="171">
        <f t="shared" si="63"/>
        <v>225383.4</v>
      </c>
    </row>
    <row r="998" spans="1:15" x14ac:dyDescent="0.2">
      <c r="A998" s="168">
        <v>991</v>
      </c>
      <c r="B998" s="159">
        <v>645.38350646134609</v>
      </c>
      <c r="C998" s="169">
        <f t="shared" si="60"/>
        <v>639575.05490319396</v>
      </c>
      <c r="D998" s="153"/>
      <c r="E998" s="170">
        <v>991</v>
      </c>
      <c r="F998" s="162">
        <v>227.56954393811498</v>
      </c>
      <c r="G998" s="171">
        <f t="shared" si="61"/>
        <v>225521.41804267195</v>
      </c>
      <c r="I998" s="168">
        <v>991</v>
      </c>
      <c r="J998" s="167">
        <f>ROUND(B998*('Model Data Inputs'!$E$184*'Model Data Inputs'!$E$185*'Model Data Inputs'!$E$186*'Model Data Inputs'!$E$187),2)</f>
        <v>645.38</v>
      </c>
      <c r="K998" s="169">
        <f t="shared" si="62"/>
        <v>639571.57999999996</v>
      </c>
      <c r="L998" s="153"/>
      <c r="M998" s="170">
        <v>991</v>
      </c>
      <c r="N998" s="164">
        <f>ROUND(F998*('Model Data Inputs'!$E$184*'Model Data Inputs'!$E$185*'Model Data Inputs'!$E$186*'Model Data Inputs'!$E$187),2)</f>
        <v>227.57</v>
      </c>
      <c r="O998" s="171">
        <f t="shared" si="63"/>
        <v>225521.87</v>
      </c>
    </row>
    <row r="999" spans="1:15" x14ac:dyDescent="0.2">
      <c r="A999" s="168">
        <v>992</v>
      </c>
      <c r="B999" s="159">
        <v>645.19465080968314</v>
      </c>
      <c r="C999" s="169">
        <f t="shared" si="60"/>
        <v>640033.09360320563</v>
      </c>
      <c r="D999" s="153"/>
      <c r="E999" s="170">
        <v>992</v>
      </c>
      <c r="F999" s="162">
        <v>227.47515773663989</v>
      </c>
      <c r="G999" s="171">
        <f t="shared" si="61"/>
        <v>225655.35647474678</v>
      </c>
      <c r="I999" s="168">
        <v>992</v>
      </c>
      <c r="J999" s="167">
        <f>ROUND(B999*('Model Data Inputs'!$E$184*'Model Data Inputs'!$E$185*'Model Data Inputs'!$E$186*'Model Data Inputs'!$E$187),2)</f>
        <v>645.19000000000005</v>
      </c>
      <c r="K999" s="169">
        <f t="shared" si="62"/>
        <v>640028.4800000001</v>
      </c>
      <c r="L999" s="153"/>
      <c r="M999" s="170">
        <v>992</v>
      </c>
      <c r="N999" s="164">
        <f>ROUND(F999*('Model Data Inputs'!$E$184*'Model Data Inputs'!$E$185*'Model Data Inputs'!$E$186*'Model Data Inputs'!$E$187),2)</f>
        <v>227.48</v>
      </c>
      <c r="O999" s="171">
        <f t="shared" si="63"/>
        <v>225660.16</v>
      </c>
    </row>
    <row r="1000" spans="1:15" x14ac:dyDescent="0.2">
      <c r="A1000" s="168">
        <v>993</v>
      </c>
      <c r="B1000" s="159">
        <v>645.00579515802008</v>
      </c>
      <c r="C1000" s="169">
        <f t="shared" si="60"/>
        <v>640490.75459191389</v>
      </c>
      <c r="D1000" s="153"/>
      <c r="E1000" s="170">
        <v>993</v>
      </c>
      <c r="F1000" s="162">
        <v>227.38077153516485</v>
      </c>
      <c r="G1000" s="171">
        <f t="shared" si="61"/>
        <v>225789.10613441869</v>
      </c>
      <c r="I1000" s="168">
        <v>993</v>
      </c>
      <c r="J1000" s="167">
        <f>ROUND(B1000*('Model Data Inputs'!$E$184*'Model Data Inputs'!$E$185*'Model Data Inputs'!$E$186*'Model Data Inputs'!$E$187),2)</f>
        <v>645.01</v>
      </c>
      <c r="K1000" s="169">
        <f t="shared" si="62"/>
        <v>640494.92999999993</v>
      </c>
      <c r="L1000" s="153"/>
      <c r="M1000" s="170">
        <v>993</v>
      </c>
      <c r="N1000" s="164">
        <f>ROUND(F1000*('Model Data Inputs'!$E$184*'Model Data Inputs'!$E$185*'Model Data Inputs'!$E$186*'Model Data Inputs'!$E$187),2)</f>
        <v>227.38</v>
      </c>
      <c r="O1000" s="171">
        <f t="shared" si="63"/>
        <v>225788.34</v>
      </c>
    </row>
    <row r="1001" spans="1:15" x14ac:dyDescent="0.2">
      <c r="A1001" s="168">
        <v>994</v>
      </c>
      <c r="B1001" s="159">
        <v>644.8169395063569</v>
      </c>
      <c r="C1001" s="169">
        <f t="shared" si="60"/>
        <v>640948.03786931874</v>
      </c>
      <c r="D1001" s="153"/>
      <c r="E1001" s="170">
        <v>994</v>
      </c>
      <c r="F1001" s="162">
        <v>227.28638533368979</v>
      </c>
      <c r="G1001" s="171">
        <f t="shared" si="61"/>
        <v>225922.66702168767</v>
      </c>
      <c r="I1001" s="168">
        <v>994</v>
      </c>
      <c r="J1001" s="167">
        <f>ROUND(B1001*('Model Data Inputs'!$E$184*'Model Data Inputs'!$E$185*'Model Data Inputs'!$E$186*'Model Data Inputs'!$E$187),2)</f>
        <v>644.82000000000005</v>
      </c>
      <c r="K1001" s="169">
        <f t="shared" si="62"/>
        <v>640951.08000000007</v>
      </c>
      <c r="L1001" s="153"/>
      <c r="M1001" s="170">
        <v>994</v>
      </c>
      <c r="N1001" s="164">
        <f>ROUND(F1001*('Model Data Inputs'!$E$184*'Model Data Inputs'!$E$185*'Model Data Inputs'!$E$186*'Model Data Inputs'!$E$187),2)</f>
        <v>227.29</v>
      </c>
      <c r="O1001" s="171">
        <f t="shared" si="63"/>
        <v>225926.25999999998</v>
      </c>
    </row>
    <row r="1002" spans="1:15" x14ac:dyDescent="0.2">
      <c r="A1002" s="168">
        <v>995</v>
      </c>
      <c r="B1002" s="159">
        <v>644.62808385469361</v>
      </c>
      <c r="C1002" s="169">
        <f t="shared" si="60"/>
        <v>641404.94343542017</v>
      </c>
      <c r="D1002" s="153"/>
      <c r="E1002" s="170">
        <v>995</v>
      </c>
      <c r="F1002" s="162">
        <v>227.19199913221482</v>
      </c>
      <c r="G1002" s="171">
        <f t="shared" si="61"/>
        <v>226056.03913655374</v>
      </c>
      <c r="I1002" s="168">
        <v>995</v>
      </c>
      <c r="J1002" s="167">
        <f>ROUND(B1002*('Model Data Inputs'!$E$184*'Model Data Inputs'!$E$185*'Model Data Inputs'!$E$186*'Model Data Inputs'!$E$187),2)</f>
        <v>644.63</v>
      </c>
      <c r="K1002" s="169">
        <f t="shared" si="62"/>
        <v>641406.85</v>
      </c>
      <c r="L1002" s="153"/>
      <c r="M1002" s="170">
        <v>995</v>
      </c>
      <c r="N1002" s="164">
        <f>ROUND(F1002*('Model Data Inputs'!$E$184*'Model Data Inputs'!$E$185*'Model Data Inputs'!$E$186*'Model Data Inputs'!$E$187),2)</f>
        <v>227.19</v>
      </c>
      <c r="O1002" s="171">
        <f t="shared" si="63"/>
        <v>226054.05</v>
      </c>
    </row>
    <row r="1003" spans="1:15" x14ac:dyDescent="0.2">
      <c r="A1003" s="168">
        <v>996</v>
      </c>
      <c r="B1003" s="159">
        <v>644.43922820303067</v>
      </c>
      <c r="C1003" s="169">
        <f t="shared" si="60"/>
        <v>641861.47129021853</v>
      </c>
      <c r="D1003" s="153"/>
      <c r="E1003" s="170">
        <v>996</v>
      </c>
      <c r="F1003" s="162">
        <v>227.09761293073979</v>
      </c>
      <c r="G1003" s="171">
        <f t="shared" si="61"/>
        <v>226189.22247901684</v>
      </c>
      <c r="I1003" s="168">
        <v>996</v>
      </c>
      <c r="J1003" s="167">
        <f>ROUND(B1003*('Model Data Inputs'!$E$184*'Model Data Inputs'!$E$185*'Model Data Inputs'!$E$186*'Model Data Inputs'!$E$187),2)</f>
        <v>644.44000000000005</v>
      </c>
      <c r="K1003" s="169">
        <f t="shared" si="62"/>
        <v>641862.24000000011</v>
      </c>
      <c r="L1003" s="153"/>
      <c r="M1003" s="170">
        <v>996</v>
      </c>
      <c r="N1003" s="164">
        <f>ROUND(F1003*('Model Data Inputs'!$E$184*'Model Data Inputs'!$E$185*'Model Data Inputs'!$E$186*'Model Data Inputs'!$E$187),2)</f>
        <v>227.1</v>
      </c>
      <c r="O1003" s="171">
        <f t="shared" si="63"/>
        <v>226191.6</v>
      </c>
    </row>
    <row r="1004" spans="1:15" x14ac:dyDescent="0.2">
      <c r="A1004" s="168">
        <v>997</v>
      </c>
      <c r="B1004" s="159">
        <v>644.25037255136772</v>
      </c>
      <c r="C1004" s="169">
        <f t="shared" si="60"/>
        <v>642317.62143371359</v>
      </c>
      <c r="D1004" s="153"/>
      <c r="E1004" s="170">
        <v>997</v>
      </c>
      <c r="F1004" s="162">
        <v>227.00322672926472</v>
      </c>
      <c r="G1004" s="171">
        <f t="shared" si="61"/>
        <v>226322.21704907692</v>
      </c>
      <c r="I1004" s="168">
        <v>997</v>
      </c>
      <c r="J1004" s="167">
        <f>ROUND(B1004*('Model Data Inputs'!$E$184*'Model Data Inputs'!$E$185*'Model Data Inputs'!$E$186*'Model Data Inputs'!$E$187),2)</f>
        <v>644.25</v>
      </c>
      <c r="K1004" s="169">
        <f t="shared" si="62"/>
        <v>642317.25</v>
      </c>
      <c r="L1004" s="153"/>
      <c r="M1004" s="170">
        <v>997</v>
      </c>
      <c r="N1004" s="164">
        <f>ROUND(F1004*('Model Data Inputs'!$E$184*'Model Data Inputs'!$E$185*'Model Data Inputs'!$E$186*'Model Data Inputs'!$E$187),2)</f>
        <v>227</v>
      </c>
      <c r="O1004" s="171">
        <f t="shared" si="63"/>
        <v>226319</v>
      </c>
    </row>
    <row r="1005" spans="1:15" x14ac:dyDescent="0.2">
      <c r="A1005" s="168">
        <v>998</v>
      </c>
      <c r="B1005" s="159">
        <v>644.06151689970466</v>
      </c>
      <c r="C1005" s="169">
        <f t="shared" si="60"/>
        <v>642773.39386590524</v>
      </c>
      <c r="D1005" s="153"/>
      <c r="E1005" s="170">
        <v>998</v>
      </c>
      <c r="F1005" s="162">
        <v>226.90884052778964</v>
      </c>
      <c r="G1005" s="171">
        <f t="shared" si="61"/>
        <v>226455.02284673406</v>
      </c>
      <c r="I1005" s="168">
        <v>998</v>
      </c>
      <c r="J1005" s="167">
        <f>ROUND(B1005*('Model Data Inputs'!$E$184*'Model Data Inputs'!$E$185*'Model Data Inputs'!$E$186*'Model Data Inputs'!$E$187),2)</f>
        <v>644.05999999999995</v>
      </c>
      <c r="K1005" s="169">
        <f t="shared" si="62"/>
        <v>642771.87999999989</v>
      </c>
      <c r="L1005" s="153"/>
      <c r="M1005" s="170">
        <v>998</v>
      </c>
      <c r="N1005" s="164">
        <f>ROUND(F1005*('Model Data Inputs'!$E$184*'Model Data Inputs'!$E$185*'Model Data Inputs'!$E$186*'Model Data Inputs'!$E$187),2)</f>
        <v>226.91</v>
      </c>
      <c r="O1005" s="171">
        <f t="shared" si="63"/>
        <v>226456.18</v>
      </c>
    </row>
    <row r="1006" spans="1:15" x14ac:dyDescent="0.2">
      <c r="A1006" s="168">
        <v>999</v>
      </c>
      <c r="B1006" s="159">
        <v>643.8726612480416</v>
      </c>
      <c r="C1006" s="169">
        <f t="shared" si="60"/>
        <v>643228.78858679358</v>
      </c>
      <c r="D1006" s="153"/>
      <c r="E1006" s="170">
        <v>999</v>
      </c>
      <c r="F1006" s="162">
        <v>226.81445432631463</v>
      </c>
      <c r="G1006" s="171">
        <f t="shared" si="61"/>
        <v>226587.63987198833</v>
      </c>
      <c r="I1006" s="168">
        <v>999</v>
      </c>
      <c r="J1006" s="167">
        <f>ROUND(B1006*('Model Data Inputs'!$E$184*'Model Data Inputs'!$E$185*'Model Data Inputs'!$E$186*'Model Data Inputs'!$E$187),2)</f>
        <v>643.87</v>
      </c>
      <c r="K1006" s="169">
        <f t="shared" si="62"/>
        <v>643226.13</v>
      </c>
      <c r="L1006" s="153"/>
      <c r="M1006" s="170">
        <v>999</v>
      </c>
      <c r="N1006" s="164">
        <f>ROUND(F1006*('Model Data Inputs'!$E$184*'Model Data Inputs'!$E$185*'Model Data Inputs'!$E$186*'Model Data Inputs'!$E$187),2)</f>
        <v>226.81</v>
      </c>
      <c r="O1006" s="171">
        <f t="shared" si="63"/>
        <v>226583.19</v>
      </c>
    </row>
    <row r="1007" spans="1:15" x14ac:dyDescent="0.2">
      <c r="A1007" s="168">
        <v>1000</v>
      </c>
      <c r="B1007" s="159">
        <v>643.68380559637842</v>
      </c>
      <c r="C1007" s="169">
        <f t="shared" si="60"/>
        <v>643683.8055963784</v>
      </c>
      <c r="D1007" s="153"/>
      <c r="E1007" s="170">
        <v>1000</v>
      </c>
      <c r="F1007" s="162">
        <v>226.7200681248396</v>
      </c>
      <c r="G1007" s="171">
        <f t="shared" si="61"/>
        <v>226720.0681248396</v>
      </c>
      <c r="I1007" s="168">
        <v>1000</v>
      </c>
      <c r="J1007" s="167">
        <f>ROUND(B1007*('Model Data Inputs'!$E$184*'Model Data Inputs'!$E$185*'Model Data Inputs'!$E$186*'Model Data Inputs'!$E$187),2)</f>
        <v>643.67999999999995</v>
      </c>
      <c r="K1007" s="169">
        <f t="shared" si="62"/>
        <v>643680</v>
      </c>
      <c r="L1007" s="153"/>
      <c r="M1007" s="170">
        <v>1000</v>
      </c>
      <c r="N1007" s="164">
        <f>ROUND(F1007*('Model Data Inputs'!$E$184*'Model Data Inputs'!$E$185*'Model Data Inputs'!$E$186*'Model Data Inputs'!$E$187),2)</f>
        <v>226.72</v>
      </c>
      <c r="O1007" s="171">
        <f t="shared" si="63"/>
        <v>226720</v>
      </c>
    </row>
    <row r="1008" spans="1:15" x14ac:dyDescent="0.2">
      <c r="A1008" s="168">
        <v>1001</v>
      </c>
      <c r="B1008" s="159">
        <v>643.49494994471524</v>
      </c>
      <c r="C1008" s="169">
        <f t="shared" si="60"/>
        <v>644138.44489465992</v>
      </c>
      <c r="D1008" s="153"/>
      <c r="E1008" s="170">
        <v>1001</v>
      </c>
      <c r="F1008" s="162">
        <v>226.62568192336462</v>
      </c>
      <c r="G1008" s="171">
        <f t="shared" si="61"/>
        <v>226852.30760528799</v>
      </c>
      <c r="I1008" s="168">
        <v>1001</v>
      </c>
      <c r="J1008" s="167">
        <f>ROUND(B1008*('Model Data Inputs'!$E$184*'Model Data Inputs'!$E$185*'Model Data Inputs'!$E$186*'Model Data Inputs'!$E$187),2)</f>
        <v>643.49</v>
      </c>
      <c r="K1008" s="169">
        <f t="shared" si="62"/>
        <v>644133.49</v>
      </c>
      <c r="L1008" s="153"/>
      <c r="M1008" s="170">
        <v>1001</v>
      </c>
      <c r="N1008" s="164">
        <f>ROUND(F1008*('Model Data Inputs'!$E$184*'Model Data Inputs'!$E$185*'Model Data Inputs'!$E$186*'Model Data Inputs'!$E$187),2)</f>
        <v>226.63</v>
      </c>
      <c r="O1008" s="171">
        <f t="shared" si="63"/>
        <v>226856.63</v>
      </c>
    </row>
    <row r="1009" spans="1:15" x14ac:dyDescent="0.2">
      <c r="A1009" s="168">
        <v>1002</v>
      </c>
      <c r="B1009" s="159">
        <v>643.30609429305218</v>
      </c>
      <c r="C1009" s="169">
        <f t="shared" si="60"/>
        <v>644592.70648163825</v>
      </c>
      <c r="D1009" s="153"/>
      <c r="E1009" s="170">
        <v>1002</v>
      </c>
      <c r="F1009" s="162">
        <v>226.53129572188951</v>
      </c>
      <c r="G1009" s="171">
        <f t="shared" si="61"/>
        <v>226984.35831333327</v>
      </c>
      <c r="I1009" s="168">
        <v>1002</v>
      </c>
      <c r="J1009" s="167">
        <f>ROUND(B1009*('Model Data Inputs'!$E$184*'Model Data Inputs'!$E$185*'Model Data Inputs'!$E$186*'Model Data Inputs'!$E$187),2)</f>
        <v>643.30999999999995</v>
      </c>
      <c r="K1009" s="169">
        <f t="shared" si="62"/>
        <v>644596.62</v>
      </c>
      <c r="L1009" s="153"/>
      <c r="M1009" s="170">
        <v>1002</v>
      </c>
      <c r="N1009" s="164">
        <f>ROUND(F1009*('Model Data Inputs'!$E$184*'Model Data Inputs'!$E$185*'Model Data Inputs'!$E$186*'Model Data Inputs'!$E$187),2)</f>
        <v>226.53</v>
      </c>
      <c r="O1009" s="171">
        <f t="shared" si="63"/>
        <v>226983.06</v>
      </c>
    </row>
    <row r="1010" spans="1:15" x14ac:dyDescent="0.2">
      <c r="A1010" s="168">
        <v>1003</v>
      </c>
      <c r="B1010" s="159">
        <v>643.11723864138912</v>
      </c>
      <c r="C1010" s="169">
        <f t="shared" si="60"/>
        <v>645046.59035731328</v>
      </c>
      <c r="D1010" s="153"/>
      <c r="E1010" s="170">
        <v>1003</v>
      </c>
      <c r="F1010" s="162">
        <v>226.43690952041445</v>
      </c>
      <c r="G1010" s="171">
        <f t="shared" si="61"/>
        <v>227116.22024897567</v>
      </c>
      <c r="I1010" s="168">
        <v>1003</v>
      </c>
      <c r="J1010" s="167">
        <f>ROUND(B1010*('Model Data Inputs'!$E$184*'Model Data Inputs'!$E$185*'Model Data Inputs'!$E$186*'Model Data Inputs'!$E$187),2)</f>
        <v>643.12</v>
      </c>
      <c r="K1010" s="169">
        <f t="shared" si="62"/>
        <v>645049.36</v>
      </c>
      <c r="L1010" s="153"/>
      <c r="M1010" s="170">
        <v>1003</v>
      </c>
      <c r="N1010" s="164">
        <f>ROUND(F1010*('Model Data Inputs'!$E$184*'Model Data Inputs'!$E$185*'Model Data Inputs'!$E$186*'Model Data Inputs'!$E$187),2)</f>
        <v>226.44</v>
      </c>
      <c r="O1010" s="171">
        <f t="shared" si="63"/>
        <v>227119.32</v>
      </c>
    </row>
    <row r="1011" spans="1:15" x14ac:dyDescent="0.2">
      <c r="A1011" s="168">
        <v>1004</v>
      </c>
      <c r="B1011" s="159">
        <v>642.92838298972606</v>
      </c>
      <c r="C1011" s="169">
        <f t="shared" si="60"/>
        <v>645500.09652168502</v>
      </c>
      <c r="D1011" s="153"/>
      <c r="E1011" s="170">
        <v>1004</v>
      </c>
      <c r="F1011" s="162">
        <v>226.34252331893944</v>
      </c>
      <c r="G1011" s="171">
        <f t="shared" si="61"/>
        <v>227247.8934122152</v>
      </c>
      <c r="I1011" s="168">
        <v>1004</v>
      </c>
      <c r="J1011" s="167">
        <f>ROUND(B1011*('Model Data Inputs'!$E$184*'Model Data Inputs'!$E$185*'Model Data Inputs'!$E$186*'Model Data Inputs'!$E$187),2)</f>
        <v>642.92999999999995</v>
      </c>
      <c r="K1011" s="169">
        <f t="shared" si="62"/>
        <v>645501.72</v>
      </c>
      <c r="L1011" s="153"/>
      <c r="M1011" s="170">
        <v>1004</v>
      </c>
      <c r="N1011" s="164">
        <f>ROUND(F1011*('Model Data Inputs'!$E$184*'Model Data Inputs'!$E$185*'Model Data Inputs'!$E$186*'Model Data Inputs'!$E$187),2)</f>
        <v>226.34</v>
      </c>
      <c r="O1011" s="171">
        <f t="shared" si="63"/>
        <v>227245.36000000002</v>
      </c>
    </row>
    <row r="1012" spans="1:15" x14ac:dyDescent="0.2">
      <c r="A1012" s="168">
        <v>1005</v>
      </c>
      <c r="B1012" s="159">
        <v>642.73952733806311</v>
      </c>
      <c r="C1012" s="169">
        <f t="shared" si="60"/>
        <v>645953.22497475345</v>
      </c>
      <c r="D1012" s="153"/>
      <c r="E1012" s="170">
        <v>1005</v>
      </c>
      <c r="F1012" s="162">
        <v>226.24813711746438</v>
      </c>
      <c r="G1012" s="171">
        <f t="shared" si="61"/>
        <v>227379.3778030517</v>
      </c>
      <c r="I1012" s="168">
        <v>1005</v>
      </c>
      <c r="J1012" s="167">
        <f>ROUND(B1012*('Model Data Inputs'!$E$184*'Model Data Inputs'!$E$185*'Model Data Inputs'!$E$186*'Model Data Inputs'!$E$187),2)</f>
        <v>642.74</v>
      </c>
      <c r="K1012" s="169">
        <f t="shared" si="62"/>
        <v>645953.69999999995</v>
      </c>
      <c r="L1012" s="153"/>
      <c r="M1012" s="170">
        <v>1005</v>
      </c>
      <c r="N1012" s="164">
        <f>ROUND(F1012*('Model Data Inputs'!$E$184*'Model Data Inputs'!$E$185*'Model Data Inputs'!$E$186*'Model Data Inputs'!$E$187),2)</f>
        <v>226.25</v>
      </c>
      <c r="O1012" s="171">
        <f t="shared" si="63"/>
        <v>227381.25</v>
      </c>
    </row>
    <row r="1013" spans="1:15" x14ac:dyDescent="0.2">
      <c r="A1013" s="168">
        <v>1006</v>
      </c>
      <c r="B1013" s="159">
        <v>642.55067168639971</v>
      </c>
      <c r="C1013" s="169">
        <f t="shared" si="60"/>
        <v>646405.97571651812</v>
      </c>
      <c r="D1013" s="153"/>
      <c r="E1013" s="170">
        <v>1006</v>
      </c>
      <c r="F1013" s="162">
        <v>226.15375091598938</v>
      </c>
      <c r="G1013" s="171">
        <f t="shared" si="61"/>
        <v>227510.67342148532</v>
      </c>
      <c r="I1013" s="168">
        <v>1006</v>
      </c>
      <c r="J1013" s="167">
        <f>ROUND(B1013*('Model Data Inputs'!$E$184*'Model Data Inputs'!$E$185*'Model Data Inputs'!$E$186*'Model Data Inputs'!$E$187),2)</f>
        <v>642.54999999999995</v>
      </c>
      <c r="K1013" s="169">
        <f t="shared" si="62"/>
        <v>646405.29999999993</v>
      </c>
      <c r="L1013" s="153"/>
      <c r="M1013" s="170">
        <v>1006</v>
      </c>
      <c r="N1013" s="164">
        <f>ROUND(F1013*('Model Data Inputs'!$E$184*'Model Data Inputs'!$E$185*'Model Data Inputs'!$E$186*'Model Data Inputs'!$E$187),2)</f>
        <v>226.15</v>
      </c>
      <c r="O1013" s="171">
        <f t="shared" si="63"/>
        <v>227506.9</v>
      </c>
    </row>
    <row r="1014" spans="1:15" x14ac:dyDescent="0.2">
      <c r="A1014" s="168">
        <v>1007</v>
      </c>
      <c r="B1014" s="159">
        <v>642.36181603473676</v>
      </c>
      <c r="C1014" s="169">
        <f t="shared" si="60"/>
        <v>646858.34874697996</v>
      </c>
      <c r="D1014" s="153"/>
      <c r="E1014" s="170">
        <v>1007</v>
      </c>
      <c r="F1014" s="162">
        <v>226.05936471451432</v>
      </c>
      <c r="G1014" s="171">
        <f t="shared" si="61"/>
        <v>227641.78026751592</v>
      </c>
      <c r="I1014" s="168">
        <v>1007</v>
      </c>
      <c r="J1014" s="167">
        <f>ROUND(B1014*('Model Data Inputs'!$E$184*'Model Data Inputs'!$E$185*'Model Data Inputs'!$E$186*'Model Data Inputs'!$E$187),2)</f>
        <v>642.36</v>
      </c>
      <c r="K1014" s="169">
        <f t="shared" si="62"/>
        <v>646856.52</v>
      </c>
      <c r="L1014" s="153"/>
      <c r="M1014" s="170">
        <v>1007</v>
      </c>
      <c r="N1014" s="164">
        <f>ROUND(F1014*('Model Data Inputs'!$E$184*'Model Data Inputs'!$E$185*'Model Data Inputs'!$E$186*'Model Data Inputs'!$E$187),2)</f>
        <v>226.06</v>
      </c>
      <c r="O1014" s="171">
        <f t="shared" si="63"/>
        <v>227642.42</v>
      </c>
    </row>
    <row r="1015" spans="1:15" x14ac:dyDescent="0.2">
      <c r="A1015" s="168">
        <v>1008</v>
      </c>
      <c r="B1015" s="159">
        <v>642.17296038307359</v>
      </c>
      <c r="C1015" s="169">
        <f t="shared" si="60"/>
        <v>647310.34406613815</v>
      </c>
      <c r="D1015" s="153"/>
      <c r="E1015" s="170">
        <v>1008</v>
      </c>
      <c r="F1015" s="162">
        <v>225.96497851303928</v>
      </c>
      <c r="G1015" s="171">
        <f t="shared" si="61"/>
        <v>227772.69834114361</v>
      </c>
      <c r="I1015" s="168">
        <v>1008</v>
      </c>
      <c r="J1015" s="167">
        <f>ROUND(B1015*('Model Data Inputs'!$E$184*'Model Data Inputs'!$E$185*'Model Data Inputs'!$E$186*'Model Data Inputs'!$E$187),2)</f>
        <v>642.16999999999996</v>
      </c>
      <c r="K1015" s="169">
        <f t="shared" si="62"/>
        <v>647307.36</v>
      </c>
      <c r="L1015" s="153"/>
      <c r="M1015" s="170">
        <v>1008</v>
      </c>
      <c r="N1015" s="164">
        <f>ROUND(F1015*('Model Data Inputs'!$E$184*'Model Data Inputs'!$E$185*'Model Data Inputs'!$E$186*'Model Data Inputs'!$E$187),2)</f>
        <v>225.96</v>
      </c>
      <c r="O1015" s="171">
        <f t="shared" si="63"/>
        <v>227767.68000000002</v>
      </c>
    </row>
    <row r="1016" spans="1:15" x14ac:dyDescent="0.2">
      <c r="A1016" s="168">
        <v>1009</v>
      </c>
      <c r="B1016" s="159">
        <v>641.98410473141064</v>
      </c>
      <c r="C1016" s="169">
        <f t="shared" si="60"/>
        <v>647761.96167399338</v>
      </c>
      <c r="D1016" s="153"/>
      <c r="E1016" s="170">
        <v>1009</v>
      </c>
      <c r="F1016" s="162">
        <v>225.87059231156422</v>
      </c>
      <c r="G1016" s="171">
        <f t="shared" si="61"/>
        <v>227903.4276423683</v>
      </c>
      <c r="I1016" s="168">
        <v>1009</v>
      </c>
      <c r="J1016" s="167">
        <f>ROUND(B1016*('Model Data Inputs'!$E$184*'Model Data Inputs'!$E$185*'Model Data Inputs'!$E$186*'Model Data Inputs'!$E$187),2)</f>
        <v>641.98</v>
      </c>
      <c r="K1016" s="169">
        <f t="shared" si="62"/>
        <v>647757.82000000007</v>
      </c>
      <c r="L1016" s="153"/>
      <c r="M1016" s="170">
        <v>1009</v>
      </c>
      <c r="N1016" s="164">
        <f>ROUND(F1016*('Model Data Inputs'!$E$184*'Model Data Inputs'!$E$185*'Model Data Inputs'!$E$186*'Model Data Inputs'!$E$187),2)</f>
        <v>225.87</v>
      </c>
      <c r="O1016" s="171">
        <f t="shared" si="63"/>
        <v>227902.83000000002</v>
      </c>
    </row>
    <row r="1017" spans="1:15" x14ac:dyDescent="0.2">
      <c r="A1017" s="168">
        <v>1010</v>
      </c>
      <c r="B1017" s="159">
        <v>641.79524907974746</v>
      </c>
      <c r="C1017" s="169">
        <f t="shared" si="60"/>
        <v>648213.20157054497</v>
      </c>
      <c r="D1017" s="153"/>
      <c r="E1017" s="170">
        <v>1010</v>
      </c>
      <c r="F1017" s="162">
        <v>225.77620611008925</v>
      </c>
      <c r="G1017" s="171">
        <f t="shared" si="61"/>
        <v>228033.96817119015</v>
      </c>
      <c r="I1017" s="168">
        <v>1010</v>
      </c>
      <c r="J1017" s="167">
        <f>ROUND(B1017*('Model Data Inputs'!$E$184*'Model Data Inputs'!$E$185*'Model Data Inputs'!$E$186*'Model Data Inputs'!$E$187),2)</f>
        <v>641.79999999999995</v>
      </c>
      <c r="K1017" s="169">
        <f t="shared" si="62"/>
        <v>648218</v>
      </c>
      <c r="L1017" s="153"/>
      <c r="M1017" s="170">
        <v>1010</v>
      </c>
      <c r="N1017" s="164">
        <f>ROUND(F1017*('Model Data Inputs'!$E$184*'Model Data Inputs'!$E$185*'Model Data Inputs'!$E$186*'Model Data Inputs'!$E$187),2)</f>
        <v>225.78</v>
      </c>
      <c r="O1017" s="171">
        <f t="shared" si="63"/>
        <v>228037.8</v>
      </c>
    </row>
    <row r="1018" spans="1:15" x14ac:dyDescent="0.2">
      <c r="A1018" s="168">
        <v>1011</v>
      </c>
      <c r="B1018" s="159">
        <v>641.60639342808463</v>
      </c>
      <c r="C1018" s="169">
        <f t="shared" si="60"/>
        <v>648664.06375579361</v>
      </c>
      <c r="D1018" s="153"/>
      <c r="E1018" s="170">
        <v>1011</v>
      </c>
      <c r="F1018" s="162">
        <v>225.68181990861422</v>
      </c>
      <c r="G1018" s="171">
        <f t="shared" si="61"/>
        <v>228164.31992760897</v>
      </c>
      <c r="I1018" s="168">
        <v>1011</v>
      </c>
      <c r="J1018" s="167">
        <f>ROUND(B1018*('Model Data Inputs'!$E$184*'Model Data Inputs'!$E$185*'Model Data Inputs'!$E$186*'Model Data Inputs'!$E$187),2)</f>
        <v>641.61</v>
      </c>
      <c r="K1018" s="169">
        <f t="shared" si="62"/>
        <v>648667.71</v>
      </c>
      <c r="L1018" s="153"/>
      <c r="M1018" s="170">
        <v>1011</v>
      </c>
      <c r="N1018" s="164">
        <f>ROUND(F1018*('Model Data Inputs'!$E$184*'Model Data Inputs'!$E$185*'Model Data Inputs'!$E$186*'Model Data Inputs'!$E$187),2)</f>
        <v>225.68</v>
      </c>
      <c r="O1018" s="171">
        <f t="shared" si="63"/>
        <v>228162.48</v>
      </c>
    </row>
    <row r="1019" spans="1:15" x14ac:dyDescent="0.2">
      <c r="A1019" s="168">
        <v>1012</v>
      </c>
      <c r="B1019" s="159">
        <v>641.41753777642145</v>
      </c>
      <c r="C1019" s="169">
        <f t="shared" si="60"/>
        <v>649114.54822973849</v>
      </c>
      <c r="D1019" s="153"/>
      <c r="E1019" s="170">
        <v>1012</v>
      </c>
      <c r="F1019" s="162">
        <v>225.58743370713913</v>
      </c>
      <c r="G1019" s="171">
        <f t="shared" si="61"/>
        <v>228294.4829116248</v>
      </c>
      <c r="I1019" s="168">
        <v>1012</v>
      </c>
      <c r="J1019" s="167">
        <f>ROUND(B1019*('Model Data Inputs'!$E$184*'Model Data Inputs'!$E$185*'Model Data Inputs'!$E$186*'Model Data Inputs'!$E$187),2)</f>
        <v>641.41999999999996</v>
      </c>
      <c r="K1019" s="169">
        <f t="shared" si="62"/>
        <v>649117.03999999992</v>
      </c>
      <c r="L1019" s="153"/>
      <c r="M1019" s="170">
        <v>1012</v>
      </c>
      <c r="N1019" s="164">
        <f>ROUND(F1019*('Model Data Inputs'!$E$184*'Model Data Inputs'!$E$185*'Model Data Inputs'!$E$186*'Model Data Inputs'!$E$187),2)</f>
        <v>225.59</v>
      </c>
      <c r="O1019" s="171">
        <f t="shared" si="63"/>
        <v>228297.08000000002</v>
      </c>
    </row>
    <row r="1020" spans="1:15" x14ac:dyDescent="0.2">
      <c r="A1020" s="168">
        <v>1013</v>
      </c>
      <c r="B1020" s="159">
        <v>641.22868212475839</v>
      </c>
      <c r="C1020" s="169">
        <f t="shared" si="60"/>
        <v>649564.6549923803</v>
      </c>
      <c r="D1020" s="153"/>
      <c r="E1020" s="170">
        <v>1013</v>
      </c>
      <c r="F1020" s="162">
        <v>225.49304750566409</v>
      </c>
      <c r="G1020" s="171">
        <f t="shared" si="61"/>
        <v>228424.45712323772</v>
      </c>
      <c r="I1020" s="168">
        <v>1013</v>
      </c>
      <c r="J1020" s="167">
        <f>ROUND(B1020*('Model Data Inputs'!$E$184*'Model Data Inputs'!$E$185*'Model Data Inputs'!$E$186*'Model Data Inputs'!$E$187),2)</f>
        <v>641.23</v>
      </c>
      <c r="K1020" s="169">
        <f t="shared" si="62"/>
        <v>649565.99</v>
      </c>
      <c r="L1020" s="153"/>
      <c r="M1020" s="170">
        <v>1013</v>
      </c>
      <c r="N1020" s="164">
        <f>ROUND(F1020*('Model Data Inputs'!$E$184*'Model Data Inputs'!$E$185*'Model Data Inputs'!$E$186*'Model Data Inputs'!$E$187),2)</f>
        <v>225.49</v>
      </c>
      <c r="O1020" s="171">
        <f t="shared" si="63"/>
        <v>228421.37</v>
      </c>
    </row>
    <row r="1021" spans="1:15" x14ac:dyDescent="0.2">
      <c r="A1021" s="168">
        <v>1014</v>
      </c>
      <c r="B1021" s="159">
        <v>641.0398264730951</v>
      </c>
      <c r="C1021" s="169">
        <f t="shared" si="60"/>
        <v>650014.38404371846</v>
      </c>
      <c r="D1021" s="153"/>
      <c r="E1021" s="170">
        <v>1014</v>
      </c>
      <c r="F1021" s="162">
        <v>225.39866130418909</v>
      </c>
      <c r="G1021" s="171">
        <f t="shared" si="61"/>
        <v>228554.24256244773</v>
      </c>
      <c r="I1021" s="168">
        <v>1014</v>
      </c>
      <c r="J1021" s="167">
        <f>ROUND(B1021*('Model Data Inputs'!$E$184*'Model Data Inputs'!$E$185*'Model Data Inputs'!$E$186*'Model Data Inputs'!$E$187),2)</f>
        <v>641.04</v>
      </c>
      <c r="K1021" s="169">
        <f t="shared" si="62"/>
        <v>650014.55999999994</v>
      </c>
      <c r="L1021" s="153"/>
      <c r="M1021" s="170">
        <v>1014</v>
      </c>
      <c r="N1021" s="164">
        <f>ROUND(F1021*('Model Data Inputs'!$E$184*'Model Data Inputs'!$E$185*'Model Data Inputs'!$E$186*'Model Data Inputs'!$E$187),2)</f>
        <v>225.4</v>
      </c>
      <c r="O1021" s="171">
        <f t="shared" si="63"/>
        <v>228555.6</v>
      </c>
    </row>
    <row r="1022" spans="1:15" x14ac:dyDescent="0.2">
      <c r="A1022" s="168">
        <v>1015</v>
      </c>
      <c r="B1022" s="159">
        <v>640.85097082143204</v>
      </c>
      <c r="C1022" s="169">
        <f t="shared" si="60"/>
        <v>650463.73538375355</v>
      </c>
      <c r="D1022" s="153"/>
      <c r="E1022" s="170">
        <v>1015</v>
      </c>
      <c r="F1022" s="162">
        <v>225.30427510271406</v>
      </c>
      <c r="G1022" s="171">
        <f t="shared" si="61"/>
        <v>228683.83922925478</v>
      </c>
      <c r="I1022" s="168">
        <v>1015</v>
      </c>
      <c r="J1022" s="167">
        <f>ROUND(B1022*('Model Data Inputs'!$E$184*'Model Data Inputs'!$E$185*'Model Data Inputs'!$E$186*'Model Data Inputs'!$E$187),2)</f>
        <v>640.85</v>
      </c>
      <c r="K1022" s="169">
        <f t="shared" si="62"/>
        <v>650462.75</v>
      </c>
      <c r="L1022" s="153"/>
      <c r="M1022" s="170">
        <v>1015</v>
      </c>
      <c r="N1022" s="164">
        <f>ROUND(F1022*('Model Data Inputs'!$E$184*'Model Data Inputs'!$E$185*'Model Data Inputs'!$E$186*'Model Data Inputs'!$E$187),2)</f>
        <v>225.3</v>
      </c>
      <c r="O1022" s="171">
        <f t="shared" si="63"/>
        <v>228679.5</v>
      </c>
    </row>
    <row r="1023" spans="1:15" x14ac:dyDescent="0.2">
      <c r="A1023" s="168">
        <v>1016</v>
      </c>
      <c r="B1023" s="159">
        <v>640.66211516976898</v>
      </c>
      <c r="C1023" s="169">
        <f t="shared" si="60"/>
        <v>650912.70901248534</v>
      </c>
      <c r="D1023" s="153"/>
      <c r="E1023" s="170">
        <v>1016</v>
      </c>
      <c r="F1023" s="162">
        <v>225.20988890123905</v>
      </c>
      <c r="G1023" s="171">
        <f t="shared" si="61"/>
        <v>228813.24712365889</v>
      </c>
      <c r="I1023" s="168">
        <v>1016</v>
      </c>
      <c r="J1023" s="167">
        <f>ROUND(B1023*('Model Data Inputs'!$E$184*'Model Data Inputs'!$E$185*'Model Data Inputs'!$E$186*'Model Data Inputs'!$E$187),2)</f>
        <v>640.66</v>
      </c>
      <c r="K1023" s="169">
        <f t="shared" si="62"/>
        <v>650910.55999999994</v>
      </c>
      <c r="L1023" s="153"/>
      <c r="M1023" s="170">
        <v>1016</v>
      </c>
      <c r="N1023" s="164">
        <f>ROUND(F1023*('Model Data Inputs'!$E$184*'Model Data Inputs'!$E$185*'Model Data Inputs'!$E$186*'Model Data Inputs'!$E$187),2)</f>
        <v>225.21</v>
      </c>
      <c r="O1023" s="171">
        <f t="shared" si="63"/>
        <v>228813.36000000002</v>
      </c>
    </row>
    <row r="1024" spans="1:15" x14ac:dyDescent="0.2">
      <c r="A1024" s="168">
        <v>1017</v>
      </c>
      <c r="B1024" s="159">
        <v>640.47325951810592</v>
      </c>
      <c r="C1024" s="169">
        <f t="shared" si="60"/>
        <v>651361.30492991372</v>
      </c>
      <c r="D1024" s="153"/>
      <c r="E1024" s="170">
        <v>1017</v>
      </c>
      <c r="F1024" s="162">
        <v>225.11550269976394</v>
      </c>
      <c r="G1024" s="171">
        <f t="shared" si="61"/>
        <v>228942.46624565992</v>
      </c>
      <c r="I1024" s="168">
        <v>1017</v>
      </c>
      <c r="J1024" s="167">
        <f>ROUND(B1024*('Model Data Inputs'!$E$184*'Model Data Inputs'!$E$185*'Model Data Inputs'!$E$186*'Model Data Inputs'!$E$187),2)</f>
        <v>640.47</v>
      </c>
      <c r="K1024" s="169">
        <f t="shared" si="62"/>
        <v>651357.99</v>
      </c>
      <c r="L1024" s="153"/>
      <c r="M1024" s="170">
        <v>1017</v>
      </c>
      <c r="N1024" s="164">
        <f>ROUND(F1024*('Model Data Inputs'!$E$184*'Model Data Inputs'!$E$185*'Model Data Inputs'!$E$186*'Model Data Inputs'!$E$187),2)</f>
        <v>225.12</v>
      </c>
      <c r="O1024" s="171">
        <f t="shared" si="63"/>
        <v>228947.04</v>
      </c>
    </row>
    <row r="1025" spans="1:15" x14ac:dyDescent="0.2">
      <c r="A1025" s="168">
        <v>1018</v>
      </c>
      <c r="B1025" s="159">
        <v>640.28440386644309</v>
      </c>
      <c r="C1025" s="169">
        <f t="shared" si="60"/>
        <v>651809.52313603903</v>
      </c>
      <c r="D1025" s="153"/>
      <c r="E1025" s="170">
        <v>1018</v>
      </c>
      <c r="F1025" s="162">
        <v>225.02111649828893</v>
      </c>
      <c r="G1025" s="171">
        <f t="shared" si="61"/>
        <v>229071.49659525813</v>
      </c>
      <c r="I1025" s="168">
        <v>1018</v>
      </c>
      <c r="J1025" s="167">
        <f>ROUND(B1025*('Model Data Inputs'!$E$184*'Model Data Inputs'!$E$185*'Model Data Inputs'!$E$186*'Model Data Inputs'!$E$187),2)</f>
        <v>640.28</v>
      </c>
      <c r="K1025" s="169">
        <f t="shared" si="62"/>
        <v>651805.03999999992</v>
      </c>
      <c r="L1025" s="153"/>
      <c r="M1025" s="170">
        <v>1018</v>
      </c>
      <c r="N1025" s="164">
        <f>ROUND(F1025*('Model Data Inputs'!$E$184*'Model Data Inputs'!$E$185*'Model Data Inputs'!$E$186*'Model Data Inputs'!$E$187),2)</f>
        <v>225.02</v>
      </c>
      <c r="O1025" s="171">
        <f t="shared" si="63"/>
        <v>229070.36000000002</v>
      </c>
    </row>
    <row r="1026" spans="1:15" x14ac:dyDescent="0.2">
      <c r="A1026" s="168">
        <v>1019</v>
      </c>
      <c r="B1026" s="159">
        <v>640.0955482147798</v>
      </c>
      <c r="C1026" s="169">
        <f t="shared" si="60"/>
        <v>652257.36363086058</v>
      </c>
      <c r="D1026" s="153"/>
      <c r="E1026" s="170">
        <v>1019</v>
      </c>
      <c r="F1026" s="162">
        <v>224.9267302968139</v>
      </c>
      <c r="G1026" s="171">
        <f t="shared" si="61"/>
        <v>229200.33817245337</v>
      </c>
      <c r="I1026" s="168">
        <v>1019</v>
      </c>
      <c r="J1026" s="167">
        <f>ROUND(B1026*('Model Data Inputs'!$E$184*'Model Data Inputs'!$E$185*'Model Data Inputs'!$E$186*'Model Data Inputs'!$E$187),2)</f>
        <v>640.1</v>
      </c>
      <c r="K1026" s="169">
        <f t="shared" si="62"/>
        <v>652261.9</v>
      </c>
      <c r="L1026" s="153"/>
      <c r="M1026" s="170">
        <v>1019</v>
      </c>
      <c r="N1026" s="164">
        <f>ROUND(F1026*('Model Data Inputs'!$E$184*'Model Data Inputs'!$E$185*'Model Data Inputs'!$E$186*'Model Data Inputs'!$E$187),2)</f>
        <v>224.93</v>
      </c>
      <c r="O1026" s="171">
        <f t="shared" si="63"/>
        <v>229203.67</v>
      </c>
    </row>
    <row r="1027" spans="1:15" x14ac:dyDescent="0.2">
      <c r="A1027" s="168">
        <v>1020</v>
      </c>
      <c r="B1027" s="159">
        <v>639.90669256311685</v>
      </c>
      <c r="C1027" s="169">
        <f t="shared" si="60"/>
        <v>652704.82641437917</v>
      </c>
      <c r="D1027" s="153"/>
      <c r="E1027" s="170">
        <v>1020</v>
      </c>
      <c r="F1027" s="162">
        <v>224.83234409533887</v>
      </c>
      <c r="G1027" s="171">
        <f t="shared" si="61"/>
        <v>229328.99097724564</v>
      </c>
      <c r="I1027" s="168">
        <v>1020</v>
      </c>
      <c r="J1027" s="167">
        <f>ROUND(B1027*('Model Data Inputs'!$E$184*'Model Data Inputs'!$E$185*'Model Data Inputs'!$E$186*'Model Data Inputs'!$E$187),2)</f>
        <v>639.91</v>
      </c>
      <c r="K1027" s="169">
        <f t="shared" si="62"/>
        <v>652708.19999999995</v>
      </c>
      <c r="L1027" s="153"/>
      <c r="M1027" s="170">
        <v>1020</v>
      </c>
      <c r="N1027" s="164">
        <f>ROUND(F1027*('Model Data Inputs'!$E$184*'Model Data Inputs'!$E$185*'Model Data Inputs'!$E$186*'Model Data Inputs'!$E$187),2)</f>
        <v>224.83</v>
      </c>
      <c r="O1027" s="171">
        <f t="shared" si="63"/>
        <v>229326.6</v>
      </c>
    </row>
    <row r="1028" spans="1:15" x14ac:dyDescent="0.2">
      <c r="A1028" s="168">
        <v>1021</v>
      </c>
      <c r="B1028" s="159">
        <v>639.71783691145356</v>
      </c>
      <c r="C1028" s="169">
        <f t="shared" si="60"/>
        <v>653151.91148659412</v>
      </c>
      <c r="D1028" s="153"/>
      <c r="E1028" s="170">
        <v>1021</v>
      </c>
      <c r="F1028" s="162">
        <v>224.73795789386378</v>
      </c>
      <c r="G1028" s="171">
        <f t="shared" si="61"/>
        <v>229457.45500963493</v>
      </c>
      <c r="I1028" s="168">
        <v>1021</v>
      </c>
      <c r="J1028" s="167">
        <f>ROUND(B1028*('Model Data Inputs'!$E$184*'Model Data Inputs'!$E$185*'Model Data Inputs'!$E$186*'Model Data Inputs'!$E$187),2)</f>
        <v>639.72</v>
      </c>
      <c r="K1028" s="169">
        <f t="shared" si="62"/>
        <v>653154.12</v>
      </c>
      <c r="L1028" s="153"/>
      <c r="M1028" s="170">
        <v>1021</v>
      </c>
      <c r="N1028" s="164">
        <f>ROUND(F1028*('Model Data Inputs'!$E$184*'Model Data Inputs'!$E$185*'Model Data Inputs'!$E$186*'Model Data Inputs'!$E$187),2)</f>
        <v>224.74</v>
      </c>
      <c r="O1028" s="171">
        <f t="shared" si="63"/>
        <v>229459.54</v>
      </c>
    </row>
    <row r="1029" spans="1:15" x14ac:dyDescent="0.2">
      <c r="A1029" s="168">
        <v>1022</v>
      </c>
      <c r="B1029" s="159">
        <v>639.52898125979061</v>
      </c>
      <c r="C1029" s="169">
        <f t="shared" si="60"/>
        <v>653598.618847506</v>
      </c>
      <c r="D1029" s="153"/>
      <c r="E1029" s="170">
        <v>1022</v>
      </c>
      <c r="F1029" s="162">
        <v>224.64357169238872</v>
      </c>
      <c r="G1029" s="171">
        <f t="shared" si="61"/>
        <v>229585.73026962127</v>
      </c>
      <c r="I1029" s="168">
        <v>1022</v>
      </c>
      <c r="J1029" s="167">
        <f>ROUND(B1029*('Model Data Inputs'!$E$184*'Model Data Inputs'!$E$185*'Model Data Inputs'!$E$186*'Model Data Inputs'!$E$187),2)</f>
        <v>639.53</v>
      </c>
      <c r="K1029" s="169">
        <f t="shared" si="62"/>
        <v>653599.65999999992</v>
      </c>
      <c r="L1029" s="153"/>
      <c r="M1029" s="170">
        <v>1022</v>
      </c>
      <c r="N1029" s="164">
        <f>ROUND(F1029*('Model Data Inputs'!$E$184*'Model Data Inputs'!$E$185*'Model Data Inputs'!$E$186*'Model Data Inputs'!$E$187),2)</f>
        <v>224.64</v>
      </c>
      <c r="O1029" s="171">
        <f t="shared" si="63"/>
        <v>229582.07999999999</v>
      </c>
    </row>
    <row r="1030" spans="1:15" x14ac:dyDescent="0.2">
      <c r="A1030" s="168">
        <v>1023</v>
      </c>
      <c r="B1030" s="159">
        <v>639.34012560812744</v>
      </c>
      <c r="C1030" s="169">
        <f t="shared" si="60"/>
        <v>654044.94849711435</v>
      </c>
      <c r="D1030" s="153"/>
      <c r="E1030" s="170">
        <v>1023</v>
      </c>
      <c r="F1030" s="162">
        <v>224.54918549091369</v>
      </c>
      <c r="G1030" s="171">
        <f t="shared" si="61"/>
        <v>229713.81675720471</v>
      </c>
      <c r="I1030" s="168">
        <v>1023</v>
      </c>
      <c r="J1030" s="167">
        <f>ROUND(B1030*('Model Data Inputs'!$E$184*'Model Data Inputs'!$E$185*'Model Data Inputs'!$E$186*'Model Data Inputs'!$E$187),2)</f>
        <v>639.34</v>
      </c>
      <c r="K1030" s="169">
        <f t="shared" si="62"/>
        <v>654044.82000000007</v>
      </c>
      <c r="L1030" s="153"/>
      <c r="M1030" s="170">
        <v>1023</v>
      </c>
      <c r="N1030" s="164">
        <f>ROUND(F1030*('Model Data Inputs'!$E$184*'Model Data Inputs'!$E$185*'Model Data Inputs'!$E$186*'Model Data Inputs'!$E$187),2)</f>
        <v>224.55</v>
      </c>
      <c r="O1030" s="171">
        <f t="shared" si="63"/>
        <v>229714.65000000002</v>
      </c>
    </row>
    <row r="1031" spans="1:15" x14ac:dyDescent="0.2">
      <c r="A1031" s="168">
        <v>1024</v>
      </c>
      <c r="B1031" s="159">
        <v>639.15126995646438</v>
      </c>
      <c r="C1031" s="169">
        <f t="shared" si="60"/>
        <v>654490.90043541952</v>
      </c>
      <c r="D1031" s="153"/>
      <c r="E1031" s="170">
        <v>1024</v>
      </c>
      <c r="F1031" s="162">
        <v>224.45479928943865</v>
      </c>
      <c r="G1031" s="171">
        <f t="shared" si="61"/>
        <v>229841.71447238518</v>
      </c>
      <c r="I1031" s="168">
        <v>1024</v>
      </c>
      <c r="J1031" s="167">
        <f>ROUND(B1031*('Model Data Inputs'!$E$184*'Model Data Inputs'!$E$185*'Model Data Inputs'!$E$186*'Model Data Inputs'!$E$187),2)</f>
        <v>639.15</v>
      </c>
      <c r="K1031" s="169">
        <f t="shared" si="62"/>
        <v>654489.59999999998</v>
      </c>
      <c r="L1031" s="153"/>
      <c r="M1031" s="170">
        <v>1024</v>
      </c>
      <c r="N1031" s="164">
        <f>ROUND(F1031*('Model Data Inputs'!$E$184*'Model Data Inputs'!$E$185*'Model Data Inputs'!$E$186*'Model Data Inputs'!$E$187),2)</f>
        <v>224.45</v>
      </c>
      <c r="O1031" s="171">
        <f t="shared" si="63"/>
        <v>229836.79999999999</v>
      </c>
    </row>
    <row r="1032" spans="1:15" x14ac:dyDescent="0.2">
      <c r="A1032" s="168">
        <v>1025</v>
      </c>
      <c r="B1032" s="159">
        <v>638.9624143048012</v>
      </c>
      <c r="C1032" s="169">
        <f t="shared" ref="C1032:C1095" si="64">A1032*B1032</f>
        <v>654936.47466242127</v>
      </c>
      <c r="D1032" s="153"/>
      <c r="E1032" s="170">
        <v>1025</v>
      </c>
      <c r="F1032" s="162">
        <v>224.36041308796368</v>
      </c>
      <c r="G1032" s="171">
        <f t="shared" ref="G1032:G1095" si="65">E1032*F1032</f>
        <v>229969.42341516278</v>
      </c>
      <c r="I1032" s="168">
        <v>1025</v>
      </c>
      <c r="J1032" s="167">
        <f>ROUND(B1032*('Model Data Inputs'!$E$184*'Model Data Inputs'!$E$185*'Model Data Inputs'!$E$186*'Model Data Inputs'!$E$187),2)</f>
        <v>638.96</v>
      </c>
      <c r="K1032" s="169">
        <f t="shared" ref="K1032:K1095" si="66">I1032*J1032</f>
        <v>654934</v>
      </c>
      <c r="L1032" s="153"/>
      <c r="M1032" s="170">
        <v>1025</v>
      </c>
      <c r="N1032" s="164">
        <f>ROUND(F1032*('Model Data Inputs'!$E$184*'Model Data Inputs'!$E$185*'Model Data Inputs'!$E$186*'Model Data Inputs'!$E$187),2)</f>
        <v>224.36</v>
      </c>
      <c r="O1032" s="171">
        <f t="shared" ref="O1032:O1095" si="67">M1032*N1032</f>
        <v>229969</v>
      </c>
    </row>
    <row r="1033" spans="1:15" x14ac:dyDescent="0.2">
      <c r="A1033" s="168">
        <v>1026</v>
      </c>
      <c r="B1033" s="159">
        <v>638.77355865313814</v>
      </c>
      <c r="C1033" s="169">
        <f t="shared" si="64"/>
        <v>655381.67117811972</v>
      </c>
      <c r="D1033" s="153"/>
      <c r="E1033" s="170">
        <v>1026</v>
      </c>
      <c r="F1033" s="162">
        <v>224.26602688648865</v>
      </c>
      <c r="G1033" s="171">
        <f t="shared" si="65"/>
        <v>230096.94358553734</v>
      </c>
      <c r="I1033" s="168">
        <v>1026</v>
      </c>
      <c r="J1033" s="167">
        <f>ROUND(B1033*('Model Data Inputs'!$E$184*'Model Data Inputs'!$E$185*'Model Data Inputs'!$E$186*'Model Data Inputs'!$E$187),2)</f>
        <v>638.77</v>
      </c>
      <c r="K1033" s="169">
        <f t="shared" si="66"/>
        <v>655378.02</v>
      </c>
      <c r="L1033" s="153"/>
      <c r="M1033" s="170">
        <v>1026</v>
      </c>
      <c r="N1033" s="164">
        <f>ROUND(F1033*('Model Data Inputs'!$E$184*'Model Data Inputs'!$E$185*'Model Data Inputs'!$E$186*'Model Data Inputs'!$E$187),2)</f>
        <v>224.27</v>
      </c>
      <c r="O1033" s="171">
        <f t="shared" si="67"/>
        <v>230101.02000000002</v>
      </c>
    </row>
    <row r="1034" spans="1:15" x14ac:dyDescent="0.2">
      <c r="A1034" s="168">
        <v>1027</v>
      </c>
      <c r="B1034" s="159">
        <v>638.58470300147496</v>
      </c>
      <c r="C1034" s="169">
        <f t="shared" si="64"/>
        <v>655826.48998251476</v>
      </c>
      <c r="D1034" s="153"/>
      <c r="E1034" s="170">
        <v>1027</v>
      </c>
      <c r="F1034" s="162">
        <v>224.17164068501359</v>
      </c>
      <c r="G1034" s="171">
        <f t="shared" si="65"/>
        <v>230224.27498350895</v>
      </c>
      <c r="I1034" s="168">
        <v>1027</v>
      </c>
      <c r="J1034" s="167">
        <f>ROUND(B1034*('Model Data Inputs'!$E$184*'Model Data Inputs'!$E$185*'Model Data Inputs'!$E$186*'Model Data Inputs'!$E$187),2)</f>
        <v>638.58000000000004</v>
      </c>
      <c r="K1034" s="169">
        <f t="shared" si="66"/>
        <v>655821.66</v>
      </c>
      <c r="L1034" s="153"/>
      <c r="M1034" s="170">
        <v>1027</v>
      </c>
      <c r="N1034" s="164">
        <f>ROUND(F1034*('Model Data Inputs'!$E$184*'Model Data Inputs'!$E$185*'Model Data Inputs'!$E$186*'Model Data Inputs'!$E$187),2)</f>
        <v>224.17</v>
      </c>
      <c r="O1034" s="171">
        <f t="shared" si="67"/>
        <v>230222.59</v>
      </c>
    </row>
    <row r="1035" spans="1:15" x14ac:dyDescent="0.2">
      <c r="A1035" s="168">
        <v>1028</v>
      </c>
      <c r="B1035" s="159">
        <v>638.39584734981202</v>
      </c>
      <c r="C1035" s="169">
        <f t="shared" si="64"/>
        <v>656270.93107560673</v>
      </c>
      <c r="D1035" s="153"/>
      <c r="E1035" s="170">
        <v>1028</v>
      </c>
      <c r="F1035" s="162">
        <v>224.07725448353852</v>
      </c>
      <c r="G1035" s="171">
        <f t="shared" si="65"/>
        <v>230351.41760907762</v>
      </c>
      <c r="I1035" s="168">
        <v>1028</v>
      </c>
      <c r="J1035" s="167">
        <f>ROUND(B1035*('Model Data Inputs'!$E$184*'Model Data Inputs'!$E$185*'Model Data Inputs'!$E$186*'Model Data Inputs'!$E$187),2)</f>
        <v>638.4</v>
      </c>
      <c r="K1035" s="169">
        <f t="shared" si="66"/>
        <v>656275.19999999995</v>
      </c>
      <c r="L1035" s="153"/>
      <c r="M1035" s="170">
        <v>1028</v>
      </c>
      <c r="N1035" s="164">
        <f>ROUND(F1035*('Model Data Inputs'!$E$184*'Model Data Inputs'!$E$185*'Model Data Inputs'!$E$186*'Model Data Inputs'!$E$187),2)</f>
        <v>224.08</v>
      </c>
      <c r="O1035" s="171">
        <f t="shared" si="67"/>
        <v>230354.24000000002</v>
      </c>
    </row>
    <row r="1036" spans="1:15" x14ac:dyDescent="0.2">
      <c r="A1036" s="168">
        <v>1029</v>
      </c>
      <c r="B1036" s="159">
        <v>638.20699169814895</v>
      </c>
      <c r="C1036" s="169">
        <f t="shared" si="64"/>
        <v>656714.99445739528</v>
      </c>
      <c r="D1036" s="153"/>
      <c r="E1036" s="170">
        <v>1029</v>
      </c>
      <c r="F1036" s="162">
        <v>223.98286828206352</v>
      </c>
      <c r="G1036" s="171">
        <f t="shared" si="65"/>
        <v>230478.37146224338</v>
      </c>
      <c r="I1036" s="168">
        <v>1029</v>
      </c>
      <c r="J1036" s="167">
        <f>ROUND(B1036*('Model Data Inputs'!$E$184*'Model Data Inputs'!$E$185*'Model Data Inputs'!$E$186*'Model Data Inputs'!$E$187),2)</f>
        <v>638.21</v>
      </c>
      <c r="K1036" s="169">
        <f t="shared" si="66"/>
        <v>656718.09000000008</v>
      </c>
      <c r="L1036" s="153"/>
      <c r="M1036" s="170">
        <v>1029</v>
      </c>
      <c r="N1036" s="164">
        <f>ROUND(F1036*('Model Data Inputs'!$E$184*'Model Data Inputs'!$E$185*'Model Data Inputs'!$E$186*'Model Data Inputs'!$E$187),2)</f>
        <v>223.98</v>
      </c>
      <c r="O1036" s="171">
        <f t="shared" si="67"/>
        <v>230475.41999999998</v>
      </c>
    </row>
    <row r="1037" spans="1:15" x14ac:dyDescent="0.2">
      <c r="A1037" s="168">
        <v>1030</v>
      </c>
      <c r="B1037" s="159">
        <v>638.01813604648589</v>
      </c>
      <c r="C1037" s="169">
        <f t="shared" si="64"/>
        <v>657158.68012788042</v>
      </c>
      <c r="D1037" s="153"/>
      <c r="E1037" s="170">
        <v>1030</v>
      </c>
      <c r="F1037" s="162">
        <v>223.88848208058849</v>
      </c>
      <c r="G1037" s="171">
        <f t="shared" si="65"/>
        <v>230605.13654300614</v>
      </c>
      <c r="I1037" s="168">
        <v>1030</v>
      </c>
      <c r="J1037" s="167">
        <f>ROUND(B1037*('Model Data Inputs'!$E$184*'Model Data Inputs'!$E$185*'Model Data Inputs'!$E$186*'Model Data Inputs'!$E$187),2)</f>
        <v>638.02</v>
      </c>
      <c r="K1037" s="169">
        <f t="shared" si="66"/>
        <v>657160.6</v>
      </c>
      <c r="L1037" s="153"/>
      <c r="M1037" s="170">
        <v>1030</v>
      </c>
      <c r="N1037" s="164">
        <f>ROUND(F1037*('Model Data Inputs'!$E$184*'Model Data Inputs'!$E$185*'Model Data Inputs'!$E$186*'Model Data Inputs'!$E$187),2)</f>
        <v>223.89</v>
      </c>
      <c r="O1037" s="171">
        <f t="shared" si="67"/>
        <v>230606.69999999998</v>
      </c>
    </row>
    <row r="1038" spans="1:15" x14ac:dyDescent="0.2">
      <c r="A1038" s="168">
        <v>1031</v>
      </c>
      <c r="B1038" s="159">
        <v>637.82928039482272</v>
      </c>
      <c r="C1038" s="169">
        <f t="shared" si="64"/>
        <v>657601.98808706226</v>
      </c>
      <c r="D1038" s="153"/>
      <c r="E1038" s="170">
        <v>1031</v>
      </c>
      <c r="F1038" s="162">
        <v>223.79409587911348</v>
      </c>
      <c r="G1038" s="171">
        <f t="shared" si="65"/>
        <v>230731.712851366</v>
      </c>
      <c r="I1038" s="168">
        <v>1031</v>
      </c>
      <c r="J1038" s="167">
        <f>ROUND(B1038*('Model Data Inputs'!$E$184*'Model Data Inputs'!$E$185*'Model Data Inputs'!$E$186*'Model Data Inputs'!$E$187),2)</f>
        <v>637.83000000000004</v>
      </c>
      <c r="K1038" s="169">
        <f t="shared" si="66"/>
        <v>657602.7300000001</v>
      </c>
      <c r="L1038" s="153"/>
      <c r="M1038" s="170">
        <v>1031</v>
      </c>
      <c r="N1038" s="164">
        <f>ROUND(F1038*('Model Data Inputs'!$E$184*'Model Data Inputs'!$E$185*'Model Data Inputs'!$E$186*'Model Data Inputs'!$E$187),2)</f>
        <v>223.79</v>
      </c>
      <c r="O1038" s="171">
        <f t="shared" si="67"/>
        <v>230727.49</v>
      </c>
    </row>
    <row r="1039" spans="1:15" x14ac:dyDescent="0.2">
      <c r="A1039" s="168">
        <v>1032</v>
      </c>
      <c r="B1039" s="159">
        <v>637.64042474315977</v>
      </c>
      <c r="C1039" s="169">
        <f t="shared" si="64"/>
        <v>658044.91833494091</v>
      </c>
      <c r="D1039" s="153"/>
      <c r="E1039" s="170">
        <v>1032</v>
      </c>
      <c r="F1039" s="162">
        <v>223.69970967763834</v>
      </c>
      <c r="G1039" s="171">
        <f t="shared" si="65"/>
        <v>230858.10038732277</v>
      </c>
      <c r="I1039" s="168">
        <v>1032</v>
      </c>
      <c r="J1039" s="167">
        <f>ROUND(B1039*('Model Data Inputs'!$E$184*'Model Data Inputs'!$E$185*'Model Data Inputs'!$E$186*'Model Data Inputs'!$E$187),2)</f>
        <v>637.64</v>
      </c>
      <c r="K1039" s="169">
        <f t="shared" si="66"/>
        <v>658044.48</v>
      </c>
      <c r="L1039" s="153"/>
      <c r="M1039" s="170">
        <v>1032</v>
      </c>
      <c r="N1039" s="164">
        <f>ROUND(F1039*('Model Data Inputs'!$E$184*'Model Data Inputs'!$E$185*'Model Data Inputs'!$E$186*'Model Data Inputs'!$E$187),2)</f>
        <v>223.7</v>
      </c>
      <c r="O1039" s="171">
        <f t="shared" si="67"/>
        <v>230858.4</v>
      </c>
    </row>
    <row r="1040" spans="1:15" x14ac:dyDescent="0.2">
      <c r="A1040" s="168">
        <v>1033</v>
      </c>
      <c r="B1040" s="159">
        <v>637.45156909149671</v>
      </c>
      <c r="C1040" s="169">
        <f t="shared" si="64"/>
        <v>658487.47087151615</v>
      </c>
      <c r="D1040" s="153"/>
      <c r="E1040" s="170">
        <v>1033</v>
      </c>
      <c r="F1040" s="162">
        <v>223.60532347616333</v>
      </c>
      <c r="G1040" s="171">
        <f t="shared" si="65"/>
        <v>230984.29915087673</v>
      </c>
      <c r="I1040" s="168">
        <v>1033</v>
      </c>
      <c r="J1040" s="167">
        <f>ROUND(B1040*('Model Data Inputs'!$E$184*'Model Data Inputs'!$E$185*'Model Data Inputs'!$E$186*'Model Data Inputs'!$E$187),2)</f>
        <v>637.45000000000005</v>
      </c>
      <c r="K1040" s="169">
        <f t="shared" si="66"/>
        <v>658485.85000000009</v>
      </c>
      <c r="L1040" s="153"/>
      <c r="M1040" s="170">
        <v>1033</v>
      </c>
      <c r="N1040" s="164">
        <f>ROUND(F1040*('Model Data Inputs'!$E$184*'Model Data Inputs'!$E$185*'Model Data Inputs'!$E$186*'Model Data Inputs'!$E$187),2)</f>
        <v>223.61</v>
      </c>
      <c r="O1040" s="171">
        <f t="shared" si="67"/>
        <v>230989.13</v>
      </c>
    </row>
    <row r="1041" spans="1:15" x14ac:dyDescent="0.2">
      <c r="A1041" s="168">
        <v>1034</v>
      </c>
      <c r="B1041" s="159">
        <v>637.26271343983353</v>
      </c>
      <c r="C1041" s="169">
        <f t="shared" si="64"/>
        <v>658929.64569678786</v>
      </c>
      <c r="D1041" s="153"/>
      <c r="E1041" s="170">
        <v>1034</v>
      </c>
      <c r="F1041" s="162">
        <v>223.5109372746883</v>
      </c>
      <c r="G1041" s="171">
        <f t="shared" si="65"/>
        <v>231110.30914202769</v>
      </c>
      <c r="I1041" s="168">
        <v>1034</v>
      </c>
      <c r="J1041" s="167">
        <f>ROUND(B1041*('Model Data Inputs'!$E$184*'Model Data Inputs'!$E$185*'Model Data Inputs'!$E$186*'Model Data Inputs'!$E$187),2)</f>
        <v>637.26</v>
      </c>
      <c r="K1041" s="169">
        <f t="shared" si="66"/>
        <v>658926.84</v>
      </c>
      <c r="L1041" s="153"/>
      <c r="M1041" s="170">
        <v>1034</v>
      </c>
      <c r="N1041" s="164">
        <f>ROUND(F1041*('Model Data Inputs'!$E$184*'Model Data Inputs'!$E$185*'Model Data Inputs'!$E$186*'Model Data Inputs'!$E$187),2)</f>
        <v>223.51</v>
      </c>
      <c r="O1041" s="171">
        <f t="shared" si="67"/>
        <v>231109.34</v>
      </c>
    </row>
    <row r="1042" spans="1:15" x14ac:dyDescent="0.2">
      <c r="A1042" s="168">
        <v>1035</v>
      </c>
      <c r="B1042" s="159">
        <v>637.07385778817047</v>
      </c>
      <c r="C1042" s="169">
        <f t="shared" si="64"/>
        <v>659371.44281075639</v>
      </c>
      <c r="D1042" s="153"/>
      <c r="E1042" s="170">
        <v>1035</v>
      </c>
      <c r="F1042" s="162">
        <v>223.41655107321327</v>
      </c>
      <c r="G1042" s="171">
        <f t="shared" si="65"/>
        <v>231236.13036077574</v>
      </c>
      <c r="I1042" s="168">
        <v>1035</v>
      </c>
      <c r="J1042" s="167">
        <f>ROUND(B1042*('Model Data Inputs'!$E$184*'Model Data Inputs'!$E$185*'Model Data Inputs'!$E$186*'Model Data Inputs'!$E$187),2)</f>
        <v>637.07000000000005</v>
      </c>
      <c r="K1042" s="169">
        <f t="shared" si="66"/>
        <v>659367.45000000007</v>
      </c>
      <c r="L1042" s="153"/>
      <c r="M1042" s="170">
        <v>1035</v>
      </c>
      <c r="N1042" s="164">
        <f>ROUND(F1042*('Model Data Inputs'!$E$184*'Model Data Inputs'!$E$185*'Model Data Inputs'!$E$186*'Model Data Inputs'!$E$187),2)</f>
        <v>223.42</v>
      </c>
      <c r="O1042" s="171">
        <f t="shared" si="67"/>
        <v>231239.69999999998</v>
      </c>
    </row>
    <row r="1043" spans="1:15" x14ac:dyDescent="0.2">
      <c r="A1043" s="168">
        <v>1036</v>
      </c>
      <c r="B1043" s="159">
        <v>636.8850021365073</v>
      </c>
      <c r="C1043" s="169">
        <f t="shared" si="64"/>
        <v>659812.86221342161</v>
      </c>
      <c r="D1043" s="153"/>
      <c r="E1043" s="170">
        <v>1036</v>
      </c>
      <c r="F1043" s="162">
        <v>223.32216487173827</v>
      </c>
      <c r="G1043" s="171">
        <f t="shared" si="65"/>
        <v>231361.76280712083</v>
      </c>
      <c r="I1043" s="168">
        <v>1036</v>
      </c>
      <c r="J1043" s="167">
        <f>ROUND(B1043*('Model Data Inputs'!$E$184*'Model Data Inputs'!$E$185*'Model Data Inputs'!$E$186*'Model Data Inputs'!$E$187),2)</f>
        <v>636.89</v>
      </c>
      <c r="K1043" s="169">
        <f t="shared" si="66"/>
        <v>659818.04</v>
      </c>
      <c r="L1043" s="153"/>
      <c r="M1043" s="170">
        <v>1036</v>
      </c>
      <c r="N1043" s="164">
        <f>ROUND(F1043*('Model Data Inputs'!$E$184*'Model Data Inputs'!$E$185*'Model Data Inputs'!$E$186*'Model Data Inputs'!$E$187),2)</f>
        <v>223.32</v>
      </c>
      <c r="O1043" s="171">
        <f t="shared" si="67"/>
        <v>231359.52</v>
      </c>
    </row>
    <row r="1044" spans="1:15" x14ac:dyDescent="0.2">
      <c r="A1044" s="168">
        <v>1037</v>
      </c>
      <c r="B1044" s="159">
        <v>636.69614648484412</v>
      </c>
      <c r="C1044" s="169">
        <f t="shared" si="64"/>
        <v>660253.90390478331</v>
      </c>
      <c r="D1044" s="153"/>
      <c r="E1044" s="170">
        <v>1037</v>
      </c>
      <c r="F1044" s="162">
        <v>223.22777867026321</v>
      </c>
      <c r="G1044" s="171">
        <f t="shared" si="65"/>
        <v>231487.20648106295</v>
      </c>
      <c r="I1044" s="168">
        <v>1037</v>
      </c>
      <c r="J1044" s="167">
        <f>ROUND(B1044*('Model Data Inputs'!$E$184*'Model Data Inputs'!$E$185*'Model Data Inputs'!$E$186*'Model Data Inputs'!$E$187),2)</f>
        <v>636.70000000000005</v>
      </c>
      <c r="K1044" s="169">
        <f t="shared" si="66"/>
        <v>660257.9</v>
      </c>
      <c r="L1044" s="153"/>
      <c r="M1044" s="170">
        <v>1037</v>
      </c>
      <c r="N1044" s="164">
        <f>ROUND(F1044*('Model Data Inputs'!$E$184*'Model Data Inputs'!$E$185*'Model Data Inputs'!$E$186*'Model Data Inputs'!$E$187),2)</f>
        <v>223.23</v>
      </c>
      <c r="O1044" s="171">
        <f t="shared" si="67"/>
        <v>231489.50999999998</v>
      </c>
    </row>
    <row r="1045" spans="1:15" x14ac:dyDescent="0.2">
      <c r="A1045" s="168">
        <v>1038</v>
      </c>
      <c r="B1045" s="159">
        <v>636.50729083318106</v>
      </c>
      <c r="C1045" s="169">
        <f t="shared" si="64"/>
        <v>660694.56788484193</v>
      </c>
      <c r="D1045" s="153"/>
      <c r="E1045" s="170">
        <v>1038</v>
      </c>
      <c r="F1045" s="162">
        <v>223.1333924687882</v>
      </c>
      <c r="G1045" s="171">
        <f t="shared" si="65"/>
        <v>231612.46138260217</v>
      </c>
      <c r="I1045" s="168">
        <v>1038</v>
      </c>
      <c r="J1045" s="167">
        <f>ROUND(B1045*('Model Data Inputs'!$E$184*'Model Data Inputs'!$E$185*'Model Data Inputs'!$E$186*'Model Data Inputs'!$E$187),2)</f>
        <v>636.51</v>
      </c>
      <c r="K1045" s="169">
        <f t="shared" si="66"/>
        <v>660697.38</v>
      </c>
      <c r="L1045" s="153"/>
      <c r="M1045" s="170">
        <v>1038</v>
      </c>
      <c r="N1045" s="164">
        <f>ROUND(F1045*('Model Data Inputs'!$E$184*'Model Data Inputs'!$E$185*'Model Data Inputs'!$E$186*'Model Data Inputs'!$E$187),2)</f>
        <v>223.13</v>
      </c>
      <c r="O1045" s="171">
        <f t="shared" si="67"/>
        <v>231608.94</v>
      </c>
    </row>
    <row r="1046" spans="1:15" x14ac:dyDescent="0.2">
      <c r="A1046" s="168">
        <v>1039</v>
      </c>
      <c r="B1046" s="159">
        <v>636.31843518151788</v>
      </c>
      <c r="C1046" s="169">
        <f t="shared" si="64"/>
        <v>661134.85415359703</v>
      </c>
      <c r="D1046" s="153"/>
      <c r="E1046" s="170">
        <v>1039</v>
      </c>
      <c r="F1046" s="162">
        <v>223.03900626731314</v>
      </c>
      <c r="G1046" s="171">
        <f t="shared" si="65"/>
        <v>231737.52751173836</v>
      </c>
      <c r="I1046" s="168">
        <v>1039</v>
      </c>
      <c r="J1046" s="167">
        <f>ROUND(B1046*('Model Data Inputs'!$E$184*'Model Data Inputs'!$E$185*'Model Data Inputs'!$E$186*'Model Data Inputs'!$E$187),2)</f>
        <v>636.32000000000005</v>
      </c>
      <c r="K1046" s="169">
        <f t="shared" si="66"/>
        <v>661136.4800000001</v>
      </c>
      <c r="L1046" s="153"/>
      <c r="M1046" s="170">
        <v>1039</v>
      </c>
      <c r="N1046" s="164">
        <f>ROUND(F1046*('Model Data Inputs'!$E$184*'Model Data Inputs'!$E$185*'Model Data Inputs'!$E$186*'Model Data Inputs'!$E$187),2)</f>
        <v>223.04</v>
      </c>
      <c r="O1046" s="171">
        <f t="shared" si="67"/>
        <v>231738.56</v>
      </c>
    </row>
    <row r="1047" spans="1:15" x14ac:dyDescent="0.2">
      <c r="A1047" s="168">
        <v>1040</v>
      </c>
      <c r="B1047" s="159">
        <v>636.12957952985494</v>
      </c>
      <c r="C1047" s="169">
        <f t="shared" si="64"/>
        <v>661574.76271104917</v>
      </c>
      <c r="D1047" s="153"/>
      <c r="E1047" s="170">
        <v>1040</v>
      </c>
      <c r="F1047" s="162">
        <v>222.94462006583814</v>
      </c>
      <c r="G1047" s="171">
        <f t="shared" si="65"/>
        <v>231862.40486847167</v>
      </c>
      <c r="I1047" s="168">
        <v>1040</v>
      </c>
      <c r="J1047" s="167">
        <f>ROUND(B1047*('Model Data Inputs'!$E$184*'Model Data Inputs'!$E$185*'Model Data Inputs'!$E$186*'Model Data Inputs'!$E$187),2)</f>
        <v>636.13</v>
      </c>
      <c r="K1047" s="169">
        <f t="shared" si="66"/>
        <v>661575.19999999995</v>
      </c>
      <c r="L1047" s="153"/>
      <c r="M1047" s="170">
        <v>1040</v>
      </c>
      <c r="N1047" s="164">
        <f>ROUND(F1047*('Model Data Inputs'!$E$184*'Model Data Inputs'!$E$185*'Model Data Inputs'!$E$186*'Model Data Inputs'!$E$187),2)</f>
        <v>222.94</v>
      </c>
      <c r="O1047" s="171">
        <f t="shared" si="67"/>
        <v>231857.6</v>
      </c>
    </row>
    <row r="1048" spans="1:15" x14ac:dyDescent="0.2">
      <c r="A1048" s="168">
        <v>1041</v>
      </c>
      <c r="B1048" s="159">
        <v>635.94072387819187</v>
      </c>
      <c r="C1048" s="169">
        <f t="shared" si="64"/>
        <v>662014.29355719779</v>
      </c>
      <c r="D1048" s="153"/>
      <c r="E1048" s="170">
        <v>1041</v>
      </c>
      <c r="F1048" s="162">
        <v>222.85023386436308</v>
      </c>
      <c r="G1048" s="171">
        <f t="shared" si="65"/>
        <v>231987.09345280196</v>
      </c>
      <c r="I1048" s="168">
        <v>1041</v>
      </c>
      <c r="J1048" s="167">
        <f>ROUND(B1048*('Model Data Inputs'!$E$184*'Model Data Inputs'!$E$185*'Model Data Inputs'!$E$186*'Model Data Inputs'!$E$187),2)</f>
        <v>635.94000000000005</v>
      </c>
      <c r="K1048" s="169">
        <f t="shared" si="66"/>
        <v>662013.54</v>
      </c>
      <c r="L1048" s="153"/>
      <c r="M1048" s="170">
        <v>1041</v>
      </c>
      <c r="N1048" s="164">
        <f>ROUND(F1048*('Model Data Inputs'!$E$184*'Model Data Inputs'!$E$185*'Model Data Inputs'!$E$186*'Model Data Inputs'!$E$187),2)</f>
        <v>222.85</v>
      </c>
      <c r="O1048" s="171">
        <f t="shared" si="67"/>
        <v>231986.85</v>
      </c>
    </row>
    <row r="1049" spans="1:15" x14ac:dyDescent="0.2">
      <c r="A1049" s="168">
        <v>1042</v>
      </c>
      <c r="B1049" s="159">
        <v>635.75186822652893</v>
      </c>
      <c r="C1049" s="169">
        <f t="shared" si="64"/>
        <v>662453.4466920431</v>
      </c>
      <c r="D1049" s="153"/>
      <c r="E1049" s="170">
        <v>1042</v>
      </c>
      <c r="F1049" s="162">
        <v>222.75584766288802</v>
      </c>
      <c r="G1049" s="171">
        <f t="shared" si="65"/>
        <v>232111.59326472931</v>
      </c>
      <c r="I1049" s="168">
        <v>1042</v>
      </c>
      <c r="J1049" s="167">
        <f>ROUND(B1049*('Model Data Inputs'!$E$184*'Model Data Inputs'!$E$185*'Model Data Inputs'!$E$186*'Model Data Inputs'!$E$187),2)</f>
        <v>635.75</v>
      </c>
      <c r="K1049" s="169">
        <f t="shared" si="66"/>
        <v>662451.5</v>
      </c>
      <c r="L1049" s="153"/>
      <c r="M1049" s="170">
        <v>1042</v>
      </c>
      <c r="N1049" s="164">
        <f>ROUND(F1049*('Model Data Inputs'!$E$184*'Model Data Inputs'!$E$185*'Model Data Inputs'!$E$186*'Model Data Inputs'!$E$187),2)</f>
        <v>222.76</v>
      </c>
      <c r="O1049" s="171">
        <f t="shared" si="67"/>
        <v>232115.91999999998</v>
      </c>
    </row>
    <row r="1050" spans="1:15" x14ac:dyDescent="0.2">
      <c r="A1050" s="168">
        <v>1043</v>
      </c>
      <c r="B1050" s="159">
        <v>635.56301257486564</v>
      </c>
      <c r="C1050" s="169">
        <f t="shared" si="64"/>
        <v>662892.22211558488</v>
      </c>
      <c r="D1050" s="153"/>
      <c r="E1050" s="170">
        <v>1043</v>
      </c>
      <c r="F1050" s="162">
        <v>222.66146146141293</v>
      </c>
      <c r="G1050" s="171">
        <f t="shared" si="65"/>
        <v>232235.90430425369</v>
      </c>
      <c r="I1050" s="168">
        <v>1043</v>
      </c>
      <c r="J1050" s="167">
        <f>ROUND(B1050*('Model Data Inputs'!$E$184*'Model Data Inputs'!$E$185*'Model Data Inputs'!$E$186*'Model Data Inputs'!$E$187),2)</f>
        <v>635.55999999999995</v>
      </c>
      <c r="K1050" s="169">
        <f t="shared" si="66"/>
        <v>662889.07999999996</v>
      </c>
      <c r="L1050" s="153"/>
      <c r="M1050" s="170">
        <v>1043</v>
      </c>
      <c r="N1050" s="164">
        <f>ROUND(F1050*('Model Data Inputs'!$E$184*'Model Data Inputs'!$E$185*'Model Data Inputs'!$E$186*'Model Data Inputs'!$E$187),2)</f>
        <v>222.66</v>
      </c>
      <c r="O1050" s="171">
        <f t="shared" si="67"/>
        <v>232234.38</v>
      </c>
    </row>
    <row r="1051" spans="1:15" x14ac:dyDescent="0.2">
      <c r="A1051" s="168">
        <v>1044</v>
      </c>
      <c r="B1051" s="159">
        <v>635.37415692320258</v>
      </c>
      <c r="C1051" s="169">
        <f t="shared" si="64"/>
        <v>663330.61982782348</v>
      </c>
      <c r="D1051" s="153"/>
      <c r="E1051" s="170">
        <v>1044</v>
      </c>
      <c r="F1051" s="162">
        <v>222.56707525993792</v>
      </c>
      <c r="G1051" s="171">
        <f t="shared" si="65"/>
        <v>232360.0265713752</v>
      </c>
      <c r="I1051" s="168">
        <v>1044</v>
      </c>
      <c r="J1051" s="167">
        <f>ROUND(B1051*('Model Data Inputs'!$E$184*'Model Data Inputs'!$E$185*'Model Data Inputs'!$E$186*'Model Data Inputs'!$E$187),2)</f>
        <v>635.37</v>
      </c>
      <c r="K1051" s="169">
        <f t="shared" si="66"/>
        <v>663326.28</v>
      </c>
      <c r="L1051" s="153"/>
      <c r="M1051" s="170">
        <v>1044</v>
      </c>
      <c r="N1051" s="164">
        <f>ROUND(F1051*('Model Data Inputs'!$E$184*'Model Data Inputs'!$E$185*'Model Data Inputs'!$E$186*'Model Data Inputs'!$E$187),2)</f>
        <v>222.57</v>
      </c>
      <c r="O1051" s="171">
        <f t="shared" si="67"/>
        <v>232363.08</v>
      </c>
    </row>
    <row r="1052" spans="1:15" x14ac:dyDescent="0.2">
      <c r="A1052" s="168">
        <v>1045</v>
      </c>
      <c r="B1052" s="159">
        <v>635.1853012715394</v>
      </c>
      <c r="C1052" s="169">
        <f t="shared" si="64"/>
        <v>663768.63982875866</v>
      </c>
      <c r="D1052" s="153"/>
      <c r="E1052" s="170">
        <v>1045</v>
      </c>
      <c r="F1052" s="162">
        <v>222.47268905846289</v>
      </c>
      <c r="G1052" s="171">
        <f t="shared" si="65"/>
        <v>232483.96006609371</v>
      </c>
      <c r="I1052" s="168">
        <v>1045</v>
      </c>
      <c r="J1052" s="167">
        <f>ROUND(B1052*('Model Data Inputs'!$E$184*'Model Data Inputs'!$E$185*'Model Data Inputs'!$E$186*'Model Data Inputs'!$E$187),2)</f>
        <v>635.19000000000005</v>
      </c>
      <c r="K1052" s="169">
        <f t="shared" si="66"/>
        <v>663773.55000000005</v>
      </c>
      <c r="L1052" s="153"/>
      <c r="M1052" s="170">
        <v>1045</v>
      </c>
      <c r="N1052" s="164">
        <f>ROUND(F1052*('Model Data Inputs'!$E$184*'Model Data Inputs'!$E$185*'Model Data Inputs'!$E$186*'Model Data Inputs'!$E$187),2)</f>
        <v>222.47</v>
      </c>
      <c r="O1052" s="171">
        <f t="shared" si="67"/>
        <v>232481.15</v>
      </c>
    </row>
    <row r="1053" spans="1:15" x14ac:dyDescent="0.2">
      <c r="A1053" s="168">
        <v>1046</v>
      </c>
      <c r="B1053" s="159">
        <v>634.99644561987657</v>
      </c>
      <c r="C1053" s="169">
        <f t="shared" si="64"/>
        <v>664206.2821183909</v>
      </c>
      <c r="D1053" s="153"/>
      <c r="E1053" s="170">
        <v>1046</v>
      </c>
      <c r="F1053" s="162">
        <v>222.37830285698786</v>
      </c>
      <c r="G1053" s="171">
        <f t="shared" si="65"/>
        <v>232607.70478840929</v>
      </c>
      <c r="I1053" s="168">
        <v>1046</v>
      </c>
      <c r="J1053" s="167">
        <f>ROUND(B1053*('Model Data Inputs'!$E$184*'Model Data Inputs'!$E$185*'Model Data Inputs'!$E$186*'Model Data Inputs'!$E$187),2)</f>
        <v>635</v>
      </c>
      <c r="K1053" s="169">
        <f t="shared" si="66"/>
        <v>664210</v>
      </c>
      <c r="L1053" s="153"/>
      <c r="M1053" s="170">
        <v>1046</v>
      </c>
      <c r="N1053" s="164">
        <f>ROUND(F1053*('Model Data Inputs'!$E$184*'Model Data Inputs'!$E$185*'Model Data Inputs'!$E$186*'Model Data Inputs'!$E$187),2)</f>
        <v>222.38</v>
      </c>
      <c r="O1053" s="171">
        <f t="shared" si="67"/>
        <v>232609.47999999998</v>
      </c>
    </row>
    <row r="1054" spans="1:15" x14ac:dyDescent="0.2">
      <c r="A1054" s="168">
        <v>1047</v>
      </c>
      <c r="B1054" s="159">
        <v>634.80758996821339</v>
      </c>
      <c r="C1054" s="169">
        <f t="shared" si="64"/>
        <v>664643.54669671936</v>
      </c>
      <c r="D1054" s="153"/>
      <c r="E1054" s="170">
        <v>1047</v>
      </c>
      <c r="F1054" s="162">
        <v>222.28391665551277</v>
      </c>
      <c r="G1054" s="171">
        <f t="shared" si="65"/>
        <v>232731.26073832187</v>
      </c>
      <c r="I1054" s="168">
        <v>1047</v>
      </c>
      <c r="J1054" s="167">
        <f>ROUND(B1054*('Model Data Inputs'!$E$184*'Model Data Inputs'!$E$185*'Model Data Inputs'!$E$186*'Model Data Inputs'!$E$187),2)</f>
        <v>634.80999999999995</v>
      </c>
      <c r="K1054" s="169">
        <f t="shared" si="66"/>
        <v>664646.06999999995</v>
      </c>
      <c r="L1054" s="153"/>
      <c r="M1054" s="170">
        <v>1047</v>
      </c>
      <c r="N1054" s="164">
        <f>ROUND(F1054*('Model Data Inputs'!$E$184*'Model Data Inputs'!$E$185*'Model Data Inputs'!$E$186*'Model Data Inputs'!$E$187),2)</f>
        <v>222.28</v>
      </c>
      <c r="O1054" s="171">
        <f t="shared" si="67"/>
        <v>232727.16</v>
      </c>
    </row>
    <row r="1055" spans="1:15" x14ac:dyDescent="0.2">
      <c r="A1055" s="168">
        <v>1048</v>
      </c>
      <c r="B1055" s="159">
        <v>634.61873431655056</v>
      </c>
      <c r="C1055" s="169">
        <f t="shared" si="64"/>
        <v>665080.433563745</v>
      </c>
      <c r="D1055" s="153"/>
      <c r="E1055" s="170">
        <v>1048</v>
      </c>
      <c r="F1055" s="162">
        <v>222.18953045403779</v>
      </c>
      <c r="G1055" s="171">
        <f t="shared" si="65"/>
        <v>232854.6279158316</v>
      </c>
      <c r="I1055" s="168">
        <v>1048</v>
      </c>
      <c r="J1055" s="167">
        <f>ROUND(B1055*('Model Data Inputs'!$E$184*'Model Data Inputs'!$E$185*'Model Data Inputs'!$E$186*'Model Data Inputs'!$E$187),2)</f>
        <v>634.62</v>
      </c>
      <c r="K1055" s="169">
        <f t="shared" si="66"/>
        <v>665081.76</v>
      </c>
      <c r="L1055" s="153"/>
      <c r="M1055" s="170">
        <v>1048</v>
      </c>
      <c r="N1055" s="164">
        <f>ROUND(F1055*('Model Data Inputs'!$E$184*'Model Data Inputs'!$E$185*'Model Data Inputs'!$E$186*'Model Data Inputs'!$E$187),2)</f>
        <v>222.19</v>
      </c>
      <c r="O1055" s="171">
        <f t="shared" si="67"/>
        <v>232855.12</v>
      </c>
    </row>
    <row r="1056" spans="1:15" x14ac:dyDescent="0.2">
      <c r="A1056" s="168">
        <v>1049</v>
      </c>
      <c r="B1056" s="159">
        <v>634.42987866488716</v>
      </c>
      <c r="C1056" s="169">
        <f t="shared" si="64"/>
        <v>665516.94271946664</v>
      </c>
      <c r="D1056" s="153"/>
      <c r="E1056" s="170">
        <v>1049</v>
      </c>
      <c r="F1056" s="162">
        <v>222.09514425256276</v>
      </c>
      <c r="G1056" s="171">
        <f t="shared" si="65"/>
        <v>232977.80632093834</v>
      </c>
      <c r="I1056" s="168">
        <v>1049</v>
      </c>
      <c r="J1056" s="167">
        <f>ROUND(B1056*('Model Data Inputs'!$E$184*'Model Data Inputs'!$E$185*'Model Data Inputs'!$E$186*'Model Data Inputs'!$E$187),2)</f>
        <v>634.42999999999995</v>
      </c>
      <c r="K1056" s="169">
        <f t="shared" si="66"/>
        <v>665517.06999999995</v>
      </c>
      <c r="L1056" s="153"/>
      <c r="M1056" s="170">
        <v>1049</v>
      </c>
      <c r="N1056" s="164">
        <f>ROUND(F1056*('Model Data Inputs'!$E$184*'Model Data Inputs'!$E$185*'Model Data Inputs'!$E$186*'Model Data Inputs'!$E$187),2)</f>
        <v>222.1</v>
      </c>
      <c r="O1056" s="171">
        <f t="shared" si="67"/>
        <v>232982.9</v>
      </c>
    </row>
    <row r="1057" spans="1:15" x14ac:dyDescent="0.2">
      <c r="A1057" s="168">
        <v>1050</v>
      </c>
      <c r="B1057" s="159">
        <v>634.24102301322421</v>
      </c>
      <c r="C1057" s="169">
        <f t="shared" si="64"/>
        <v>665953.07416388544</v>
      </c>
      <c r="D1057" s="153"/>
      <c r="E1057" s="170">
        <v>1050</v>
      </c>
      <c r="F1057" s="162">
        <v>222.00075805108773</v>
      </c>
      <c r="G1057" s="171">
        <f t="shared" si="65"/>
        <v>233100.79595364211</v>
      </c>
      <c r="I1057" s="168">
        <v>1050</v>
      </c>
      <c r="J1057" s="167">
        <f>ROUND(B1057*('Model Data Inputs'!$E$184*'Model Data Inputs'!$E$185*'Model Data Inputs'!$E$186*'Model Data Inputs'!$E$187),2)</f>
        <v>634.24</v>
      </c>
      <c r="K1057" s="169">
        <f t="shared" si="66"/>
        <v>665952</v>
      </c>
      <c r="L1057" s="153"/>
      <c r="M1057" s="170">
        <v>1050</v>
      </c>
      <c r="N1057" s="164">
        <f>ROUND(F1057*('Model Data Inputs'!$E$184*'Model Data Inputs'!$E$185*'Model Data Inputs'!$E$186*'Model Data Inputs'!$E$187),2)</f>
        <v>222</v>
      </c>
      <c r="O1057" s="171">
        <f t="shared" si="67"/>
        <v>233100</v>
      </c>
    </row>
    <row r="1058" spans="1:15" x14ac:dyDescent="0.2">
      <c r="A1058" s="168">
        <v>1051</v>
      </c>
      <c r="B1058" s="159">
        <v>634.05216736156081</v>
      </c>
      <c r="C1058" s="169">
        <f t="shared" si="64"/>
        <v>666388.82789700036</v>
      </c>
      <c r="D1058" s="153"/>
      <c r="E1058" s="170">
        <v>1051</v>
      </c>
      <c r="F1058" s="162">
        <v>221.90637184961267</v>
      </c>
      <c r="G1058" s="171">
        <f t="shared" si="65"/>
        <v>233223.59681394292</v>
      </c>
      <c r="I1058" s="168">
        <v>1051</v>
      </c>
      <c r="J1058" s="167">
        <f>ROUND(B1058*('Model Data Inputs'!$E$184*'Model Data Inputs'!$E$185*'Model Data Inputs'!$E$186*'Model Data Inputs'!$E$187),2)</f>
        <v>634.04999999999995</v>
      </c>
      <c r="K1058" s="169">
        <f t="shared" si="66"/>
        <v>666386.54999999993</v>
      </c>
      <c r="L1058" s="153"/>
      <c r="M1058" s="170">
        <v>1051</v>
      </c>
      <c r="N1058" s="164">
        <f>ROUND(F1058*('Model Data Inputs'!$E$184*'Model Data Inputs'!$E$185*'Model Data Inputs'!$E$186*'Model Data Inputs'!$E$187),2)</f>
        <v>221.91</v>
      </c>
      <c r="O1058" s="171">
        <f t="shared" si="67"/>
        <v>233227.41</v>
      </c>
    </row>
    <row r="1059" spans="1:15" x14ac:dyDescent="0.2">
      <c r="A1059" s="168">
        <v>1052</v>
      </c>
      <c r="B1059" s="159">
        <v>633.86331170989786</v>
      </c>
      <c r="C1059" s="169">
        <f t="shared" si="64"/>
        <v>666824.20391881256</v>
      </c>
      <c r="D1059" s="153"/>
      <c r="E1059" s="170">
        <v>1052</v>
      </c>
      <c r="F1059" s="162">
        <v>221.81198564813764</v>
      </c>
      <c r="G1059" s="171">
        <f t="shared" si="65"/>
        <v>233346.20890184079</v>
      </c>
      <c r="I1059" s="168">
        <v>1052</v>
      </c>
      <c r="J1059" s="167">
        <f>ROUND(B1059*('Model Data Inputs'!$E$184*'Model Data Inputs'!$E$185*'Model Data Inputs'!$E$186*'Model Data Inputs'!$E$187),2)</f>
        <v>633.86</v>
      </c>
      <c r="K1059" s="169">
        <f t="shared" si="66"/>
        <v>666820.72</v>
      </c>
      <c r="L1059" s="153"/>
      <c r="M1059" s="170">
        <v>1052</v>
      </c>
      <c r="N1059" s="164">
        <f>ROUND(F1059*('Model Data Inputs'!$E$184*'Model Data Inputs'!$E$185*'Model Data Inputs'!$E$186*'Model Data Inputs'!$E$187),2)</f>
        <v>221.81</v>
      </c>
      <c r="O1059" s="171">
        <f t="shared" si="67"/>
        <v>233344.12</v>
      </c>
    </row>
    <row r="1060" spans="1:15" x14ac:dyDescent="0.2">
      <c r="A1060" s="168">
        <v>1053</v>
      </c>
      <c r="B1060" s="159">
        <v>633.67445605823502</v>
      </c>
      <c r="C1060" s="169">
        <f t="shared" si="64"/>
        <v>667259.20222932147</v>
      </c>
      <c r="D1060" s="153"/>
      <c r="E1060" s="170">
        <v>1053</v>
      </c>
      <c r="F1060" s="162">
        <v>221.7175994466626</v>
      </c>
      <c r="G1060" s="171">
        <f t="shared" si="65"/>
        <v>233468.63221733572</v>
      </c>
      <c r="I1060" s="168">
        <v>1053</v>
      </c>
      <c r="J1060" s="167">
        <f>ROUND(B1060*('Model Data Inputs'!$E$184*'Model Data Inputs'!$E$185*'Model Data Inputs'!$E$186*'Model Data Inputs'!$E$187),2)</f>
        <v>633.66999999999996</v>
      </c>
      <c r="K1060" s="169">
        <f t="shared" si="66"/>
        <v>667254.51</v>
      </c>
      <c r="L1060" s="153"/>
      <c r="M1060" s="170">
        <v>1053</v>
      </c>
      <c r="N1060" s="164">
        <f>ROUND(F1060*('Model Data Inputs'!$E$184*'Model Data Inputs'!$E$185*'Model Data Inputs'!$E$186*'Model Data Inputs'!$E$187),2)</f>
        <v>221.72</v>
      </c>
      <c r="O1060" s="171">
        <f t="shared" si="67"/>
        <v>233471.16</v>
      </c>
    </row>
    <row r="1061" spans="1:15" x14ac:dyDescent="0.2">
      <c r="A1061" s="168">
        <v>1054</v>
      </c>
      <c r="B1061" s="159">
        <v>633.48560040657173</v>
      </c>
      <c r="C1061" s="169">
        <f t="shared" si="64"/>
        <v>667693.82282852661</v>
      </c>
      <c r="D1061" s="153"/>
      <c r="E1061" s="170">
        <v>1054</v>
      </c>
      <c r="F1061" s="162">
        <v>221.62321324518757</v>
      </c>
      <c r="G1061" s="171">
        <f t="shared" si="65"/>
        <v>233590.86676042771</v>
      </c>
      <c r="I1061" s="168">
        <v>1054</v>
      </c>
      <c r="J1061" s="167">
        <f>ROUND(B1061*('Model Data Inputs'!$E$184*'Model Data Inputs'!$E$185*'Model Data Inputs'!$E$186*'Model Data Inputs'!$E$187),2)</f>
        <v>633.49</v>
      </c>
      <c r="K1061" s="169">
        <f t="shared" si="66"/>
        <v>667698.46</v>
      </c>
      <c r="L1061" s="153"/>
      <c r="M1061" s="170">
        <v>1054</v>
      </c>
      <c r="N1061" s="164">
        <f>ROUND(F1061*('Model Data Inputs'!$E$184*'Model Data Inputs'!$E$185*'Model Data Inputs'!$E$186*'Model Data Inputs'!$E$187),2)</f>
        <v>221.62</v>
      </c>
      <c r="O1061" s="171">
        <f t="shared" si="67"/>
        <v>233587.48</v>
      </c>
    </row>
    <row r="1062" spans="1:15" x14ac:dyDescent="0.2">
      <c r="A1062" s="168">
        <v>1055</v>
      </c>
      <c r="B1062" s="159">
        <v>633.29674475490867</v>
      </c>
      <c r="C1062" s="169">
        <f t="shared" si="64"/>
        <v>668128.06571642868</v>
      </c>
      <c r="D1062" s="153"/>
      <c r="E1062" s="170">
        <v>1055</v>
      </c>
      <c r="F1062" s="162">
        <v>221.52882704371254</v>
      </c>
      <c r="G1062" s="171">
        <f t="shared" si="65"/>
        <v>233712.91253111672</v>
      </c>
      <c r="I1062" s="168">
        <v>1055</v>
      </c>
      <c r="J1062" s="167">
        <f>ROUND(B1062*('Model Data Inputs'!$E$184*'Model Data Inputs'!$E$185*'Model Data Inputs'!$E$186*'Model Data Inputs'!$E$187),2)</f>
        <v>633.29999999999995</v>
      </c>
      <c r="K1062" s="169">
        <f t="shared" si="66"/>
        <v>668131.5</v>
      </c>
      <c r="L1062" s="153"/>
      <c r="M1062" s="170">
        <v>1055</v>
      </c>
      <c r="N1062" s="164">
        <f>ROUND(F1062*('Model Data Inputs'!$E$184*'Model Data Inputs'!$E$185*'Model Data Inputs'!$E$186*'Model Data Inputs'!$E$187),2)</f>
        <v>221.53</v>
      </c>
      <c r="O1062" s="171">
        <f t="shared" si="67"/>
        <v>233714.15</v>
      </c>
    </row>
    <row r="1063" spans="1:15" x14ac:dyDescent="0.2">
      <c r="A1063" s="168">
        <v>1056</v>
      </c>
      <c r="B1063" s="159">
        <v>633.1078891032455</v>
      </c>
      <c r="C1063" s="169">
        <f t="shared" si="64"/>
        <v>668561.93089302722</v>
      </c>
      <c r="D1063" s="153"/>
      <c r="E1063" s="170">
        <v>1056</v>
      </c>
      <c r="F1063" s="162">
        <v>221.43444084223751</v>
      </c>
      <c r="G1063" s="171">
        <f t="shared" si="65"/>
        <v>233834.76952940281</v>
      </c>
      <c r="I1063" s="168">
        <v>1056</v>
      </c>
      <c r="J1063" s="167">
        <f>ROUND(B1063*('Model Data Inputs'!$E$184*'Model Data Inputs'!$E$185*'Model Data Inputs'!$E$186*'Model Data Inputs'!$E$187),2)</f>
        <v>633.11</v>
      </c>
      <c r="K1063" s="169">
        <f t="shared" si="66"/>
        <v>668564.16</v>
      </c>
      <c r="L1063" s="153"/>
      <c r="M1063" s="170">
        <v>1056</v>
      </c>
      <c r="N1063" s="164">
        <f>ROUND(F1063*('Model Data Inputs'!$E$184*'Model Data Inputs'!$E$185*'Model Data Inputs'!$E$186*'Model Data Inputs'!$E$187),2)</f>
        <v>221.43</v>
      </c>
      <c r="O1063" s="171">
        <f t="shared" si="67"/>
        <v>233830.08000000002</v>
      </c>
    </row>
    <row r="1064" spans="1:15" x14ac:dyDescent="0.2">
      <c r="A1064" s="168">
        <v>1057</v>
      </c>
      <c r="B1064" s="159">
        <v>632.91903345158255</v>
      </c>
      <c r="C1064" s="169">
        <f t="shared" si="64"/>
        <v>668995.4183583227</v>
      </c>
      <c r="D1064" s="153"/>
      <c r="E1064" s="170">
        <v>1057</v>
      </c>
      <c r="F1064" s="162">
        <v>221.34005464076245</v>
      </c>
      <c r="G1064" s="171">
        <f t="shared" si="65"/>
        <v>233956.43775528591</v>
      </c>
      <c r="I1064" s="168">
        <v>1057</v>
      </c>
      <c r="J1064" s="167">
        <f>ROUND(B1064*('Model Data Inputs'!$E$184*'Model Data Inputs'!$E$185*'Model Data Inputs'!$E$186*'Model Data Inputs'!$E$187),2)</f>
        <v>632.91999999999996</v>
      </c>
      <c r="K1064" s="169">
        <f t="shared" si="66"/>
        <v>668996.43999999994</v>
      </c>
      <c r="L1064" s="153"/>
      <c r="M1064" s="170">
        <v>1057</v>
      </c>
      <c r="N1064" s="164">
        <f>ROUND(F1064*('Model Data Inputs'!$E$184*'Model Data Inputs'!$E$185*'Model Data Inputs'!$E$186*'Model Data Inputs'!$E$187),2)</f>
        <v>221.34</v>
      </c>
      <c r="O1064" s="171">
        <f t="shared" si="67"/>
        <v>233956.38</v>
      </c>
    </row>
    <row r="1065" spans="1:15" x14ac:dyDescent="0.2">
      <c r="A1065" s="168">
        <v>1058</v>
      </c>
      <c r="B1065" s="159">
        <v>632.73017779991949</v>
      </c>
      <c r="C1065" s="169">
        <f t="shared" si="64"/>
        <v>669428.52811231487</v>
      </c>
      <c r="D1065" s="153"/>
      <c r="E1065" s="170">
        <v>1058</v>
      </c>
      <c r="F1065" s="162">
        <v>221.24566843928739</v>
      </c>
      <c r="G1065" s="171">
        <f t="shared" si="65"/>
        <v>234077.91720876604</v>
      </c>
      <c r="I1065" s="168">
        <v>1058</v>
      </c>
      <c r="J1065" s="167">
        <f>ROUND(B1065*('Model Data Inputs'!$E$184*'Model Data Inputs'!$E$185*'Model Data Inputs'!$E$186*'Model Data Inputs'!$E$187),2)</f>
        <v>632.73</v>
      </c>
      <c r="K1065" s="169">
        <f t="shared" si="66"/>
        <v>669428.34</v>
      </c>
      <c r="L1065" s="153"/>
      <c r="M1065" s="170">
        <v>1058</v>
      </c>
      <c r="N1065" s="164">
        <f>ROUND(F1065*('Model Data Inputs'!$E$184*'Model Data Inputs'!$E$185*'Model Data Inputs'!$E$186*'Model Data Inputs'!$E$187),2)</f>
        <v>221.25</v>
      </c>
      <c r="O1065" s="171">
        <f t="shared" si="67"/>
        <v>234082.5</v>
      </c>
    </row>
    <row r="1066" spans="1:15" x14ac:dyDescent="0.2">
      <c r="A1066" s="168">
        <v>1059</v>
      </c>
      <c r="B1066" s="159">
        <v>632.54132214825643</v>
      </c>
      <c r="C1066" s="169">
        <f t="shared" si="64"/>
        <v>669861.26015500352</v>
      </c>
      <c r="D1066" s="153"/>
      <c r="E1066" s="170">
        <v>1059</v>
      </c>
      <c r="F1066" s="162">
        <v>221.15128223781241</v>
      </c>
      <c r="G1066" s="171">
        <f t="shared" si="65"/>
        <v>234199.20788984335</v>
      </c>
      <c r="I1066" s="168">
        <v>1059</v>
      </c>
      <c r="J1066" s="167">
        <f>ROUND(B1066*('Model Data Inputs'!$E$184*'Model Data Inputs'!$E$185*'Model Data Inputs'!$E$186*'Model Data Inputs'!$E$187),2)</f>
        <v>632.54</v>
      </c>
      <c r="K1066" s="169">
        <f t="shared" si="66"/>
        <v>669859.86</v>
      </c>
      <c r="L1066" s="153"/>
      <c r="M1066" s="170">
        <v>1059</v>
      </c>
      <c r="N1066" s="164">
        <f>ROUND(F1066*('Model Data Inputs'!$E$184*'Model Data Inputs'!$E$185*'Model Data Inputs'!$E$186*'Model Data Inputs'!$E$187),2)</f>
        <v>221.15</v>
      </c>
      <c r="O1066" s="171">
        <f t="shared" si="67"/>
        <v>234197.85</v>
      </c>
    </row>
    <row r="1067" spans="1:15" x14ac:dyDescent="0.2">
      <c r="A1067" s="168">
        <v>1060</v>
      </c>
      <c r="B1067" s="159">
        <v>632.35246649659337</v>
      </c>
      <c r="C1067" s="169">
        <f t="shared" si="64"/>
        <v>670293.61448638898</v>
      </c>
      <c r="D1067" s="153"/>
      <c r="E1067" s="170">
        <v>1060</v>
      </c>
      <c r="F1067" s="162">
        <v>221.05689603633735</v>
      </c>
      <c r="G1067" s="171">
        <f t="shared" si="65"/>
        <v>234320.30979851758</v>
      </c>
      <c r="I1067" s="168">
        <v>1060</v>
      </c>
      <c r="J1067" s="167">
        <f>ROUND(B1067*('Model Data Inputs'!$E$184*'Model Data Inputs'!$E$185*'Model Data Inputs'!$E$186*'Model Data Inputs'!$E$187),2)</f>
        <v>632.35</v>
      </c>
      <c r="K1067" s="169">
        <f t="shared" si="66"/>
        <v>670291</v>
      </c>
      <c r="L1067" s="153"/>
      <c r="M1067" s="170">
        <v>1060</v>
      </c>
      <c r="N1067" s="164">
        <f>ROUND(F1067*('Model Data Inputs'!$E$184*'Model Data Inputs'!$E$185*'Model Data Inputs'!$E$186*'Model Data Inputs'!$E$187),2)</f>
        <v>221.06</v>
      </c>
      <c r="O1067" s="171">
        <f t="shared" si="67"/>
        <v>234323.6</v>
      </c>
    </row>
    <row r="1068" spans="1:15" x14ac:dyDescent="0.2">
      <c r="A1068" s="168">
        <v>1061</v>
      </c>
      <c r="B1068" s="159">
        <v>632.16361084493042</v>
      </c>
      <c r="C1068" s="169">
        <f t="shared" si="64"/>
        <v>670725.59110647114</v>
      </c>
      <c r="D1068" s="153"/>
      <c r="E1068" s="170">
        <v>1061</v>
      </c>
      <c r="F1068" s="162">
        <v>220.96250983486232</v>
      </c>
      <c r="G1068" s="171">
        <f t="shared" si="65"/>
        <v>234441.22293478891</v>
      </c>
      <c r="I1068" s="168">
        <v>1061</v>
      </c>
      <c r="J1068" s="167">
        <f>ROUND(B1068*('Model Data Inputs'!$E$184*'Model Data Inputs'!$E$185*'Model Data Inputs'!$E$186*'Model Data Inputs'!$E$187),2)</f>
        <v>632.16</v>
      </c>
      <c r="K1068" s="169">
        <f t="shared" si="66"/>
        <v>670721.76</v>
      </c>
      <c r="L1068" s="153"/>
      <c r="M1068" s="170">
        <v>1061</v>
      </c>
      <c r="N1068" s="164">
        <f>ROUND(F1068*('Model Data Inputs'!$E$184*'Model Data Inputs'!$E$185*'Model Data Inputs'!$E$186*'Model Data Inputs'!$E$187),2)</f>
        <v>220.96</v>
      </c>
      <c r="O1068" s="171">
        <f t="shared" si="67"/>
        <v>234438.56</v>
      </c>
    </row>
    <row r="1069" spans="1:15" x14ac:dyDescent="0.2">
      <c r="A1069" s="168">
        <v>1062</v>
      </c>
      <c r="B1069" s="159">
        <v>631.97475519326713</v>
      </c>
      <c r="C1069" s="169">
        <f t="shared" si="64"/>
        <v>671157.19001524965</v>
      </c>
      <c r="D1069" s="153"/>
      <c r="E1069" s="170">
        <v>1062</v>
      </c>
      <c r="F1069" s="162">
        <v>220.86812363338723</v>
      </c>
      <c r="G1069" s="171">
        <f t="shared" si="65"/>
        <v>234561.94729865724</v>
      </c>
      <c r="I1069" s="168">
        <v>1062</v>
      </c>
      <c r="J1069" s="167">
        <f>ROUND(B1069*('Model Data Inputs'!$E$184*'Model Data Inputs'!$E$185*'Model Data Inputs'!$E$186*'Model Data Inputs'!$E$187),2)</f>
        <v>631.97</v>
      </c>
      <c r="K1069" s="169">
        <f t="shared" si="66"/>
        <v>671152.14</v>
      </c>
      <c r="L1069" s="153"/>
      <c r="M1069" s="170">
        <v>1062</v>
      </c>
      <c r="N1069" s="164">
        <f>ROUND(F1069*('Model Data Inputs'!$E$184*'Model Data Inputs'!$E$185*'Model Data Inputs'!$E$186*'Model Data Inputs'!$E$187),2)</f>
        <v>220.87</v>
      </c>
      <c r="O1069" s="171">
        <f t="shared" si="67"/>
        <v>234563.94</v>
      </c>
    </row>
    <row r="1070" spans="1:15" x14ac:dyDescent="0.2">
      <c r="A1070" s="168">
        <v>1063</v>
      </c>
      <c r="B1070" s="159">
        <v>631.78589954160418</v>
      </c>
      <c r="C1070" s="169">
        <f t="shared" si="64"/>
        <v>671588.41121272522</v>
      </c>
      <c r="D1070" s="153"/>
      <c r="E1070" s="170">
        <v>1063</v>
      </c>
      <c r="F1070" s="162">
        <v>220.77373743191222</v>
      </c>
      <c r="G1070" s="171">
        <f t="shared" si="65"/>
        <v>234682.48289012269</v>
      </c>
      <c r="I1070" s="168">
        <v>1063</v>
      </c>
      <c r="J1070" s="167">
        <f>ROUND(B1070*('Model Data Inputs'!$E$184*'Model Data Inputs'!$E$185*'Model Data Inputs'!$E$186*'Model Data Inputs'!$E$187),2)</f>
        <v>631.79</v>
      </c>
      <c r="K1070" s="169">
        <f t="shared" si="66"/>
        <v>671592.77</v>
      </c>
      <c r="L1070" s="153"/>
      <c r="M1070" s="170">
        <v>1063</v>
      </c>
      <c r="N1070" s="164">
        <f>ROUND(F1070*('Model Data Inputs'!$E$184*'Model Data Inputs'!$E$185*'Model Data Inputs'!$E$186*'Model Data Inputs'!$E$187),2)</f>
        <v>220.77</v>
      </c>
      <c r="O1070" s="171">
        <f t="shared" si="67"/>
        <v>234678.51</v>
      </c>
    </row>
    <row r="1071" spans="1:15" x14ac:dyDescent="0.2">
      <c r="A1071" s="168">
        <v>1064</v>
      </c>
      <c r="B1071" s="159">
        <v>631.59704388994078</v>
      </c>
      <c r="C1071" s="169">
        <f t="shared" si="64"/>
        <v>672019.25469889701</v>
      </c>
      <c r="D1071" s="153"/>
      <c r="E1071" s="170">
        <v>1064</v>
      </c>
      <c r="F1071" s="162">
        <v>220.67935123043719</v>
      </c>
      <c r="G1071" s="171">
        <f t="shared" si="65"/>
        <v>234802.82970918517</v>
      </c>
      <c r="I1071" s="168">
        <v>1064</v>
      </c>
      <c r="J1071" s="167">
        <f>ROUND(B1071*('Model Data Inputs'!$E$184*'Model Data Inputs'!$E$185*'Model Data Inputs'!$E$186*'Model Data Inputs'!$E$187),2)</f>
        <v>631.6</v>
      </c>
      <c r="K1071" s="169">
        <f t="shared" si="66"/>
        <v>672022.4</v>
      </c>
      <c r="L1071" s="153"/>
      <c r="M1071" s="170">
        <v>1064</v>
      </c>
      <c r="N1071" s="164">
        <f>ROUND(F1071*('Model Data Inputs'!$E$184*'Model Data Inputs'!$E$185*'Model Data Inputs'!$E$186*'Model Data Inputs'!$E$187),2)</f>
        <v>220.68</v>
      </c>
      <c r="O1071" s="171">
        <f t="shared" si="67"/>
        <v>234803.52000000002</v>
      </c>
    </row>
    <row r="1072" spans="1:15" x14ac:dyDescent="0.2">
      <c r="A1072" s="168">
        <v>1065</v>
      </c>
      <c r="B1072" s="159">
        <v>631.40818823827783</v>
      </c>
      <c r="C1072" s="169">
        <f t="shared" si="64"/>
        <v>672449.72047376586</v>
      </c>
      <c r="D1072" s="153"/>
      <c r="E1072" s="170">
        <v>1065</v>
      </c>
      <c r="F1072" s="162">
        <v>220.58496502896216</v>
      </c>
      <c r="G1072" s="171">
        <f t="shared" si="65"/>
        <v>234922.98775584469</v>
      </c>
      <c r="I1072" s="168">
        <v>1065</v>
      </c>
      <c r="J1072" s="167">
        <f>ROUND(B1072*('Model Data Inputs'!$E$184*'Model Data Inputs'!$E$185*'Model Data Inputs'!$E$186*'Model Data Inputs'!$E$187),2)</f>
        <v>631.41</v>
      </c>
      <c r="K1072" s="169">
        <f t="shared" si="66"/>
        <v>672451.65</v>
      </c>
      <c r="L1072" s="153"/>
      <c r="M1072" s="170">
        <v>1065</v>
      </c>
      <c r="N1072" s="164">
        <f>ROUND(F1072*('Model Data Inputs'!$E$184*'Model Data Inputs'!$E$185*'Model Data Inputs'!$E$186*'Model Data Inputs'!$E$187),2)</f>
        <v>220.58</v>
      </c>
      <c r="O1072" s="171">
        <f t="shared" si="67"/>
        <v>234917.7</v>
      </c>
    </row>
    <row r="1073" spans="1:15" x14ac:dyDescent="0.2">
      <c r="A1073" s="168">
        <v>1066</v>
      </c>
      <c r="B1073" s="159">
        <v>631.21933258661477</v>
      </c>
      <c r="C1073" s="169">
        <f t="shared" si="64"/>
        <v>672879.80853733129</v>
      </c>
      <c r="D1073" s="153"/>
      <c r="E1073" s="170">
        <v>1066</v>
      </c>
      <c r="F1073" s="162">
        <v>220.4905788274871</v>
      </c>
      <c r="G1073" s="171">
        <f t="shared" si="65"/>
        <v>235042.95703010124</v>
      </c>
      <c r="I1073" s="168">
        <v>1066</v>
      </c>
      <c r="J1073" s="167">
        <f>ROUND(B1073*('Model Data Inputs'!$E$184*'Model Data Inputs'!$E$185*'Model Data Inputs'!$E$186*'Model Data Inputs'!$E$187),2)</f>
        <v>631.22</v>
      </c>
      <c r="K1073" s="169">
        <f t="shared" si="66"/>
        <v>672880.52</v>
      </c>
      <c r="L1073" s="153"/>
      <c r="M1073" s="170">
        <v>1066</v>
      </c>
      <c r="N1073" s="164">
        <f>ROUND(F1073*('Model Data Inputs'!$E$184*'Model Data Inputs'!$E$185*'Model Data Inputs'!$E$186*'Model Data Inputs'!$E$187),2)</f>
        <v>220.49</v>
      </c>
      <c r="O1073" s="171">
        <f t="shared" si="67"/>
        <v>235042.34</v>
      </c>
    </row>
    <row r="1074" spans="1:15" x14ac:dyDescent="0.2">
      <c r="A1074" s="168">
        <v>1067</v>
      </c>
      <c r="B1074" s="159">
        <v>631.03047693495171</v>
      </c>
      <c r="C1074" s="169">
        <f t="shared" si="64"/>
        <v>673309.51888959343</v>
      </c>
      <c r="D1074" s="153"/>
      <c r="E1074" s="170">
        <v>1067</v>
      </c>
      <c r="F1074" s="162">
        <v>220.39619262601209</v>
      </c>
      <c r="G1074" s="171">
        <f t="shared" si="65"/>
        <v>235162.73753195492</v>
      </c>
      <c r="I1074" s="168">
        <v>1067</v>
      </c>
      <c r="J1074" s="167">
        <f>ROUND(B1074*('Model Data Inputs'!$E$184*'Model Data Inputs'!$E$185*'Model Data Inputs'!$E$186*'Model Data Inputs'!$E$187),2)</f>
        <v>631.03</v>
      </c>
      <c r="K1074" s="169">
        <f t="shared" si="66"/>
        <v>673309.01</v>
      </c>
      <c r="L1074" s="153"/>
      <c r="M1074" s="170">
        <v>1067</v>
      </c>
      <c r="N1074" s="164">
        <f>ROUND(F1074*('Model Data Inputs'!$E$184*'Model Data Inputs'!$E$185*'Model Data Inputs'!$E$186*'Model Data Inputs'!$E$187),2)</f>
        <v>220.4</v>
      </c>
      <c r="O1074" s="171">
        <f t="shared" si="67"/>
        <v>235166.80000000002</v>
      </c>
    </row>
    <row r="1075" spans="1:15" x14ac:dyDescent="0.2">
      <c r="A1075" s="168">
        <v>1068</v>
      </c>
      <c r="B1075" s="159">
        <v>630.84162128328865</v>
      </c>
      <c r="C1075" s="169">
        <f t="shared" si="64"/>
        <v>673738.85153055226</v>
      </c>
      <c r="D1075" s="153"/>
      <c r="E1075" s="170">
        <v>1068</v>
      </c>
      <c r="F1075" s="162">
        <v>220.30180642453703</v>
      </c>
      <c r="G1075" s="171">
        <f t="shared" si="65"/>
        <v>235282.32926140554</v>
      </c>
      <c r="I1075" s="168">
        <v>1068</v>
      </c>
      <c r="J1075" s="167">
        <f>ROUND(B1075*('Model Data Inputs'!$E$184*'Model Data Inputs'!$E$185*'Model Data Inputs'!$E$186*'Model Data Inputs'!$E$187),2)</f>
        <v>630.84</v>
      </c>
      <c r="K1075" s="169">
        <f t="shared" si="66"/>
        <v>673737.12</v>
      </c>
      <c r="L1075" s="153"/>
      <c r="M1075" s="170">
        <v>1068</v>
      </c>
      <c r="N1075" s="164">
        <f>ROUND(F1075*('Model Data Inputs'!$E$184*'Model Data Inputs'!$E$185*'Model Data Inputs'!$E$186*'Model Data Inputs'!$E$187),2)</f>
        <v>220.3</v>
      </c>
      <c r="O1075" s="171">
        <f t="shared" si="67"/>
        <v>235280.40000000002</v>
      </c>
    </row>
    <row r="1076" spans="1:15" x14ac:dyDescent="0.2">
      <c r="A1076" s="168">
        <v>1069</v>
      </c>
      <c r="B1076" s="159">
        <v>630.65276563162547</v>
      </c>
      <c r="C1076" s="169">
        <f t="shared" si="64"/>
        <v>674167.80646020768</v>
      </c>
      <c r="D1076" s="153"/>
      <c r="E1076" s="170">
        <v>1069</v>
      </c>
      <c r="F1076" s="162">
        <v>220.207420223062</v>
      </c>
      <c r="G1076" s="171">
        <f t="shared" si="65"/>
        <v>235401.73221845328</v>
      </c>
      <c r="I1076" s="168">
        <v>1069</v>
      </c>
      <c r="J1076" s="167">
        <f>ROUND(B1076*('Model Data Inputs'!$E$184*'Model Data Inputs'!$E$185*'Model Data Inputs'!$E$186*'Model Data Inputs'!$E$187),2)</f>
        <v>630.65</v>
      </c>
      <c r="K1076" s="169">
        <f t="shared" si="66"/>
        <v>674164.85</v>
      </c>
      <c r="L1076" s="153"/>
      <c r="M1076" s="170">
        <v>1069</v>
      </c>
      <c r="N1076" s="164">
        <f>ROUND(F1076*('Model Data Inputs'!$E$184*'Model Data Inputs'!$E$185*'Model Data Inputs'!$E$186*'Model Data Inputs'!$E$187),2)</f>
        <v>220.21</v>
      </c>
      <c r="O1076" s="171">
        <f t="shared" si="67"/>
        <v>235404.49000000002</v>
      </c>
    </row>
    <row r="1077" spans="1:15" x14ac:dyDescent="0.2">
      <c r="A1077" s="168">
        <v>1070</v>
      </c>
      <c r="B1077" s="159">
        <v>630.46390997996241</v>
      </c>
      <c r="C1077" s="169">
        <f t="shared" si="64"/>
        <v>674596.3836785598</v>
      </c>
      <c r="D1077" s="153"/>
      <c r="E1077" s="170">
        <v>1070</v>
      </c>
      <c r="F1077" s="162">
        <v>220.11303402158694</v>
      </c>
      <c r="G1077" s="171">
        <f t="shared" si="65"/>
        <v>235520.94640309803</v>
      </c>
      <c r="I1077" s="168">
        <v>1070</v>
      </c>
      <c r="J1077" s="167">
        <f>ROUND(B1077*('Model Data Inputs'!$E$184*'Model Data Inputs'!$E$185*'Model Data Inputs'!$E$186*'Model Data Inputs'!$E$187),2)</f>
        <v>630.46</v>
      </c>
      <c r="K1077" s="169">
        <f t="shared" si="66"/>
        <v>674592.20000000007</v>
      </c>
      <c r="L1077" s="153"/>
      <c r="M1077" s="170">
        <v>1070</v>
      </c>
      <c r="N1077" s="164">
        <f>ROUND(F1077*('Model Data Inputs'!$E$184*'Model Data Inputs'!$E$185*'Model Data Inputs'!$E$186*'Model Data Inputs'!$E$187),2)</f>
        <v>220.11</v>
      </c>
      <c r="O1077" s="171">
        <f t="shared" si="67"/>
        <v>235517.7</v>
      </c>
    </row>
    <row r="1078" spans="1:15" x14ac:dyDescent="0.2">
      <c r="A1078" s="168">
        <v>1071</v>
      </c>
      <c r="B1078" s="159">
        <v>630.27505432829935</v>
      </c>
      <c r="C1078" s="169">
        <f t="shared" si="64"/>
        <v>675024.58318560862</v>
      </c>
      <c r="D1078" s="153"/>
      <c r="E1078" s="170">
        <v>1071</v>
      </c>
      <c r="F1078" s="162">
        <v>220.01864782011194</v>
      </c>
      <c r="G1078" s="171">
        <f t="shared" si="65"/>
        <v>235639.97181533987</v>
      </c>
      <c r="I1078" s="168">
        <v>1071</v>
      </c>
      <c r="J1078" s="167">
        <f>ROUND(B1078*('Model Data Inputs'!$E$184*'Model Data Inputs'!$E$185*'Model Data Inputs'!$E$186*'Model Data Inputs'!$E$187),2)</f>
        <v>630.28</v>
      </c>
      <c r="K1078" s="169">
        <f t="shared" si="66"/>
        <v>675029.88</v>
      </c>
      <c r="L1078" s="153"/>
      <c r="M1078" s="170">
        <v>1071</v>
      </c>
      <c r="N1078" s="164">
        <f>ROUND(F1078*('Model Data Inputs'!$E$184*'Model Data Inputs'!$E$185*'Model Data Inputs'!$E$186*'Model Data Inputs'!$E$187),2)</f>
        <v>220.02</v>
      </c>
      <c r="O1078" s="171">
        <f t="shared" si="67"/>
        <v>235641.42</v>
      </c>
    </row>
    <row r="1079" spans="1:15" x14ac:dyDescent="0.2">
      <c r="A1079" s="168">
        <v>1072</v>
      </c>
      <c r="B1079" s="159">
        <v>630.08619867663629</v>
      </c>
      <c r="C1079" s="169">
        <f t="shared" si="64"/>
        <v>675452.40498135414</v>
      </c>
      <c r="D1079" s="153"/>
      <c r="E1079" s="170">
        <v>1072</v>
      </c>
      <c r="F1079" s="162">
        <v>219.92426161863688</v>
      </c>
      <c r="G1079" s="171">
        <f t="shared" si="65"/>
        <v>235758.80845517872</v>
      </c>
      <c r="I1079" s="168">
        <v>1072</v>
      </c>
      <c r="J1079" s="167">
        <f>ROUND(B1079*('Model Data Inputs'!$E$184*'Model Data Inputs'!$E$185*'Model Data Inputs'!$E$186*'Model Data Inputs'!$E$187),2)</f>
        <v>630.09</v>
      </c>
      <c r="K1079" s="169">
        <f t="shared" si="66"/>
        <v>675456.48</v>
      </c>
      <c r="L1079" s="153"/>
      <c r="M1079" s="170">
        <v>1072</v>
      </c>
      <c r="N1079" s="164">
        <f>ROUND(F1079*('Model Data Inputs'!$E$184*'Model Data Inputs'!$E$185*'Model Data Inputs'!$E$186*'Model Data Inputs'!$E$187),2)</f>
        <v>219.92</v>
      </c>
      <c r="O1079" s="171">
        <f t="shared" si="67"/>
        <v>235754.23999999999</v>
      </c>
    </row>
    <row r="1080" spans="1:15" x14ac:dyDescent="0.2">
      <c r="A1080" s="168">
        <v>1073</v>
      </c>
      <c r="B1080" s="159">
        <v>629.89734302497322</v>
      </c>
      <c r="C1080" s="169">
        <f t="shared" si="64"/>
        <v>675879.84906579624</v>
      </c>
      <c r="D1080" s="153"/>
      <c r="E1080" s="170">
        <v>1073</v>
      </c>
      <c r="F1080" s="162">
        <v>219.82987541716184</v>
      </c>
      <c r="G1080" s="171">
        <f t="shared" si="65"/>
        <v>235877.45632261466</v>
      </c>
      <c r="I1080" s="168">
        <v>1073</v>
      </c>
      <c r="J1080" s="167">
        <f>ROUND(B1080*('Model Data Inputs'!$E$184*'Model Data Inputs'!$E$185*'Model Data Inputs'!$E$186*'Model Data Inputs'!$E$187),2)</f>
        <v>629.9</v>
      </c>
      <c r="K1080" s="169">
        <f t="shared" si="66"/>
        <v>675882.7</v>
      </c>
      <c r="L1080" s="153"/>
      <c r="M1080" s="170">
        <v>1073</v>
      </c>
      <c r="N1080" s="164">
        <f>ROUND(F1080*('Model Data Inputs'!$E$184*'Model Data Inputs'!$E$185*'Model Data Inputs'!$E$186*'Model Data Inputs'!$E$187),2)</f>
        <v>219.83</v>
      </c>
      <c r="O1080" s="171">
        <f t="shared" si="67"/>
        <v>235877.59000000003</v>
      </c>
    </row>
    <row r="1081" spans="1:15" x14ac:dyDescent="0.2">
      <c r="A1081" s="168">
        <v>1074</v>
      </c>
      <c r="B1081" s="159">
        <v>629.70848737331005</v>
      </c>
      <c r="C1081" s="169">
        <f t="shared" si="64"/>
        <v>676306.91543893504</v>
      </c>
      <c r="D1081" s="153"/>
      <c r="E1081" s="170">
        <v>1074</v>
      </c>
      <c r="F1081" s="162">
        <v>219.73548921568681</v>
      </c>
      <c r="G1081" s="171">
        <f t="shared" si="65"/>
        <v>235995.91541764763</v>
      </c>
      <c r="I1081" s="168">
        <v>1074</v>
      </c>
      <c r="J1081" s="167">
        <f>ROUND(B1081*('Model Data Inputs'!$E$184*'Model Data Inputs'!$E$185*'Model Data Inputs'!$E$186*'Model Data Inputs'!$E$187),2)</f>
        <v>629.71</v>
      </c>
      <c r="K1081" s="169">
        <f t="shared" si="66"/>
        <v>676308.54</v>
      </c>
      <c r="L1081" s="153"/>
      <c r="M1081" s="170">
        <v>1074</v>
      </c>
      <c r="N1081" s="164">
        <f>ROUND(F1081*('Model Data Inputs'!$E$184*'Model Data Inputs'!$E$185*'Model Data Inputs'!$E$186*'Model Data Inputs'!$E$187),2)</f>
        <v>219.74</v>
      </c>
      <c r="O1081" s="171">
        <f t="shared" si="67"/>
        <v>236000.76</v>
      </c>
    </row>
    <row r="1082" spans="1:15" x14ac:dyDescent="0.2">
      <c r="A1082" s="168">
        <v>1075</v>
      </c>
      <c r="B1082" s="159">
        <v>629.51963172164699</v>
      </c>
      <c r="C1082" s="169">
        <f t="shared" si="64"/>
        <v>676733.60410077055</v>
      </c>
      <c r="D1082" s="153"/>
      <c r="E1082" s="170">
        <v>1075</v>
      </c>
      <c r="F1082" s="162">
        <v>219.64110301421178</v>
      </c>
      <c r="G1082" s="171">
        <f t="shared" si="65"/>
        <v>236114.18574027767</v>
      </c>
      <c r="I1082" s="168">
        <v>1075</v>
      </c>
      <c r="J1082" s="167">
        <f>ROUND(B1082*('Model Data Inputs'!$E$184*'Model Data Inputs'!$E$185*'Model Data Inputs'!$E$186*'Model Data Inputs'!$E$187),2)</f>
        <v>629.52</v>
      </c>
      <c r="K1082" s="169">
        <f t="shared" si="66"/>
        <v>676734</v>
      </c>
      <c r="L1082" s="153"/>
      <c r="M1082" s="170">
        <v>1075</v>
      </c>
      <c r="N1082" s="164">
        <f>ROUND(F1082*('Model Data Inputs'!$E$184*'Model Data Inputs'!$E$185*'Model Data Inputs'!$E$186*'Model Data Inputs'!$E$187),2)</f>
        <v>219.64</v>
      </c>
      <c r="O1082" s="171">
        <f t="shared" si="67"/>
        <v>236112.99999999997</v>
      </c>
    </row>
    <row r="1083" spans="1:15" x14ac:dyDescent="0.2">
      <c r="A1083" s="168">
        <v>1076</v>
      </c>
      <c r="B1083" s="159">
        <v>629.33077606998381</v>
      </c>
      <c r="C1083" s="169">
        <f t="shared" si="64"/>
        <v>677159.91505130264</v>
      </c>
      <c r="D1083" s="153"/>
      <c r="E1083" s="170">
        <v>1076</v>
      </c>
      <c r="F1083" s="162">
        <v>219.54671681273675</v>
      </c>
      <c r="G1083" s="171">
        <f t="shared" si="65"/>
        <v>236232.26729050474</v>
      </c>
      <c r="I1083" s="168">
        <v>1076</v>
      </c>
      <c r="J1083" s="167">
        <f>ROUND(B1083*('Model Data Inputs'!$E$184*'Model Data Inputs'!$E$185*'Model Data Inputs'!$E$186*'Model Data Inputs'!$E$187),2)</f>
        <v>629.33000000000004</v>
      </c>
      <c r="K1083" s="169">
        <f t="shared" si="66"/>
        <v>677159.08000000007</v>
      </c>
      <c r="L1083" s="153"/>
      <c r="M1083" s="170">
        <v>1076</v>
      </c>
      <c r="N1083" s="164">
        <f>ROUND(F1083*('Model Data Inputs'!$E$184*'Model Data Inputs'!$E$185*'Model Data Inputs'!$E$186*'Model Data Inputs'!$E$187),2)</f>
        <v>219.55</v>
      </c>
      <c r="O1083" s="171">
        <f t="shared" si="67"/>
        <v>236235.80000000002</v>
      </c>
    </row>
    <row r="1084" spans="1:15" x14ac:dyDescent="0.2">
      <c r="A1084" s="168">
        <v>1077</v>
      </c>
      <c r="B1084" s="159">
        <v>629.14192041832075</v>
      </c>
      <c r="C1084" s="169">
        <f t="shared" si="64"/>
        <v>677585.84829053143</v>
      </c>
      <c r="D1084" s="153"/>
      <c r="E1084" s="170">
        <v>1077</v>
      </c>
      <c r="F1084" s="162">
        <v>219.45233061126166</v>
      </c>
      <c r="G1084" s="171">
        <f t="shared" si="65"/>
        <v>236350.16006832881</v>
      </c>
      <c r="I1084" s="168">
        <v>1077</v>
      </c>
      <c r="J1084" s="167">
        <f>ROUND(B1084*('Model Data Inputs'!$E$184*'Model Data Inputs'!$E$185*'Model Data Inputs'!$E$186*'Model Data Inputs'!$E$187),2)</f>
        <v>629.14</v>
      </c>
      <c r="K1084" s="169">
        <f t="shared" si="66"/>
        <v>677583.78</v>
      </c>
      <c r="L1084" s="153"/>
      <c r="M1084" s="170">
        <v>1077</v>
      </c>
      <c r="N1084" s="164">
        <f>ROUND(F1084*('Model Data Inputs'!$E$184*'Model Data Inputs'!$E$185*'Model Data Inputs'!$E$186*'Model Data Inputs'!$E$187),2)</f>
        <v>219.45</v>
      </c>
      <c r="O1084" s="171">
        <f t="shared" si="67"/>
        <v>236347.65</v>
      </c>
    </row>
    <row r="1085" spans="1:15" x14ac:dyDescent="0.2">
      <c r="A1085" s="168">
        <v>1078</v>
      </c>
      <c r="B1085" s="159">
        <v>628.95306476665769</v>
      </c>
      <c r="C1085" s="169">
        <f t="shared" si="64"/>
        <v>678011.40381845704</v>
      </c>
      <c r="D1085" s="153"/>
      <c r="E1085" s="170">
        <v>1078</v>
      </c>
      <c r="F1085" s="162">
        <v>219.35794440978665</v>
      </c>
      <c r="G1085" s="171">
        <f t="shared" si="65"/>
        <v>236467.86407375001</v>
      </c>
      <c r="I1085" s="168">
        <v>1078</v>
      </c>
      <c r="J1085" s="167">
        <f>ROUND(B1085*('Model Data Inputs'!$E$184*'Model Data Inputs'!$E$185*'Model Data Inputs'!$E$186*'Model Data Inputs'!$E$187),2)</f>
        <v>628.95000000000005</v>
      </c>
      <c r="K1085" s="169">
        <f t="shared" si="66"/>
        <v>678008.10000000009</v>
      </c>
      <c r="L1085" s="153"/>
      <c r="M1085" s="170">
        <v>1078</v>
      </c>
      <c r="N1085" s="164">
        <f>ROUND(F1085*('Model Data Inputs'!$E$184*'Model Data Inputs'!$E$185*'Model Data Inputs'!$E$186*'Model Data Inputs'!$E$187),2)</f>
        <v>219.36</v>
      </c>
      <c r="O1085" s="171">
        <f t="shared" si="67"/>
        <v>236470.08000000002</v>
      </c>
    </row>
    <row r="1086" spans="1:15" x14ac:dyDescent="0.2">
      <c r="A1086" s="168">
        <v>1079</v>
      </c>
      <c r="B1086" s="159">
        <v>628.76420911499474</v>
      </c>
      <c r="C1086" s="169">
        <f t="shared" si="64"/>
        <v>678436.58163507935</v>
      </c>
      <c r="D1086" s="153"/>
      <c r="E1086" s="170">
        <v>1079</v>
      </c>
      <c r="F1086" s="162">
        <v>219.26355820831162</v>
      </c>
      <c r="G1086" s="171">
        <f t="shared" si="65"/>
        <v>236585.37930676824</v>
      </c>
      <c r="I1086" s="168">
        <v>1079</v>
      </c>
      <c r="J1086" s="167">
        <f>ROUND(B1086*('Model Data Inputs'!$E$184*'Model Data Inputs'!$E$185*'Model Data Inputs'!$E$186*'Model Data Inputs'!$E$187),2)</f>
        <v>628.76</v>
      </c>
      <c r="K1086" s="169">
        <f t="shared" si="66"/>
        <v>678432.04</v>
      </c>
      <c r="L1086" s="153"/>
      <c r="M1086" s="170">
        <v>1079</v>
      </c>
      <c r="N1086" s="164">
        <f>ROUND(F1086*('Model Data Inputs'!$E$184*'Model Data Inputs'!$E$185*'Model Data Inputs'!$E$186*'Model Data Inputs'!$E$187),2)</f>
        <v>219.26</v>
      </c>
      <c r="O1086" s="171">
        <f t="shared" si="67"/>
        <v>236581.53999999998</v>
      </c>
    </row>
    <row r="1087" spans="1:15" x14ac:dyDescent="0.2">
      <c r="A1087" s="168">
        <v>1080</v>
      </c>
      <c r="B1087" s="159">
        <v>628.57535346333157</v>
      </c>
      <c r="C1087" s="169">
        <f t="shared" si="64"/>
        <v>678861.38174039812</v>
      </c>
      <c r="D1087" s="153"/>
      <c r="E1087" s="170">
        <v>1080</v>
      </c>
      <c r="F1087" s="162">
        <v>219.16917200683659</v>
      </c>
      <c r="G1087" s="171">
        <f t="shared" si="65"/>
        <v>236702.70576738351</v>
      </c>
      <c r="I1087" s="168">
        <v>1080</v>
      </c>
      <c r="J1087" s="167">
        <f>ROUND(B1087*('Model Data Inputs'!$E$184*'Model Data Inputs'!$E$185*'Model Data Inputs'!$E$186*'Model Data Inputs'!$E$187),2)</f>
        <v>628.58000000000004</v>
      </c>
      <c r="K1087" s="169">
        <f t="shared" si="66"/>
        <v>678866.4</v>
      </c>
      <c r="L1087" s="153"/>
      <c r="M1087" s="170">
        <v>1080</v>
      </c>
      <c r="N1087" s="164">
        <f>ROUND(F1087*('Model Data Inputs'!$E$184*'Model Data Inputs'!$E$185*'Model Data Inputs'!$E$186*'Model Data Inputs'!$E$187),2)</f>
        <v>219.17</v>
      </c>
      <c r="O1087" s="171">
        <f t="shared" si="67"/>
        <v>236703.59999999998</v>
      </c>
    </row>
    <row r="1088" spans="1:15" x14ac:dyDescent="0.2">
      <c r="A1088" s="168">
        <v>1081</v>
      </c>
      <c r="B1088" s="159">
        <v>628.38649781166851</v>
      </c>
      <c r="C1088" s="169">
        <f t="shared" si="64"/>
        <v>679285.8041344136</v>
      </c>
      <c r="D1088" s="153"/>
      <c r="E1088" s="170">
        <v>1081</v>
      </c>
      <c r="F1088" s="162">
        <v>219.07478580536153</v>
      </c>
      <c r="G1088" s="171">
        <f t="shared" si="65"/>
        <v>236819.84345559581</v>
      </c>
      <c r="I1088" s="168">
        <v>1081</v>
      </c>
      <c r="J1088" s="167">
        <f>ROUND(B1088*('Model Data Inputs'!$E$184*'Model Data Inputs'!$E$185*'Model Data Inputs'!$E$186*'Model Data Inputs'!$E$187),2)</f>
        <v>628.39</v>
      </c>
      <c r="K1088" s="169">
        <f t="shared" si="66"/>
        <v>679289.59</v>
      </c>
      <c r="L1088" s="153"/>
      <c r="M1088" s="170">
        <v>1081</v>
      </c>
      <c r="N1088" s="164">
        <f>ROUND(F1088*('Model Data Inputs'!$E$184*'Model Data Inputs'!$E$185*'Model Data Inputs'!$E$186*'Model Data Inputs'!$E$187),2)</f>
        <v>219.07</v>
      </c>
      <c r="O1088" s="171">
        <f t="shared" si="67"/>
        <v>236814.66999999998</v>
      </c>
    </row>
    <row r="1089" spans="1:15" x14ac:dyDescent="0.2">
      <c r="A1089" s="168">
        <v>1082</v>
      </c>
      <c r="B1089" s="159">
        <v>628.19764216000556</v>
      </c>
      <c r="C1089" s="169">
        <f t="shared" si="64"/>
        <v>679709.84881712601</v>
      </c>
      <c r="D1089" s="153"/>
      <c r="E1089" s="170">
        <v>1082</v>
      </c>
      <c r="F1089" s="162">
        <v>218.9803996038865</v>
      </c>
      <c r="G1089" s="171">
        <f t="shared" si="65"/>
        <v>236936.7923714052</v>
      </c>
      <c r="I1089" s="168">
        <v>1082</v>
      </c>
      <c r="J1089" s="167">
        <f>ROUND(B1089*('Model Data Inputs'!$E$184*'Model Data Inputs'!$E$185*'Model Data Inputs'!$E$186*'Model Data Inputs'!$E$187),2)</f>
        <v>628.20000000000005</v>
      </c>
      <c r="K1089" s="169">
        <f t="shared" si="66"/>
        <v>679712.4</v>
      </c>
      <c r="L1089" s="153"/>
      <c r="M1089" s="170">
        <v>1082</v>
      </c>
      <c r="N1089" s="164">
        <f>ROUND(F1089*('Model Data Inputs'!$E$184*'Model Data Inputs'!$E$185*'Model Data Inputs'!$E$186*'Model Data Inputs'!$E$187),2)</f>
        <v>218.98</v>
      </c>
      <c r="O1089" s="171">
        <f t="shared" si="67"/>
        <v>236936.36</v>
      </c>
    </row>
    <row r="1090" spans="1:15" x14ac:dyDescent="0.2">
      <c r="A1090" s="168">
        <v>1083</v>
      </c>
      <c r="B1090" s="159">
        <v>628.00878650834238</v>
      </c>
      <c r="C1090" s="169">
        <f t="shared" si="64"/>
        <v>680133.51578853477</v>
      </c>
      <c r="D1090" s="153"/>
      <c r="E1090" s="170">
        <v>1083</v>
      </c>
      <c r="F1090" s="162">
        <v>218.88601340241149</v>
      </c>
      <c r="G1090" s="171">
        <f t="shared" si="65"/>
        <v>237053.55251481166</v>
      </c>
      <c r="I1090" s="168">
        <v>1083</v>
      </c>
      <c r="J1090" s="167">
        <f>ROUND(B1090*('Model Data Inputs'!$E$184*'Model Data Inputs'!$E$185*'Model Data Inputs'!$E$186*'Model Data Inputs'!$E$187),2)</f>
        <v>628.01</v>
      </c>
      <c r="K1090" s="169">
        <f t="shared" si="66"/>
        <v>680134.83</v>
      </c>
      <c r="L1090" s="153"/>
      <c r="M1090" s="170">
        <v>1083</v>
      </c>
      <c r="N1090" s="164">
        <f>ROUND(F1090*('Model Data Inputs'!$E$184*'Model Data Inputs'!$E$185*'Model Data Inputs'!$E$186*'Model Data Inputs'!$E$187),2)</f>
        <v>218.89</v>
      </c>
      <c r="O1090" s="171">
        <f t="shared" si="67"/>
        <v>237057.87</v>
      </c>
    </row>
    <row r="1091" spans="1:15" x14ac:dyDescent="0.2">
      <c r="A1091" s="168">
        <v>1084</v>
      </c>
      <c r="B1091" s="159">
        <v>627.81993085667921</v>
      </c>
      <c r="C1091" s="169">
        <f t="shared" si="64"/>
        <v>680556.80504864024</v>
      </c>
      <c r="D1091" s="153"/>
      <c r="E1091" s="170">
        <v>1084</v>
      </c>
      <c r="F1091" s="162">
        <v>218.79162720093646</v>
      </c>
      <c r="G1091" s="171">
        <f t="shared" si="65"/>
        <v>237170.12388581512</v>
      </c>
      <c r="I1091" s="168">
        <v>1084</v>
      </c>
      <c r="J1091" s="167">
        <f>ROUND(B1091*('Model Data Inputs'!$E$184*'Model Data Inputs'!$E$185*'Model Data Inputs'!$E$186*'Model Data Inputs'!$E$187),2)</f>
        <v>627.82000000000005</v>
      </c>
      <c r="K1091" s="169">
        <f t="shared" si="66"/>
        <v>680556.88</v>
      </c>
      <c r="L1091" s="153"/>
      <c r="M1091" s="170">
        <v>1084</v>
      </c>
      <c r="N1091" s="164">
        <f>ROUND(F1091*('Model Data Inputs'!$E$184*'Model Data Inputs'!$E$185*'Model Data Inputs'!$E$186*'Model Data Inputs'!$E$187),2)</f>
        <v>218.79</v>
      </c>
      <c r="O1091" s="171">
        <f t="shared" si="67"/>
        <v>237168.36</v>
      </c>
    </row>
    <row r="1092" spans="1:15" x14ac:dyDescent="0.2">
      <c r="A1092" s="168">
        <v>1085</v>
      </c>
      <c r="B1092" s="159">
        <v>627.63107520501615</v>
      </c>
      <c r="C1092" s="169">
        <f t="shared" si="64"/>
        <v>680979.71659744252</v>
      </c>
      <c r="D1092" s="153"/>
      <c r="E1092" s="170">
        <v>1085</v>
      </c>
      <c r="F1092" s="162">
        <v>218.69724099946143</v>
      </c>
      <c r="G1092" s="171">
        <f t="shared" si="65"/>
        <v>237286.50648441564</v>
      </c>
      <c r="I1092" s="168">
        <v>1085</v>
      </c>
      <c r="J1092" s="167">
        <f>ROUND(B1092*('Model Data Inputs'!$E$184*'Model Data Inputs'!$E$185*'Model Data Inputs'!$E$186*'Model Data Inputs'!$E$187),2)</f>
        <v>627.63</v>
      </c>
      <c r="K1092" s="169">
        <f t="shared" si="66"/>
        <v>680978.55</v>
      </c>
      <c r="L1092" s="153"/>
      <c r="M1092" s="170">
        <v>1085</v>
      </c>
      <c r="N1092" s="164">
        <f>ROUND(F1092*('Model Data Inputs'!$E$184*'Model Data Inputs'!$E$185*'Model Data Inputs'!$E$186*'Model Data Inputs'!$E$187),2)</f>
        <v>218.7</v>
      </c>
      <c r="O1092" s="171">
        <f t="shared" si="67"/>
        <v>237289.5</v>
      </c>
    </row>
    <row r="1093" spans="1:15" x14ac:dyDescent="0.2">
      <c r="A1093" s="168">
        <v>1086</v>
      </c>
      <c r="B1093" s="159">
        <v>627.44221955335297</v>
      </c>
      <c r="C1093" s="169">
        <f t="shared" si="64"/>
        <v>681402.25043494138</v>
      </c>
      <c r="D1093" s="153"/>
      <c r="E1093" s="170">
        <v>1086</v>
      </c>
      <c r="F1093" s="162">
        <v>218.6028547979864</v>
      </c>
      <c r="G1093" s="171">
        <f t="shared" si="65"/>
        <v>237402.70031061323</v>
      </c>
      <c r="I1093" s="168">
        <v>1086</v>
      </c>
      <c r="J1093" s="159">
        <f>ROUND(B1093*('Model Data Inputs'!$E$184*'Model Data Inputs'!$E$185*'Model Data Inputs'!$E$186*'Model Data Inputs'!$E$187),2)</f>
        <v>627.44000000000005</v>
      </c>
      <c r="K1093" s="169">
        <f t="shared" si="66"/>
        <v>681399.84000000008</v>
      </c>
      <c r="L1093" s="153"/>
      <c r="M1093" s="170">
        <v>1086</v>
      </c>
      <c r="N1093" s="164">
        <f>ROUND(F1093*('Model Data Inputs'!$E$184*'Model Data Inputs'!$E$185*'Model Data Inputs'!$E$186*'Model Data Inputs'!$E$187),2)</f>
        <v>218.6</v>
      </c>
      <c r="O1093" s="171">
        <f t="shared" si="67"/>
        <v>237399.6</v>
      </c>
    </row>
    <row r="1094" spans="1:15" x14ac:dyDescent="0.2">
      <c r="A1094" s="168">
        <v>1087</v>
      </c>
      <c r="B1094" s="159">
        <v>627.25336390168991</v>
      </c>
      <c r="C1094" s="169">
        <f t="shared" si="64"/>
        <v>681824.40656113694</v>
      </c>
      <c r="D1094" s="153"/>
      <c r="E1094" s="170">
        <v>1087</v>
      </c>
      <c r="F1094" s="162">
        <v>218.50846859651134</v>
      </c>
      <c r="G1094" s="171">
        <f t="shared" si="65"/>
        <v>237518.70536440783</v>
      </c>
      <c r="I1094" s="168">
        <v>1087</v>
      </c>
      <c r="J1094" s="159">
        <f>ROUND(B1094*('Model Data Inputs'!$E$184*'Model Data Inputs'!$E$185*'Model Data Inputs'!$E$186*'Model Data Inputs'!$E$187),2)</f>
        <v>627.25</v>
      </c>
      <c r="K1094" s="169">
        <f t="shared" si="66"/>
        <v>681820.75</v>
      </c>
      <c r="L1094" s="153"/>
      <c r="M1094" s="170">
        <v>1087</v>
      </c>
      <c r="N1094" s="164">
        <f>ROUND(F1094*('Model Data Inputs'!$E$184*'Model Data Inputs'!$E$185*'Model Data Inputs'!$E$186*'Model Data Inputs'!$E$187),2)</f>
        <v>218.51</v>
      </c>
      <c r="O1094" s="171">
        <f t="shared" si="67"/>
        <v>237520.37</v>
      </c>
    </row>
    <row r="1095" spans="1:15" x14ac:dyDescent="0.2">
      <c r="A1095" s="168">
        <v>1088</v>
      </c>
      <c r="B1095" s="159">
        <v>627.06450825002696</v>
      </c>
      <c r="C1095" s="169">
        <f t="shared" si="64"/>
        <v>682246.18497602933</v>
      </c>
      <c r="D1095" s="153"/>
      <c r="E1095" s="170">
        <v>1088</v>
      </c>
      <c r="F1095" s="162">
        <v>218.4140823950363</v>
      </c>
      <c r="G1095" s="171">
        <f t="shared" si="65"/>
        <v>237634.52164579951</v>
      </c>
      <c r="I1095" s="168">
        <v>1088</v>
      </c>
      <c r="J1095" s="159">
        <f>ROUND(B1095*('Model Data Inputs'!$E$184*'Model Data Inputs'!$E$185*'Model Data Inputs'!$E$186*'Model Data Inputs'!$E$187),2)</f>
        <v>627.05999999999995</v>
      </c>
      <c r="K1095" s="169">
        <f t="shared" si="66"/>
        <v>682241.27999999991</v>
      </c>
      <c r="L1095" s="153"/>
      <c r="M1095" s="170">
        <v>1088</v>
      </c>
      <c r="N1095" s="164">
        <f>ROUND(F1095*('Model Data Inputs'!$E$184*'Model Data Inputs'!$E$185*'Model Data Inputs'!$E$186*'Model Data Inputs'!$E$187),2)</f>
        <v>218.41</v>
      </c>
      <c r="O1095" s="171">
        <f t="shared" si="67"/>
        <v>237630.07999999999</v>
      </c>
    </row>
    <row r="1096" spans="1:15" x14ac:dyDescent="0.2">
      <c r="A1096" s="168">
        <v>1089</v>
      </c>
      <c r="B1096" s="159">
        <v>626.87565259836379</v>
      </c>
      <c r="C1096" s="169">
        <f t="shared" ref="C1096:C1159" si="68">A1096*B1096</f>
        <v>682667.58567961818</v>
      </c>
      <c r="D1096" s="153"/>
      <c r="E1096" s="170">
        <v>1089</v>
      </c>
      <c r="F1096" s="162">
        <v>218.31969619356127</v>
      </c>
      <c r="G1096" s="171">
        <f t="shared" ref="G1096:G1159" si="69">E1096*F1096</f>
        <v>237750.14915478823</v>
      </c>
      <c r="I1096" s="168">
        <v>1089</v>
      </c>
      <c r="J1096" s="159">
        <f>ROUND(B1096*('Model Data Inputs'!$E$184*'Model Data Inputs'!$E$185*'Model Data Inputs'!$E$186*'Model Data Inputs'!$E$187),2)</f>
        <v>626.88</v>
      </c>
      <c r="K1096" s="169">
        <f t="shared" ref="K1096:K1159" si="70">I1096*J1096</f>
        <v>682672.32</v>
      </c>
      <c r="L1096" s="153"/>
      <c r="M1096" s="170">
        <v>1089</v>
      </c>
      <c r="N1096" s="164">
        <f>ROUND(F1096*('Model Data Inputs'!$E$184*'Model Data Inputs'!$E$185*'Model Data Inputs'!$E$186*'Model Data Inputs'!$E$187),2)</f>
        <v>218.32</v>
      </c>
      <c r="O1096" s="171">
        <f t="shared" ref="O1096:O1159" si="71">M1096*N1096</f>
        <v>237750.47999999998</v>
      </c>
    </row>
    <row r="1097" spans="1:15" x14ac:dyDescent="0.2">
      <c r="A1097" s="168">
        <v>1090</v>
      </c>
      <c r="B1097" s="159">
        <v>626.68679694670084</v>
      </c>
      <c r="C1097" s="169">
        <f t="shared" si="68"/>
        <v>683088.60867190396</v>
      </c>
      <c r="D1097" s="153"/>
      <c r="E1097" s="170">
        <v>1090</v>
      </c>
      <c r="F1097" s="162">
        <v>218.22530999208624</v>
      </c>
      <c r="G1097" s="171">
        <f t="shared" si="69"/>
        <v>237865.58789137399</v>
      </c>
      <c r="I1097" s="168">
        <v>1090</v>
      </c>
      <c r="J1097" s="159">
        <f>ROUND(B1097*('Model Data Inputs'!$E$184*'Model Data Inputs'!$E$185*'Model Data Inputs'!$E$186*'Model Data Inputs'!$E$187),2)</f>
        <v>626.69000000000005</v>
      </c>
      <c r="K1097" s="169">
        <f t="shared" si="70"/>
        <v>683092.10000000009</v>
      </c>
      <c r="L1097" s="153"/>
      <c r="M1097" s="170">
        <v>1090</v>
      </c>
      <c r="N1097" s="164">
        <f>ROUND(F1097*('Model Data Inputs'!$E$184*'Model Data Inputs'!$E$185*'Model Data Inputs'!$E$186*'Model Data Inputs'!$E$187),2)</f>
        <v>218.23</v>
      </c>
      <c r="O1097" s="171">
        <f t="shared" si="71"/>
        <v>237870.69999999998</v>
      </c>
    </row>
    <row r="1098" spans="1:15" x14ac:dyDescent="0.2">
      <c r="A1098" s="168">
        <v>1091</v>
      </c>
      <c r="B1098" s="159">
        <v>626.49794129503766</v>
      </c>
      <c r="C1098" s="169">
        <f t="shared" si="68"/>
        <v>683509.25395288609</v>
      </c>
      <c r="D1098" s="153"/>
      <c r="E1098" s="170">
        <v>1091</v>
      </c>
      <c r="F1098" s="162">
        <v>218.13092379061115</v>
      </c>
      <c r="G1098" s="171">
        <f t="shared" si="69"/>
        <v>237980.83785555678</v>
      </c>
      <c r="I1098" s="168">
        <v>1091</v>
      </c>
      <c r="J1098" s="159">
        <f>ROUND(B1098*('Model Data Inputs'!$E$184*'Model Data Inputs'!$E$185*'Model Data Inputs'!$E$186*'Model Data Inputs'!$E$187),2)</f>
        <v>626.5</v>
      </c>
      <c r="K1098" s="169">
        <f t="shared" si="70"/>
        <v>683511.5</v>
      </c>
      <c r="L1098" s="153"/>
      <c r="M1098" s="170">
        <v>1091</v>
      </c>
      <c r="N1098" s="164">
        <f>ROUND(F1098*('Model Data Inputs'!$E$184*'Model Data Inputs'!$E$185*'Model Data Inputs'!$E$186*'Model Data Inputs'!$E$187),2)</f>
        <v>218.13</v>
      </c>
      <c r="O1098" s="171">
        <f t="shared" si="71"/>
        <v>237979.83</v>
      </c>
    </row>
    <row r="1099" spans="1:15" x14ac:dyDescent="0.2">
      <c r="A1099" s="168">
        <v>1092</v>
      </c>
      <c r="B1099" s="159">
        <v>626.3090856433746</v>
      </c>
      <c r="C1099" s="169">
        <f t="shared" si="68"/>
        <v>683929.52152256505</v>
      </c>
      <c r="D1099" s="153"/>
      <c r="E1099" s="170">
        <v>1092</v>
      </c>
      <c r="F1099" s="162">
        <v>218.03653758913606</v>
      </c>
      <c r="G1099" s="171">
        <f t="shared" si="69"/>
        <v>238095.89904733657</v>
      </c>
      <c r="I1099" s="168">
        <v>1092</v>
      </c>
      <c r="J1099" s="159">
        <f>ROUND(B1099*('Model Data Inputs'!$E$184*'Model Data Inputs'!$E$185*'Model Data Inputs'!$E$186*'Model Data Inputs'!$E$187),2)</f>
        <v>626.30999999999995</v>
      </c>
      <c r="K1099" s="169">
        <f t="shared" si="70"/>
        <v>683930.5199999999</v>
      </c>
      <c r="L1099" s="153"/>
      <c r="M1099" s="170">
        <v>1092</v>
      </c>
      <c r="N1099" s="164">
        <f>ROUND(F1099*('Model Data Inputs'!$E$184*'Model Data Inputs'!$E$185*'Model Data Inputs'!$E$186*'Model Data Inputs'!$E$187),2)</f>
        <v>218.04</v>
      </c>
      <c r="O1099" s="171">
        <f t="shared" si="71"/>
        <v>238099.68</v>
      </c>
    </row>
    <row r="1100" spans="1:15" x14ac:dyDescent="0.2">
      <c r="A1100" s="168">
        <v>1093</v>
      </c>
      <c r="B1100" s="159">
        <v>626.12022999171143</v>
      </c>
      <c r="C1100" s="169">
        <f t="shared" si="68"/>
        <v>684349.41138094058</v>
      </c>
      <c r="D1100" s="153"/>
      <c r="E1100" s="170">
        <v>1093</v>
      </c>
      <c r="F1100" s="162">
        <v>217.94215138766106</v>
      </c>
      <c r="G1100" s="171">
        <f t="shared" si="69"/>
        <v>238210.77146671354</v>
      </c>
      <c r="I1100" s="168">
        <v>1093</v>
      </c>
      <c r="J1100" s="159">
        <f>ROUND(B1100*('Model Data Inputs'!$E$184*'Model Data Inputs'!$E$185*'Model Data Inputs'!$E$186*'Model Data Inputs'!$E$187),2)</f>
        <v>626.12</v>
      </c>
      <c r="K1100" s="169">
        <f t="shared" si="70"/>
        <v>684349.16</v>
      </c>
      <c r="L1100" s="153"/>
      <c r="M1100" s="170">
        <v>1093</v>
      </c>
      <c r="N1100" s="164">
        <f>ROUND(F1100*('Model Data Inputs'!$E$184*'Model Data Inputs'!$E$185*'Model Data Inputs'!$E$186*'Model Data Inputs'!$E$187),2)</f>
        <v>217.94</v>
      </c>
      <c r="O1100" s="171">
        <f t="shared" si="71"/>
        <v>238208.41999999998</v>
      </c>
    </row>
    <row r="1101" spans="1:15" x14ac:dyDescent="0.2">
      <c r="A1101" s="168">
        <v>1094</v>
      </c>
      <c r="B1101" s="159">
        <v>625.93137434004836</v>
      </c>
      <c r="C1101" s="169">
        <f t="shared" si="68"/>
        <v>684768.92352801294</v>
      </c>
      <c r="D1101" s="153"/>
      <c r="E1101" s="170">
        <v>1094</v>
      </c>
      <c r="F1101" s="162">
        <v>217.84776518618602</v>
      </c>
      <c r="G1101" s="171">
        <f t="shared" si="69"/>
        <v>238325.45511368752</v>
      </c>
      <c r="I1101" s="168">
        <v>1094</v>
      </c>
      <c r="J1101" s="159">
        <f>ROUND(B1101*('Model Data Inputs'!$E$184*'Model Data Inputs'!$E$185*'Model Data Inputs'!$E$186*'Model Data Inputs'!$E$187),2)</f>
        <v>625.92999999999995</v>
      </c>
      <c r="K1101" s="169">
        <f t="shared" si="70"/>
        <v>684767.41999999993</v>
      </c>
      <c r="L1101" s="153"/>
      <c r="M1101" s="170">
        <v>1094</v>
      </c>
      <c r="N1101" s="164">
        <f>ROUND(F1101*('Model Data Inputs'!$E$184*'Model Data Inputs'!$E$185*'Model Data Inputs'!$E$186*'Model Data Inputs'!$E$187),2)</f>
        <v>217.85</v>
      </c>
      <c r="O1101" s="171">
        <f t="shared" si="71"/>
        <v>238327.9</v>
      </c>
    </row>
    <row r="1102" spans="1:15" x14ac:dyDescent="0.2">
      <c r="A1102" s="168">
        <v>1095</v>
      </c>
      <c r="B1102" s="159">
        <v>625.7425186883853</v>
      </c>
      <c r="C1102" s="169">
        <f t="shared" si="68"/>
        <v>685188.05796378187</v>
      </c>
      <c r="D1102" s="153"/>
      <c r="E1102" s="170">
        <v>1095</v>
      </c>
      <c r="F1102" s="162">
        <v>217.75337898471105</v>
      </c>
      <c r="G1102" s="171">
        <f t="shared" si="69"/>
        <v>238439.9499882586</v>
      </c>
      <c r="I1102" s="168">
        <v>1095</v>
      </c>
      <c r="J1102" s="159">
        <f>ROUND(B1102*('Model Data Inputs'!$E$184*'Model Data Inputs'!$E$185*'Model Data Inputs'!$E$186*'Model Data Inputs'!$E$187),2)</f>
        <v>625.74</v>
      </c>
      <c r="K1102" s="169">
        <f t="shared" si="70"/>
        <v>685185.3</v>
      </c>
      <c r="L1102" s="153"/>
      <c r="M1102" s="170">
        <v>1095</v>
      </c>
      <c r="N1102" s="164">
        <f>ROUND(F1102*('Model Data Inputs'!$E$184*'Model Data Inputs'!$E$185*'Model Data Inputs'!$E$186*'Model Data Inputs'!$E$187),2)</f>
        <v>217.75</v>
      </c>
      <c r="O1102" s="171">
        <f t="shared" si="71"/>
        <v>238436.25</v>
      </c>
    </row>
    <row r="1103" spans="1:15" x14ac:dyDescent="0.2">
      <c r="A1103" s="168">
        <v>1096</v>
      </c>
      <c r="B1103" s="159">
        <v>625.55366303672236</v>
      </c>
      <c r="C1103" s="169">
        <f t="shared" si="68"/>
        <v>685606.81468824774</v>
      </c>
      <c r="D1103" s="153"/>
      <c r="E1103" s="170">
        <v>1096</v>
      </c>
      <c r="F1103" s="162">
        <v>217.65899278323599</v>
      </c>
      <c r="G1103" s="171">
        <f t="shared" si="69"/>
        <v>238554.25609042664</v>
      </c>
      <c r="I1103" s="168">
        <v>1096</v>
      </c>
      <c r="J1103" s="159">
        <f>ROUND(B1103*('Model Data Inputs'!$E$184*'Model Data Inputs'!$E$185*'Model Data Inputs'!$E$186*'Model Data Inputs'!$E$187),2)</f>
        <v>625.54999999999995</v>
      </c>
      <c r="K1103" s="169">
        <f t="shared" si="70"/>
        <v>685602.79999999993</v>
      </c>
      <c r="L1103" s="153"/>
      <c r="M1103" s="170">
        <v>1096</v>
      </c>
      <c r="N1103" s="164">
        <f>ROUND(F1103*('Model Data Inputs'!$E$184*'Model Data Inputs'!$E$185*'Model Data Inputs'!$E$186*'Model Data Inputs'!$E$187),2)</f>
        <v>217.66</v>
      </c>
      <c r="O1103" s="171">
        <f t="shared" si="71"/>
        <v>238555.36</v>
      </c>
    </row>
    <row r="1104" spans="1:15" x14ac:dyDescent="0.2">
      <c r="A1104" s="168">
        <v>1097</v>
      </c>
      <c r="B1104" s="159">
        <v>625.36480738505929</v>
      </c>
      <c r="C1104" s="169">
        <f t="shared" si="68"/>
        <v>686025.19370141008</v>
      </c>
      <c r="D1104" s="153"/>
      <c r="E1104" s="170">
        <v>1097</v>
      </c>
      <c r="F1104" s="162">
        <v>217.56460658176096</v>
      </c>
      <c r="G1104" s="171">
        <f t="shared" si="69"/>
        <v>238668.37342019175</v>
      </c>
      <c r="I1104" s="168">
        <v>1097</v>
      </c>
      <c r="J1104" s="159">
        <f>ROUND(B1104*('Model Data Inputs'!$E$184*'Model Data Inputs'!$E$185*'Model Data Inputs'!$E$186*'Model Data Inputs'!$E$187),2)</f>
        <v>625.36</v>
      </c>
      <c r="K1104" s="169">
        <f t="shared" si="70"/>
        <v>686019.92</v>
      </c>
      <c r="L1104" s="153"/>
      <c r="M1104" s="170">
        <v>1097</v>
      </c>
      <c r="N1104" s="164">
        <f>ROUND(F1104*('Model Data Inputs'!$E$184*'Model Data Inputs'!$E$185*'Model Data Inputs'!$E$186*'Model Data Inputs'!$E$187),2)</f>
        <v>217.56</v>
      </c>
      <c r="O1104" s="171">
        <f t="shared" si="71"/>
        <v>238663.32</v>
      </c>
    </row>
    <row r="1105" spans="1:15" x14ac:dyDescent="0.2">
      <c r="A1105" s="168">
        <v>1098</v>
      </c>
      <c r="B1105" s="159">
        <v>625.175951733396</v>
      </c>
      <c r="C1105" s="169">
        <f t="shared" si="68"/>
        <v>686443.19500326877</v>
      </c>
      <c r="D1105" s="153"/>
      <c r="E1105" s="170">
        <v>1098</v>
      </c>
      <c r="F1105" s="162">
        <v>217.47022038028592</v>
      </c>
      <c r="G1105" s="171">
        <f t="shared" si="69"/>
        <v>238782.30197755396</v>
      </c>
      <c r="I1105" s="168">
        <v>1098</v>
      </c>
      <c r="J1105" s="159">
        <f>ROUND(B1105*('Model Data Inputs'!$E$184*'Model Data Inputs'!$E$185*'Model Data Inputs'!$E$186*'Model Data Inputs'!$E$187),2)</f>
        <v>625.17999999999995</v>
      </c>
      <c r="K1105" s="169">
        <f t="shared" si="70"/>
        <v>686447.6399999999</v>
      </c>
      <c r="L1105" s="153"/>
      <c r="M1105" s="170">
        <v>1098</v>
      </c>
      <c r="N1105" s="164">
        <f>ROUND(F1105*('Model Data Inputs'!$E$184*'Model Data Inputs'!$E$185*'Model Data Inputs'!$E$186*'Model Data Inputs'!$E$187),2)</f>
        <v>217.47</v>
      </c>
      <c r="O1105" s="171">
        <f t="shared" si="71"/>
        <v>238782.06</v>
      </c>
    </row>
    <row r="1106" spans="1:15" x14ac:dyDescent="0.2">
      <c r="A1106" s="168">
        <v>1099</v>
      </c>
      <c r="B1106" s="159">
        <v>624.98709608173283</v>
      </c>
      <c r="C1106" s="169">
        <f t="shared" si="68"/>
        <v>686860.8185938244</v>
      </c>
      <c r="D1106" s="153"/>
      <c r="E1106" s="170">
        <v>1099</v>
      </c>
      <c r="F1106" s="162">
        <v>217.37583417881086</v>
      </c>
      <c r="G1106" s="171">
        <f t="shared" si="69"/>
        <v>238896.04176251314</v>
      </c>
      <c r="I1106" s="168">
        <v>1099</v>
      </c>
      <c r="J1106" s="159">
        <f>ROUND(B1106*('Model Data Inputs'!$E$184*'Model Data Inputs'!$E$185*'Model Data Inputs'!$E$186*'Model Data Inputs'!$E$187),2)</f>
        <v>624.99</v>
      </c>
      <c r="K1106" s="169">
        <f t="shared" si="70"/>
        <v>686864.01</v>
      </c>
      <c r="L1106" s="153"/>
      <c r="M1106" s="170">
        <v>1099</v>
      </c>
      <c r="N1106" s="164">
        <f>ROUND(F1106*('Model Data Inputs'!$E$184*'Model Data Inputs'!$E$185*'Model Data Inputs'!$E$186*'Model Data Inputs'!$E$187),2)</f>
        <v>217.38</v>
      </c>
      <c r="O1106" s="171">
        <f t="shared" si="71"/>
        <v>238900.62</v>
      </c>
    </row>
    <row r="1107" spans="1:15" x14ac:dyDescent="0.2">
      <c r="A1107" s="168">
        <v>1100</v>
      </c>
      <c r="B1107" s="159">
        <v>624.79824043006988</v>
      </c>
      <c r="C1107" s="169">
        <f t="shared" si="68"/>
        <v>687278.06447307684</v>
      </c>
      <c r="D1107" s="153"/>
      <c r="E1107" s="170">
        <v>1100</v>
      </c>
      <c r="F1107" s="162">
        <v>217.28144797733583</v>
      </c>
      <c r="G1107" s="171">
        <f t="shared" si="69"/>
        <v>239009.59277506941</v>
      </c>
      <c r="I1107" s="168">
        <v>1100</v>
      </c>
      <c r="J1107" s="159">
        <f>ROUND(B1107*('Model Data Inputs'!$E$184*'Model Data Inputs'!$E$185*'Model Data Inputs'!$E$186*'Model Data Inputs'!$E$187),2)</f>
        <v>624.79999999999995</v>
      </c>
      <c r="K1107" s="169">
        <f t="shared" si="70"/>
        <v>687280</v>
      </c>
      <c r="L1107" s="153"/>
      <c r="M1107" s="170">
        <v>1100</v>
      </c>
      <c r="N1107" s="164">
        <f>ROUND(F1107*('Model Data Inputs'!$E$184*'Model Data Inputs'!$E$185*'Model Data Inputs'!$E$186*'Model Data Inputs'!$E$187),2)</f>
        <v>217.28</v>
      </c>
      <c r="O1107" s="171">
        <f t="shared" si="71"/>
        <v>239008</v>
      </c>
    </row>
    <row r="1108" spans="1:15" x14ac:dyDescent="0.2">
      <c r="A1108" s="168">
        <v>1101</v>
      </c>
      <c r="B1108" s="159">
        <v>624.60938477840659</v>
      </c>
      <c r="C1108" s="169">
        <f t="shared" si="68"/>
        <v>687694.93264102563</v>
      </c>
      <c r="D1108" s="153"/>
      <c r="E1108" s="170">
        <v>1101</v>
      </c>
      <c r="F1108" s="162">
        <v>217.1870617758608</v>
      </c>
      <c r="G1108" s="171">
        <f t="shared" si="69"/>
        <v>239122.95501522275</v>
      </c>
      <c r="I1108" s="168">
        <v>1101</v>
      </c>
      <c r="J1108" s="159">
        <f>ROUND(B1108*('Model Data Inputs'!$E$184*'Model Data Inputs'!$E$185*'Model Data Inputs'!$E$186*'Model Data Inputs'!$E$187),2)</f>
        <v>624.61</v>
      </c>
      <c r="K1108" s="169">
        <f t="shared" si="70"/>
        <v>687695.61</v>
      </c>
      <c r="L1108" s="153"/>
      <c r="M1108" s="170">
        <v>1101</v>
      </c>
      <c r="N1108" s="164">
        <f>ROUND(F1108*('Model Data Inputs'!$E$184*'Model Data Inputs'!$E$185*'Model Data Inputs'!$E$186*'Model Data Inputs'!$E$187),2)</f>
        <v>217.19</v>
      </c>
      <c r="O1108" s="171">
        <f t="shared" si="71"/>
        <v>239126.19</v>
      </c>
    </row>
    <row r="1109" spans="1:15" x14ac:dyDescent="0.2">
      <c r="A1109" s="168">
        <v>1102</v>
      </c>
      <c r="B1109" s="159">
        <v>624.42052912674365</v>
      </c>
      <c r="C1109" s="169">
        <f t="shared" si="68"/>
        <v>688111.42309767148</v>
      </c>
      <c r="D1109" s="153"/>
      <c r="E1109" s="170">
        <v>1102</v>
      </c>
      <c r="F1109" s="162">
        <v>217.09267557438574</v>
      </c>
      <c r="G1109" s="171">
        <f t="shared" si="69"/>
        <v>239236.12848297309</v>
      </c>
      <c r="I1109" s="168">
        <v>1102</v>
      </c>
      <c r="J1109" s="159">
        <f>ROUND(B1109*('Model Data Inputs'!$E$184*'Model Data Inputs'!$E$185*'Model Data Inputs'!$E$186*'Model Data Inputs'!$E$187),2)</f>
        <v>624.41999999999996</v>
      </c>
      <c r="K1109" s="169">
        <f t="shared" si="70"/>
        <v>688110.84</v>
      </c>
      <c r="L1109" s="153"/>
      <c r="M1109" s="170">
        <v>1102</v>
      </c>
      <c r="N1109" s="164">
        <f>ROUND(F1109*('Model Data Inputs'!$E$184*'Model Data Inputs'!$E$185*'Model Data Inputs'!$E$186*'Model Data Inputs'!$E$187),2)</f>
        <v>217.09</v>
      </c>
      <c r="O1109" s="171">
        <f t="shared" si="71"/>
        <v>239233.18</v>
      </c>
    </row>
    <row r="1110" spans="1:15" x14ac:dyDescent="0.2">
      <c r="A1110" s="168">
        <v>1103</v>
      </c>
      <c r="B1110" s="159">
        <v>624.23167347508058</v>
      </c>
      <c r="C1110" s="169">
        <f t="shared" si="68"/>
        <v>688527.5358430139</v>
      </c>
      <c r="D1110" s="153"/>
      <c r="E1110" s="170">
        <v>1103</v>
      </c>
      <c r="F1110" s="162">
        <v>216.9982893729107</v>
      </c>
      <c r="G1110" s="171">
        <f t="shared" si="69"/>
        <v>239349.11317832052</v>
      </c>
      <c r="I1110" s="168">
        <v>1103</v>
      </c>
      <c r="J1110" s="159">
        <f>ROUND(B1110*('Model Data Inputs'!$E$184*'Model Data Inputs'!$E$185*'Model Data Inputs'!$E$186*'Model Data Inputs'!$E$187),2)</f>
        <v>624.23</v>
      </c>
      <c r="K1110" s="169">
        <f t="shared" si="70"/>
        <v>688525.69000000006</v>
      </c>
      <c r="L1110" s="153"/>
      <c r="M1110" s="170">
        <v>1103</v>
      </c>
      <c r="N1110" s="164">
        <f>ROUND(F1110*('Model Data Inputs'!$E$184*'Model Data Inputs'!$E$185*'Model Data Inputs'!$E$186*'Model Data Inputs'!$E$187),2)</f>
        <v>217</v>
      </c>
      <c r="O1110" s="171">
        <f t="shared" si="71"/>
        <v>239351</v>
      </c>
    </row>
    <row r="1111" spans="1:15" x14ac:dyDescent="0.2">
      <c r="A1111" s="168">
        <v>1104</v>
      </c>
      <c r="B1111" s="159">
        <v>624.04281782341741</v>
      </c>
      <c r="C1111" s="169">
        <f t="shared" si="68"/>
        <v>688943.2708770528</v>
      </c>
      <c r="D1111" s="153"/>
      <c r="E1111" s="170">
        <v>1104</v>
      </c>
      <c r="F1111" s="162">
        <v>216.90390317143567</v>
      </c>
      <c r="G1111" s="171">
        <f t="shared" si="69"/>
        <v>239461.90910126499</v>
      </c>
      <c r="I1111" s="168">
        <v>1104</v>
      </c>
      <c r="J1111" s="159">
        <f>ROUND(B1111*('Model Data Inputs'!$E$184*'Model Data Inputs'!$E$185*'Model Data Inputs'!$E$186*'Model Data Inputs'!$E$187),2)</f>
        <v>624.04</v>
      </c>
      <c r="K1111" s="169">
        <f t="shared" si="70"/>
        <v>688940.15999999992</v>
      </c>
      <c r="L1111" s="153"/>
      <c r="M1111" s="170">
        <v>1104</v>
      </c>
      <c r="N1111" s="164">
        <f>ROUND(F1111*('Model Data Inputs'!$E$184*'Model Data Inputs'!$E$185*'Model Data Inputs'!$E$186*'Model Data Inputs'!$E$187),2)</f>
        <v>216.9</v>
      </c>
      <c r="O1111" s="171">
        <f t="shared" si="71"/>
        <v>239457.6</v>
      </c>
    </row>
    <row r="1112" spans="1:15" x14ac:dyDescent="0.2">
      <c r="A1112" s="168">
        <v>1105</v>
      </c>
      <c r="B1112" s="159">
        <v>623.85396217175435</v>
      </c>
      <c r="C1112" s="169">
        <f t="shared" si="68"/>
        <v>689358.62819978851</v>
      </c>
      <c r="D1112" s="153"/>
      <c r="E1112" s="170">
        <v>1105</v>
      </c>
      <c r="F1112" s="162">
        <v>216.80951696996064</v>
      </c>
      <c r="G1112" s="171">
        <f t="shared" si="69"/>
        <v>239574.51625180652</v>
      </c>
      <c r="I1112" s="168">
        <v>1105</v>
      </c>
      <c r="J1112" s="159">
        <f>ROUND(B1112*('Model Data Inputs'!$E$184*'Model Data Inputs'!$E$185*'Model Data Inputs'!$E$186*'Model Data Inputs'!$E$187),2)</f>
        <v>623.85</v>
      </c>
      <c r="K1112" s="169">
        <f t="shared" si="70"/>
        <v>689354.25</v>
      </c>
      <c r="L1112" s="153"/>
      <c r="M1112" s="170">
        <v>1105</v>
      </c>
      <c r="N1112" s="164">
        <f>ROUND(F1112*('Model Data Inputs'!$E$184*'Model Data Inputs'!$E$185*'Model Data Inputs'!$E$186*'Model Data Inputs'!$E$187),2)</f>
        <v>216.81</v>
      </c>
      <c r="O1112" s="171">
        <f t="shared" si="71"/>
        <v>239575.05</v>
      </c>
    </row>
    <row r="1113" spans="1:15" x14ac:dyDescent="0.2">
      <c r="A1113" s="168">
        <v>1106</v>
      </c>
      <c r="B1113" s="159">
        <v>623.66510652009129</v>
      </c>
      <c r="C1113" s="169">
        <f t="shared" si="68"/>
        <v>689773.60781122092</v>
      </c>
      <c r="D1113" s="153"/>
      <c r="E1113" s="170">
        <v>1106</v>
      </c>
      <c r="F1113" s="162">
        <v>216.71513076848564</v>
      </c>
      <c r="G1113" s="171">
        <f t="shared" si="69"/>
        <v>239686.93462994511</v>
      </c>
      <c r="I1113" s="168">
        <v>1106</v>
      </c>
      <c r="J1113" s="159">
        <f>ROUND(B1113*('Model Data Inputs'!$E$184*'Model Data Inputs'!$E$185*'Model Data Inputs'!$E$186*'Model Data Inputs'!$E$187),2)</f>
        <v>623.66999999999996</v>
      </c>
      <c r="K1113" s="169">
        <f t="shared" si="70"/>
        <v>689779.0199999999</v>
      </c>
      <c r="L1113" s="153"/>
      <c r="M1113" s="170">
        <v>1106</v>
      </c>
      <c r="N1113" s="164">
        <f>ROUND(F1113*('Model Data Inputs'!$E$184*'Model Data Inputs'!$E$185*'Model Data Inputs'!$E$186*'Model Data Inputs'!$E$187),2)</f>
        <v>216.72</v>
      </c>
      <c r="O1113" s="171">
        <f t="shared" si="71"/>
        <v>239692.32</v>
      </c>
    </row>
    <row r="1114" spans="1:15" x14ac:dyDescent="0.2">
      <c r="A1114" s="168">
        <v>1107</v>
      </c>
      <c r="B1114" s="159">
        <v>623.47625086842834</v>
      </c>
      <c r="C1114" s="169">
        <f t="shared" si="68"/>
        <v>690188.20971135015</v>
      </c>
      <c r="D1114" s="153"/>
      <c r="E1114" s="170">
        <v>1107</v>
      </c>
      <c r="F1114" s="162">
        <v>216.62074456701058</v>
      </c>
      <c r="G1114" s="171">
        <f t="shared" si="69"/>
        <v>239799.16423568071</v>
      </c>
      <c r="I1114" s="168">
        <v>1107</v>
      </c>
      <c r="J1114" s="159">
        <f>ROUND(B1114*('Model Data Inputs'!$E$184*'Model Data Inputs'!$E$185*'Model Data Inputs'!$E$186*'Model Data Inputs'!$E$187),2)</f>
        <v>623.48</v>
      </c>
      <c r="K1114" s="169">
        <f t="shared" si="70"/>
        <v>690192.36</v>
      </c>
      <c r="L1114" s="153"/>
      <c r="M1114" s="170">
        <v>1107</v>
      </c>
      <c r="N1114" s="164">
        <f>ROUND(F1114*('Model Data Inputs'!$E$184*'Model Data Inputs'!$E$185*'Model Data Inputs'!$E$186*'Model Data Inputs'!$E$187),2)</f>
        <v>216.62</v>
      </c>
      <c r="O1114" s="171">
        <f t="shared" si="71"/>
        <v>239798.34</v>
      </c>
    </row>
    <row r="1115" spans="1:15" x14ac:dyDescent="0.2">
      <c r="A1115" s="168">
        <v>1108</v>
      </c>
      <c r="B1115" s="159">
        <v>623.28739521676516</v>
      </c>
      <c r="C1115" s="169">
        <f t="shared" si="68"/>
        <v>690602.43390017585</v>
      </c>
      <c r="D1115" s="153"/>
      <c r="E1115" s="170">
        <v>1108</v>
      </c>
      <c r="F1115" s="162">
        <v>216.52635836553554</v>
      </c>
      <c r="G1115" s="171">
        <f t="shared" si="69"/>
        <v>239911.20506901338</v>
      </c>
      <c r="I1115" s="168">
        <v>1108</v>
      </c>
      <c r="J1115" s="159">
        <f>ROUND(B1115*('Model Data Inputs'!$E$184*'Model Data Inputs'!$E$185*'Model Data Inputs'!$E$186*'Model Data Inputs'!$E$187),2)</f>
        <v>623.29</v>
      </c>
      <c r="K1115" s="169">
        <f t="shared" si="70"/>
        <v>690605.32</v>
      </c>
      <c r="L1115" s="153"/>
      <c r="M1115" s="170">
        <v>1108</v>
      </c>
      <c r="N1115" s="164">
        <f>ROUND(F1115*('Model Data Inputs'!$E$184*'Model Data Inputs'!$E$185*'Model Data Inputs'!$E$186*'Model Data Inputs'!$E$187),2)</f>
        <v>216.53</v>
      </c>
      <c r="O1115" s="171">
        <f t="shared" si="71"/>
        <v>239915.24</v>
      </c>
    </row>
    <row r="1116" spans="1:15" x14ac:dyDescent="0.2">
      <c r="A1116" s="168">
        <v>1109</v>
      </c>
      <c r="B1116" s="159">
        <v>623.09853956510233</v>
      </c>
      <c r="C1116" s="169">
        <f t="shared" si="68"/>
        <v>691016.28037769848</v>
      </c>
      <c r="D1116" s="153"/>
      <c r="E1116" s="170">
        <v>1109</v>
      </c>
      <c r="F1116" s="162">
        <v>216.43197216406054</v>
      </c>
      <c r="G1116" s="171">
        <f t="shared" si="69"/>
        <v>240023.05712994313</v>
      </c>
      <c r="I1116" s="168">
        <v>1109</v>
      </c>
      <c r="J1116" s="159">
        <f>ROUND(B1116*('Model Data Inputs'!$E$184*'Model Data Inputs'!$E$185*'Model Data Inputs'!$E$186*'Model Data Inputs'!$E$187),2)</f>
        <v>623.1</v>
      </c>
      <c r="K1116" s="169">
        <f t="shared" si="70"/>
        <v>691017.9</v>
      </c>
      <c r="L1116" s="153"/>
      <c r="M1116" s="170">
        <v>1109</v>
      </c>
      <c r="N1116" s="164">
        <f>ROUND(F1116*('Model Data Inputs'!$E$184*'Model Data Inputs'!$E$185*'Model Data Inputs'!$E$186*'Model Data Inputs'!$E$187),2)</f>
        <v>216.43</v>
      </c>
      <c r="O1116" s="171">
        <f t="shared" si="71"/>
        <v>240020.87</v>
      </c>
    </row>
    <row r="1117" spans="1:15" x14ac:dyDescent="0.2">
      <c r="A1117" s="168">
        <v>1110</v>
      </c>
      <c r="B1117" s="159">
        <v>622.90968391343915</v>
      </c>
      <c r="C1117" s="169">
        <f t="shared" si="68"/>
        <v>691429.74914391746</v>
      </c>
      <c r="D1117" s="153"/>
      <c r="E1117" s="170">
        <v>1110</v>
      </c>
      <c r="F1117" s="162">
        <v>216.33758596258548</v>
      </c>
      <c r="G1117" s="171">
        <f t="shared" si="69"/>
        <v>240134.72041846989</v>
      </c>
      <c r="I1117" s="168">
        <v>1110</v>
      </c>
      <c r="J1117" s="159">
        <f>ROUND(B1117*('Model Data Inputs'!$E$184*'Model Data Inputs'!$E$185*'Model Data Inputs'!$E$186*'Model Data Inputs'!$E$187),2)</f>
        <v>622.91</v>
      </c>
      <c r="K1117" s="169">
        <f t="shared" si="70"/>
        <v>691430.1</v>
      </c>
      <c r="L1117" s="153"/>
      <c r="M1117" s="170">
        <v>1110</v>
      </c>
      <c r="N1117" s="164">
        <f>ROUND(F1117*('Model Data Inputs'!$E$184*'Model Data Inputs'!$E$185*'Model Data Inputs'!$E$186*'Model Data Inputs'!$E$187),2)</f>
        <v>216.34</v>
      </c>
      <c r="O1117" s="171">
        <f t="shared" si="71"/>
        <v>240137.4</v>
      </c>
    </row>
    <row r="1118" spans="1:15" x14ac:dyDescent="0.2">
      <c r="A1118" s="168">
        <v>1111</v>
      </c>
      <c r="B1118" s="159">
        <v>622.72082826177609</v>
      </c>
      <c r="C1118" s="169">
        <f t="shared" si="68"/>
        <v>691842.84019883326</v>
      </c>
      <c r="D1118" s="153"/>
      <c r="E1118" s="170">
        <v>1111</v>
      </c>
      <c r="F1118" s="162">
        <v>216.24319976111042</v>
      </c>
      <c r="G1118" s="171">
        <f t="shared" si="69"/>
        <v>240246.19493459369</v>
      </c>
      <c r="I1118" s="168">
        <v>1111</v>
      </c>
      <c r="J1118" s="159">
        <f>ROUND(B1118*('Model Data Inputs'!$E$184*'Model Data Inputs'!$E$185*'Model Data Inputs'!$E$186*'Model Data Inputs'!$E$187),2)</f>
        <v>622.72</v>
      </c>
      <c r="K1118" s="169">
        <f t="shared" si="70"/>
        <v>691841.92</v>
      </c>
      <c r="L1118" s="153"/>
      <c r="M1118" s="170">
        <v>1111</v>
      </c>
      <c r="N1118" s="164">
        <f>ROUND(F1118*('Model Data Inputs'!$E$184*'Model Data Inputs'!$E$185*'Model Data Inputs'!$E$186*'Model Data Inputs'!$E$187),2)</f>
        <v>216.24</v>
      </c>
      <c r="O1118" s="171">
        <f t="shared" si="71"/>
        <v>240242.64</v>
      </c>
    </row>
    <row r="1119" spans="1:15" x14ac:dyDescent="0.2">
      <c r="A1119" s="168">
        <v>1112</v>
      </c>
      <c r="B1119" s="159">
        <v>622.53197261011292</v>
      </c>
      <c r="C1119" s="169">
        <f t="shared" si="68"/>
        <v>692255.55354244553</v>
      </c>
      <c r="D1119" s="153"/>
      <c r="E1119" s="170">
        <v>1112</v>
      </c>
      <c r="F1119" s="162">
        <v>216.14881355963539</v>
      </c>
      <c r="G1119" s="171">
        <f t="shared" si="69"/>
        <v>240357.48067831455</v>
      </c>
      <c r="I1119" s="168">
        <v>1112</v>
      </c>
      <c r="J1119" s="159">
        <f>ROUND(B1119*('Model Data Inputs'!$E$184*'Model Data Inputs'!$E$185*'Model Data Inputs'!$E$186*'Model Data Inputs'!$E$187),2)</f>
        <v>622.53</v>
      </c>
      <c r="K1119" s="169">
        <f t="shared" si="70"/>
        <v>692253.36</v>
      </c>
      <c r="L1119" s="153"/>
      <c r="M1119" s="170">
        <v>1112</v>
      </c>
      <c r="N1119" s="164">
        <f>ROUND(F1119*('Model Data Inputs'!$E$184*'Model Data Inputs'!$E$185*'Model Data Inputs'!$E$186*'Model Data Inputs'!$E$187),2)</f>
        <v>216.15</v>
      </c>
      <c r="O1119" s="171">
        <f t="shared" si="71"/>
        <v>240358.80000000002</v>
      </c>
    </row>
    <row r="1120" spans="1:15" x14ac:dyDescent="0.2">
      <c r="A1120" s="168">
        <v>1113</v>
      </c>
      <c r="B1120" s="159">
        <v>622.34311695844985</v>
      </c>
      <c r="C1120" s="169">
        <f t="shared" si="68"/>
        <v>692667.88917475473</v>
      </c>
      <c r="D1120" s="153"/>
      <c r="E1120" s="170">
        <v>1113</v>
      </c>
      <c r="F1120" s="162">
        <v>216.05442735816035</v>
      </c>
      <c r="G1120" s="171">
        <f t="shared" si="69"/>
        <v>240468.57764963247</v>
      </c>
      <c r="I1120" s="168">
        <v>1113</v>
      </c>
      <c r="J1120" s="159">
        <f>ROUND(B1120*('Model Data Inputs'!$E$184*'Model Data Inputs'!$E$185*'Model Data Inputs'!$E$186*'Model Data Inputs'!$E$187),2)</f>
        <v>622.34</v>
      </c>
      <c r="K1120" s="169">
        <f t="shared" si="70"/>
        <v>692664.42</v>
      </c>
      <c r="L1120" s="153"/>
      <c r="M1120" s="170">
        <v>1113</v>
      </c>
      <c r="N1120" s="164">
        <f>ROUND(F1120*('Model Data Inputs'!$E$184*'Model Data Inputs'!$E$185*'Model Data Inputs'!$E$186*'Model Data Inputs'!$E$187),2)</f>
        <v>216.05</v>
      </c>
      <c r="O1120" s="171">
        <f t="shared" si="71"/>
        <v>240463.65000000002</v>
      </c>
    </row>
    <row r="1121" spans="1:15" x14ac:dyDescent="0.2">
      <c r="A1121" s="168">
        <v>1114</v>
      </c>
      <c r="B1121" s="159">
        <v>622.15426130678657</v>
      </c>
      <c r="C1121" s="169">
        <f t="shared" si="68"/>
        <v>693079.84709576028</v>
      </c>
      <c r="D1121" s="153"/>
      <c r="E1121" s="170">
        <v>1114</v>
      </c>
      <c r="F1121" s="162">
        <v>215.96004115668529</v>
      </c>
      <c r="G1121" s="171">
        <f t="shared" si="69"/>
        <v>240579.48584854743</v>
      </c>
      <c r="I1121" s="168">
        <v>1114</v>
      </c>
      <c r="J1121" s="159">
        <f>ROUND(B1121*('Model Data Inputs'!$E$184*'Model Data Inputs'!$E$185*'Model Data Inputs'!$E$186*'Model Data Inputs'!$E$187),2)</f>
        <v>622.15</v>
      </c>
      <c r="K1121" s="169">
        <f t="shared" si="70"/>
        <v>693075.1</v>
      </c>
      <c r="L1121" s="153"/>
      <c r="M1121" s="170">
        <v>1114</v>
      </c>
      <c r="N1121" s="164">
        <f>ROUND(F1121*('Model Data Inputs'!$E$184*'Model Data Inputs'!$E$185*'Model Data Inputs'!$E$186*'Model Data Inputs'!$E$187),2)</f>
        <v>215.96</v>
      </c>
      <c r="O1121" s="171">
        <f t="shared" si="71"/>
        <v>240579.44</v>
      </c>
    </row>
    <row r="1122" spans="1:15" x14ac:dyDescent="0.2">
      <c r="A1122" s="168">
        <v>1115</v>
      </c>
      <c r="B1122" s="159">
        <v>621.9654056551235</v>
      </c>
      <c r="C1122" s="169">
        <f t="shared" si="68"/>
        <v>693491.42730546265</v>
      </c>
      <c r="D1122" s="153"/>
      <c r="E1122" s="170">
        <v>1115</v>
      </c>
      <c r="F1122" s="162">
        <v>215.86565495521023</v>
      </c>
      <c r="G1122" s="171">
        <f t="shared" si="69"/>
        <v>240690.20527505942</v>
      </c>
      <c r="I1122" s="168">
        <v>1115</v>
      </c>
      <c r="J1122" s="159">
        <f>ROUND(B1122*('Model Data Inputs'!$E$184*'Model Data Inputs'!$E$185*'Model Data Inputs'!$E$186*'Model Data Inputs'!$E$187),2)</f>
        <v>621.97</v>
      </c>
      <c r="K1122" s="169">
        <f t="shared" si="70"/>
        <v>693496.55</v>
      </c>
      <c r="L1122" s="153"/>
      <c r="M1122" s="170">
        <v>1115</v>
      </c>
      <c r="N1122" s="164">
        <f>ROUND(F1122*('Model Data Inputs'!$E$184*'Model Data Inputs'!$E$185*'Model Data Inputs'!$E$186*'Model Data Inputs'!$E$187),2)</f>
        <v>215.87</v>
      </c>
      <c r="O1122" s="171">
        <f t="shared" si="71"/>
        <v>240695.05000000002</v>
      </c>
    </row>
    <row r="1123" spans="1:15" x14ac:dyDescent="0.2">
      <c r="A1123" s="168">
        <v>1116</v>
      </c>
      <c r="B1123" s="159">
        <v>621.77655000346056</v>
      </c>
      <c r="C1123" s="169">
        <f t="shared" si="68"/>
        <v>693902.62980386196</v>
      </c>
      <c r="D1123" s="153"/>
      <c r="E1123" s="170">
        <v>1116</v>
      </c>
      <c r="F1123" s="162">
        <v>215.77126875373523</v>
      </c>
      <c r="G1123" s="171">
        <f t="shared" si="69"/>
        <v>240800.73592916853</v>
      </c>
      <c r="I1123" s="168">
        <v>1116</v>
      </c>
      <c r="J1123" s="159">
        <f>ROUND(B1123*('Model Data Inputs'!$E$184*'Model Data Inputs'!$E$185*'Model Data Inputs'!$E$186*'Model Data Inputs'!$E$187),2)</f>
        <v>621.78</v>
      </c>
      <c r="K1123" s="169">
        <f t="shared" si="70"/>
        <v>693906.48</v>
      </c>
      <c r="L1123" s="153"/>
      <c r="M1123" s="170">
        <v>1116</v>
      </c>
      <c r="N1123" s="164">
        <f>ROUND(F1123*('Model Data Inputs'!$E$184*'Model Data Inputs'!$E$185*'Model Data Inputs'!$E$186*'Model Data Inputs'!$E$187),2)</f>
        <v>215.77</v>
      </c>
      <c r="O1123" s="171">
        <f t="shared" si="71"/>
        <v>240799.32</v>
      </c>
    </row>
    <row r="1124" spans="1:15" x14ac:dyDescent="0.2">
      <c r="A1124" s="168">
        <v>1117</v>
      </c>
      <c r="B1124" s="159">
        <v>621.5876943517975</v>
      </c>
      <c r="C1124" s="169">
        <f t="shared" si="68"/>
        <v>694313.45459095784</v>
      </c>
      <c r="D1124" s="153"/>
      <c r="E1124" s="170">
        <v>1117</v>
      </c>
      <c r="F1124" s="162">
        <v>215.67688255226017</v>
      </c>
      <c r="G1124" s="171">
        <f t="shared" si="69"/>
        <v>240911.07781087462</v>
      </c>
      <c r="I1124" s="168">
        <v>1117</v>
      </c>
      <c r="J1124" s="159">
        <f>ROUND(B1124*('Model Data Inputs'!$E$184*'Model Data Inputs'!$E$185*'Model Data Inputs'!$E$186*'Model Data Inputs'!$E$187),2)</f>
        <v>621.59</v>
      </c>
      <c r="K1124" s="169">
        <f t="shared" si="70"/>
        <v>694316.03</v>
      </c>
      <c r="L1124" s="153"/>
      <c r="M1124" s="170">
        <v>1117</v>
      </c>
      <c r="N1124" s="164">
        <f>ROUND(F1124*('Model Data Inputs'!$E$184*'Model Data Inputs'!$E$185*'Model Data Inputs'!$E$186*'Model Data Inputs'!$E$187),2)</f>
        <v>215.68</v>
      </c>
      <c r="O1124" s="171">
        <f t="shared" si="71"/>
        <v>240914.56</v>
      </c>
    </row>
    <row r="1125" spans="1:15" x14ac:dyDescent="0.2">
      <c r="A1125" s="168">
        <v>1118</v>
      </c>
      <c r="B1125" s="159">
        <v>621.39883870013432</v>
      </c>
      <c r="C1125" s="169">
        <f t="shared" si="68"/>
        <v>694723.9016667502</v>
      </c>
      <c r="D1125" s="153"/>
      <c r="E1125" s="170">
        <v>1118</v>
      </c>
      <c r="F1125" s="162">
        <v>215.58249635078516</v>
      </c>
      <c r="G1125" s="171">
        <f t="shared" si="69"/>
        <v>241021.23092017783</v>
      </c>
      <c r="I1125" s="168">
        <v>1118</v>
      </c>
      <c r="J1125" s="159">
        <f>ROUND(B1125*('Model Data Inputs'!$E$184*'Model Data Inputs'!$E$185*'Model Data Inputs'!$E$186*'Model Data Inputs'!$E$187),2)</f>
        <v>621.4</v>
      </c>
      <c r="K1125" s="169">
        <f t="shared" si="70"/>
        <v>694725.2</v>
      </c>
      <c r="L1125" s="153"/>
      <c r="M1125" s="170">
        <v>1118</v>
      </c>
      <c r="N1125" s="164">
        <f>ROUND(F1125*('Model Data Inputs'!$E$184*'Model Data Inputs'!$E$185*'Model Data Inputs'!$E$186*'Model Data Inputs'!$E$187),2)</f>
        <v>215.58</v>
      </c>
      <c r="O1125" s="171">
        <f t="shared" si="71"/>
        <v>241018.44</v>
      </c>
    </row>
    <row r="1126" spans="1:15" x14ac:dyDescent="0.2">
      <c r="A1126" s="168">
        <v>1119</v>
      </c>
      <c r="B1126" s="159">
        <v>621.20998304847126</v>
      </c>
      <c r="C1126" s="169">
        <f t="shared" si="68"/>
        <v>695133.97103123937</v>
      </c>
      <c r="D1126" s="153"/>
      <c r="E1126" s="170">
        <v>1119</v>
      </c>
      <c r="F1126" s="162">
        <v>215.4881101493101</v>
      </c>
      <c r="G1126" s="171">
        <f t="shared" si="69"/>
        <v>241131.19525707801</v>
      </c>
      <c r="I1126" s="168">
        <v>1119</v>
      </c>
      <c r="J1126" s="159">
        <f>ROUND(B1126*('Model Data Inputs'!$E$184*'Model Data Inputs'!$E$185*'Model Data Inputs'!$E$186*'Model Data Inputs'!$E$187),2)</f>
        <v>621.21</v>
      </c>
      <c r="K1126" s="169">
        <f t="shared" si="70"/>
        <v>695133.99</v>
      </c>
      <c r="L1126" s="153"/>
      <c r="M1126" s="170">
        <v>1119</v>
      </c>
      <c r="N1126" s="164">
        <f>ROUND(F1126*('Model Data Inputs'!$E$184*'Model Data Inputs'!$E$185*'Model Data Inputs'!$E$186*'Model Data Inputs'!$E$187),2)</f>
        <v>215.49</v>
      </c>
      <c r="O1126" s="171">
        <f t="shared" si="71"/>
        <v>241133.31</v>
      </c>
    </row>
    <row r="1127" spans="1:15" x14ac:dyDescent="0.2">
      <c r="A1127" s="168">
        <v>1120</v>
      </c>
      <c r="B1127" s="159">
        <v>621.0211273968082</v>
      </c>
      <c r="C1127" s="169">
        <f t="shared" si="68"/>
        <v>695543.66268442513</v>
      </c>
      <c r="D1127" s="153"/>
      <c r="E1127" s="170">
        <v>1120</v>
      </c>
      <c r="F1127" s="162">
        <v>215.39372394783507</v>
      </c>
      <c r="G1127" s="171">
        <f t="shared" si="69"/>
        <v>241240.97082157529</v>
      </c>
      <c r="I1127" s="168">
        <v>1120</v>
      </c>
      <c r="J1127" s="159">
        <f>ROUND(B1127*('Model Data Inputs'!$E$184*'Model Data Inputs'!$E$185*'Model Data Inputs'!$E$186*'Model Data Inputs'!$E$187),2)</f>
        <v>621.02</v>
      </c>
      <c r="K1127" s="169">
        <f t="shared" si="70"/>
        <v>695542.4</v>
      </c>
      <c r="L1127" s="153"/>
      <c r="M1127" s="170">
        <v>1120</v>
      </c>
      <c r="N1127" s="164">
        <f>ROUND(F1127*('Model Data Inputs'!$E$184*'Model Data Inputs'!$E$185*'Model Data Inputs'!$E$186*'Model Data Inputs'!$E$187),2)</f>
        <v>215.39</v>
      </c>
      <c r="O1127" s="171">
        <f t="shared" si="71"/>
        <v>241236.8</v>
      </c>
    </row>
    <row r="1128" spans="1:15" x14ac:dyDescent="0.2">
      <c r="A1128" s="168">
        <v>1121</v>
      </c>
      <c r="B1128" s="159">
        <v>620.83227174514514</v>
      </c>
      <c r="C1128" s="169">
        <f t="shared" si="68"/>
        <v>695952.9766263077</v>
      </c>
      <c r="D1128" s="153"/>
      <c r="E1128" s="170">
        <v>1121</v>
      </c>
      <c r="F1128" s="162">
        <v>215.29933774636004</v>
      </c>
      <c r="G1128" s="171">
        <f t="shared" si="69"/>
        <v>241350.5576136696</v>
      </c>
      <c r="I1128" s="168">
        <v>1121</v>
      </c>
      <c r="J1128" s="159">
        <f>ROUND(B1128*('Model Data Inputs'!$E$184*'Model Data Inputs'!$E$185*'Model Data Inputs'!$E$186*'Model Data Inputs'!$E$187),2)</f>
        <v>620.83000000000004</v>
      </c>
      <c r="K1128" s="169">
        <f t="shared" si="70"/>
        <v>695950.43</v>
      </c>
      <c r="L1128" s="153"/>
      <c r="M1128" s="170">
        <v>1121</v>
      </c>
      <c r="N1128" s="164">
        <f>ROUND(F1128*('Model Data Inputs'!$E$184*'Model Data Inputs'!$E$185*'Model Data Inputs'!$E$186*'Model Data Inputs'!$E$187),2)</f>
        <v>215.3</v>
      </c>
      <c r="O1128" s="171">
        <f t="shared" si="71"/>
        <v>241351.30000000002</v>
      </c>
    </row>
    <row r="1129" spans="1:15" x14ac:dyDescent="0.2">
      <c r="A1129" s="168">
        <v>1122</v>
      </c>
      <c r="B1129" s="159">
        <v>620.64341609348207</v>
      </c>
      <c r="C1129" s="169">
        <f t="shared" si="68"/>
        <v>696361.91285688686</v>
      </c>
      <c r="D1129" s="153"/>
      <c r="E1129" s="170">
        <v>1122</v>
      </c>
      <c r="F1129" s="162">
        <v>215.20495154488498</v>
      </c>
      <c r="G1129" s="171">
        <f t="shared" si="69"/>
        <v>241459.95563336095</v>
      </c>
      <c r="I1129" s="168">
        <v>1122</v>
      </c>
      <c r="J1129" s="159">
        <f>ROUND(B1129*('Model Data Inputs'!$E$184*'Model Data Inputs'!$E$185*'Model Data Inputs'!$E$186*'Model Data Inputs'!$E$187),2)</f>
        <v>620.64</v>
      </c>
      <c r="K1129" s="169">
        <f t="shared" si="70"/>
        <v>696358.08</v>
      </c>
      <c r="L1129" s="153"/>
      <c r="M1129" s="170">
        <v>1122</v>
      </c>
      <c r="N1129" s="164">
        <f>ROUND(F1129*('Model Data Inputs'!$E$184*'Model Data Inputs'!$E$185*'Model Data Inputs'!$E$186*'Model Data Inputs'!$E$187),2)</f>
        <v>215.2</v>
      </c>
      <c r="O1129" s="171">
        <f t="shared" si="71"/>
        <v>241454.4</v>
      </c>
    </row>
    <row r="1130" spans="1:15" x14ac:dyDescent="0.2">
      <c r="A1130" s="168">
        <v>1123</v>
      </c>
      <c r="B1130" s="159">
        <v>620.45456044181878</v>
      </c>
      <c r="C1130" s="169">
        <f t="shared" si="68"/>
        <v>696770.47137616249</v>
      </c>
      <c r="D1130" s="153"/>
      <c r="E1130" s="170">
        <v>1123</v>
      </c>
      <c r="F1130" s="162">
        <v>215.11056534340995</v>
      </c>
      <c r="G1130" s="171">
        <f t="shared" si="69"/>
        <v>241569.16488064936</v>
      </c>
      <c r="I1130" s="168">
        <v>1123</v>
      </c>
      <c r="J1130" s="159">
        <f>ROUND(B1130*('Model Data Inputs'!$E$184*'Model Data Inputs'!$E$185*'Model Data Inputs'!$E$186*'Model Data Inputs'!$E$187),2)</f>
        <v>620.45000000000005</v>
      </c>
      <c r="K1130" s="169">
        <f t="shared" si="70"/>
        <v>696765.35000000009</v>
      </c>
      <c r="L1130" s="153"/>
      <c r="M1130" s="170">
        <v>1123</v>
      </c>
      <c r="N1130" s="164">
        <f>ROUND(F1130*('Model Data Inputs'!$E$184*'Model Data Inputs'!$E$185*'Model Data Inputs'!$E$186*'Model Data Inputs'!$E$187),2)</f>
        <v>215.11</v>
      </c>
      <c r="O1130" s="171">
        <f t="shared" si="71"/>
        <v>241568.53000000003</v>
      </c>
    </row>
    <row r="1131" spans="1:15" x14ac:dyDescent="0.2">
      <c r="A1131" s="168">
        <v>1124</v>
      </c>
      <c r="B1131" s="159">
        <v>620.26570479015584</v>
      </c>
      <c r="C1131" s="169">
        <f t="shared" si="68"/>
        <v>697178.65218413516</v>
      </c>
      <c r="D1131" s="153"/>
      <c r="E1131" s="170">
        <v>1124</v>
      </c>
      <c r="F1131" s="162">
        <v>215.01617914193497</v>
      </c>
      <c r="G1131" s="171">
        <f t="shared" si="69"/>
        <v>241678.18535553489</v>
      </c>
      <c r="I1131" s="168">
        <v>1124</v>
      </c>
      <c r="J1131" s="159">
        <f>ROUND(B1131*('Model Data Inputs'!$E$184*'Model Data Inputs'!$E$185*'Model Data Inputs'!$E$186*'Model Data Inputs'!$E$187),2)</f>
        <v>620.27</v>
      </c>
      <c r="K1131" s="169">
        <f t="shared" si="70"/>
        <v>697183.48</v>
      </c>
      <c r="L1131" s="153"/>
      <c r="M1131" s="170">
        <v>1124</v>
      </c>
      <c r="N1131" s="164">
        <f>ROUND(F1131*('Model Data Inputs'!$E$184*'Model Data Inputs'!$E$185*'Model Data Inputs'!$E$186*'Model Data Inputs'!$E$187),2)</f>
        <v>215.02</v>
      </c>
      <c r="O1131" s="171">
        <f t="shared" si="71"/>
        <v>241682.48</v>
      </c>
    </row>
    <row r="1132" spans="1:15" x14ac:dyDescent="0.2">
      <c r="A1132" s="168">
        <v>1125</v>
      </c>
      <c r="B1132" s="159">
        <v>620.07684913849278</v>
      </c>
      <c r="C1132" s="169">
        <f t="shared" si="68"/>
        <v>697586.45528080442</v>
      </c>
      <c r="D1132" s="153"/>
      <c r="E1132" s="170">
        <v>1125</v>
      </c>
      <c r="F1132" s="162">
        <v>214.92179294045991</v>
      </c>
      <c r="G1132" s="171">
        <f t="shared" si="69"/>
        <v>241787.0170580174</v>
      </c>
      <c r="I1132" s="168">
        <v>1125</v>
      </c>
      <c r="J1132" s="159">
        <f>ROUND(B1132*('Model Data Inputs'!$E$184*'Model Data Inputs'!$E$185*'Model Data Inputs'!$E$186*'Model Data Inputs'!$E$187),2)</f>
        <v>620.08000000000004</v>
      </c>
      <c r="K1132" s="169">
        <f t="shared" si="70"/>
        <v>697590</v>
      </c>
      <c r="L1132" s="153"/>
      <c r="M1132" s="170">
        <v>1125</v>
      </c>
      <c r="N1132" s="164">
        <f>ROUND(F1132*('Model Data Inputs'!$E$184*'Model Data Inputs'!$E$185*'Model Data Inputs'!$E$186*'Model Data Inputs'!$E$187),2)</f>
        <v>214.92</v>
      </c>
      <c r="O1132" s="171">
        <f t="shared" si="71"/>
        <v>241785</v>
      </c>
    </row>
    <row r="1133" spans="1:15" x14ac:dyDescent="0.2">
      <c r="A1133" s="168">
        <v>1126</v>
      </c>
      <c r="B1133" s="159">
        <v>619.8879934868296</v>
      </c>
      <c r="C1133" s="169">
        <f t="shared" si="68"/>
        <v>697993.88066617015</v>
      </c>
      <c r="D1133" s="153"/>
      <c r="E1133" s="170">
        <v>1126</v>
      </c>
      <c r="F1133" s="162">
        <v>214.82740673898488</v>
      </c>
      <c r="G1133" s="171">
        <f t="shared" si="69"/>
        <v>241895.65998809697</v>
      </c>
      <c r="I1133" s="168">
        <v>1126</v>
      </c>
      <c r="J1133" s="159">
        <f>ROUND(B1133*('Model Data Inputs'!$E$184*'Model Data Inputs'!$E$185*'Model Data Inputs'!$E$186*'Model Data Inputs'!$E$187),2)</f>
        <v>619.89</v>
      </c>
      <c r="K1133" s="169">
        <f t="shared" si="70"/>
        <v>697996.14</v>
      </c>
      <c r="L1133" s="153"/>
      <c r="M1133" s="170">
        <v>1126</v>
      </c>
      <c r="N1133" s="164">
        <f>ROUND(F1133*('Model Data Inputs'!$E$184*'Model Data Inputs'!$E$185*'Model Data Inputs'!$E$186*'Model Data Inputs'!$E$187),2)</f>
        <v>214.83</v>
      </c>
      <c r="O1133" s="171">
        <f t="shared" si="71"/>
        <v>241898.58000000002</v>
      </c>
    </row>
    <row r="1134" spans="1:15" x14ac:dyDescent="0.2">
      <c r="A1134" s="168">
        <v>1127</v>
      </c>
      <c r="B1134" s="159">
        <v>619.69913783516677</v>
      </c>
      <c r="C1134" s="169">
        <f t="shared" si="68"/>
        <v>698400.92834023293</v>
      </c>
      <c r="D1134" s="153"/>
      <c r="E1134" s="170">
        <v>1127</v>
      </c>
      <c r="F1134" s="162">
        <v>214.73302053750982</v>
      </c>
      <c r="G1134" s="171">
        <f t="shared" si="69"/>
        <v>242004.11414577355</v>
      </c>
      <c r="I1134" s="168">
        <v>1127</v>
      </c>
      <c r="J1134" s="159">
        <f>ROUND(B1134*('Model Data Inputs'!$E$184*'Model Data Inputs'!$E$185*'Model Data Inputs'!$E$186*'Model Data Inputs'!$E$187),2)</f>
        <v>619.70000000000005</v>
      </c>
      <c r="K1134" s="169">
        <f t="shared" si="70"/>
        <v>698401.9</v>
      </c>
      <c r="L1134" s="153"/>
      <c r="M1134" s="170">
        <v>1127</v>
      </c>
      <c r="N1134" s="164">
        <f>ROUND(F1134*('Model Data Inputs'!$E$184*'Model Data Inputs'!$E$185*'Model Data Inputs'!$E$186*'Model Data Inputs'!$E$187),2)</f>
        <v>214.73</v>
      </c>
      <c r="O1134" s="171">
        <f t="shared" si="71"/>
        <v>242000.71</v>
      </c>
    </row>
    <row r="1135" spans="1:15" x14ac:dyDescent="0.2">
      <c r="A1135" s="168">
        <v>1128</v>
      </c>
      <c r="B1135" s="159">
        <v>619.51028218350348</v>
      </c>
      <c r="C1135" s="169">
        <f t="shared" si="68"/>
        <v>698807.59830299194</v>
      </c>
      <c r="D1135" s="153"/>
      <c r="E1135" s="170">
        <v>1128</v>
      </c>
      <c r="F1135" s="162">
        <v>214.63863433603478</v>
      </c>
      <c r="G1135" s="171">
        <f t="shared" si="69"/>
        <v>242112.37953104725</v>
      </c>
      <c r="I1135" s="168">
        <v>1128</v>
      </c>
      <c r="J1135" s="159">
        <f>ROUND(B1135*('Model Data Inputs'!$E$184*'Model Data Inputs'!$E$185*'Model Data Inputs'!$E$186*'Model Data Inputs'!$E$187),2)</f>
        <v>619.51</v>
      </c>
      <c r="K1135" s="169">
        <f t="shared" si="70"/>
        <v>698807.28</v>
      </c>
      <c r="L1135" s="153"/>
      <c r="M1135" s="170">
        <v>1128</v>
      </c>
      <c r="N1135" s="164">
        <f>ROUND(F1135*('Model Data Inputs'!$E$184*'Model Data Inputs'!$E$185*'Model Data Inputs'!$E$186*'Model Data Inputs'!$E$187),2)</f>
        <v>214.64</v>
      </c>
      <c r="O1135" s="171">
        <f t="shared" si="71"/>
        <v>242113.91999999998</v>
      </c>
    </row>
    <row r="1136" spans="1:15" x14ac:dyDescent="0.2">
      <c r="A1136" s="168">
        <v>1129</v>
      </c>
      <c r="B1136" s="159">
        <v>619.3214265318403</v>
      </c>
      <c r="C1136" s="169">
        <f t="shared" si="68"/>
        <v>699213.89055444766</v>
      </c>
      <c r="D1136" s="153"/>
      <c r="E1136" s="170">
        <v>1129</v>
      </c>
      <c r="F1136" s="162">
        <v>214.54424813455972</v>
      </c>
      <c r="G1136" s="171">
        <f t="shared" si="69"/>
        <v>242220.45614391792</v>
      </c>
      <c r="I1136" s="168">
        <v>1129</v>
      </c>
      <c r="J1136" s="159">
        <f>ROUND(B1136*('Model Data Inputs'!$E$184*'Model Data Inputs'!$E$185*'Model Data Inputs'!$E$186*'Model Data Inputs'!$E$187),2)</f>
        <v>619.32000000000005</v>
      </c>
      <c r="K1136" s="169">
        <f t="shared" si="70"/>
        <v>699212.28</v>
      </c>
      <c r="L1136" s="153"/>
      <c r="M1136" s="170">
        <v>1129</v>
      </c>
      <c r="N1136" s="164">
        <f>ROUND(F1136*('Model Data Inputs'!$E$184*'Model Data Inputs'!$E$185*'Model Data Inputs'!$E$186*'Model Data Inputs'!$E$187),2)</f>
        <v>214.54</v>
      </c>
      <c r="O1136" s="171">
        <f t="shared" si="71"/>
        <v>242215.66</v>
      </c>
    </row>
    <row r="1137" spans="1:15" x14ac:dyDescent="0.2">
      <c r="A1137" s="168">
        <v>1130</v>
      </c>
      <c r="B1137" s="159">
        <v>619.13257088017713</v>
      </c>
      <c r="C1137" s="169">
        <f t="shared" si="68"/>
        <v>699619.80509460019</v>
      </c>
      <c r="D1137" s="153"/>
      <c r="E1137" s="170">
        <v>1130</v>
      </c>
      <c r="F1137" s="162">
        <v>214.44986193308469</v>
      </c>
      <c r="G1137" s="171">
        <f t="shared" si="69"/>
        <v>242328.34398438569</v>
      </c>
      <c r="I1137" s="168">
        <v>1130</v>
      </c>
      <c r="J1137" s="159">
        <f>ROUND(B1137*('Model Data Inputs'!$E$184*'Model Data Inputs'!$E$185*'Model Data Inputs'!$E$186*'Model Data Inputs'!$E$187),2)</f>
        <v>619.13</v>
      </c>
      <c r="K1137" s="169">
        <f t="shared" si="70"/>
        <v>699616.9</v>
      </c>
      <c r="L1137" s="153"/>
      <c r="M1137" s="170">
        <v>1130</v>
      </c>
      <c r="N1137" s="164">
        <f>ROUND(F1137*('Model Data Inputs'!$E$184*'Model Data Inputs'!$E$185*'Model Data Inputs'!$E$186*'Model Data Inputs'!$E$187),2)</f>
        <v>214.45</v>
      </c>
      <c r="O1137" s="171">
        <f t="shared" si="71"/>
        <v>242328.5</v>
      </c>
    </row>
    <row r="1138" spans="1:15" x14ac:dyDescent="0.2">
      <c r="A1138" s="168">
        <v>1131</v>
      </c>
      <c r="B1138" s="159">
        <v>618.94371522851429</v>
      </c>
      <c r="C1138" s="169">
        <f t="shared" si="68"/>
        <v>700025.34192344965</v>
      </c>
      <c r="D1138" s="153"/>
      <c r="E1138" s="170">
        <v>1131</v>
      </c>
      <c r="F1138" s="162">
        <v>214.35547573160969</v>
      </c>
      <c r="G1138" s="171">
        <f t="shared" si="69"/>
        <v>242436.04305245055</v>
      </c>
      <c r="I1138" s="168">
        <v>1131</v>
      </c>
      <c r="J1138" s="159">
        <f>ROUND(B1138*('Model Data Inputs'!$E$184*'Model Data Inputs'!$E$185*'Model Data Inputs'!$E$186*'Model Data Inputs'!$E$187),2)</f>
        <v>618.94000000000005</v>
      </c>
      <c r="K1138" s="169">
        <f t="shared" si="70"/>
        <v>700021.14</v>
      </c>
      <c r="L1138" s="153"/>
      <c r="M1138" s="170">
        <v>1131</v>
      </c>
      <c r="N1138" s="164">
        <f>ROUND(F1138*('Model Data Inputs'!$E$184*'Model Data Inputs'!$E$185*'Model Data Inputs'!$E$186*'Model Data Inputs'!$E$187),2)</f>
        <v>214.36</v>
      </c>
      <c r="O1138" s="171">
        <f t="shared" si="71"/>
        <v>242441.16</v>
      </c>
    </row>
    <row r="1139" spans="1:15" x14ac:dyDescent="0.2">
      <c r="A1139" s="168">
        <v>1132</v>
      </c>
      <c r="B1139" s="159">
        <v>618.75485957685112</v>
      </c>
      <c r="C1139" s="169">
        <f t="shared" si="68"/>
        <v>700430.50104099547</v>
      </c>
      <c r="D1139" s="153"/>
      <c r="E1139" s="170">
        <v>1132</v>
      </c>
      <c r="F1139" s="162">
        <v>214.26108953013463</v>
      </c>
      <c r="G1139" s="171">
        <f t="shared" si="69"/>
        <v>242543.55334811239</v>
      </c>
      <c r="I1139" s="168">
        <v>1132</v>
      </c>
      <c r="J1139" s="159">
        <f>ROUND(B1139*('Model Data Inputs'!$E$184*'Model Data Inputs'!$E$185*'Model Data Inputs'!$E$186*'Model Data Inputs'!$E$187),2)</f>
        <v>618.75</v>
      </c>
      <c r="K1139" s="169">
        <f t="shared" si="70"/>
        <v>700425</v>
      </c>
      <c r="L1139" s="153"/>
      <c r="M1139" s="170">
        <v>1132</v>
      </c>
      <c r="N1139" s="164">
        <f>ROUND(F1139*('Model Data Inputs'!$E$184*'Model Data Inputs'!$E$185*'Model Data Inputs'!$E$186*'Model Data Inputs'!$E$187),2)</f>
        <v>214.26</v>
      </c>
      <c r="O1139" s="171">
        <f t="shared" si="71"/>
        <v>242542.31999999998</v>
      </c>
    </row>
    <row r="1140" spans="1:15" x14ac:dyDescent="0.2">
      <c r="A1140" s="168">
        <v>1133</v>
      </c>
      <c r="B1140" s="159">
        <v>618.56600392518806</v>
      </c>
      <c r="C1140" s="169">
        <f t="shared" si="68"/>
        <v>700835.2824472381</v>
      </c>
      <c r="D1140" s="153"/>
      <c r="E1140" s="170">
        <v>1133</v>
      </c>
      <c r="F1140" s="162">
        <v>214.16670332865959</v>
      </c>
      <c r="G1140" s="171">
        <f t="shared" si="69"/>
        <v>242650.87487137131</v>
      </c>
      <c r="I1140" s="168">
        <v>1133</v>
      </c>
      <c r="J1140" s="159">
        <f>ROUND(B1140*('Model Data Inputs'!$E$184*'Model Data Inputs'!$E$185*'Model Data Inputs'!$E$186*'Model Data Inputs'!$E$187),2)</f>
        <v>618.57000000000005</v>
      </c>
      <c r="K1140" s="169">
        <f t="shared" si="70"/>
        <v>700839.81</v>
      </c>
      <c r="L1140" s="153"/>
      <c r="M1140" s="170">
        <v>1133</v>
      </c>
      <c r="N1140" s="164">
        <f>ROUND(F1140*('Model Data Inputs'!$E$184*'Model Data Inputs'!$E$185*'Model Data Inputs'!$E$186*'Model Data Inputs'!$E$187),2)</f>
        <v>214.17</v>
      </c>
      <c r="O1140" s="171">
        <f t="shared" si="71"/>
        <v>242654.61</v>
      </c>
    </row>
    <row r="1141" spans="1:15" x14ac:dyDescent="0.2">
      <c r="A1141" s="168">
        <v>1134</v>
      </c>
      <c r="B1141" s="159">
        <v>618.37714827352488</v>
      </c>
      <c r="C1141" s="169">
        <f t="shared" si="68"/>
        <v>701239.6861421772</v>
      </c>
      <c r="D1141" s="153"/>
      <c r="E1141" s="170">
        <v>1134</v>
      </c>
      <c r="F1141" s="162">
        <v>214.07231712718456</v>
      </c>
      <c r="G1141" s="171">
        <f t="shared" si="69"/>
        <v>242758.00762222731</v>
      </c>
      <c r="I1141" s="168">
        <v>1134</v>
      </c>
      <c r="J1141" s="159">
        <f>ROUND(B1141*('Model Data Inputs'!$E$184*'Model Data Inputs'!$E$185*'Model Data Inputs'!$E$186*'Model Data Inputs'!$E$187),2)</f>
        <v>618.38</v>
      </c>
      <c r="K1141" s="169">
        <f t="shared" si="70"/>
        <v>701242.92</v>
      </c>
      <c r="L1141" s="153"/>
      <c r="M1141" s="170">
        <v>1134</v>
      </c>
      <c r="N1141" s="164">
        <f>ROUND(F1141*('Model Data Inputs'!$E$184*'Model Data Inputs'!$E$185*'Model Data Inputs'!$E$186*'Model Data Inputs'!$E$187),2)</f>
        <v>214.07</v>
      </c>
      <c r="O1141" s="171">
        <f t="shared" si="71"/>
        <v>242755.38</v>
      </c>
    </row>
    <row r="1142" spans="1:15" x14ac:dyDescent="0.2">
      <c r="A1142" s="168">
        <v>1135</v>
      </c>
      <c r="B1142" s="159">
        <v>618.18829262186182</v>
      </c>
      <c r="C1142" s="169">
        <f t="shared" si="68"/>
        <v>701643.71212581312</v>
      </c>
      <c r="D1142" s="153"/>
      <c r="E1142" s="170">
        <v>1135</v>
      </c>
      <c r="F1142" s="162">
        <v>213.97793092570953</v>
      </c>
      <c r="G1142" s="171">
        <f t="shared" si="69"/>
        <v>242864.9516006803</v>
      </c>
      <c r="I1142" s="168">
        <v>1135</v>
      </c>
      <c r="J1142" s="159">
        <f>ROUND(B1142*('Model Data Inputs'!$E$184*'Model Data Inputs'!$E$185*'Model Data Inputs'!$E$186*'Model Data Inputs'!$E$187),2)</f>
        <v>618.19000000000005</v>
      </c>
      <c r="K1142" s="169">
        <f t="shared" si="70"/>
        <v>701645.65</v>
      </c>
      <c r="L1142" s="153"/>
      <c r="M1142" s="170">
        <v>1135</v>
      </c>
      <c r="N1142" s="164">
        <f>ROUND(F1142*('Model Data Inputs'!$E$184*'Model Data Inputs'!$E$185*'Model Data Inputs'!$E$186*'Model Data Inputs'!$E$187),2)</f>
        <v>213.98</v>
      </c>
      <c r="O1142" s="171">
        <f t="shared" si="71"/>
        <v>242867.3</v>
      </c>
    </row>
    <row r="1143" spans="1:15" x14ac:dyDescent="0.2">
      <c r="A1143" s="168">
        <v>1136</v>
      </c>
      <c r="B1143" s="159">
        <v>617.99943697019864</v>
      </c>
      <c r="C1143" s="169">
        <f t="shared" si="68"/>
        <v>702047.36039814563</v>
      </c>
      <c r="D1143" s="153"/>
      <c r="E1143" s="170">
        <v>1136</v>
      </c>
      <c r="F1143" s="162">
        <v>213.8835447242345</v>
      </c>
      <c r="G1143" s="171">
        <f t="shared" si="69"/>
        <v>242971.70680673039</v>
      </c>
      <c r="I1143" s="168">
        <v>1136</v>
      </c>
      <c r="J1143" s="159">
        <f>ROUND(B1143*('Model Data Inputs'!$E$184*'Model Data Inputs'!$E$185*'Model Data Inputs'!$E$186*'Model Data Inputs'!$E$187),2)</f>
        <v>618</v>
      </c>
      <c r="K1143" s="169">
        <f t="shared" si="70"/>
        <v>702048</v>
      </c>
      <c r="L1143" s="153"/>
      <c r="M1143" s="170">
        <v>1136</v>
      </c>
      <c r="N1143" s="164">
        <f>ROUND(F1143*('Model Data Inputs'!$E$184*'Model Data Inputs'!$E$185*'Model Data Inputs'!$E$186*'Model Data Inputs'!$E$187),2)</f>
        <v>213.88</v>
      </c>
      <c r="O1143" s="171">
        <f t="shared" si="71"/>
        <v>242967.67999999999</v>
      </c>
    </row>
    <row r="1144" spans="1:15" x14ac:dyDescent="0.2">
      <c r="A1144" s="168">
        <v>1137</v>
      </c>
      <c r="B1144" s="159">
        <v>617.81058131853581</v>
      </c>
      <c r="C1144" s="169">
        <f t="shared" si="68"/>
        <v>702450.63095917518</v>
      </c>
      <c r="D1144" s="153"/>
      <c r="E1144" s="170">
        <v>1137</v>
      </c>
      <c r="F1144" s="162">
        <v>213.78915852275941</v>
      </c>
      <c r="G1144" s="171">
        <f t="shared" si="69"/>
        <v>243078.27324037746</v>
      </c>
      <c r="I1144" s="168">
        <v>1137</v>
      </c>
      <c r="J1144" s="159">
        <f>ROUND(B1144*('Model Data Inputs'!$E$184*'Model Data Inputs'!$E$185*'Model Data Inputs'!$E$186*'Model Data Inputs'!$E$187),2)</f>
        <v>617.80999999999995</v>
      </c>
      <c r="K1144" s="169">
        <f t="shared" si="70"/>
        <v>702449.97</v>
      </c>
      <c r="L1144" s="153"/>
      <c r="M1144" s="170">
        <v>1137</v>
      </c>
      <c r="N1144" s="164">
        <f>ROUND(F1144*('Model Data Inputs'!$E$184*'Model Data Inputs'!$E$185*'Model Data Inputs'!$E$186*'Model Data Inputs'!$E$187),2)</f>
        <v>213.79</v>
      </c>
      <c r="O1144" s="171">
        <f t="shared" si="71"/>
        <v>243079.22999999998</v>
      </c>
    </row>
    <row r="1145" spans="1:15" x14ac:dyDescent="0.2">
      <c r="A1145" s="168">
        <v>1138</v>
      </c>
      <c r="B1145" s="159">
        <v>617.62172566687275</v>
      </c>
      <c r="C1145" s="169">
        <f t="shared" si="68"/>
        <v>702853.5238089012</v>
      </c>
      <c r="D1145" s="153"/>
      <c r="E1145" s="170">
        <v>1138</v>
      </c>
      <c r="F1145" s="162">
        <v>213.69477232128438</v>
      </c>
      <c r="G1145" s="171">
        <f t="shared" si="69"/>
        <v>243184.65090162162</v>
      </c>
      <c r="I1145" s="168">
        <v>1138</v>
      </c>
      <c r="J1145" s="159">
        <f>ROUND(B1145*('Model Data Inputs'!$E$184*'Model Data Inputs'!$E$185*'Model Data Inputs'!$E$186*'Model Data Inputs'!$E$187),2)</f>
        <v>617.62</v>
      </c>
      <c r="K1145" s="169">
        <f t="shared" si="70"/>
        <v>702851.56</v>
      </c>
      <c r="L1145" s="153"/>
      <c r="M1145" s="170">
        <v>1138</v>
      </c>
      <c r="N1145" s="164">
        <f>ROUND(F1145*('Model Data Inputs'!$E$184*'Model Data Inputs'!$E$185*'Model Data Inputs'!$E$186*'Model Data Inputs'!$E$187),2)</f>
        <v>213.69</v>
      </c>
      <c r="O1145" s="171">
        <f t="shared" si="71"/>
        <v>243179.22</v>
      </c>
    </row>
    <row r="1146" spans="1:15" x14ac:dyDescent="0.2">
      <c r="A1146" s="168">
        <v>1139</v>
      </c>
      <c r="B1146" s="159">
        <v>617.43287001520957</v>
      </c>
      <c r="C1146" s="169">
        <f t="shared" si="68"/>
        <v>703256.03894732369</v>
      </c>
      <c r="D1146" s="153"/>
      <c r="E1146" s="170">
        <v>1139</v>
      </c>
      <c r="F1146" s="162">
        <v>213.60038611980937</v>
      </c>
      <c r="G1146" s="171">
        <f t="shared" si="69"/>
        <v>243290.83979046287</v>
      </c>
      <c r="I1146" s="168">
        <v>1139</v>
      </c>
      <c r="J1146" s="159">
        <f>ROUND(B1146*('Model Data Inputs'!$E$184*'Model Data Inputs'!$E$185*'Model Data Inputs'!$E$186*'Model Data Inputs'!$E$187),2)</f>
        <v>617.42999999999995</v>
      </c>
      <c r="K1146" s="169">
        <f t="shared" si="70"/>
        <v>703252.7699999999</v>
      </c>
      <c r="L1146" s="153"/>
      <c r="M1146" s="170">
        <v>1139</v>
      </c>
      <c r="N1146" s="164">
        <f>ROUND(F1146*('Model Data Inputs'!$E$184*'Model Data Inputs'!$E$185*'Model Data Inputs'!$E$186*'Model Data Inputs'!$E$187),2)</f>
        <v>213.6</v>
      </c>
      <c r="O1146" s="171">
        <f t="shared" si="71"/>
        <v>243290.4</v>
      </c>
    </row>
    <row r="1147" spans="1:15" x14ac:dyDescent="0.2">
      <c r="A1147" s="168">
        <v>1140</v>
      </c>
      <c r="B1147" s="159">
        <v>617.24401436354663</v>
      </c>
      <c r="C1147" s="169">
        <f t="shared" si="68"/>
        <v>703658.17637444311</v>
      </c>
      <c r="D1147" s="153"/>
      <c r="E1147" s="170">
        <v>1140</v>
      </c>
      <c r="F1147" s="162">
        <v>213.50599991833431</v>
      </c>
      <c r="G1147" s="171">
        <f t="shared" si="69"/>
        <v>243396.83990690112</v>
      </c>
      <c r="I1147" s="168">
        <v>1140</v>
      </c>
      <c r="J1147" s="159">
        <f>ROUND(B1147*('Model Data Inputs'!$E$184*'Model Data Inputs'!$E$185*'Model Data Inputs'!$E$186*'Model Data Inputs'!$E$187),2)</f>
        <v>617.24</v>
      </c>
      <c r="K1147" s="169">
        <f t="shared" si="70"/>
        <v>703653.6</v>
      </c>
      <c r="L1147" s="153"/>
      <c r="M1147" s="170">
        <v>1140</v>
      </c>
      <c r="N1147" s="164">
        <f>ROUND(F1147*('Model Data Inputs'!$E$184*'Model Data Inputs'!$E$185*'Model Data Inputs'!$E$186*'Model Data Inputs'!$E$187),2)</f>
        <v>213.51</v>
      </c>
      <c r="O1147" s="171">
        <f t="shared" si="71"/>
        <v>243401.4</v>
      </c>
    </row>
    <row r="1148" spans="1:15" x14ac:dyDescent="0.2">
      <c r="A1148" s="168">
        <v>1141</v>
      </c>
      <c r="B1148" s="159">
        <v>617.05515871188334</v>
      </c>
      <c r="C1148" s="169">
        <f t="shared" si="68"/>
        <v>704059.93609025888</v>
      </c>
      <c r="D1148" s="153"/>
      <c r="E1148" s="170">
        <v>1141</v>
      </c>
      <c r="F1148" s="162">
        <v>213.41161371685931</v>
      </c>
      <c r="G1148" s="171">
        <f t="shared" si="69"/>
        <v>243502.65125093647</v>
      </c>
      <c r="I1148" s="168">
        <v>1141</v>
      </c>
      <c r="J1148" s="159">
        <f>ROUND(B1148*('Model Data Inputs'!$E$184*'Model Data Inputs'!$E$185*'Model Data Inputs'!$E$186*'Model Data Inputs'!$E$187),2)</f>
        <v>617.05999999999995</v>
      </c>
      <c r="K1148" s="169">
        <f t="shared" si="70"/>
        <v>704065.46</v>
      </c>
      <c r="L1148" s="153"/>
      <c r="M1148" s="170">
        <v>1141</v>
      </c>
      <c r="N1148" s="164">
        <f>ROUND(F1148*('Model Data Inputs'!$E$184*'Model Data Inputs'!$E$185*'Model Data Inputs'!$E$186*'Model Data Inputs'!$E$187),2)</f>
        <v>213.41</v>
      </c>
      <c r="O1148" s="171">
        <f t="shared" si="71"/>
        <v>243500.81</v>
      </c>
    </row>
    <row r="1149" spans="1:15" x14ac:dyDescent="0.2">
      <c r="A1149" s="168">
        <v>1142</v>
      </c>
      <c r="B1149" s="159">
        <v>616.86630306022039</v>
      </c>
      <c r="C1149" s="169">
        <f t="shared" si="68"/>
        <v>704461.3180947717</v>
      </c>
      <c r="D1149" s="153"/>
      <c r="E1149" s="170">
        <v>1142</v>
      </c>
      <c r="F1149" s="162">
        <v>213.31722751538425</v>
      </c>
      <c r="G1149" s="171">
        <f t="shared" si="69"/>
        <v>243608.27382256882</v>
      </c>
      <c r="I1149" s="168">
        <v>1142</v>
      </c>
      <c r="J1149" s="159">
        <f>ROUND(B1149*('Model Data Inputs'!$E$184*'Model Data Inputs'!$E$185*'Model Data Inputs'!$E$186*'Model Data Inputs'!$E$187),2)</f>
        <v>616.87</v>
      </c>
      <c r="K1149" s="169">
        <f t="shared" si="70"/>
        <v>704465.54</v>
      </c>
      <c r="L1149" s="153"/>
      <c r="M1149" s="170">
        <v>1142</v>
      </c>
      <c r="N1149" s="164">
        <f>ROUND(F1149*('Model Data Inputs'!$E$184*'Model Data Inputs'!$E$185*'Model Data Inputs'!$E$186*'Model Data Inputs'!$E$187),2)</f>
        <v>213.32</v>
      </c>
      <c r="O1149" s="171">
        <f t="shared" si="71"/>
        <v>243611.44</v>
      </c>
    </row>
    <row r="1150" spans="1:15" x14ac:dyDescent="0.2">
      <c r="A1150" s="168">
        <v>1143</v>
      </c>
      <c r="B1150" s="159">
        <v>616.6774474085571</v>
      </c>
      <c r="C1150" s="169">
        <f t="shared" si="68"/>
        <v>704862.32238798076</v>
      </c>
      <c r="D1150" s="153"/>
      <c r="E1150" s="170">
        <v>1143</v>
      </c>
      <c r="F1150" s="162">
        <v>213.22284131390924</v>
      </c>
      <c r="G1150" s="171">
        <f t="shared" si="69"/>
        <v>243713.70762179827</v>
      </c>
      <c r="I1150" s="168">
        <v>1143</v>
      </c>
      <c r="J1150" s="159">
        <f>ROUND(B1150*('Model Data Inputs'!$E$184*'Model Data Inputs'!$E$185*'Model Data Inputs'!$E$186*'Model Data Inputs'!$E$187),2)</f>
        <v>616.67999999999995</v>
      </c>
      <c r="K1150" s="169">
        <f t="shared" si="70"/>
        <v>704865.24</v>
      </c>
      <c r="L1150" s="153"/>
      <c r="M1150" s="170">
        <v>1143</v>
      </c>
      <c r="N1150" s="164">
        <f>ROUND(F1150*('Model Data Inputs'!$E$184*'Model Data Inputs'!$E$185*'Model Data Inputs'!$E$186*'Model Data Inputs'!$E$187),2)</f>
        <v>213.22</v>
      </c>
      <c r="O1150" s="171">
        <f t="shared" si="71"/>
        <v>243710.46</v>
      </c>
    </row>
    <row r="1151" spans="1:15" x14ac:dyDescent="0.2">
      <c r="A1151" s="168">
        <v>1144</v>
      </c>
      <c r="B1151" s="159">
        <v>616.48859175689404</v>
      </c>
      <c r="C1151" s="169">
        <f t="shared" si="68"/>
        <v>705262.94896988675</v>
      </c>
      <c r="D1151" s="153"/>
      <c r="E1151" s="170">
        <v>1144</v>
      </c>
      <c r="F1151" s="162">
        <v>213.12845511243418</v>
      </c>
      <c r="G1151" s="171">
        <f t="shared" si="69"/>
        <v>243818.95264862469</v>
      </c>
      <c r="I1151" s="168">
        <v>1144</v>
      </c>
      <c r="J1151" s="159">
        <f>ROUND(B1151*('Model Data Inputs'!$E$184*'Model Data Inputs'!$E$185*'Model Data Inputs'!$E$186*'Model Data Inputs'!$E$187),2)</f>
        <v>616.49</v>
      </c>
      <c r="K1151" s="169">
        <f t="shared" si="70"/>
        <v>705264.56</v>
      </c>
      <c r="L1151" s="153"/>
      <c r="M1151" s="170">
        <v>1144</v>
      </c>
      <c r="N1151" s="164">
        <f>ROUND(F1151*('Model Data Inputs'!$E$184*'Model Data Inputs'!$E$185*'Model Data Inputs'!$E$186*'Model Data Inputs'!$E$187),2)</f>
        <v>213.13</v>
      </c>
      <c r="O1151" s="171">
        <f t="shared" si="71"/>
        <v>243820.72</v>
      </c>
    </row>
    <row r="1152" spans="1:15" x14ac:dyDescent="0.2">
      <c r="A1152" s="168">
        <v>1145</v>
      </c>
      <c r="B1152" s="159">
        <v>616.29973610523098</v>
      </c>
      <c r="C1152" s="169">
        <f t="shared" si="68"/>
        <v>705663.19784048945</v>
      </c>
      <c r="D1152" s="153"/>
      <c r="E1152" s="170">
        <v>1145</v>
      </c>
      <c r="F1152" s="162">
        <v>213.03406891095915</v>
      </c>
      <c r="G1152" s="171">
        <f t="shared" si="69"/>
        <v>243924.00890304823</v>
      </c>
      <c r="I1152" s="168">
        <v>1145</v>
      </c>
      <c r="J1152" s="159">
        <f>ROUND(B1152*('Model Data Inputs'!$E$184*'Model Data Inputs'!$E$185*'Model Data Inputs'!$E$186*'Model Data Inputs'!$E$187),2)</f>
        <v>616.29999999999995</v>
      </c>
      <c r="K1152" s="169">
        <f t="shared" si="70"/>
        <v>705663.5</v>
      </c>
      <c r="L1152" s="153"/>
      <c r="M1152" s="170">
        <v>1145</v>
      </c>
      <c r="N1152" s="164">
        <f>ROUND(F1152*('Model Data Inputs'!$E$184*'Model Data Inputs'!$E$185*'Model Data Inputs'!$E$186*'Model Data Inputs'!$E$187),2)</f>
        <v>213.03</v>
      </c>
      <c r="O1152" s="171">
        <f t="shared" si="71"/>
        <v>243919.35</v>
      </c>
    </row>
    <row r="1153" spans="1:15" x14ac:dyDescent="0.2">
      <c r="A1153" s="168">
        <v>1146</v>
      </c>
      <c r="B1153" s="159">
        <v>616.11088045356814</v>
      </c>
      <c r="C1153" s="169">
        <f t="shared" si="68"/>
        <v>706063.06899978907</v>
      </c>
      <c r="D1153" s="153"/>
      <c r="E1153" s="170">
        <v>1146</v>
      </c>
      <c r="F1153" s="162">
        <v>212.93968270948412</v>
      </c>
      <c r="G1153" s="171">
        <f t="shared" si="69"/>
        <v>244028.87638506881</v>
      </c>
      <c r="I1153" s="168">
        <v>1146</v>
      </c>
      <c r="J1153" s="159">
        <f>ROUND(B1153*('Model Data Inputs'!$E$184*'Model Data Inputs'!$E$185*'Model Data Inputs'!$E$186*'Model Data Inputs'!$E$187),2)</f>
        <v>616.11</v>
      </c>
      <c r="K1153" s="169">
        <f t="shared" si="70"/>
        <v>706062.06</v>
      </c>
      <c r="L1153" s="153"/>
      <c r="M1153" s="170">
        <v>1146</v>
      </c>
      <c r="N1153" s="164">
        <f>ROUND(F1153*('Model Data Inputs'!$E$184*'Model Data Inputs'!$E$185*'Model Data Inputs'!$E$186*'Model Data Inputs'!$E$187),2)</f>
        <v>212.94</v>
      </c>
      <c r="O1153" s="171">
        <f t="shared" si="71"/>
        <v>244029.24</v>
      </c>
    </row>
    <row r="1154" spans="1:15" x14ac:dyDescent="0.2">
      <c r="A1154" s="168">
        <v>1147</v>
      </c>
      <c r="B1154" s="159">
        <v>615.92202480190485</v>
      </c>
      <c r="C1154" s="169">
        <f t="shared" si="68"/>
        <v>706462.56244778482</v>
      </c>
      <c r="D1154" s="153"/>
      <c r="E1154" s="170">
        <v>1147</v>
      </c>
      <c r="F1154" s="162">
        <v>212.84529650800906</v>
      </c>
      <c r="G1154" s="171">
        <f t="shared" si="69"/>
        <v>244133.5550946864</v>
      </c>
      <c r="I1154" s="168">
        <v>1147</v>
      </c>
      <c r="J1154" s="159">
        <f>ROUND(B1154*('Model Data Inputs'!$E$184*'Model Data Inputs'!$E$185*'Model Data Inputs'!$E$186*'Model Data Inputs'!$E$187),2)</f>
        <v>615.91999999999996</v>
      </c>
      <c r="K1154" s="169">
        <f t="shared" si="70"/>
        <v>706460.24</v>
      </c>
      <c r="L1154" s="153"/>
      <c r="M1154" s="170">
        <v>1147</v>
      </c>
      <c r="N1154" s="164">
        <f>ROUND(F1154*('Model Data Inputs'!$E$184*'Model Data Inputs'!$E$185*'Model Data Inputs'!$E$186*'Model Data Inputs'!$E$187),2)</f>
        <v>212.85</v>
      </c>
      <c r="O1154" s="171">
        <f t="shared" si="71"/>
        <v>244138.94999999998</v>
      </c>
    </row>
    <row r="1155" spans="1:15" x14ac:dyDescent="0.2">
      <c r="A1155" s="168">
        <v>1148</v>
      </c>
      <c r="B1155" s="159">
        <v>615.73316915024179</v>
      </c>
      <c r="C1155" s="169">
        <f t="shared" si="68"/>
        <v>706861.67818447761</v>
      </c>
      <c r="D1155" s="153"/>
      <c r="E1155" s="170">
        <v>1148</v>
      </c>
      <c r="F1155" s="162">
        <v>212.750910306534</v>
      </c>
      <c r="G1155" s="171">
        <f t="shared" si="69"/>
        <v>244238.04503190104</v>
      </c>
      <c r="I1155" s="168">
        <v>1148</v>
      </c>
      <c r="J1155" s="159">
        <f>ROUND(B1155*('Model Data Inputs'!$E$184*'Model Data Inputs'!$E$185*'Model Data Inputs'!$E$186*'Model Data Inputs'!$E$187),2)</f>
        <v>615.73</v>
      </c>
      <c r="K1155" s="169">
        <f t="shared" si="70"/>
        <v>706858.04</v>
      </c>
      <c r="L1155" s="153"/>
      <c r="M1155" s="170">
        <v>1148</v>
      </c>
      <c r="N1155" s="164">
        <f>ROUND(F1155*('Model Data Inputs'!$E$184*'Model Data Inputs'!$E$185*'Model Data Inputs'!$E$186*'Model Data Inputs'!$E$187),2)</f>
        <v>212.75</v>
      </c>
      <c r="O1155" s="171">
        <f t="shared" si="71"/>
        <v>244237</v>
      </c>
    </row>
    <row r="1156" spans="1:15" x14ac:dyDescent="0.2">
      <c r="A1156" s="168">
        <v>1149</v>
      </c>
      <c r="B1156" s="159">
        <v>615.54431349857862</v>
      </c>
      <c r="C1156" s="169">
        <f t="shared" si="68"/>
        <v>707260.41620986687</v>
      </c>
      <c r="D1156" s="153"/>
      <c r="E1156" s="170">
        <v>1149</v>
      </c>
      <c r="F1156" s="162">
        <v>212.65652410505896</v>
      </c>
      <c r="G1156" s="171">
        <f t="shared" si="69"/>
        <v>244342.34619671275</v>
      </c>
      <c r="I1156" s="168">
        <v>1149</v>
      </c>
      <c r="J1156" s="159">
        <f>ROUND(B1156*('Model Data Inputs'!$E$184*'Model Data Inputs'!$E$185*'Model Data Inputs'!$E$186*'Model Data Inputs'!$E$187),2)</f>
        <v>615.54</v>
      </c>
      <c r="K1156" s="169">
        <f t="shared" si="70"/>
        <v>707255.46</v>
      </c>
      <c r="L1156" s="153"/>
      <c r="M1156" s="170">
        <v>1149</v>
      </c>
      <c r="N1156" s="164">
        <f>ROUND(F1156*('Model Data Inputs'!$E$184*'Model Data Inputs'!$E$185*'Model Data Inputs'!$E$186*'Model Data Inputs'!$E$187),2)</f>
        <v>212.66</v>
      </c>
      <c r="O1156" s="171">
        <f t="shared" si="71"/>
        <v>244346.34</v>
      </c>
    </row>
    <row r="1157" spans="1:15" x14ac:dyDescent="0.2">
      <c r="A1157" s="168">
        <v>1150</v>
      </c>
      <c r="B1157" s="159">
        <v>615.35545784691567</v>
      </c>
      <c r="C1157" s="169">
        <f t="shared" si="68"/>
        <v>707658.77652395307</v>
      </c>
      <c r="D1157" s="153"/>
      <c r="E1157" s="170">
        <v>1150</v>
      </c>
      <c r="F1157" s="162">
        <v>212.56213790358393</v>
      </c>
      <c r="G1157" s="171">
        <f t="shared" si="69"/>
        <v>244446.45858912152</v>
      </c>
      <c r="I1157" s="168">
        <v>1150</v>
      </c>
      <c r="J1157" s="159">
        <f>ROUND(B1157*('Model Data Inputs'!$E$184*'Model Data Inputs'!$E$185*'Model Data Inputs'!$E$186*'Model Data Inputs'!$E$187),2)</f>
        <v>615.36</v>
      </c>
      <c r="K1157" s="169">
        <f t="shared" si="70"/>
        <v>707664</v>
      </c>
      <c r="L1157" s="153"/>
      <c r="M1157" s="170">
        <v>1150</v>
      </c>
      <c r="N1157" s="164">
        <f>ROUND(F1157*('Model Data Inputs'!$E$184*'Model Data Inputs'!$E$185*'Model Data Inputs'!$E$186*'Model Data Inputs'!$E$187),2)</f>
        <v>212.56</v>
      </c>
      <c r="O1157" s="171">
        <f t="shared" si="71"/>
        <v>244444</v>
      </c>
    </row>
    <row r="1158" spans="1:15" x14ac:dyDescent="0.2">
      <c r="A1158" s="168">
        <v>1151</v>
      </c>
      <c r="B1158" s="159">
        <v>615.16660219525249</v>
      </c>
      <c r="C1158" s="169">
        <f t="shared" si="68"/>
        <v>708056.75912673562</v>
      </c>
      <c r="D1158" s="153"/>
      <c r="E1158" s="170">
        <v>1151</v>
      </c>
      <c r="F1158" s="162">
        <v>212.4677517021089</v>
      </c>
      <c r="G1158" s="171">
        <f t="shared" si="69"/>
        <v>244550.38220912733</v>
      </c>
      <c r="I1158" s="168">
        <v>1151</v>
      </c>
      <c r="J1158" s="159">
        <f>ROUND(B1158*('Model Data Inputs'!$E$184*'Model Data Inputs'!$E$185*'Model Data Inputs'!$E$186*'Model Data Inputs'!$E$187),2)</f>
        <v>615.16999999999996</v>
      </c>
      <c r="K1158" s="169">
        <f t="shared" si="70"/>
        <v>708060.66999999993</v>
      </c>
      <c r="L1158" s="153"/>
      <c r="M1158" s="170">
        <v>1151</v>
      </c>
      <c r="N1158" s="164">
        <f>ROUND(F1158*('Model Data Inputs'!$E$184*'Model Data Inputs'!$E$185*'Model Data Inputs'!$E$186*'Model Data Inputs'!$E$187),2)</f>
        <v>212.47</v>
      </c>
      <c r="O1158" s="171">
        <f t="shared" si="71"/>
        <v>244552.97</v>
      </c>
    </row>
    <row r="1159" spans="1:15" x14ac:dyDescent="0.2">
      <c r="A1159" s="168">
        <v>1152</v>
      </c>
      <c r="B1159" s="159">
        <v>614.97774654358955</v>
      </c>
      <c r="C1159" s="169">
        <f t="shared" si="68"/>
        <v>708454.3640182151</v>
      </c>
      <c r="D1159" s="153"/>
      <c r="E1159" s="170">
        <v>1152</v>
      </c>
      <c r="F1159" s="162">
        <v>212.37336550063387</v>
      </c>
      <c r="G1159" s="171">
        <f t="shared" si="69"/>
        <v>244654.1170567302</v>
      </c>
      <c r="I1159" s="168">
        <v>1152</v>
      </c>
      <c r="J1159" s="159">
        <f>ROUND(B1159*('Model Data Inputs'!$E$184*'Model Data Inputs'!$E$185*'Model Data Inputs'!$E$186*'Model Data Inputs'!$E$187),2)</f>
        <v>614.98</v>
      </c>
      <c r="K1159" s="169">
        <f t="shared" si="70"/>
        <v>708456.95999999996</v>
      </c>
      <c r="L1159" s="153"/>
      <c r="M1159" s="170">
        <v>1152</v>
      </c>
      <c r="N1159" s="164">
        <f>ROUND(F1159*('Model Data Inputs'!$E$184*'Model Data Inputs'!$E$185*'Model Data Inputs'!$E$186*'Model Data Inputs'!$E$187),2)</f>
        <v>212.37</v>
      </c>
      <c r="O1159" s="171">
        <f t="shared" si="71"/>
        <v>244650.23999999999</v>
      </c>
    </row>
    <row r="1160" spans="1:15" x14ac:dyDescent="0.2">
      <c r="A1160" s="168">
        <v>1153</v>
      </c>
      <c r="B1160" s="159">
        <v>614.78889089192626</v>
      </c>
      <c r="C1160" s="169">
        <f t="shared" ref="C1160:C1223" si="72">A1160*B1160</f>
        <v>708851.59119839093</v>
      </c>
      <c r="D1160" s="153"/>
      <c r="E1160" s="170">
        <v>1153</v>
      </c>
      <c r="F1160" s="162">
        <v>212.27897929915886</v>
      </c>
      <c r="G1160" s="171">
        <f t="shared" ref="G1160:G1223" si="73">E1160*F1160</f>
        <v>244757.66313193017</v>
      </c>
      <c r="I1160" s="168">
        <v>1153</v>
      </c>
      <c r="J1160" s="159">
        <f>ROUND(B1160*('Model Data Inputs'!$E$184*'Model Data Inputs'!$E$185*'Model Data Inputs'!$E$186*'Model Data Inputs'!$E$187),2)</f>
        <v>614.79</v>
      </c>
      <c r="K1160" s="169">
        <f t="shared" ref="K1160:K1223" si="74">I1160*J1160</f>
        <v>708852.87</v>
      </c>
      <c r="L1160" s="153"/>
      <c r="M1160" s="170">
        <v>1153</v>
      </c>
      <c r="N1160" s="164">
        <f>ROUND(F1160*('Model Data Inputs'!$E$184*'Model Data Inputs'!$E$185*'Model Data Inputs'!$E$186*'Model Data Inputs'!$E$187),2)</f>
        <v>212.28</v>
      </c>
      <c r="O1160" s="171">
        <f t="shared" ref="O1160:O1223" si="75">M1160*N1160</f>
        <v>244758.84</v>
      </c>
    </row>
    <row r="1161" spans="1:15" x14ac:dyDescent="0.2">
      <c r="A1161" s="168">
        <v>1154</v>
      </c>
      <c r="B1161" s="159">
        <v>614.6000352402632</v>
      </c>
      <c r="C1161" s="169">
        <f t="shared" si="72"/>
        <v>709248.4406672637</v>
      </c>
      <c r="D1161" s="153"/>
      <c r="E1161" s="170">
        <v>1154</v>
      </c>
      <c r="F1161" s="162">
        <v>212.18459309768383</v>
      </c>
      <c r="G1161" s="171">
        <f t="shared" si="73"/>
        <v>244861.02043472714</v>
      </c>
      <c r="I1161" s="168">
        <v>1154</v>
      </c>
      <c r="J1161" s="159">
        <f>ROUND(B1161*('Model Data Inputs'!$E$184*'Model Data Inputs'!$E$185*'Model Data Inputs'!$E$186*'Model Data Inputs'!$E$187),2)</f>
        <v>614.6</v>
      </c>
      <c r="K1161" s="169">
        <f t="shared" si="74"/>
        <v>709248.4</v>
      </c>
      <c r="L1161" s="153"/>
      <c r="M1161" s="170">
        <v>1154</v>
      </c>
      <c r="N1161" s="164">
        <f>ROUND(F1161*('Model Data Inputs'!$E$184*'Model Data Inputs'!$E$185*'Model Data Inputs'!$E$186*'Model Data Inputs'!$E$187),2)</f>
        <v>212.18</v>
      </c>
      <c r="O1161" s="171">
        <f t="shared" si="75"/>
        <v>244855.72</v>
      </c>
    </row>
    <row r="1162" spans="1:15" x14ac:dyDescent="0.2">
      <c r="A1162" s="168">
        <v>1155</v>
      </c>
      <c r="B1162" s="159">
        <v>614.41117958860013</v>
      </c>
      <c r="C1162" s="169">
        <f t="shared" si="72"/>
        <v>709644.91242483316</v>
      </c>
      <c r="D1162" s="153"/>
      <c r="E1162" s="170">
        <v>1155</v>
      </c>
      <c r="F1162" s="162">
        <v>212.0902068962088</v>
      </c>
      <c r="G1162" s="171">
        <f t="shared" si="73"/>
        <v>244964.18896512117</v>
      </c>
      <c r="I1162" s="168">
        <v>1155</v>
      </c>
      <c r="J1162" s="159">
        <f>ROUND(B1162*('Model Data Inputs'!$E$184*'Model Data Inputs'!$E$185*'Model Data Inputs'!$E$186*'Model Data Inputs'!$E$187),2)</f>
        <v>614.41</v>
      </c>
      <c r="K1162" s="169">
        <f t="shared" si="74"/>
        <v>709643.54999999993</v>
      </c>
      <c r="L1162" s="153"/>
      <c r="M1162" s="170">
        <v>1155</v>
      </c>
      <c r="N1162" s="164">
        <f>ROUND(F1162*('Model Data Inputs'!$E$184*'Model Data Inputs'!$E$185*'Model Data Inputs'!$E$186*'Model Data Inputs'!$E$187),2)</f>
        <v>212.09</v>
      </c>
      <c r="O1162" s="171">
        <f t="shared" si="75"/>
        <v>244963.95</v>
      </c>
    </row>
    <row r="1163" spans="1:15" x14ac:dyDescent="0.2">
      <c r="A1163" s="168">
        <v>1156</v>
      </c>
      <c r="B1163" s="159">
        <v>614.22232393693707</v>
      </c>
      <c r="C1163" s="169">
        <f t="shared" si="72"/>
        <v>710041.00647109922</v>
      </c>
      <c r="D1163" s="153"/>
      <c r="E1163" s="170">
        <v>1156</v>
      </c>
      <c r="F1163" s="162">
        <v>211.99582069473377</v>
      </c>
      <c r="G1163" s="171">
        <f t="shared" si="73"/>
        <v>245067.16872311223</v>
      </c>
      <c r="I1163" s="168">
        <v>1156</v>
      </c>
      <c r="J1163" s="159">
        <f>ROUND(B1163*('Model Data Inputs'!$E$184*'Model Data Inputs'!$E$185*'Model Data Inputs'!$E$186*'Model Data Inputs'!$E$187),2)</f>
        <v>614.22</v>
      </c>
      <c r="K1163" s="169">
        <f t="shared" si="74"/>
        <v>710038.32000000007</v>
      </c>
      <c r="L1163" s="153"/>
      <c r="M1163" s="170">
        <v>1156</v>
      </c>
      <c r="N1163" s="164">
        <f>ROUND(F1163*('Model Data Inputs'!$E$184*'Model Data Inputs'!$E$185*'Model Data Inputs'!$E$186*'Model Data Inputs'!$E$187),2)</f>
        <v>212</v>
      </c>
      <c r="O1163" s="171">
        <f t="shared" si="75"/>
        <v>245072</v>
      </c>
    </row>
    <row r="1164" spans="1:15" x14ac:dyDescent="0.2">
      <c r="A1164" s="168">
        <v>1157</v>
      </c>
      <c r="B1164" s="159">
        <v>614.03346828527401</v>
      </c>
      <c r="C1164" s="169">
        <f t="shared" si="72"/>
        <v>710436.72280606208</v>
      </c>
      <c r="D1164" s="153"/>
      <c r="E1164" s="170">
        <v>1157</v>
      </c>
      <c r="F1164" s="162">
        <v>211.90143449325871</v>
      </c>
      <c r="G1164" s="171">
        <f t="shared" si="73"/>
        <v>245169.95970870033</v>
      </c>
      <c r="I1164" s="168">
        <v>1157</v>
      </c>
      <c r="J1164" s="159">
        <f>ROUND(B1164*('Model Data Inputs'!$E$184*'Model Data Inputs'!$E$185*'Model Data Inputs'!$E$186*'Model Data Inputs'!$E$187),2)</f>
        <v>614.03</v>
      </c>
      <c r="K1164" s="169">
        <f t="shared" si="74"/>
        <v>710432.71</v>
      </c>
      <c r="L1164" s="153"/>
      <c r="M1164" s="170">
        <v>1157</v>
      </c>
      <c r="N1164" s="164">
        <f>ROUND(F1164*('Model Data Inputs'!$E$184*'Model Data Inputs'!$E$185*'Model Data Inputs'!$E$186*'Model Data Inputs'!$E$187),2)</f>
        <v>211.9</v>
      </c>
      <c r="O1164" s="171">
        <f t="shared" si="75"/>
        <v>245168.30000000002</v>
      </c>
    </row>
    <row r="1165" spans="1:15" x14ac:dyDescent="0.2">
      <c r="A1165" s="168">
        <v>1158</v>
      </c>
      <c r="B1165" s="159">
        <v>613.84461263361106</v>
      </c>
      <c r="C1165" s="169">
        <f t="shared" si="72"/>
        <v>710832.06142972165</v>
      </c>
      <c r="D1165" s="153"/>
      <c r="E1165" s="170">
        <v>1158</v>
      </c>
      <c r="F1165" s="162">
        <v>211.80704829178367</v>
      </c>
      <c r="G1165" s="171">
        <f t="shared" si="73"/>
        <v>245272.5619218855</v>
      </c>
      <c r="I1165" s="168">
        <v>1158</v>
      </c>
      <c r="J1165" s="159">
        <f>ROUND(B1165*('Model Data Inputs'!$E$184*'Model Data Inputs'!$E$185*'Model Data Inputs'!$E$186*'Model Data Inputs'!$E$187),2)</f>
        <v>613.84</v>
      </c>
      <c r="K1165" s="169">
        <f t="shared" si="74"/>
        <v>710826.72000000009</v>
      </c>
      <c r="L1165" s="153"/>
      <c r="M1165" s="170">
        <v>1158</v>
      </c>
      <c r="N1165" s="164">
        <f>ROUND(F1165*('Model Data Inputs'!$E$184*'Model Data Inputs'!$E$185*'Model Data Inputs'!$E$186*'Model Data Inputs'!$E$187),2)</f>
        <v>211.81</v>
      </c>
      <c r="O1165" s="171">
        <f t="shared" si="75"/>
        <v>245275.98</v>
      </c>
    </row>
    <row r="1166" spans="1:15" x14ac:dyDescent="0.2">
      <c r="A1166" s="168">
        <v>1159</v>
      </c>
      <c r="B1166" s="159">
        <v>613.65575698194812</v>
      </c>
      <c r="C1166" s="169">
        <f t="shared" si="72"/>
        <v>711227.02234207792</v>
      </c>
      <c r="D1166" s="153"/>
      <c r="E1166" s="170">
        <v>1159</v>
      </c>
      <c r="F1166" s="162">
        <v>211.71266209030861</v>
      </c>
      <c r="G1166" s="171">
        <f t="shared" si="73"/>
        <v>245374.97536266767</v>
      </c>
      <c r="I1166" s="168">
        <v>1159</v>
      </c>
      <c r="J1166" s="159">
        <f>ROUND(B1166*('Model Data Inputs'!$E$184*'Model Data Inputs'!$E$185*'Model Data Inputs'!$E$186*'Model Data Inputs'!$E$187),2)</f>
        <v>613.66</v>
      </c>
      <c r="K1166" s="169">
        <f t="shared" si="74"/>
        <v>711231.94</v>
      </c>
      <c r="L1166" s="153"/>
      <c r="M1166" s="170">
        <v>1159</v>
      </c>
      <c r="N1166" s="164">
        <f>ROUND(F1166*('Model Data Inputs'!$E$184*'Model Data Inputs'!$E$185*'Model Data Inputs'!$E$186*'Model Data Inputs'!$E$187),2)</f>
        <v>211.71</v>
      </c>
      <c r="O1166" s="171">
        <f t="shared" si="75"/>
        <v>245371.89</v>
      </c>
    </row>
    <row r="1167" spans="1:15" x14ac:dyDescent="0.2">
      <c r="A1167" s="168">
        <v>1160</v>
      </c>
      <c r="B1167" s="159">
        <v>613.46690133028471</v>
      </c>
      <c r="C1167" s="169">
        <f t="shared" si="72"/>
        <v>711621.60554313031</v>
      </c>
      <c r="D1167" s="153"/>
      <c r="E1167" s="170">
        <v>1160</v>
      </c>
      <c r="F1167" s="162">
        <v>211.61827588883358</v>
      </c>
      <c r="G1167" s="171">
        <f t="shared" si="73"/>
        <v>245477.20003104696</v>
      </c>
      <c r="I1167" s="168">
        <v>1160</v>
      </c>
      <c r="J1167" s="159">
        <f>ROUND(B1167*('Model Data Inputs'!$E$184*'Model Data Inputs'!$E$185*'Model Data Inputs'!$E$186*'Model Data Inputs'!$E$187),2)</f>
        <v>613.47</v>
      </c>
      <c r="K1167" s="169">
        <f t="shared" si="74"/>
        <v>711625.20000000007</v>
      </c>
      <c r="L1167" s="153"/>
      <c r="M1167" s="170">
        <v>1160</v>
      </c>
      <c r="N1167" s="164">
        <f>ROUND(F1167*('Model Data Inputs'!$E$184*'Model Data Inputs'!$E$185*'Model Data Inputs'!$E$186*'Model Data Inputs'!$E$187),2)</f>
        <v>211.62</v>
      </c>
      <c r="O1167" s="171">
        <f t="shared" si="75"/>
        <v>245479.2</v>
      </c>
    </row>
    <row r="1168" spans="1:15" x14ac:dyDescent="0.2">
      <c r="A1168" s="168">
        <v>1161</v>
      </c>
      <c r="B1168" s="159">
        <v>613.27804567862165</v>
      </c>
      <c r="C1168" s="169">
        <f t="shared" si="72"/>
        <v>712015.81103287975</v>
      </c>
      <c r="D1168" s="153"/>
      <c r="E1168" s="170">
        <v>1161</v>
      </c>
      <c r="F1168" s="162">
        <v>211.52388968735852</v>
      </c>
      <c r="G1168" s="171">
        <f t="shared" si="73"/>
        <v>245579.23592702323</v>
      </c>
      <c r="I1168" s="168">
        <v>1161</v>
      </c>
      <c r="J1168" s="159">
        <f>ROUND(B1168*('Model Data Inputs'!$E$184*'Model Data Inputs'!$E$185*'Model Data Inputs'!$E$186*'Model Data Inputs'!$E$187),2)</f>
        <v>613.28</v>
      </c>
      <c r="K1168" s="169">
        <f t="shared" si="74"/>
        <v>712018.08</v>
      </c>
      <c r="L1168" s="153"/>
      <c r="M1168" s="170">
        <v>1161</v>
      </c>
      <c r="N1168" s="164">
        <f>ROUND(F1168*('Model Data Inputs'!$E$184*'Model Data Inputs'!$E$185*'Model Data Inputs'!$E$186*'Model Data Inputs'!$E$187),2)</f>
        <v>211.52</v>
      </c>
      <c r="O1168" s="171">
        <f t="shared" si="75"/>
        <v>245574.72</v>
      </c>
    </row>
    <row r="1169" spans="1:15" x14ac:dyDescent="0.2">
      <c r="A1169" s="168">
        <v>1162</v>
      </c>
      <c r="B1169" s="159">
        <v>613.08919002695859</v>
      </c>
      <c r="C1169" s="169">
        <f t="shared" si="72"/>
        <v>712409.63881132589</v>
      </c>
      <c r="D1169" s="153"/>
      <c r="E1169" s="170">
        <v>1162</v>
      </c>
      <c r="F1169" s="162">
        <v>211.42950348588349</v>
      </c>
      <c r="G1169" s="171">
        <f t="shared" si="73"/>
        <v>245681.08305059662</v>
      </c>
      <c r="I1169" s="168">
        <v>1162</v>
      </c>
      <c r="J1169" s="159">
        <f>ROUND(B1169*('Model Data Inputs'!$E$184*'Model Data Inputs'!$E$185*'Model Data Inputs'!$E$186*'Model Data Inputs'!$E$187),2)</f>
        <v>613.09</v>
      </c>
      <c r="K1169" s="169">
        <f t="shared" si="74"/>
        <v>712410.58000000007</v>
      </c>
      <c r="L1169" s="153"/>
      <c r="M1169" s="170">
        <v>1162</v>
      </c>
      <c r="N1169" s="164">
        <f>ROUND(F1169*('Model Data Inputs'!$E$184*'Model Data Inputs'!$E$185*'Model Data Inputs'!$E$186*'Model Data Inputs'!$E$187),2)</f>
        <v>211.43</v>
      </c>
      <c r="O1169" s="171">
        <f t="shared" si="75"/>
        <v>245681.66</v>
      </c>
    </row>
    <row r="1170" spans="1:15" x14ac:dyDescent="0.2">
      <c r="A1170" s="168">
        <v>1163</v>
      </c>
      <c r="B1170" s="159">
        <v>612.90033437529542</v>
      </c>
      <c r="C1170" s="169">
        <f t="shared" si="72"/>
        <v>712803.08887846861</v>
      </c>
      <c r="D1170" s="153"/>
      <c r="E1170" s="170">
        <v>1163</v>
      </c>
      <c r="F1170" s="162">
        <v>211.33511728440843</v>
      </c>
      <c r="G1170" s="171">
        <f t="shared" si="73"/>
        <v>245782.74140176701</v>
      </c>
      <c r="I1170" s="168">
        <v>1163</v>
      </c>
      <c r="J1170" s="159">
        <f>ROUND(B1170*('Model Data Inputs'!$E$184*'Model Data Inputs'!$E$185*'Model Data Inputs'!$E$186*'Model Data Inputs'!$E$187),2)</f>
        <v>612.9</v>
      </c>
      <c r="K1170" s="169">
        <f t="shared" si="74"/>
        <v>712802.7</v>
      </c>
      <c r="L1170" s="153"/>
      <c r="M1170" s="170">
        <v>1163</v>
      </c>
      <c r="N1170" s="164">
        <f>ROUND(F1170*('Model Data Inputs'!$E$184*'Model Data Inputs'!$E$185*'Model Data Inputs'!$E$186*'Model Data Inputs'!$E$187),2)</f>
        <v>211.34</v>
      </c>
      <c r="O1170" s="171">
        <f t="shared" si="75"/>
        <v>245788.42</v>
      </c>
    </row>
    <row r="1171" spans="1:15" x14ac:dyDescent="0.2">
      <c r="A1171" s="168">
        <v>1164</v>
      </c>
      <c r="B1171" s="159">
        <v>612.71147872363235</v>
      </c>
      <c r="C1171" s="169">
        <f t="shared" si="72"/>
        <v>713196.16123430803</v>
      </c>
      <c r="D1171" s="153"/>
      <c r="E1171" s="170">
        <v>1164</v>
      </c>
      <c r="F1171" s="162">
        <v>211.24073108293339</v>
      </c>
      <c r="G1171" s="171">
        <f t="shared" si="73"/>
        <v>245884.21098053447</v>
      </c>
      <c r="I1171" s="168">
        <v>1164</v>
      </c>
      <c r="J1171" s="159">
        <f>ROUND(B1171*('Model Data Inputs'!$E$184*'Model Data Inputs'!$E$185*'Model Data Inputs'!$E$186*'Model Data Inputs'!$E$187),2)</f>
        <v>612.71</v>
      </c>
      <c r="K1171" s="169">
        <f t="shared" si="74"/>
        <v>713194.44000000006</v>
      </c>
      <c r="L1171" s="153"/>
      <c r="M1171" s="170">
        <v>1164</v>
      </c>
      <c r="N1171" s="164">
        <f>ROUND(F1171*('Model Data Inputs'!$E$184*'Model Data Inputs'!$E$185*'Model Data Inputs'!$E$186*'Model Data Inputs'!$E$187),2)</f>
        <v>211.24</v>
      </c>
      <c r="O1171" s="171">
        <f t="shared" si="75"/>
        <v>245883.36000000002</v>
      </c>
    </row>
    <row r="1172" spans="1:15" x14ac:dyDescent="0.2">
      <c r="A1172" s="168">
        <v>1165</v>
      </c>
      <c r="B1172" s="159">
        <v>612.52262307196918</v>
      </c>
      <c r="C1172" s="169">
        <f t="shared" si="72"/>
        <v>713588.85587884404</v>
      </c>
      <c r="D1172" s="153"/>
      <c r="E1172" s="170">
        <v>1165</v>
      </c>
      <c r="F1172" s="162">
        <v>211.14634488145839</v>
      </c>
      <c r="G1172" s="171">
        <f t="shared" si="73"/>
        <v>245985.49178689902</v>
      </c>
      <c r="I1172" s="168">
        <v>1165</v>
      </c>
      <c r="J1172" s="159">
        <f>ROUND(B1172*('Model Data Inputs'!$E$184*'Model Data Inputs'!$E$185*'Model Data Inputs'!$E$186*'Model Data Inputs'!$E$187),2)</f>
        <v>612.52</v>
      </c>
      <c r="K1172" s="169">
        <f t="shared" si="74"/>
        <v>713585.79999999993</v>
      </c>
      <c r="L1172" s="153"/>
      <c r="M1172" s="170">
        <v>1165</v>
      </c>
      <c r="N1172" s="164">
        <f>ROUND(F1172*('Model Data Inputs'!$E$184*'Model Data Inputs'!$E$185*'Model Data Inputs'!$E$186*'Model Data Inputs'!$E$187),2)</f>
        <v>211.15</v>
      </c>
      <c r="O1172" s="171">
        <f t="shared" si="75"/>
        <v>245989.75</v>
      </c>
    </row>
    <row r="1173" spans="1:15" x14ac:dyDescent="0.2">
      <c r="A1173" s="168">
        <v>1166</v>
      </c>
      <c r="B1173" s="159">
        <v>612.33376742030623</v>
      </c>
      <c r="C1173" s="169">
        <f t="shared" si="72"/>
        <v>713981.1728120771</v>
      </c>
      <c r="D1173" s="153"/>
      <c r="E1173" s="170">
        <v>1166</v>
      </c>
      <c r="F1173" s="162">
        <v>211.05195867998336</v>
      </c>
      <c r="G1173" s="171">
        <f t="shared" si="73"/>
        <v>246086.5838208606</v>
      </c>
      <c r="I1173" s="168">
        <v>1166</v>
      </c>
      <c r="J1173" s="159">
        <f>ROUND(B1173*('Model Data Inputs'!$E$184*'Model Data Inputs'!$E$185*'Model Data Inputs'!$E$186*'Model Data Inputs'!$E$187),2)</f>
        <v>612.33000000000004</v>
      </c>
      <c r="K1173" s="169">
        <f t="shared" si="74"/>
        <v>713976.78</v>
      </c>
      <c r="L1173" s="153"/>
      <c r="M1173" s="170">
        <v>1166</v>
      </c>
      <c r="N1173" s="164">
        <f>ROUND(F1173*('Model Data Inputs'!$E$184*'Model Data Inputs'!$E$185*'Model Data Inputs'!$E$186*'Model Data Inputs'!$E$187),2)</f>
        <v>211.05</v>
      </c>
      <c r="O1173" s="171">
        <f t="shared" si="75"/>
        <v>246084.30000000002</v>
      </c>
    </row>
    <row r="1174" spans="1:15" x14ac:dyDescent="0.2">
      <c r="A1174" s="168">
        <v>1167</v>
      </c>
      <c r="B1174" s="159">
        <v>612.14491176864317</v>
      </c>
      <c r="C1174" s="169">
        <f t="shared" si="72"/>
        <v>714373.11203400663</v>
      </c>
      <c r="D1174" s="153"/>
      <c r="E1174" s="170">
        <v>1167</v>
      </c>
      <c r="F1174" s="162">
        <v>210.9575724785083</v>
      </c>
      <c r="G1174" s="171">
        <f t="shared" si="73"/>
        <v>246187.48708241919</v>
      </c>
      <c r="I1174" s="168">
        <v>1167</v>
      </c>
      <c r="J1174" s="159">
        <f>ROUND(B1174*('Model Data Inputs'!$E$184*'Model Data Inputs'!$E$185*'Model Data Inputs'!$E$186*'Model Data Inputs'!$E$187),2)</f>
        <v>612.14</v>
      </c>
      <c r="K1174" s="169">
        <f t="shared" si="74"/>
        <v>714367.38</v>
      </c>
      <c r="L1174" s="153"/>
      <c r="M1174" s="170">
        <v>1167</v>
      </c>
      <c r="N1174" s="164">
        <f>ROUND(F1174*('Model Data Inputs'!$E$184*'Model Data Inputs'!$E$185*'Model Data Inputs'!$E$186*'Model Data Inputs'!$E$187),2)</f>
        <v>210.96</v>
      </c>
      <c r="O1174" s="171">
        <f t="shared" si="75"/>
        <v>246190.32</v>
      </c>
    </row>
    <row r="1175" spans="1:15" x14ac:dyDescent="0.2">
      <c r="A1175" s="168">
        <v>1168</v>
      </c>
      <c r="B1175" s="159">
        <v>611.95605611698011</v>
      </c>
      <c r="C1175" s="169">
        <f t="shared" si="72"/>
        <v>714764.67354463274</v>
      </c>
      <c r="D1175" s="153"/>
      <c r="E1175" s="170">
        <v>1168</v>
      </c>
      <c r="F1175" s="162">
        <v>210.86318627703326</v>
      </c>
      <c r="G1175" s="171">
        <f t="shared" si="73"/>
        <v>246288.20157157484</v>
      </c>
      <c r="I1175" s="168">
        <v>1168</v>
      </c>
      <c r="J1175" s="159">
        <f>ROUND(B1175*('Model Data Inputs'!$E$184*'Model Data Inputs'!$E$185*'Model Data Inputs'!$E$186*'Model Data Inputs'!$E$187),2)</f>
        <v>611.96</v>
      </c>
      <c r="K1175" s="169">
        <f t="shared" si="74"/>
        <v>714769.28</v>
      </c>
      <c r="L1175" s="153"/>
      <c r="M1175" s="170">
        <v>1168</v>
      </c>
      <c r="N1175" s="164">
        <f>ROUND(F1175*('Model Data Inputs'!$E$184*'Model Data Inputs'!$E$185*'Model Data Inputs'!$E$186*'Model Data Inputs'!$E$187),2)</f>
        <v>210.86</v>
      </c>
      <c r="O1175" s="171">
        <f t="shared" si="75"/>
        <v>246284.48</v>
      </c>
    </row>
    <row r="1176" spans="1:15" x14ac:dyDescent="0.2">
      <c r="A1176" s="168">
        <v>1169</v>
      </c>
      <c r="B1176" s="159">
        <v>611.76720046531705</v>
      </c>
      <c r="C1176" s="169">
        <f t="shared" si="72"/>
        <v>715155.85734395566</v>
      </c>
      <c r="D1176" s="153"/>
      <c r="E1176" s="170">
        <v>1169</v>
      </c>
      <c r="F1176" s="162">
        <v>210.76880007555823</v>
      </c>
      <c r="G1176" s="171">
        <f t="shared" si="73"/>
        <v>246388.72728832759</v>
      </c>
      <c r="I1176" s="168">
        <v>1169</v>
      </c>
      <c r="J1176" s="159">
        <f>ROUND(B1176*('Model Data Inputs'!$E$184*'Model Data Inputs'!$E$185*'Model Data Inputs'!$E$186*'Model Data Inputs'!$E$187),2)</f>
        <v>611.77</v>
      </c>
      <c r="K1176" s="169">
        <f t="shared" si="74"/>
        <v>715159.13</v>
      </c>
      <c r="L1176" s="153"/>
      <c r="M1176" s="170">
        <v>1169</v>
      </c>
      <c r="N1176" s="164">
        <f>ROUND(F1176*('Model Data Inputs'!$E$184*'Model Data Inputs'!$E$185*'Model Data Inputs'!$E$186*'Model Data Inputs'!$E$187),2)</f>
        <v>210.77</v>
      </c>
      <c r="O1176" s="171">
        <f t="shared" si="75"/>
        <v>246390.13</v>
      </c>
    </row>
    <row r="1177" spans="1:15" x14ac:dyDescent="0.2">
      <c r="A1177" s="168">
        <v>1170</v>
      </c>
      <c r="B1177" s="159">
        <v>611.57834481365398</v>
      </c>
      <c r="C1177" s="169">
        <f t="shared" si="72"/>
        <v>715546.66343197518</v>
      </c>
      <c r="D1177" s="153"/>
      <c r="E1177" s="170">
        <v>1170</v>
      </c>
      <c r="F1177" s="162">
        <v>210.6744138740832</v>
      </c>
      <c r="G1177" s="171">
        <f t="shared" si="73"/>
        <v>246489.06423267734</v>
      </c>
      <c r="I1177" s="168">
        <v>1170</v>
      </c>
      <c r="J1177" s="159">
        <f>ROUND(B1177*('Model Data Inputs'!$E$184*'Model Data Inputs'!$E$185*'Model Data Inputs'!$E$186*'Model Data Inputs'!$E$187),2)</f>
        <v>611.58000000000004</v>
      </c>
      <c r="K1177" s="169">
        <f t="shared" si="74"/>
        <v>715548.60000000009</v>
      </c>
      <c r="L1177" s="153"/>
      <c r="M1177" s="170">
        <v>1170</v>
      </c>
      <c r="N1177" s="164">
        <f>ROUND(F1177*('Model Data Inputs'!$E$184*'Model Data Inputs'!$E$185*'Model Data Inputs'!$E$186*'Model Data Inputs'!$E$187),2)</f>
        <v>210.67</v>
      </c>
      <c r="O1177" s="171">
        <f t="shared" si="75"/>
        <v>246483.9</v>
      </c>
    </row>
    <row r="1178" spans="1:15" x14ac:dyDescent="0.2">
      <c r="A1178" s="168">
        <v>1171</v>
      </c>
      <c r="B1178" s="159">
        <v>611.38948916199092</v>
      </c>
      <c r="C1178" s="169">
        <f t="shared" si="72"/>
        <v>715937.09180869139</v>
      </c>
      <c r="D1178" s="153"/>
      <c r="E1178" s="170">
        <v>1171</v>
      </c>
      <c r="F1178" s="162">
        <v>210.58002767260817</v>
      </c>
      <c r="G1178" s="171">
        <f t="shared" si="73"/>
        <v>246589.21240462415</v>
      </c>
      <c r="I1178" s="168">
        <v>1171</v>
      </c>
      <c r="J1178" s="159">
        <f>ROUND(B1178*('Model Data Inputs'!$E$184*'Model Data Inputs'!$E$185*'Model Data Inputs'!$E$186*'Model Data Inputs'!$E$187),2)</f>
        <v>611.39</v>
      </c>
      <c r="K1178" s="169">
        <f t="shared" si="74"/>
        <v>715937.69</v>
      </c>
      <c r="L1178" s="153"/>
      <c r="M1178" s="170">
        <v>1171</v>
      </c>
      <c r="N1178" s="164">
        <f>ROUND(F1178*('Model Data Inputs'!$E$184*'Model Data Inputs'!$E$185*'Model Data Inputs'!$E$186*'Model Data Inputs'!$E$187),2)</f>
        <v>210.58</v>
      </c>
      <c r="O1178" s="171">
        <f t="shared" si="75"/>
        <v>246589.18000000002</v>
      </c>
    </row>
    <row r="1179" spans="1:15" x14ac:dyDescent="0.2">
      <c r="A1179" s="168">
        <v>1172</v>
      </c>
      <c r="B1179" s="159">
        <v>611.20063351032763</v>
      </c>
      <c r="C1179" s="169">
        <f t="shared" si="72"/>
        <v>716327.14247410395</v>
      </c>
      <c r="D1179" s="153"/>
      <c r="E1179" s="170">
        <v>1172</v>
      </c>
      <c r="F1179" s="162">
        <v>210.48564147113311</v>
      </c>
      <c r="G1179" s="171">
        <f t="shared" si="73"/>
        <v>246689.171804168</v>
      </c>
      <c r="I1179" s="168">
        <v>1172</v>
      </c>
      <c r="J1179" s="159">
        <f>ROUND(B1179*('Model Data Inputs'!$E$184*'Model Data Inputs'!$E$185*'Model Data Inputs'!$E$186*'Model Data Inputs'!$E$187),2)</f>
        <v>611.20000000000005</v>
      </c>
      <c r="K1179" s="169">
        <f t="shared" si="74"/>
        <v>716326.40000000002</v>
      </c>
      <c r="L1179" s="153"/>
      <c r="M1179" s="170">
        <v>1172</v>
      </c>
      <c r="N1179" s="164">
        <f>ROUND(F1179*('Model Data Inputs'!$E$184*'Model Data Inputs'!$E$185*'Model Data Inputs'!$E$186*'Model Data Inputs'!$E$187),2)</f>
        <v>210.49</v>
      </c>
      <c r="O1179" s="171">
        <f t="shared" si="75"/>
        <v>246694.28</v>
      </c>
    </row>
    <row r="1180" spans="1:15" x14ac:dyDescent="0.2">
      <c r="A1180" s="168">
        <v>1173</v>
      </c>
      <c r="B1180" s="159">
        <v>611.01177785866469</v>
      </c>
      <c r="C1180" s="169">
        <f t="shared" si="72"/>
        <v>716716.81542821368</v>
      </c>
      <c r="D1180" s="153"/>
      <c r="E1180" s="170">
        <v>1173</v>
      </c>
      <c r="F1180" s="162">
        <v>210.3912552696581</v>
      </c>
      <c r="G1180" s="171">
        <f t="shared" si="73"/>
        <v>246788.94243130897</v>
      </c>
      <c r="I1180" s="168">
        <v>1173</v>
      </c>
      <c r="J1180" s="159">
        <f>ROUND(B1180*('Model Data Inputs'!$E$184*'Model Data Inputs'!$E$185*'Model Data Inputs'!$E$186*'Model Data Inputs'!$E$187),2)</f>
        <v>611.01</v>
      </c>
      <c r="K1180" s="169">
        <f t="shared" si="74"/>
        <v>716714.73</v>
      </c>
      <c r="L1180" s="153"/>
      <c r="M1180" s="170">
        <v>1173</v>
      </c>
      <c r="N1180" s="164">
        <f>ROUND(F1180*('Model Data Inputs'!$E$184*'Model Data Inputs'!$E$185*'Model Data Inputs'!$E$186*'Model Data Inputs'!$E$187),2)</f>
        <v>210.39</v>
      </c>
      <c r="O1180" s="171">
        <f t="shared" si="75"/>
        <v>246787.46999999997</v>
      </c>
    </row>
    <row r="1181" spans="1:15" x14ac:dyDescent="0.2">
      <c r="A1181" s="168">
        <v>1174</v>
      </c>
      <c r="B1181" s="159">
        <v>610.82292220700162</v>
      </c>
      <c r="C1181" s="169">
        <f t="shared" si="72"/>
        <v>717106.11067101988</v>
      </c>
      <c r="D1181" s="153"/>
      <c r="E1181" s="170">
        <v>1174</v>
      </c>
      <c r="F1181" s="162">
        <v>210.29686906818304</v>
      </c>
      <c r="G1181" s="171">
        <f t="shared" si="73"/>
        <v>246888.52428604689</v>
      </c>
      <c r="I1181" s="168">
        <v>1174</v>
      </c>
      <c r="J1181" s="159">
        <f>ROUND(B1181*('Model Data Inputs'!$E$184*'Model Data Inputs'!$E$185*'Model Data Inputs'!$E$186*'Model Data Inputs'!$E$187),2)</f>
        <v>610.82000000000005</v>
      </c>
      <c r="K1181" s="169">
        <f t="shared" si="74"/>
        <v>717102.68</v>
      </c>
      <c r="L1181" s="153"/>
      <c r="M1181" s="170">
        <v>1174</v>
      </c>
      <c r="N1181" s="164">
        <f>ROUND(F1181*('Model Data Inputs'!$E$184*'Model Data Inputs'!$E$185*'Model Data Inputs'!$E$186*'Model Data Inputs'!$E$187),2)</f>
        <v>210.3</v>
      </c>
      <c r="O1181" s="171">
        <f t="shared" si="75"/>
        <v>246892.2</v>
      </c>
    </row>
    <row r="1182" spans="1:15" x14ac:dyDescent="0.2">
      <c r="A1182" s="168">
        <v>1175</v>
      </c>
      <c r="B1182" s="159">
        <v>610.63406655533845</v>
      </c>
      <c r="C1182" s="169">
        <f t="shared" si="72"/>
        <v>717495.02820252266</v>
      </c>
      <c r="D1182" s="153"/>
      <c r="E1182" s="170">
        <v>1175</v>
      </c>
      <c r="F1182" s="162">
        <v>210.20248286670801</v>
      </c>
      <c r="G1182" s="171">
        <f t="shared" si="73"/>
        <v>246987.91736838192</v>
      </c>
      <c r="I1182" s="168">
        <v>1175</v>
      </c>
      <c r="J1182" s="159">
        <f>ROUND(B1182*('Model Data Inputs'!$E$184*'Model Data Inputs'!$E$185*'Model Data Inputs'!$E$186*'Model Data Inputs'!$E$187),2)</f>
        <v>610.63</v>
      </c>
      <c r="K1182" s="169">
        <f t="shared" si="74"/>
        <v>717490.25</v>
      </c>
      <c r="L1182" s="153"/>
      <c r="M1182" s="170">
        <v>1175</v>
      </c>
      <c r="N1182" s="164">
        <f>ROUND(F1182*('Model Data Inputs'!$E$184*'Model Data Inputs'!$E$185*'Model Data Inputs'!$E$186*'Model Data Inputs'!$E$187),2)</f>
        <v>210.2</v>
      </c>
      <c r="O1182" s="171">
        <f t="shared" si="75"/>
        <v>246985</v>
      </c>
    </row>
    <row r="1183" spans="1:15" x14ac:dyDescent="0.2">
      <c r="A1183" s="168">
        <v>1176</v>
      </c>
      <c r="B1183" s="159">
        <v>610.44521090367539</v>
      </c>
      <c r="C1183" s="169">
        <f t="shared" si="72"/>
        <v>717883.56802272226</v>
      </c>
      <c r="D1183" s="153"/>
      <c r="E1183" s="170">
        <v>1176</v>
      </c>
      <c r="F1183" s="162">
        <v>210.10809666523301</v>
      </c>
      <c r="G1183" s="171">
        <f t="shared" si="73"/>
        <v>247087.12167831403</v>
      </c>
      <c r="I1183" s="168">
        <v>1176</v>
      </c>
      <c r="J1183" s="159">
        <f>ROUND(B1183*('Model Data Inputs'!$E$184*'Model Data Inputs'!$E$185*'Model Data Inputs'!$E$186*'Model Data Inputs'!$E$187),2)</f>
        <v>610.45000000000005</v>
      </c>
      <c r="K1183" s="169">
        <f t="shared" si="74"/>
        <v>717889.20000000007</v>
      </c>
      <c r="L1183" s="153"/>
      <c r="M1183" s="170">
        <v>1176</v>
      </c>
      <c r="N1183" s="164">
        <f>ROUND(F1183*('Model Data Inputs'!$E$184*'Model Data Inputs'!$E$185*'Model Data Inputs'!$E$186*'Model Data Inputs'!$E$187),2)</f>
        <v>210.11</v>
      </c>
      <c r="O1183" s="171">
        <f t="shared" si="75"/>
        <v>247089.36000000002</v>
      </c>
    </row>
    <row r="1184" spans="1:15" x14ac:dyDescent="0.2">
      <c r="A1184" s="168">
        <v>1177</v>
      </c>
      <c r="B1184" s="159">
        <v>610.25635525201233</v>
      </c>
      <c r="C1184" s="169">
        <f t="shared" si="72"/>
        <v>718271.73013161856</v>
      </c>
      <c r="D1184" s="153"/>
      <c r="E1184" s="170">
        <v>1177</v>
      </c>
      <c r="F1184" s="162">
        <v>210.01371046375797</v>
      </c>
      <c r="G1184" s="171">
        <f t="shared" si="73"/>
        <v>247186.13721584313</v>
      </c>
      <c r="I1184" s="168">
        <v>1177</v>
      </c>
      <c r="J1184" s="159">
        <f>ROUND(B1184*('Model Data Inputs'!$E$184*'Model Data Inputs'!$E$185*'Model Data Inputs'!$E$186*'Model Data Inputs'!$E$187),2)</f>
        <v>610.26</v>
      </c>
      <c r="K1184" s="169">
        <f t="shared" si="74"/>
        <v>718276.02</v>
      </c>
      <c r="L1184" s="153"/>
      <c r="M1184" s="170">
        <v>1177</v>
      </c>
      <c r="N1184" s="164">
        <f>ROUND(F1184*('Model Data Inputs'!$E$184*'Model Data Inputs'!$E$185*'Model Data Inputs'!$E$186*'Model Data Inputs'!$E$187),2)</f>
        <v>210.01</v>
      </c>
      <c r="O1184" s="171">
        <f t="shared" si="75"/>
        <v>247181.77</v>
      </c>
    </row>
    <row r="1185" spans="1:15" x14ac:dyDescent="0.2">
      <c r="A1185" s="168">
        <v>1178</v>
      </c>
      <c r="B1185" s="159">
        <v>610.06749960034904</v>
      </c>
      <c r="C1185" s="169">
        <f t="shared" si="72"/>
        <v>718659.51452921121</v>
      </c>
      <c r="D1185" s="153"/>
      <c r="E1185" s="170">
        <v>1178</v>
      </c>
      <c r="F1185" s="162">
        <v>209.91932426228288</v>
      </c>
      <c r="G1185" s="171">
        <f t="shared" si="73"/>
        <v>247284.96398096925</v>
      </c>
      <c r="I1185" s="168">
        <v>1178</v>
      </c>
      <c r="J1185" s="159">
        <f>ROUND(B1185*('Model Data Inputs'!$E$184*'Model Data Inputs'!$E$185*'Model Data Inputs'!$E$186*'Model Data Inputs'!$E$187),2)</f>
        <v>610.07000000000005</v>
      </c>
      <c r="K1185" s="169">
        <f t="shared" si="74"/>
        <v>718662.46000000008</v>
      </c>
      <c r="L1185" s="153"/>
      <c r="M1185" s="170">
        <v>1178</v>
      </c>
      <c r="N1185" s="164">
        <f>ROUND(F1185*('Model Data Inputs'!$E$184*'Model Data Inputs'!$E$185*'Model Data Inputs'!$E$186*'Model Data Inputs'!$E$187),2)</f>
        <v>209.92</v>
      </c>
      <c r="O1185" s="171">
        <f t="shared" si="75"/>
        <v>247285.75999999998</v>
      </c>
    </row>
    <row r="1186" spans="1:15" x14ac:dyDescent="0.2">
      <c r="A1186" s="168">
        <v>1179</v>
      </c>
      <c r="B1186" s="159">
        <v>609.87864394868609</v>
      </c>
      <c r="C1186" s="169">
        <f t="shared" si="72"/>
        <v>719046.92121550092</v>
      </c>
      <c r="D1186" s="153"/>
      <c r="E1186" s="170">
        <v>1179</v>
      </c>
      <c r="F1186" s="162">
        <v>209.82493806080785</v>
      </c>
      <c r="G1186" s="171">
        <f t="shared" si="73"/>
        <v>247383.60197369245</v>
      </c>
      <c r="I1186" s="168">
        <v>1179</v>
      </c>
      <c r="J1186" s="159">
        <f>ROUND(B1186*('Model Data Inputs'!$E$184*'Model Data Inputs'!$E$185*'Model Data Inputs'!$E$186*'Model Data Inputs'!$E$187),2)</f>
        <v>609.88</v>
      </c>
      <c r="K1186" s="169">
        <f t="shared" si="74"/>
        <v>719048.52</v>
      </c>
      <c r="L1186" s="153"/>
      <c r="M1186" s="170">
        <v>1179</v>
      </c>
      <c r="N1186" s="164">
        <f>ROUND(F1186*('Model Data Inputs'!$E$184*'Model Data Inputs'!$E$185*'Model Data Inputs'!$E$186*'Model Data Inputs'!$E$187),2)</f>
        <v>209.82</v>
      </c>
      <c r="O1186" s="171">
        <f t="shared" si="75"/>
        <v>247377.78</v>
      </c>
    </row>
    <row r="1187" spans="1:15" x14ac:dyDescent="0.2">
      <c r="A1187" s="168">
        <v>1180</v>
      </c>
      <c r="B1187" s="159">
        <v>609.68978829702303</v>
      </c>
      <c r="C1187" s="169">
        <f t="shared" si="72"/>
        <v>719433.9501904872</v>
      </c>
      <c r="D1187" s="153"/>
      <c r="E1187" s="170">
        <v>1180</v>
      </c>
      <c r="F1187" s="162">
        <v>209.73055185933282</v>
      </c>
      <c r="G1187" s="171">
        <f t="shared" si="73"/>
        <v>247482.05119401272</v>
      </c>
      <c r="I1187" s="168">
        <v>1180</v>
      </c>
      <c r="J1187" s="159">
        <f>ROUND(B1187*('Model Data Inputs'!$E$184*'Model Data Inputs'!$E$185*'Model Data Inputs'!$E$186*'Model Data Inputs'!$E$187),2)</f>
        <v>609.69000000000005</v>
      </c>
      <c r="K1187" s="169">
        <f t="shared" si="74"/>
        <v>719434.20000000007</v>
      </c>
      <c r="L1187" s="153"/>
      <c r="M1187" s="170">
        <v>1180</v>
      </c>
      <c r="N1187" s="164">
        <f>ROUND(F1187*('Model Data Inputs'!$E$184*'Model Data Inputs'!$E$185*'Model Data Inputs'!$E$186*'Model Data Inputs'!$E$187),2)</f>
        <v>209.73</v>
      </c>
      <c r="O1187" s="171">
        <f t="shared" si="75"/>
        <v>247481.4</v>
      </c>
    </row>
    <row r="1188" spans="1:15" x14ac:dyDescent="0.2">
      <c r="A1188" s="168">
        <v>1181</v>
      </c>
      <c r="B1188" s="159">
        <v>609.50093264536008</v>
      </c>
      <c r="C1188" s="169">
        <f t="shared" si="72"/>
        <v>719820.6014541703</v>
      </c>
      <c r="D1188" s="153"/>
      <c r="E1188" s="170">
        <v>1181</v>
      </c>
      <c r="F1188" s="162">
        <v>209.63616565785784</v>
      </c>
      <c r="G1188" s="171">
        <f t="shared" si="73"/>
        <v>247580.31164193011</v>
      </c>
      <c r="I1188" s="168">
        <v>1181</v>
      </c>
      <c r="J1188" s="159">
        <f>ROUND(B1188*('Model Data Inputs'!$E$184*'Model Data Inputs'!$E$185*'Model Data Inputs'!$E$186*'Model Data Inputs'!$E$187),2)</f>
        <v>609.5</v>
      </c>
      <c r="K1188" s="169">
        <f t="shared" si="74"/>
        <v>719819.5</v>
      </c>
      <c r="L1188" s="153"/>
      <c r="M1188" s="170">
        <v>1181</v>
      </c>
      <c r="N1188" s="164">
        <f>ROUND(F1188*('Model Data Inputs'!$E$184*'Model Data Inputs'!$E$185*'Model Data Inputs'!$E$186*'Model Data Inputs'!$E$187),2)</f>
        <v>209.64</v>
      </c>
      <c r="O1188" s="171">
        <f t="shared" si="75"/>
        <v>247584.84</v>
      </c>
    </row>
    <row r="1189" spans="1:15" x14ac:dyDescent="0.2">
      <c r="A1189" s="168">
        <v>1182</v>
      </c>
      <c r="B1189" s="159">
        <v>609.31207699369679</v>
      </c>
      <c r="C1189" s="169">
        <f t="shared" si="72"/>
        <v>720206.87500654964</v>
      </c>
      <c r="D1189" s="153"/>
      <c r="E1189" s="170">
        <v>1182</v>
      </c>
      <c r="F1189" s="162">
        <v>209.54177945638276</v>
      </c>
      <c r="G1189" s="171">
        <f t="shared" si="73"/>
        <v>247678.38331744442</v>
      </c>
      <c r="I1189" s="168">
        <v>1182</v>
      </c>
      <c r="J1189" s="159">
        <f>ROUND(B1189*('Model Data Inputs'!$E$184*'Model Data Inputs'!$E$185*'Model Data Inputs'!$E$186*'Model Data Inputs'!$E$187),2)</f>
        <v>609.30999999999995</v>
      </c>
      <c r="K1189" s="169">
        <f t="shared" si="74"/>
        <v>720204.41999999993</v>
      </c>
      <c r="L1189" s="153"/>
      <c r="M1189" s="170">
        <v>1182</v>
      </c>
      <c r="N1189" s="164">
        <f>ROUND(F1189*('Model Data Inputs'!$E$184*'Model Data Inputs'!$E$185*'Model Data Inputs'!$E$186*'Model Data Inputs'!$E$187),2)</f>
        <v>209.54</v>
      </c>
      <c r="O1189" s="171">
        <f t="shared" si="75"/>
        <v>247676.28</v>
      </c>
    </row>
    <row r="1190" spans="1:15" x14ac:dyDescent="0.2">
      <c r="A1190" s="168">
        <v>1183</v>
      </c>
      <c r="B1190" s="159">
        <v>609.12322134203384</v>
      </c>
      <c r="C1190" s="169">
        <f t="shared" si="72"/>
        <v>720592.77084762603</v>
      </c>
      <c r="D1190" s="153"/>
      <c r="E1190" s="170">
        <v>1183</v>
      </c>
      <c r="F1190" s="162">
        <v>209.44739325490772</v>
      </c>
      <c r="G1190" s="171">
        <f t="shared" si="73"/>
        <v>247776.26622055584</v>
      </c>
      <c r="I1190" s="168">
        <v>1183</v>
      </c>
      <c r="J1190" s="159">
        <f>ROUND(B1190*('Model Data Inputs'!$E$184*'Model Data Inputs'!$E$185*'Model Data Inputs'!$E$186*'Model Data Inputs'!$E$187),2)</f>
        <v>609.12</v>
      </c>
      <c r="K1190" s="169">
        <f t="shared" si="74"/>
        <v>720588.96</v>
      </c>
      <c r="L1190" s="153"/>
      <c r="M1190" s="170">
        <v>1183</v>
      </c>
      <c r="N1190" s="164">
        <f>ROUND(F1190*('Model Data Inputs'!$E$184*'Model Data Inputs'!$E$185*'Model Data Inputs'!$E$186*'Model Data Inputs'!$E$187),2)</f>
        <v>209.45</v>
      </c>
      <c r="O1190" s="171">
        <f t="shared" si="75"/>
        <v>247779.34999999998</v>
      </c>
    </row>
    <row r="1191" spans="1:15" x14ac:dyDescent="0.2">
      <c r="A1191" s="168">
        <v>1184</v>
      </c>
      <c r="B1191" s="159">
        <v>608.93436569037056</v>
      </c>
      <c r="C1191" s="169">
        <f t="shared" si="72"/>
        <v>720978.28897739877</v>
      </c>
      <c r="D1191" s="153"/>
      <c r="E1191" s="170">
        <v>1184</v>
      </c>
      <c r="F1191" s="162">
        <v>209.35300705343266</v>
      </c>
      <c r="G1191" s="171">
        <f t="shared" si="73"/>
        <v>247873.96035126428</v>
      </c>
      <c r="I1191" s="168">
        <v>1184</v>
      </c>
      <c r="J1191" s="159">
        <f>ROUND(B1191*('Model Data Inputs'!$E$184*'Model Data Inputs'!$E$185*'Model Data Inputs'!$E$186*'Model Data Inputs'!$E$187),2)</f>
        <v>608.92999999999995</v>
      </c>
      <c r="K1191" s="169">
        <f t="shared" si="74"/>
        <v>720973.12</v>
      </c>
      <c r="L1191" s="153"/>
      <c r="M1191" s="170">
        <v>1184</v>
      </c>
      <c r="N1191" s="164">
        <f>ROUND(F1191*('Model Data Inputs'!$E$184*'Model Data Inputs'!$E$185*'Model Data Inputs'!$E$186*'Model Data Inputs'!$E$187),2)</f>
        <v>209.35</v>
      </c>
      <c r="O1191" s="171">
        <f t="shared" si="75"/>
        <v>247870.4</v>
      </c>
    </row>
    <row r="1192" spans="1:15" x14ac:dyDescent="0.2">
      <c r="A1192" s="168">
        <v>1185</v>
      </c>
      <c r="B1192" s="159">
        <v>608.74551003870761</v>
      </c>
      <c r="C1192" s="169">
        <f t="shared" si="72"/>
        <v>721363.42939586856</v>
      </c>
      <c r="D1192" s="153"/>
      <c r="E1192" s="170">
        <v>1185</v>
      </c>
      <c r="F1192" s="162">
        <v>209.25862085195763</v>
      </c>
      <c r="G1192" s="171">
        <f t="shared" si="73"/>
        <v>247971.46570956981</v>
      </c>
      <c r="I1192" s="168">
        <v>1185</v>
      </c>
      <c r="J1192" s="159">
        <f>ROUND(B1192*('Model Data Inputs'!$E$184*'Model Data Inputs'!$E$185*'Model Data Inputs'!$E$186*'Model Data Inputs'!$E$187),2)</f>
        <v>608.75</v>
      </c>
      <c r="K1192" s="169">
        <f t="shared" si="74"/>
        <v>721368.75</v>
      </c>
      <c r="L1192" s="153"/>
      <c r="M1192" s="170">
        <v>1185</v>
      </c>
      <c r="N1192" s="164">
        <f>ROUND(F1192*('Model Data Inputs'!$E$184*'Model Data Inputs'!$E$185*'Model Data Inputs'!$E$186*'Model Data Inputs'!$E$187),2)</f>
        <v>209.26</v>
      </c>
      <c r="O1192" s="171">
        <f t="shared" si="75"/>
        <v>247973.09999999998</v>
      </c>
    </row>
    <row r="1193" spans="1:15" x14ac:dyDescent="0.2">
      <c r="A1193" s="168">
        <v>1186</v>
      </c>
      <c r="B1193" s="159">
        <v>608.55665438704489</v>
      </c>
      <c r="C1193" s="169">
        <f t="shared" si="72"/>
        <v>721748.19210303528</v>
      </c>
      <c r="D1193" s="153"/>
      <c r="E1193" s="170">
        <v>1186</v>
      </c>
      <c r="F1193" s="162">
        <v>209.1642346504826</v>
      </c>
      <c r="G1193" s="171">
        <f t="shared" si="73"/>
        <v>248068.78229547237</v>
      </c>
      <c r="I1193" s="168">
        <v>1186</v>
      </c>
      <c r="J1193" s="159">
        <f>ROUND(B1193*('Model Data Inputs'!$E$184*'Model Data Inputs'!$E$185*'Model Data Inputs'!$E$186*'Model Data Inputs'!$E$187),2)</f>
        <v>608.55999999999995</v>
      </c>
      <c r="K1193" s="169">
        <f t="shared" si="74"/>
        <v>721752.15999999992</v>
      </c>
      <c r="L1193" s="153"/>
      <c r="M1193" s="170">
        <v>1186</v>
      </c>
      <c r="N1193" s="164">
        <f>ROUND(F1193*('Model Data Inputs'!$E$184*'Model Data Inputs'!$E$185*'Model Data Inputs'!$E$186*'Model Data Inputs'!$E$187),2)</f>
        <v>209.16</v>
      </c>
      <c r="O1193" s="171">
        <f t="shared" si="75"/>
        <v>248063.76</v>
      </c>
    </row>
    <row r="1194" spans="1:15" x14ac:dyDescent="0.2">
      <c r="A1194" s="168">
        <v>1187</v>
      </c>
      <c r="B1194" s="159">
        <v>608.36779873538171</v>
      </c>
      <c r="C1194" s="169">
        <f t="shared" si="72"/>
        <v>722132.57709889812</v>
      </c>
      <c r="D1194" s="153"/>
      <c r="E1194" s="170">
        <v>1187</v>
      </c>
      <c r="F1194" s="162">
        <v>209.06984844900751</v>
      </c>
      <c r="G1194" s="171">
        <f t="shared" si="73"/>
        <v>248165.9101089719</v>
      </c>
      <c r="I1194" s="168">
        <v>1187</v>
      </c>
      <c r="J1194" s="159">
        <f>ROUND(B1194*('Model Data Inputs'!$E$184*'Model Data Inputs'!$E$185*'Model Data Inputs'!$E$186*'Model Data Inputs'!$E$187),2)</f>
        <v>608.37</v>
      </c>
      <c r="K1194" s="169">
        <f t="shared" si="74"/>
        <v>722135.19000000006</v>
      </c>
      <c r="L1194" s="153"/>
      <c r="M1194" s="170">
        <v>1187</v>
      </c>
      <c r="N1194" s="164">
        <f>ROUND(F1194*('Model Data Inputs'!$E$184*'Model Data Inputs'!$E$185*'Model Data Inputs'!$E$186*'Model Data Inputs'!$E$187),2)</f>
        <v>209.07</v>
      </c>
      <c r="O1194" s="171">
        <f t="shared" si="75"/>
        <v>248166.09</v>
      </c>
    </row>
    <row r="1195" spans="1:15" x14ac:dyDescent="0.2">
      <c r="A1195" s="168">
        <v>1188</v>
      </c>
      <c r="B1195" s="159">
        <v>608.17894308371876</v>
      </c>
      <c r="C1195" s="169">
        <f t="shared" si="72"/>
        <v>722516.5843834579</v>
      </c>
      <c r="D1195" s="153"/>
      <c r="E1195" s="170">
        <v>1188</v>
      </c>
      <c r="F1195" s="162">
        <v>208.97546224753253</v>
      </c>
      <c r="G1195" s="171">
        <f t="shared" si="73"/>
        <v>248262.84915006865</v>
      </c>
      <c r="I1195" s="168">
        <v>1188</v>
      </c>
      <c r="J1195" s="159">
        <f>ROUND(B1195*('Model Data Inputs'!$E$184*'Model Data Inputs'!$E$185*'Model Data Inputs'!$E$186*'Model Data Inputs'!$E$187),2)</f>
        <v>608.17999999999995</v>
      </c>
      <c r="K1195" s="169">
        <f t="shared" si="74"/>
        <v>722517.84</v>
      </c>
      <c r="L1195" s="153"/>
      <c r="M1195" s="170">
        <v>1188</v>
      </c>
      <c r="N1195" s="164">
        <f>ROUND(F1195*('Model Data Inputs'!$E$184*'Model Data Inputs'!$E$185*'Model Data Inputs'!$E$186*'Model Data Inputs'!$E$187),2)</f>
        <v>208.98</v>
      </c>
      <c r="O1195" s="171">
        <f t="shared" si="75"/>
        <v>248268.24</v>
      </c>
    </row>
    <row r="1196" spans="1:15" x14ac:dyDescent="0.2">
      <c r="A1196" s="168">
        <v>1189</v>
      </c>
      <c r="B1196" s="159">
        <v>607.9900874320557</v>
      </c>
      <c r="C1196" s="169">
        <f t="shared" si="72"/>
        <v>722900.21395671426</v>
      </c>
      <c r="D1196" s="153"/>
      <c r="E1196" s="170">
        <v>1189</v>
      </c>
      <c r="F1196" s="162">
        <v>208.88107604605747</v>
      </c>
      <c r="G1196" s="171">
        <f t="shared" si="73"/>
        <v>248359.59941876234</v>
      </c>
      <c r="I1196" s="168">
        <v>1189</v>
      </c>
      <c r="J1196" s="159">
        <f>ROUND(B1196*('Model Data Inputs'!$E$184*'Model Data Inputs'!$E$185*'Model Data Inputs'!$E$186*'Model Data Inputs'!$E$187),2)</f>
        <v>607.99</v>
      </c>
      <c r="K1196" s="169">
        <f t="shared" si="74"/>
        <v>722900.11</v>
      </c>
      <c r="L1196" s="153"/>
      <c r="M1196" s="170">
        <v>1189</v>
      </c>
      <c r="N1196" s="164">
        <f>ROUND(F1196*('Model Data Inputs'!$E$184*'Model Data Inputs'!$E$185*'Model Data Inputs'!$E$186*'Model Data Inputs'!$E$187),2)</f>
        <v>208.88</v>
      </c>
      <c r="O1196" s="171">
        <f t="shared" si="75"/>
        <v>248358.32</v>
      </c>
    </row>
    <row r="1197" spans="1:15" x14ac:dyDescent="0.2">
      <c r="A1197" s="168">
        <v>1190</v>
      </c>
      <c r="B1197" s="159">
        <v>607.80123178039275</v>
      </c>
      <c r="C1197" s="169">
        <f t="shared" si="72"/>
        <v>723283.46581866744</v>
      </c>
      <c r="D1197" s="153"/>
      <c r="E1197" s="170">
        <v>1190</v>
      </c>
      <c r="F1197" s="162">
        <v>208.78668984458244</v>
      </c>
      <c r="G1197" s="171">
        <f t="shared" si="73"/>
        <v>248456.1609150531</v>
      </c>
      <c r="I1197" s="168">
        <v>1190</v>
      </c>
      <c r="J1197" s="159">
        <f>ROUND(B1197*('Model Data Inputs'!$E$184*'Model Data Inputs'!$E$185*'Model Data Inputs'!$E$186*'Model Data Inputs'!$E$187),2)</f>
        <v>607.79999999999995</v>
      </c>
      <c r="K1197" s="169">
        <f t="shared" si="74"/>
        <v>723282</v>
      </c>
      <c r="L1197" s="153"/>
      <c r="M1197" s="170">
        <v>1190</v>
      </c>
      <c r="N1197" s="164">
        <f>ROUND(F1197*('Model Data Inputs'!$E$184*'Model Data Inputs'!$E$185*'Model Data Inputs'!$E$186*'Model Data Inputs'!$E$187),2)</f>
        <v>208.79</v>
      </c>
      <c r="O1197" s="171">
        <f t="shared" si="75"/>
        <v>248460.09999999998</v>
      </c>
    </row>
    <row r="1198" spans="1:15" x14ac:dyDescent="0.2">
      <c r="A1198" s="168">
        <v>1191</v>
      </c>
      <c r="B1198" s="159">
        <v>607.61237612872947</v>
      </c>
      <c r="C1198" s="169">
        <f t="shared" si="72"/>
        <v>723666.33996931685</v>
      </c>
      <c r="D1198" s="153"/>
      <c r="E1198" s="170">
        <v>1191</v>
      </c>
      <c r="F1198" s="162">
        <v>208.69230364310741</v>
      </c>
      <c r="G1198" s="171">
        <f t="shared" si="73"/>
        <v>248552.53363894092</v>
      </c>
      <c r="I1198" s="168">
        <v>1191</v>
      </c>
      <c r="J1198" s="159">
        <f>ROUND(B1198*('Model Data Inputs'!$E$184*'Model Data Inputs'!$E$185*'Model Data Inputs'!$E$186*'Model Data Inputs'!$E$187),2)</f>
        <v>607.61</v>
      </c>
      <c r="K1198" s="169">
        <f t="shared" si="74"/>
        <v>723663.51</v>
      </c>
      <c r="L1198" s="153"/>
      <c r="M1198" s="170">
        <v>1191</v>
      </c>
      <c r="N1198" s="164">
        <f>ROUND(F1198*('Model Data Inputs'!$E$184*'Model Data Inputs'!$E$185*'Model Data Inputs'!$E$186*'Model Data Inputs'!$E$187),2)</f>
        <v>208.69</v>
      </c>
      <c r="O1198" s="171">
        <f t="shared" si="75"/>
        <v>248549.79</v>
      </c>
    </row>
    <row r="1199" spans="1:15" x14ac:dyDescent="0.2">
      <c r="A1199" s="168">
        <v>1192</v>
      </c>
      <c r="B1199" s="159">
        <v>607.4235204770664</v>
      </c>
      <c r="C1199" s="169">
        <f t="shared" si="72"/>
        <v>724048.83640866319</v>
      </c>
      <c r="D1199" s="153"/>
      <c r="E1199" s="170">
        <v>1192</v>
      </c>
      <c r="F1199" s="162">
        <v>208.59791744163238</v>
      </c>
      <c r="G1199" s="171">
        <f t="shared" si="73"/>
        <v>248648.7175904258</v>
      </c>
      <c r="I1199" s="168">
        <v>1192</v>
      </c>
      <c r="J1199" s="159">
        <f>ROUND(B1199*('Model Data Inputs'!$E$184*'Model Data Inputs'!$E$185*'Model Data Inputs'!$E$186*'Model Data Inputs'!$E$187),2)</f>
        <v>607.41999999999996</v>
      </c>
      <c r="K1199" s="169">
        <f t="shared" si="74"/>
        <v>724044.6399999999</v>
      </c>
      <c r="L1199" s="153"/>
      <c r="M1199" s="170">
        <v>1192</v>
      </c>
      <c r="N1199" s="164">
        <f>ROUND(F1199*('Model Data Inputs'!$E$184*'Model Data Inputs'!$E$185*'Model Data Inputs'!$E$186*'Model Data Inputs'!$E$187),2)</f>
        <v>208.6</v>
      </c>
      <c r="O1199" s="171">
        <f t="shared" si="75"/>
        <v>248651.19999999998</v>
      </c>
    </row>
    <row r="1200" spans="1:15" x14ac:dyDescent="0.2">
      <c r="A1200" s="168">
        <v>1193</v>
      </c>
      <c r="B1200" s="159">
        <v>607.23466482540346</v>
      </c>
      <c r="C1200" s="169">
        <f t="shared" si="72"/>
        <v>724430.95513670635</v>
      </c>
      <c r="D1200" s="153"/>
      <c r="E1200" s="170">
        <v>1193</v>
      </c>
      <c r="F1200" s="162">
        <v>208.50353124015732</v>
      </c>
      <c r="G1200" s="171">
        <f t="shared" si="73"/>
        <v>248744.71276950766</v>
      </c>
      <c r="I1200" s="168">
        <v>1193</v>
      </c>
      <c r="J1200" s="159">
        <f>ROUND(B1200*('Model Data Inputs'!$E$184*'Model Data Inputs'!$E$185*'Model Data Inputs'!$E$186*'Model Data Inputs'!$E$187),2)</f>
        <v>607.23</v>
      </c>
      <c r="K1200" s="169">
        <f t="shared" si="74"/>
        <v>724425.39</v>
      </c>
      <c r="L1200" s="153"/>
      <c r="M1200" s="170">
        <v>1193</v>
      </c>
      <c r="N1200" s="164">
        <f>ROUND(F1200*('Model Data Inputs'!$E$184*'Model Data Inputs'!$E$185*'Model Data Inputs'!$E$186*'Model Data Inputs'!$E$187),2)</f>
        <v>208.5</v>
      </c>
      <c r="O1200" s="171">
        <f t="shared" si="75"/>
        <v>248740.5</v>
      </c>
    </row>
    <row r="1201" spans="1:15" x14ac:dyDescent="0.2">
      <c r="A1201" s="168">
        <v>1194</v>
      </c>
      <c r="B1201" s="159">
        <v>607.04580917374062</v>
      </c>
      <c r="C1201" s="169">
        <f t="shared" si="72"/>
        <v>724812.69615344633</v>
      </c>
      <c r="D1201" s="153"/>
      <c r="E1201" s="170">
        <v>1194</v>
      </c>
      <c r="F1201" s="162">
        <v>208.40914503868228</v>
      </c>
      <c r="G1201" s="171">
        <f t="shared" si="73"/>
        <v>248840.51917618664</v>
      </c>
      <c r="I1201" s="168">
        <v>1194</v>
      </c>
      <c r="J1201" s="159">
        <f>ROUND(B1201*('Model Data Inputs'!$E$184*'Model Data Inputs'!$E$185*'Model Data Inputs'!$E$186*'Model Data Inputs'!$E$187),2)</f>
        <v>607.04999999999995</v>
      </c>
      <c r="K1201" s="169">
        <f t="shared" si="74"/>
        <v>724817.7</v>
      </c>
      <c r="L1201" s="153"/>
      <c r="M1201" s="170">
        <v>1194</v>
      </c>
      <c r="N1201" s="164">
        <f>ROUND(F1201*('Model Data Inputs'!$E$184*'Model Data Inputs'!$E$185*'Model Data Inputs'!$E$186*'Model Data Inputs'!$E$187),2)</f>
        <v>208.41</v>
      </c>
      <c r="O1201" s="171">
        <f t="shared" si="75"/>
        <v>248841.54</v>
      </c>
    </row>
    <row r="1202" spans="1:15" x14ac:dyDescent="0.2">
      <c r="A1202" s="168">
        <v>1195</v>
      </c>
      <c r="B1202" s="159">
        <v>606.85695352207745</v>
      </c>
      <c r="C1202" s="169">
        <f t="shared" si="72"/>
        <v>725194.05945888255</v>
      </c>
      <c r="D1202" s="153"/>
      <c r="E1202" s="170">
        <v>1195</v>
      </c>
      <c r="F1202" s="162">
        <v>208.31475883720728</v>
      </c>
      <c r="G1202" s="171">
        <f t="shared" si="73"/>
        <v>248936.13681046269</v>
      </c>
      <c r="I1202" s="168">
        <v>1195</v>
      </c>
      <c r="J1202" s="159">
        <f>ROUND(B1202*('Model Data Inputs'!$E$184*'Model Data Inputs'!$E$185*'Model Data Inputs'!$E$186*'Model Data Inputs'!$E$187),2)</f>
        <v>606.86</v>
      </c>
      <c r="K1202" s="169">
        <f t="shared" si="74"/>
        <v>725197.70000000007</v>
      </c>
      <c r="L1202" s="153"/>
      <c r="M1202" s="170">
        <v>1195</v>
      </c>
      <c r="N1202" s="164">
        <f>ROUND(F1202*('Model Data Inputs'!$E$184*'Model Data Inputs'!$E$185*'Model Data Inputs'!$E$186*'Model Data Inputs'!$E$187),2)</f>
        <v>208.31</v>
      </c>
      <c r="O1202" s="171">
        <f t="shared" si="75"/>
        <v>248930.45</v>
      </c>
    </row>
    <row r="1203" spans="1:15" x14ac:dyDescent="0.2">
      <c r="A1203" s="168">
        <v>1196</v>
      </c>
      <c r="B1203" s="159">
        <v>606.6680978704145</v>
      </c>
      <c r="C1203" s="169">
        <f t="shared" si="72"/>
        <v>725575.0450530157</v>
      </c>
      <c r="D1203" s="153"/>
      <c r="E1203" s="170">
        <v>1196</v>
      </c>
      <c r="F1203" s="162">
        <v>208.22037263573228</v>
      </c>
      <c r="G1203" s="171">
        <f t="shared" si="73"/>
        <v>249031.5656723358</v>
      </c>
      <c r="I1203" s="168">
        <v>1196</v>
      </c>
      <c r="J1203" s="159">
        <f>ROUND(B1203*('Model Data Inputs'!$E$184*'Model Data Inputs'!$E$185*'Model Data Inputs'!$E$186*'Model Data Inputs'!$E$187),2)</f>
        <v>606.66999999999996</v>
      </c>
      <c r="K1203" s="169">
        <f t="shared" si="74"/>
        <v>725577.32</v>
      </c>
      <c r="L1203" s="153"/>
      <c r="M1203" s="170">
        <v>1196</v>
      </c>
      <c r="N1203" s="164">
        <f>ROUND(F1203*('Model Data Inputs'!$E$184*'Model Data Inputs'!$E$185*'Model Data Inputs'!$E$186*'Model Data Inputs'!$E$187),2)</f>
        <v>208.22</v>
      </c>
      <c r="O1203" s="171">
        <f t="shared" si="75"/>
        <v>249031.12</v>
      </c>
    </row>
    <row r="1204" spans="1:15" x14ac:dyDescent="0.2">
      <c r="A1204" s="168">
        <v>1197</v>
      </c>
      <c r="B1204" s="159">
        <v>606.47924221875144</v>
      </c>
      <c r="C1204" s="169">
        <f t="shared" si="72"/>
        <v>725955.65293584543</v>
      </c>
      <c r="D1204" s="153"/>
      <c r="E1204" s="170">
        <v>1197</v>
      </c>
      <c r="F1204" s="162">
        <v>208.12598643425716</v>
      </c>
      <c r="G1204" s="171">
        <f t="shared" si="73"/>
        <v>249126.80576180582</v>
      </c>
      <c r="I1204" s="168">
        <v>1197</v>
      </c>
      <c r="J1204" s="159">
        <f>ROUND(B1204*('Model Data Inputs'!$E$184*'Model Data Inputs'!$E$185*'Model Data Inputs'!$E$186*'Model Data Inputs'!$E$187),2)</f>
        <v>606.48</v>
      </c>
      <c r="K1204" s="169">
        <f t="shared" si="74"/>
        <v>725956.56</v>
      </c>
      <c r="L1204" s="153"/>
      <c r="M1204" s="170">
        <v>1197</v>
      </c>
      <c r="N1204" s="164">
        <f>ROUND(F1204*('Model Data Inputs'!$E$184*'Model Data Inputs'!$E$185*'Model Data Inputs'!$E$186*'Model Data Inputs'!$E$187),2)</f>
        <v>208.13</v>
      </c>
      <c r="O1204" s="171">
        <f t="shared" si="75"/>
        <v>249131.61</v>
      </c>
    </row>
    <row r="1205" spans="1:15" x14ac:dyDescent="0.2">
      <c r="A1205" s="168">
        <v>1198</v>
      </c>
      <c r="B1205" s="159">
        <v>606.29038656708838</v>
      </c>
      <c r="C1205" s="169">
        <f t="shared" si="72"/>
        <v>726335.88310737186</v>
      </c>
      <c r="D1205" s="153"/>
      <c r="E1205" s="170">
        <v>1198</v>
      </c>
      <c r="F1205" s="162">
        <v>208.03160023278215</v>
      </c>
      <c r="G1205" s="171">
        <f t="shared" si="73"/>
        <v>249221.85707887303</v>
      </c>
      <c r="I1205" s="168">
        <v>1198</v>
      </c>
      <c r="J1205" s="159">
        <f>ROUND(B1205*('Model Data Inputs'!$E$184*'Model Data Inputs'!$E$185*'Model Data Inputs'!$E$186*'Model Data Inputs'!$E$187),2)</f>
        <v>606.29</v>
      </c>
      <c r="K1205" s="169">
        <f t="shared" si="74"/>
        <v>726335.41999999993</v>
      </c>
      <c r="L1205" s="153"/>
      <c r="M1205" s="170">
        <v>1198</v>
      </c>
      <c r="N1205" s="164">
        <f>ROUND(F1205*('Model Data Inputs'!$E$184*'Model Data Inputs'!$E$185*'Model Data Inputs'!$E$186*'Model Data Inputs'!$E$187),2)</f>
        <v>208.03</v>
      </c>
      <c r="O1205" s="171">
        <f t="shared" si="75"/>
        <v>249219.94</v>
      </c>
    </row>
    <row r="1206" spans="1:15" x14ac:dyDescent="0.2">
      <c r="A1206" s="168">
        <v>1199</v>
      </c>
      <c r="B1206" s="159">
        <v>606.10153091542531</v>
      </c>
      <c r="C1206" s="169">
        <f t="shared" si="72"/>
        <v>726715.73556759499</v>
      </c>
      <c r="D1206" s="153"/>
      <c r="E1206" s="170">
        <v>1199</v>
      </c>
      <c r="F1206" s="162">
        <v>207.93721403130709</v>
      </c>
      <c r="G1206" s="171">
        <f t="shared" si="73"/>
        <v>249316.71962353721</v>
      </c>
      <c r="I1206" s="168">
        <v>1199</v>
      </c>
      <c r="J1206" s="159">
        <f>ROUND(B1206*('Model Data Inputs'!$E$184*'Model Data Inputs'!$E$185*'Model Data Inputs'!$E$186*'Model Data Inputs'!$E$187),2)</f>
        <v>606.1</v>
      </c>
      <c r="K1206" s="169">
        <f t="shared" si="74"/>
        <v>726713.9</v>
      </c>
      <c r="L1206" s="153"/>
      <c r="M1206" s="170">
        <v>1199</v>
      </c>
      <c r="N1206" s="164">
        <f>ROUND(F1206*('Model Data Inputs'!$E$184*'Model Data Inputs'!$E$185*'Model Data Inputs'!$E$186*'Model Data Inputs'!$E$187),2)</f>
        <v>207.94</v>
      </c>
      <c r="O1206" s="171">
        <f t="shared" si="75"/>
        <v>249320.06</v>
      </c>
    </row>
    <row r="1207" spans="1:15" x14ac:dyDescent="0.2">
      <c r="A1207" s="168">
        <v>1200</v>
      </c>
      <c r="B1207" s="159">
        <v>605.91267526376237</v>
      </c>
      <c r="C1207" s="169">
        <f t="shared" si="72"/>
        <v>727095.21031651483</v>
      </c>
      <c r="D1207" s="153"/>
      <c r="E1207" s="170">
        <v>1200</v>
      </c>
      <c r="F1207" s="162">
        <v>207.84282782983209</v>
      </c>
      <c r="G1207" s="171">
        <f t="shared" si="73"/>
        <v>249411.39339579851</v>
      </c>
      <c r="I1207" s="168">
        <v>1200</v>
      </c>
      <c r="J1207" s="159">
        <f>ROUND(B1207*('Model Data Inputs'!$E$184*'Model Data Inputs'!$E$185*'Model Data Inputs'!$E$186*'Model Data Inputs'!$E$187),2)</f>
        <v>605.91</v>
      </c>
      <c r="K1207" s="169">
        <f t="shared" si="74"/>
        <v>727092</v>
      </c>
      <c r="L1207" s="153"/>
      <c r="M1207" s="170">
        <v>1200</v>
      </c>
      <c r="N1207" s="164">
        <f>ROUND(F1207*('Model Data Inputs'!$E$184*'Model Data Inputs'!$E$185*'Model Data Inputs'!$E$186*'Model Data Inputs'!$E$187),2)</f>
        <v>207.84</v>
      </c>
      <c r="O1207" s="171">
        <f t="shared" si="75"/>
        <v>249408</v>
      </c>
    </row>
    <row r="1208" spans="1:15" x14ac:dyDescent="0.2">
      <c r="A1208" s="168">
        <v>1201</v>
      </c>
      <c r="B1208" s="159">
        <v>605.72381961209931</v>
      </c>
      <c r="C1208" s="169">
        <f t="shared" si="72"/>
        <v>727474.30735413125</v>
      </c>
      <c r="D1208" s="153"/>
      <c r="E1208" s="170">
        <v>1201</v>
      </c>
      <c r="F1208" s="162">
        <v>207.74844162835706</v>
      </c>
      <c r="G1208" s="171">
        <f t="shared" si="73"/>
        <v>249505.87839565682</v>
      </c>
      <c r="I1208" s="168">
        <v>1201</v>
      </c>
      <c r="J1208" s="159">
        <f>ROUND(B1208*('Model Data Inputs'!$E$184*'Model Data Inputs'!$E$185*'Model Data Inputs'!$E$186*'Model Data Inputs'!$E$187),2)</f>
        <v>605.72</v>
      </c>
      <c r="K1208" s="169">
        <f t="shared" si="74"/>
        <v>727469.72000000009</v>
      </c>
      <c r="L1208" s="153"/>
      <c r="M1208" s="170">
        <v>1201</v>
      </c>
      <c r="N1208" s="164">
        <f>ROUND(F1208*('Model Data Inputs'!$E$184*'Model Data Inputs'!$E$185*'Model Data Inputs'!$E$186*'Model Data Inputs'!$E$187),2)</f>
        <v>207.75</v>
      </c>
      <c r="O1208" s="171">
        <f t="shared" si="75"/>
        <v>249507.75</v>
      </c>
    </row>
    <row r="1209" spans="1:15" x14ac:dyDescent="0.2">
      <c r="A1209" s="168">
        <v>1202</v>
      </c>
      <c r="B1209" s="159">
        <v>605.53496396043647</v>
      </c>
      <c r="C1209" s="169">
        <f t="shared" si="72"/>
        <v>727853.0266804446</v>
      </c>
      <c r="D1209" s="153"/>
      <c r="E1209" s="170">
        <v>1202</v>
      </c>
      <c r="F1209" s="162">
        <v>207.654055426882</v>
      </c>
      <c r="G1209" s="171">
        <f t="shared" si="73"/>
        <v>249600.17462311217</v>
      </c>
      <c r="I1209" s="168">
        <v>1202</v>
      </c>
      <c r="J1209" s="159">
        <f>ROUND(B1209*('Model Data Inputs'!$E$184*'Model Data Inputs'!$E$185*'Model Data Inputs'!$E$186*'Model Data Inputs'!$E$187),2)</f>
        <v>605.53</v>
      </c>
      <c r="K1209" s="169">
        <f t="shared" si="74"/>
        <v>727847.05999999994</v>
      </c>
      <c r="L1209" s="153"/>
      <c r="M1209" s="170">
        <v>1202</v>
      </c>
      <c r="N1209" s="164">
        <f>ROUND(F1209*('Model Data Inputs'!$E$184*'Model Data Inputs'!$E$185*'Model Data Inputs'!$E$186*'Model Data Inputs'!$E$187),2)</f>
        <v>207.65</v>
      </c>
      <c r="O1209" s="171">
        <f t="shared" si="75"/>
        <v>249595.30000000002</v>
      </c>
    </row>
    <row r="1210" spans="1:15" x14ac:dyDescent="0.2">
      <c r="A1210" s="168">
        <v>1203</v>
      </c>
      <c r="B1210" s="159">
        <v>605.34610830877341</v>
      </c>
      <c r="C1210" s="169">
        <f t="shared" si="72"/>
        <v>728231.36829545442</v>
      </c>
      <c r="D1210" s="153"/>
      <c r="E1210" s="170">
        <v>1203</v>
      </c>
      <c r="F1210" s="162">
        <v>207.55966922540699</v>
      </c>
      <c r="G1210" s="171">
        <f t="shared" si="73"/>
        <v>249694.2820781646</v>
      </c>
      <c r="I1210" s="168">
        <v>1203</v>
      </c>
      <c r="J1210" s="159">
        <f>ROUND(B1210*('Model Data Inputs'!$E$184*'Model Data Inputs'!$E$185*'Model Data Inputs'!$E$186*'Model Data Inputs'!$E$187),2)</f>
        <v>605.35</v>
      </c>
      <c r="K1210" s="169">
        <f t="shared" si="74"/>
        <v>728236.05</v>
      </c>
      <c r="L1210" s="153"/>
      <c r="M1210" s="170">
        <v>1203</v>
      </c>
      <c r="N1210" s="164">
        <f>ROUND(F1210*('Model Data Inputs'!$E$184*'Model Data Inputs'!$E$185*'Model Data Inputs'!$E$186*'Model Data Inputs'!$E$187),2)</f>
        <v>207.56</v>
      </c>
      <c r="O1210" s="171">
        <f t="shared" si="75"/>
        <v>249694.68</v>
      </c>
    </row>
    <row r="1211" spans="1:15" x14ac:dyDescent="0.2">
      <c r="A1211" s="168">
        <v>1204</v>
      </c>
      <c r="B1211" s="159">
        <v>605.15725265711035</v>
      </c>
      <c r="C1211" s="169">
        <f t="shared" si="72"/>
        <v>728609.33219916082</v>
      </c>
      <c r="D1211" s="153"/>
      <c r="E1211" s="170">
        <v>1204</v>
      </c>
      <c r="F1211" s="162">
        <v>207.46528302393193</v>
      </c>
      <c r="G1211" s="171">
        <f t="shared" si="73"/>
        <v>249788.20076081404</v>
      </c>
      <c r="I1211" s="168">
        <v>1204</v>
      </c>
      <c r="J1211" s="159">
        <f>ROUND(B1211*('Model Data Inputs'!$E$184*'Model Data Inputs'!$E$185*'Model Data Inputs'!$E$186*'Model Data Inputs'!$E$187),2)</f>
        <v>605.16</v>
      </c>
      <c r="K1211" s="169">
        <f t="shared" si="74"/>
        <v>728612.64</v>
      </c>
      <c r="L1211" s="153"/>
      <c r="M1211" s="170">
        <v>1204</v>
      </c>
      <c r="N1211" s="164">
        <f>ROUND(F1211*('Model Data Inputs'!$E$184*'Model Data Inputs'!$E$185*'Model Data Inputs'!$E$186*'Model Data Inputs'!$E$187),2)</f>
        <v>207.47</v>
      </c>
      <c r="O1211" s="171">
        <f t="shared" si="75"/>
        <v>249793.88</v>
      </c>
    </row>
    <row r="1212" spans="1:15" x14ac:dyDescent="0.2">
      <c r="A1212" s="168">
        <v>1205</v>
      </c>
      <c r="B1212" s="159">
        <v>604.9683970054474</v>
      </c>
      <c r="C1212" s="169">
        <f t="shared" si="72"/>
        <v>728986.91839156416</v>
      </c>
      <c r="D1212" s="153"/>
      <c r="E1212" s="170">
        <v>1205</v>
      </c>
      <c r="F1212" s="162">
        <v>207.3708968224569</v>
      </c>
      <c r="G1212" s="171">
        <f t="shared" si="73"/>
        <v>249881.93067106057</v>
      </c>
      <c r="I1212" s="168">
        <v>1205</v>
      </c>
      <c r="J1212" s="159">
        <f>ROUND(B1212*('Model Data Inputs'!$E$184*'Model Data Inputs'!$E$185*'Model Data Inputs'!$E$186*'Model Data Inputs'!$E$187),2)</f>
        <v>604.97</v>
      </c>
      <c r="K1212" s="169">
        <f t="shared" si="74"/>
        <v>728988.85</v>
      </c>
      <c r="L1212" s="153"/>
      <c r="M1212" s="170">
        <v>1205</v>
      </c>
      <c r="N1212" s="164">
        <f>ROUND(F1212*('Model Data Inputs'!$E$184*'Model Data Inputs'!$E$185*'Model Data Inputs'!$E$186*'Model Data Inputs'!$E$187),2)</f>
        <v>207.37</v>
      </c>
      <c r="O1212" s="171">
        <f t="shared" si="75"/>
        <v>249880.85</v>
      </c>
    </row>
    <row r="1213" spans="1:15" x14ac:dyDescent="0.2">
      <c r="A1213" s="168">
        <v>1206</v>
      </c>
      <c r="B1213" s="159">
        <v>604.77954135378434</v>
      </c>
      <c r="C1213" s="169">
        <f t="shared" si="72"/>
        <v>729364.12687266397</v>
      </c>
      <c r="D1213" s="153"/>
      <c r="E1213" s="170">
        <v>1206</v>
      </c>
      <c r="F1213" s="162">
        <v>207.27651062098187</v>
      </c>
      <c r="G1213" s="171">
        <f t="shared" si="73"/>
        <v>249975.47180890414</v>
      </c>
      <c r="I1213" s="168">
        <v>1206</v>
      </c>
      <c r="J1213" s="159">
        <f>ROUND(B1213*('Model Data Inputs'!$E$184*'Model Data Inputs'!$E$185*'Model Data Inputs'!$E$186*'Model Data Inputs'!$E$187),2)</f>
        <v>604.78</v>
      </c>
      <c r="K1213" s="169">
        <f t="shared" si="74"/>
        <v>729364.67999999993</v>
      </c>
      <c r="L1213" s="153"/>
      <c r="M1213" s="170">
        <v>1206</v>
      </c>
      <c r="N1213" s="164">
        <f>ROUND(F1213*('Model Data Inputs'!$E$184*'Model Data Inputs'!$E$185*'Model Data Inputs'!$E$186*'Model Data Inputs'!$E$187),2)</f>
        <v>207.28</v>
      </c>
      <c r="O1213" s="171">
        <f t="shared" si="75"/>
        <v>249979.68</v>
      </c>
    </row>
    <row r="1214" spans="1:15" x14ac:dyDescent="0.2">
      <c r="A1214" s="168">
        <v>1207</v>
      </c>
      <c r="B1214" s="159">
        <v>604.59068570212139</v>
      </c>
      <c r="C1214" s="169">
        <f t="shared" si="72"/>
        <v>729740.95764246047</v>
      </c>
      <c r="D1214" s="153"/>
      <c r="E1214" s="170">
        <v>1207</v>
      </c>
      <c r="F1214" s="162">
        <v>207.18212441950678</v>
      </c>
      <c r="G1214" s="171">
        <f t="shared" si="73"/>
        <v>250068.82417434469</v>
      </c>
      <c r="I1214" s="168">
        <v>1207</v>
      </c>
      <c r="J1214" s="159">
        <f>ROUND(B1214*('Model Data Inputs'!$E$184*'Model Data Inputs'!$E$185*'Model Data Inputs'!$E$186*'Model Data Inputs'!$E$187),2)</f>
        <v>604.59</v>
      </c>
      <c r="K1214" s="169">
        <f t="shared" si="74"/>
        <v>729740.13</v>
      </c>
      <c r="L1214" s="153"/>
      <c r="M1214" s="170">
        <v>1207</v>
      </c>
      <c r="N1214" s="164">
        <f>ROUND(F1214*('Model Data Inputs'!$E$184*'Model Data Inputs'!$E$185*'Model Data Inputs'!$E$186*'Model Data Inputs'!$E$187),2)</f>
        <v>207.18</v>
      </c>
      <c r="O1214" s="171">
        <f t="shared" si="75"/>
        <v>250066.26</v>
      </c>
    </row>
    <row r="1215" spans="1:15" x14ac:dyDescent="0.2">
      <c r="A1215" s="168">
        <v>1208</v>
      </c>
      <c r="B1215" s="159">
        <v>604.4018300504581</v>
      </c>
      <c r="C1215" s="169">
        <f t="shared" si="72"/>
        <v>730117.41070095333</v>
      </c>
      <c r="D1215" s="153"/>
      <c r="E1215" s="170">
        <v>1208</v>
      </c>
      <c r="F1215" s="162">
        <v>207.08773821803172</v>
      </c>
      <c r="G1215" s="171">
        <f t="shared" si="73"/>
        <v>250161.98776738232</v>
      </c>
      <c r="I1215" s="168">
        <v>1208</v>
      </c>
      <c r="J1215" s="159">
        <f>ROUND(B1215*('Model Data Inputs'!$E$184*'Model Data Inputs'!$E$185*'Model Data Inputs'!$E$186*'Model Data Inputs'!$E$187),2)</f>
        <v>604.4</v>
      </c>
      <c r="K1215" s="169">
        <f t="shared" si="74"/>
        <v>730115.2</v>
      </c>
      <c r="L1215" s="153"/>
      <c r="M1215" s="170">
        <v>1208</v>
      </c>
      <c r="N1215" s="164">
        <f>ROUND(F1215*('Model Data Inputs'!$E$184*'Model Data Inputs'!$E$185*'Model Data Inputs'!$E$186*'Model Data Inputs'!$E$187),2)</f>
        <v>207.09</v>
      </c>
      <c r="O1215" s="171">
        <f t="shared" si="75"/>
        <v>250164.72</v>
      </c>
    </row>
    <row r="1216" spans="1:15" x14ac:dyDescent="0.2">
      <c r="A1216" s="168">
        <v>1209</v>
      </c>
      <c r="B1216" s="159">
        <v>604.21297439879527</v>
      </c>
      <c r="C1216" s="169">
        <f t="shared" si="72"/>
        <v>730493.48604814347</v>
      </c>
      <c r="D1216" s="153"/>
      <c r="E1216" s="170">
        <v>1209</v>
      </c>
      <c r="F1216" s="162">
        <v>206.99335201655671</v>
      </c>
      <c r="G1216" s="171">
        <f t="shared" si="73"/>
        <v>250254.96258801708</v>
      </c>
      <c r="I1216" s="168">
        <v>1209</v>
      </c>
      <c r="J1216" s="159">
        <f>ROUND(B1216*('Model Data Inputs'!$E$184*'Model Data Inputs'!$E$185*'Model Data Inputs'!$E$186*'Model Data Inputs'!$E$187),2)</f>
        <v>604.21</v>
      </c>
      <c r="K1216" s="169">
        <f t="shared" si="74"/>
        <v>730489.89</v>
      </c>
      <c r="L1216" s="153"/>
      <c r="M1216" s="170">
        <v>1209</v>
      </c>
      <c r="N1216" s="164">
        <f>ROUND(F1216*('Model Data Inputs'!$E$184*'Model Data Inputs'!$E$185*'Model Data Inputs'!$E$186*'Model Data Inputs'!$E$187),2)</f>
        <v>206.99</v>
      </c>
      <c r="O1216" s="171">
        <f t="shared" si="75"/>
        <v>250250.91</v>
      </c>
    </row>
    <row r="1217" spans="1:15" x14ac:dyDescent="0.2">
      <c r="A1217" s="168">
        <v>1210</v>
      </c>
      <c r="B1217" s="159">
        <v>604.02411874713221</v>
      </c>
      <c r="C1217" s="169">
        <f t="shared" si="72"/>
        <v>730869.18368402997</v>
      </c>
      <c r="D1217" s="153"/>
      <c r="E1217" s="170">
        <v>1210</v>
      </c>
      <c r="F1217" s="162">
        <v>206.89896581508168</v>
      </c>
      <c r="G1217" s="171">
        <f t="shared" si="73"/>
        <v>250347.74863624884</v>
      </c>
      <c r="I1217" s="168">
        <v>1210</v>
      </c>
      <c r="J1217" s="159">
        <f>ROUND(B1217*('Model Data Inputs'!$E$184*'Model Data Inputs'!$E$185*'Model Data Inputs'!$E$186*'Model Data Inputs'!$E$187),2)</f>
        <v>604.02</v>
      </c>
      <c r="K1217" s="169">
        <f t="shared" si="74"/>
        <v>730864.2</v>
      </c>
      <c r="L1217" s="153"/>
      <c r="M1217" s="170">
        <v>1210</v>
      </c>
      <c r="N1217" s="164">
        <f>ROUND(F1217*('Model Data Inputs'!$E$184*'Model Data Inputs'!$E$185*'Model Data Inputs'!$E$186*'Model Data Inputs'!$E$187),2)</f>
        <v>206.9</v>
      </c>
      <c r="O1217" s="171">
        <f t="shared" si="75"/>
        <v>250349</v>
      </c>
    </row>
    <row r="1218" spans="1:15" x14ac:dyDescent="0.2">
      <c r="A1218" s="168">
        <v>1211</v>
      </c>
      <c r="B1218" s="159">
        <v>603.83526309546949</v>
      </c>
      <c r="C1218" s="169">
        <f t="shared" si="72"/>
        <v>731244.50360861351</v>
      </c>
      <c r="D1218" s="153"/>
      <c r="E1218" s="170">
        <v>1211</v>
      </c>
      <c r="F1218" s="162">
        <v>206.80457961360671</v>
      </c>
      <c r="G1218" s="171">
        <f t="shared" si="73"/>
        <v>250440.34591207773</v>
      </c>
      <c r="I1218" s="168">
        <v>1211</v>
      </c>
      <c r="J1218" s="159">
        <f>ROUND(B1218*('Model Data Inputs'!$E$184*'Model Data Inputs'!$E$185*'Model Data Inputs'!$E$186*'Model Data Inputs'!$E$187),2)</f>
        <v>603.84</v>
      </c>
      <c r="K1218" s="169">
        <f t="shared" si="74"/>
        <v>731250.24</v>
      </c>
      <c r="L1218" s="153"/>
      <c r="M1218" s="170">
        <v>1211</v>
      </c>
      <c r="N1218" s="164">
        <f>ROUND(F1218*('Model Data Inputs'!$E$184*'Model Data Inputs'!$E$185*'Model Data Inputs'!$E$186*'Model Data Inputs'!$E$187),2)</f>
        <v>206.8</v>
      </c>
      <c r="O1218" s="171">
        <f t="shared" si="75"/>
        <v>250434.80000000002</v>
      </c>
    </row>
    <row r="1219" spans="1:15" x14ac:dyDescent="0.2">
      <c r="A1219" s="168">
        <v>1212</v>
      </c>
      <c r="B1219" s="159">
        <v>603.6464074438062</v>
      </c>
      <c r="C1219" s="169">
        <f t="shared" si="72"/>
        <v>731619.44582189317</v>
      </c>
      <c r="D1219" s="153"/>
      <c r="E1219" s="170">
        <v>1212</v>
      </c>
      <c r="F1219" s="162">
        <v>206.71019341213162</v>
      </c>
      <c r="G1219" s="171">
        <f t="shared" si="73"/>
        <v>250532.75441550353</v>
      </c>
      <c r="I1219" s="168">
        <v>1212</v>
      </c>
      <c r="J1219" s="159">
        <f>ROUND(B1219*('Model Data Inputs'!$E$184*'Model Data Inputs'!$E$185*'Model Data Inputs'!$E$186*'Model Data Inputs'!$E$187),2)</f>
        <v>603.65</v>
      </c>
      <c r="K1219" s="169">
        <f t="shared" si="74"/>
        <v>731623.79999999993</v>
      </c>
      <c r="L1219" s="153"/>
      <c r="M1219" s="170">
        <v>1212</v>
      </c>
      <c r="N1219" s="164">
        <f>ROUND(F1219*('Model Data Inputs'!$E$184*'Model Data Inputs'!$E$185*'Model Data Inputs'!$E$186*'Model Data Inputs'!$E$187),2)</f>
        <v>206.71</v>
      </c>
      <c r="O1219" s="171">
        <f t="shared" si="75"/>
        <v>250532.52000000002</v>
      </c>
    </row>
    <row r="1220" spans="1:15" x14ac:dyDescent="0.2">
      <c r="A1220" s="168">
        <v>1213</v>
      </c>
      <c r="B1220" s="159">
        <v>603.45755179214325</v>
      </c>
      <c r="C1220" s="169">
        <f t="shared" si="72"/>
        <v>731994.01032386976</v>
      </c>
      <c r="D1220" s="153"/>
      <c r="E1220" s="170">
        <v>1213</v>
      </c>
      <c r="F1220" s="162">
        <v>206.61580721065658</v>
      </c>
      <c r="G1220" s="171">
        <f t="shared" si="73"/>
        <v>250624.97414652642</v>
      </c>
      <c r="I1220" s="168">
        <v>1213</v>
      </c>
      <c r="J1220" s="159">
        <f>ROUND(B1220*('Model Data Inputs'!$E$184*'Model Data Inputs'!$E$185*'Model Data Inputs'!$E$186*'Model Data Inputs'!$E$187),2)</f>
        <v>603.46</v>
      </c>
      <c r="K1220" s="169">
        <f t="shared" si="74"/>
        <v>731996.9800000001</v>
      </c>
      <c r="L1220" s="153"/>
      <c r="M1220" s="170">
        <v>1213</v>
      </c>
      <c r="N1220" s="164">
        <f>ROUND(F1220*('Model Data Inputs'!$E$184*'Model Data Inputs'!$E$185*'Model Data Inputs'!$E$186*'Model Data Inputs'!$E$187),2)</f>
        <v>206.62</v>
      </c>
      <c r="O1220" s="171">
        <f t="shared" si="75"/>
        <v>250630.06</v>
      </c>
    </row>
    <row r="1221" spans="1:15" x14ac:dyDescent="0.2">
      <c r="A1221" s="168">
        <v>1214</v>
      </c>
      <c r="B1221" s="159">
        <v>603.26869614048019</v>
      </c>
      <c r="C1221" s="169">
        <f t="shared" si="72"/>
        <v>732368.19711454294</v>
      </c>
      <c r="D1221" s="153"/>
      <c r="E1221" s="170">
        <v>1214</v>
      </c>
      <c r="F1221" s="162">
        <v>206.52142100918155</v>
      </c>
      <c r="G1221" s="171">
        <f t="shared" si="73"/>
        <v>250717.00510514641</v>
      </c>
      <c r="I1221" s="168">
        <v>1214</v>
      </c>
      <c r="J1221" s="159">
        <f>ROUND(B1221*('Model Data Inputs'!$E$184*'Model Data Inputs'!$E$185*'Model Data Inputs'!$E$186*'Model Data Inputs'!$E$187),2)</f>
        <v>603.27</v>
      </c>
      <c r="K1221" s="169">
        <f t="shared" si="74"/>
        <v>732369.78</v>
      </c>
      <c r="L1221" s="153"/>
      <c r="M1221" s="170">
        <v>1214</v>
      </c>
      <c r="N1221" s="164">
        <f>ROUND(F1221*('Model Data Inputs'!$E$184*'Model Data Inputs'!$E$185*'Model Data Inputs'!$E$186*'Model Data Inputs'!$E$187),2)</f>
        <v>206.52</v>
      </c>
      <c r="O1221" s="171">
        <f t="shared" si="75"/>
        <v>250715.28</v>
      </c>
    </row>
    <row r="1222" spans="1:15" x14ac:dyDescent="0.2">
      <c r="A1222" s="168">
        <v>1215</v>
      </c>
      <c r="B1222" s="159">
        <v>603.07984048881713</v>
      </c>
      <c r="C1222" s="169">
        <f t="shared" si="72"/>
        <v>732742.00619391282</v>
      </c>
      <c r="D1222" s="153"/>
      <c r="E1222" s="170">
        <v>1215</v>
      </c>
      <c r="F1222" s="162">
        <v>206.42703480770655</v>
      </c>
      <c r="G1222" s="171">
        <f t="shared" si="73"/>
        <v>250808.84729136346</v>
      </c>
      <c r="I1222" s="168">
        <v>1215</v>
      </c>
      <c r="J1222" s="159">
        <f>ROUND(B1222*('Model Data Inputs'!$E$184*'Model Data Inputs'!$E$185*'Model Data Inputs'!$E$186*'Model Data Inputs'!$E$187),2)</f>
        <v>603.08000000000004</v>
      </c>
      <c r="K1222" s="169">
        <f t="shared" si="74"/>
        <v>732742.20000000007</v>
      </c>
      <c r="L1222" s="153"/>
      <c r="M1222" s="170">
        <v>1215</v>
      </c>
      <c r="N1222" s="164">
        <f>ROUND(F1222*('Model Data Inputs'!$E$184*'Model Data Inputs'!$E$185*'Model Data Inputs'!$E$186*'Model Data Inputs'!$E$187),2)</f>
        <v>206.43</v>
      </c>
      <c r="O1222" s="171">
        <f t="shared" si="75"/>
        <v>250812.45</v>
      </c>
    </row>
    <row r="1223" spans="1:15" x14ac:dyDescent="0.2">
      <c r="A1223" s="168">
        <v>1216</v>
      </c>
      <c r="B1223" s="159">
        <v>602.89098483715406</v>
      </c>
      <c r="C1223" s="169">
        <f t="shared" si="72"/>
        <v>733115.43756197928</v>
      </c>
      <c r="D1223" s="153"/>
      <c r="E1223" s="170">
        <v>1216</v>
      </c>
      <c r="F1223" s="162">
        <v>206.33264860623149</v>
      </c>
      <c r="G1223" s="171">
        <f t="shared" si="73"/>
        <v>250900.50070517749</v>
      </c>
      <c r="I1223" s="168">
        <v>1216</v>
      </c>
      <c r="J1223" s="159">
        <f>ROUND(B1223*('Model Data Inputs'!$E$184*'Model Data Inputs'!$E$185*'Model Data Inputs'!$E$186*'Model Data Inputs'!$E$187),2)</f>
        <v>602.89</v>
      </c>
      <c r="K1223" s="169">
        <f t="shared" si="74"/>
        <v>733114.24</v>
      </c>
      <c r="L1223" s="153"/>
      <c r="M1223" s="170">
        <v>1216</v>
      </c>
      <c r="N1223" s="164">
        <f>ROUND(F1223*('Model Data Inputs'!$E$184*'Model Data Inputs'!$E$185*'Model Data Inputs'!$E$186*'Model Data Inputs'!$E$187),2)</f>
        <v>206.33</v>
      </c>
      <c r="O1223" s="171">
        <f t="shared" si="75"/>
        <v>250897.28000000003</v>
      </c>
    </row>
    <row r="1224" spans="1:15" x14ac:dyDescent="0.2">
      <c r="A1224" s="168">
        <v>1217</v>
      </c>
      <c r="B1224" s="159">
        <v>602.70212918549112</v>
      </c>
      <c r="C1224" s="169">
        <f t="shared" ref="C1224:C1287" si="76">A1224*B1224</f>
        <v>733488.49121874268</v>
      </c>
      <c r="D1224" s="153"/>
      <c r="E1224" s="170">
        <v>1217</v>
      </c>
      <c r="F1224" s="162">
        <v>206.2382624047564</v>
      </c>
      <c r="G1224" s="171">
        <f t="shared" ref="G1224:G1267" si="77">E1224*F1224</f>
        <v>250991.96534658855</v>
      </c>
      <c r="I1224" s="168">
        <v>1217</v>
      </c>
      <c r="J1224" s="159">
        <f>ROUND(B1224*('Model Data Inputs'!$E$184*'Model Data Inputs'!$E$185*'Model Data Inputs'!$E$186*'Model Data Inputs'!$E$187),2)</f>
        <v>602.70000000000005</v>
      </c>
      <c r="K1224" s="169">
        <f t="shared" ref="K1224:K1287" si="78">I1224*J1224</f>
        <v>733485.9</v>
      </c>
      <c r="L1224" s="153"/>
      <c r="M1224" s="170">
        <v>1217</v>
      </c>
      <c r="N1224" s="164">
        <f>ROUND(F1224*('Model Data Inputs'!$E$184*'Model Data Inputs'!$E$185*'Model Data Inputs'!$E$186*'Model Data Inputs'!$E$187),2)</f>
        <v>206.24</v>
      </c>
      <c r="O1224" s="171">
        <f t="shared" ref="O1224:O1267" si="79">M1224*N1224</f>
        <v>250994.08000000002</v>
      </c>
    </row>
    <row r="1225" spans="1:15" x14ac:dyDescent="0.2">
      <c r="A1225" s="168">
        <v>1218</v>
      </c>
      <c r="B1225" s="159">
        <v>602.51327353382828</v>
      </c>
      <c r="C1225" s="169">
        <f t="shared" si="76"/>
        <v>733861.1671642029</v>
      </c>
      <c r="D1225" s="153"/>
      <c r="E1225" s="170">
        <v>1218</v>
      </c>
      <c r="F1225" s="162">
        <v>206.14387620328137</v>
      </c>
      <c r="G1225" s="171">
        <f t="shared" si="77"/>
        <v>251083.2412155967</v>
      </c>
      <c r="I1225" s="168">
        <v>1218</v>
      </c>
      <c r="J1225" s="159">
        <f>ROUND(B1225*('Model Data Inputs'!$E$184*'Model Data Inputs'!$E$185*'Model Data Inputs'!$E$186*'Model Data Inputs'!$E$187),2)</f>
        <v>602.51</v>
      </c>
      <c r="K1225" s="169">
        <f t="shared" si="78"/>
        <v>733857.17999999993</v>
      </c>
      <c r="L1225" s="153"/>
      <c r="M1225" s="170">
        <v>1218</v>
      </c>
      <c r="N1225" s="164">
        <f>ROUND(F1225*('Model Data Inputs'!$E$184*'Model Data Inputs'!$E$185*'Model Data Inputs'!$E$186*'Model Data Inputs'!$E$187),2)</f>
        <v>206.14</v>
      </c>
      <c r="O1225" s="171">
        <f t="shared" si="79"/>
        <v>251078.52</v>
      </c>
    </row>
    <row r="1226" spans="1:15" x14ac:dyDescent="0.2">
      <c r="A1226" s="168">
        <v>1219</v>
      </c>
      <c r="B1226" s="159">
        <v>602.32441788216499</v>
      </c>
      <c r="C1226" s="169">
        <f t="shared" si="76"/>
        <v>734233.46539835911</v>
      </c>
      <c r="D1226" s="153"/>
      <c r="E1226" s="170">
        <v>1219</v>
      </c>
      <c r="F1226" s="162">
        <v>206.04949000180633</v>
      </c>
      <c r="G1226" s="171">
        <f t="shared" si="77"/>
        <v>251174.32831220192</v>
      </c>
      <c r="I1226" s="168">
        <v>1219</v>
      </c>
      <c r="J1226" s="159">
        <f>ROUND(B1226*('Model Data Inputs'!$E$184*'Model Data Inputs'!$E$185*'Model Data Inputs'!$E$186*'Model Data Inputs'!$E$187),2)</f>
        <v>602.32000000000005</v>
      </c>
      <c r="K1226" s="169">
        <f t="shared" si="78"/>
        <v>734228.08000000007</v>
      </c>
      <c r="L1226" s="153"/>
      <c r="M1226" s="170">
        <v>1219</v>
      </c>
      <c r="N1226" s="164">
        <f>ROUND(F1226*('Model Data Inputs'!$E$184*'Model Data Inputs'!$E$185*'Model Data Inputs'!$E$186*'Model Data Inputs'!$E$187),2)</f>
        <v>206.05</v>
      </c>
      <c r="O1226" s="171">
        <f t="shared" si="79"/>
        <v>251174.95</v>
      </c>
    </row>
    <row r="1227" spans="1:15" x14ac:dyDescent="0.2">
      <c r="A1227" s="168">
        <v>1220</v>
      </c>
      <c r="B1227" s="159">
        <v>602.13556223050216</v>
      </c>
      <c r="C1227" s="169">
        <f t="shared" si="76"/>
        <v>734605.38592121261</v>
      </c>
      <c r="D1227" s="153"/>
      <c r="E1227" s="170">
        <v>1220</v>
      </c>
      <c r="F1227" s="162">
        <v>205.9551038003313</v>
      </c>
      <c r="G1227" s="171">
        <f t="shared" si="77"/>
        <v>251265.2266364042</v>
      </c>
      <c r="I1227" s="168">
        <v>1220</v>
      </c>
      <c r="J1227" s="159">
        <f>ROUND(B1227*('Model Data Inputs'!$E$184*'Model Data Inputs'!$E$185*'Model Data Inputs'!$E$186*'Model Data Inputs'!$E$187),2)</f>
        <v>602.14</v>
      </c>
      <c r="K1227" s="169">
        <f t="shared" si="78"/>
        <v>734610.79999999993</v>
      </c>
      <c r="L1227" s="153"/>
      <c r="M1227" s="170">
        <v>1220</v>
      </c>
      <c r="N1227" s="164">
        <f>ROUND(F1227*('Model Data Inputs'!$E$184*'Model Data Inputs'!$E$185*'Model Data Inputs'!$E$186*'Model Data Inputs'!$E$187),2)</f>
        <v>205.96</v>
      </c>
      <c r="O1227" s="171">
        <f t="shared" si="79"/>
        <v>251271.2</v>
      </c>
    </row>
    <row r="1228" spans="1:15" x14ac:dyDescent="0.2">
      <c r="A1228" s="168">
        <v>1221</v>
      </c>
      <c r="B1228" s="159">
        <v>601.94670657883887</v>
      </c>
      <c r="C1228" s="169">
        <f t="shared" si="76"/>
        <v>734976.92873276223</v>
      </c>
      <c r="D1228" s="153"/>
      <c r="E1228" s="170">
        <v>1221</v>
      </c>
      <c r="F1228" s="162">
        <v>205.86071759885627</v>
      </c>
      <c r="G1228" s="171">
        <f t="shared" si="77"/>
        <v>251355.93618820352</v>
      </c>
      <c r="I1228" s="168">
        <v>1221</v>
      </c>
      <c r="J1228" s="159">
        <f>ROUND(B1228*('Model Data Inputs'!$E$184*'Model Data Inputs'!$E$185*'Model Data Inputs'!$E$186*'Model Data Inputs'!$E$187),2)</f>
        <v>601.95000000000005</v>
      </c>
      <c r="K1228" s="169">
        <f t="shared" si="78"/>
        <v>734980.95000000007</v>
      </c>
      <c r="L1228" s="153"/>
      <c r="M1228" s="170">
        <v>1221</v>
      </c>
      <c r="N1228" s="164">
        <f>ROUND(F1228*('Model Data Inputs'!$E$184*'Model Data Inputs'!$E$185*'Model Data Inputs'!$E$186*'Model Data Inputs'!$E$187),2)</f>
        <v>205.86</v>
      </c>
      <c r="O1228" s="171">
        <f t="shared" si="79"/>
        <v>251355.06000000003</v>
      </c>
    </row>
    <row r="1229" spans="1:15" x14ac:dyDescent="0.2">
      <c r="A1229" s="168">
        <v>1222</v>
      </c>
      <c r="B1229" s="159">
        <v>601.75785092717604</v>
      </c>
      <c r="C1229" s="169">
        <f t="shared" si="76"/>
        <v>735348.09383300913</v>
      </c>
      <c r="D1229" s="153"/>
      <c r="E1229" s="170">
        <v>1222</v>
      </c>
      <c r="F1229" s="162">
        <v>205.76633139738124</v>
      </c>
      <c r="G1229" s="171">
        <f t="shared" si="77"/>
        <v>251446.45696759986</v>
      </c>
      <c r="I1229" s="168">
        <v>1222</v>
      </c>
      <c r="J1229" s="159">
        <f>ROUND(B1229*('Model Data Inputs'!$E$184*'Model Data Inputs'!$E$185*'Model Data Inputs'!$E$186*'Model Data Inputs'!$E$187),2)</f>
        <v>601.76</v>
      </c>
      <c r="K1229" s="169">
        <f t="shared" si="78"/>
        <v>735350.72</v>
      </c>
      <c r="L1229" s="153"/>
      <c r="M1229" s="170">
        <v>1222</v>
      </c>
      <c r="N1229" s="164">
        <f>ROUND(F1229*('Model Data Inputs'!$E$184*'Model Data Inputs'!$E$185*'Model Data Inputs'!$E$186*'Model Data Inputs'!$E$187),2)</f>
        <v>205.77</v>
      </c>
      <c r="O1229" s="171">
        <f t="shared" si="79"/>
        <v>251450.94</v>
      </c>
    </row>
    <row r="1230" spans="1:15" x14ac:dyDescent="0.2">
      <c r="A1230" s="168">
        <v>1223</v>
      </c>
      <c r="B1230" s="159">
        <v>601.56899527551309</v>
      </c>
      <c r="C1230" s="169">
        <f t="shared" si="76"/>
        <v>735718.8812219525</v>
      </c>
      <c r="D1230" s="153"/>
      <c r="E1230" s="170">
        <v>1223</v>
      </c>
      <c r="F1230" s="162">
        <v>205.6719451959062</v>
      </c>
      <c r="G1230" s="171">
        <f t="shared" si="77"/>
        <v>251536.78897459328</v>
      </c>
      <c r="I1230" s="168">
        <v>1223</v>
      </c>
      <c r="J1230" s="159">
        <f>ROUND(B1230*('Model Data Inputs'!$E$184*'Model Data Inputs'!$E$185*'Model Data Inputs'!$E$186*'Model Data Inputs'!$E$187),2)</f>
        <v>601.57000000000005</v>
      </c>
      <c r="K1230" s="169">
        <f t="shared" si="78"/>
        <v>735720.1100000001</v>
      </c>
      <c r="L1230" s="153"/>
      <c r="M1230" s="170">
        <v>1223</v>
      </c>
      <c r="N1230" s="164">
        <f>ROUND(F1230*('Model Data Inputs'!$E$184*'Model Data Inputs'!$E$185*'Model Data Inputs'!$E$186*'Model Data Inputs'!$E$187),2)</f>
        <v>205.67</v>
      </c>
      <c r="O1230" s="171">
        <f t="shared" si="79"/>
        <v>251534.40999999997</v>
      </c>
    </row>
    <row r="1231" spans="1:15" x14ac:dyDescent="0.2">
      <c r="A1231" s="168">
        <v>1224</v>
      </c>
      <c r="B1231" s="159">
        <v>601.38013962385003</v>
      </c>
      <c r="C1231" s="169">
        <f t="shared" si="76"/>
        <v>736089.29089959245</v>
      </c>
      <c r="D1231" s="153"/>
      <c r="E1231" s="170">
        <v>1224</v>
      </c>
      <c r="F1231" s="162">
        <v>205.5775589944312</v>
      </c>
      <c r="G1231" s="171">
        <f t="shared" si="77"/>
        <v>251626.93220918378</v>
      </c>
      <c r="I1231" s="168">
        <v>1224</v>
      </c>
      <c r="J1231" s="159">
        <f>ROUND(B1231*('Model Data Inputs'!$E$184*'Model Data Inputs'!$E$185*'Model Data Inputs'!$E$186*'Model Data Inputs'!$E$187),2)</f>
        <v>601.38</v>
      </c>
      <c r="K1231" s="169">
        <f t="shared" si="78"/>
        <v>736089.12</v>
      </c>
      <c r="L1231" s="153"/>
      <c r="M1231" s="170">
        <v>1224</v>
      </c>
      <c r="N1231" s="164">
        <f>ROUND(F1231*('Model Data Inputs'!$E$184*'Model Data Inputs'!$E$185*'Model Data Inputs'!$E$186*'Model Data Inputs'!$E$187),2)</f>
        <v>205.58</v>
      </c>
      <c r="O1231" s="171">
        <f t="shared" si="79"/>
        <v>251629.92</v>
      </c>
    </row>
    <row r="1232" spans="1:15" x14ac:dyDescent="0.2">
      <c r="A1232" s="168">
        <v>1225</v>
      </c>
      <c r="B1232" s="159">
        <v>601.19128397218708</v>
      </c>
      <c r="C1232" s="169">
        <f t="shared" si="76"/>
        <v>736459.32286592922</v>
      </c>
      <c r="D1232" s="153"/>
      <c r="E1232" s="170">
        <v>1225</v>
      </c>
      <c r="F1232" s="162">
        <v>205.48317279295617</v>
      </c>
      <c r="G1232" s="171">
        <f t="shared" si="77"/>
        <v>251716.88667137129</v>
      </c>
      <c r="I1232" s="168">
        <v>1225</v>
      </c>
      <c r="J1232" s="159">
        <f>ROUND(B1232*('Model Data Inputs'!$E$184*'Model Data Inputs'!$E$185*'Model Data Inputs'!$E$186*'Model Data Inputs'!$E$187),2)</f>
        <v>601.19000000000005</v>
      </c>
      <c r="K1232" s="169">
        <f t="shared" si="78"/>
        <v>736457.75000000012</v>
      </c>
      <c r="L1232" s="153"/>
      <c r="M1232" s="170">
        <v>1225</v>
      </c>
      <c r="N1232" s="164">
        <f>ROUND(F1232*('Model Data Inputs'!$E$184*'Model Data Inputs'!$E$185*'Model Data Inputs'!$E$186*'Model Data Inputs'!$E$187),2)</f>
        <v>205.48</v>
      </c>
      <c r="O1232" s="171">
        <f t="shared" si="79"/>
        <v>251713</v>
      </c>
    </row>
    <row r="1233" spans="1:15" x14ac:dyDescent="0.2">
      <c r="A1233" s="168">
        <v>1226</v>
      </c>
      <c r="B1233" s="159">
        <v>601.0024283205239</v>
      </c>
      <c r="C1233" s="169">
        <f t="shared" si="76"/>
        <v>736828.97712096234</v>
      </c>
      <c r="D1233" s="153"/>
      <c r="E1233" s="170">
        <v>1226</v>
      </c>
      <c r="F1233" s="162">
        <v>205.38878659148116</v>
      </c>
      <c r="G1233" s="171">
        <f t="shared" si="77"/>
        <v>251806.6523611559</v>
      </c>
      <c r="I1233" s="168">
        <v>1226</v>
      </c>
      <c r="J1233" s="159">
        <f>ROUND(B1233*('Model Data Inputs'!$E$184*'Model Data Inputs'!$E$185*'Model Data Inputs'!$E$186*'Model Data Inputs'!$E$187),2)</f>
        <v>601</v>
      </c>
      <c r="K1233" s="169">
        <f t="shared" si="78"/>
        <v>736826</v>
      </c>
      <c r="L1233" s="153"/>
      <c r="M1233" s="170">
        <v>1226</v>
      </c>
      <c r="N1233" s="164">
        <f>ROUND(F1233*('Model Data Inputs'!$E$184*'Model Data Inputs'!$E$185*'Model Data Inputs'!$E$186*'Model Data Inputs'!$E$187),2)</f>
        <v>205.39</v>
      </c>
      <c r="O1233" s="171">
        <f t="shared" si="79"/>
        <v>251808.13999999998</v>
      </c>
    </row>
    <row r="1234" spans="1:15" x14ac:dyDescent="0.2">
      <c r="A1234" s="168">
        <v>1227</v>
      </c>
      <c r="B1234" s="159">
        <v>600.81357266886096</v>
      </c>
      <c r="C1234" s="169">
        <f t="shared" si="76"/>
        <v>737198.2536646924</v>
      </c>
      <c r="D1234" s="153"/>
      <c r="E1234" s="170">
        <v>1227</v>
      </c>
      <c r="F1234" s="162">
        <v>205.29440039000605</v>
      </c>
      <c r="G1234" s="171">
        <f t="shared" si="77"/>
        <v>251896.22927853742</v>
      </c>
      <c r="I1234" s="168">
        <v>1227</v>
      </c>
      <c r="J1234" s="159">
        <f>ROUND(B1234*('Model Data Inputs'!$E$184*'Model Data Inputs'!$E$185*'Model Data Inputs'!$E$186*'Model Data Inputs'!$E$187),2)</f>
        <v>600.80999999999995</v>
      </c>
      <c r="K1234" s="169">
        <f t="shared" si="78"/>
        <v>737193.86999999988</v>
      </c>
      <c r="L1234" s="153"/>
      <c r="M1234" s="170">
        <v>1227</v>
      </c>
      <c r="N1234" s="164">
        <f>ROUND(F1234*('Model Data Inputs'!$E$184*'Model Data Inputs'!$E$185*'Model Data Inputs'!$E$186*'Model Data Inputs'!$E$187),2)</f>
        <v>205.29</v>
      </c>
      <c r="O1234" s="171">
        <f t="shared" si="79"/>
        <v>251890.83</v>
      </c>
    </row>
    <row r="1235" spans="1:15" x14ac:dyDescent="0.2">
      <c r="A1235" s="168">
        <v>1228</v>
      </c>
      <c r="B1235" s="159">
        <v>600.6247170171979</v>
      </c>
      <c r="C1235" s="169">
        <f t="shared" si="76"/>
        <v>737567.15249711904</v>
      </c>
      <c r="D1235" s="153"/>
      <c r="E1235" s="170">
        <v>1228</v>
      </c>
      <c r="F1235" s="162">
        <v>205.20001418853101</v>
      </c>
      <c r="G1235" s="171">
        <f t="shared" si="77"/>
        <v>251985.61742351609</v>
      </c>
      <c r="I1235" s="168">
        <v>1228</v>
      </c>
      <c r="J1235" s="159">
        <f>ROUND(B1235*('Model Data Inputs'!$E$184*'Model Data Inputs'!$E$185*'Model Data Inputs'!$E$186*'Model Data Inputs'!$E$187),2)</f>
        <v>600.62</v>
      </c>
      <c r="K1235" s="169">
        <f t="shared" si="78"/>
        <v>737561.36</v>
      </c>
      <c r="L1235" s="153"/>
      <c r="M1235" s="170">
        <v>1228</v>
      </c>
      <c r="N1235" s="164">
        <f>ROUND(F1235*('Model Data Inputs'!$E$184*'Model Data Inputs'!$E$185*'Model Data Inputs'!$E$186*'Model Data Inputs'!$E$187),2)</f>
        <v>205.2</v>
      </c>
      <c r="O1235" s="171">
        <f t="shared" si="79"/>
        <v>251985.59999999998</v>
      </c>
    </row>
    <row r="1236" spans="1:15" x14ac:dyDescent="0.2">
      <c r="A1236" s="168">
        <v>1229</v>
      </c>
      <c r="B1236" s="159">
        <v>600.43586136553495</v>
      </c>
      <c r="C1236" s="169">
        <f t="shared" si="76"/>
        <v>737935.67361824249</v>
      </c>
      <c r="D1236" s="153"/>
      <c r="E1236" s="170">
        <v>1229</v>
      </c>
      <c r="F1236" s="162">
        <v>205.10562798705598</v>
      </c>
      <c r="G1236" s="171">
        <f t="shared" si="77"/>
        <v>252074.81679609179</v>
      </c>
      <c r="I1236" s="168">
        <v>1229</v>
      </c>
      <c r="J1236" s="159">
        <f>ROUND(B1236*('Model Data Inputs'!$E$184*'Model Data Inputs'!$E$185*'Model Data Inputs'!$E$186*'Model Data Inputs'!$E$187),2)</f>
        <v>600.44000000000005</v>
      </c>
      <c r="K1236" s="169">
        <f t="shared" si="78"/>
        <v>737940.76</v>
      </c>
      <c r="L1236" s="153"/>
      <c r="M1236" s="170">
        <v>1229</v>
      </c>
      <c r="N1236" s="164">
        <f>ROUND(F1236*('Model Data Inputs'!$E$184*'Model Data Inputs'!$E$185*'Model Data Inputs'!$E$186*'Model Data Inputs'!$E$187),2)</f>
        <v>205.11</v>
      </c>
      <c r="O1236" s="171">
        <f t="shared" si="79"/>
        <v>252080.19</v>
      </c>
    </row>
    <row r="1237" spans="1:15" x14ac:dyDescent="0.2">
      <c r="A1237" s="168">
        <v>1230</v>
      </c>
      <c r="B1237" s="159">
        <v>600.24700571387189</v>
      </c>
      <c r="C1237" s="169">
        <f t="shared" si="76"/>
        <v>738303.81702806242</v>
      </c>
      <c r="D1237" s="153"/>
      <c r="E1237" s="170">
        <v>1230</v>
      </c>
      <c r="F1237" s="162">
        <v>205.01124178558098</v>
      </c>
      <c r="G1237" s="171">
        <f t="shared" si="77"/>
        <v>252163.82739626459</v>
      </c>
      <c r="I1237" s="168">
        <v>1230</v>
      </c>
      <c r="J1237" s="159">
        <f>ROUND(B1237*('Model Data Inputs'!$E$184*'Model Data Inputs'!$E$185*'Model Data Inputs'!$E$186*'Model Data Inputs'!$E$187),2)</f>
        <v>600.25</v>
      </c>
      <c r="K1237" s="169">
        <f t="shared" si="78"/>
        <v>738307.5</v>
      </c>
      <c r="L1237" s="153"/>
      <c r="M1237" s="170">
        <v>1230</v>
      </c>
      <c r="N1237" s="164">
        <f>ROUND(F1237*('Model Data Inputs'!$E$184*'Model Data Inputs'!$E$185*'Model Data Inputs'!$E$186*'Model Data Inputs'!$E$187),2)</f>
        <v>205.01</v>
      </c>
      <c r="O1237" s="171">
        <f t="shared" si="79"/>
        <v>252162.3</v>
      </c>
    </row>
    <row r="1238" spans="1:15" x14ac:dyDescent="0.2">
      <c r="A1238" s="168">
        <v>1231</v>
      </c>
      <c r="B1238" s="159">
        <v>600.05815006220894</v>
      </c>
      <c r="C1238" s="169">
        <f t="shared" si="76"/>
        <v>738671.58272657916</v>
      </c>
      <c r="D1238" s="153"/>
      <c r="E1238" s="170">
        <v>1231</v>
      </c>
      <c r="F1238" s="162">
        <v>204.91685558410589</v>
      </c>
      <c r="G1238" s="171">
        <f t="shared" si="77"/>
        <v>252252.64922403434</v>
      </c>
      <c r="I1238" s="168">
        <v>1231</v>
      </c>
      <c r="J1238" s="159">
        <f>ROUND(B1238*('Model Data Inputs'!$E$184*'Model Data Inputs'!$E$185*'Model Data Inputs'!$E$186*'Model Data Inputs'!$E$187),2)</f>
        <v>600.05999999999995</v>
      </c>
      <c r="K1238" s="169">
        <f t="shared" si="78"/>
        <v>738673.86</v>
      </c>
      <c r="L1238" s="153"/>
      <c r="M1238" s="170">
        <v>1231</v>
      </c>
      <c r="N1238" s="164">
        <f>ROUND(F1238*('Model Data Inputs'!$E$184*'Model Data Inputs'!$E$185*'Model Data Inputs'!$E$186*'Model Data Inputs'!$E$187),2)</f>
        <v>204.92</v>
      </c>
      <c r="O1238" s="171">
        <f t="shared" si="79"/>
        <v>252256.52</v>
      </c>
    </row>
    <row r="1239" spans="1:15" x14ac:dyDescent="0.2">
      <c r="A1239" s="168">
        <v>1232</v>
      </c>
      <c r="B1239" s="159">
        <v>599.86929441054588</v>
      </c>
      <c r="C1239" s="169">
        <f t="shared" si="76"/>
        <v>739038.97071379249</v>
      </c>
      <c r="D1239" s="153"/>
      <c r="E1239" s="170">
        <v>1232</v>
      </c>
      <c r="F1239" s="162">
        <v>204.82246938263086</v>
      </c>
      <c r="G1239" s="171">
        <f t="shared" si="77"/>
        <v>252341.2822794012</v>
      </c>
      <c r="I1239" s="168">
        <v>1232</v>
      </c>
      <c r="J1239" s="159">
        <f>ROUND(B1239*('Model Data Inputs'!$E$184*'Model Data Inputs'!$E$185*'Model Data Inputs'!$E$186*'Model Data Inputs'!$E$187),2)</f>
        <v>599.87</v>
      </c>
      <c r="K1239" s="169">
        <f t="shared" si="78"/>
        <v>739039.84</v>
      </c>
      <c r="L1239" s="153"/>
      <c r="M1239" s="170">
        <v>1232</v>
      </c>
      <c r="N1239" s="164">
        <f>ROUND(F1239*('Model Data Inputs'!$E$184*'Model Data Inputs'!$E$185*'Model Data Inputs'!$E$186*'Model Data Inputs'!$E$187),2)</f>
        <v>204.82</v>
      </c>
      <c r="O1239" s="171">
        <f t="shared" si="79"/>
        <v>252338.24</v>
      </c>
    </row>
    <row r="1240" spans="1:15" x14ac:dyDescent="0.2">
      <c r="A1240" s="168">
        <v>1233</v>
      </c>
      <c r="B1240" s="159">
        <v>599.68043875888281</v>
      </c>
      <c r="C1240" s="169">
        <f t="shared" si="76"/>
        <v>739405.98098970251</v>
      </c>
      <c r="D1240" s="153"/>
      <c r="E1240" s="170">
        <v>1233</v>
      </c>
      <c r="F1240" s="162">
        <v>204.7280831811558</v>
      </c>
      <c r="G1240" s="171">
        <f t="shared" si="77"/>
        <v>252429.7265623651</v>
      </c>
      <c r="I1240" s="168">
        <v>1233</v>
      </c>
      <c r="J1240" s="159">
        <f>ROUND(B1240*('Model Data Inputs'!$E$184*'Model Data Inputs'!$E$185*'Model Data Inputs'!$E$186*'Model Data Inputs'!$E$187),2)</f>
        <v>599.67999999999995</v>
      </c>
      <c r="K1240" s="169">
        <f t="shared" si="78"/>
        <v>739405.44</v>
      </c>
      <c r="L1240" s="153"/>
      <c r="M1240" s="170">
        <v>1233</v>
      </c>
      <c r="N1240" s="164">
        <f>ROUND(F1240*('Model Data Inputs'!$E$184*'Model Data Inputs'!$E$185*'Model Data Inputs'!$E$186*'Model Data Inputs'!$E$187),2)</f>
        <v>204.73</v>
      </c>
      <c r="O1240" s="171">
        <f t="shared" si="79"/>
        <v>252432.09</v>
      </c>
    </row>
    <row r="1241" spans="1:15" x14ac:dyDescent="0.2">
      <c r="A1241" s="168">
        <v>1234</v>
      </c>
      <c r="B1241" s="159">
        <v>599.49158310721987</v>
      </c>
      <c r="C1241" s="169">
        <f t="shared" si="76"/>
        <v>739772.61355430936</v>
      </c>
      <c r="D1241" s="153"/>
      <c r="E1241" s="170">
        <v>1234</v>
      </c>
      <c r="F1241" s="162">
        <v>204.63369697968082</v>
      </c>
      <c r="G1241" s="171">
        <f t="shared" si="77"/>
        <v>252517.98207292613</v>
      </c>
      <c r="I1241" s="168">
        <v>1234</v>
      </c>
      <c r="J1241" s="159">
        <f>ROUND(B1241*('Model Data Inputs'!$E$184*'Model Data Inputs'!$E$185*'Model Data Inputs'!$E$186*'Model Data Inputs'!$E$187),2)</f>
        <v>599.49</v>
      </c>
      <c r="K1241" s="169">
        <f t="shared" si="78"/>
        <v>739770.66</v>
      </c>
      <c r="L1241" s="153"/>
      <c r="M1241" s="170">
        <v>1234</v>
      </c>
      <c r="N1241" s="164">
        <f>ROUND(F1241*('Model Data Inputs'!$E$184*'Model Data Inputs'!$E$185*'Model Data Inputs'!$E$186*'Model Data Inputs'!$E$187),2)</f>
        <v>204.63</v>
      </c>
      <c r="O1241" s="171">
        <f t="shared" si="79"/>
        <v>252513.41999999998</v>
      </c>
    </row>
    <row r="1242" spans="1:15" x14ac:dyDescent="0.2">
      <c r="A1242" s="168">
        <v>1235</v>
      </c>
      <c r="B1242" s="159">
        <v>599.30272745555692</v>
      </c>
      <c r="C1242" s="169">
        <f t="shared" si="76"/>
        <v>740138.86840761278</v>
      </c>
      <c r="D1242" s="153"/>
      <c r="E1242" s="170">
        <v>1235</v>
      </c>
      <c r="F1242" s="162">
        <v>204.53931077820576</v>
      </c>
      <c r="G1242" s="171">
        <f t="shared" si="77"/>
        <v>252606.04881108413</v>
      </c>
      <c r="I1242" s="168">
        <v>1235</v>
      </c>
      <c r="J1242" s="159">
        <f>ROUND(B1242*('Model Data Inputs'!$E$184*'Model Data Inputs'!$E$185*'Model Data Inputs'!$E$186*'Model Data Inputs'!$E$187),2)</f>
        <v>599.29999999999995</v>
      </c>
      <c r="K1242" s="169">
        <f t="shared" si="78"/>
        <v>740135.5</v>
      </c>
      <c r="L1242" s="153"/>
      <c r="M1242" s="170">
        <v>1235</v>
      </c>
      <c r="N1242" s="164">
        <f>ROUND(F1242*('Model Data Inputs'!$E$184*'Model Data Inputs'!$E$185*'Model Data Inputs'!$E$186*'Model Data Inputs'!$E$187),2)</f>
        <v>204.54</v>
      </c>
      <c r="O1242" s="171">
        <f t="shared" si="79"/>
        <v>252606.9</v>
      </c>
    </row>
    <row r="1243" spans="1:15" x14ac:dyDescent="0.2">
      <c r="A1243" s="168">
        <v>1236</v>
      </c>
      <c r="B1243" s="159">
        <v>599.11387180389397</v>
      </c>
      <c r="C1243" s="169">
        <f t="shared" si="76"/>
        <v>740504.74554961291</v>
      </c>
      <c r="D1243" s="153"/>
      <c r="E1243" s="170">
        <v>1236</v>
      </c>
      <c r="F1243" s="162">
        <v>204.4449245767307</v>
      </c>
      <c r="G1243" s="171">
        <f t="shared" si="77"/>
        <v>252693.92677683916</v>
      </c>
      <c r="I1243" s="168">
        <v>1236</v>
      </c>
      <c r="J1243" s="159">
        <f>ROUND(B1243*('Model Data Inputs'!$E$184*'Model Data Inputs'!$E$185*'Model Data Inputs'!$E$186*'Model Data Inputs'!$E$187),2)</f>
        <v>599.11</v>
      </c>
      <c r="K1243" s="169">
        <f t="shared" si="78"/>
        <v>740499.96</v>
      </c>
      <c r="L1243" s="153"/>
      <c r="M1243" s="170">
        <v>1236</v>
      </c>
      <c r="N1243" s="164">
        <f>ROUND(F1243*('Model Data Inputs'!$E$184*'Model Data Inputs'!$E$185*'Model Data Inputs'!$E$186*'Model Data Inputs'!$E$187),2)</f>
        <v>204.44</v>
      </c>
      <c r="O1243" s="171">
        <f t="shared" si="79"/>
        <v>252687.84</v>
      </c>
    </row>
    <row r="1244" spans="1:15" x14ac:dyDescent="0.2">
      <c r="A1244" s="168">
        <v>1237</v>
      </c>
      <c r="B1244" s="159">
        <v>598.92501615223091</v>
      </c>
      <c r="C1244" s="169">
        <f t="shared" si="76"/>
        <v>740870.24498030962</v>
      </c>
      <c r="D1244" s="153"/>
      <c r="E1244" s="170">
        <v>1237</v>
      </c>
      <c r="F1244" s="162">
        <v>204.35053837525567</v>
      </c>
      <c r="G1244" s="171">
        <f t="shared" si="77"/>
        <v>252781.61597019125</v>
      </c>
      <c r="I1244" s="168">
        <v>1237</v>
      </c>
      <c r="J1244" s="159">
        <f>ROUND(B1244*('Model Data Inputs'!$E$184*'Model Data Inputs'!$E$185*'Model Data Inputs'!$E$186*'Model Data Inputs'!$E$187),2)</f>
        <v>598.92999999999995</v>
      </c>
      <c r="K1244" s="169">
        <f t="shared" si="78"/>
        <v>740876.40999999992</v>
      </c>
      <c r="L1244" s="153"/>
      <c r="M1244" s="170">
        <v>1237</v>
      </c>
      <c r="N1244" s="164">
        <f>ROUND(F1244*('Model Data Inputs'!$E$184*'Model Data Inputs'!$E$185*'Model Data Inputs'!$E$186*'Model Data Inputs'!$E$187),2)</f>
        <v>204.35</v>
      </c>
      <c r="O1244" s="171">
        <f t="shared" si="79"/>
        <v>252780.94999999998</v>
      </c>
    </row>
    <row r="1245" spans="1:15" x14ac:dyDescent="0.2">
      <c r="A1245" s="168">
        <v>1238</v>
      </c>
      <c r="B1245" s="159">
        <v>598.73616050056785</v>
      </c>
      <c r="C1245" s="169">
        <f t="shared" si="76"/>
        <v>741235.36669970304</v>
      </c>
      <c r="D1245" s="153"/>
      <c r="E1245" s="170">
        <v>1238</v>
      </c>
      <c r="F1245" s="162">
        <v>204.25615217378061</v>
      </c>
      <c r="G1245" s="171">
        <f t="shared" si="77"/>
        <v>252869.11639114039</v>
      </c>
      <c r="I1245" s="168">
        <v>1238</v>
      </c>
      <c r="J1245" s="159">
        <f>ROUND(B1245*('Model Data Inputs'!$E$184*'Model Data Inputs'!$E$185*'Model Data Inputs'!$E$186*'Model Data Inputs'!$E$187),2)</f>
        <v>598.74</v>
      </c>
      <c r="K1245" s="169">
        <f t="shared" si="78"/>
        <v>741240.12</v>
      </c>
      <c r="L1245" s="153"/>
      <c r="M1245" s="170">
        <v>1238</v>
      </c>
      <c r="N1245" s="164">
        <f>ROUND(F1245*('Model Data Inputs'!$E$184*'Model Data Inputs'!$E$185*'Model Data Inputs'!$E$186*'Model Data Inputs'!$E$187),2)</f>
        <v>204.26</v>
      </c>
      <c r="O1245" s="171">
        <f t="shared" si="79"/>
        <v>252873.87999999998</v>
      </c>
    </row>
    <row r="1246" spans="1:15" x14ac:dyDescent="0.2">
      <c r="A1246" s="168">
        <v>1239</v>
      </c>
      <c r="B1246" s="159">
        <v>598.54730484890479</v>
      </c>
      <c r="C1246" s="169">
        <f t="shared" si="76"/>
        <v>741600.11070779304</v>
      </c>
      <c r="D1246" s="153"/>
      <c r="E1246" s="170">
        <v>1239</v>
      </c>
      <c r="F1246" s="162">
        <v>204.1617659723056</v>
      </c>
      <c r="G1246" s="171">
        <f t="shared" si="77"/>
        <v>252956.42803968664</v>
      </c>
      <c r="I1246" s="168">
        <v>1239</v>
      </c>
      <c r="J1246" s="159">
        <f>ROUND(B1246*('Model Data Inputs'!$E$184*'Model Data Inputs'!$E$185*'Model Data Inputs'!$E$186*'Model Data Inputs'!$E$187),2)</f>
        <v>598.54999999999995</v>
      </c>
      <c r="K1246" s="169">
        <f t="shared" si="78"/>
        <v>741603.45</v>
      </c>
      <c r="L1246" s="153"/>
      <c r="M1246" s="170">
        <v>1239</v>
      </c>
      <c r="N1246" s="164">
        <f>ROUND(F1246*('Model Data Inputs'!$E$184*'Model Data Inputs'!$E$185*'Model Data Inputs'!$E$186*'Model Data Inputs'!$E$187),2)</f>
        <v>204.16</v>
      </c>
      <c r="O1246" s="171">
        <f t="shared" si="79"/>
        <v>252954.23999999999</v>
      </c>
    </row>
    <row r="1247" spans="1:15" x14ac:dyDescent="0.2">
      <c r="A1247" s="168">
        <v>1240</v>
      </c>
      <c r="B1247" s="159">
        <v>598.3584491972415</v>
      </c>
      <c r="C1247" s="169">
        <f t="shared" si="76"/>
        <v>741964.4770045795</v>
      </c>
      <c r="D1247" s="153"/>
      <c r="E1247" s="170">
        <v>1240</v>
      </c>
      <c r="F1247" s="162">
        <v>204.06737977083057</v>
      </c>
      <c r="G1247" s="171">
        <f t="shared" si="77"/>
        <v>253043.5509158299</v>
      </c>
      <c r="I1247" s="168">
        <v>1240</v>
      </c>
      <c r="J1247" s="159">
        <f>ROUND(B1247*('Model Data Inputs'!$E$184*'Model Data Inputs'!$E$185*'Model Data Inputs'!$E$186*'Model Data Inputs'!$E$187),2)</f>
        <v>598.36</v>
      </c>
      <c r="K1247" s="169">
        <f t="shared" si="78"/>
        <v>741966.4</v>
      </c>
      <c r="L1247" s="153"/>
      <c r="M1247" s="170">
        <v>1240</v>
      </c>
      <c r="N1247" s="164">
        <f>ROUND(F1247*('Model Data Inputs'!$E$184*'Model Data Inputs'!$E$185*'Model Data Inputs'!$E$186*'Model Data Inputs'!$E$187),2)</f>
        <v>204.07</v>
      </c>
      <c r="O1247" s="171">
        <f t="shared" si="79"/>
        <v>253046.8</v>
      </c>
    </row>
    <row r="1248" spans="1:15" x14ac:dyDescent="0.2">
      <c r="A1248" s="168">
        <v>1241</v>
      </c>
      <c r="B1248" s="159">
        <v>598.16959354557878</v>
      </c>
      <c r="C1248" s="169">
        <f t="shared" si="76"/>
        <v>742328.46559006325</v>
      </c>
      <c r="D1248" s="153"/>
      <c r="E1248" s="170">
        <v>1241</v>
      </c>
      <c r="F1248" s="162">
        <v>203.97299356935557</v>
      </c>
      <c r="G1248" s="171">
        <f t="shared" si="77"/>
        <v>253130.48501957025</v>
      </c>
      <c r="I1248" s="168">
        <v>1241</v>
      </c>
      <c r="J1248" s="159">
        <f>ROUND(B1248*('Model Data Inputs'!$E$184*'Model Data Inputs'!$E$185*'Model Data Inputs'!$E$186*'Model Data Inputs'!$E$187),2)</f>
        <v>598.16999999999996</v>
      </c>
      <c r="K1248" s="169">
        <f t="shared" si="78"/>
        <v>742328.97</v>
      </c>
      <c r="L1248" s="153"/>
      <c r="M1248" s="170">
        <v>1241</v>
      </c>
      <c r="N1248" s="164">
        <f>ROUND(F1248*('Model Data Inputs'!$E$184*'Model Data Inputs'!$E$185*'Model Data Inputs'!$E$186*'Model Data Inputs'!$E$187),2)</f>
        <v>203.97</v>
      </c>
      <c r="O1248" s="171">
        <f t="shared" si="79"/>
        <v>253126.77</v>
      </c>
    </row>
    <row r="1249" spans="1:15" x14ac:dyDescent="0.2">
      <c r="A1249" s="168">
        <v>1242</v>
      </c>
      <c r="B1249" s="159">
        <v>597.9807378939156</v>
      </c>
      <c r="C1249" s="169">
        <f t="shared" si="76"/>
        <v>742692.07646424323</v>
      </c>
      <c r="D1249" s="153"/>
      <c r="E1249" s="170">
        <v>1242</v>
      </c>
      <c r="F1249" s="162">
        <v>203.87860736788048</v>
      </c>
      <c r="G1249" s="171">
        <f t="shared" si="77"/>
        <v>253217.23035090754</v>
      </c>
      <c r="I1249" s="168">
        <v>1242</v>
      </c>
      <c r="J1249" s="159">
        <f>ROUND(B1249*('Model Data Inputs'!$E$184*'Model Data Inputs'!$E$185*'Model Data Inputs'!$E$186*'Model Data Inputs'!$E$187),2)</f>
        <v>597.98</v>
      </c>
      <c r="K1249" s="169">
        <f t="shared" si="78"/>
        <v>742691.16</v>
      </c>
      <c r="L1249" s="153"/>
      <c r="M1249" s="170">
        <v>1242</v>
      </c>
      <c r="N1249" s="164">
        <f>ROUND(F1249*('Model Data Inputs'!$E$184*'Model Data Inputs'!$E$185*'Model Data Inputs'!$E$186*'Model Data Inputs'!$E$187),2)</f>
        <v>203.88</v>
      </c>
      <c r="O1249" s="171">
        <f t="shared" si="79"/>
        <v>253218.96</v>
      </c>
    </row>
    <row r="1250" spans="1:15" x14ac:dyDescent="0.2">
      <c r="A1250" s="168">
        <v>1243</v>
      </c>
      <c r="B1250" s="159">
        <v>597.79188224225265</v>
      </c>
      <c r="C1250" s="169">
        <f t="shared" si="76"/>
        <v>743055.30962712003</v>
      </c>
      <c r="D1250" s="153"/>
      <c r="E1250" s="170">
        <v>1243</v>
      </c>
      <c r="F1250" s="162">
        <v>203.78422116640544</v>
      </c>
      <c r="G1250" s="171">
        <f t="shared" si="77"/>
        <v>253303.78690984196</v>
      </c>
      <c r="I1250" s="168">
        <v>1243</v>
      </c>
      <c r="J1250" s="159">
        <f>ROUND(B1250*('Model Data Inputs'!$E$184*'Model Data Inputs'!$E$185*'Model Data Inputs'!$E$186*'Model Data Inputs'!$E$187),2)</f>
        <v>597.79</v>
      </c>
      <c r="K1250" s="169">
        <f t="shared" si="78"/>
        <v>743052.97</v>
      </c>
      <c r="L1250" s="153"/>
      <c r="M1250" s="170">
        <v>1243</v>
      </c>
      <c r="N1250" s="164">
        <f>ROUND(F1250*('Model Data Inputs'!$E$184*'Model Data Inputs'!$E$185*'Model Data Inputs'!$E$186*'Model Data Inputs'!$E$187),2)</f>
        <v>203.78</v>
      </c>
      <c r="O1250" s="171">
        <f t="shared" si="79"/>
        <v>253298.54</v>
      </c>
    </row>
    <row r="1251" spans="1:15" x14ac:dyDescent="0.2">
      <c r="A1251" s="168">
        <v>1244</v>
      </c>
      <c r="B1251" s="159">
        <v>597.60302659058959</v>
      </c>
      <c r="C1251" s="169">
        <f t="shared" si="76"/>
        <v>743418.16507869342</v>
      </c>
      <c r="D1251" s="153"/>
      <c r="E1251" s="170">
        <v>1244</v>
      </c>
      <c r="F1251" s="162">
        <v>203.68983496493041</v>
      </c>
      <c r="G1251" s="171">
        <f t="shared" si="77"/>
        <v>253390.15469637344</v>
      </c>
      <c r="I1251" s="168">
        <v>1244</v>
      </c>
      <c r="J1251" s="159">
        <f>ROUND(B1251*('Model Data Inputs'!$E$184*'Model Data Inputs'!$E$185*'Model Data Inputs'!$E$186*'Model Data Inputs'!$E$187),2)</f>
        <v>597.6</v>
      </c>
      <c r="K1251" s="169">
        <f t="shared" si="78"/>
        <v>743414.4</v>
      </c>
      <c r="L1251" s="153"/>
      <c r="M1251" s="170">
        <v>1244</v>
      </c>
      <c r="N1251" s="164">
        <f>ROUND(F1251*('Model Data Inputs'!$E$184*'Model Data Inputs'!$E$185*'Model Data Inputs'!$E$186*'Model Data Inputs'!$E$187),2)</f>
        <v>203.69</v>
      </c>
      <c r="O1251" s="171">
        <f t="shared" si="79"/>
        <v>253390.36</v>
      </c>
    </row>
    <row r="1252" spans="1:15" x14ac:dyDescent="0.2">
      <c r="A1252" s="168">
        <v>1245</v>
      </c>
      <c r="B1252" s="159">
        <v>597.41417093892676</v>
      </c>
      <c r="C1252" s="169">
        <f t="shared" si="76"/>
        <v>743780.64281896385</v>
      </c>
      <c r="D1252" s="153"/>
      <c r="E1252" s="170">
        <v>1245</v>
      </c>
      <c r="F1252" s="162">
        <v>203.59544876345541</v>
      </c>
      <c r="G1252" s="171">
        <f t="shared" si="77"/>
        <v>253476.33371050199</v>
      </c>
      <c r="I1252" s="168">
        <v>1245</v>
      </c>
      <c r="J1252" s="159">
        <f>ROUND(B1252*('Model Data Inputs'!$E$184*'Model Data Inputs'!$E$185*'Model Data Inputs'!$E$186*'Model Data Inputs'!$E$187),2)</f>
        <v>597.41</v>
      </c>
      <c r="K1252" s="169">
        <f t="shared" si="78"/>
        <v>743775.45</v>
      </c>
      <c r="L1252" s="153"/>
      <c r="M1252" s="170">
        <v>1245</v>
      </c>
      <c r="N1252" s="164">
        <f>ROUND(F1252*('Model Data Inputs'!$E$184*'Model Data Inputs'!$E$185*'Model Data Inputs'!$E$186*'Model Data Inputs'!$E$187),2)</f>
        <v>203.6</v>
      </c>
      <c r="O1252" s="171">
        <f t="shared" si="79"/>
        <v>253482</v>
      </c>
    </row>
    <row r="1253" spans="1:15" x14ac:dyDescent="0.2">
      <c r="A1253" s="168">
        <v>1246</v>
      </c>
      <c r="B1253" s="159">
        <v>597.22531528726358</v>
      </c>
      <c r="C1253" s="169">
        <f t="shared" si="76"/>
        <v>744142.74284793041</v>
      </c>
      <c r="D1253" s="153"/>
      <c r="E1253" s="170">
        <v>1246</v>
      </c>
      <c r="F1253" s="162">
        <v>203.50106256198035</v>
      </c>
      <c r="G1253" s="171">
        <f t="shared" si="77"/>
        <v>253562.32395222751</v>
      </c>
      <c r="I1253" s="168">
        <v>1246</v>
      </c>
      <c r="J1253" s="159">
        <f>ROUND(B1253*('Model Data Inputs'!$E$184*'Model Data Inputs'!$E$185*'Model Data Inputs'!$E$186*'Model Data Inputs'!$E$187),2)</f>
        <v>597.23</v>
      </c>
      <c r="K1253" s="169">
        <f t="shared" si="78"/>
        <v>744148.58000000007</v>
      </c>
      <c r="L1253" s="153"/>
      <c r="M1253" s="170">
        <v>1246</v>
      </c>
      <c r="N1253" s="164">
        <f>ROUND(F1253*('Model Data Inputs'!$E$184*'Model Data Inputs'!$E$185*'Model Data Inputs'!$E$186*'Model Data Inputs'!$E$187),2)</f>
        <v>203.5</v>
      </c>
      <c r="O1253" s="171">
        <f t="shared" si="79"/>
        <v>253561</v>
      </c>
    </row>
    <row r="1254" spans="1:15" x14ac:dyDescent="0.2">
      <c r="A1254" s="168">
        <v>1247</v>
      </c>
      <c r="B1254" s="159">
        <v>597.03645963560052</v>
      </c>
      <c r="C1254" s="169">
        <f t="shared" si="76"/>
        <v>744504.46516559389</v>
      </c>
      <c r="D1254" s="153"/>
      <c r="E1254" s="170">
        <v>1247</v>
      </c>
      <c r="F1254" s="162">
        <v>203.40667636050532</v>
      </c>
      <c r="G1254" s="171">
        <f t="shared" si="77"/>
        <v>253648.12542155012</v>
      </c>
      <c r="I1254" s="168">
        <v>1247</v>
      </c>
      <c r="J1254" s="159">
        <f>ROUND(B1254*('Model Data Inputs'!$E$184*'Model Data Inputs'!$E$185*'Model Data Inputs'!$E$186*'Model Data Inputs'!$E$187),2)</f>
        <v>597.04</v>
      </c>
      <c r="K1254" s="169">
        <f t="shared" si="78"/>
        <v>744508.88</v>
      </c>
      <c r="L1254" s="153"/>
      <c r="M1254" s="170">
        <v>1247</v>
      </c>
      <c r="N1254" s="164">
        <f>ROUND(F1254*('Model Data Inputs'!$E$184*'Model Data Inputs'!$E$185*'Model Data Inputs'!$E$186*'Model Data Inputs'!$E$187),2)</f>
        <v>203.41</v>
      </c>
      <c r="O1254" s="171">
        <f t="shared" si="79"/>
        <v>253652.27</v>
      </c>
    </row>
    <row r="1255" spans="1:15" x14ac:dyDescent="0.2">
      <c r="A1255" s="168">
        <v>1248</v>
      </c>
      <c r="B1255" s="159">
        <v>596.84760398393757</v>
      </c>
      <c r="C1255" s="169">
        <f t="shared" si="76"/>
        <v>744865.80977195408</v>
      </c>
      <c r="D1255" s="153"/>
      <c r="E1255" s="170">
        <v>1248</v>
      </c>
      <c r="F1255" s="162">
        <v>203.31229015903025</v>
      </c>
      <c r="G1255" s="171">
        <f t="shared" si="77"/>
        <v>253733.73811846974</v>
      </c>
      <c r="I1255" s="168">
        <v>1248</v>
      </c>
      <c r="J1255" s="159">
        <f>ROUND(B1255*('Model Data Inputs'!$E$184*'Model Data Inputs'!$E$185*'Model Data Inputs'!$E$186*'Model Data Inputs'!$E$187),2)</f>
        <v>596.85</v>
      </c>
      <c r="K1255" s="169">
        <f t="shared" si="78"/>
        <v>744868.8</v>
      </c>
      <c r="L1255" s="153"/>
      <c r="M1255" s="170">
        <v>1248</v>
      </c>
      <c r="N1255" s="164">
        <f>ROUND(F1255*('Model Data Inputs'!$E$184*'Model Data Inputs'!$E$185*'Model Data Inputs'!$E$186*'Model Data Inputs'!$E$187),2)</f>
        <v>203.31</v>
      </c>
      <c r="O1255" s="171">
        <f t="shared" si="79"/>
        <v>253730.88</v>
      </c>
    </row>
    <row r="1256" spans="1:15" x14ac:dyDescent="0.2">
      <c r="A1256" s="168">
        <v>1249</v>
      </c>
      <c r="B1256" s="159">
        <v>596.65874833227463</v>
      </c>
      <c r="C1256" s="169">
        <f t="shared" si="76"/>
        <v>745226.77666701097</v>
      </c>
      <c r="D1256" s="153"/>
      <c r="E1256" s="170">
        <v>1249</v>
      </c>
      <c r="F1256" s="162">
        <v>203.21790395755525</v>
      </c>
      <c r="G1256" s="171">
        <f t="shared" si="77"/>
        <v>253819.16204298651</v>
      </c>
      <c r="I1256" s="168">
        <v>1249</v>
      </c>
      <c r="J1256" s="159">
        <f>ROUND(B1256*('Model Data Inputs'!$E$184*'Model Data Inputs'!$E$185*'Model Data Inputs'!$E$186*'Model Data Inputs'!$E$187),2)</f>
        <v>596.66</v>
      </c>
      <c r="K1256" s="169">
        <f t="shared" si="78"/>
        <v>745228.34</v>
      </c>
      <c r="L1256" s="153"/>
      <c r="M1256" s="170">
        <v>1249</v>
      </c>
      <c r="N1256" s="164">
        <f>ROUND(F1256*('Model Data Inputs'!$E$184*'Model Data Inputs'!$E$185*'Model Data Inputs'!$E$186*'Model Data Inputs'!$E$187),2)</f>
        <v>203.22</v>
      </c>
      <c r="O1256" s="171">
        <f t="shared" si="79"/>
        <v>253821.78</v>
      </c>
    </row>
    <row r="1257" spans="1:15" x14ac:dyDescent="0.2">
      <c r="A1257" s="168">
        <v>1250</v>
      </c>
      <c r="B1257" s="159">
        <v>596.46989268061157</v>
      </c>
      <c r="C1257" s="169">
        <f t="shared" si="76"/>
        <v>745587.36585076444</v>
      </c>
      <c r="D1257" s="153"/>
      <c r="E1257" s="170">
        <v>1250</v>
      </c>
      <c r="F1257" s="162">
        <v>203.12351775608019</v>
      </c>
      <c r="G1257" s="171">
        <f t="shared" si="77"/>
        <v>253904.39719510023</v>
      </c>
      <c r="I1257" s="168">
        <v>1250</v>
      </c>
      <c r="J1257" s="159">
        <f>ROUND(B1257*('Model Data Inputs'!$E$184*'Model Data Inputs'!$E$185*'Model Data Inputs'!$E$186*'Model Data Inputs'!$E$187),2)</f>
        <v>596.47</v>
      </c>
      <c r="K1257" s="169">
        <f t="shared" si="78"/>
        <v>745587.5</v>
      </c>
      <c r="L1257" s="153"/>
      <c r="M1257" s="170">
        <v>1250</v>
      </c>
      <c r="N1257" s="164">
        <f>ROUND(F1257*('Model Data Inputs'!$E$184*'Model Data Inputs'!$E$185*'Model Data Inputs'!$E$186*'Model Data Inputs'!$E$187),2)</f>
        <v>203.12</v>
      </c>
      <c r="O1257" s="171">
        <f t="shared" si="79"/>
        <v>253900</v>
      </c>
    </row>
    <row r="1258" spans="1:15" x14ac:dyDescent="0.2">
      <c r="A1258" s="168">
        <v>1251</v>
      </c>
      <c r="B1258" s="159">
        <v>596.2810370289485</v>
      </c>
      <c r="C1258" s="169">
        <f t="shared" si="76"/>
        <v>745947.57732321462</v>
      </c>
      <c r="D1258" s="153"/>
      <c r="E1258" s="170">
        <v>1251</v>
      </c>
      <c r="F1258" s="162">
        <v>203.02913155460519</v>
      </c>
      <c r="G1258" s="171">
        <f t="shared" si="77"/>
        <v>253989.4435748111</v>
      </c>
      <c r="I1258" s="168">
        <v>1251</v>
      </c>
      <c r="J1258" s="159">
        <f>ROUND(B1258*('Model Data Inputs'!$E$184*'Model Data Inputs'!$E$185*'Model Data Inputs'!$E$186*'Model Data Inputs'!$E$187),2)</f>
        <v>596.28</v>
      </c>
      <c r="K1258" s="169">
        <f t="shared" si="78"/>
        <v>745946.27999999991</v>
      </c>
      <c r="L1258" s="153"/>
      <c r="M1258" s="170">
        <v>1251</v>
      </c>
      <c r="N1258" s="164">
        <f>ROUND(F1258*('Model Data Inputs'!$E$184*'Model Data Inputs'!$E$185*'Model Data Inputs'!$E$186*'Model Data Inputs'!$E$187),2)</f>
        <v>203.03</v>
      </c>
      <c r="O1258" s="171">
        <f t="shared" si="79"/>
        <v>253990.53</v>
      </c>
    </row>
    <row r="1259" spans="1:15" x14ac:dyDescent="0.2">
      <c r="A1259" s="168">
        <v>1252</v>
      </c>
      <c r="B1259" s="159">
        <v>596.09218137728556</v>
      </c>
      <c r="C1259" s="169">
        <f t="shared" si="76"/>
        <v>746307.41108436149</v>
      </c>
      <c r="D1259" s="153"/>
      <c r="E1259" s="170">
        <v>1252</v>
      </c>
      <c r="F1259" s="162">
        <v>202.93474535313015</v>
      </c>
      <c r="G1259" s="171">
        <f t="shared" si="77"/>
        <v>254074.30118211894</v>
      </c>
      <c r="I1259" s="168">
        <v>1252</v>
      </c>
      <c r="J1259" s="159">
        <f>ROUND(B1259*('Model Data Inputs'!$E$184*'Model Data Inputs'!$E$185*'Model Data Inputs'!$E$186*'Model Data Inputs'!$E$187),2)</f>
        <v>596.09</v>
      </c>
      <c r="K1259" s="169">
        <f t="shared" si="78"/>
        <v>746304.68</v>
      </c>
      <c r="L1259" s="153"/>
      <c r="M1259" s="170">
        <v>1252</v>
      </c>
      <c r="N1259" s="164">
        <f>ROUND(F1259*('Model Data Inputs'!$E$184*'Model Data Inputs'!$E$185*'Model Data Inputs'!$E$186*'Model Data Inputs'!$E$187),2)</f>
        <v>202.93</v>
      </c>
      <c r="O1259" s="171">
        <f t="shared" si="79"/>
        <v>254068.36000000002</v>
      </c>
    </row>
    <row r="1260" spans="1:15" x14ac:dyDescent="0.2">
      <c r="A1260" s="168">
        <v>1253</v>
      </c>
      <c r="B1260" s="159">
        <v>595.90332572562249</v>
      </c>
      <c r="C1260" s="169">
        <f t="shared" si="76"/>
        <v>746666.86713420495</v>
      </c>
      <c r="D1260" s="153"/>
      <c r="E1260" s="170">
        <v>1253</v>
      </c>
      <c r="F1260" s="162">
        <v>202.84035915165504</v>
      </c>
      <c r="G1260" s="171">
        <f t="shared" si="77"/>
        <v>254158.97001702376</v>
      </c>
      <c r="I1260" s="168">
        <v>1253</v>
      </c>
      <c r="J1260" s="159">
        <f>ROUND(B1260*('Model Data Inputs'!$E$184*'Model Data Inputs'!$E$185*'Model Data Inputs'!$E$186*'Model Data Inputs'!$E$187),2)</f>
        <v>595.9</v>
      </c>
      <c r="K1260" s="169">
        <f t="shared" si="78"/>
        <v>746662.7</v>
      </c>
      <c r="L1260" s="153"/>
      <c r="M1260" s="170">
        <v>1253</v>
      </c>
      <c r="N1260" s="164">
        <f>ROUND(F1260*('Model Data Inputs'!$E$184*'Model Data Inputs'!$E$185*'Model Data Inputs'!$E$186*'Model Data Inputs'!$E$187),2)</f>
        <v>202.84</v>
      </c>
      <c r="O1260" s="171">
        <f t="shared" si="79"/>
        <v>254158.52000000002</v>
      </c>
    </row>
    <row r="1261" spans="1:15" x14ac:dyDescent="0.2">
      <c r="A1261" s="168">
        <v>1254</v>
      </c>
      <c r="B1261" s="159">
        <v>595.71447007395955</v>
      </c>
      <c r="C1261" s="169">
        <f t="shared" si="76"/>
        <v>747025.94547274522</v>
      </c>
      <c r="D1261" s="153"/>
      <c r="E1261" s="170">
        <v>1254</v>
      </c>
      <c r="F1261" s="162">
        <v>202.74597295018003</v>
      </c>
      <c r="G1261" s="171">
        <f t="shared" si="77"/>
        <v>254243.45007952576</v>
      </c>
      <c r="I1261" s="168">
        <v>1254</v>
      </c>
      <c r="J1261" s="159">
        <f>ROUND(B1261*('Model Data Inputs'!$E$184*'Model Data Inputs'!$E$185*'Model Data Inputs'!$E$186*'Model Data Inputs'!$E$187),2)</f>
        <v>595.71</v>
      </c>
      <c r="K1261" s="169">
        <f t="shared" si="78"/>
        <v>747020.34000000008</v>
      </c>
      <c r="L1261" s="153"/>
      <c r="M1261" s="170">
        <v>1254</v>
      </c>
      <c r="N1261" s="164">
        <f>ROUND(F1261*('Model Data Inputs'!$E$184*'Model Data Inputs'!$E$185*'Model Data Inputs'!$E$186*'Model Data Inputs'!$E$187),2)</f>
        <v>202.75</v>
      </c>
      <c r="O1261" s="171">
        <f t="shared" si="79"/>
        <v>254248.5</v>
      </c>
    </row>
    <row r="1262" spans="1:15" x14ac:dyDescent="0.2">
      <c r="A1262" s="168">
        <v>1255</v>
      </c>
      <c r="B1262" s="159">
        <v>595.52561442229637</v>
      </c>
      <c r="C1262" s="169">
        <f t="shared" si="76"/>
        <v>747384.64609998197</v>
      </c>
      <c r="D1262" s="153"/>
      <c r="E1262" s="170">
        <v>1255</v>
      </c>
      <c r="F1262" s="162">
        <v>202.65158674870497</v>
      </c>
      <c r="G1262" s="171">
        <f t="shared" si="77"/>
        <v>254327.74136962474</v>
      </c>
      <c r="I1262" s="168">
        <v>1255</v>
      </c>
      <c r="J1262" s="159">
        <f>ROUND(B1262*('Model Data Inputs'!$E$184*'Model Data Inputs'!$E$185*'Model Data Inputs'!$E$186*'Model Data Inputs'!$E$187),2)</f>
        <v>595.53</v>
      </c>
      <c r="K1262" s="169">
        <f t="shared" si="78"/>
        <v>747390.15</v>
      </c>
      <c r="L1262" s="153"/>
      <c r="M1262" s="170">
        <v>1255</v>
      </c>
      <c r="N1262" s="164">
        <f>ROUND(F1262*('Model Data Inputs'!$E$184*'Model Data Inputs'!$E$185*'Model Data Inputs'!$E$186*'Model Data Inputs'!$E$187),2)</f>
        <v>202.65</v>
      </c>
      <c r="O1262" s="171">
        <f t="shared" si="79"/>
        <v>254325.75</v>
      </c>
    </row>
    <row r="1263" spans="1:15" x14ac:dyDescent="0.2">
      <c r="A1263" s="168">
        <v>1256</v>
      </c>
      <c r="B1263" s="159">
        <v>595.33675877063342</v>
      </c>
      <c r="C1263" s="169">
        <f t="shared" si="76"/>
        <v>747742.96901591553</v>
      </c>
      <c r="D1263" s="153"/>
      <c r="E1263" s="170">
        <v>1256</v>
      </c>
      <c r="F1263" s="162">
        <v>202.55720054722997</v>
      </c>
      <c r="G1263" s="171">
        <f t="shared" si="77"/>
        <v>254411.84388732084</v>
      </c>
      <c r="I1263" s="168">
        <v>1256</v>
      </c>
      <c r="J1263" s="159">
        <f>ROUND(B1263*('Model Data Inputs'!$E$184*'Model Data Inputs'!$E$185*'Model Data Inputs'!$E$186*'Model Data Inputs'!$E$187),2)</f>
        <v>595.34</v>
      </c>
      <c r="K1263" s="169">
        <f t="shared" si="78"/>
        <v>747747.04</v>
      </c>
      <c r="L1263" s="153"/>
      <c r="M1263" s="170">
        <v>1256</v>
      </c>
      <c r="N1263" s="164">
        <f>ROUND(F1263*('Model Data Inputs'!$E$184*'Model Data Inputs'!$E$185*'Model Data Inputs'!$E$186*'Model Data Inputs'!$E$187),2)</f>
        <v>202.56</v>
      </c>
      <c r="O1263" s="171">
        <f t="shared" si="79"/>
        <v>254415.36000000002</v>
      </c>
    </row>
    <row r="1264" spans="1:15" x14ac:dyDescent="0.2">
      <c r="A1264" s="168">
        <v>1257</v>
      </c>
      <c r="B1264" s="159">
        <v>595.14790311897048</v>
      </c>
      <c r="C1264" s="169">
        <f t="shared" si="76"/>
        <v>748100.91422054591</v>
      </c>
      <c r="D1264" s="153"/>
      <c r="E1264" s="170">
        <v>1257</v>
      </c>
      <c r="F1264" s="162">
        <v>202.46281434575488</v>
      </c>
      <c r="G1264" s="171">
        <f t="shared" si="77"/>
        <v>254495.75763261388</v>
      </c>
      <c r="I1264" s="168">
        <v>1257</v>
      </c>
      <c r="J1264" s="159">
        <f>ROUND(B1264*('Model Data Inputs'!$E$184*'Model Data Inputs'!$E$185*'Model Data Inputs'!$E$186*'Model Data Inputs'!$E$187),2)</f>
        <v>595.15</v>
      </c>
      <c r="K1264" s="169">
        <f t="shared" si="78"/>
        <v>748103.54999999993</v>
      </c>
      <c r="L1264" s="153"/>
      <c r="M1264" s="170">
        <v>1257</v>
      </c>
      <c r="N1264" s="164">
        <f>ROUND(F1264*('Model Data Inputs'!$E$184*'Model Data Inputs'!$E$185*'Model Data Inputs'!$E$186*'Model Data Inputs'!$E$187),2)</f>
        <v>202.46</v>
      </c>
      <c r="O1264" s="171">
        <f t="shared" si="79"/>
        <v>254492.22</v>
      </c>
    </row>
    <row r="1265" spans="1:15" x14ac:dyDescent="0.2">
      <c r="A1265" s="168">
        <v>1258</v>
      </c>
      <c r="B1265" s="159">
        <v>594.95904746730753</v>
      </c>
      <c r="C1265" s="169">
        <f t="shared" si="76"/>
        <v>748458.48171387287</v>
      </c>
      <c r="D1265" s="153"/>
      <c r="E1265" s="170">
        <v>1258</v>
      </c>
      <c r="F1265" s="162">
        <v>202.36842814427987</v>
      </c>
      <c r="G1265" s="171">
        <f t="shared" si="77"/>
        <v>254579.48260550408</v>
      </c>
      <c r="I1265" s="168">
        <v>1258</v>
      </c>
      <c r="J1265" s="159">
        <f>ROUND(B1265*('Model Data Inputs'!$E$184*'Model Data Inputs'!$E$185*'Model Data Inputs'!$E$186*'Model Data Inputs'!$E$187),2)</f>
        <v>594.96</v>
      </c>
      <c r="K1265" s="169">
        <f t="shared" si="78"/>
        <v>748459.68</v>
      </c>
      <c r="L1265" s="153"/>
      <c r="M1265" s="170">
        <v>1258</v>
      </c>
      <c r="N1265" s="164">
        <f>ROUND(F1265*('Model Data Inputs'!$E$184*'Model Data Inputs'!$E$185*'Model Data Inputs'!$E$186*'Model Data Inputs'!$E$187),2)</f>
        <v>202.37</v>
      </c>
      <c r="O1265" s="171">
        <f t="shared" si="79"/>
        <v>254581.46</v>
      </c>
    </row>
    <row r="1266" spans="1:15" x14ac:dyDescent="0.2">
      <c r="A1266" s="168">
        <v>1259</v>
      </c>
      <c r="B1266" s="159">
        <v>594.77019181564435</v>
      </c>
      <c r="C1266" s="169">
        <f t="shared" si="76"/>
        <v>748815.67149589618</v>
      </c>
      <c r="D1266" s="153"/>
      <c r="E1266" s="170">
        <v>1259</v>
      </c>
      <c r="F1266" s="162">
        <v>202.27404194280484</v>
      </c>
      <c r="G1266" s="171">
        <f t="shared" si="77"/>
        <v>254663.01880599131</v>
      </c>
      <c r="I1266" s="168">
        <v>1259</v>
      </c>
      <c r="J1266" s="159">
        <f>ROUND(B1266*('Model Data Inputs'!$E$184*'Model Data Inputs'!$E$185*'Model Data Inputs'!$E$186*'Model Data Inputs'!$E$187),2)</f>
        <v>594.77</v>
      </c>
      <c r="K1266" s="169">
        <f t="shared" si="78"/>
        <v>748815.42999999993</v>
      </c>
      <c r="L1266" s="153"/>
      <c r="M1266" s="170">
        <v>1259</v>
      </c>
      <c r="N1266" s="164">
        <f>ROUND(F1266*('Model Data Inputs'!$E$184*'Model Data Inputs'!$E$185*'Model Data Inputs'!$E$186*'Model Data Inputs'!$E$187),2)</f>
        <v>202.27</v>
      </c>
      <c r="O1266" s="171">
        <f t="shared" si="79"/>
        <v>254657.93000000002</v>
      </c>
    </row>
    <row r="1267" spans="1:15" ht="13.5" thickBot="1" x14ac:dyDescent="0.25">
      <c r="A1267" s="168">
        <v>1260</v>
      </c>
      <c r="B1267" s="159">
        <v>594.63366392643309</v>
      </c>
      <c r="C1267" s="169">
        <f t="shared" si="76"/>
        <v>749238.41654730565</v>
      </c>
      <c r="D1267" s="153"/>
      <c r="E1267" s="172">
        <v>1260</v>
      </c>
      <c r="F1267" s="173">
        <v>202.17965574132984</v>
      </c>
      <c r="G1267" s="174">
        <f t="shared" si="77"/>
        <v>254746.3662340756</v>
      </c>
      <c r="I1267" s="168">
        <v>1260</v>
      </c>
      <c r="J1267" s="159">
        <f>ROUND(B1267*('Model Data Inputs'!$E$184*'Model Data Inputs'!$E$185*'Model Data Inputs'!$E$186*'Model Data Inputs'!$E$187),2)</f>
        <v>594.63</v>
      </c>
      <c r="K1267" s="169">
        <f t="shared" si="78"/>
        <v>749233.8</v>
      </c>
      <c r="L1267" s="153"/>
      <c r="M1267" s="172">
        <v>1260</v>
      </c>
      <c r="N1267" s="175">
        <f>ROUND(F1267*('Model Data Inputs'!$E$184*'Model Data Inputs'!$E$185*'Model Data Inputs'!$E$186*'Model Data Inputs'!$E$187),2)</f>
        <v>202.18</v>
      </c>
      <c r="O1267" s="174">
        <f t="shared" si="79"/>
        <v>254746.80000000002</v>
      </c>
    </row>
    <row r="1268" spans="1:15" x14ac:dyDescent="0.2">
      <c r="A1268" s="168">
        <v>1261</v>
      </c>
      <c r="B1268" s="159">
        <v>594.63366392643309</v>
      </c>
      <c r="C1268" s="169">
        <f t="shared" si="76"/>
        <v>749833.05021123216</v>
      </c>
      <c r="D1268" s="153"/>
      <c r="E1268" s="153"/>
      <c r="F1268" s="153"/>
      <c r="G1268" s="153"/>
      <c r="I1268" s="168">
        <v>1261</v>
      </c>
      <c r="J1268" s="159">
        <f>ROUND(B1268*('Model Data Inputs'!$E$184*'Model Data Inputs'!$E$185*'Model Data Inputs'!$E$186*'Model Data Inputs'!$E$187),2)</f>
        <v>594.63</v>
      </c>
      <c r="K1268" s="169">
        <f t="shared" si="78"/>
        <v>749828.43</v>
      </c>
      <c r="L1268" s="153"/>
      <c r="M1268" s="153"/>
      <c r="N1268" s="153"/>
      <c r="O1268" s="153"/>
    </row>
    <row r="1269" spans="1:15" x14ac:dyDescent="0.2">
      <c r="A1269" s="168">
        <v>1262</v>
      </c>
      <c r="B1269" s="159">
        <v>594.63366392643309</v>
      </c>
      <c r="C1269" s="169">
        <f t="shared" si="76"/>
        <v>750427.68387515855</v>
      </c>
      <c r="D1269" s="153"/>
      <c r="E1269" s="153"/>
      <c r="F1269" s="153"/>
      <c r="G1269" s="153"/>
      <c r="I1269" s="168">
        <v>1262</v>
      </c>
      <c r="J1269" s="159">
        <f>ROUND(B1269*('Model Data Inputs'!$E$184*'Model Data Inputs'!$E$185*'Model Data Inputs'!$E$186*'Model Data Inputs'!$E$187),2)</f>
        <v>594.63</v>
      </c>
      <c r="K1269" s="169">
        <f t="shared" si="78"/>
        <v>750423.05999999994</v>
      </c>
      <c r="L1269" s="153"/>
      <c r="M1269" s="153"/>
      <c r="N1269" s="153"/>
      <c r="O1269" s="153"/>
    </row>
    <row r="1270" spans="1:15" x14ac:dyDescent="0.2">
      <c r="A1270" s="168">
        <v>1263</v>
      </c>
      <c r="B1270" s="159">
        <v>594.63366392643309</v>
      </c>
      <c r="C1270" s="169">
        <f t="shared" si="76"/>
        <v>751022.31753908494</v>
      </c>
      <c r="D1270" s="153"/>
      <c r="E1270" s="153"/>
      <c r="F1270" s="153"/>
      <c r="G1270" s="153"/>
      <c r="I1270" s="168">
        <v>1263</v>
      </c>
      <c r="J1270" s="159">
        <f>ROUND(B1270*('Model Data Inputs'!$E$184*'Model Data Inputs'!$E$185*'Model Data Inputs'!$E$186*'Model Data Inputs'!$E$187),2)</f>
        <v>594.63</v>
      </c>
      <c r="K1270" s="169">
        <f t="shared" si="78"/>
        <v>751017.69</v>
      </c>
      <c r="L1270" s="153"/>
      <c r="M1270" s="153"/>
      <c r="N1270" s="153"/>
      <c r="O1270" s="153"/>
    </row>
    <row r="1271" spans="1:15" x14ac:dyDescent="0.2">
      <c r="A1271" s="168">
        <v>1264</v>
      </c>
      <c r="B1271" s="159">
        <v>594.63366392643309</v>
      </c>
      <c r="C1271" s="169">
        <f t="shared" si="76"/>
        <v>751616.95120301144</v>
      </c>
      <c r="D1271" s="153"/>
      <c r="E1271" s="153"/>
      <c r="F1271" s="153"/>
      <c r="G1271" s="153"/>
      <c r="I1271" s="168">
        <v>1264</v>
      </c>
      <c r="J1271" s="159">
        <f>ROUND(B1271*('Model Data Inputs'!$E$184*'Model Data Inputs'!$E$185*'Model Data Inputs'!$E$186*'Model Data Inputs'!$E$187),2)</f>
        <v>594.63</v>
      </c>
      <c r="K1271" s="169">
        <f t="shared" si="78"/>
        <v>751612.32</v>
      </c>
      <c r="L1271" s="153"/>
      <c r="M1271" s="153"/>
      <c r="N1271" s="153"/>
      <c r="O1271" s="153"/>
    </row>
    <row r="1272" spans="1:15" x14ac:dyDescent="0.2">
      <c r="A1272" s="168">
        <v>1265</v>
      </c>
      <c r="B1272" s="159">
        <v>594.63366392643309</v>
      </c>
      <c r="C1272" s="169">
        <f t="shared" si="76"/>
        <v>752211.58486693783</v>
      </c>
      <c r="D1272" s="153"/>
      <c r="E1272" s="153"/>
      <c r="F1272" s="153"/>
      <c r="G1272" s="153"/>
      <c r="I1272" s="168">
        <v>1265</v>
      </c>
      <c r="J1272" s="159">
        <f>ROUND(B1272*('Model Data Inputs'!$E$184*'Model Data Inputs'!$E$185*'Model Data Inputs'!$E$186*'Model Data Inputs'!$E$187),2)</f>
        <v>594.63</v>
      </c>
      <c r="K1272" s="169">
        <f t="shared" si="78"/>
        <v>752206.95</v>
      </c>
      <c r="L1272" s="153"/>
      <c r="M1272" s="153"/>
      <c r="N1272" s="153"/>
      <c r="O1272" s="153"/>
    </row>
    <row r="1273" spans="1:15" x14ac:dyDescent="0.2">
      <c r="A1273" s="168">
        <v>1266</v>
      </c>
      <c r="B1273" s="159">
        <v>594.63366392643309</v>
      </c>
      <c r="C1273" s="169">
        <f t="shared" si="76"/>
        <v>752806.21853086434</v>
      </c>
      <c r="D1273" s="153"/>
      <c r="E1273" s="153"/>
      <c r="F1273" s="153"/>
      <c r="G1273" s="153"/>
      <c r="I1273" s="168">
        <v>1266</v>
      </c>
      <c r="J1273" s="159">
        <f>ROUND(B1273*('Model Data Inputs'!$E$184*'Model Data Inputs'!$E$185*'Model Data Inputs'!$E$186*'Model Data Inputs'!$E$187),2)</f>
        <v>594.63</v>
      </c>
      <c r="K1273" s="169">
        <f t="shared" si="78"/>
        <v>752801.58</v>
      </c>
      <c r="L1273" s="153"/>
      <c r="M1273" s="153"/>
      <c r="N1273" s="153"/>
      <c r="O1273" s="153"/>
    </row>
    <row r="1274" spans="1:15" x14ac:dyDescent="0.2">
      <c r="A1274" s="168">
        <v>1267</v>
      </c>
      <c r="B1274" s="159">
        <v>594.63366392643309</v>
      </c>
      <c r="C1274" s="169">
        <f t="shared" si="76"/>
        <v>753400.85219479073</v>
      </c>
      <c r="D1274" s="153"/>
      <c r="E1274" s="153"/>
      <c r="F1274" s="153"/>
      <c r="G1274" s="153"/>
      <c r="I1274" s="168">
        <v>1267</v>
      </c>
      <c r="J1274" s="159">
        <f>ROUND(B1274*('Model Data Inputs'!$E$184*'Model Data Inputs'!$E$185*'Model Data Inputs'!$E$186*'Model Data Inputs'!$E$187),2)</f>
        <v>594.63</v>
      </c>
      <c r="K1274" s="169">
        <f t="shared" si="78"/>
        <v>753396.21</v>
      </c>
      <c r="L1274" s="153"/>
      <c r="M1274" s="153"/>
      <c r="N1274" s="153"/>
      <c r="O1274" s="153"/>
    </row>
    <row r="1275" spans="1:15" x14ac:dyDescent="0.2">
      <c r="A1275" s="168">
        <v>1268</v>
      </c>
      <c r="B1275" s="159">
        <v>594.63366392643309</v>
      </c>
      <c r="C1275" s="169">
        <f t="shared" si="76"/>
        <v>753995.48585871712</v>
      </c>
      <c r="D1275" s="153"/>
      <c r="E1275" s="153"/>
      <c r="F1275" s="153"/>
      <c r="G1275" s="153"/>
      <c r="I1275" s="168">
        <v>1268</v>
      </c>
      <c r="J1275" s="159">
        <f>ROUND(B1275*('Model Data Inputs'!$E$184*'Model Data Inputs'!$E$185*'Model Data Inputs'!$E$186*'Model Data Inputs'!$E$187),2)</f>
        <v>594.63</v>
      </c>
      <c r="K1275" s="169">
        <f t="shared" si="78"/>
        <v>753990.84</v>
      </c>
      <c r="L1275" s="153"/>
      <c r="M1275" s="153"/>
      <c r="N1275" s="153"/>
      <c r="O1275" s="153"/>
    </row>
    <row r="1276" spans="1:15" x14ac:dyDescent="0.2">
      <c r="A1276" s="168">
        <v>1269</v>
      </c>
      <c r="B1276" s="159">
        <v>594.63366392643309</v>
      </c>
      <c r="C1276" s="169">
        <f t="shared" si="76"/>
        <v>754590.11952264362</v>
      </c>
      <c r="D1276" s="153"/>
      <c r="E1276" s="153"/>
      <c r="F1276" s="153"/>
      <c r="G1276" s="153"/>
      <c r="I1276" s="168">
        <v>1269</v>
      </c>
      <c r="J1276" s="159">
        <f>ROUND(B1276*('Model Data Inputs'!$E$184*'Model Data Inputs'!$E$185*'Model Data Inputs'!$E$186*'Model Data Inputs'!$E$187),2)</f>
        <v>594.63</v>
      </c>
      <c r="K1276" s="169">
        <f t="shared" si="78"/>
        <v>754585.47</v>
      </c>
      <c r="L1276" s="153"/>
      <c r="M1276" s="153"/>
      <c r="N1276" s="153"/>
      <c r="O1276" s="153"/>
    </row>
    <row r="1277" spans="1:15" x14ac:dyDescent="0.2">
      <c r="A1277" s="168">
        <v>1270</v>
      </c>
      <c r="B1277" s="159">
        <v>594.63366392643309</v>
      </c>
      <c r="C1277" s="169">
        <f t="shared" si="76"/>
        <v>755184.75318657001</v>
      </c>
      <c r="D1277" s="153"/>
      <c r="E1277" s="153"/>
      <c r="F1277" s="153"/>
      <c r="G1277" s="153"/>
      <c r="I1277" s="168">
        <v>1270</v>
      </c>
      <c r="J1277" s="159">
        <f>ROUND(B1277*('Model Data Inputs'!$E$184*'Model Data Inputs'!$E$185*'Model Data Inputs'!$E$186*'Model Data Inputs'!$E$187),2)</f>
        <v>594.63</v>
      </c>
      <c r="K1277" s="169">
        <f t="shared" si="78"/>
        <v>755180.1</v>
      </c>
      <c r="L1277" s="153"/>
      <c r="M1277" s="153"/>
      <c r="N1277" s="153"/>
      <c r="O1277" s="153"/>
    </row>
    <row r="1278" spans="1:15" x14ac:dyDescent="0.2">
      <c r="A1278" s="168">
        <v>1271</v>
      </c>
      <c r="B1278" s="159">
        <v>594.63366392643309</v>
      </c>
      <c r="C1278" s="169">
        <f t="shared" si="76"/>
        <v>755779.3868504964</v>
      </c>
      <c r="D1278" s="153"/>
      <c r="E1278" s="153"/>
      <c r="F1278" s="153"/>
      <c r="G1278" s="153"/>
      <c r="I1278" s="168">
        <v>1271</v>
      </c>
      <c r="J1278" s="159">
        <f>ROUND(B1278*('Model Data Inputs'!$E$184*'Model Data Inputs'!$E$185*'Model Data Inputs'!$E$186*'Model Data Inputs'!$E$187),2)</f>
        <v>594.63</v>
      </c>
      <c r="K1278" s="169">
        <f t="shared" si="78"/>
        <v>755774.73</v>
      </c>
      <c r="L1278" s="153"/>
      <c r="M1278" s="153"/>
      <c r="N1278" s="153"/>
      <c r="O1278" s="153"/>
    </row>
    <row r="1279" spans="1:15" x14ac:dyDescent="0.2">
      <c r="A1279" s="168">
        <v>1272</v>
      </c>
      <c r="B1279" s="159">
        <v>594.63366392643309</v>
      </c>
      <c r="C1279" s="169">
        <f t="shared" si="76"/>
        <v>756374.02051442291</v>
      </c>
      <c r="D1279" s="153"/>
      <c r="E1279" s="153"/>
      <c r="F1279" s="153"/>
      <c r="G1279" s="153"/>
      <c r="I1279" s="168">
        <v>1272</v>
      </c>
      <c r="J1279" s="159">
        <f>ROUND(B1279*('Model Data Inputs'!$E$184*'Model Data Inputs'!$E$185*'Model Data Inputs'!$E$186*'Model Data Inputs'!$E$187),2)</f>
        <v>594.63</v>
      </c>
      <c r="K1279" s="169">
        <f t="shared" si="78"/>
        <v>756369.36</v>
      </c>
      <c r="L1279" s="153"/>
      <c r="M1279" s="153"/>
      <c r="N1279" s="153"/>
      <c r="O1279" s="153"/>
    </row>
    <row r="1280" spans="1:15" x14ac:dyDescent="0.2">
      <c r="A1280" s="168">
        <v>1273</v>
      </c>
      <c r="B1280" s="159">
        <v>594.63366392643309</v>
      </c>
      <c r="C1280" s="169">
        <f t="shared" si="76"/>
        <v>756968.6541783493</v>
      </c>
      <c r="D1280" s="153"/>
      <c r="E1280" s="153"/>
      <c r="F1280" s="153"/>
      <c r="G1280" s="153"/>
      <c r="I1280" s="168">
        <v>1273</v>
      </c>
      <c r="J1280" s="159">
        <f>ROUND(B1280*('Model Data Inputs'!$E$184*'Model Data Inputs'!$E$185*'Model Data Inputs'!$E$186*'Model Data Inputs'!$E$187),2)</f>
        <v>594.63</v>
      </c>
      <c r="K1280" s="169">
        <f t="shared" si="78"/>
        <v>756963.99</v>
      </c>
      <c r="L1280" s="153"/>
      <c r="M1280" s="153"/>
      <c r="N1280" s="153"/>
      <c r="O1280" s="153"/>
    </row>
    <row r="1281" spans="1:15" x14ac:dyDescent="0.2">
      <c r="A1281" s="168">
        <v>1274</v>
      </c>
      <c r="B1281" s="159">
        <v>594.63366392643309</v>
      </c>
      <c r="C1281" s="169">
        <f t="shared" si="76"/>
        <v>757563.28784227581</v>
      </c>
      <c r="D1281" s="153"/>
      <c r="E1281" s="153"/>
      <c r="F1281" s="153"/>
      <c r="G1281" s="153"/>
      <c r="I1281" s="168">
        <v>1274</v>
      </c>
      <c r="J1281" s="159">
        <f>ROUND(B1281*('Model Data Inputs'!$E$184*'Model Data Inputs'!$E$185*'Model Data Inputs'!$E$186*'Model Data Inputs'!$E$187),2)</f>
        <v>594.63</v>
      </c>
      <c r="K1281" s="169">
        <f t="shared" si="78"/>
        <v>757558.62</v>
      </c>
      <c r="L1281" s="153"/>
      <c r="M1281" s="153"/>
      <c r="N1281" s="153"/>
      <c r="O1281" s="153"/>
    </row>
    <row r="1282" spans="1:15" x14ac:dyDescent="0.2">
      <c r="A1282" s="168">
        <v>1275</v>
      </c>
      <c r="B1282" s="159">
        <v>594.63366392643309</v>
      </c>
      <c r="C1282" s="169">
        <f t="shared" si="76"/>
        <v>758157.9215062022</v>
      </c>
      <c r="D1282" s="153"/>
      <c r="E1282" s="153"/>
      <c r="F1282" s="153"/>
      <c r="G1282" s="153"/>
      <c r="I1282" s="168">
        <v>1275</v>
      </c>
      <c r="J1282" s="159">
        <f>ROUND(B1282*('Model Data Inputs'!$E$184*'Model Data Inputs'!$E$185*'Model Data Inputs'!$E$186*'Model Data Inputs'!$E$187),2)</f>
        <v>594.63</v>
      </c>
      <c r="K1282" s="169">
        <f t="shared" si="78"/>
        <v>758153.25</v>
      </c>
      <c r="L1282" s="153"/>
      <c r="M1282" s="153"/>
      <c r="N1282" s="153"/>
      <c r="O1282" s="153"/>
    </row>
    <row r="1283" spans="1:15" x14ac:dyDescent="0.2">
      <c r="A1283" s="168">
        <v>1276</v>
      </c>
      <c r="B1283" s="159">
        <v>594.63366392643309</v>
      </c>
      <c r="C1283" s="169">
        <f t="shared" si="76"/>
        <v>758752.55517012859</v>
      </c>
      <c r="D1283" s="153"/>
      <c r="E1283" s="153"/>
      <c r="F1283" s="153"/>
      <c r="G1283" s="153"/>
      <c r="I1283" s="168">
        <v>1276</v>
      </c>
      <c r="J1283" s="159">
        <f>ROUND(B1283*('Model Data Inputs'!$E$184*'Model Data Inputs'!$E$185*'Model Data Inputs'!$E$186*'Model Data Inputs'!$E$187),2)</f>
        <v>594.63</v>
      </c>
      <c r="K1283" s="169">
        <f t="shared" si="78"/>
        <v>758747.88</v>
      </c>
      <c r="L1283" s="153"/>
      <c r="M1283" s="153"/>
      <c r="N1283" s="153"/>
      <c r="O1283" s="153"/>
    </row>
    <row r="1284" spans="1:15" x14ac:dyDescent="0.2">
      <c r="A1284" s="168">
        <v>1277</v>
      </c>
      <c r="B1284" s="159">
        <v>594.63366392643309</v>
      </c>
      <c r="C1284" s="169">
        <f t="shared" si="76"/>
        <v>759347.18883405509</v>
      </c>
      <c r="D1284" s="153"/>
      <c r="E1284" s="153"/>
      <c r="F1284" s="153"/>
      <c r="G1284" s="153"/>
      <c r="I1284" s="168">
        <v>1277</v>
      </c>
      <c r="J1284" s="159">
        <f>ROUND(B1284*('Model Data Inputs'!$E$184*'Model Data Inputs'!$E$185*'Model Data Inputs'!$E$186*'Model Data Inputs'!$E$187),2)</f>
        <v>594.63</v>
      </c>
      <c r="K1284" s="169">
        <f t="shared" si="78"/>
        <v>759342.51</v>
      </c>
      <c r="L1284" s="153"/>
      <c r="M1284" s="153"/>
      <c r="N1284" s="153"/>
      <c r="O1284" s="153"/>
    </row>
    <row r="1285" spans="1:15" x14ac:dyDescent="0.2">
      <c r="A1285" s="168">
        <v>1278</v>
      </c>
      <c r="B1285" s="159">
        <v>594.63366392643309</v>
      </c>
      <c r="C1285" s="169">
        <f t="shared" si="76"/>
        <v>759941.82249798148</v>
      </c>
      <c r="D1285" s="153"/>
      <c r="E1285" s="153"/>
      <c r="F1285" s="153"/>
      <c r="G1285" s="153"/>
      <c r="I1285" s="168">
        <v>1278</v>
      </c>
      <c r="J1285" s="159">
        <f>ROUND(B1285*('Model Data Inputs'!$E$184*'Model Data Inputs'!$E$185*'Model Data Inputs'!$E$186*'Model Data Inputs'!$E$187),2)</f>
        <v>594.63</v>
      </c>
      <c r="K1285" s="169">
        <f t="shared" si="78"/>
        <v>759937.14</v>
      </c>
      <c r="L1285" s="153"/>
      <c r="M1285" s="153"/>
      <c r="N1285" s="153"/>
      <c r="O1285" s="153"/>
    </row>
    <row r="1286" spans="1:15" x14ac:dyDescent="0.2">
      <c r="A1286" s="168">
        <v>1279</v>
      </c>
      <c r="B1286" s="159">
        <v>594.63366392643309</v>
      </c>
      <c r="C1286" s="169">
        <f t="shared" si="76"/>
        <v>760536.45616190787</v>
      </c>
      <c r="D1286" s="153"/>
      <c r="E1286" s="153"/>
      <c r="F1286" s="153"/>
      <c r="G1286" s="153"/>
      <c r="I1286" s="168">
        <v>1279</v>
      </c>
      <c r="J1286" s="159">
        <f>ROUND(B1286*('Model Data Inputs'!$E$184*'Model Data Inputs'!$E$185*'Model Data Inputs'!$E$186*'Model Data Inputs'!$E$187),2)</f>
        <v>594.63</v>
      </c>
      <c r="K1286" s="169">
        <f t="shared" si="78"/>
        <v>760531.77</v>
      </c>
      <c r="L1286" s="153"/>
      <c r="M1286" s="153"/>
      <c r="N1286" s="153"/>
      <c r="O1286" s="153"/>
    </row>
    <row r="1287" spans="1:15" x14ac:dyDescent="0.2">
      <c r="A1287" s="168">
        <v>1280</v>
      </c>
      <c r="B1287" s="159">
        <v>594.63366392643309</v>
      </c>
      <c r="C1287" s="169">
        <f t="shared" si="76"/>
        <v>761131.08982583438</v>
      </c>
      <c r="D1287" s="153"/>
      <c r="E1287" s="153"/>
      <c r="F1287" s="153"/>
      <c r="G1287" s="153"/>
      <c r="I1287" s="168">
        <v>1280</v>
      </c>
      <c r="J1287" s="159">
        <f>ROUND(B1287*('Model Data Inputs'!$E$184*'Model Data Inputs'!$E$185*'Model Data Inputs'!$E$186*'Model Data Inputs'!$E$187),2)</f>
        <v>594.63</v>
      </c>
      <c r="K1287" s="169">
        <f t="shared" si="78"/>
        <v>761126.40000000002</v>
      </c>
      <c r="L1287" s="153"/>
      <c r="M1287" s="153"/>
      <c r="N1287" s="153"/>
      <c r="O1287" s="153"/>
    </row>
    <row r="1288" spans="1:15" x14ac:dyDescent="0.2">
      <c r="A1288" s="168">
        <v>1281</v>
      </c>
      <c r="B1288" s="159">
        <v>594.63366392643309</v>
      </c>
      <c r="C1288" s="169">
        <f t="shared" ref="C1288:C1351" si="80">A1288*B1288</f>
        <v>761725.72348976077</v>
      </c>
      <c r="D1288" s="153"/>
      <c r="E1288" s="153"/>
      <c r="F1288" s="153"/>
      <c r="G1288" s="153"/>
      <c r="I1288" s="168">
        <v>1281</v>
      </c>
      <c r="J1288" s="159">
        <f>ROUND(B1288*('Model Data Inputs'!$E$184*'Model Data Inputs'!$E$185*'Model Data Inputs'!$E$186*'Model Data Inputs'!$E$187),2)</f>
        <v>594.63</v>
      </c>
      <c r="K1288" s="169">
        <f t="shared" ref="K1288:K1351" si="81">I1288*J1288</f>
        <v>761721.03</v>
      </c>
      <c r="L1288" s="153"/>
      <c r="M1288" s="153"/>
      <c r="N1288" s="153"/>
      <c r="O1288" s="153"/>
    </row>
    <row r="1289" spans="1:15" x14ac:dyDescent="0.2">
      <c r="A1289" s="168">
        <v>1282</v>
      </c>
      <c r="B1289" s="159">
        <v>594.63366392643309</v>
      </c>
      <c r="C1289" s="169">
        <f t="shared" si="80"/>
        <v>762320.35715368716</v>
      </c>
      <c r="D1289" s="153"/>
      <c r="E1289" s="153"/>
      <c r="F1289" s="153"/>
      <c r="G1289" s="153"/>
      <c r="I1289" s="168">
        <v>1282</v>
      </c>
      <c r="J1289" s="159">
        <f>ROUND(B1289*('Model Data Inputs'!$E$184*'Model Data Inputs'!$E$185*'Model Data Inputs'!$E$186*'Model Data Inputs'!$E$187),2)</f>
        <v>594.63</v>
      </c>
      <c r="K1289" s="169">
        <f t="shared" si="81"/>
        <v>762315.66</v>
      </c>
      <c r="L1289" s="153"/>
      <c r="M1289" s="153"/>
      <c r="N1289" s="153"/>
      <c r="O1289" s="153"/>
    </row>
    <row r="1290" spans="1:15" x14ac:dyDescent="0.2">
      <c r="A1290" s="168">
        <v>1283</v>
      </c>
      <c r="B1290" s="159">
        <v>594.63366392643309</v>
      </c>
      <c r="C1290" s="169">
        <f t="shared" si="80"/>
        <v>762914.99081761367</v>
      </c>
      <c r="D1290" s="153"/>
      <c r="E1290" s="153"/>
      <c r="F1290" s="153"/>
      <c r="G1290" s="153"/>
      <c r="I1290" s="168">
        <v>1283</v>
      </c>
      <c r="J1290" s="159">
        <f>ROUND(B1290*('Model Data Inputs'!$E$184*'Model Data Inputs'!$E$185*'Model Data Inputs'!$E$186*'Model Data Inputs'!$E$187),2)</f>
        <v>594.63</v>
      </c>
      <c r="K1290" s="169">
        <f t="shared" si="81"/>
        <v>762910.29</v>
      </c>
      <c r="L1290" s="153"/>
      <c r="M1290" s="153"/>
      <c r="N1290" s="153"/>
      <c r="O1290" s="153"/>
    </row>
    <row r="1291" spans="1:15" x14ac:dyDescent="0.2">
      <c r="A1291" s="168">
        <v>1284</v>
      </c>
      <c r="B1291" s="159">
        <v>594.63366392643309</v>
      </c>
      <c r="C1291" s="169">
        <f t="shared" si="80"/>
        <v>763509.62448154006</v>
      </c>
      <c r="D1291" s="153"/>
      <c r="E1291" s="153"/>
      <c r="F1291" s="153"/>
      <c r="G1291" s="153"/>
      <c r="I1291" s="168">
        <v>1284</v>
      </c>
      <c r="J1291" s="159">
        <f>ROUND(B1291*('Model Data Inputs'!$E$184*'Model Data Inputs'!$E$185*'Model Data Inputs'!$E$186*'Model Data Inputs'!$E$187),2)</f>
        <v>594.63</v>
      </c>
      <c r="K1291" s="169">
        <f t="shared" si="81"/>
        <v>763504.92</v>
      </c>
      <c r="L1291" s="153"/>
      <c r="M1291" s="153"/>
      <c r="N1291" s="153"/>
      <c r="O1291" s="153"/>
    </row>
    <row r="1292" spans="1:15" x14ac:dyDescent="0.2">
      <c r="A1292" s="168">
        <v>1285</v>
      </c>
      <c r="B1292" s="159">
        <v>594.63366392643309</v>
      </c>
      <c r="C1292" s="169">
        <f t="shared" si="80"/>
        <v>764104.25814546656</v>
      </c>
      <c r="D1292" s="153"/>
      <c r="E1292" s="153"/>
      <c r="F1292" s="153"/>
      <c r="G1292" s="153"/>
      <c r="I1292" s="168">
        <v>1285</v>
      </c>
      <c r="J1292" s="159">
        <f>ROUND(B1292*('Model Data Inputs'!$E$184*'Model Data Inputs'!$E$185*'Model Data Inputs'!$E$186*'Model Data Inputs'!$E$187),2)</f>
        <v>594.63</v>
      </c>
      <c r="K1292" s="169">
        <f t="shared" si="81"/>
        <v>764099.55</v>
      </c>
      <c r="L1292" s="153"/>
      <c r="M1292" s="153"/>
      <c r="N1292" s="153"/>
      <c r="O1292" s="153"/>
    </row>
    <row r="1293" spans="1:15" x14ac:dyDescent="0.2">
      <c r="A1293" s="168">
        <v>1286</v>
      </c>
      <c r="B1293" s="159">
        <v>594.63366392643309</v>
      </c>
      <c r="C1293" s="169">
        <f t="shared" si="80"/>
        <v>764698.89180939295</v>
      </c>
      <c r="D1293" s="153"/>
      <c r="E1293" s="153"/>
      <c r="F1293" s="153"/>
      <c r="G1293" s="153"/>
      <c r="I1293" s="168">
        <v>1286</v>
      </c>
      <c r="J1293" s="159">
        <f>ROUND(B1293*('Model Data Inputs'!$E$184*'Model Data Inputs'!$E$185*'Model Data Inputs'!$E$186*'Model Data Inputs'!$E$187),2)</f>
        <v>594.63</v>
      </c>
      <c r="K1293" s="169">
        <f t="shared" si="81"/>
        <v>764694.18</v>
      </c>
      <c r="L1293" s="153"/>
      <c r="M1293" s="153"/>
      <c r="N1293" s="153"/>
      <c r="O1293" s="153"/>
    </row>
    <row r="1294" spans="1:15" x14ac:dyDescent="0.2">
      <c r="A1294" s="168">
        <v>1287</v>
      </c>
      <c r="B1294" s="159">
        <v>594.63366392643309</v>
      </c>
      <c r="C1294" s="169">
        <f t="shared" si="80"/>
        <v>765293.52547331934</v>
      </c>
      <c r="D1294" s="153"/>
      <c r="E1294" s="153"/>
      <c r="F1294" s="153"/>
      <c r="G1294" s="153"/>
      <c r="I1294" s="168">
        <v>1287</v>
      </c>
      <c r="J1294" s="159">
        <f>ROUND(B1294*('Model Data Inputs'!$E$184*'Model Data Inputs'!$E$185*'Model Data Inputs'!$E$186*'Model Data Inputs'!$E$187),2)</f>
        <v>594.63</v>
      </c>
      <c r="K1294" s="169">
        <f t="shared" si="81"/>
        <v>765288.80999999994</v>
      </c>
      <c r="L1294" s="153"/>
      <c r="M1294" s="153"/>
      <c r="N1294" s="153"/>
      <c r="O1294" s="153"/>
    </row>
    <row r="1295" spans="1:15" x14ac:dyDescent="0.2">
      <c r="A1295" s="168">
        <v>1288</v>
      </c>
      <c r="B1295" s="159">
        <v>594.63366392643309</v>
      </c>
      <c r="C1295" s="169">
        <f t="shared" si="80"/>
        <v>765888.15913724585</v>
      </c>
      <c r="D1295" s="153"/>
      <c r="E1295" s="153"/>
      <c r="F1295" s="153"/>
      <c r="G1295" s="153"/>
      <c r="I1295" s="168">
        <v>1288</v>
      </c>
      <c r="J1295" s="159">
        <f>ROUND(B1295*('Model Data Inputs'!$E$184*'Model Data Inputs'!$E$185*'Model Data Inputs'!$E$186*'Model Data Inputs'!$E$187),2)</f>
        <v>594.63</v>
      </c>
      <c r="K1295" s="169">
        <f t="shared" si="81"/>
        <v>765883.44</v>
      </c>
      <c r="L1295" s="153"/>
      <c r="M1295" s="153"/>
      <c r="N1295" s="153"/>
      <c r="O1295" s="153"/>
    </row>
    <row r="1296" spans="1:15" x14ac:dyDescent="0.2">
      <c r="A1296" s="168">
        <v>1289</v>
      </c>
      <c r="B1296" s="159">
        <v>594.63366392643309</v>
      </c>
      <c r="C1296" s="169">
        <f t="shared" si="80"/>
        <v>766482.79280117224</v>
      </c>
      <c r="D1296" s="153"/>
      <c r="E1296" s="153"/>
      <c r="F1296" s="153"/>
      <c r="G1296" s="153"/>
      <c r="I1296" s="168">
        <v>1289</v>
      </c>
      <c r="J1296" s="159">
        <f>ROUND(B1296*('Model Data Inputs'!$E$184*'Model Data Inputs'!$E$185*'Model Data Inputs'!$E$186*'Model Data Inputs'!$E$187),2)</f>
        <v>594.63</v>
      </c>
      <c r="K1296" s="169">
        <f t="shared" si="81"/>
        <v>766478.07</v>
      </c>
      <c r="L1296" s="153"/>
      <c r="M1296" s="153"/>
      <c r="N1296" s="153"/>
      <c r="O1296" s="153"/>
    </row>
    <row r="1297" spans="1:15" x14ac:dyDescent="0.2">
      <c r="A1297" s="168">
        <v>1290</v>
      </c>
      <c r="B1297" s="159">
        <v>594.63366392643309</v>
      </c>
      <c r="C1297" s="169">
        <f t="shared" si="80"/>
        <v>767077.42646509863</v>
      </c>
      <c r="D1297" s="153"/>
      <c r="E1297" s="153"/>
      <c r="F1297" s="153"/>
      <c r="G1297" s="153"/>
      <c r="I1297" s="168">
        <v>1290</v>
      </c>
      <c r="J1297" s="159">
        <f>ROUND(B1297*('Model Data Inputs'!$E$184*'Model Data Inputs'!$E$185*'Model Data Inputs'!$E$186*'Model Data Inputs'!$E$187),2)</f>
        <v>594.63</v>
      </c>
      <c r="K1297" s="169">
        <f t="shared" si="81"/>
        <v>767072.7</v>
      </c>
      <c r="L1297" s="153"/>
      <c r="M1297" s="153"/>
      <c r="N1297" s="153"/>
      <c r="O1297" s="153"/>
    </row>
    <row r="1298" spans="1:15" x14ac:dyDescent="0.2">
      <c r="A1298" s="168">
        <v>1291</v>
      </c>
      <c r="B1298" s="159">
        <v>594.63366392643309</v>
      </c>
      <c r="C1298" s="169">
        <f t="shared" si="80"/>
        <v>767672.06012902514</v>
      </c>
      <c r="D1298" s="153"/>
      <c r="E1298" s="153"/>
      <c r="F1298" s="153"/>
      <c r="G1298" s="153"/>
      <c r="I1298" s="168">
        <v>1291</v>
      </c>
      <c r="J1298" s="159">
        <f>ROUND(B1298*('Model Data Inputs'!$E$184*'Model Data Inputs'!$E$185*'Model Data Inputs'!$E$186*'Model Data Inputs'!$E$187),2)</f>
        <v>594.63</v>
      </c>
      <c r="K1298" s="169">
        <f t="shared" si="81"/>
        <v>767667.33</v>
      </c>
      <c r="L1298" s="153"/>
      <c r="M1298" s="153"/>
      <c r="N1298" s="153"/>
      <c r="O1298" s="153"/>
    </row>
    <row r="1299" spans="1:15" x14ac:dyDescent="0.2">
      <c r="A1299" s="168">
        <v>1292</v>
      </c>
      <c r="B1299" s="159">
        <v>594.63366392643309</v>
      </c>
      <c r="C1299" s="169">
        <f t="shared" si="80"/>
        <v>768266.69379295153</v>
      </c>
      <c r="D1299" s="153"/>
      <c r="E1299" s="153"/>
      <c r="F1299" s="153"/>
      <c r="G1299" s="153"/>
      <c r="I1299" s="168">
        <v>1292</v>
      </c>
      <c r="J1299" s="159">
        <f>ROUND(B1299*('Model Data Inputs'!$E$184*'Model Data Inputs'!$E$185*'Model Data Inputs'!$E$186*'Model Data Inputs'!$E$187),2)</f>
        <v>594.63</v>
      </c>
      <c r="K1299" s="169">
        <f t="shared" si="81"/>
        <v>768261.96</v>
      </c>
      <c r="L1299" s="153"/>
      <c r="M1299" s="153"/>
      <c r="N1299" s="153"/>
      <c r="O1299" s="153"/>
    </row>
    <row r="1300" spans="1:15" x14ac:dyDescent="0.2">
      <c r="A1300" s="168">
        <v>1293</v>
      </c>
      <c r="B1300" s="159">
        <v>594.63366392643309</v>
      </c>
      <c r="C1300" s="169">
        <f t="shared" si="80"/>
        <v>768861.32745687803</v>
      </c>
      <c r="D1300" s="153"/>
      <c r="E1300" s="153"/>
      <c r="F1300" s="153"/>
      <c r="G1300" s="153"/>
      <c r="I1300" s="168">
        <v>1293</v>
      </c>
      <c r="J1300" s="159">
        <f>ROUND(B1300*('Model Data Inputs'!$E$184*'Model Data Inputs'!$E$185*'Model Data Inputs'!$E$186*'Model Data Inputs'!$E$187),2)</f>
        <v>594.63</v>
      </c>
      <c r="K1300" s="169">
        <f t="shared" si="81"/>
        <v>768856.59</v>
      </c>
      <c r="L1300" s="153"/>
      <c r="M1300" s="153"/>
      <c r="N1300" s="153"/>
      <c r="O1300" s="153"/>
    </row>
    <row r="1301" spans="1:15" x14ac:dyDescent="0.2">
      <c r="A1301" s="168">
        <v>1294</v>
      </c>
      <c r="B1301" s="159">
        <v>594.63366392643309</v>
      </c>
      <c r="C1301" s="169">
        <f t="shared" si="80"/>
        <v>769455.96112080442</v>
      </c>
      <c r="D1301" s="153"/>
      <c r="E1301" s="153"/>
      <c r="F1301" s="153"/>
      <c r="G1301" s="153"/>
      <c r="I1301" s="168">
        <v>1294</v>
      </c>
      <c r="J1301" s="159">
        <f>ROUND(B1301*('Model Data Inputs'!$E$184*'Model Data Inputs'!$E$185*'Model Data Inputs'!$E$186*'Model Data Inputs'!$E$187),2)</f>
        <v>594.63</v>
      </c>
      <c r="K1301" s="169">
        <f t="shared" si="81"/>
        <v>769451.22</v>
      </c>
      <c r="L1301" s="153"/>
      <c r="M1301" s="153"/>
      <c r="N1301" s="153"/>
      <c r="O1301" s="153"/>
    </row>
    <row r="1302" spans="1:15" x14ac:dyDescent="0.2">
      <c r="A1302" s="168">
        <v>1295</v>
      </c>
      <c r="B1302" s="159">
        <v>594.63366392643309</v>
      </c>
      <c r="C1302" s="169">
        <f t="shared" si="80"/>
        <v>770050.59478473081</v>
      </c>
      <c r="D1302" s="153"/>
      <c r="E1302" s="153"/>
      <c r="F1302" s="153"/>
      <c r="G1302" s="153"/>
      <c r="I1302" s="168">
        <v>1295</v>
      </c>
      <c r="J1302" s="159">
        <f>ROUND(B1302*('Model Data Inputs'!$E$184*'Model Data Inputs'!$E$185*'Model Data Inputs'!$E$186*'Model Data Inputs'!$E$187),2)</f>
        <v>594.63</v>
      </c>
      <c r="K1302" s="169">
        <f t="shared" si="81"/>
        <v>770045.85</v>
      </c>
      <c r="L1302" s="153"/>
      <c r="M1302" s="153"/>
      <c r="N1302" s="153"/>
      <c r="O1302" s="153"/>
    </row>
    <row r="1303" spans="1:15" x14ac:dyDescent="0.2">
      <c r="A1303" s="168">
        <v>1296</v>
      </c>
      <c r="B1303" s="159">
        <v>594.63366392643309</v>
      </c>
      <c r="C1303" s="169">
        <f t="shared" si="80"/>
        <v>770645.22844865732</v>
      </c>
      <c r="D1303" s="153"/>
      <c r="E1303" s="153"/>
      <c r="F1303" s="153"/>
      <c r="G1303" s="153"/>
      <c r="I1303" s="168">
        <v>1296</v>
      </c>
      <c r="J1303" s="159">
        <f>ROUND(B1303*('Model Data Inputs'!$E$184*'Model Data Inputs'!$E$185*'Model Data Inputs'!$E$186*'Model Data Inputs'!$E$187),2)</f>
        <v>594.63</v>
      </c>
      <c r="K1303" s="169">
        <f t="shared" si="81"/>
        <v>770640.48</v>
      </c>
      <c r="L1303" s="153"/>
      <c r="M1303" s="153"/>
      <c r="N1303" s="153"/>
      <c r="O1303" s="153"/>
    </row>
    <row r="1304" spans="1:15" x14ac:dyDescent="0.2">
      <c r="A1304" s="168">
        <v>1297</v>
      </c>
      <c r="B1304" s="159">
        <v>594.63366392643309</v>
      </c>
      <c r="C1304" s="169">
        <f t="shared" si="80"/>
        <v>771239.86211258371</v>
      </c>
      <c r="D1304" s="153"/>
      <c r="E1304" s="153"/>
      <c r="F1304" s="153"/>
      <c r="G1304" s="153"/>
      <c r="I1304" s="168">
        <v>1297</v>
      </c>
      <c r="J1304" s="159">
        <f>ROUND(B1304*('Model Data Inputs'!$E$184*'Model Data Inputs'!$E$185*'Model Data Inputs'!$E$186*'Model Data Inputs'!$E$187),2)</f>
        <v>594.63</v>
      </c>
      <c r="K1304" s="169">
        <f t="shared" si="81"/>
        <v>771235.11</v>
      </c>
      <c r="L1304" s="153"/>
      <c r="M1304" s="153"/>
      <c r="N1304" s="153"/>
      <c r="O1304" s="153"/>
    </row>
    <row r="1305" spans="1:15" x14ac:dyDescent="0.2">
      <c r="A1305" s="168">
        <v>1298</v>
      </c>
      <c r="B1305" s="159">
        <v>594.63366392643309</v>
      </c>
      <c r="C1305" s="169">
        <f t="shared" si="80"/>
        <v>771834.4957765101</v>
      </c>
      <c r="D1305" s="153"/>
      <c r="E1305" s="153"/>
      <c r="F1305" s="153"/>
      <c r="G1305" s="153"/>
      <c r="I1305" s="168">
        <v>1298</v>
      </c>
      <c r="J1305" s="159">
        <f>ROUND(B1305*('Model Data Inputs'!$E$184*'Model Data Inputs'!$E$185*'Model Data Inputs'!$E$186*'Model Data Inputs'!$E$187),2)</f>
        <v>594.63</v>
      </c>
      <c r="K1305" s="169">
        <f t="shared" si="81"/>
        <v>771829.74</v>
      </c>
      <c r="L1305" s="153"/>
      <c r="M1305" s="153"/>
      <c r="N1305" s="153"/>
      <c r="O1305" s="153"/>
    </row>
    <row r="1306" spans="1:15" x14ac:dyDescent="0.2">
      <c r="A1306" s="168">
        <v>1299</v>
      </c>
      <c r="B1306" s="159">
        <v>594.63366392643309</v>
      </c>
      <c r="C1306" s="169">
        <f t="shared" si="80"/>
        <v>772429.12944043661</v>
      </c>
      <c r="D1306" s="153"/>
      <c r="E1306" s="153"/>
      <c r="F1306" s="153"/>
      <c r="G1306" s="153"/>
      <c r="I1306" s="168">
        <v>1299</v>
      </c>
      <c r="J1306" s="159">
        <f>ROUND(B1306*('Model Data Inputs'!$E$184*'Model Data Inputs'!$E$185*'Model Data Inputs'!$E$186*'Model Data Inputs'!$E$187),2)</f>
        <v>594.63</v>
      </c>
      <c r="K1306" s="169">
        <f t="shared" si="81"/>
        <v>772424.37</v>
      </c>
      <c r="L1306" s="153"/>
      <c r="M1306" s="153"/>
      <c r="N1306" s="153"/>
      <c r="O1306" s="153"/>
    </row>
    <row r="1307" spans="1:15" x14ac:dyDescent="0.2">
      <c r="A1307" s="168">
        <v>1300</v>
      </c>
      <c r="B1307" s="159">
        <v>594.63366392643309</v>
      </c>
      <c r="C1307" s="169">
        <f t="shared" si="80"/>
        <v>773023.763104363</v>
      </c>
      <c r="D1307" s="153"/>
      <c r="E1307" s="153"/>
      <c r="F1307" s="153"/>
      <c r="G1307" s="153"/>
      <c r="I1307" s="168">
        <v>1300</v>
      </c>
      <c r="J1307" s="159">
        <f>ROUND(B1307*('Model Data Inputs'!$E$184*'Model Data Inputs'!$E$185*'Model Data Inputs'!$E$186*'Model Data Inputs'!$E$187),2)</f>
        <v>594.63</v>
      </c>
      <c r="K1307" s="169">
        <f t="shared" si="81"/>
        <v>773019</v>
      </c>
      <c r="L1307" s="153"/>
      <c r="M1307" s="153"/>
      <c r="N1307" s="153"/>
      <c r="O1307" s="153"/>
    </row>
    <row r="1308" spans="1:15" x14ac:dyDescent="0.2">
      <c r="A1308" s="168">
        <v>1301</v>
      </c>
      <c r="B1308" s="159">
        <v>594.63366392643309</v>
      </c>
      <c r="C1308" s="169">
        <f t="shared" si="80"/>
        <v>773618.3967682895</v>
      </c>
      <c r="D1308" s="153"/>
      <c r="E1308" s="153"/>
      <c r="F1308" s="153"/>
      <c r="G1308" s="153"/>
      <c r="I1308" s="168">
        <v>1301</v>
      </c>
      <c r="J1308" s="159">
        <f>ROUND(B1308*('Model Data Inputs'!$E$184*'Model Data Inputs'!$E$185*'Model Data Inputs'!$E$186*'Model Data Inputs'!$E$187),2)</f>
        <v>594.63</v>
      </c>
      <c r="K1308" s="169">
        <f t="shared" si="81"/>
        <v>773613.63</v>
      </c>
      <c r="L1308" s="153"/>
      <c r="M1308" s="153"/>
      <c r="N1308" s="153"/>
      <c r="O1308" s="153"/>
    </row>
    <row r="1309" spans="1:15" x14ac:dyDescent="0.2">
      <c r="A1309" s="168">
        <v>1302</v>
      </c>
      <c r="B1309" s="159">
        <v>594.63366392643309</v>
      </c>
      <c r="C1309" s="169">
        <f t="shared" si="80"/>
        <v>774213.03043221589</v>
      </c>
      <c r="D1309" s="153"/>
      <c r="E1309" s="153"/>
      <c r="F1309" s="153"/>
      <c r="G1309" s="153"/>
      <c r="I1309" s="168">
        <v>1302</v>
      </c>
      <c r="J1309" s="159">
        <f>ROUND(B1309*('Model Data Inputs'!$E$184*'Model Data Inputs'!$E$185*'Model Data Inputs'!$E$186*'Model Data Inputs'!$E$187),2)</f>
        <v>594.63</v>
      </c>
      <c r="K1309" s="169">
        <f t="shared" si="81"/>
        <v>774208.26</v>
      </c>
      <c r="L1309" s="153"/>
      <c r="M1309" s="153"/>
      <c r="N1309" s="153"/>
      <c r="O1309" s="153"/>
    </row>
    <row r="1310" spans="1:15" x14ac:dyDescent="0.2">
      <c r="A1310" s="168">
        <v>1303</v>
      </c>
      <c r="B1310" s="159">
        <v>594.63366392643309</v>
      </c>
      <c r="C1310" s="169">
        <f t="shared" si="80"/>
        <v>774807.66409614228</v>
      </c>
      <c r="D1310" s="153"/>
      <c r="E1310" s="153"/>
      <c r="F1310" s="153"/>
      <c r="G1310" s="153"/>
      <c r="I1310" s="168">
        <v>1303</v>
      </c>
      <c r="J1310" s="159">
        <f>ROUND(B1310*('Model Data Inputs'!$E$184*'Model Data Inputs'!$E$185*'Model Data Inputs'!$E$186*'Model Data Inputs'!$E$187),2)</f>
        <v>594.63</v>
      </c>
      <c r="K1310" s="169">
        <f t="shared" si="81"/>
        <v>774802.89</v>
      </c>
      <c r="L1310" s="153"/>
      <c r="M1310" s="153"/>
      <c r="N1310" s="153"/>
      <c r="O1310" s="153"/>
    </row>
    <row r="1311" spans="1:15" x14ac:dyDescent="0.2">
      <c r="A1311" s="168">
        <v>1304</v>
      </c>
      <c r="B1311" s="159">
        <v>594.63366392643309</v>
      </c>
      <c r="C1311" s="169">
        <f t="shared" si="80"/>
        <v>775402.29776006879</v>
      </c>
      <c r="D1311" s="153"/>
      <c r="E1311" s="153"/>
      <c r="F1311" s="153"/>
      <c r="G1311" s="153"/>
      <c r="I1311" s="168">
        <v>1304</v>
      </c>
      <c r="J1311" s="159">
        <f>ROUND(B1311*('Model Data Inputs'!$E$184*'Model Data Inputs'!$E$185*'Model Data Inputs'!$E$186*'Model Data Inputs'!$E$187),2)</f>
        <v>594.63</v>
      </c>
      <c r="K1311" s="169">
        <f t="shared" si="81"/>
        <v>775397.52</v>
      </c>
      <c r="L1311" s="153"/>
      <c r="M1311" s="153"/>
      <c r="N1311" s="153"/>
      <c r="O1311" s="153"/>
    </row>
    <row r="1312" spans="1:15" x14ac:dyDescent="0.2">
      <c r="A1312" s="168">
        <v>1305</v>
      </c>
      <c r="B1312" s="159">
        <v>594.63366392643309</v>
      </c>
      <c r="C1312" s="169">
        <f t="shared" si="80"/>
        <v>775996.93142399518</v>
      </c>
      <c r="D1312" s="153"/>
      <c r="E1312" s="153"/>
      <c r="F1312" s="153"/>
      <c r="G1312" s="153"/>
      <c r="I1312" s="168">
        <v>1305</v>
      </c>
      <c r="J1312" s="159">
        <f>ROUND(B1312*('Model Data Inputs'!$E$184*'Model Data Inputs'!$E$185*'Model Data Inputs'!$E$186*'Model Data Inputs'!$E$187),2)</f>
        <v>594.63</v>
      </c>
      <c r="K1312" s="169">
        <f t="shared" si="81"/>
        <v>775992.15</v>
      </c>
      <c r="L1312" s="153"/>
      <c r="M1312" s="153"/>
      <c r="N1312" s="153"/>
      <c r="O1312" s="153"/>
    </row>
    <row r="1313" spans="1:15" x14ac:dyDescent="0.2">
      <c r="A1313" s="168">
        <v>1306</v>
      </c>
      <c r="B1313" s="159">
        <v>594.63366392643309</v>
      </c>
      <c r="C1313" s="169">
        <f t="shared" si="80"/>
        <v>776591.56508792157</v>
      </c>
      <c r="D1313" s="153"/>
      <c r="E1313" s="153"/>
      <c r="F1313" s="153"/>
      <c r="G1313" s="153"/>
      <c r="I1313" s="168">
        <v>1306</v>
      </c>
      <c r="J1313" s="159">
        <f>ROUND(B1313*('Model Data Inputs'!$E$184*'Model Data Inputs'!$E$185*'Model Data Inputs'!$E$186*'Model Data Inputs'!$E$187),2)</f>
        <v>594.63</v>
      </c>
      <c r="K1313" s="169">
        <f t="shared" si="81"/>
        <v>776586.78</v>
      </c>
      <c r="L1313" s="153"/>
      <c r="M1313" s="153"/>
      <c r="N1313" s="153"/>
      <c r="O1313" s="153"/>
    </row>
    <row r="1314" spans="1:15" x14ac:dyDescent="0.2">
      <c r="A1314" s="168">
        <v>1307</v>
      </c>
      <c r="B1314" s="159">
        <v>594.63366392643309</v>
      </c>
      <c r="C1314" s="169">
        <f t="shared" si="80"/>
        <v>777186.19875184807</v>
      </c>
      <c r="D1314" s="153"/>
      <c r="E1314" s="153"/>
      <c r="F1314" s="153"/>
      <c r="G1314" s="153"/>
      <c r="I1314" s="168">
        <v>1307</v>
      </c>
      <c r="J1314" s="159">
        <f>ROUND(B1314*('Model Data Inputs'!$E$184*'Model Data Inputs'!$E$185*'Model Data Inputs'!$E$186*'Model Data Inputs'!$E$187),2)</f>
        <v>594.63</v>
      </c>
      <c r="K1314" s="169">
        <f t="shared" si="81"/>
        <v>777181.41</v>
      </c>
      <c r="L1314" s="153"/>
      <c r="M1314" s="153"/>
      <c r="N1314" s="153"/>
      <c r="O1314" s="153"/>
    </row>
    <row r="1315" spans="1:15" x14ac:dyDescent="0.2">
      <c r="A1315" s="168">
        <v>1308</v>
      </c>
      <c r="B1315" s="159">
        <v>594.63366392643309</v>
      </c>
      <c r="C1315" s="169">
        <f t="shared" si="80"/>
        <v>777780.83241577446</v>
      </c>
      <c r="D1315" s="153"/>
      <c r="E1315" s="153"/>
      <c r="F1315" s="153"/>
      <c r="G1315" s="153"/>
      <c r="I1315" s="168">
        <v>1308</v>
      </c>
      <c r="J1315" s="159">
        <f>ROUND(B1315*('Model Data Inputs'!$E$184*'Model Data Inputs'!$E$185*'Model Data Inputs'!$E$186*'Model Data Inputs'!$E$187),2)</f>
        <v>594.63</v>
      </c>
      <c r="K1315" s="169">
        <f t="shared" si="81"/>
        <v>777776.04</v>
      </c>
      <c r="L1315" s="153"/>
      <c r="M1315" s="153"/>
      <c r="N1315" s="153"/>
      <c r="O1315" s="153"/>
    </row>
    <row r="1316" spans="1:15" x14ac:dyDescent="0.2">
      <c r="A1316" s="168">
        <v>1309</v>
      </c>
      <c r="B1316" s="159">
        <v>594.63366392643309</v>
      </c>
      <c r="C1316" s="169">
        <f t="shared" si="80"/>
        <v>778375.46607970085</v>
      </c>
      <c r="D1316" s="153"/>
      <c r="E1316" s="153"/>
      <c r="F1316" s="153"/>
      <c r="G1316" s="153"/>
      <c r="I1316" s="168">
        <v>1309</v>
      </c>
      <c r="J1316" s="159">
        <f>ROUND(B1316*('Model Data Inputs'!$E$184*'Model Data Inputs'!$E$185*'Model Data Inputs'!$E$186*'Model Data Inputs'!$E$187),2)</f>
        <v>594.63</v>
      </c>
      <c r="K1316" s="169">
        <f t="shared" si="81"/>
        <v>778370.67</v>
      </c>
      <c r="L1316" s="153"/>
      <c r="M1316" s="153"/>
      <c r="N1316" s="153"/>
      <c r="O1316" s="153"/>
    </row>
    <row r="1317" spans="1:15" x14ac:dyDescent="0.2">
      <c r="A1317" s="168">
        <v>1310</v>
      </c>
      <c r="B1317" s="159">
        <v>594.63366392643309</v>
      </c>
      <c r="C1317" s="169">
        <f t="shared" si="80"/>
        <v>778970.09974362736</v>
      </c>
      <c r="D1317" s="153"/>
      <c r="E1317" s="153"/>
      <c r="F1317" s="153"/>
      <c r="G1317" s="153"/>
      <c r="I1317" s="168">
        <v>1310</v>
      </c>
      <c r="J1317" s="159">
        <f>ROUND(B1317*('Model Data Inputs'!$E$184*'Model Data Inputs'!$E$185*'Model Data Inputs'!$E$186*'Model Data Inputs'!$E$187),2)</f>
        <v>594.63</v>
      </c>
      <c r="K1317" s="169">
        <f t="shared" si="81"/>
        <v>778965.3</v>
      </c>
      <c r="L1317" s="153"/>
      <c r="M1317" s="153"/>
      <c r="N1317" s="153"/>
      <c r="O1317" s="153"/>
    </row>
    <row r="1318" spans="1:15" x14ac:dyDescent="0.2">
      <c r="A1318" s="168">
        <v>1311</v>
      </c>
      <c r="B1318" s="159">
        <v>594.63366392643309</v>
      </c>
      <c r="C1318" s="169">
        <f t="shared" si="80"/>
        <v>779564.73340755375</v>
      </c>
      <c r="D1318" s="153"/>
      <c r="E1318" s="153"/>
      <c r="F1318" s="153"/>
      <c r="G1318" s="153"/>
      <c r="I1318" s="168">
        <v>1311</v>
      </c>
      <c r="J1318" s="159">
        <f>ROUND(B1318*('Model Data Inputs'!$E$184*'Model Data Inputs'!$E$185*'Model Data Inputs'!$E$186*'Model Data Inputs'!$E$187),2)</f>
        <v>594.63</v>
      </c>
      <c r="K1318" s="169">
        <f t="shared" si="81"/>
        <v>779559.93</v>
      </c>
      <c r="L1318" s="153"/>
      <c r="M1318" s="153"/>
      <c r="N1318" s="153"/>
      <c r="O1318" s="153"/>
    </row>
    <row r="1319" spans="1:15" x14ac:dyDescent="0.2">
      <c r="A1319" s="168">
        <v>1312</v>
      </c>
      <c r="B1319" s="159">
        <v>594.63366392643309</v>
      </c>
      <c r="C1319" s="169">
        <f t="shared" si="80"/>
        <v>780159.36707148026</v>
      </c>
      <c r="D1319" s="153"/>
      <c r="E1319" s="153"/>
      <c r="F1319" s="153"/>
      <c r="G1319" s="153"/>
      <c r="I1319" s="168">
        <v>1312</v>
      </c>
      <c r="J1319" s="159">
        <f>ROUND(B1319*('Model Data Inputs'!$E$184*'Model Data Inputs'!$E$185*'Model Data Inputs'!$E$186*'Model Data Inputs'!$E$187),2)</f>
        <v>594.63</v>
      </c>
      <c r="K1319" s="169">
        <f t="shared" si="81"/>
        <v>780154.55999999994</v>
      </c>
      <c r="L1319" s="153"/>
      <c r="M1319" s="153"/>
      <c r="N1319" s="153"/>
      <c r="O1319" s="153"/>
    </row>
    <row r="1320" spans="1:15" x14ac:dyDescent="0.2">
      <c r="A1320" s="168">
        <v>1313</v>
      </c>
      <c r="B1320" s="159">
        <v>594.63366392643309</v>
      </c>
      <c r="C1320" s="169">
        <f t="shared" si="80"/>
        <v>780754.00073540665</v>
      </c>
      <c r="D1320" s="153"/>
      <c r="E1320" s="153"/>
      <c r="F1320" s="153"/>
      <c r="G1320" s="153"/>
      <c r="I1320" s="168">
        <v>1313</v>
      </c>
      <c r="J1320" s="159">
        <f>ROUND(B1320*('Model Data Inputs'!$E$184*'Model Data Inputs'!$E$185*'Model Data Inputs'!$E$186*'Model Data Inputs'!$E$187),2)</f>
        <v>594.63</v>
      </c>
      <c r="K1320" s="169">
        <f t="shared" si="81"/>
        <v>780749.19</v>
      </c>
      <c r="L1320" s="153"/>
      <c r="M1320" s="153"/>
      <c r="N1320" s="153"/>
      <c r="O1320" s="153"/>
    </row>
    <row r="1321" spans="1:15" x14ac:dyDescent="0.2">
      <c r="A1321" s="168">
        <v>1314</v>
      </c>
      <c r="B1321" s="159">
        <v>594.63366392643309</v>
      </c>
      <c r="C1321" s="169">
        <f t="shared" si="80"/>
        <v>781348.63439933304</v>
      </c>
      <c r="D1321" s="153"/>
      <c r="E1321" s="153"/>
      <c r="F1321" s="153"/>
      <c r="G1321" s="153"/>
      <c r="I1321" s="168">
        <v>1314</v>
      </c>
      <c r="J1321" s="159">
        <f>ROUND(B1321*('Model Data Inputs'!$E$184*'Model Data Inputs'!$E$185*'Model Data Inputs'!$E$186*'Model Data Inputs'!$E$187),2)</f>
        <v>594.63</v>
      </c>
      <c r="K1321" s="169">
        <f t="shared" si="81"/>
        <v>781343.82</v>
      </c>
      <c r="L1321" s="153"/>
      <c r="M1321" s="153"/>
      <c r="N1321" s="153"/>
      <c r="O1321" s="153"/>
    </row>
    <row r="1322" spans="1:15" x14ac:dyDescent="0.2">
      <c r="A1322" s="168">
        <v>1315</v>
      </c>
      <c r="B1322" s="159">
        <v>594.63366392643309</v>
      </c>
      <c r="C1322" s="169">
        <f t="shared" si="80"/>
        <v>781943.26806325954</v>
      </c>
      <c r="D1322" s="153"/>
      <c r="E1322" s="153"/>
      <c r="F1322" s="153"/>
      <c r="G1322" s="153"/>
      <c r="I1322" s="168">
        <v>1315</v>
      </c>
      <c r="J1322" s="159">
        <f>ROUND(B1322*('Model Data Inputs'!$E$184*'Model Data Inputs'!$E$185*'Model Data Inputs'!$E$186*'Model Data Inputs'!$E$187),2)</f>
        <v>594.63</v>
      </c>
      <c r="K1322" s="169">
        <f t="shared" si="81"/>
        <v>781938.45</v>
      </c>
      <c r="L1322" s="153"/>
      <c r="M1322" s="153"/>
      <c r="N1322" s="153"/>
      <c r="O1322" s="153"/>
    </row>
    <row r="1323" spans="1:15" x14ac:dyDescent="0.2">
      <c r="A1323" s="168">
        <v>1316</v>
      </c>
      <c r="B1323" s="159">
        <v>594.63366392643309</v>
      </c>
      <c r="C1323" s="169">
        <f t="shared" si="80"/>
        <v>782537.90172718593</v>
      </c>
      <c r="D1323" s="153"/>
      <c r="E1323" s="153"/>
      <c r="F1323" s="153"/>
      <c r="G1323" s="153"/>
      <c r="I1323" s="168">
        <v>1316</v>
      </c>
      <c r="J1323" s="159">
        <f>ROUND(B1323*('Model Data Inputs'!$E$184*'Model Data Inputs'!$E$185*'Model Data Inputs'!$E$186*'Model Data Inputs'!$E$187),2)</f>
        <v>594.63</v>
      </c>
      <c r="K1323" s="169">
        <f t="shared" si="81"/>
        <v>782533.08</v>
      </c>
      <c r="L1323" s="153"/>
      <c r="M1323" s="153"/>
      <c r="N1323" s="153"/>
      <c r="O1323" s="153"/>
    </row>
    <row r="1324" spans="1:15" x14ac:dyDescent="0.2">
      <c r="A1324" s="168">
        <v>1317</v>
      </c>
      <c r="B1324" s="159">
        <v>594.63366392643309</v>
      </c>
      <c r="C1324" s="169">
        <f t="shared" si="80"/>
        <v>783132.53539111232</v>
      </c>
      <c r="D1324" s="153"/>
      <c r="E1324" s="153"/>
      <c r="F1324" s="153"/>
      <c r="G1324" s="153"/>
      <c r="I1324" s="168">
        <v>1317</v>
      </c>
      <c r="J1324" s="159">
        <f>ROUND(B1324*('Model Data Inputs'!$E$184*'Model Data Inputs'!$E$185*'Model Data Inputs'!$E$186*'Model Data Inputs'!$E$187),2)</f>
        <v>594.63</v>
      </c>
      <c r="K1324" s="169">
        <f t="shared" si="81"/>
        <v>783127.71</v>
      </c>
      <c r="L1324" s="153"/>
      <c r="M1324" s="153"/>
      <c r="N1324" s="153"/>
      <c r="O1324" s="153"/>
    </row>
    <row r="1325" spans="1:15" x14ac:dyDescent="0.2">
      <c r="A1325" s="168">
        <v>1318</v>
      </c>
      <c r="B1325" s="159">
        <v>594.63366392643309</v>
      </c>
      <c r="C1325" s="169">
        <f t="shared" si="80"/>
        <v>783727.16905503883</v>
      </c>
      <c r="D1325" s="153"/>
      <c r="E1325" s="153"/>
      <c r="F1325" s="153"/>
      <c r="G1325" s="153"/>
      <c r="I1325" s="168">
        <v>1318</v>
      </c>
      <c r="J1325" s="159">
        <f>ROUND(B1325*('Model Data Inputs'!$E$184*'Model Data Inputs'!$E$185*'Model Data Inputs'!$E$186*'Model Data Inputs'!$E$187),2)</f>
        <v>594.63</v>
      </c>
      <c r="K1325" s="169">
        <f t="shared" si="81"/>
        <v>783722.34</v>
      </c>
      <c r="L1325" s="153"/>
      <c r="M1325" s="153"/>
      <c r="N1325" s="153"/>
      <c r="O1325" s="153"/>
    </row>
    <row r="1326" spans="1:15" x14ac:dyDescent="0.2">
      <c r="A1326" s="168">
        <v>1319</v>
      </c>
      <c r="B1326" s="159">
        <v>594.63366392643309</v>
      </c>
      <c r="C1326" s="169">
        <f t="shared" si="80"/>
        <v>784321.80271896522</v>
      </c>
      <c r="D1326" s="153"/>
      <c r="E1326" s="153"/>
      <c r="F1326" s="153"/>
      <c r="G1326" s="153"/>
      <c r="I1326" s="168">
        <v>1319</v>
      </c>
      <c r="J1326" s="159">
        <f>ROUND(B1326*('Model Data Inputs'!$E$184*'Model Data Inputs'!$E$185*'Model Data Inputs'!$E$186*'Model Data Inputs'!$E$187),2)</f>
        <v>594.63</v>
      </c>
      <c r="K1326" s="169">
        <f t="shared" si="81"/>
        <v>784316.97</v>
      </c>
      <c r="L1326" s="153"/>
      <c r="M1326" s="153"/>
      <c r="N1326" s="153"/>
      <c r="O1326" s="153"/>
    </row>
    <row r="1327" spans="1:15" x14ac:dyDescent="0.2">
      <c r="A1327" s="168">
        <v>1320</v>
      </c>
      <c r="B1327" s="159">
        <v>594.63366392643309</v>
      </c>
      <c r="C1327" s="169">
        <f t="shared" si="80"/>
        <v>784916.43638289173</v>
      </c>
      <c r="D1327" s="153"/>
      <c r="E1327" s="153"/>
      <c r="F1327" s="153"/>
      <c r="G1327" s="153"/>
      <c r="I1327" s="168">
        <v>1320</v>
      </c>
      <c r="J1327" s="159">
        <f>ROUND(B1327*('Model Data Inputs'!$E$184*'Model Data Inputs'!$E$185*'Model Data Inputs'!$E$186*'Model Data Inputs'!$E$187),2)</f>
        <v>594.63</v>
      </c>
      <c r="K1327" s="169">
        <f t="shared" si="81"/>
        <v>784911.6</v>
      </c>
      <c r="L1327" s="153"/>
      <c r="M1327" s="153"/>
      <c r="N1327" s="153"/>
      <c r="O1327" s="153"/>
    </row>
    <row r="1328" spans="1:15" x14ac:dyDescent="0.2">
      <c r="A1328" s="168">
        <v>1321</v>
      </c>
      <c r="B1328" s="159">
        <v>594.63366392643309</v>
      </c>
      <c r="C1328" s="169">
        <f t="shared" si="80"/>
        <v>785511.07004681812</v>
      </c>
      <c r="D1328" s="153"/>
      <c r="E1328" s="153"/>
      <c r="F1328" s="153"/>
      <c r="G1328" s="153"/>
      <c r="I1328" s="168">
        <v>1321</v>
      </c>
      <c r="J1328" s="159">
        <f>ROUND(B1328*('Model Data Inputs'!$E$184*'Model Data Inputs'!$E$185*'Model Data Inputs'!$E$186*'Model Data Inputs'!$E$187),2)</f>
        <v>594.63</v>
      </c>
      <c r="K1328" s="169">
        <f t="shared" si="81"/>
        <v>785506.23</v>
      </c>
      <c r="L1328" s="153"/>
      <c r="M1328" s="153"/>
      <c r="N1328" s="153"/>
      <c r="O1328" s="153"/>
    </row>
    <row r="1329" spans="1:15" x14ac:dyDescent="0.2">
      <c r="A1329" s="168">
        <v>1322</v>
      </c>
      <c r="B1329" s="159">
        <v>594.63366392643309</v>
      </c>
      <c r="C1329" s="169">
        <f t="shared" si="80"/>
        <v>786105.70371074451</v>
      </c>
      <c r="D1329" s="153"/>
      <c r="E1329" s="153"/>
      <c r="F1329" s="153"/>
      <c r="G1329" s="153"/>
      <c r="I1329" s="168">
        <v>1322</v>
      </c>
      <c r="J1329" s="159">
        <f>ROUND(B1329*('Model Data Inputs'!$E$184*'Model Data Inputs'!$E$185*'Model Data Inputs'!$E$186*'Model Data Inputs'!$E$187),2)</f>
        <v>594.63</v>
      </c>
      <c r="K1329" s="169">
        <f t="shared" si="81"/>
        <v>786100.86</v>
      </c>
      <c r="L1329" s="153"/>
      <c r="M1329" s="153"/>
      <c r="N1329" s="153"/>
      <c r="O1329" s="153"/>
    </row>
    <row r="1330" spans="1:15" x14ac:dyDescent="0.2">
      <c r="A1330" s="168">
        <v>1323</v>
      </c>
      <c r="B1330" s="159">
        <v>594.63366392643309</v>
      </c>
      <c r="C1330" s="169">
        <f t="shared" si="80"/>
        <v>786700.33737467101</v>
      </c>
      <c r="D1330" s="153"/>
      <c r="E1330" s="153"/>
      <c r="F1330" s="153"/>
      <c r="G1330" s="153"/>
      <c r="I1330" s="168">
        <v>1323</v>
      </c>
      <c r="J1330" s="159">
        <f>ROUND(B1330*('Model Data Inputs'!$E$184*'Model Data Inputs'!$E$185*'Model Data Inputs'!$E$186*'Model Data Inputs'!$E$187),2)</f>
        <v>594.63</v>
      </c>
      <c r="K1330" s="169">
        <f t="shared" si="81"/>
        <v>786695.49</v>
      </c>
      <c r="L1330" s="153"/>
      <c r="M1330" s="153"/>
      <c r="N1330" s="153"/>
      <c r="O1330" s="153"/>
    </row>
    <row r="1331" spans="1:15" x14ac:dyDescent="0.2">
      <c r="A1331" s="168">
        <v>1324</v>
      </c>
      <c r="B1331" s="159">
        <v>594.63366392643309</v>
      </c>
      <c r="C1331" s="169">
        <f t="shared" si="80"/>
        <v>787294.9710385974</v>
      </c>
      <c r="D1331" s="153"/>
      <c r="E1331" s="153"/>
      <c r="F1331" s="153"/>
      <c r="G1331" s="153"/>
      <c r="I1331" s="168">
        <v>1324</v>
      </c>
      <c r="J1331" s="159">
        <f>ROUND(B1331*('Model Data Inputs'!$E$184*'Model Data Inputs'!$E$185*'Model Data Inputs'!$E$186*'Model Data Inputs'!$E$187),2)</f>
        <v>594.63</v>
      </c>
      <c r="K1331" s="169">
        <f t="shared" si="81"/>
        <v>787290.12</v>
      </c>
      <c r="L1331" s="153"/>
      <c r="M1331" s="153"/>
      <c r="N1331" s="153"/>
      <c r="O1331" s="153"/>
    </row>
    <row r="1332" spans="1:15" x14ac:dyDescent="0.2">
      <c r="A1332" s="168">
        <v>1325</v>
      </c>
      <c r="B1332" s="159">
        <v>594.63366392643309</v>
      </c>
      <c r="C1332" s="169">
        <f t="shared" si="80"/>
        <v>787889.60470252379</v>
      </c>
      <c r="D1332" s="153"/>
      <c r="E1332" s="153"/>
      <c r="F1332" s="153"/>
      <c r="G1332" s="153"/>
      <c r="I1332" s="168">
        <v>1325</v>
      </c>
      <c r="J1332" s="159">
        <f>ROUND(B1332*('Model Data Inputs'!$E$184*'Model Data Inputs'!$E$185*'Model Data Inputs'!$E$186*'Model Data Inputs'!$E$187),2)</f>
        <v>594.63</v>
      </c>
      <c r="K1332" s="169">
        <f t="shared" si="81"/>
        <v>787884.75</v>
      </c>
      <c r="L1332" s="153"/>
      <c r="M1332" s="153"/>
      <c r="N1332" s="153"/>
      <c r="O1332" s="153"/>
    </row>
    <row r="1333" spans="1:15" x14ac:dyDescent="0.2">
      <c r="A1333" s="168">
        <v>1326</v>
      </c>
      <c r="B1333" s="159">
        <v>594.63366392643309</v>
      </c>
      <c r="C1333" s="169">
        <f t="shared" si="80"/>
        <v>788484.2383664503</v>
      </c>
      <c r="D1333" s="153"/>
      <c r="E1333" s="153"/>
      <c r="F1333" s="153"/>
      <c r="G1333" s="153"/>
      <c r="I1333" s="168">
        <v>1326</v>
      </c>
      <c r="J1333" s="159">
        <f>ROUND(B1333*('Model Data Inputs'!$E$184*'Model Data Inputs'!$E$185*'Model Data Inputs'!$E$186*'Model Data Inputs'!$E$187),2)</f>
        <v>594.63</v>
      </c>
      <c r="K1333" s="169">
        <f t="shared" si="81"/>
        <v>788479.38</v>
      </c>
      <c r="L1333" s="153"/>
      <c r="M1333" s="153"/>
      <c r="N1333" s="153"/>
      <c r="O1333" s="153"/>
    </row>
    <row r="1334" spans="1:15" x14ac:dyDescent="0.2">
      <c r="A1334" s="168">
        <v>1327</v>
      </c>
      <c r="B1334" s="159">
        <v>594.63366392643309</v>
      </c>
      <c r="C1334" s="169">
        <f t="shared" si="80"/>
        <v>789078.87203037669</v>
      </c>
      <c r="D1334" s="153"/>
      <c r="E1334" s="153"/>
      <c r="F1334" s="153"/>
      <c r="G1334" s="153"/>
      <c r="I1334" s="168">
        <v>1327</v>
      </c>
      <c r="J1334" s="159">
        <f>ROUND(B1334*('Model Data Inputs'!$E$184*'Model Data Inputs'!$E$185*'Model Data Inputs'!$E$186*'Model Data Inputs'!$E$187),2)</f>
        <v>594.63</v>
      </c>
      <c r="K1334" s="169">
        <f t="shared" si="81"/>
        <v>789074.01</v>
      </c>
      <c r="L1334" s="153"/>
      <c r="M1334" s="153"/>
      <c r="N1334" s="153"/>
      <c r="O1334" s="153"/>
    </row>
    <row r="1335" spans="1:15" x14ac:dyDescent="0.2">
      <c r="A1335" s="168">
        <v>1328</v>
      </c>
      <c r="B1335" s="159">
        <v>594.63366392643309</v>
      </c>
      <c r="C1335" s="169">
        <f t="shared" si="80"/>
        <v>789673.5056943032</v>
      </c>
      <c r="D1335" s="153"/>
      <c r="E1335" s="153"/>
      <c r="F1335" s="153"/>
      <c r="G1335" s="153"/>
      <c r="I1335" s="168">
        <v>1328</v>
      </c>
      <c r="J1335" s="159">
        <f>ROUND(B1335*('Model Data Inputs'!$E$184*'Model Data Inputs'!$E$185*'Model Data Inputs'!$E$186*'Model Data Inputs'!$E$187),2)</f>
        <v>594.63</v>
      </c>
      <c r="K1335" s="169">
        <f t="shared" si="81"/>
        <v>789668.64</v>
      </c>
      <c r="L1335" s="153"/>
      <c r="M1335" s="153"/>
      <c r="N1335" s="153"/>
      <c r="O1335" s="153"/>
    </row>
    <row r="1336" spans="1:15" x14ac:dyDescent="0.2">
      <c r="A1336" s="168">
        <v>1329</v>
      </c>
      <c r="B1336" s="159">
        <v>594.63366392643309</v>
      </c>
      <c r="C1336" s="169">
        <f t="shared" si="80"/>
        <v>790268.13935822959</v>
      </c>
      <c r="D1336" s="153"/>
      <c r="E1336" s="153"/>
      <c r="F1336" s="153"/>
      <c r="G1336" s="153"/>
      <c r="I1336" s="168">
        <v>1329</v>
      </c>
      <c r="J1336" s="159">
        <f>ROUND(B1336*('Model Data Inputs'!$E$184*'Model Data Inputs'!$E$185*'Model Data Inputs'!$E$186*'Model Data Inputs'!$E$187),2)</f>
        <v>594.63</v>
      </c>
      <c r="K1336" s="169">
        <f t="shared" si="81"/>
        <v>790263.27</v>
      </c>
      <c r="L1336" s="153"/>
      <c r="M1336" s="153"/>
      <c r="N1336" s="153"/>
      <c r="O1336" s="153"/>
    </row>
    <row r="1337" spans="1:15" x14ac:dyDescent="0.2">
      <c r="A1337" s="168">
        <v>1330</v>
      </c>
      <c r="B1337" s="159">
        <v>594.63366392643309</v>
      </c>
      <c r="C1337" s="169">
        <f t="shared" si="80"/>
        <v>790862.77302215598</v>
      </c>
      <c r="D1337" s="153"/>
      <c r="E1337" s="153"/>
      <c r="F1337" s="153"/>
      <c r="G1337" s="153"/>
      <c r="I1337" s="168">
        <v>1330</v>
      </c>
      <c r="J1337" s="159">
        <f>ROUND(B1337*('Model Data Inputs'!$E$184*'Model Data Inputs'!$E$185*'Model Data Inputs'!$E$186*'Model Data Inputs'!$E$187),2)</f>
        <v>594.63</v>
      </c>
      <c r="K1337" s="169">
        <f t="shared" si="81"/>
        <v>790857.9</v>
      </c>
      <c r="L1337" s="153"/>
      <c r="M1337" s="153"/>
      <c r="N1337" s="153"/>
      <c r="O1337" s="153"/>
    </row>
    <row r="1338" spans="1:15" x14ac:dyDescent="0.2">
      <c r="A1338" s="168">
        <v>1331</v>
      </c>
      <c r="B1338" s="159">
        <v>594.63366392643309</v>
      </c>
      <c r="C1338" s="169">
        <f t="shared" si="80"/>
        <v>791457.40668608248</v>
      </c>
      <c r="D1338" s="153"/>
      <c r="E1338" s="153"/>
      <c r="F1338" s="153"/>
      <c r="G1338" s="153"/>
      <c r="I1338" s="168">
        <v>1331</v>
      </c>
      <c r="J1338" s="159">
        <f>ROUND(B1338*('Model Data Inputs'!$E$184*'Model Data Inputs'!$E$185*'Model Data Inputs'!$E$186*'Model Data Inputs'!$E$187),2)</f>
        <v>594.63</v>
      </c>
      <c r="K1338" s="169">
        <f t="shared" si="81"/>
        <v>791452.53</v>
      </c>
      <c r="L1338" s="153"/>
      <c r="M1338" s="153"/>
      <c r="N1338" s="153"/>
      <c r="O1338" s="153"/>
    </row>
    <row r="1339" spans="1:15" x14ac:dyDescent="0.2">
      <c r="A1339" s="168">
        <v>1332</v>
      </c>
      <c r="B1339" s="159">
        <v>594.63366392643309</v>
      </c>
      <c r="C1339" s="169">
        <f t="shared" si="80"/>
        <v>792052.04035000887</v>
      </c>
      <c r="D1339" s="153"/>
      <c r="E1339" s="153"/>
      <c r="F1339" s="153"/>
      <c r="G1339" s="153"/>
      <c r="I1339" s="168">
        <v>1332</v>
      </c>
      <c r="J1339" s="159">
        <f>ROUND(B1339*('Model Data Inputs'!$E$184*'Model Data Inputs'!$E$185*'Model Data Inputs'!$E$186*'Model Data Inputs'!$E$187),2)</f>
        <v>594.63</v>
      </c>
      <c r="K1339" s="169">
        <f t="shared" si="81"/>
        <v>792047.16</v>
      </c>
      <c r="L1339" s="153"/>
      <c r="M1339" s="153"/>
      <c r="N1339" s="153"/>
      <c r="O1339" s="153"/>
    </row>
    <row r="1340" spans="1:15" x14ac:dyDescent="0.2">
      <c r="A1340" s="168">
        <v>1333</v>
      </c>
      <c r="B1340" s="159">
        <v>594.63366392643309</v>
      </c>
      <c r="C1340" s="169">
        <f t="shared" si="80"/>
        <v>792646.67401393526</v>
      </c>
      <c r="D1340" s="153"/>
      <c r="E1340" s="153"/>
      <c r="F1340" s="153"/>
      <c r="G1340" s="153"/>
      <c r="I1340" s="168">
        <v>1333</v>
      </c>
      <c r="J1340" s="159">
        <f>ROUND(B1340*('Model Data Inputs'!$E$184*'Model Data Inputs'!$E$185*'Model Data Inputs'!$E$186*'Model Data Inputs'!$E$187),2)</f>
        <v>594.63</v>
      </c>
      <c r="K1340" s="169">
        <f t="shared" si="81"/>
        <v>792641.79</v>
      </c>
      <c r="L1340" s="153"/>
      <c r="M1340" s="153"/>
      <c r="N1340" s="153"/>
      <c r="O1340" s="153"/>
    </row>
    <row r="1341" spans="1:15" x14ac:dyDescent="0.2">
      <c r="A1341" s="168">
        <v>1334</v>
      </c>
      <c r="B1341" s="159">
        <v>594.63366392643309</v>
      </c>
      <c r="C1341" s="169">
        <f t="shared" si="80"/>
        <v>793241.30767786177</v>
      </c>
      <c r="D1341" s="153"/>
      <c r="E1341" s="153"/>
      <c r="F1341" s="153"/>
      <c r="G1341" s="153"/>
      <c r="I1341" s="168">
        <v>1334</v>
      </c>
      <c r="J1341" s="159">
        <f>ROUND(B1341*('Model Data Inputs'!$E$184*'Model Data Inputs'!$E$185*'Model Data Inputs'!$E$186*'Model Data Inputs'!$E$187),2)</f>
        <v>594.63</v>
      </c>
      <c r="K1341" s="169">
        <f t="shared" si="81"/>
        <v>793236.42</v>
      </c>
      <c r="L1341" s="153"/>
      <c r="M1341" s="153"/>
      <c r="N1341" s="153"/>
      <c r="O1341" s="153"/>
    </row>
    <row r="1342" spans="1:15" x14ac:dyDescent="0.2">
      <c r="A1342" s="168">
        <v>1335</v>
      </c>
      <c r="B1342" s="159">
        <v>594.63366392643309</v>
      </c>
      <c r="C1342" s="169">
        <f t="shared" si="80"/>
        <v>793835.94134178816</v>
      </c>
      <c r="D1342" s="153"/>
      <c r="E1342" s="153"/>
      <c r="F1342" s="153"/>
      <c r="G1342" s="153"/>
      <c r="I1342" s="168">
        <v>1335</v>
      </c>
      <c r="J1342" s="159">
        <f>ROUND(B1342*('Model Data Inputs'!$E$184*'Model Data Inputs'!$E$185*'Model Data Inputs'!$E$186*'Model Data Inputs'!$E$187),2)</f>
        <v>594.63</v>
      </c>
      <c r="K1342" s="169">
        <f t="shared" si="81"/>
        <v>793831.05</v>
      </c>
      <c r="L1342" s="153"/>
      <c r="M1342" s="153"/>
      <c r="N1342" s="153"/>
      <c r="O1342" s="153"/>
    </row>
    <row r="1343" spans="1:15" x14ac:dyDescent="0.2">
      <c r="A1343" s="168">
        <v>1336</v>
      </c>
      <c r="B1343" s="159">
        <v>594.63366392643309</v>
      </c>
      <c r="C1343" s="169">
        <f t="shared" si="80"/>
        <v>794430.57500571455</v>
      </c>
      <c r="D1343" s="153"/>
      <c r="E1343" s="153"/>
      <c r="F1343" s="153"/>
      <c r="G1343" s="153"/>
      <c r="I1343" s="168">
        <v>1336</v>
      </c>
      <c r="J1343" s="159">
        <f>ROUND(B1343*('Model Data Inputs'!$E$184*'Model Data Inputs'!$E$185*'Model Data Inputs'!$E$186*'Model Data Inputs'!$E$187),2)</f>
        <v>594.63</v>
      </c>
      <c r="K1343" s="169">
        <f t="shared" si="81"/>
        <v>794425.68</v>
      </c>
      <c r="L1343" s="153"/>
      <c r="M1343" s="153"/>
      <c r="N1343" s="153"/>
      <c r="O1343" s="153"/>
    </row>
    <row r="1344" spans="1:15" x14ac:dyDescent="0.2">
      <c r="A1344" s="168">
        <v>1337</v>
      </c>
      <c r="B1344" s="159">
        <v>594.63366392643309</v>
      </c>
      <c r="C1344" s="169">
        <f t="shared" si="80"/>
        <v>795025.20866964106</v>
      </c>
      <c r="D1344" s="153"/>
      <c r="E1344" s="153"/>
      <c r="F1344" s="153"/>
      <c r="G1344" s="153"/>
      <c r="I1344" s="168">
        <v>1337</v>
      </c>
      <c r="J1344" s="159">
        <f>ROUND(B1344*('Model Data Inputs'!$E$184*'Model Data Inputs'!$E$185*'Model Data Inputs'!$E$186*'Model Data Inputs'!$E$187),2)</f>
        <v>594.63</v>
      </c>
      <c r="K1344" s="169">
        <f t="shared" si="81"/>
        <v>795020.30999999994</v>
      </c>
      <c r="L1344" s="153"/>
      <c r="M1344" s="153"/>
      <c r="N1344" s="153"/>
      <c r="O1344" s="153"/>
    </row>
    <row r="1345" spans="1:15" x14ac:dyDescent="0.2">
      <c r="A1345" s="168">
        <v>1338</v>
      </c>
      <c r="B1345" s="159">
        <v>594.63366392643309</v>
      </c>
      <c r="C1345" s="169">
        <f t="shared" si="80"/>
        <v>795619.84233356745</v>
      </c>
      <c r="D1345" s="153"/>
      <c r="E1345" s="153"/>
      <c r="F1345" s="153"/>
      <c r="G1345" s="153"/>
      <c r="I1345" s="168">
        <v>1338</v>
      </c>
      <c r="J1345" s="159">
        <f>ROUND(B1345*('Model Data Inputs'!$E$184*'Model Data Inputs'!$E$185*'Model Data Inputs'!$E$186*'Model Data Inputs'!$E$187),2)</f>
        <v>594.63</v>
      </c>
      <c r="K1345" s="169">
        <f t="shared" si="81"/>
        <v>795614.94</v>
      </c>
      <c r="L1345" s="153"/>
      <c r="M1345" s="153"/>
      <c r="N1345" s="153"/>
      <c r="O1345" s="153"/>
    </row>
    <row r="1346" spans="1:15" x14ac:dyDescent="0.2">
      <c r="A1346" s="168">
        <v>1339</v>
      </c>
      <c r="B1346" s="159">
        <v>594.63366392643309</v>
      </c>
      <c r="C1346" s="169">
        <f t="shared" si="80"/>
        <v>796214.47599749395</v>
      </c>
      <c r="D1346" s="153"/>
      <c r="E1346" s="153"/>
      <c r="F1346" s="153"/>
      <c r="G1346" s="153"/>
      <c r="I1346" s="168">
        <v>1339</v>
      </c>
      <c r="J1346" s="159">
        <f>ROUND(B1346*('Model Data Inputs'!$E$184*'Model Data Inputs'!$E$185*'Model Data Inputs'!$E$186*'Model Data Inputs'!$E$187),2)</f>
        <v>594.63</v>
      </c>
      <c r="K1346" s="169">
        <f t="shared" si="81"/>
        <v>796209.57</v>
      </c>
      <c r="L1346" s="153"/>
      <c r="M1346" s="153"/>
      <c r="N1346" s="153"/>
      <c r="O1346" s="153"/>
    </row>
    <row r="1347" spans="1:15" x14ac:dyDescent="0.2">
      <c r="A1347" s="168">
        <v>1340</v>
      </c>
      <c r="B1347" s="159">
        <v>594.63366392643309</v>
      </c>
      <c r="C1347" s="169">
        <f t="shared" si="80"/>
        <v>796809.10966142034</v>
      </c>
      <c r="D1347" s="153"/>
      <c r="E1347" s="153"/>
      <c r="F1347" s="153"/>
      <c r="G1347" s="153"/>
      <c r="I1347" s="168">
        <v>1340</v>
      </c>
      <c r="J1347" s="159">
        <f>ROUND(B1347*('Model Data Inputs'!$E$184*'Model Data Inputs'!$E$185*'Model Data Inputs'!$E$186*'Model Data Inputs'!$E$187),2)</f>
        <v>594.63</v>
      </c>
      <c r="K1347" s="169">
        <f t="shared" si="81"/>
        <v>796804.2</v>
      </c>
      <c r="L1347" s="153"/>
      <c r="M1347" s="153"/>
      <c r="N1347" s="153"/>
      <c r="O1347" s="153"/>
    </row>
    <row r="1348" spans="1:15" x14ac:dyDescent="0.2">
      <c r="A1348" s="168">
        <v>1341</v>
      </c>
      <c r="B1348" s="159">
        <v>594.63366392643309</v>
      </c>
      <c r="C1348" s="169">
        <f t="shared" si="80"/>
        <v>797403.74332534673</v>
      </c>
      <c r="D1348" s="153"/>
      <c r="E1348" s="153"/>
      <c r="F1348" s="153"/>
      <c r="G1348" s="153"/>
      <c r="I1348" s="168">
        <v>1341</v>
      </c>
      <c r="J1348" s="159">
        <f>ROUND(B1348*('Model Data Inputs'!$E$184*'Model Data Inputs'!$E$185*'Model Data Inputs'!$E$186*'Model Data Inputs'!$E$187),2)</f>
        <v>594.63</v>
      </c>
      <c r="K1348" s="169">
        <f t="shared" si="81"/>
        <v>797398.83</v>
      </c>
      <c r="L1348" s="153"/>
      <c r="M1348" s="153"/>
      <c r="N1348" s="153"/>
      <c r="O1348" s="153"/>
    </row>
    <row r="1349" spans="1:15" x14ac:dyDescent="0.2">
      <c r="A1349" s="168">
        <v>1342</v>
      </c>
      <c r="B1349" s="159">
        <v>594.63366392643309</v>
      </c>
      <c r="C1349" s="169">
        <f t="shared" si="80"/>
        <v>797998.37698927324</v>
      </c>
      <c r="D1349" s="153"/>
      <c r="E1349" s="153"/>
      <c r="F1349" s="153"/>
      <c r="G1349" s="153"/>
      <c r="I1349" s="168">
        <v>1342</v>
      </c>
      <c r="J1349" s="159">
        <f>ROUND(B1349*('Model Data Inputs'!$E$184*'Model Data Inputs'!$E$185*'Model Data Inputs'!$E$186*'Model Data Inputs'!$E$187),2)</f>
        <v>594.63</v>
      </c>
      <c r="K1349" s="169">
        <f t="shared" si="81"/>
        <v>797993.46</v>
      </c>
      <c r="L1349" s="153"/>
      <c r="M1349" s="153"/>
      <c r="N1349" s="153"/>
      <c r="O1349" s="153"/>
    </row>
    <row r="1350" spans="1:15" x14ac:dyDescent="0.2">
      <c r="A1350" s="168">
        <v>1343</v>
      </c>
      <c r="B1350" s="159">
        <v>594.63366392643309</v>
      </c>
      <c r="C1350" s="169">
        <f t="shared" si="80"/>
        <v>798593.01065319963</v>
      </c>
      <c r="D1350" s="153"/>
      <c r="E1350" s="153"/>
      <c r="F1350" s="153"/>
      <c r="G1350" s="153"/>
      <c r="I1350" s="168">
        <v>1343</v>
      </c>
      <c r="J1350" s="159">
        <f>ROUND(B1350*('Model Data Inputs'!$E$184*'Model Data Inputs'!$E$185*'Model Data Inputs'!$E$186*'Model Data Inputs'!$E$187),2)</f>
        <v>594.63</v>
      </c>
      <c r="K1350" s="169">
        <f t="shared" si="81"/>
        <v>798588.09</v>
      </c>
      <c r="L1350" s="153"/>
      <c r="M1350" s="153"/>
      <c r="N1350" s="153"/>
      <c r="O1350" s="153"/>
    </row>
    <row r="1351" spans="1:15" x14ac:dyDescent="0.2">
      <c r="A1351" s="168">
        <v>1344</v>
      </c>
      <c r="B1351" s="159">
        <v>594.63366392643309</v>
      </c>
      <c r="C1351" s="169">
        <f t="shared" si="80"/>
        <v>799187.64431712602</v>
      </c>
      <c r="D1351" s="153"/>
      <c r="E1351" s="153"/>
      <c r="F1351" s="153"/>
      <c r="G1351" s="153"/>
      <c r="I1351" s="168">
        <v>1344</v>
      </c>
      <c r="J1351" s="159">
        <f>ROUND(B1351*('Model Data Inputs'!$E$184*'Model Data Inputs'!$E$185*'Model Data Inputs'!$E$186*'Model Data Inputs'!$E$187),2)</f>
        <v>594.63</v>
      </c>
      <c r="K1351" s="169">
        <f t="shared" si="81"/>
        <v>799182.72</v>
      </c>
      <c r="L1351" s="153"/>
      <c r="M1351" s="153"/>
      <c r="N1351" s="153"/>
      <c r="O1351" s="153"/>
    </row>
    <row r="1352" spans="1:15" x14ac:dyDescent="0.2">
      <c r="A1352" s="168">
        <v>1345</v>
      </c>
      <c r="B1352" s="159">
        <v>594.63366392643309</v>
      </c>
      <c r="C1352" s="169">
        <f t="shared" ref="C1352:C1415" si="82">A1352*B1352</f>
        <v>799782.27798105252</v>
      </c>
      <c r="D1352" s="153"/>
      <c r="E1352" s="153"/>
      <c r="F1352" s="153"/>
      <c r="G1352" s="153"/>
      <c r="I1352" s="168">
        <v>1345</v>
      </c>
      <c r="J1352" s="159">
        <f>ROUND(B1352*('Model Data Inputs'!$E$184*'Model Data Inputs'!$E$185*'Model Data Inputs'!$E$186*'Model Data Inputs'!$E$187),2)</f>
        <v>594.63</v>
      </c>
      <c r="K1352" s="169">
        <f t="shared" ref="K1352:K1415" si="83">I1352*J1352</f>
        <v>799777.35</v>
      </c>
      <c r="L1352" s="153"/>
      <c r="M1352" s="153"/>
      <c r="N1352" s="153"/>
      <c r="O1352" s="153"/>
    </row>
    <row r="1353" spans="1:15" x14ac:dyDescent="0.2">
      <c r="A1353" s="168">
        <v>1346</v>
      </c>
      <c r="B1353" s="159">
        <v>594.63366392643309</v>
      </c>
      <c r="C1353" s="169">
        <f t="shared" si="82"/>
        <v>800376.91164497891</v>
      </c>
      <c r="D1353" s="153"/>
      <c r="E1353" s="153"/>
      <c r="F1353" s="153"/>
      <c r="G1353" s="153"/>
      <c r="I1353" s="168">
        <v>1346</v>
      </c>
      <c r="J1353" s="159">
        <f>ROUND(B1353*('Model Data Inputs'!$E$184*'Model Data Inputs'!$E$185*'Model Data Inputs'!$E$186*'Model Data Inputs'!$E$187),2)</f>
        <v>594.63</v>
      </c>
      <c r="K1353" s="169">
        <f t="shared" si="83"/>
        <v>800371.98</v>
      </c>
      <c r="L1353" s="153"/>
      <c r="M1353" s="153"/>
      <c r="N1353" s="153"/>
      <c r="O1353" s="153"/>
    </row>
    <row r="1354" spans="1:15" x14ac:dyDescent="0.2">
      <c r="A1354" s="168">
        <v>1347</v>
      </c>
      <c r="B1354" s="159">
        <v>594.63366392643309</v>
      </c>
      <c r="C1354" s="169">
        <f t="shared" si="82"/>
        <v>800971.54530890542</v>
      </c>
      <c r="D1354" s="153"/>
      <c r="E1354" s="153"/>
      <c r="F1354" s="153"/>
      <c r="G1354" s="153"/>
      <c r="I1354" s="168">
        <v>1347</v>
      </c>
      <c r="J1354" s="159">
        <f>ROUND(B1354*('Model Data Inputs'!$E$184*'Model Data Inputs'!$E$185*'Model Data Inputs'!$E$186*'Model Data Inputs'!$E$187),2)</f>
        <v>594.63</v>
      </c>
      <c r="K1354" s="169">
        <f t="shared" si="83"/>
        <v>800966.61</v>
      </c>
      <c r="L1354" s="153"/>
      <c r="M1354" s="153"/>
      <c r="N1354" s="153"/>
      <c r="O1354" s="153"/>
    </row>
    <row r="1355" spans="1:15" x14ac:dyDescent="0.2">
      <c r="A1355" s="168">
        <v>1348</v>
      </c>
      <c r="B1355" s="159">
        <v>594.63366392643309</v>
      </c>
      <c r="C1355" s="169">
        <f t="shared" si="82"/>
        <v>801566.17897283181</v>
      </c>
      <c r="D1355" s="153"/>
      <c r="E1355" s="153"/>
      <c r="F1355" s="153"/>
      <c r="G1355" s="153"/>
      <c r="I1355" s="168">
        <v>1348</v>
      </c>
      <c r="J1355" s="159">
        <f>ROUND(B1355*('Model Data Inputs'!$E$184*'Model Data Inputs'!$E$185*'Model Data Inputs'!$E$186*'Model Data Inputs'!$E$187),2)</f>
        <v>594.63</v>
      </c>
      <c r="K1355" s="169">
        <f t="shared" si="83"/>
        <v>801561.24</v>
      </c>
      <c r="L1355" s="153"/>
      <c r="M1355" s="153"/>
      <c r="N1355" s="153"/>
      <c r="O1355" s="153"/>
    </row>
    <row r="1356" spans="1:15" x14ac:dyDescent="0.2">
      <c r="A1356" s="168">
        <v>1349</v>
      </c>
      <c r="B1356" s="159">
        <v>594.63366392643309</v>
      </c>
      <c r="C1356" s="169">
        <f t="shared" si="82"/>
        <v>802160.8126367582</v>
      </c>
      <c r="D1356" s="153"/>
      <c r="E1356" s="153"/>
      <c r="F1356" s="153"/>
      <c r="G1356" s="153"/>
      <c r="I1356" s="168">
        <v>1349</v>
      </c>
      <c r="J1356" s="159">
        <f>ROUND(B1356*('Model Data Inputs'!$E$184*'Model Data Inputs'!$E$185*'Model Data Inputs'!$E$186*'Model Data Inputs'!$E$187),2)</f>
        <v>594.63</v>
      </c>
      <c r="K1356" s="169">
        <f t="shared" si="83"/>
        <v>802155.87</v>
      </c>
      <c r="L1356" s="153"/>
      <c r="M1356" s="153"/>
      <c r="N1356" s="153"/>
      <c r="O1356" s="153"/>
    </row>
    <row r="1357" spans="1:15" x14ac:dyDescent="0.2">
      <c r="A1357" s="168">
        <v>1350</v>
      </c>
      <c r="B1357" s="159">
        <v>594.63366392643309</v>
      </c>
      <c r="C1357" s="169">
        <f t="shared" si="82"/>
        <v>802755.44630068471</v>
      </c>
      <c r="D1357" s="153"/>
      <c r="E1357" s="153"/>
      <c r="F1357" s="153"/>
      <c r="G1357" s="153"/>
      <c r="I1357" s="168">
        <v>1350</v>
      </c>
      <c r="J1357" s="159">
        <f>ROUND(B1357*('Model Data Inputs'!$E$184*'Model Data Inputs'!$E$185*'Model Data Inputs'!$E$186*'Model Data Inputs'!$E$187),2)</f>
        <v>594.63</v>
      </c>
      <c r="K1357" s="169">
        <f t="shared" si="83"/>
        <v>802750.5</v>
      </c>
      <c r="L1357" s="153"/>
      <c r="M1357" s="153"/>
      <c r="N1357" s="153"/>
      <c r="O1357" s="153"/>
    </row>
    <row r="1358" spans="1:15" x14ac:dyDescent="0.2">
      <c r="A1358" s="168">
        <v>1351</v>
      </c>
      <c r="B1358" s="159">
        <v>594.63366392643309</v>
      </c>
      <c r="C1358" s="169">
        <f t="shared" si="82"/>
        <v>803350.0799646111</v>
      </c>
      <c r="D1358" s="153"/>
      <c r="E1358" s="153"/>
      <c r="F1358" s="153"/>
      <c r="G1358" s="153"/>
      <c r="I1358" s="168">
        <v>1351</v>
      </c>
      <c r="J1358" s="159">
        <f>ROUND(B1358*('Model Data Inputs'!$E$184*'Model Data Inputs'!$E$185*'Model Data Inputs'!$E$186*'Model Data Inputs'!$E$187),2)</f>
        <v>594.63</v>
      </c>
      <c r="K1358" s="169">
        <f t="shared" si="83"/>
        <v>803345.13</v>
      </c>
      <c r="L1358" s="153"/>
      <c r="M1358" s="153"/>
      <c r="N1358" s="153"/>
      <c r="O1358" s="153"/>
    </row>
    <row r="1359" spans="1:15" x14ac:dyDescent="0.2">
      <c r="A1359" s="168">
        <v>1352</v>
      </c>
      <c r="B1359" s="159">
        <v>594.63366392643309</v>
      </c>
      <c r="C1359" s="169">
        <f t="shared" si="82"/>
        <v>803944.71362853749</v>
      </c>
      <c r="D1359" s="153"/>
      <c r="E1359" s="153"/>
      <c r="F1359" s="153"/>
      <c r="G1359" s="153"/>
      <c r="I1359" s="168">
        <v>1352</v>
      </c>
      <c r="J1359" s="159">
        <f>ROUND(B1359*('Model Data Inputs'!$E$184*'Model Data Inputs'!$E$185*'Model Data Inputs'!$E$186*'Model Data Inputs'!$E$187),2)</f>
        <v>594.63</v>
      </c>
      <c r="K1359" s="169">
        <f t="shared" si="83"/>
        <v>803939.76</v>
      </c>
      <c r="L1359" s="153"/>
      <c r="M1359" s="153"/>
      <c r="N1359" s="153"/>
      <c r="O1359" s="153"/>
    </row>
    <row r="1360" spans="1:15" x14ac:dyDescent="0.2">
      <c r="A1360" s="168">
        <v>1353</v>
      </c>
      <c r="B1360" s="159">
        <v>594.63366392643309</v>
      </c>
      <c r="C1360" s="169">
        <f t="shared" si="82"/>
        <v>804539.34729246399</v>
      </c>
      <c r="D1360" s="153"/>
      <c r="E1360" s="153"/>
      <c r="F1360" s="153"/>
      <c r="G1360" s="153"/>
      <c r="I1360" s="168">
        <v>1353</v>
      </c>
      <c r="J1360" s="159">
        <f>ROUND(B1360*('Model Data Inputs'!$E$184*'Model Data Inputs'!$E$185*'Model Data Inputs'!$E$186*'Model Data Inputs'!$E$187),2)</f>
        <v>594.63</v>
      </c>
      <c r="K1360" s="169">
        <f t="shared" si="83"/>
        <v>804534.39</v>
      </c>
      <c r="L1360" s="153"/>
      <c r="M1360" s="153"/>
      <c r="N1360" s="153"/>
      <c r="O1360" s="153"/>
    </row>
    <row r="1361" spans="1:15" x14ac:dyDescent="0.2">
      <c r="A1361" s="168">
        <v>1354</v>
      </c>
      <c r="B1361" s="159">
        <v>594.63366392643309</v>
      </c>
      <c r="C1361" s="169">
        <f t="shared" si="82"/>
        <v>805133.98095639038</v>
      </c>
      <c r="D1361" s="153"/>
      <c r="E1361" s="153"/>
      <c r="F1361" s="153"/>
      <c r="G1361" s="153"/>
      <c r="I1361" s="168">
        <v>1354</v>
      </c>
      <c r="J1361" s="159">
        <f>ROUND(B1361*('Model Data Inputs'!$E$184*'Model Data Inputs'!$E$185*'Model Data Inputs'!$E$186*'Model Data Inputs'!$E$187),2)</f>
        <v>594.63</v>
      </c>
      <c r="K1361" s="169">
        <f t="shared" si="83"/>
        <v>805129.02</v>
      </c>
      <c r="L1361" s="153"/>
      <c r="M1361" s="153"/>
      <c r="N1361" s="153"/>
      <c r="O1361" s="153"/>
    </row>
    <row r="1362" spans="1:15" x14ac:dyDescent="0.2">
      <c r="A1362" s="168">
        <v>1355</v>
      </c>
      <c r="B1362" s="159">
        <v>594.63366392643309</v>
      </c>
      <c r="C1362" s="169">
        <f t="shared" si="82"/>
        <v>805728.61462031689</v>
      </c>
      <c r="D1362" s="153"/>
      <c r="E1362" s="153"/>
      <c r="F1362" s="153"/>
      <c r="G1362" s="153"/>
      <c r="I1362" s="168">
        <v>1355</v>
      </c>
      <c r="J1362" s="159">
        <f>ROUND(B1362*('Model Data Inputs'!$E$184*'Model Data Inputs'!$E$185*'Model Data Inputs'!$E$186*'Model Data Inputs'!$E$187),2)</f>
        <v>594.63</v>
      </c>
      <c r="K1362" s="169">
        <f t="shared" si="83"/>
        <v>805723.65</v>
      </c>
      <c r="L1362" s="153"/>
      <c r="M1362" s="153"/>
      <c r="N1362" s="153"/>
      <c r="O1362" s="153"/>
    </row>
    <row r="1363" spans="1:15" x14ac:dyDescent="0.2">
      <c r="A1363" s="168">
        <v>1356</v>
      </c>
      <c r="B1363" s="159">
        <v>594.63366392643309</v>
      </c>
      <c r="C1363" s="169">
        <f t="shared" si="82"/>
        <v>806323.24828424328</v>
      </c>
      <c r="D1363" s="153"/>
      <c r="E1363" s="153"/>
      <c r="F1363" s="153"/>
      <c r="G1363" s="153"/>
      <c r="I1363" s="168">
        <v>1356</v>
      </c>
      <c r="J1363" s="159">
        <f>ROUND(B1363*('Model Data Inputs'!$E$184*'Model Data Inputs'!$E$185*'Model Data Inputs'!$E$186*'Model Data Inputs'!$E$187),2)</f>
        <v>594.63</v>
      </c>
      <c r="K1363" s="169">
        <f t="shared" si="83"/>
        <v>806318.28</v>
      </c>
      <c r="L1363" s="153"/>
      <c r="M1363" s="153"/>
      <c r="N1363" s="153"/>
      <c r="O1363" s="153"/>
    </row>
    <row r="1364" spans="1:15" x14ac:dyDescent="0.2">
      <c r="A1364" s="168">
        <v>1357</v>
      </c>
      <c r="B1364" s="159">
        <v>594.63366392643309</v>
      </c>
      <c r="C1364" s="169">
        <f t="shared" si="82"/>
        <v>806917.88194816967</v>
      </c>
      <c r="D1364" s="153"/>
      <c r="E1364" s="153"/>
      <c r="F1364" s="153"/>
      <c r="G1364" s="153"/>
      <c r="I1364" s="168">
        <v>1357</v>
      </c>
      <c r="J1364" s="159">
        <f>ROUND(B1364*('Model Data Inputs'!$E$184*'Model Data Inputs'!$E$185*'Model Data Inputs'!$E$186*'Model Data Inputs'!$E$187),2)</f>
        <v>594.63</v>
      </c>
      <c r="K1364" s="169">
        <f t="shared" si="83"/>
        <v>806912.91</v>
      </c>
      <c r="L1364" s="153"/>
      <c r="M1364" s="153"/>
      <c r="N1364" s="153"/>
      <c r="O1364" s="153"/>
    </row>
    <row r="1365" spans="1:15" x14ac:dyDescent="0.2">
      <c r="A1365" s="168">
        <v>1358</v>
      </c>
      <c r="B1365" s="159">
        <v>594.63366392643309</v>
      </c>
      <c r="C1365" s="169">
        <f t="shared" si="82"/>
        <v>807512.51561209618</v>
      </c>
      <c r="D1365" s="153"/>
      <c r="E1365" s="153"/>
      <c r="F1365" s="153"/>
      <c r="G1365" s="153"/>
      <c r="I1365" s="168">
        <v>1358</v>
      </c>
      <c r="J1365" s="159">
        <f>ROUND(B1365*('Model Data Inputs'!$E$184*'Model Data Inputs'!$E$185*'Model Data Inputs'!$E$186*'Model Data Inputs'!$E$187),2)</f>
        <v>594.63</v>
      </c>
      <c r="K1365" s="169">
        <f t="shared" si="83"/>
        <v>807507.54</v>
      </c>
      <c r="L1365" s="153"/>
      <c r="M1365" s="153"/>
      <c r="N1365" s="153"/>
      <c r="O1365" s="153"/>
    </row>
    <row r="1366" spans="1:15" x14ac:dyDescent="0.2">
      <c r="A1366" s="168">
        <v>1359</v>
      </c>
      <c r="B1366" s="159">
        <v>594.63366392643309</v>
      </c>
      <c r="C1366" s="169">
        <f t="shared" si="82"/>
        <v>808107.14927602257</v>
      </c>
      <c r="D1366" s="153"/>
      <c r="E1366" s="153"/>
      <c r="F1366" s="153"/>
      <c r="G1366" s="153"/>
      <c r="I1366" s="168">
        <v>1359</v>
      </c>
      <c r="J1366" s="159">
        <f>ROUND(B1366*('Model Data Inputs'!$E$184*'Model Data Inputs'!$E$185*'Model Data Inputs'!$E$186*'Model Data Inputs'!$E$187),2)</f>
        <v>594.63</v>
      </c>
      <c r="K1366" s="169">
        <f t="shared" si="83"/>
        <v>808102.17</v>
      </c>
      <c r="L1366" s="153"/>
      <c r="M1366" s="153"/>
      <c r="N1366" s="153"/>
      <c r="O1366" s="153"/>
    </row>
    <row r="1367" spans="1:15" x14ac:dyDescent="0.2">
      <c r="A1367" s="168">
        <v>1360</v>
      </c>
      <c r="B1367" s="159">
        <v>594.63366392643309</v>
      </c>
      <c r="C1367" s="169">
        <f t="shared" si="82"/>
        <v>808701.78293994896</v>
      </c>
      <c r="D1367" s="153"/>
      <c r="E1367" s="153"/>
      <c r="F1367" s="153"/>
      <c r="G1367" s="153"/>
      <c r="I1367" s="168">
        <v>1360</v>
      </c>
      <c r="J1367" s="159">
        <f>ROUND(B1367*('Model Data Inputs'!$E$184*'Model Data Inputs'!$E$185*'Model Data Inputs'!$E$186*'Model Data Inputs'!$E$187),2)</f>
        <v>594.63</v>
      </c>
      <c r="K1367" s="169">
        <f t="shared" si="83"/>
        <v>808696.8</v>
      </c>
      <c r="L1367" s="153"/>
      <c r="M1367" s="153"/>
      <c r="N1367" s="153"/>
      <c r="O1367" s="153"/>
    </row>
    <row r="1368" spans="1:15" x14ac:dyDescent="0.2">
      <c r="A1368" s="168">
        <v>1361</v>
      </c>
      <c r="B1368" s="159">
        <v>594.63366392643309</v>
      </c>
      <c r="C1368" s="169">
        <f t="shared" si="82"/>
        <v>809296.41660387546</v>
      </c>
      <c r="D1368" s="153"/>
      <c r="E1368" s="153"/>
      <c r="F1368" s="153"/>
      <c r="G1368" s="153"/>
      <c r="I1368" s="168">
        <v>1361</v>
      </c>
      <c r="J1368" s="159">
        <f>ROUND(B1368*('Model Data Inputs'!$E$184*'Model Data Inputs'!$E$185*'Model Data Inputs'!$E$186*'Model Data Inputs'!$E$187),2)</f>
        <v>594.63</v>
      </c>
      <c r="K1368" s="169">
        <f t="shared" si="83"/>
        <v>809291.43</v>
      </c>
      <c r="L1368" s="153"/>
      <c r="M1368" s="153"/>
      <c r="N1368" s="153"/>
      <c r="O1368" s="153"/>
    </row>
    <row r="1369" spans="1:15" x14ac:dyDescent="0.2">
      <c r="A1369" s="168">
        <v>1362</v>
      </c>
      <c r="B1369" s="159">
        <v>594.63366392643309</v>
      </c>
      <c r="C1369" s="169">
        <f t="shared" si="82"/>
        <v>809891.05026780185</v>
      </c>
      <c r="D1369" s="153"/>
      <c r="E1369" s="153"/>
      <c r="F1369" s="153"/>
      <c r="G1369" s="153"/>
      <c r="I1369" s="168">
        <v>1362</v>
      </c>
      <c r="J1369" s="159">
        <f>ROUND(B1369*('Model Data Inputs'!$E$184*'Model Data Inputs'!$E$185*'Model Data Inputs'!$E$186*'Model Data Inputs'!$E$187),2)</f>
        <v>594.63</v>
      </c>
      <c r="K1369" s="169">
        <f t="shared" si="83"/>
        <v>809886.05999999994</v>
      </c>
      <c r="L1369" s="153"/>
      <c r="M1369" s="153"/>
      <c r="N1369" s="153"/>
      <c r="O1369" s="153"/>
    </row>
    <row r="1370" spans="1:15" x14ac:dyDescent="0.2">
      <c r="A1370" s="168">
        <v>1363</v>
      </c>
      <c r="B1370" s="159">
        <v>594.63366392643309</v>
      </c>
      <c r="C1370" s="169">
        <f t="shared" si="82"/>
        <v>810485.68393172824</v>
      </c>
      <c r="D1370" s="153"/>
      <c r="E1370" s="153"/>
      <c r="F1370" s="153"/>
      <c r="G1370" s="153"/>
      <c r="I1370" s="168">
        <v>1363</v>
      </c>
      <c r="J1370" s="159">
        <f>ROUND(B1370*('Model Data Inputs'!$E$184*'Model Data Inputs'!$E$185*'Model Data Inputs'!$E$186*'Model Data Inputs'!$E$187),2)</f>
        <v>594.63</v>
      </c>
      <c r="K1370" s="169">
        <f t="shared" si="83"/>
        <v>810480.69</v>
      </c>
      <c r="L1370" s="153"/>
      <c r="M1370" s="153"/>
      <c r="N1370" s="153"/>
      <c r="O1370" s="153"/>
    </row>
    <row r="1371" spans="1:15" x14ac:dyDescent="0.2">
      <c r="A1371" s="168">
        <v>1364</v>
      </c>
      <c r="B1371" s="159">
        <v>594.63366392643309</v>
      </c>
      <c r="C1371" s="169">
        <f t="shared" si="82"/>
        <v>811080.31759565475</v>
      </c>
      <c r="D1371" s="153"/>
      <c r="E1371" s="153"/>
      <c r="F1371" s="153"/>
      <c r="G1371" s="153"/>
      <c r="I1371" s="168">
        <v>1364</v>
      </c>
      <c r="J1371" s="159">
        <f>ROUND(B1371*('Model Data Inputs'!$E$184*'Model Data Inputs'!$E$185*'Model Data Inputs'!$E$186*'Model Data Inputs'!$E$187),2)</f>
        <v>594.63</v>
      </c>
      <c r="K1371" s="169">
        <f t="shared" si="83"/>
        <v>811075.32</v>
      </c>
      <c r="L1371" s="153"/>
      <c r="M1371" s="153"/>
      <c r="N1371" s="153"/>
      <c r="O1371" s="153"/>
    </row>
    <row r="1372" spans="1:15" x14ac:dyDescent="0.2">
      <c r="A1372" s="168">
        <v>1365</v>
      </c>
      <c r="B1372" s="159">
        <v>594.63366392643309</v>
      </c>
      <c r="C1372" s="169">
        <f t="shared" si="82"/>
        <v>811674.95125958114</v>
      </c>
      <c r="D1372" s="153"/>
      <c r="E1372" s="153"/>
      <c r="F1372" s="153"/>
      <c r="G1372" s="153"/>
      <c r="I1372" s="168">
        <v>1365</v>
      </c>
      <c r="J1372" s="159">
        <f>ROUND(B1372*('Model Data Inputs'!$E$184*'Model Data Inputs'!$E$185*'Model Data Inputs'!$E$186*'Model Data Inputs'!$E$187),2)</f>
        <v>594.63</v>
      </c>
      <c r="K1372" s="169">
        <f t="shared" si="83"/>
        <v>811669.95</v>
      </c>
      <c r="L1372" s="153"/>
      <c r="M1372" s="153"/>
      <c r="N1372" s="153"/>
      <c r="O1372" s="153"/>
    </row>
    <row r="1373" spans="1:15" x14ac:dyDescent="0.2">
      <c r="A1373" s="168">
        <v>1366</v>
      </c>
      <c r="B1373" s="159">
        <v>594.63366392643309</v>
      </c>
      <c r="C1373" s="169">
        <f t="shared" si="82"/>
        <v>812269.58492350765</v>
      </c>
      <c r="D1373" s="153"/>
      <c r="E1373" s="153"/>
      <c r="F1373" s="153"/>
      <c r="G1373" s="153"/>
      <c r="I1373" s="168">
        <v>1366</v>
      </c>
      <c r="J1373" s="159">
        <f>ROUND(B1373*('Model Data Inputs'!$E$184*'Model Data Inputs'!$E$185*'Model Data Inputs'!$E$186*'Model Data Inputs'!$E$187),2)</f>
        <v>594.63</v>
      </c>
      <c r="K1373" s="169">
        <f t="shared" si="83"/>
        <v>812264.58</v>
      </c>
      <c r="L1373" s="153"/>
      <c r="M1373" s="153"/>
      <c r="N1373" s="153"/>
      <c r="O1373" s="153"/>
    </row>
    <row r="1374" spans="1:15" x14ac:dyDescent="0.2">
      <c r="A1374" s="168">
        <v>1367</v>
      </c>
      <c r="B1374" s="159">
        <v>594.63366392643309</v>
      </c>
      <c r="C1374" s="169">
        <f t="shared" si="82"/>
        <v>812864.21858743404</v>
      </c>
      <c r="D1374" s="153"/>
      <c r="E1374" s="153"/>
      <c r="F1374" s="153"/>
      <c r="G1374" s="153"/>
      <c r="I1374" s="168">
        <v>1367</v>
      </c>
      <c r="J1374" s="159">
        <f>ROUND(B1374*('Model Data Inputs'!$E$184*'Model Data Inputs'!$E$185*'Model Data Inputs'!$E$186*'Model Data Inputs'!$E$187),2)</f>
        <v>594.63</v>
      </c>
      <c r="K1374" s="169">
        <f t="shared" si="83"/>
        <v>812859.21</v>
      </c>
      <c r="L1374" s="153"/>
      <c r="M1374" s="153"/>
      <c r="N1374" s="153"/>
      <c r="O1374" s="153"/>
    </row>
    <row r="1375" spans="1:15" x14ac:dyDescent="0.2">
      <c r="A1375" s="168">
        <v>1368</v>
      </c>
      <c r="B1375" s="159">
        <v>594.63366392643309</v>
      </c>
      <c r="C1375" s="169">
        <f t="shared" si="82"/>
        <v>813458.85225136043</v>
      </c>
      <c r="D1375" s="153"/>
      <c r="E1375" s="153"/>
      <c r="F1375" s="153"/>
      <c r="G1375" s="153"/>
      <c r="I1375" s="168">
        <v>1368</v>
      </c>
      <c r="J1375" s="159">
        <f>ROUND(B1375*('Model Data Inputs'!$E$184*'Model Data Inputs'!$E$185*'Model Data Inputs'!$E$186*'Model Data Inputs'!$E$187),2)</f>
        <v>594.63</v>
      </c>
      <c r="K1375" s="169">
        <f t="shared" si="83"/>
        <v>813453.84</v>
      </c>
      <c r="L1375" s="153"/>
      <c r="M1375" s="153"/>
      <c r="N1375" s="153"/>
      <c r="O1375" s="153"/>
    </row>
    <row r="1376" spans="1:15" x14ac:dyDescent="0.2">
      <c r="A1376" s="168">
        <v>1369</v>
      </c>
      <c r="B1376" s="159">
        <v>594.63366392643309</v>
      </c>
      <c r="C1376" s="169">
        <f t="shared" si="82"/>
        <v>814053.48591528693</v>
      </c>
      <c r="D1376" s="153"/>
      <c r="E1376" s="153"/>
      <c r="F1376" s="153"/>
      <c r="G1376" s="153"/>
      <c r="I1376" s="168">
        <v>1369</v>
      </c>
      <c r="J1376" s="159">
        <f>ROUND(B1376*('Model Data Inputs'!$E$184*'Model Data Inputs'!$E$185*'Model Data Inputs'!$E$186*'Model Data Inputs'!$E$187),2)</f>
        <v>594.63</v>
      </c>
      <c r="K1376" s="169">
        <f t="shared" si="83"/>
        <v>814048.47</v>
      </c>
      <c r="L1376" s="153"/>
      <c r="M1376" s="153"/>
      <c r="N1376" s="153"/>
      <c r="O1376" s="153"/>
    </row>
    <row r="1377" spans="1:15" x14ac:dyDescent="0.2">
      <c r="A1377" s="168">
        <v>1370</v>
      </c>
      <c r="B1377" s="159">
        <v>594.63366392643309</v>
      </c>
      <c r="C1377" s="169">
        <f t="shared" si="82"/>
        <v>814648.11957921332</v>
      </c>
      <c r="D1377" s="153"/>
      <c r="E1377" s="153"/>
      <c r="F1377" s="153"/>
      <c r="G1377" s="153"/>
      <c r="I1377" s="168">
        <v>1370</v>
      </c>
      <c r="J1377" s="159">
        <f>ROUND(B1377*('Model Data Inputs'!$E$184*'Model Data Inputs'!$E$185*'Model Data Inputs'!$E$186*'Model Data Inputs'!$E$187),2)</f>
        <v>594.63</v>
      </c>
      <c r="K1377" s="169">
        <f t="shared" si="83"/>
        <v>814643.1</v>
      </c>
      <c r="L1377" s="153"/>
      <c r="M1377" s="153"/>
      <c r="N1377" s="153"/>
      <c r="O1377" s="153"/>
    </row>
    <row r="1378" spans="1:15" x14ac:dyDescent="0.2">
      <c r="A1378" s="168">
        <v>1371</v>
      </c>
      <c r="B1378" s="159">
        <v>594.63366392643309</v>
      </c>
      <c r="C1378" s="169">
        <f t="shared" si="82"/>
        <v>815242.75324313971</v>
      </c>
      <c r="D1378" s="153"/>
      <c r="E1378" s="153"/>
      <c r="F1378" s="153"/>
      <c r="G1378" s="153"/>
      <c r="I1378" s="168">
        <v>1371</v>
      </c>
      <c r="J1378" s="159">
        <f>ROUND(B1378*('Model Data Inputs'!$E$184*'Model Data Inputs'!$E$185*'Model Data Inputs'!$E$186*'Model Data Inputs'!$E$187),2)</f>
        <v>594.63</v>
      </c>
      <c r="K1378" s="169">
        <f t="shared" si="83"/>
        <v>815237.73</v>
      </c>
      <c r="L1378" s="153"/>
      <c r="M1378" s="153"/>
      <c r="N1378" s="153"/>
      <c r="O1378" s="153"/>
    </row>
    <row r="1379" spans="1:15" x14ac:dyDescent="0.2">
      <c r="A1379" s="168">
        <v>1372</v>
      </c>
      <c r="B1379" s="159">
        <v>594.63366392643309</v>
      </c>
      <c r="C1379" s="169">
        <f t="shared" si="82"/>
        <v>815837.38690706622</v>
      </c>
      <c r="D1379" s="153"/>
      <c r="E1379" s="153"/>
      <c r="F1379" s="153"/>
      <c r="G1379" s="153"/>
      <c r="I1379" s="168">
        <v>1372</v>
      </c>
      <c r="J1379" s="159">
        <f>ROUND(B1379*('Model Data Inputs'!$E$184*'Model Data Inputs'!$E$185*'Model Data Inputs'!$E$186*'Model Data Inputs'!$E$187),2)</f>
        <v>594.63</v>
      </c>
      <c r="K1379" s="169">
        <f t="shared" si="83"/>
        <v>815832.36</v>
      </c>
      <c r="L1379" s="153"/>
      <c r="M1379" s="153"/>
      <c r="N1379" s="153"/>
      <c r="O1379" s="153"/>
    </row>
    <row r="1380" spans="1:15" x14ac:dyDescent="0.2">
      <c r="A1380" s="168">
        <v>1373</v>
      </c>
      <c r="B1380" s="159">
        <v>594.63366392643309</v>
      </c>
      <c r="C1380" s="169">
        <f t="shared" si="82"/>
        <v>816432.02057099261</v>
      </c>
      <c r="D1380" s="153"/>
      <c r="E1380" s="153"/>
      <c r="F1380" s="153"/>
      <c r="G1380" s="153"/>
      <c r="I1380" s="168">
        <v>1373</v>
      </c>
      <c r="J1380" s="159">
        <f>ROUND(B1380*('Model Data Inputs'!$E$184*'Model Data Inputs'!$E$185*'Model Data Inputs'!$E$186*'Model Data Inputs'!$E$187),2)</f>
        <v>594.63</v>
      </c>
      <c r="K1380" s="169">
        <f t="shared" si="83"/>
        <v>816426.99</v>
      </c>
      <c r="L1380" s="153"/>
      <c r="M1380" s="153"/>
      <c r="N1380" s="153"/>
      <c r="O1380" s="153"/>
    </row>
    <row r="1381" spans="1:15" x14ac:dyDescent="0.2">
      <c r="A1381" s="168">
        <v>1374</v>
      </c>
      <c r="B1381" s="159">
        <v>594.63366392643309</v>
      </c>
      <c r="C1381" s="169">
        <f t="shared" si="82"/>
        <v>817026.65423491911</v>
      </c>
      <c r="D1381" s="153"/>
      <c r="E1381" s="153"/>
      <c r="F1381" s="153"/>
      <c r="G1381" s="153"/>
      <c r="I1381" s="168">
        <v>1374</v>
      </c>
      <c r="J1381" s="159">
        <f>ROUND(B1381*('Model Data Inputs'!$E$184*'Model Data Inputs'!$E$185*'Model Data Inputs'!$E$186*'Model Data Inputs'!$E$187),2)</f>
        <v>594.63</v>
      </c>
      <c r="K1381" s="169">
        <f t="shared" si="83"/>
        <v>817021.62</v>
      </c>
      <c r="L1381" s="153"/>
      <c r="M1381" s="153"/>
      <c r="N1381" s="153"/>
      <c r="O1381" s="153"/>
    </row>
    <row r="1382" spans="1:15" x14ac:dyDescent="0.2">
      <c r="A1382" s="168">
        <v>1375</v>
      </c>
      <c r="B1382" s="159">
        <v>594.63366392643309</v>
      </c>
      <c r="C1382" s="169">
        <f t="shared" si="82"/>
        <v>817621.2878988455</v>
      </c>
      <c r="D1382" s="153"/>
      <c r="E1382" s="153"/>
      <c r="F1382" s="153"/>
      <c r="G1382" s="153"/>
      <c r="I1382" s="168">
        <v>1375</v>
      </c>
      <c r="J1382" s="159">
        <f>ROUND(B1382*('Model Data Inputs'!$E$184*'Model Data Inputs'!$E$185*'Model Data Inputs'!$E$186*'Model Data Inputs'!$E$187),2)</f>
        <v>594.63</v>
      </c>
      <c r="K1382" s="169">
        <f t="shared" si="83"/>
        <v>817616.25</v>
      </c>
      <c r="L1382" s="153"/>
      <c r="M1382" s="153"/>
      <c r="N1382" s="153"/>
      <c r="O1382" s="153"/>
    </row>
    <row r="1383" spans="1:15" x14ac:dyDescent="0.2">
      <c r="A1383" s="168">
        <v>1376</v>
      </c>
      <c r="B1383" s="159">
        <v>594.63366392643309</v>
      </c>
      <c r="C1383" s="169">
        <f t="shared" si="82"/>
        <v>818215.92156277189</v>
      </c>
      <c r="D1383" s="153"/>
      <c r="E1383" s="153"/>
      <c r="F1383" s="153"/>
      <c r="G1383" s="153"/>
      <c r="I1383" s="168">
        <v>1376</v>
      </c>
      <c r="J1383" s="159">
        <f>ROUND(B1383*('Model Data Inputs'!$E$184*'Model Data Inputs'!$E$185*'Model Data Inputs'!$E$186*'Model Data Inputs'!$E$187),2)</f>
        <v>594.63</v>
      </c>
      <c r="K1383" s="169">
        <f t="shared" si="83"/>
        <v>818210.88</v>
      </c>
      <c r="L1383" s="153"/>
      <c r="M1383" s="153"/>
      <c r="N1383" s="153"/>
      <c r="O1383" s="153"/>
    </row>
    <row r="1384" spans="1:15" x14ac:dyDescent="0.2">
      <c r="A1384" s="168">
        <v>1377</v>
      </c>
      <c r="B1384" s="159">
        <v>594.63366392643309</v>
      </c>
      <c r="C1384" s="169">
        <f t="shared" si="82"/>
        <v>818810.5552266984</v>
      </c>
      <c r="D1384" s="153"/>
      <c r="E1384" s="153"/>
      <c r="F1384" s="153"/>
      <c r="G1384" s="153"/>
      <c r="I1384" s="168">
        <v>1377</v>
      </c>
      <c r="J1384" s="159">
        <f>ROUND(B1384*('Model Data Inputs'!$E$184*'Model Data Inputs'!$E$185*'Model Data Inputs'!$E$186*'Model Data Inputs'!$E$187),2)</f>
        <v>594.63</v>
      </c>
      <c r="K1384" s="169">
        <f t="shared" si="83"/>
        <v>818805.51</v>
      </c>
      <c r="L1384" s="153"/>
      <c r="M1384" s="153"/>
      <c r="N1384" s="153"/>
      <c r="O1384" s="153"/>
    </row>
    <row r="1385" spans="1:15" x14ac:dyDescent="0.2">
      <c r="A1385" s="168">
        <v>1378</v>
      </c>
      <c r="B1385" s="159">
        <v>594.63366392643309</v>
      </c>
      <c r="C1385" s="169">
        <f t="shared" si="82"/>
        <v>819405.18889062479</v>
      </c>
      <c r="D1385" s="153"/>
      <c r="E1385" s="153"/>
      <c r="F1385" s="153"/>
      <c r="G1385" s="153"/>
      <c r="I1385" s="168">
        <v>1378</v>
      </c>
      <c r="J1385" s="159">
        <f>ROUND(B1385*('Model Data Inputs'!$E$184*'Model Data Inputs'!$E$185*'Model Data Inputs'!$E$186*'Model Data Inputs'!$E$187),2)</f>
        <v>594.63</v>
      </c>
      <c r="K1385" s="169">
        <f t="shared" si="83"/>
        <v>819400.14</v>
      </c>
      <c r="L1385" s="153"/>
      <c r="M1385" s="153"/>
      <c r="N1385" s="153"/>
      <c r="O1385" s="153"/>
    </row>
    <row r="1386" spans="1:15" x14ac:dyDescent="0.2">
      <c r="A1386" s="168">
        <v>1379</v>
      </c>
      <c r="B1386" s="159">
        <v>594.63366392643309</v>
      </c>
      <c r="C1386" s="169">
        <f t="shared" si="82"/>
        <v>819999.82255455118</v>
      </c>
      <c r="D1386" s="153"/>
      <c r="E1386" s="153"/>
      <c r="F1386" s="153"/>
      <c r="G1386" s="153"/>
      <c r="I1386" s="168">
        <v>1379</v>
      </c>
      <c r="J1386" s="159">
        <f>ROUND(B1386*('Model Data Inputs'!$E$184*'Model Data Inputs'!$E$185*'Model Data Inputs'!$E$186*'Model Data Inputs'!$E$187),2)</f>
        <v>594.63</v>
      </c>
      <c r="K1386" s="169">
        <f t="shared" si="83"/>
        <v>819994.77</v>
      </c>
      <c r="L1386" s="153"/>
      <c r="M1386" s="153"/>
      <c r="N1386" s="153"/>
      <c r="O1386" s="153"/>
    </row>
    <row r="1387" spans="1:15" x14ac:dyDescent="0.2">
      <c r="A1387" s="168">
        <v>1380</v>
      </c>
      <c r="B1387" s="159">
        <v>594.63366392643309</v>
      </c>
      <c r="C1387" s="169">
        <f t="shared" si="82"/>
        <v>820594.45621847769</v>
      </c>
      <c r="D1387" s="153"/>
      <c r="E1387" s="153"/>
      <c r="F1387" s="153"/>
      <c r="G1387" s="153"/>
      <c r="I1387" s="168">
        <v>1380</v>
      </c>
      <c r="J1387" s="159">
        <f>ROUND(B1387*('Model Data Inputs'!$E$184*'Model Data Inputs'!$E$185*'Model Data Inputs'!$E$186*'Model Data Inputs'!$E$187),2)</f>
        <v>594.63</v>
      </c>
      <c r="K1387" s="169">
        <f t="shared" si="83"/>
        <v>820589.4</v>
      </c>
      <c r="L1387" s="153"/>
      <c r="M1387" s="153"/>
      <c r="N1387" s="153"/>
      <c r="O1387" s="153"/>
    </row>
    <row r="1388" spans="1:15" x14ac:dyDescent="0.2">
      <c r="A1388" s="168">
        <v>1381</v>
      </c>
      <c r="B1388" s="159">
        <v>594.63366392643309</v>
      </c>
      <c r="C1388" s="169">
        <f t="shared" si="82"/>
        <v>821189.08988240408</v>
      </c>
      <c r="D1388" s="153"/>
      <c r="E1388" s="153"/>
      <c r="F1388" s="153"/>
      <c r="G1388" s="153"/>
      <c r="I1388" s="168">
        <v>1381</v>
      </c>
      <c r="J1388" s="159">
        <f>ROUND(B1388*('Model Data Inputs'!$E$184*'Model Data Inputs'!$E$185*'Model Data Inputs'!$E$186*'Model Data Inputs'!$E$187),2)</f>
        <v>594.63</v>
      </c>
      <c r="K1388" s="169">
        <f t="shared" si="83"/>
        <v>821184.03</v>
      </c>
      <c r="L1388" s="153"/>
      <c r="M1388" s="153"/>
      <c r="N1388" s="153"/>
      <c r="O1388" s="153"/>
    </row>
    <row r="1389" spans="1:15" x14ac:dyDescent="0.2">
      <c r="A1389" s="168">
        <v>1382</v>
      </c>
      <c r="B1389" s="159">
        <v>594.63366392643309</v>
      </c>
      <c r="C1389" s="169">
        <f t="shared" si="82"/>
        <v>821783.72354633058</v>
      </c>
      <c r="D1389" s="153"/>
      <c r="E1389" s="153"/>
      <c r="F1389" s="153"/>
      <c r="G1389" s="153"/>
      <c r="I1389" s="168">
        <v>1382</v>
      </c>
      <c r="J1389" s="159">
        <f>ROUND(B1389*('Model Data Inputs'!$E$184*'Model Data Inputs'!$E$185*'Model Data Inputs'!$E$186*'Model Data Inputs'!$E$187),2)</f>
        <v>594.63</v>
      </c>
      <c r="K1389" s="169">
        <f t="shared" si="83"/>
        <v>821778.66</v>
      </c>
      <c r="L1389" s="153"/>
      <c r="M1389" s="153"/>
      <c r="N1389" s="153"/>
      <c r="O1389" s="153"/>
    </row>
    <row r="1390" spans="1:15" x14ac:dyDescent="0.2">
      <c r="A1390" s="168">
        <v>1383</v>
      </c>
      <c r="B1390" s="159">
        <v>594.63366392643309</v>
      </c>
      <c r="C1390" s="169">
        <f t="shared" si="82"/>
        <v>822378.35721025697</v>
      </c>
      <c r="D1390" s="153"/>
      <c r="E1390" s="153"/>
      <c r="F1390" s="153"/>
      <c r="G1390" s="153"/>
      <c r="I1390" s="168">
        <v>1383</v>
      </c>
      <c r="J1390" s="159">
        <f>ROUND(B1390*('Model Data Inputs'!$E$184*'Model Data Inputs'!$E$185*'Model Data Inputs'!$E$186*'Model Data Inputs'!$E$187),2)</f>
        <v>594.63</v>
      </c>
      <c r="K1390" s="169">
        <f t="shared" si="83"/>
        <v>822373.29</v>
      </c>
      <c r="L1390" s="153"/>
      <c r="M1390" s="153"/>
      <c r="N1390" s="153"/>
      <c r="O1390" s="153"/>
    </row>
    <row r="1391" spans="1:15" x14ac:dyDescent="0.2">
      <c r="A1391" s="168">
        <v>1384</v>
      </c>
      <c r="B1391" s="159">
        <v>594.63366392643309</v>
      </c>
      <c r="C1391" s="169">
        <f t="shared" si="82"/>
        <v>822972.99087418336</v>
      </c>
      <c r="D1391" s="153"/>
      <c r="E1391" s="153"/>
      <c r="F1391" s="153"/>
      <c r="G1391" s="153"/>
      <c r="I1391" s="168">
        <v>1384</v>
      </c>
      <c r="J1391" s="159">
        <f>ROUND(B1391*('Model Data Inputs'!$E$184*'Model Data Inputs'!$E$185*'Model Data Inputs'!$E$186*'Model Data Inputs'!$E$187),2)</f>
        <v>594.63</v>
      </c>
      <c r="K1391" s="169">
        <f t="shared" si="83"/>
        <v>822967.92</v>
      </c>
      <c r="L1391" s="153"/>
      <c r="M1391" s="153"/>
      <c r="N1391" s="153"/>
      <c r="O1391" s="153"/>
    </row>
    <row r="1392" spans="1:15" x14ac:dyDescent="0.2">
      <c r="A1392" s="168">
        <v>1385</v>
      </c>
      <c r="B1392" s="159">
        <v>594.63366392643309</v>
      </c>
      <c r="C1392" s="169">
        <f t="shared" si="82"/>
        <v>823567.62453810987</v>
      </c>
      <c r="D1392" s="153"/>
      <c r="E1392" s="153"/>
      <c r="F1392" s="153"/>
      <c r="G1392" s="153"/>
      <c r="I1392" s="168">
        <v>1385</v>
      </c>
      <c r="J1392" s="159">
        <f>ROUND(B1392*('Model Data Inputs'!$E$184*'Model Data Inputs'!$E$185*'Model Data Inputs'!$E$186*'Model Data Inputs'!$E$187),2)</f>
        <v>594.63</v>
      </c>
      <c r="K1392" s="169">
        <f t="shared" si="83"/>
        <v>823562.55</v>
      </c>
      <c r="L1392" s="153"/>
      <c r="M1392" s="153"/>
      <c r="N1392" s="153"/>
      <c r="O1392" s="153"/>
    </row>
    <row r="1393" spans="1:15" x14ac:dyDescent="0.2">
      <c r="A1393" s="168">
        <v>1386</v>
      </c>
      <c r="B1393" s="159">
        <v>594.63366392643309</v>
      </c>
      <c r="C1393" s="169">
        <f t="shared" si="82"/>
        <v>824162.25820203626</v>
      </c>
      <c r="D1393" s="153"/>
      <c r="E1393" s="153"/>
      <c r="F1393" s="153"/>
      <c r="G1393" s="153"/>
      <c r="I1393" s="168">
        <v>1386</v>
      </c>
      <c r="J1393" s="159">
        <f>ROUND(B1393*('Model Data Inputs'!$E$184*'Model Data Inputs'!$E$185*'Model Data Inputs'!$E$186*'Model Data Inputs'!$E$187),2)</f>
        <v>594.63</v>
      </c>
      <c r="K1393" s="169">
        <f t="shared" si="83"/>
        <v>824157.18</v>
      </c>
      <c r="L1393" s="153"/>
      <c r="M1393" s="153"/>
      <c r="N1393" s="153"/>
      <c r="O1393" s="153"/>
    </row>
    <row r="1394" spans="1:15" x14ac:dyDescent="0.2">
      <c r="A1394" s="168">
        <v>1387</v>
      </c>
      <c r="B1394" s="159">
        <v>594.63366392643309</v>
      </c>
      <c r="C1394" s="169">
        <f t="shared" si="82"/>
        <v>824756.89186596265</v>
      </c>
      <c r="D1394" s="153"/>
      <c r="E1394" s="153"/>
      <c r="F1394" s="153"/>
      <c r="G1394" s="153"/>
      <c r="I1394" s="168">
        <v>1387</v>
      </c>
      <c r="J1394" s="159">
        <f>ROUND(B1394*('Model Data Inputs'!$E$184*'Model Data Inputs'!$E$185*'Model Data Inputs'!$E$186*'Model Data Inputs'!$E$187),2)</f>
        <v>594.63</v>
      </c>
      <c r="K1394" s="169">
        <f t="shared" si="83"/>
        <v>824751.80999999994</v>
      </c>
      <c r="L1394" s="153"/>
      <c r="M1394" s="153"/>
      <c r="N1394" s="153"/>
      <c r="O1394" s="153"/>
    </row>
    <row r="1395" spans="1:15" x14ac:dyDescent="0.2">
      <c r="A1395" s="168">
        <v>1388</v>
      </c>
      <c r="B1395" s="159">
        <v>594.63366392643309</v>
      </c>
      <c r="C1395" s="169">
        <f t="shared" si="82"/>
        <v>825351.52552988916</v>
      </c>
      <c r="D1395" s="153"/>
      <c r="E1395" s="153"/>
      <c r="F1395" s="153"/>
      <c r="G1395" s="153"/>
      <c r="I1395" s="168">
        <v>1388</v>
      </c>
      <c r="J1395" s="159">
        <f>ROUND(B1395*('Model Data Inputs'!$E$184*'Model Data Inputs'!$E$185*'Model Data Inputs'!$E$186*'Model Data Inputs'!$E$187),2)</f>
        <v>594.63</v>
      </c>
      <c r="K1395" s="169">
        <f t="shared" si="83"/>
        <v>825346.44</v>
      </c>
      <c r="L1395" s="153"/>
      <c r="M1395" s="153"/>
      <c r="N1395" s="153"/>
      <c r="O1395" s="153"/>
    </row>
    <row r="1396" spans="1:15" x14ac:dyDescent="0.2">
      <c r="A1396" s="168">
        <v>1389</v>
      </c>
      <c r="B1396" s="159">
        <v>594.63366392643309</v>
      </c>
      <c r="C1396" s="169">
        <f t="shared" si="82"/>
        <v>825946.15919381555</v>
      </c>
      <c r="D1396" s="153"/>
      <c r="E1396" s="153"/>
      <c r="F1396" s="153"/>
      <c r="G1396" s="153"/>
      <c r="I1396" s="168">
        <v>1389</v>
      </c>
      <c r="J1396" s="159">
        <f>ROUND(B1396*('Model Data Inputs'!$E$184*'Model Data Inputs'!$E$185*'Model Data Inputs'!$E$186*'Model Data Inputs'!$E$187),2)</f>
        <v>594.63</v>
      </c>
      <c r="K1396" s="169">
        <f t="shared" si="83"/>
        <v>825941.07</v>
      </c>
      <c r="L1396" s="153"/>
      <c r="M1396" s="153"/>
      <c r="N1396" s="153"/>
      <c r="O1396" s="153"/>
    </row>
    <row r="1397" spans="1:15" x14ac:dyDescent="0.2">
      <c r="A1397" s="168">
        <v>1390</v>
      </c>
      <c r="B1397" s="159">
        <v>594.63366392643309</v>
      </c>
      <c r="C1397" s="169">
        <f t="shared" si="82"/>
        <v>826540.79285774194</v>
      </c>
      <c r="D1397" s="153"/>
      <c r="E1397" s="153"/>
      <c r="F1397" s="153"/>
      <c r="G1397" s="153"/>
      <c r="I1397" s="168">
        <v>1390</v>
      </c>
      <c r="J1397" s="159">
        <f>ROUND(B1397*('Model Data Inputs'!$E$184*'Model Data Inputs'!$E$185*'Model Data Inputs'!$E$186*'Model Data Inputs'!$E$187),2)</f>
        <v>594.63</v>
      </c>
      <c r="K1397" s="169">
        <f t="shared" si="83"/>
        <v>826535.7</v>
      </c>
      <c r="L1397" s="153"/>
      <c r="M1397" s="153"/>
      <c r="N1397" s="153"/>
      <c r="O1397" s="153"/>
    </row>
    <row r="1398" spans="1:15" x14ac:dyDescent="0.2">
      <c r="A1398" s="168">
        <v>1391</v>
      </c>
      <c r="B1398" s="159">
        <v>594.63366392643309</v>
      </c>
      <c r="C1398" s="169">
        <f t="shared" si="82"/>
        <v>827135.42652166844</v>
      </c>
      <c r="D1398" s="153"/>
      <c r="E1398" s="153"/>
      <c r="F1398" s="153"/>
      <c r="G1398" s="153"/>
      <c r="I1398" s="168">
        <v>1391</v>
      </c>
      <c r="J1398" s="159">
        <f>ROUND(B1398*('Model Data Inputs'!$E$184*'Model Data Inputs'!$E$185*'Model Data Inputs'!$E$186*'Model Data Inputs'!$E$187),2)</f>
        <v>594.63</v>
      </c>
      <c r="K1398" s="169">
        <f t="shared" si="83"/>
        <v>827130.33</v>
      </c>
      <c r="L1398" s="153"/>
      <c r="M1398" s="153"/>
      <c r="N1398" s="153"/>
      <c r="O1398" s="153"/>
    </row>
    <row r="1399" spans="1:15" x14ac:dyDescent="0.2">
      <c r="A1399" s="168">
        <v>1392</v>
      </c>
      <c r="B1399" s="159">
        <v>594.63366392643309</v>
      </c>
      <c r="C1399" s="169">
        <f t="shared" si="82"/>
        <v>827730.06018559483</v>
      </c>
      <c r="D1399" s="153"/>
      <c r="E1399" s="153"/>
      <c r="F1399" s="153"/>
      <c r="G1399" s="153"/>
      <c r="I1399" s="168">
        <v>1392</v>
      </c>
      <c r="J1399" s="159">
        <f>ROUND(B1399*('Model Data Inputs'!$E$184*'Model Data Inputs'!$E$185*'Model Data Inputs'!$E$186*'Model Data Inputs'!$E$187),2)</f>
        <v>594.63</v>
      </c>
      <c r="K1399" s="169">
        <f t="shared" si="83"/>
        <v>827724.96</v>
      </c>
      <c r="L1399" s="153"/>
      <c r="M1399" s="153"/>
      <c r="N1399" s="153"/>
      <c r="O1399" s="153"/>
    </row>
    <row r="1400" spans="1:15" x14ac:dyDescent="0.2">
      <c r="A1400" s="168">
        <v>1393</v>
      </c>
      <c r="B1400" s="159">
        <v>594.63366392643309</v>
      </c>
      <c r="C1400" s="169">
        <f t="shared" si="82"/>
        <v>828324.69384952134</v>
      </c>
      <c r="D1400" s="153"/>
      <c r="E1400" s="153"/>
      <c r="F1400" s="153"/>
      <c r="G1400" s="153"/>
      <c r="I1400" s="168">
        <v>1393</v>
      </c>
      <c r="J1400" s="159">
        <f>ROUND(B1400*('Model Data Inputs'!$E$184*'Model Data Inputs'!$E$185*'Model Data Inputs'!$E$186*'Model Data Inputs'!$E$187),2)</f>
        <v>594.63</v>
      </c>
      <c r="K1400" s="169">
        <f t="shared" si="83"/>
        <v>828319.59</v>
      </c>
      <c r="L1400" s="153"/>
      <c r="M1400" s="153"/>
      <c r="N1400" s="153"/>
      <c r="O1400" s="153"/>
    </row>
    <row r="1401" spans="1:15" x14ac:dyDescent="0.2">
      <c r="A1401" s="168">
        <v>1394</v>
      </c>
      <c r="B1401" s="159">
        <v>594.63366392643309</v>
      </c>
      <c r="C1401" s="169">
        <f t="shared" si="82"/>
        <v>828919.32751344773</v>
      </c>
      <c r="D1401" s="153"/>
      <c r="E1401" s="153"/>
      <c r="F1401" s="153"/>
      <c r="G1401" s="153"/>
      <c r="I1401" s="168">
        <v>1394</v>
      </c>
      <c r="J1401" s="159">
        <f>ROUND(B1401*('Model Data Inputs'!$E$184*'Model Data Inputs'!$E$185*'Model Data Inputs'!$E$186*'Model Data Inputs'!$E$187),2)</f>
        <v>594.63</v>
      </c>
      <c r="K1401" s="169">
        <f t="shared" si="83"/>
        <v>828914.22</v>
      </c>
      <c r="L1401" s="153"/>
      <c r="M1401" s="153"/>
      <c r="N1401" s="153"/>
      <c r="O1401" s="153"/>
    </row>
    <row r="1402" spans="1:15" x14ac:dyDescent="0.2">
      <c r="A1402" s="168">
        <v>1395</v>
      </c>
      <c r="B1402" s="159">
        <v>594.63366392643309</v>
      </c>
      <c r="C1402" s="169">
        <f t="shared" si="82"/>
        <v>829513.96117737412</v>
      </c>
      <c r="D1402" s="153"/>
      <c r="E1402" s="153"/>
      <c r="F1402" s="153"/>
      <c r="G1402" s="153"/>
      <c r="I1402" s="168">
        <v>1395</v>
      </c>
      <c r="J1402" s="159">
        <f>ROUND(B1402*('Model Data Inputs'!$E$184*'Model Data Inputs'!$E$185*'Model Data Inputs'!$E$186*'Model Data Inputs'!$E$187),2)</f>
        <v>594.63</v>
      </c>
      <c r="K1402" s="169">
        <f t="shared" si="83"/>
        <v>829508.85</v>
      </c>
      <c r="L1402" s="153"/>
      <c r="M1402" s="153"/>
      <c r="N1402" s="153"/>
      <c r="O1402" s="153"/>
    </row>
    <row r="1403" spans="1:15" x14ac:dyDescent="0.2">
      <c r="A1403" s="168">
        <v>1396</v>
      </c>
      <c r="B1403" s="159">
        <v>594.63366392643309</v>
      </c>
      <c r="C1403" s="169">
        <f t="shared" si="82"/>
        <v>830108.59484130063</v>
      </c>
      <c r="D1403" s="153"/>
      <c r="E1403" s="153"/>
      <c r="F1403" s="153"/>
      <c r="G1403" s="153"/>
      <c r="I1403" s="168">
        <v>1396</v>
      </c>
      <c r="J1403" s="159">
        <f>ROUND(B1403*('Model Data Inputs'!$E$184*'Model Data Inputs'!$E$185*'Model Data Inputs'!$E$186*'Model Data Inputs'!$E$187),2)</f>
        <v>594.63</v>
      </c>
      <c r="K1403" s="169">
        <f t="shared" si="83"/>
        <v>830103.48</v>
      </c>
      <c r="L1403" s="153"/>
      <c r="M1403" s="153"/>
      <c r="N1403" s="153"/>
      <c r="O1403" s="153"/>
    </row>
    <row r="1404" spans="1:15" x14ac:dyDescent="0.2">
      <c r="A1404" s="168">
        <v>1397</v>
      </c>
      <c r="B1404" s="159">
        <v>594.63366392643309</v>
      </c>
      <c r="C1404" s="169">
        <f t="shared" si="82"/>
        <v>830703.22850522702</v>
      </c>
      <c r="D1404" s="153"/>
      <c r="E1404" s="153"/>
      <c r="F1404" s="153"/>
      <c r="G1404" s="153"/>
      <c r="I1404" s="168">
        <v>1397</v>
      </c>
      <c r="J1404" s="159">
        <f>ROUND(B1404*('Model Data Inputs'!$E$184*'Model Data Inputs'!$E$185*'Model Data Inputs'!$E$186*'Model Data Inputs'!$E$187),2)</f>
        <v>594.63</v>
      </c>
      <c r="K1404" s="169">
        <f t="shared" si="83"/>
        <v>830698.11</v>
      </c>
      <c r="L1404" s="153"/>
      <c r="M1404" s="153"/>
      <c r="N1404" s="153"/>
      <c r="O1404" s="153"/>
    </row>
    <row r="1405" spans="1:15" x14ac:dyDescent="0.2">
      <c r="A1405" s="168">
        <v>1398</v>
      </c>
      <c r="B1405" s="159">
        <v>594.63366392643309</v>
      </c>
      <c r="C1405" s="169">
        <f t="shared" si="82"/>
        <v>831297.86216915341</v>
      </c>
      <c r="D1405" s="153"/>
      <c r="E1405" s="153"/>
      <c r="F1405" s="153"/>
      <c r="G1405" s="153"/>
      <c r="I1405" s="168">
        <v>1398</v>
      </c>
      <c r="J1405" s="159">
        <f>ROUND(B1405*('Model Data Inputs'!$E$184*'Model Data Inputs'!$E$185*'Model Data Inputs'!$E$186*'Model Data Inputs'!$E$187),2)</f>
        <v>594.63</v>
      </c>
      <c r="K1405" s="169">
        <f t="shared" si="83"/>
        <v>831292.74</v>
      </c>
      <c r="L1405" s="153"/>
      <c r="M1405" s="153"/>
      <c r="N1405" s="153"/>
      <c r="O1405" s="153"/>
    </row>
    <row r="1406" spans="1:15" x14ac:dyDescent="0.2">
      <c r="A1406" s="168">
        <v>1399</v>
      </c>
      <c r="B1406" s="159">
        <v>594.63366392643309</v>
      </c>
      <c r="C1406" s="169">
        <f t="shared" si="82"/>
        <v>831892.49583307991</v>
      </c>
      <c r="D1406" s="153"/>
      <c r="E1406" s="153"/>
      <c r="F1406" s="153"/>
      <c r="G1406" s="153"/>
      <c r="I1406" s="168">
        <v>1399</v>
      </c>
      <c r="J1406" s="159">
        <f>ROUND(B1406*('Model Data Inputs'!$E$184*'Model Data Inputs'!$E$185*'Model Data Inputs'!$E$186*'Model Data Inputs'!$E$187),2)</f>
        <v>594.63</v>
      </c>
      <c r="K1406" s="169">
        <f t="shared" si="83"/>
        <v>831887.37</v>
      </c>
      <c r="L1406" s="153"/>
      <c r="M1406" s="153"/>
      <c r="N1406" s="153"/>
      <c r="O1406" s="153"/>
    </row>
    <row r="1407" spans="1:15" x14ac:dyDescent="0.2">
      <c r="A1407" s="168">
        <v>1400</v>
      </c>
      <c r="B1407" s="159">
        <v>594.63366392643309</v>
      </c>
      <c r="C1407" s="169">
        <f t="shared" si="82"/>
        <v>832487.1294970063</v>
      </c>
      <c r="D1407" s="153"/>
      <c r="E1407" s="153"/>
      <c r="F1407" s="153"/>
      <c r="G1407" s="153"/>
      <c r="I1407" s="168">
        <v>1400</v>
      </c>
      <c r="J1407" s="159">
        <f>ROUND(B1407*('Model Data Inputs'!$E$184*'Model Data Inputs'!$E$185*'Model Data Inputs'!$E$186*'Model Data Inputs'!$E$187),2)</f>
        <v>594.63</v>
      </c>
      <c r="K1407" s="169">
        <f t="shared" si="83"/>
        <v>832482</v>
      </c>
      <c r="L1407" s="153"/>
      <c r="M1407" s="153"/>
      <c r="N1407" s="153"/>
      <c r="O1407" s="153"/>
    </row>
    <row r="1408" spans="1:15" x14ac:dyDescent="0.2">
      <c r="A1408" s="168">
        <v>1401</v>
      </c>
      <c r="B1408" s="159">
        <v>594.63366392643309</v>
      </c>
      <c r="C1408" s="169">
        <f t="shared" si="82"/>
        <v>833081.76316093281</v>
      </c>
      <c r="D1408" s="153"/>
      <c r="E1408" s="153"/>
      <c r="F1408" s="153"/>
      <c r="G1408" s="153"/>
      <c r="I1408" s="168">
        <v>1401</v>
      </c>
      <c r="J1408" s="159">
        <f>ROUND(B1408*('Model Data Inputs'!$E$184*'Model Data Inputs'!$E$185*'Model Data Inputs'!$E$186*'Model Data Inputs'!$E$187),2)</f>
        <v>594.63</v>
      </c>
      <c r="K1408" s="169">
        <f t="shared" si="83"/>
        <v>833076.63</v>
      </c>
      <c r="L1408" s="153"/>
      <c r="M1408" s="153"/>
      <c r="N1408" s="153"/>
      <c r="O1408" s="153"/>
    </row>
    <row r="1409" spans="1:15" x14ac:dyDescent="0.2">
      <c r="A1409" s="168">
        <v>1402</v>
      </c>
      <c r="B1409" s="159">
        <v>594.63366392643309</v>
      </c>
      <c r="C1409" s="169">
        <f t="shared" si="82"/>
        <v>833676.3968248592</v>
      </c>
      <c r="D1409" s="153"/>
      <c r="E1409" s="153"/>
      <c r="F1409" s="153"/>
      <c r="G1409" s="153"/>
      <c r="I1409" s="168">
        <v>1402</v>
      </c>
      <c r="J1409" s="159">
        <f>ROUND(B1409*('Model Data Inputs'!$E$184*'Model Data Inputs'!$E$185*'Model Data Inputs'!$E$186*'Model Data Inputs'!$E$187),2)</f>
        <v>594.63</v>
      </c>
      <c r="K1409" s="169">
        <f t="shared" si="83"/>
        <v>833671.26</v>
      </c>
      <c r="L1409" s="153"/>
      <c r="M1409" s="153"/>
      <c r="N1409" s="153"/>
      <c r="O1409" s="153"/>
    </row>
    <row r="1410" spans="1:15" x14ac:dyDescent="0.2">
      <c r="A1410" s="168">
        <v>1403</v>
      </c>
      <c r="B1410" s="159">
        <v>594.63366392643309</v>
      </c>
      <c r="C1410" s="169">
        <f t="shared" si="82"/>
        <v>834271.03048878559</v>
      </c>
      <c r="D1410" s="153"/>
      <c r="E1410" s="153"/>
      <c r="F1410" s="153"/>
      <c r="G1410" s="153"/>
      <c r="I1410" s="168">
        <v>1403</v>
      </c>
      <c r="J1410" s="159">
        <f>ROUND(B1410*('Model Data Inputs'!$E$184*'Model Data Inputs'!$E$185*'Model Data Inputs'!$E$186*'Model Data Inputs'!$E$187),2)</f>
        <v>594.63</v>
      </c>
      <c r="K1410" s="169">
        <f t="shared" si="83"/>
        <v>834265.89</v>
      </c>
      <c r="L1410" s="153"/>
      <c r="M1410" s="153"/>
      <c r="N1410" s="153"/>
      <c r="O1410" s="153"/>
    </row>
    <row r="1411" spans="1:15" x14ac:dyDescent="0.2">
      <c r="A1411" s="168">
        <v>1404</v>
      </c>
      <c r="B1411" s="159">
        <v>594.63366392643309</v>
      </c>
      <c r="C1411" s="169">
        <f t="shared" si="82"/>
        <v>834865.6641527121</v>
      </c>
      <c r="D1411" s="153"/>
      <c r="E1411" s="153"/>
      <c r="F1411" s="153"/>
      <c r="G1411" s="153"/>
      <c r="I1411" s="168">
        <v>1404</v>
      </c>
      <c r="J1411" s="159">
        <f>ROUND(B1411*('Model Data Inputs'!$E$184*'Model Data Inputs'!$E$185*'Model Data Inputs'!$E$186*'Model Data Inputs'!$E$187),2)</f>
        <v>594.63</v>
      </c>
      <c r="K1411" s="169">
        <f t="shared" si="83"/>
        <v>834860.52</v>
      </c>
      <c r="L1411" s="153"/>
      <c r="M1411" s="153"/>
      <c r="N1411" s="153"/>
      <c r="O1411" s="153"/>
    </row>
    <row r="1412" spans="1:15" x14ac:dyDescent="0.2">
      <c r="A1412" s="168">
        <v>1405</v>
      </c>
      <c r="B1412" s="159">
        <v>594.63366392643309</v>
      </c>
      <c r="C1412" s="169">
        <f t="shared" si="82"/>
        <v>835460.29781663849</v>
      </c>
      <c r="D1412" s="153"/>
      <c r="E1412" s="153"/>
      <c r="F1412" s="153"/>
      <c r="G1412" s="153"/>
      <c r="I1412" s="168">
        <v>1405</v>
      </c>
      <c r="J1412" s="159">
        <f>ROUND(B1412*('Model Data Inputs'!$E$184*'Model Data Inputs'!$E$185*'Model Data Inputs'!$E$186*'Model Data Inputs'!$E$187),2)</f>
        <v>594.63</v>
      </c>
      <c r="K1412" s="169">
        <f t="shared" si="83"/>
        <v>835455.15</v>
      </c>
      <c r="L1412" s="153"/>
      <c r="M1412" s="153"/>
      <c r="N1412" s="153"/>
      <c r="O1412" s="153"/>
    </row>
    <row r="1413" spans="1:15" x14ac:dyDescent="0.2">
      <c r="A1413" s="168">
        <v>1406</v>
      </c>
      <c r="B1413" s="159">
        <v>594.63366392643309</v>
      </c>
      <c r="C1413" s="169">
        <f t="shared" si="82"/>
        <v>836054.93148056488</v>
      </c>
      <c r="D1413" s="153"/>
      <c r="E1413" s="153"/>
      <c r="F1413" s="153"/>
      <c r="G1413" s="153"/>
      <c r="I1413" s="168">
        <v>1406</v>
      </c>
      <c r="J1413" s="159">
        <f>ROUND(B1413*('Model Data Inputs'!$E$184*'Model Data Inputs'!$E$185*'Model Data Inputs'!$E$186*'Model Data Inputs'!$E$187),2)</f>
        <v>594.63</v>
      </c>
      <c r="K1413" s="169">
        <f t="shared" si="83"/>
        <v>836049.78</v>
      </c>
      <c r="L1413" s="153"/>
      <c r="M1413" s="153"/>
      <c r="N1413" s="153"/>
      <c r="O1413" s="153"/>
    </row>
    <row r="1414" spans="1:15" x14ac:dyDescent="0.2">
      <c r="A1414" s="168">
        <v>1407</v>
      </c>
      <c r="B1414" s="159">
        <v>594.63366392643309</v>
      </c>
      <c r="C1414" s="169">
        <f t="shared" si="82"/>
        <v>836649.56514449138</v>
      </c>
      <c r="D1414" s="153"/>
      <c r="E1414" s="153"/>
      <c r="F1414" s="153"/>
      <c r="G1414" s="153"/>
      <c r="I1414" s="168">
        <v>1407</v>
      </c>
      <c r="J1414" s="159">
        <f>ROUND(B1414*('Model Data Inputs'!$E$184*'Model Data Inputs'!$E$185*'Model Data Inputs'!$E$186*'Model Data Inputs'!$E$187),2)</f>
        <v>594.63</v>
      </c>
      <c r="K1414" s="169">
        <f t="shared" si="83"/>
        <v>836644.41</v>
      </c>
      <c r="L1414" s="153"/>
      <c r="M1414" s="153"/>
      <c r="N1414" s="153"/>
      <c r="O1414" s="153"/>
    </row>
    <row r="1415" spans="1:15" x14ac:dyDescent="0.2">
      <c r="A1415" s="168">
        <v>1408</v>
      </c>
      <c r="B1415" s="159">
        <v>594.63366392643309</v>
      </c>
      <c r="C1415" s="169">
        <f t="shared" si="82"/>
        <v>837244.19880841777</v>
      </c>
      <c r="D1415" s="153"/>
      <c r="E1415" s="153"/>
      <c r="F1415" s="153"/>
      <c r="G1415" s="153"/>
      <c r="I1415" s="168">
        <v>1408</v>
      </c>
      <c r="J1415" s="159">
        <f>ROUND(B1415*('Model Data Inputs'!$E$184*'Model Data Inputs'!$E$185*'Model Data Inputs'!$E$186*'Model Data Inputs'!$E$187),2)</f>
        <v>594.63</v>
      </c>
      <c r="K1415" s="169">
        <f t="shared" si="83"/>
        <v>837239.04</v>
      </c>
      <c r="L1415" s="153"/>
      <c r="M1415" s="153"/>
      <c r="N1415" s="153"/>
      <c r="O1415" s="153"/>
    </row>
    <row r="1416" spans="1:15" x14ac:dyDescent="0.2">
      <c r="A1416" s="168">
        <v>1409</v>
      </c>
      <c r="B1416" s="159">
        <v>594.63366392643309</v>
      </c>
      <c r="C1416" s="169">
        <f t="shared" ref="C1416:C1479" si="84">A1416*B1416</f>
        <v>837838.83247234416</v>
      </c>
      <c r="D1416" s="153"/>
      <c r="E1416" s="153"/>
      <c r="F1416" s="153"/>
      <c r="G1416" s="153"/>
      <c r="I1416" s="168">
        <v>1409</v>
      </c>
      <c r="J1416" s="159">
        <f>ROUND(B1416*('Model Data Inputs'!$E$184*'Model Data Inputs'!$E$185*'Model Data Inputs'!$E$186*'Model Data Inputs'!$E$187),2)</f>
        <v>594.63</v>
      </c>
      <c r="K1416" s="169">
        <f t="shared" ref="K1416:K1479" si="85">I1416*J1416</f>
        <v>837833.67</v>
      </c>
      <c r="L1416" s="153"/>
      <c r="M1416" s="153"/>
      <c r="N1416" s="153"/>
      <c r="O1416" s="153"/>
    </row>
    <row r="1417" spans="1:15" x14ac:dyDescent="0.2">
      <c r="A1417" s="168">
        <v>1410</v>
      </c>
      <c r="B1417" s="159">
        <v>594.63366392643309</v>
      </c>
      <c r="C1417" s="169">
        <f t="shared" si="84"/>
        <v>838433.46613627067</v>
      </c>
      <c r="D1417" s="153"/>
      <c r="E1417" s="153"/>
      <c r="F1417" s="153"/>
      <c r="G1417" s="153"/>
      <c r="I1417" s="168">
        <v>1410</v>
      </c>
      <c r="J1417" s="159">
        <f>ROUND(B1417*('Model Data Inputs'!$E$184*'Model Data Inputs'!$E$185*'Model Data Inputs'!$E$186*'Model Data Inputs'!$E$187),2)</f>
        <v>594.63</v>
      </c>
      <c r="K1417" s="169">
        <f t="shared" si="85"/>
        <v>838428.3</v>
      </c>
      <c r="L1417" s="153"/>
      <c r="M1417" s="153"/>
      <c r="N1417" s="153"/>
      <c r="O1417" s="153"/>
    </row>
    <row r="1418" spans="1:15" x14ac:dyDescent="0.2">
      <c r="A1418" s="168">
        <v>1411</v>
      </c>
      <c r="B1418" s="159">
        <v>594.63366392643309</v>
      </c>
      <c r="C1418" s="169">
        <f t="shared" si="84"/>
        <v>839028.09980019706</v>
      </c>
      <c r="D1418" s="153"/>
      <c r="E1418" s="153"/>
      <c r="F1418" s="153"/>
      <c r="G1418" s="153"/>
      <c r="I1418" s="168">
        <v>1411</v>
      </c>
      <c r="J1418" s="159">
        <f>ROUND(B1418*('Model Data Inputs'!$E$184*'Model Data Inputs'!$E$185*'Model Data Inputs'!$E$186*'Model Data Inputs'!$E$187),2)</f>
        <v>594.63</v>
      </c>
      <c r="K1418" s="169">
        <f t="shared" si="85"/>
        <v>839022.93</v>
      </c>
      <c r="L1418" s="153"/>
      <c r="M1418" s="153"/>
      <c r="N1418" s="153"/>
      <c r="O1418" s="153"/>
    </row>
    <row r="1419" spans="1:15" x14ac:dyDescent="0.2">
      <c r="A1419" s="168">
        <v>1412</v>
      </c>
      <c r="B1419" s="159">
        <v>594.63366392643309</v>
      </c>
      <c r="C1419" s="169">
        <f t="shared" si="84"/>
        <v>839622.73346412356</v>
      </c>
      <c r="D1419" s="153"/>
      <c r="E1419" s="153"/>
      <c r="F1419" s="153"/>
      <c r="G1419" s="153"/>
      <c r="I1419" s="168">
        <v>1412</v>
      </c>
      <c r="J1419" s="159">
        <f>ROUND(B1419*('Model Data Inputs'!$E$184*'Model Data Inputs'!$E$185*'Model Data Inputs'!$E$186*'Model Data Inputs'!$E$187),2)</f>
        <v>594.63</v>
      </c>
      <c r="K1419" s="169">
        <f t="shared" si="85"/>
        <v>839617.55999999994</v>
      </c>
      <c r="L1419" s="153"/>
      <c r="M1419" s="153"/>
      <c r="N1419" s="153"/>
      <c r="O1419" s="153"/>
    </row>
    <row r="1420" spans="1:15" x14ac:dyDescent="0.2">
      <c r="A1420" s="168">
        <v>1413</v>
      </c>
      <c r="B1420" s="159">
        <v>594.63366392643309</v>
      </c>
      <c r="C1420" s="169">
        <f t="shared" si="84"/>
        <v>840217.36712804995</v>
      </c>
      <c r="D1420" s="153"/>
      <c r="E1420" s="153"/>
      <c r="F1420" s="153"/>
      <c r="G1420" s="153"/>
      <c r="I1420" s="168">
        <v>1413</v>
      </c>
      <c r="J1420" s="159">
        <f>ROUND(B1420*('Model Data Inputs'!$E$184*'Model Data Inputs'!$E$185*'Model Data Inputs'!$E$186*'Model Data Inputs'!$E$187),2)</f>
        <v>594.63</v>
      </c>
      <c r="K1420" s="169">
        <f t="shared" si="85"/>
        <v>840212.19</v>
      </c>
      <c r="L1420" s="153"/>
      <c r="M1420" s="153"/>
      <c r="N1420" s="153"/>
      <c r="O1420" s="153"/>
    </row>
    <row r="1421" spans="1:15" x14ac:dyDescent="0.2">
      <c r="A1421" s="168">
        <v>1414</v>
      </c>
      <c r="B1421" s="159">
        <v>594.63366392643309</v>
      </c>
      <c r="C1421" s="169">
        <f t="shared" si="84"/>
        <v>840812.00079197634</v>
      </c>
      <c r="D1421" s="153"/>
      <c r="E1421" s="153"/>
      <c r="F1421" s="153"/>
      <c r="G1421" s="153"/>
      <c r="I1421" s="168">
        <v>1414</v>
      </c>
      <c r="J1421" s="159">
        <f>ROUND(B1421*('Model Data Inputs'!$E$184*'Model Data Inputs'!$E$185*'Model Data Inputs'!$E$186*'Model Data Inputs'!$E$187),2)</f>
        <v>594.63</v>
      </c>
      <c r="K1421" s="169">
        <f t="shared" si="85"/>
        <v>840806.82</v>
      </c>
      <c r="L1421" s="153"/>
      <c r="M1421" s="153"/>
      <c r="N1421" s="153"/>
      <c r="O1421" s="153"/>
    </row>
    <row r="1422" spans="1:15" x14ac:dyDescent="0.2">
      <c r="A1422" s="168">
        <v>1415</v>
      </c>
      <c r="B1422" s="159">
        <v>594.63366392643309</v>
      </c>
      <c r="C1422" s="169">
        <f t="shared" si="84"/>
        <v>841406.63445590285</v>
      </c>
      <c r="D1422" s="153"/>
      <c r="E1422" s="153"/>
      <c r="F1422" s="153"/>
      <c r="G1422" s="153"/>
      <c r="I1422" s="168">
        <v>1415</v>
      </c>
      <c r="J1422" s="159">
        <f>ROUND(B1422*('Model Data Inputs'!$E$184*'Model Data Inputs'!$E$185*'Model Data Inputs'!$E$186*'Model Data Inputs'!$E$187),2)</f>
        <v>594.63</v>
      </c>
      <c r="K1422" s="169">
        <f t="shared" si="85"/>
        <v>841401.45</v>
      </c>
      <c r="L1422" s="153"/>
      <c r="M1422" s="153"/>
      <c r="N1422" s="153"/>
      <c r="O1422" s="153"/>
    </row>
    <row r="1423" spans="1:15" x14ac:dyDescent="0.2">
      <c r="A1423" s="168">
        <v>1416</v>
      </c>
      <c r="B1423" s="159">
        <v>594.63366392643309</v>
      </c>
      <c r="C1423" s="169">
        <f t="shared" si="84"/>
        <v>842001.26811982924</v>
      </c>
      <c r="D1423" s="153"/>
      <c r="E1423" s="153"/>
      <c r="F1423" s="153"/>
      <c r="G1423" s="153"/>
      <c r="I1423" s="168">
        <v>1416</v>
      </c>
      <c r="J1423" s="159">
        <f>ROUND(B1423*('Model Data Inputs'!$E$184*'Model Data Inputs'!$E$185*'Model Data Inputs'!$E$186*'Model Data Inputs'!$E$187),2)</f>
        <v>594.63</v>
      </c>
      <c r="K1423" s="169">
        <f t="shared" si="85"/>
        <v>841996.08</v>
      </c>
      <c r="L1423" s="153"/>
      <c r="M1423" s="153"/>
      <c r="N1423" s="153"/>
      <c r="O1423" s="153"/>
    </row>
    <row r="1424" spans="1:15" x14ac:dyDescent="0.2">
      <c r="A1424" s="168">
        <v>1417</v>
      </c>
      <c r="B1424" s="159">
        <v>594.63366392643309</v>
      </c>
      <c r="C1424" s="169">
        <f t="shared" si="84"/>
        <v>842595.90178375563</v>
      </c>
      <c r="D1424" s="153"/>
      <c r="E1424" s="153"/>
      <c r="F1424" s="153"/>
      <c r="G1424" s="153"/>
      <c r="I1424" s="168">
        <v>1417</v>
      </c>
      <c r="J1424" s="159">
        <f>ROUND(B1424*('Model Data Inputs'!$E$184*'Model Data Inputs'!$E$185*'Model Data Inputs'!$E$186*'Model Data Inputs'!$E$187),2)</f>
        <v>594.63</v>
      </c>
      <c r="K1424" s="169">
        <f t="shared" si="85"/>
        <v>842590.71</v>
      </c>
      <c r="L1424" s="153"/>
      <c r="M1424" s="153"/>
      <c r="N1424" s="153"/>
      <c r="O1424" s="153"/>
    </row>
    <row r="1425" spans="1:15" x14ac:dyDescent="0.2">
      <c r="A1425" s="168">
        <v>1418</v>
      </c>
      <c r="B1425" s="159">
        <v>594.63366392643309</v>
      </c>
      <c r="C1425" s="169">
        <f t="shared" si="84"/>
        <v>843190.53544768214</v>
      </c>
      <c r="D1425" s="153"/>
      <c r="E1425" s="153"/>
      <c r="F1425" s="153"/>
      <c r="G1425" s="153"/>
      <c r="I1425" s="168">
        <v>1418</v>
      </c>
      <c r="J1425" s="159">
        <f>ROUND(B1425*('Model Data Inputs'!$E$184*'Model Data Inputs'!$E$185*'Model Data Inputs'!$E$186*'Model Data Inputs'!$E$187),2)</f>
        <v>594.63</v>
      </c>
      <c r="K1425" s="169">
        <f t="shared" si="85"/>
        <v>843185.34</v>
      </c>
      <c r="L1425" s="153"/>
      <c r="M1425" s="153"/>
      <c r="N1425" s="153"/>
      <c r="O1425" s="153"/>
    </row>
    <row r="1426" spans="1:15" x14ac:dyDescent="0.2">
      <c r="A1426" s="168">
        <v>1419</v>
      </c>
      <c r="B1426" s="159">
        <v>594.63366392643309</v>
      </c>
      <c r="C1426" s="169">
        <f t="shared" si="84"/>
        <v>843785.16911160853</v>
      </c>
      <c r="D1426" s="153"/>
      <c r="E1426" s="153"/>
      <c r="F1426" s="153"/>
      <c r="G1426" s="153"/>
      <c r="I1426" s="168">
        <v>1419</v>
      </c>
      <c r="J1426" s="159">
        <f>ROUND(B1426*('Model Data Inputs'!$E$184*'Model Data Inputs'!$E$185*'Model Data Inputs'!$E$186*'Model Data Inputs'!$E$187),2)</f>
        <v>594.63</v>
      </c>
      <c r="K1426" s="169">
        <f t="shared" si="85"/>
        <v>843779.97</v>
      </c>
      <c r="L1426" s="153"/>
      <c r="M1426" s="153"/>
      <c r="N1426" s="153"/>
      <c r="O1426" s="153"/>
    </row>
    <row r="1427" spans="1:15" x14ac:dyDescent="0.2">
      <c r="A1427" s="168">
        <v>1420</v>
      </c>
      <c r="B1427" s="159">
        <v>594.63366392643309</v>
      </c>
      <c r="C1427" s="169">
        <f t="shared" si="84"/>
        <v>844379.80277553503</v>
      </c>
      <c r="D1427" s="153"/>
      <c r="E1427" s="153"/>
      <c r="F1427" s="153"/>
      <c r="G1427" s="153"/>
      <c r="I1427" s="168">
        <v>1420</v>
      </c>
      <c r="J1427" s="159">
        <f>ROUND(B1427*('Model Data Inputs'!$E$184*'Model Data Inputs'!$E$185*'Model Data Inputs'!$E$186*'Model Data Inputs'!$E$187),2)</f>
        <v>594.63</v>
      </c>
      <c r="K1427" s="169">
        <f t="shared" si="85"/>
        <v>844374.6</v>
      </c>
      <c r="L1427" s="153"/>
      <c r="M1427" s="153"/>
      <c r="N1427" s="153"/>
      <c r="O1427" s="153"/>
    </row>
    <row r="1428" spans="1:15" x14ac:dyDescent="0.2">
      <c r="A1428" s="168">
        <v>1421</v>
      </c>
      <c r="B1428" s="159">
        <v>594.63366392643309</v>
      </c>
      <c r="C1428" s="169">
        <f t="shared" si="84"/>
        <v>844974.43643946142</v>
      </c>
      <c r="D1428" s="153"/>
      <c r="E1428" s="153"/>
      <c r="F1428" s="153"/>
      <c r="G1428" s="153"/>
      <c r="I1428" s="168">
        <v>1421</v>
      </c>
      <c r="J1428" s="159">
        <f>ROUND(B1428*('Model Data Inputs'!$E$184*'Model Data Inputs'!$E$185*'Model Data Inputs'!$E$186*'Model Data Inputs'!$E$187),2)</f>
        <v>594.63</v>
      </c>
      <c r="K1428" s="169">
        <f t="shared" si="85"/>
        <v>844969.23</v>
      </c>
      <c r="L1428" s="153"/>
      <c r="M1428" s="153"/>
      <c r="N1428" s="153"/>
      <c r="O1428" s="153"/>
    </row>
    <row r="1429" spans="1:15" x14ac:dyDescent="0.2">
      <c r="A1429" s="168">
        <v>1422</v>
      </c>
      <c r="B1429" s="159">
        <v>594.63366392643309</v>
      </c>
      <c r="C1429" s="169">
        <f t="shared" si="84"/>
        <v>845569.07010338781</v>
      </c>
      <c r="D1429" s="153"/>
      <c r="E1429" s="153"/>
      <c r="F1429" s="153"/>
      <c r="G1429" s="153"/>
      <c r="I1429" s="168">
        <v>1422</v>
      </c>
      <c r="J1429" s="159">
        <f>ROUND(B1429*('Model Data Inputs'!$E$184*'Model Data Inputs'!$E$185*'Model Data Inputs'!$E$186*'Model Data Inputs'!$E$187),2)</f>
        <v>594.63</v>
      </c>
      <c r="K1429" s="169">
        <f t="shared" si="85"/>
        <v>845563.86</v>
      </c>
      <c r="L1429" s="153"/>
      <c r="M1429" s="153"/>
      <c r="N1429" s="153"/>
      <c r="O1429" s="153"/>
    </row>
    <row r="1430" spans="1:15" x14ac:dyDescent="0.2">
      <c r="A1430" s="168">
        <v>1423</v>
      </c>
      <c r="B1430" s="159">
        <v>594.63366392643309</v>
      </c>
      <c r="C1430" s="169">
        <f t="shared" si="84"/>
        <v>846163.70376731432</v>
      </c>
      <c r="D1430" s="153"/>
      <c r="E1430" s="153"/>
      <c r="F1430" s="153"/>
      <c r="G1430" s="153"/>
      <c r="I1430" s="168">
        <v>1423</v>
      </c>
      <c r="J1430" s="159">
        <f>ROUND(B1430*('Model Data Inputs'!$E$184*'Model Data Inputs'!$E$185*'Model Data Inputs'!$E$186*'Model Data Inputs'!$E$187),2)</f>
        <v>594.63</v>
      </c>
      <c r="K1430" s="169">
        <f t="shared" si="85"/>
        <v>846158.49</v>
      </c>
      <c r="L1430" s="153"/>
      <c r="M1430" s="153"/>
      <c r="N1430" s="153"/>
      <c r="O1430" s="153"/>
    </row>
    <row r="1431" spans="1:15" x14ac:dyDescent="0.2">
      <c r="A1431" s="168">
        <v>1424</v>
      </c>
      <c r="B1431" s="159">
        <v>594.63366392643309</v>
      </c>
      <c r="C1431" s="169">
        <f t="shared" si="84"/>
        <v>846758.33743124071</v>
      </c>
      <c r="D1431" s="153"/>
      <c r="E1431" s="153"/>
      <c r="F1431" s="153"/>
      <c r="G1431" s="153"/>
      <c r="I1431" s="168">
        <v>1424</v>
      </c>
      <c r="J1431" s="159">
        <f>ROUND(B1431*('Model Data Inputs'!$E$184*'Model Data Inputs'!$E$185*'Model Data Inputs'!$E$186*'Model Data Inputs'!$E$187),2)</f>
        <v>594.63</v>
      </c>
      <c r="K1431" s="169">
        <f t="shared" si="85"/>
        <v>846753.12</v>
      </c>
      <c r="L1431" s="153"/>
      <c r="M1431" s="153"/>
      <c r="N1431" s="153"/>
      <c r="O1431" s="153"/>
    </row>
    <row r="1432" spans="1:15" x14ac:dyDescent="0.2">
      <c r="A1432" s="168">
        <v>1425</v>
      </c>
      <c r="B1432" s="159">
        <v>594.63366392643309</v>
      </c>
      <c r="C1432" s="169">
        <f t="shared" si="84"/>
        <v>847352.9710951671</v>
      </c>
      <c r="D1432" s="153"/>
      <c r="E1432" s="153"/>
      <c r="F1432" s="153"/>
      <c r="G1432" s="153"/>
      <c r="I1432" s="168">
        <v>1425</v>
      </c>
      <c r="J1432" s="159">
        <f>ROUND(B1432*('Model Data Inputs'!$E$184*'Model Data Inputs'!$E$185*'Model Data Inputs'!$E$186*'Model Data Inputs'!$E$187),2)</f>
        <v>594.63</v>
      </c>
      <c r="K1432" s="169">
        <f t="shared" si="85"/>
        <v>847347.75</v>
      </c>
      <c r="L1432" s="153"/>
      <c r="M1432" s="153"/>
      <c r="N1432" s="153"/>
      <c r="O1432" s="153"/>
    </row>
    <row r="1433" spans="1:15" x14ac:dyDescent="0.2">
      <c r="A1433" s="168">
        <v>1426</v>
      </c>
      <c r="B1433" s="159">
        <v>594.63366392643309</v>
      </c>
      <c r="C1433" s="169">
        <f t="shared" si="84"/>
        <v>847947.60475909361</v>
      </c>
      <c r="D1433" s="153"/>
      <c r="E1433" s="153"/>
      <c r="F1433" s="153"/>
      <c r="G1433" s="153"/>
      <c r="I1433" s="168">
        <v>1426</v>
      </c>
      <c r="J1433" s="159">
        <f>ROUND(B1433*('Model Data Inputs'!$E$184*'Model Data Inputs'!$E$185*'Model Data Inputs'!$E$186*'Model Data Inputs'!$E$187),2)</f>
        <v>594.63</v>
      </c>
      <c r="K1433" s="169">
        <f t="shared" si="85"/>
        <v>847942.38</v>
      </c>
      <c r="L1433" s="153"/>
      <c r="M1433" s="153"/>
      <c r="N1433" s="153"/>
      <c r="O1433" s="153"/>
    </row>
    <row r="1434" spans="1:15" x14ac:dyDescent="0.2">
      <c r="A1434" s="168">
        <v>1427</v>
      </c>
      <c r="B1434" s="159">
        <v>594.63366392643309</v>
      </c>
      <c r="C1434" s="169">
        <f t="shared" si="84"/>
        <v>848542.23842302</v>
      </c>
      <c r="D1434" s="153"/>
      <c r="E1434" s="153"/>
      <c r="F1434" s="153"/>
      <c r="G1434" s="153"/>
      <c r="I1434" s="168">
        <v>1427</v>
      </c>
      <c r="J1434" s="159">
        <f>ROUND(B1434*('Model Data Inputs'!$E$184*'Model Data Inputs'!$E$185*'Model Data Inputs'!$E$186*'Model Data Inputs'!$E$187),2)</f>
        <v>594.63</v>
      </c>
      <c r="K1434" s="169">
        <f t="shared" si="85"/>
        <v>848537.01</v>
      </c>
      <c r="L1434" s="153"/>
      <c r="M1434" s="153"/>
      <c r="N1434" s="153"/>
      <c r="O1434" s="153"/>
    </row>
    <row r="1435" spans="1:15" x14ac:dyDescent="0.2">
      <c r="A1435" s="168">
        <v>1428</v>
      </c>
      <c r="B1435" s="159">
        <v>594.63366392643309</v>
      </c>
      <c r="C1435" s="169">
        <f t="shared" si="84"/>
        <v>849136.8720869465</v>
      </c>
      <c r="D1435" s="153"/>
      <c r="E1435" s="153"/>
      <c r="F1435" s="153"/>
      <c r="G1435" s="153"/>
      <c r="I1435" s="168">
        <v>1428</v>
      </c>
      <c r="J1435" s="159">
        <f>ROUND(B1435*('Model Data Inputs'!$E$184*'Model Data Inputs'!$E$185*'Model Data Inputs'!$E$186*'Model Data Inputs'!$E$187),2)</f>
        <v>594.63</v>
      </c>
      <c r="K1435" s="169">
        <f t="shared" si="85"/>
        <v>849131.64</v>
      </c>
      <c r="L1435" s="153"/>
      <c r="M1435" s="153"/>
      <c r="N1435" s="153"/>
      <c r="O1435" s="153"/>
    </row>
    <row r="1436" spans="1:15" x14ac:dyDescent="0.2">
      <c r="A1436" s="168">
        <v>1429</v>
      </c>
      <c r="B1436" s="159">
        <v>594.63366392643309</v>
      </c>
      <c r="C1436" s="169">
        <f t="shared" si="84"/>
        <v>849731.50575087289</v>
      </c>
      <c r="D1436" s="153"/>
      <c r="E1436" s="153"/>
      <c r="F1436" s="153"/>
      <c r="G1436" s="153"/>
      <c r="I1436" s="168">
        <v>1429</v>
      </c>
      <c r="J1436" s="159">
        <f>ROUND(B1436*('Model Data Inputs'!$E$184*'Model Data Inputs'!$E$185*'Model Data Inputs'!$E$186*'Model Data Inputs'!$E$187),2)</f>
        <v>594.63</v>
      </c>
      <c r="K1436" s="169">
        <f t="shared" si="85"/>
        <v>849726.27</v>
      </c>
      <c r="L1436" s="153"/>
      <c r="M1436" s="153"/>
      <c r="N1436" s="153"/>
      <c r="O1436" s="153"/>
    </row>
    <row r="1437" spans="1:15" x14ac:dyDescent="0.2">
      <c r="A1437" s="168">
        <v>1430</v>
      </c>
      <c r="B1437" s="159">
        <v>594.63366392643309</v>
      </c>
      <c r="C1437" s="169">
        <f t="shared" si="84"/>
        <v>850326.13941479928</v>
      </c>
      <c r="D1437" s="153"/>
      <c r="E1437" s="153"/>
      <c r="F1437" s="153"/>
      <c r="G1437" s="153"/>
      <c r="I1437" s="168">
        <v>1430</v>
      </c>
      <c r="J1437" s="159">
        <f>ROUND(B1437*('Model Data Inputs'!$E$184*'Model Data Inputs'!$E$185*'Model Data Inputs'!$E$186*'Model Data Inputs'!$E$187),2)</f>
        <v>594.63</v>
      </c>
      <c r="K1437" s="169">
        <f t="shared" si="85"/>
        <v>850320.9</v>
      </c>
      <c r="L1437" s="153"/>
      <c r="M1437" s="153"/>
      <c r="N1437" s="153"/>
      <c r="O1437" s="153"/>
    </row>
    <row r="1438" spans="1:15" x14ac:dyDescent="0.2">
      <c r="A1438" s="168">
        <v>1431</v>
      </c>
      <c r="B1438" s="159">
        <v>594.63366392643309</v>
      </c>
      <c r="C1438" s="169">
        <f t="shared" si="84"/>
        <v>850920.77307872579</v>
      </c>
      <c r="D1438" s="153"/>
      <c r="E1438" s="153"/>
      <c r="F1438" s="153"/>
      <c r="G1438" s="153"/>
      <c r="I1438" s="168">
        <v>1431</v>
      </c>
      <c r="J1438" s="159">
        <f>ROUND(B1438*('Model Data Inputs'!$E$184*'Model Data Inputs'!$E$185*'Model Data Inputs'!$E$186*'Model Data Inputs'!$E$187),2)</f>
        <v>594.63</v>
      </c>
      <c r="K1438" s="169">
        <f t="shared" si="85"/>
        <v>850915.53</v>
      </c>
      <c r="L1438" s="153"/>
      <c r="M1438" s="153"/>
      <c r="N1438" s="153"/>
      <c r="O1438" s="153"/>
    </row>
    <row r="1439" spans="1:15" x14ac:dyDescent="0.2">
      <c r="A1439" s="168">
        <v>1432</v>
      </c>
      <c r="B1439" s="159">
        <v>594.63366392643309</v>
      </c>
      <c r="C1439" s="169">
        <f t="shared" si="84"/>
        <v>851515.40674265218</v>
      </c>
      <c r="D1439" s="153"/>
      <c r="E1439" s="153"/>
      <c r="F1439" s="153"/>
      <c r="G1439" s="153"/>
      <c r="I1439" s="168">
        <v>1432</v>
      </c>
      <c r="J1439" s="159">
        <f>ROUND(B1439*('Model Data Inputs'!$E$184*'Model Data Inputs'!$E$185*'Model Data Inputs'!$E$186*'Model Data Inputs'!$E$187),2)</f>
        <v>594.63</v>
      </c>
      <c r="K1439" s="169">
        <f t="shared" si="85"/>
        <v>851510.16</v>
      </c>
      <c r="L1439" s="153"/>
      <c r="M1439" s="153"/>
      <c r="N1439" s="153"/>
      <c r="O1439" s="153"/>
    </row>
    <row r="1440" spans="1:15" x14ac:dyDescent="0.2">
      <c r="A1440" s="168">
        <v>1433</v>
      </c>
      <c r="B1440" s="159">
        <v>594.63366392643309</v>
      </c>
      <c r="C1440" s="169">
        <f t="shared" si="84"/>
        <v>852110.04040657857</v>
      </c>
      <c r="D1440" s="153"/>
      <c r="E1440" s="153"/>
      <c r="F1440" s="153"/>
      <c r="G1440" s="153"/>
      <c r="I1440" s="168">
        <v>1433</v>
      </c>
      <c r="J1440" s="159">
        <f>ROUND(B1440*('Model Data Inputs'!$E$184*'Model Data Inputs'!$E$185*'Model Data Inputs'!$E$186*'Model Data Inputs'!$E$187),2)</f>
        <v>594.63</v>
      </c>
      <c r="K1440" s="169">
        <f t="shared" si="85"/>
        <v>852104.79</v>
      </c>
      <c r="L1440" s="153"/>
      <c r="M1440" s="153"/>
      <c r="N1440" s="153"/>
      <c r="O1440" s="153"/>
    </row>
    <row r="1441" spans="1:15" x14ac:dyDescent="0.2">
      <c r="A1441" s="168">
        <v>1434</v>
      </c>
      <c r="B1441" s="159">
        <v>594.63366392643309</v>
      </c>
      <c r="C1441" s="169">
        <f t="shared" si="84"/>
        <v>852704.67407050508</v>
      </c>
      <c r="D1441" s="153"/>
      <c r="E1441" s="153"/>
      <c r="F1441" s="153"/>
      <c r="G1441" s="153"/>
      <c r="I1441" s="168">
        <v>1434</v>
      </c>
      <c r="J1441" s="159">
        <f>ROUND(B1441*('Model Data Inputs'!$E$184*'Model Data Inputs'!$E$185*'Model Data Inputs'!$E$186*'Model Data Inputs'!$E$187),2)</f>
        <v>594.63</v>
      </c>
      <c r="K1441" s="169">
        <f t="shared" si="85"/>
        <v>852699.42</v>
      </c>
      <c r="L1441" s="153"/>
      <c r="M1441" s="153"/>
      <c r="N1441" s="153"/>
      <c r="O1441" s="153"/>
    </row>
    <row r="1442" spans="1:15" x14ac:dyDescent="0.2">
      <c r="A1442" s="168">
        <v>1435</v>
      </c>
      <c r="B1442" s="159">
        <v>594.63366392643309</v>
      </c>
      <c r="C1442" s="169">
        <f t="shared" si="84"/>
        <v>853299.30773443147</v>
      </c>
      <c r="D1442" s="153"/>
      <c r="E1442" s="153"/>
      <c r="F1442" s="153"/>
      <c r="G1442" s="153"/>
      <c r="I1442" s="168">
        <v>1435</v>
      </c>
      <c r="J1442" s="159">
        <f>ROUND(B1442*('Model Data Inputs'!$E$184*'Model Data Inputs'!$E$185*'Model Data Inputs'!$E$186*'Model Data Inputs'!$E$187),2)</f>
        <v>594.63</v>
      </c>
      <c r="K1442" s="169">
        <f t="shared" si="85"/>
        <v>853294.05</v>
      </c>
      <c r="L1442" s="153"/>
      <c r="M1442" s="153"/>
      <c r="N1442" s="153"/>
      <c r="O1442" s="153"/>
    </row>
    <row r="1443" spans="1:15" x14ac:dyDescent="0.2">
      <c r="A1443" s="168">
        <v>1436</v>
      </c>
      <c r="B1443" s="159">
        <v>594.63366392643309</v>
      </c>
      <c r="C1443" s="169">
        <f t="shared" si="84"/>
        <v>853893.94139835786</v>
      </c>
      <c r="D1443" s="153"/>
      <c r="E1443" s="153"/>
      <c r="F1443" s="153"/>
      <c r="G1443" s="153"/>
      <c r="I1443" s="168">
        <v>1436</v>
      </c>
      <c r="J1443" s="159">
        <f>ROUND(B1443*('Model Data Inputs'!$E$184*'Model Data Inputs'!$E$185*'Model Data Inputs'!$E$186*'Model Data Inputs'!$E$187),2)</f>
        <v>594.63</v>
      </c>
      <c r="K1443" s="169">
        <f t="shared" si="85"/>
        <v>853888.68</v>
      </c>
      <c r="L1443" s="153"/>
      <c r="M1443" s="153"/>
      <c r="N1443" s="153"/>
      <c r="O1443" s="153"/>
    </row>
    <row r="1444" spans="1:15" x14ac:dyDescent="0.2">
      <c r="A1444" s="168">
        <v>1437</v>
      </c>
      <c r="B1444" s="159">
        <v>594.63366392643309</v>
      </c>
      <c r="C1444" s="169">
        <f t="shared" si="84"/>
        <v>854488.57506228436</v>
      </c>
      <c r="D1444" s="153"/>
      <c r="E1444" s="153"/>
      <c r="F1444" s="153"/>
      <c r="G1444" s="153"/>
      <c r="I1444" s="168">
        <v>1437</v>
      </c>
      <c r="J1444" s="159">
        <f>ROUND(B1444*('Model Data Inputs'!$E$184*'Model Data Inputs'!$E$185*'Model Data Inputs'!$E$186*'Model Data Inputs'!$E$187),2)</f>
        <v>594.63</v>
      </c>
      <c r="K1444" s="169">
        <f t="shared" si="85"/>
        <v>854483.30999999994</v>
      </c>
      <c r="L1444" s="153"/>
      <c r="M1444" s="153"/>
      <c r="N1444" s="153"/>
      <c r="O1444" s="153"/>
    </row>
    <row r="1445" spans="1:15" x14ac:dyDescent="0.2">
      <c r="A1445" s="168">
        <v>1438</v>
      </c>
      <c r="B1445" s="159">
        <v>594.63366392643309</v>
      </c>
      <c r="C1445" s="169">
        <f t="shared" si="84"/>
        <v>855083.20872621075</v>
      </c>
      <c r="D1445" s="153"/>
      <c r="E1445" s="153"/>
      <c r="F1445" s="153"/>
      <c r="G1445" s="153"/>
      <c r="I1445" s="168">
        <v>1438</v>
      </c>
      <c r="J1445" s="159">
        <f>ROUND(B1445*('Model Data Inputs'!$E$184*'Model Data Inputs'!$E$185*'Model Data Inputs'!$E$186*'Model Data Inputs'!$E$187),2)</f>
        <v>594.63</v>
      </c>
      <c r="K1445" s="169">
        <f t="shared" si="85"/>
        <v>855077.94</v>
      </c>
      <c r="L1445" s="153"/>
      <c r="M1445" s="153"/>
      <c r="N1445" s="153"/>
      <c r="O1445" s="153"/>
    </row>
    <row r="1446" spans="1:15" x14ac:dyDescent="0.2">
      <c r="A1446" s="168">
        <v>1439</v>
      </c>
      <c r="B1446" s="159">
        <v>594.63366392643309</v>
      </c>
      <c r="C1446" s="169">
        <f t="shared" si="84"/>
        <v>855677.84239013726</v>
      </c>
      <c r="D1446" s="153"/>
      <c r="E1446" s="153"/>
      <c r="F1446" s="153"/>
      <c r="G1446" s="153"/>
      <c r="I1446" s="168">
        <v>1439</v>
      </c>
      <c r="J1446" s="159">
        <f>ROUND(B1446*('Model Data Inputs'!$E$184*'Model Data Inputs'!$E$185*'Model Data Inputs'!$E$186*'Model Data Inputs'!$E$187),2)</f>
        <v>594.63</v>
      </c>
      <c r="K1446" s="169">
        <f t="shared" si="85"/>
        <v>855672.57</v>
      </c>
      <c r="L1446" s="153"/>
      <c r="M1446" s="153"/>
      <c r="N1446" s="153"/>
      <c r="O1446" s="153"/>
    </row>
    <row r="1447" spans="1:15" x14ac:dyDescent="0.2">
      <c r="A1447" s="168">
        <v>1440</v>
      </c>
      <c r="B1447" s="159">
        <v>594.63366392643309</v>
      </c>
      <c r="C1447" s="169">
        <f t="shared" si="84"/>
        <v>856272.47605406365</v>
      </c>
      <c r="D1447" s="153"/>
      <c r="E1447" s="153"/>
      <c r="F1447" s="153"/>
      <c r="G1447" s="153"/>
      <c r="I1447" s="168">
        <v>1440</v>
      </c>
      <c r="J1447" s="159">
        <f>ROUND(B1447*('Model Data Inputs'!$E$184*'Model Data Inputs'!$E$185*'Model Data Inputs'!$E$186*'Model Data Inputs'!$E$187),2)</f>
        <v>594.63</v>
      </c>
      <c r="K1447" s="169">
        <f t="shared" si="85"/>
        <v>856267.2</v>
      </c>
      <c r="L1447" s="153"/>
      <c r="M1447" s="153"/>
      <c r="N1447" s="153"/>
      <c r="O1447" s="153"/>
    </row>
    <row r="1448" spans="1:15" x14ac:dyDescent="0.2">
      <c r="A1448" s="168">
        <v>1441</v>
      </c>
      <c r="B1448" s="159">
        <v>594.63366392643309</v>
      </c>
      <c r="C1448" s="169">
        <f t="shared" si="84"/>
        <v>856867.10971799004</v>
      </c>
      <c r="D1448" s="153"/>
      <c r="E1448" s="153"/>
      <c r="F1448" s="153"/>
      <c r="G1448" s="153"/>
      <c r="I1448" s="168">
        <v>1441</v>
      </c>
      <c r="J1448" s="159">
        <f>ROUND(B1448*('Model Data Inputs'!$E$184*'Model Data Inputs'!$E$185*'Model Data Inputs'!$E$186*'Model Data Inputs'!$E$187),2)</f>
        <v>594.63</v>
      </c>
      <c r="K1448" s="169">
        <f t="shared" si="85"/>
        <v>856861.83</v>
      </c>
      <c r="L1448" s="153"/>
      <c r="M1448" s="153"/>
      <c r="N1448" s="153"/>
      <c r="O1448" s="153"/>
    </row>
    <row r="1449" spans="1:15" x14ac:dyDescent="0.2">
      <c r="A1449" s="168">
        <v>1442</v>
      </c>
      <c r="B1449" s="159">
        <v>594.63366392643309</v>
      </c>
      <c r="C1449" s="169">
        <f t="shared" si="84"/>
        <v>857461.74338191655</v>
      </c>
      <c r="D1449" s="153"/>
      <c r="E1449" s="153"/>
      <c r="F1449" s="153"/>
      <c r="G1449" s="153"/>
      <c r="I1449" s="168">
        <v>1442</v>
      </c>
      <c r="J1449" s="159">
        <f>ROUND(B1449*('Model Data Inputs'!$E$184*'Model Data Inputs'!$E$185*'Model Data Inputs'!$E$186*'Model Data Inputs'!$E$187),2)</f>
        <v>594.63</v>
      </c>
      <c r="K1449" s="169">
        <f t="shared" si="85"/>
        <v>857456.46</v>
      </c>
      <c r="L1449" s="153"/>
      <c r="M1449" s="153"/>
      <c r="N1449" s="153"/>
      <c r="O1449" s="153"/>
    </row>
    <row r="1450" spans="1:15" x14ac:dyDescent="0.2">
      <c r="A1450" s="168">
        <v>1443</v>
      </c>
      <c r="B1450" s="159">
        <v>594.63366392643309</v>
      </c>
      <c r="C1450" s="169">
        <f t="shared" si="84"/>
        <v>858056.37704584294</v>
      </c>
      <c r="D1450" s="153"/>
      <c r="E1450" s="153"/>
      <c r="F1450" s="153"/>
      <c r="G1450" s="153"/>
      <c r="I1450" s="168">
        <v>1443</v>
      </c>
      <c r="J1450" s="159">
        <f>ROUND(B1450*('Model Data Inputs'!$E$184*'Model Data Inputs'!$E$185*'Model Data Inputs'!$E$186*'Model Data Inputs'!$E$187),2)</f>
        <v>594.63</v>
      </c>
      <c r="K1450" s="169">
        <f t="shared" si="85"/>
        <v>858051.09</v>
      </c>
      <c r="L1450" s="153"/>
      <c r="M1450" s="153"/>
      <c r="N1450" s="153"/>
      <c r="O1450" s="153"/>
    </row>
    <row r="1451" spans="1:15" x14ac:dyDescent="0.2">
      <c r="A1451" s="168">
        <v>1444</v>
      </c>
      <c r="B1451" s="159">
        <v>594.63366392643309</v>
      </c>
      <c r="C1451" s="169">
        <f t="shared" si="84"/>
        <v>858651.01070976933</v>
      </c>
      <c r="D1451" s="153"/>
      <c r="E1451" s="153"/>
      <c r="F1451" s="153"/>
      <c r="G1451" s="153"/>
      <c r="I1451" s="168">
        <v>1444</v>
      </c>
      <c r="J1451" s="159">
        <f>ROUND(B1451*('Model Data Inputs'!$E$184*'Model Data Inputs'!$E$185*'Model Data Inputs'!$E$186*'Model Data Inputs'!$E$187),2)</f>
        <v>594.63</v>
      </c>
      <c r="K1451" s="169">
        <f t="shared" si="85"/>
        <v>858645.72</v>
      </c>
      <c r="L1451" s="153"/>
      <c r="M1451" s="153"/>
      <c r="N1451" s="153"/>
      <c r="O1451" s="153"/>
    </row>
    <row r="1452" spans="1:15" x14ac:dyDescent="0.2">
      <c r="A1452" s="168">
        <v>1445</v>
      </c>
      <c r="B1452" s="159">
        <v>594.63366392643309</v>
      </c>
      <c r="C1452" s="169">
        <f t="shared" si="84"/>
        <v>859245.64437369583</v>
      </c>
      <c r="D1452" s="153"/>
      <c r="E1452" s="153"/>
      <c r="F1452" s="153"/>
      <c r="G1452" s="153"/>
      <c r="I1452" s="168">
        <v>1445</v>
      </c>
      <c r="J1452" s="159">
        <f>ROUND(B1452*('Model Data Inputs'!$E$184*'Model Data Inputs'!$E$185*'Model Data Inputs'!$E$186*'Model Data Inputs'!$E$187),2)</f>
        <v>594.63</v>
      </c>
      <c r="K1452" s="169">
        <f t="shared" si="85"/>
        <v>859240.35</v>
      </c>
      <c r="L1452" s="153"/>
      <c r="M1452" s="153"/>
      <c r="N1452" s="153"/>
      <c r="O1452" s="153"/>
    </row>
    <row r="1453" spans="1:15" x14ac:dyDescent="0.2">
      <c r="A1453" s="168">
        <v>1446</v>
      </c>
      <c r="B1453" s="159">
        <v>594.63366392643309</v>
      </c>
      <c r="C1453" s="169">
        <f t="shared" si="84"/>
        <v>859840.27803762222</v>
      </c>
      <c r="D1453" s="153"/>
      <c r="E1453" s="153"/>
      <c r="F1453" s="153"/>
      <c r="G1453" s="153"/>
      <c r="I1453" s="168">
        <v>1446</v>
      </c>
      <c r="J1453" s="159">
        <f>ROUND(B1453*('Model Data Inputs'!$E$184*'Model Data Inputs'!$E$185*'Model Data Inputs'!$E$186*'Model Data Inputs'!$E$187),2)</f>
        <v>594.63</v>
      </c>
      <c r="K1453" s="169">
        <f t="shared" si="85"/>
        <v>859834.98</v>
      </c>
      <c r="L1453" s="153"/>
      <c r="M1453" s="153"/>
      <c r="N1453" s="153"/>
      <c r="O1453" s="153"/>
    </row>
    <row r="1454" spans="1:15" x14ac:dyDescent="0.2">
      <c r="A1454" s="168">
        <v>1447</v>
      </c>
      <c r="B1454" s="159">
        <v>594.63366392643309</v>
      </c>
      <c r="C1454" s="169">
        <f t="shared" si="84"/>
        <v>860434.91170154873</v>
      </c>
      <c r="D1454" s="153"/>
      <c r="E1454" s="153"/>
      <c r="F1454" s="153"/>
      <c r="G1454" s="153"/>
      <c r="I1454" s="168">
        <v>1447</v>
      </c>
      <c r="J1454" s="159">
        <f>ROUND(B1454*('Model Data Inputs'!$E$184*'Model Data Inputs'!$E$185*'Model Data Inputs'!$E$186*'Model Data Inputs'!$E$187),2)</f>
        <v>594.63</v>
      </c>
      <c r="K1454" s="169">
        <f t="shared" si="85"/>
        <v>860429.61</v>
      </c>
      <c r="L1454" s="153"/>
      <c r="M1454" s="153"/>
      <c r="N1454" s="153"/>
      <c r="O1454" s="153"/>
    </row>
    <row r="1455" spans="1:15" x14ac:dyDescent="0.2">
      <c r="A1455" s="168">
        <v>1448</v>
      </c>
      <c r="B1455" s="159">
        <v>594.63366392643309</v>
      </c>
      <c r="C1455" s="169">
        <f t="shared" si="84"/>
        <v>861029.54536547512</v>
      </c>
      <c r="D1455" s="153"/>
      <c r="E1455" s="153"/>
      <c r="F1455" s="153"/>
      <c r="G1455" s="153"/>
      <c r="I1455" s="168">
        <v>1448</v>
      </c>
      <c r="J1455" s="159">
        <f>ROUND(B1455*('Model Data Inputs'!$E$184*'Model Data Inputs'!$E$185*'Model Data Inputs'!$E$186*'Model Data Inputs'!$E$187),2)</f>
        <v>594.63</v>
      </c>
      <c r="K1455" s="169">
        <f t="shared" si="85"/>
        <v>861024.24</v>
      </c>
      <c r="L1455" s="153"/>
      <c r="M1455" s="153"/>
      <c r="N1455" s="153"/>
      <c r="O1455" s="153"/>
    </row>
    <row r="1456" spans="1:15" x14ac:dyDescent="0.2">
      <c r="A1456" s="168">
        <v>1449</v>
      </c>
      <c r="B1456" s="159">
        <v>594.63366392643309</v>
      </c>
      <c r="C1456" s="169">
        <f t="shared" si="84"/>
        <v>861624.17902940151</v>
      </c>
      <c r="D1456" s="153"/>
      <c r="E1456" s="153"/>
      <c r="F1456" s="153"/>
      <c r="G1456" s="153"/>
      <c r="I1456" s="168">
        <v>1449</v>
      </c>
      <c r="J1456" s="159">
        <f>ROUND(B1456*('Model Data Inputs'!$E$184*'Model Data Inputs'!$E$185*'Model Data Inputs'!$E$186*'Model Data Inputs'!$E$187),2)</f>
        <v>594.63</v>
      </c>
      <c r="K1456" s="169">
        <f t="shared" si="85"/>
        <v>861618.87</v>
      </c>
      <c r="L1456" s="153"/>
      <c r="M1456" s="153"/>
      <c r="N1456" s="153"/>
      <c r="O1456" s="153"/>
    </row>
    <row r="1457" spans="1:15" x14ac:dyDescent="0.2">
      <c r="A1457" s="168">
        <v>1450</v>
      </c>
      <c r="B1457" s="159">
        <v>594.63366392643309</v>
      </c>
      <c r="C1457" s="169">
        <f t="shared" si="84"/>
        <v>862218.81269332801</v>
      </c>
      <c r="D1457" s="153"/>
      <c r="E1457" s="153"/>
      <c r="F1457" s="153"/>
      <c r="G1457" s="153"/>
      <c r="I1457" s="168">
        <v>1450</v>
      </c>
      <c r="J1457" s="159">
        <f>ROUND(B1457*('Model Data Inputs'!$E$184*'Model Data Inputs'!$E$185*'Model Data Inputs'!$E$186*'Model Data Inputs'!$E$187),2)</f>
        <v>594.63</v>
      </c>
      <c r="K1457" s="169">
        <f t="shared" si="85"/>
        <v>862213.5</v>
      </c>
      <c r="L1457" s="153"/>
      <c r="M1457" s="153"/>
      <c r="N1457" s="153"/>
      <c r="O1457" s="153"/>
    </row>
    <row r="1458" spans="1:15" x14ac:dyDescent="0.2">
      <c r="A1458" s="168">
        <v>1451</v>
      </c>
      <c r="B1458" s="159">
        <v>594.63366392643309</v>
      </c>
      <c r="C1458" s="169">
        <f t="shared" si="84"/>
        <v>862813.4463572544</v>
      </c>
      <c r="D1458" s="153"/>
      <c r="E1458" s="153"/>
      <c r="F1458" s="153"/>
      <c r="G1458" s="153"/>
      <c r="I1458" s="168">
        <v>1451</v>
      </c>
      <c r="J1458" s="159">
        <f>ROUND(B1458*('Model Data Inputs'!$E$184*'Model Data Inputs'!$E$185*'Model Data Inputs'!$E$186*'Model Data Inputs'!$E$187),2)</f>
        <v>594.63</v>
      </c>
      <c r="K1458" s="169">
        <f t="shared" si="85"/>
        <v>862808.13</v>
      </c>
      <c r="L1458" s="153"/>
      <c r="M1458" s="153"/>
      <c r="N1458" s="153"/>
      <c r="O1458" s="153"/>
    </row>
    <row r="1459" spans="1:15" x14ac:dyDescent="0.2">
      <c r="A1459" s="168">
        <v>1452</v>
      </c>
      <c r="B1459" s="159">
        <v>594.63366392643309</v>
      </c>
      <c r="C1459" s="169">
        <f t="shared" si="84"/>
        <v>863408.08002118079</v>
      </c>
      <c r="D1459" s="153"/>
      <c r="E1459" s="153"/>
      <c r="F1459" s="153"/>
      <c r="G1459" s="153"/>
      <c r="I1459" s="168">
        <v>1452</v>
      </c>
      <c r="J1459" s="159">
        <f>ROUND(B1459*('Model Data Inputs'!$E$184*'Model Data Inputs'!$E$185*'Model Data Inputs'!$E$186*'Model Data Inputs'!$E$187),2)</f>
        <v>594.63</v>
      </c>
      <c r="K1459" s="169">
        <f t="shared" si="85"/>
        <v>863402.76</v>
      </c>
      <c r="L1459" s="153"/>
      <c r="M1459" s="153"/>
      <c r="N1459" s="153"/>
      <c r="O1459" s="153"/>
    </row>
    <row r="1460" spans="1:15" x14ac:dyDescent="0.2">
      <c r="A1460" s="168">
        <v>1453</v>
      </c>
      <c r="B1460" s="159">
        <v>594.63366392643309</v>
      </c>
      <c r="C1460" s="169">
        <f t="shared" si="84"/>
        <v>864002.7136851073</v>
      </c>
      <c r="D1460" s="153"/>
      <c r="E1460" s="153"/>
      <c r="F1460" s="153"/>
      <c r="G1460" s="153"/>
      <c r="I1460" s="168">
        <v>1453</v>
      </c>
      <c r="J1460" s="159">
        <f>ROUND(B1460*('Model Data Inputs'!$E$184*'Model Data Inputs'!$E$185*'Model Data Inputs'!$E$186*'Model Data Inputs'!$E$187),2)</f>
        <v>594.63</v>
      </c>
      <c r="K1460" s="169">
        <f t="shared" si="85"/>
        <v>863997.39</v>
      </c>
      <c r="L1460" s="153"/>
      <c r="M1460" s="153"/>
      <c r="N1460" s="153"/>
      <c r="O1460" s="153"/>
    </row>
    <row r="1461" spans="1:15" x14ac:dyDescent="0.2">
      <c r="A1461" s="168">
        <v>1454</v>
      </c>
      <c r="B1461" s="159">
        <v>594.63366392643309</v>
      </c>
      <c r="C1461" s="169">
        <f t="shared" si="84"/>
        <v>864597.34734903369</v>
      </c>
      <c r="D1461" s="153"/>
      <c r="E1461" s="153"/>
      <c r="F1461" s="153"/>
      <c r="G1461" s="153"/>
      <c r="I1461" s="168">
        <v>1454</v>
      </c>
      <c r="J1461" s="159">
        <f>ROUND(B1461*('Model Data Inputs'!$E$184*'Model Data Inputs'!$E$185*'Model Data Inputs'!$E$186*'Model Data Inputs'!$E$187),2)</f>
        <v>594.63</v>
      </c>
      <c r="K1461" s="169">
        <f t="shared" si="85"/>
        <v>864592.02</v>
      </c>
      <c r="L1461" s="153"/>
      <c r="M1461" s="153"/>
      <c r="N1461" s="153"/>
      <c r="O1461" s="153"/>
    </row>
    <row r="1462" spans="1:15" x14ac:dyDescent="0.2">
      <c r="A1462" s="168">
        <v>1455</v>
      </c>
      <c r="B1462" s="159">
        <v>594.63366392643309</v>
      </c>
      <c r="C1462" s="169">
        <f t="shared" si="84"/>
        <v>865191.9810129602</v>
      </c>
      <c r="D1462" s="153"/>
      <c r="E1462" s="153"/>
      <c r="F1462" s="153"/>
      <c r="G1462" s="153"/>
      <c r="I1462" s="168">
        <v>1455</v>
      </c>
      <c r="J1462" s="159">
        <f>ROUND(B1462*('Model Data Inputs'!$E$184*'Model Data Inputs'!$E$185*'Model Data Inputs'!$E$186*'Model Data Inputs'!$E$187),2)</f>
        <v>594.63</v>
      </c>
      <c r="K1462" s="169">
        <f t="shared" si="85"/>
        <v>865186.65</v>
      </c>
      <c r="L1462" s="153"/>
      <c r="M1462" s="153"/>
      <c r="N1462" s="153"/>
      <c r="O1462" s="153"/>
    </row>
    <row r="1463" spans="1:15" x14ac:dyDescent="0.2">
      <c r="A1463" s="168">
        <v>1456</v>
      </c>
      <c r="B1463" s="159">
        <v>594.63366392643309</v>
      </c>
      <c r="C1463" s="169">
        <f t="shared" si="84"/>
        <v>865786.61467688659</v>
      </c>
      <c r="D1463" s="153"/>
      <c r="E1463" s="153"/>
      <c r="F1463" s="153"/>
      <c r="G1463" s="153"/>
      <c r="I1463" s="168">
        <v>1456</v>
      </c>
      <c r="J1463" s="159">
        <f>ROUND(B1463*('Model Data Inputs'!$E$184*'Model Data Inputs'!$E$185*'Model Data Inputs'!$E$186*'Model Data Inputs'!$E$187),2)</f>
        <v>594.63</v>
      </c>
      <c r="K1463" s="169">
        <f t="shared" si="85"/>
        <v>865781.28</v>
      </c>
      <c r="L1463" s="153"/>
      <c r="M1463" s="153"/>
      <c r="N1463" s="153"/>
      <c r="O1463" s="153"/>
    </row>
    <row r="1464" spans="1:15" x14ac:dyDescent="0.2">
      <c r="A1464" s="168">
        <v>1457</v>
      </c>
      <c r="B1464" s="159">
        <v>594.63366392643309</v>
      </c>
      <c r="C1464" s="169">
        <f t="shared" si="84"/>
        <v>866381.24834081298</v>
      </c>
      <c r="D1464" s="153"/>
      <c r="E1464" s="153"/>
      <c r="F1464" s="153"/>
      <c r="G1464" s="153"/>
      <c r="I1464" s="168">
        <v>1457</v>
      </c>
      <c r="J1464" s="159">
        <f>ROUND(B1464*('Model Data Inputs'!$E$184*'Model Data Inputs'!$E$185*'Model Data Inputs'!$E$186*'Model Data Inputs'!$E$187),2)</f>
        <v>594.63</v>
      </c>
      <c r="K1464" s="169">
        <f t="shared" si="85"/>
        <v>866375.91</v>
      </c>
      <c r="L1464" s="153"/>
      <c r="M1464" s="153"/>
      <c r="N1464" s="153"/>
      <c r="O1464" s="153"/>
    </row>
    <row r="1465" spans="1:15" x14ac:dyDescent="0.2">
      <c r="A1465" s="168">
        <v>1458</v>
      </c>
      <c r="B1465" s="159">
        <v>594.63366392643309</v>
      </c>
      <c r="C1465" s="169">
        <f t="shared" si="84"/>
        <v>866975.88200473948</v>
      </c>
      <c r="D1465" s="153"/>
      <c r="E1465" s="153"/>
      <c r="F1465" s="153"/>
      <c r="G1465" s="153"/>
      <c r="I1465" s="168">
        <v>1458</v>
      </c>
      <c r="J1465" s="159">
        <f>ROUND(B1465*('Model Data Inputs'!$E$184*'Model Data Inputs'!$E$185*'Model Data Inputs'!$E$186*'Model Data Inputs'!$E$187),2)</f>
        <v>594.63</v>
      </c>
      <c r="K1465" s="169">
        <f t="shared" si="85"/>
        <v>866970.54</v>
      </c>
      <c r="L1465" s="153"/>
      <c r="M1465" s="153"/>
      <c r="N1465" s="153"/>
      <c r="O1465" s="153"/>
    </row>
    <row r="1466" spans="1:15" x14ac:dyDescent="0.2">
      <c r="A1466" s="168">
        <v>1459</v>
      </c>
      <c r="B1466" s="159">
        <v>594.63366392643309</v>
      </c>
      <c r="C1466" s="169">
        <f t="shared" si="84"/>
        <v>867570.51566866587</v>
      </c>
      <c r="D1466" s="153"/>
      <c r="E1466" s="153"/>
      <c r="F1466" s="153"/>
      <c r="G1466" s="153"/>
      <c r="I1466" s="168">
        <v>1459</v>
      </c>
      <c r="J1466" s="159">
        <f>ROUND(B1466*('Model Data Inputs'!$E$184*'Model Data Inputs'!$E$185*'Model Data Inputs'!$E$186*'Model Data Inputs'!$E$187),2)</f>
        <v>594.63</v>
      </c>
      <c r="K1466" s="169">
        <f t="shared" si="85"/>
        <v>867565.17</v>
      </c>
      <c r="L1466" s="153"/>
      <c r="M1466" s="153"/>
      <c r="N1466" s="153"/>
      <c r="O1466" s="153"/>
    </row>
    <row r="1467" spans="1:15" x14ac:dyDescent="0.2">
      <c r="A1467" s="168">
        <v>1460</v>
      </c>
      <c r="B1467" s="159">
        <v>594.63366392643309</v>
      </c>
      <c r="C1467" s="169">
        <f t="shared" si="84"/>
        <v>868165.14933259226</v>
      </c>
      <c r="D1467" s="153"/>
      <c r="E1467" s="153"/>
      <c r="F1467" s="153"/>
      <c r="G1467" s="153"/>
      <c r="I1467" s="168">
        <v>1460</v>
      </c>
      <c r="J1467" s="159">
        <f>ROUND(B1467*('Model Data Inputs'!$E$184*'Model Data Inputs'!$E$185*'Model Data Inputs'!$E$186*'Model Data Inputs'!$E$187),2)</f>
        <v>594.63</v>
      </c>
      <c r="K1467" s="169">
        <f t="shared" si="85"/>
        <v>868159.8</v>
      </c>
      <c r="L1467" s="153"/>
      <c r="M1467" s="153"/>
      <c r="N1467" s="153"/>
      <c r="O1467" s="153"/>
    </row>
    <row r="1468" spans="1:15" x14ac:dyDescent="0.2">
      <c r="A1468" s="168">
        <v>1461</v>
      </c>
      <c r="B1468" s="159">
        <v>594.63366392643309</v>
      </c>
      <c r="C1468" s="169">
        <f t="shared" si="84"/>
        <v>868759.78299651877</v>
      </c>
      <c r="D1468" s="153"/>
      <c r="E1468" s="153"/>
      <c r="F1468" s="153"/>
      <c r="G1468" s="153"/>
      <c r="I1468" s="168">
        <v>1461</v>
      </c>
      <c r="J1468" s="159">
        <f>ROUND(B1468*('Model Data Inputs'!$E$184*'Model Data Inputs'!$E$185*'Model Data Inputs'!$E$186*'Model Data Inputs'!$E$187),2)</f>
        <v>594.63</v>
      </c>
      <c r="K1468" s="169">
        <f t="shared" si="85"/>
        <v>868754.43</v>
      </c>
      <c r="L1468" s="153"/>
      <c r="M1468" s="153"/>
      <c r="N1468" s="153"/>
      <c r="O1468" s="153"/>
    </row>
    <row r="1469" spans="1:15" x14ac:dyDescent="0.2">
      <c r="A1469" s="168">
        <v>1462</v>
      </c>
      <c r="B1469" s="159">
        <v>594.63366392643309</v>
      </c>
      <c r="C1469" s="169">
        <f t="shared" si="84"/>
        <v>869354.41666044516</v>
      </c>
      <c r="D1469" s="153"/>
      <c r="E1469" s="153"/>
      <c r="F1469" s="153"/>
      <c r="G1469" s="153"/>
      <c r="I1469" s="168">
        <v>1462</v>
      </c>
      <c r="J1469" s="159">
        <f>ROUND(B1469*('Model Data Inputs'!$E$184*'Model Data Inputs'!$E$185*'Model Data Inputs'!$E$186*'Model Data Inputs'!$E$187),2)</f>
        <v>594.63</v>
      </c>
      <c r="K1469" s="169">
        <f t="shared" si="85"/>
        <v>869349.05999999994</v>
      </c>
      <c r="L1469" s="153"/>
      <c r="M1469" s="153"/>
      <c r="N1469" s="153"/>
      <c r="O1469" s="153"/>
    </row>
    <row r="1470" spans="1:15" x14ac:dyDescent="0.2">
      <c r="A1470" s="168">
        <v>1463</v>
      </c>
      <c r="B1470" s="159">
        <v>594.63366392643309</v>
      </c>
      <c r="C1470" s="169">
        <f t="shared" si="84"/>
        <v>869949.05032437155</v>
      </c>
      <c r="D1470" s="153"/>
      <c r="E1470" s="153"/>
      <c r="F1470" s="153"/>
      <c r="G1470" s="153"/>
      <c r="I1470" s="168">
        <v>1463</v>
      </c>
      <c r="J1470" s="159">
        <f>ROUND(B1470*('Model Data Inputs'!$E$184*'Model Data Inputs'!$E$185*'Model Data Inputs'!$E$186*'Model Data Inputs'!$E$187),2)</f>
        <v>594.63</v>
      </c>
      <c r="K1470" s="169">
        <f t="shared" si="85"/>
        <v>869943.69</v>
      </c>
      <c r="L1470" s="153"/>
      <c r="M1470" s="153"/>
      <c r="N1470" s="153"/>
      <c r="O1470" s="153"/>
    </row>
    <row r="1471" spans="1:15" x14ac:dyDescent="0.2">
      <c r="A1471" s="168">
        <v>1464</v>
      </c>
      <c r="B1471" s="159">
        <v>594.63366392643309</v>
      </c>
      <c r="C1471" s="169">
        <f t="shared" si="84"/>
        <v>870543.68398829806</v>
      </c>
      <c r="D1471" s="153"/>
      <c r="E1471" s="153"/>
      <c r="F1471" s="153"/>
      <c r="G1471" s="153"/>
      <c r="I1471" s="168">
        <v>1464</v>
      </c>
      <c r="J1471" s="159">
        <f>ROUND(B1471*('Model Data Inputs'!$E$184*'Model Data Inputs'!$E$185*'Model Data Inputs'!$E$186*'Model Data Inputs'!$E$187),2)</f>
        <v>594.63</v>
      </c>
      <c r="K1471" s="169">
        <f t="shared" si="85"/>
        <v>870538.32</v>
      </c>
      <c r="L1471" s="153"/>
      <c r="M1471" s="153"/>
      <c r="N1471" s="153"/>
      <c r="O1471" s="153"/>
    </row>
    <row r="1472" spans="1:15" x14ac:dyDescent="0.2">
      <c r="A1472" s="168">
        <v>1465</v>
      </c>
      <c r="B1472" s="159">
        <v>594.63366392643309</v>
      </c>
      <c r="C1472" s="169">
        <f t="shared" si="84"/>
        <v>871138.31765222445</v>
      </c>
      <c r="D1472" s="153"/>
      <c r="E1472" s="153"/>
      <c r="F1472" s="153"/>
      <c r="G1472" s="153"/>
      <c r="I1472" s="168">
        <v>1465</v>
      </c>
      <c r="J1472" s="159">
        <f>ROUND(B1472*('Model Data Inputs'!$E$184*'Model Data Inputs'!$E$185*'Model Data Inputs'!$E$186*'Model Data Inputs'!$E$187),2)</f>
        <v>594.63</v>
      </c>
      <c r="K1472" s="169">
        <f t="shared" si="85"/>
        <v>871132.95</v>
      </c>
      <c r="L1472" s="153"/>
      <c r="M1472" s="153"/>
      <c r="N1472" s="153"/>
      <c r="O1472" s="153"/>
    </row>
    <row r="1473" spans="1:15" x14ac:dyDescent="0.2">
      <c r="A1473" s="168">
        <v>1466</v>
      </c>
      <c r="B1473" s="159">
        <v>594.63366392643309</v>
      </c>
      <c r="C1473" s="169">
        <f t="shared" si="84"/>
        <v>871732.95131615095</v>
      </c>
      <c r="D1473" s="153"/>
      <c r="E1473" s="153"/>
      <c r="F1473" s="153"/>
      <c r="G1473" s="153"/>
      <c r="I1473" s="168">
        <v>1466</v>
      </c>
      <c r="J1473" s="159">
        <f>ROUND(B1473*('Model Data Inputs'!$E$184*'Model Data Inputs'!$E$185*'Model Data Inputs'!$E$186*'Model Data Inputs'!$E$187),2)</f>
        <v>594.63</v>
      </c>
      <c r="K1473" s="169">
        <f t="shared" si="85"/>
        <v>871727.58</v>
      </c>
      <c r="L1473" s="153"/>
      <c r="M1473" s="153"/>
      <c r="N1473" s="153"/>
      <c r="O1473" s="153"/>
    </row>
    <row r="1474" spans="1:15" x14ac:dyDescent="0.2">
      <c r="A1474" s="168">
        <v>1467</v>
      </c>
      <c r="B1474" s="159">
        <v>594.63366392643309</v>
      </c>
      <c r="C1474" s="169">
        <f t="shared" si="84"/>
        <v>872327.58498007734</v>
      </c>
      <c r="D1474" s="153"/>
      <c r="E1474" s="153"/>
      <c r="F1474" s="153"/>
      <c r="G1474" s="153"/>
      <c r="I1474" s="168">
        <v>1467</v>
      </c>
      <c r="J1474" s="159">
        <f>ROUND(B1474*('Model Data Inputs'!$E$184*'Model Data Inputs'!$E$185*'Model Data Inputs'!$E$186*'Model Data Inputs'!$E$187),2)</f>
        <v>594.63</v>
      </c>
      <c r="K1474" s="169">
        <f t="shared" si="85"/>
        <v>872322.21</v>
      </c>
      <c r="L1474" s="153"/>
      <c r="M1474" s="153"/>
      <c r="N1474" s="153"/>
      <c r="O1474" s="153"/>
    </row>
    <row r="1475" spans="1:15" x14ac:dyDescent="0.2">
      <c r="A1475" s="168">
        <v>1468</v>
      </c>
      <c r="B1475" s="159">
        <v>594.63366392643309</v>
      </c>
      <c r="C1475" s="169">
        <f t="shared" si="84"/>
        <v>872922.21864400373</v>
      </c>
      <c r="D1475" s="153"/>
      <c r="E1475" s="153"/>
      <c r="F1475" s="153"/>
      <c r="G1475" s="153"/>
      <c r="I1475" s="168">
        <v>1468</v>
      </c>
      <c r="J1475" s="159">
        <f>ROUND(B1475*('Model Data Inputs'!$E$184*'Model Data Inputs'!$E$185*'Model Data Inputs'!$E$186*'Model Data Inputs'!$E$187),2)</f>
        <v>594.63</v>
      </c>
      <c r="K1475" s="169">
        <f t="shared" si="85"/>
        <v>872916.84</v>
      </c>
      <c r="L1475" s="153"/>
      <c r="M1475" s="153"/>
      <c r="N1475" s="153"/>
      <c r="O1475" s="153"/>
    </row>
    <row r="1476" spans="1:15" x14ac:dyDescent="0.2">
      <c r="A1476" s="168">
        <v>1469</v>
      </c>
      <c r="B1476" s="159">
        <v>594.63366392643309</v>
      </c>
      <c r="C1476" s="169">
        <f t="shared" si="84"/>
        <v>873516.85230793024</v>
      </c>
      <c r="D1476" s="153"/>
      <c r="E1476" s="153"/>
      <c r="F1476" s="153"/>
      <c r="G1476" s="153"/>
      <c r="I1476" s="168">
        <v>1469</v>
      </c>
      <c r="J1476" s="159">
        <f>ROUND(B1476*('Model Data Inputs'!$E$184*'Model Data Inputs'!$E$185*'Model Data Inputs'!$E$186*'Model Data Inputs'!$E$187),2)</f>
        <v>594.63</v>
      </c>
      <c r="K1476" s="169">
        <f t="shared" si="85"/>
        <v>873511.47</v>
      </c>
      <c r="L1476" s="153"/>
      <c r="M1476" s="153"/>
      <c r="N1476" s="153"/>
      <c r="O1476" s="153"/>
    </row>
    <row r="1477" spans="1:15" x14ac:dyDescent="0.2">
      <c r="A1477" s="168">
        <v>1470</v>
      </c>
      <c r="B1477" s="159">
        <v>594.63366392643309</v>
      </c>
      <c r="C1477" s="169">
        <f t="shared" si="84"/>
        <v>874111.48597185663</v>
      </c>
      <c r="D1477" s="153"/>
      <c r="E1477" s="153"/>
      <c r="F1477" s="153"/>
      <c r="G1477" s="153"/>
      <c r="I1477" s="168">
        <v>1470</v>
      </c>
      <c r="J1477" s="159">
        <f>ROUND(B1477*('Model Data Inputs'!$E$184*'Model Data Inputs'!$E$185*'Model Data Inputs'!$E$186*'Model Data Inputs'!$E$187),2)</f>
        <v>594.63</v>
      </c>
      <c r="K1477" s="169">
        <f t="shared" si="85"/>
        <v>874106.1</v>
      </c>
      <c r="L1477" s="153"/>
      <c r="M1477" s="153"/>
      <c r="N1477" s="153"/>
      <c r="O1477" s="153"/>
    </row>
    <row r="1478" spans="1:15" x14ac:dyDescent="0.2">
      <c r="A1478" s="168">
        <v>1471</v>
      </c>
      <c r="B1478" s="159">
        <v>594.63366392643309</v>
      </c>
      <c r="C1478" s="169">
        <f t="shared" si="84"/>
        <v>874706.11963578302</v>
      </c>
      <c r="D1478" s="153"/>
      <c r="E1478" s="153"/>
      <c r="F1478" s="153"/>
      <c r="G1478" s="153"/>
      <c r="I1478" s="168">
        <v>1471</v>
      </c>
      <c r="J1478" s="159">
        <f>ROUND(B1478*('Model Data Inputs'!$E$184*'Model Data Inputs'!$E$185*'Model Data Inputs'!$E$186*'Model Data Inputs'!$E$187),2)</f>
        <v>594.63</v>
      </c>
      <c r="K1478" s="169">
        <f t="shared" si="85"/>
        <v>874700.73</v>
      </c>
      <c r="L1478" s="153"/>
      <c r="M1478" s="153"/>
      <c r="N1478" s="153"/>
      <c r="O1478" s="153"/>
    </row>
    <row r="1479" spans="1:15" x14ac:dyDescent="0.2">
      <c r="A1479" s="168">
        <v>1472</v>
      </c>
      <c r="B1479" s="159">
        <v>594.63366392643309</v>
      </c>
      <c r="C1479" s="169">
        <f t="shared" si="84"/>
        <v>875300.75329970953</v>
      </c>
      <c r="D1479" s="153"/>
      <c r="E1479" s="153"/>
      <c r="F1479" s="153"/>
      <c r="G1479" s="153"/>
      <c r="I1479" s="168">
        <v>1472</v>
      </c>
      <c r="J1479" s="159">
        <f>ROUND(B1479*('Model Data Inputs'!$E$184*'Model Data Inputs'!$E$185*'Model Data Inputs'!$E$186*'Model Data Inputs'!$E$187),2)</f>
        <v>594.63</v>
      </c>
      <c r="K1479" s="169">
        <f t="shared" si="85"/>
        <v>875295.36</v>
      </c>
      <c r="L1479" s="153"/>
      <c r="M1479" s="153"/>
      <c r="N1479" s="153"/>
      <c r="O1479" s="153"/>
    </row>
    <row r="1480" spans="1:15" x14ac:dyDescent="0.2">
      <c r="A1480" s="168">
        <v>1473</v>
      </c>
      <c r="B1480" s="159">
        <v>594.63366392643309</v>
      </c>
      <c r="C1480" s="169">
        <f t="shared" ref="C1480:C1543" si="86">A1480*B1480</f>
        <v>875895.38696363592</v>
      </c>
      <c r="D1480" s="153"/>
      <c r="E1480" s="153"/>
      <c r="F1480" s="153"/>
      <c r="G1480" s="153"/>
      <c r="I1480" s="168">
        <v>1473</v>
      </c>
      <c r="J1480" s="159">
        <f>ROUND(B1480*('Model Data Inputs'!$E$184*'Model Data Inputs'!$E$185*'Model Data Inputs'!$E$186*'Model Data Inputs'!$E$187),2)</f>
        <v>594.63</v>
      </c>
      <c r="K1480" s="169">
        <f t="shared" ref="K1480:K1543" si="87">I1480*J1480</f>
        <v>875889.99</v>
      </c>
      <c r="L1480" s="153"/>
      <c r="M1480" s="153"/>
      <c r="N1480" s="153"/>
      <c r="O1480" s="153"/>
    </row>
    <row r="1481" spans="1:15" x14ac:dyDescent="0.2">
      <c r="A1481" s="168">
        <v>1474</v>
      </c>
      <c r="B1481" s="159">
        <v>594.63366392643309</v>
      </c>
      <c r="C1481" s="169">
        <f t="shared" si="86"/>
        <v>876490.02062756242</v>
      </c>
      <c r="D1481" s="153"/>
      <c r="E1481" s="153"/>
      <c r="F1481" s="153"/>
      <c r="G1481" s="153"/>
      <c r="I1481" s="168">
        <v>1474</v>
      </c>
      <c r="J1481" s="159">
        <f>ROUND(B1481*('Model Data Inputs'!$E$184*'Model Data Inputs'!$E$185*'Model Data Inputs'!$E$186*'Model Data Inputs'!$E$187),2)</f>
        <v>594.63</v>
      </c>
      <c r="K1481" s="169">
        <f t="shared" si="87"/>
        <v>876484.62</v>
      </c>
      <c r="L1481" s="153"/>
      <c r="M1481" s="153"/>
      <c r="N1481" s="153"/>
      <c r="O1481" s="153"/>
    </row>
    <row r="1482" spans="1:15" x14ac:dyDescent="0.2">
      <c r="A1482" s="168">
        <v>1475</v>
      </c>
      <c r="B1482" s="159">
        <v>594.63366392643309</v>
      </c>
      <c r="C1482" s="169">
        <f t="shared" si="86"/>
        <v>877084.65429148881</v>
      </c>
      <c r="D1482" s="153"/>
      <c r="E1482" s="153"/>
      <c r="F1482" s="153"/>
      <c r="G1482" s="153"/>
      <c r="I1482" s="168">
        <v>1475</v>
      </c>
      <c r="J1482" s="159">
        <f>ROUND(B1482*('Model Data Inputs'!$E$184*'Model Data Inputs'!$E$185*'Model Data Inputs'!$E$186*'Model Data Inputs'!$E$187),2)</f>
        <v>594.63</v>
      </c>
      <c r="K1482" s="169">
        <f t="shared" si="87"/>
        <v>877079.25</v>
      </c>
      <c r="L1482" s="153"/>
      <c r="M1482" s="153"/>
      <c r="N1482" s="153"/>
      <c r="O1482" s="153"/>
    </row>
    <row r="1483" spans="1:15" x14ac:dyDescent="0.2">
      <c r="A1483" s="168">
        <v>1476</v>
      </c>
      <c r="B1483" s="159">
        <v>594.63366392643309</v>
      </c>
      <c r="C1483" s="169">
        <f t="shared" si="86"/>
        <v>877679.2879554152</v>
      </c>
      <c r="D1483" s="153"/>
      <c r="E1483" s="153"/>
      <c r="F1483" s="153"/>
      <c r="G1483" s="153"/>
      <c r="I1483" s="168">
        <v>1476</v>
      </c>
      <c r="J1483" s="159">
        <f>ROUND(B1483*('Model Data Inputs'!$E$184*'Model Data Inputs'!$E$185*'Model Data Inputs'!$E$186*'Model Data Inputs'!$E$187),2)</f>
        <v>594.63</v>
      </c>
      <c r="K1483" s="169">
        <f t="shared" si="87"/>
        <v>877673.88</v>
      </c>
      <c r="L1483" s="153"/>
      <c r="M1483" s="153"/>
      <c r="N1483" s="153"/>
      <c r="O1483" s="153"/>
    </row>
    <row r="1484" spans="1:15" x14ac:dyDescent="0.2">
      <c r="A1484" s="168">
        <v>1477</v>
      </c>
      <c r="B1484" s="159">
        <v>594.63366392643309</v>
      </c>
      <c r="C1484" s="169">
        <f t="shared" si="86"/>
        <v>878273.92161934171</v>
      </c>
      <c r="D1484" s="153"/>
      <c r="E1484" s="153"/>
      <c r="F1484" s="153"/>
      <c r="G1484" s="153"/>
      <c r="I1484" s="168">
        <v>1477</v>
      </c>
      <c r="J1484" s="159">
        <f>ROUND(B1484*('Model Data Inputs'!$E$184*'Model Data Inputs'!$E$185*'Model Data Inputs'!$E$186*'Model Data Inputs'!$E$187),2)</f>
        <v>594.63</v>
      </c>
      <c r="K1484" s="169">
        <f t="shared" si="87"/>
        <v>878268.51</v>
      </c>
      <c r="L1484" s="153"/>
      <c r="M1484" s="153"/>
      <c r="N1484" s="153"/>
      <c r="O1484" s="153"/>
    </row>
    <row r="1485" spans="1:15" x14ac:dyDescent="0.2">
      <c r="A1485" s="168">
        <v>1478</v>
      </c>
      <c r="B1485" s="159">
        <v>594.63366392643309</v>
      </c>
      <c r="C1485" s="169">
        <f t="shared" si="86"/>
        <v>878868.5552832681</v>
      </c>
      <c r="D1485" s="153"/>
      <c r="E1485" s="153"/>
      <c r="F1485" s="153"/>
      <c r="G1485" s="153"/>
      <c r="I1485" s="168">
        <v>1478</v>
      </c>
      <c r="J1485" s="159">
        <f>ROUND(B1485*('Model Data Inputs'!$E$184*'Model Data Inputs'!$E$185*'Model Data Inputs'!$E$186*'Model Data Inputs'!$E$187),2)</f>
        <v>594.63</v>
      </c>
      <c r="K1485" s="169">
        <f t="shared" si="87"/>
        <v>878863.14</v>
      </c>
      <c r="L1485" s="153"/>
      <c r="M1485" s="153"/>
      <c r="N1485" s="153"/>
      <c r="O1485" s="153"/>
    </row>
    <row r="1486" spans="1:15" x14ac:dyDescent="0.2">
      <c r="A1486" s="168">
        <v>1479</v>
      </c>
      <c r="B1486" s="159">
        <v>594.63366392643309</v>
      </c>
      <c r="C1486" s="169">
        <f t="shared" si="86"/>
        <v>879463.18894719449</v>
      </c>
      <c r="D1486" s="153"/>
      <c r="E1486" s="153"/>
      <c r="F1486" s="153"/>
      <c r="G1486" s="153"/>
      <c r="I1486" s="168">
        <v>1479</v>
      </c>
      <c r="J1486" s="159">
        <f>ROUND(B1486*('Model Data Inputs'!$E$184*'Model Data Inputs'!$E$185*'Model Data Inputs'!$E$186*'Model Data Inputs'!$E$187),2)</f>
        <v>594.63</v>
      </c>
      <c r="K1486" s="169">
        <f t="shared" si="87"/>
        <v>879457.77</v>
      </c>
      <c r="L1486" s="153"/>
      <c r="M1486" s="153"/>
      <c r="N1486" s="153"/>
      <c r="O1486" s="153"/>
    </row>
    <row r="1487" spans="1:15" x14ac:dyDescent="0.2">
      <c r="A1487" s="168">
        <v>1480</v>
      </c>
      <c r="B1487" s="159">
        <v>594.63366392643309</v>
      </c>
      <c r="C1487" s="169">
        <f t="shared" si="86"/>
        <v>880057.822611121</v>
      </c>
      <c r="D1487" s="153"/>
      <c r="E1487" s="153"/>
      <c r="F1487" s="153"/>
      <c r="G1487" s="153"/>
      <c r="I1487" s="168">
        <v>1480</v>
      </c>
      <c r="J1487" s="159">
        <f>ROUND(B1487*('Model Data Inputs'!$E$184*'Model Data Inputs'!$E$185*'Model Data Inputs'!$E$186*'Model Data Inputs'!$E$187),2)</f>
        <v>594.63</v>
      </c>
      <c r="K1487" s="169">
        <f t="shared" si="87"/>
        <v>880052.4</v>
      </c>
      <c r="L1487" s="153"/>
      <c r="M1487" s="153"/>
      <c r="N1487" s="153"/>
      <c r="O1487" s="153"/>
    </row>
    <row r="1488" spans="1:15" x14ac:dyDescent="0.2">
      <c r="A1488" s="168">
        <v>1481</v>
      </c>
      <c r="B1488" s="159">
        <v>594.63366392643309</v>
      </c>
      <c r="C1488" s="169">
        <f t="shared" si="86"/>
        <v>880652.45627504739</v>
      </c>
      <c r="D1488" s="153"/>
      <c r="E1488" s="153"/>
      <c r="F1488" s="153"/>
      <c r="G1488" s="153"/>
      <c r="I1488" s="168">
        <v>1481</v>
      </c>
      <c r="J1488" s="159">
        <f>ROUND(B1488*('Model Data Inputs'!$E$184*'Model Data Inputs'!$E$185*'Model Data Inputs'!$E$186*'Model Data Inputs'!$E$187),2)</f>
        <v>594.63</v>
      </c>
      <c r="K1488" s="169">
        <f t="shared" si="87"/>
        <v>880647.03</v>
      </c>
      <c r="L1488" s="153"/>
      <c r="M1488" s="153"/>
      <c r="N1488" s="153"/>
      <c r="O1488" s="153"/>
    </row>
    <row r="1489" spans="1:15" x14ac:dyDescent="0.2">
      <c r="A1489" s="168">
        <v>1482</v>
      </c>
      <c r="B1489" s="159">
        <v>594.63366392643309</v>
      </c>
      <c r="C1489" s="169">
        <f t="shared" si="86"/>
        <v>881247.08993897389</v>
      </c>
      <c r="D1489" s="153"/>
      <c r="E1489" s="153"/>
      <c r="F1489" s="153"/>
      <c r="G1489" s="153"/>
      <c r="I1489" s="168">
        <v>1482</v>
      </c>
      <c r="J1489" s="159">
        <f>ROUND(B1489*('Model Data Inputs'!$E$184*'Model Data Inputs'!$E$185*'Model Data Inputs'!$E$186*'Model Data Inputs'!$E$187),2)</f>
        <v>594.63</v>
      </c>
      <c r="K1489" s="169">
        <f t="shared" si="87"/>
        <v>881241.66</v>
      </c>
      <c r="L1489" s="153"/>
      <c r="M1489" s="153"/>
      <c r="N1489" s="153"/>
      <c r="O1489" s="153"/>
    </row>
    <row r="1490" spans="1:15" x14ac:dyDescent="0.2">
      <c r="A1490" s="168">
        <v>1483</v>
      </c>
      <c r="B1490" s="159">
        <v>594.63366392643309</v>
      </c>
      <c r="C1490" s="169">
        <f t="shared" si="86"/>
        <v>881841.72360290028</v>
      </c>
      <c r="D1490" s="153"/>
      <c r="E1490" s="153"/>
      <c r="F1490" s="153"/>
      <c r="G1490" s="153"/>
      <c r="I1490" s="168">
        <v>1483</v>
      </c>
      <c r="J1490" s="159">
        <f>ROUND(B1490*('Model Data Inputs'!$E$184*'Model Data Inputs'!$E$185*'Model Data Inputs'!$E$186*'Model Data Inputs'!$E$187),2)</f>
        <v>594.63</v>
      </c>
      <c r="K1490" s="169">
        <f t="shared" si="87"/>
        <v>881836.29</v>
      </c>
      <c r="L1490" s="153"/>
      <c r="M1490" s="153"/>
      <c r="N1490" s="153"/>
      <c r="O1490" s="153"/>
    </row>
    <row r="1491" spans="1:15" x14ac:dyDescent="0.2">
      <c r="A1491" s="168">
        <v>1484</v>
      </c>
      <c r="B1491" s="159">
        <v>594.63366392643309</v>
      </c>
      <c r="C1491" s="169">
        <f t="shared" si="86"/>
        <v>882436.35726682667</v>
      </c>
      <c r="D1491" s="153"/>
      <c r="E1491" s="153"/>
      <c r="F1491" s="153"/>
      <c r="G1491" s="153"/>
      <c r="I1491" s="168">
        <v>1484</v>
      </c>
      <c r="J1491" s="159">
        <f>ROUND(B1491*('Model Data Inputs'!$E$184*'Model Data Inputs'!$E$185*'Model Data Inputs'!$E$186*'Model Data Inputs'!$E$187),2)</f>
        <v>594.63</v>
      </c>
      <c r="K1491" s="169">
        <f t="shared" si="87"/>
        <v>882430.92</v>
      </c>
      <c r="L1491" s="153"/>
      <c r="M1491" s="153"/>
      <c r="N1491" s="153"/>
      <c r="O1491" s="153"/>
    </row>
    <row r="1492" spans="1:15" x14ac:dyDescent="0.2">
      <c r="A1492" s="168">
        <v>1485</v>
      </c>
      <c r="B1492" s="159">
        <v>594.63366392643309</v>
      </c>
      <c r="C1492" s="169">
        <f t="shared" si="86"/>
        <v>883030.99093075318</v>
      </c>
      <c r="D1492" s="153"/>
      <c r="E1492" s="153"/>
      <c r="F1492" s="153"/>
      <c r="G1492" s="153"/>
      <c r="I1492" s="168">
        <v>1485</v>
      </c>
      <c r="J1492" s="159">
        <f>ROUND(B1492*('Model Data Inputs'!$E$184*'Model Data Inputs'!$E$185*'Model Data Inputs'!$E$186*'Model Data Inputs'!$E$187),2)</f>
        <v>594.63</v>
      </c>
      <c r="K1492" s="169">
        <f t="shared" si="87"/>
        <v>883025.55</v>
      </c>
      <c r="L1492" s="153"/>
      <c r="M1492" s="153"/>
      <c r="N1492" s="153"/>
      <c r="O1492" s="153"/>
    </row>
    <row r="1493" spans="1:15" x14ac:dyDescent="0.2">
      <c r="A1493" s="168">
        <v>1486</v>
      </c>
      <c r="B1493" s="159">
        <v>594.63366392643309</v>
      </c>
      <c r="C1493" s="169">
        <f t="shared" si="86"/>
        <v>883625.62459467957</v>
      </c>
      <c r="D1493" s="153"/>
      <c r="E1493" s="153"/>
      <c r="F1493" s="153"/>
      <c r="G1493" s="153"/>
      <c r="I1493" s="168">
        <v>1486</v>
      </c>
      <c r="J1493" s="159">
        <f>ROUND(B1493*('Model Data Inputs'!$E$184*'Model Data Inputs'!$E$185*'Model Data Inputs'!$E$186*'Model Data Inputs'!$E$187),2)</f>
        <v>594.63</v>
      </c>
      <c r="K1493" s="169">
        <f t="shared" si="87"/>
        <v>883620.18</v>
      </c>
      <c r="L1493" s="153"/>
      <c r="M1493" s="153"/>
      <c r="N1493" s="153"/>
      <c r="O1493" s="153"/>
    </row>
    <row r="1494" spans="1:15" x14ac:dyDescent="0.2">
      <c r="A1494" s="168">
        <v>1487</v>
      </c>
      <c r="B1494" s="159">
        <v>594.63366392643309</v>
      </c>
      <c r="C1494" s="169">
        <f t="shared" si="86"/>
        <v>884220.25825860596</v>
      </c>
      <c r="D1494" s="153"/>
      <c r="E1494" s="153"/>
      <c r="F1494" s="153"/>
      <c r="G1494" s="153"/>
      <c r="I1494" s="168">
        <v>1487</v>
      </c>
      <c r="J1494" s="159">
        <f>ROUND(B1494*('Model Data Inputs'!$E$184*'Model Data Inputs'!$E$185*'Model Data Inputs'!$E$186*'Model Data Inputs'!$E$187),2)</f>
        <v>594.63</v>
      </c>
      <c r="K1494" s="169">
        <f t="shared" si="87"/>
        <v>884214.80999999994</v>
      </c>
      <c r="L1494" s="153"/>
      <c r="M1494" s="153"/>
      <c r="N1494" s="153"/>
      <c r="O1494" s="153"/>
    </row>
    <row r="1495" spans="1:15" x14ac:dyDescent="0.2">
      <c r="A1495" s="168">
        <v>1488</v>
      </c>
      <c r="B1495" s="159">
        <v>594.63366392643309</v>
      </c>
      <c r="C1495" s="169">
        <f t="shared" si="86"/>
        <v>884814.89192253246</v>
      </c>
      <c r="D1495" s="153"/>
      <c r="E1495" s="153"/>
      <c r="F1495" s="153"/>
      <c r="G1495" s="153"/>
      <c r="I1495" s="168">
        <v>1488</v>
      </c>
      <c r="J1495" s="159">
        <f>ROUND(B1495*('Model Data Inputs'!$E$184*'Model Data Inputs'!$E$185*'Model Data Inputs'!$E$186*'Model Data Inputs'!$E$187),2)</f>
        <v>594.63</v>
      </c>
      <c r="K1495" s="169">
        <f t="shared" si="87"/>
        <v>884809.44</v>
      </c>
      <c r="L1495" s="153"/>
      <c r="M1495" s="153"/>
      <c r="N1495" s="153"/>
      <c r="O1495" s="153"/>
    </row>
    <row r="1496" spans="1:15" x14ac:dyDescent="0.2">
      <c r="A1496" s="168">
        <v>1489</v>
      </c>
      <c r="B1496" s="159">
        <v>594.63366392643309</v>
      </c>
      <c r="C1496" s="169">
        <f t="shared" si="86"/>
        <v>885409.52558645885</v>
      </c>
      <c r="D1496" s="153"/>
      <c r="E1496" s="153"/>
      <c r="F1496" s="153"/>
      <c r="G1496" s="153"/>
      <c r="I1496" s="168">
        <v>1489</v>
      </c>
      <c r="J1496" s="159">
        <f>ROUND(B1496*('Model Data Inputs'!$E$184*'Model Data Inputs'!$E$185*'Model Data Inputs'!$E$186*'Model Data Inputs'!$E$187),2)</f>
        <v>594.63</v>
      </c>
      <c r="K1496" s="169">
        <f t="shared" si="87"/>
        <v>885404.07</v>
      </c>
      <c r="L1496" s="153"/>
      <c r="M1496" s="153"/>
      <c r="N1496" s="153"/>
      <c r="O1496" s="153"/>
    </row>
    <row r="1497" spans="1:15" x14ac:dyDescent="0.2">
      <c r="A1497" s="168">
        <v>1490</v>
      </c>
      <c r="B1497" s="159">
        <v>594.63366392643309</v>
      </c>
      <c r="C1497" s="169">
        <f t="shared" si="86"/>
        <v>886004.15925038524</v>
      </c>
      <c r="D1497" s="153"/>
      <c r="E1497" s="153"/>
      <c r="F1497" s="153"/>
      <c r="G1497" s="153"/>
      <c r="I1497" s="168">
        <v>1490</v>
      </c>
      <c r="J1497" s="159">
        <f>ROUND(B1497*('Model Data Inputs'!$E$184*'Model Data Inputs'!$E$185*'Model Data Inputs'!$E$186*'Model Data Inputs'!$E$187),2)</f>
        <v>594.63</v>
      </c>
      <c r="K1497" s="169">
        <f t="shared" si="87"/>
        <v>885998.7</v>
      </c>
      <c r="L1497" s="153"/>
      <c r="M1497" s="153"/>
      <c r="N1497" s="153"/>
      <c r="O1497" s="153"/>
    </row>
    <row r="1498" spans="1:15" x14ac:dyDescent="0.2">
      <c r="A1498" s="168">
        <v>1491</v>
      </c>
      <c r="B1498" s="159">
        <v>594.63366392643309</v>
      </c>
      <c r="C1498" s="169">
        <f t="shared" si="86"/>
        <v>886598.79291431175</v>
      </c>
      <c r="D1498" s="153"/>
      <c r="E1498" s="153"/>
      <c r="F1498" s="153"/>
      <c r="G1498" s="153"/>
      <c r="I1498" s="168">
        <v>1491</v>
      </c>
      <c r="J1498" s="159">
        <f>ROUND(B1498*('Model Data Inputs'!$E$184*'Model Data Inputs'!$E$185*'Model Data Inputs'!$E$186*'Model Data Inputs'!$E$187),2)</f>
        <v>594.63</v>
      </c>
      <c r="K1498" s="169">
        <f t="shared" si="87"/>
        <v>886593.33</v>
      </c>
      <c r="L1498" s="153"/>
      <c r="M1498" s="153"/>
      <c r="N1498" s="153"/>
      <c r="O1498" s="153"/>
    </row>
    <row r="1499" spans="1:15" x14ac:dyDescent="0.2">
      <c r="A1499" s="168">
        <v>1492</v>
      </c>
      <c r="B1499" s="159">
        <v>594.63366392643309</v>
      </c>
      <c r="C1499" s="169">
        <f t="shared" si="86"/>
        <v>887193.42657823814</v>
      </c>
      <c r="D1499" s="153"/>
      <c r="E1499" s="153"/>
      <c r="F1499" s="153"/>
      <c r="G1499" s="153"/>
      <c r="I1499" s="168">
        <v>1492</v>
      </c>
      <c r="J1499" s="159">
        <f>ROUND(B1499*('Model Data Inputs'!$E$184*'Model Data Inputs'!$E$185*'Model Data Inputs'!$E$186*'Model Data Inputs'!$E$187),2)</f>
        <v>594.63</v>
      </c>
      <c r="K1499" s="169">
        <f t="shared" si="87"/>
        <v>887187.96</v>
      </c>
      <c r="L1499" s="153"/>
      <c r="M1499" s="153"/>
      <c r="N1499" s="153"/>
      <c r="O1499" s="153"/>
    </row>
    <row r="1500" spans="1:15" x14ac:dyDescent="0.2">
      <c r="A1500" s="168">
        <v>1493</v>
      </c>
      <c r="B1500" s="159">
        <v>594.63366392643309</v>
      </c>
      <c r="C1500" s="169">
        <f t="shared" si="86"/>
        <v>887788.06024216465</v>
      </c>
      <c r="D1500" s="153"/>
      <c r="E1500" s="153"/>
      <c r="F1500" s="153"/>
      <c r="G1500" s="153"/>
      <c r="I1500" s="168">
        <v>1493</v>
      </c>
      <c r="J1500" s="159">
        <f>ROUND(B1500*('Model Data Inputs'!$E$184*'Model Data Inputs'!$E$185*'Model Data Inputs'!$E$186*'Model Data Inputs'!$E$187),2)</f>
        <v>594.63</v>
      </c>
      <c r="K1500" s="169">
        <f t="shared" si="87"/>
        <v>887782.59</v>
      </c>
      <c r="L1500" s="153"/>
      <c r="M1500" s="153"/>
      <c r="N1500" s="153"/>
      <c r="O1500" s="153"/>
    </row>
    <row r="1501" spans="1:15" x14ac:dyDescent="0.2">
      <c r="A1501" s="168">
        <v>1494</v>
      </c>
      <c r="B1501" s="159">
        <v>594.63366392643309</v>
      </c>
      <c r="C1501" s="169">
        <f t="shared" si="86"/>
        <v>888382.69390609104</v>
      </c>
      <c r="D1501" s="153"/>
      <c r="E1501" s="153"/>
      <c r="F1501" s="153"/>
      <c r="G1501" s="153"/>
      <c r="I1501" s="168">
        <v>1494</v>
      </c>
      <c r="J1501" s="159">
        <f>ROUND(B1501*('Model Data Inputs'!$E$184*'Model Data Inputs'!$E$185*'Model Data Inputs'!$E$186*'Model Data Inputs'!$E$187),2)</f>
        <v>594.63</v>
      </c>
      <c r="K1501" s="169">
        <f t="shared" si="87"/>
        <v>888377.22</v>
      </c>
      <c r="L1501" s="153"/>
      <c r="M1501" s="153"/>
      <c r="N1501" s="153"/>
      <c r="O1501" s="153"/>
    </row>
    <row r="1502" spans="1:15" x14ac:dyDescent="0.2">
      <c r="A1502" s="168">
        <v>1495</v>
      </c>
      <c r="B1502" s="159">
        <v>594.63366392643309</v>
      </c>
      <c r="C1502" s="169">
        <f t="shared" si="86"/>
        <v>888977.32757001743</v>
      </c>
      <c r="D1502" s="153"/>
      <c r="E1502" s="153"/>
      <c r="F1502" s="153"/>
      <c r="G1502" s="153"/>
      <c r="I1502" s="168">
        <v>1495</v>
      </c>
      <c r="J1502" s="159">
        <f>ROUND(B1502*('Model Data Inputs'!$E$184*'Model Data Inputs'!$E$185*'Model Data Inputs'!$E$186*'Model Data Inputs'!$E$187),2)</f>
        <v>594.63</v>
      </c>
      <c r="K1502" s="169">
        <f t="shared" si="87"/>
        <v>888971.85</v>
      </c>
      <c r="L1502" s="153"/>
      <c r="M1502" s="153"/>
      <c r="N1502" s="153"/>
      <c r="O1502" s="153"/>
    </row>
    <row r="1503" spans="1:15" x14ac:dyDescent="0.2">
      <c r="A1503" s="168">
        <v>1496</v>
      </c>
      <c r="B1503" s="159">
        <v>594.63366392643309</v>
      </c>
      <c r="C1503" s="169">
        <f t="shared" si="86"/>
        <v>889571.96123394393</v>
      </c>
      <c r="D1503" s="153"/>
      <c r="E1503" s="153"/>
      <c r="F1503" s="153"/>
      <c r="G1503" s="153"/>
      <c r="I1503" s="168">
        <v>1496</v>
      </c>
      <c r="J1503" s="159">
        <f>ROUND(B1503*('Model Data Inputs'!$E$184*'Model Data Inputs'!$E$185*'Model Data Inputs'!$E$186*'Model Data Inputs'!$E$187),2)</f>
        <v>594.63</v>
      </c>
      <c r="K1503" s="169">
        <f t="shared" si="87"/>
        <v>889566.48</v>
      </c>
      <c r="L1503" s="153"/>
      <c r="M1503" s="153"/>
      <c r="N1503" s="153"/>
      <c r="O1503" s="153"/>
    </row>
    <row r="1504" spans="1:15" x14ac:dyDescent="0.2">
      <c r="A1504" s="168">
        <v>1497</v>
      </c>
      <c r="B1504" s="159">
        <v>594.63366392643309</v>
      </c>
      <c r="C1504" s="169">
        <f t="shared" si="86"/>
        <v>890166.59489787032</v>
      </c>
      <c r="D1504" s="153"/>
      <c r="E1504" s="153"/>
      <c r="F1504" s="153"/>
      <c r="G1504" s="153"/>
      <c r="I1504" s="168">
        <v>1497</v>
      </c>
      <c r="J1504" s="159">
        <f>ROUND(B1504*('Model Data Inputs'!$E$184*'Model Data Inputs'!$E$185*'Model Data Inputs'!$E$186*'Model Data Inputs'!$E$187),2)</f>
        <v>594.63</v>
      </c>
      <c r="K1504" s="169">
        <f t="shared" si="87"/>
        <v>890161.11</v>
      </c>
      <c r="L1504" s="153"/>
      <c r="M1504" s="153"/>
      <c r="N1504" s="153"/>
      <c r="O1504" s="153"/>
    </row>
    <row r="1505" spans="1:15" x14ac:dyDescent="0.2">
      <c r="A1505" s="168">
        <v>1498</v>
      </c>
      <c r="B1505" s="159">
        <v>594.63366392643309</v>
      </c>
      <c r="C1505" s="169">
        <f t="shared" si="86"/>
        <v>890761.22856179671</v>
      </c>
      <c r="D1505" s="153"/>
      <c r="E1505" s="153"/>
      <c r="F1505" s="153"/>
      <c r="G1505" s="153"/>
      <c r="I1505" s="168">
        <v>1498</v>
      </c>
      <c r="J1505" s="159">
        <f>ROUND(B1505*('Model Data Inputs'!$E$184*'Model Data Inputs'!$E$185*'Model Data Inputs'!$E$186*'Model Data Inputs'!$E$187),2)</f>
        <v>594.63</v>
      </c>
      <c r="K1505" s="169">
        <f t="shared" si="87"/>
        <v>890755.74</v>
      </c>
      <c r="L1505" s="153"/>
      <c r="M1505" s="153"/>
      <c r="N1505" s="153"/>
      <c r="O1505" s="153"/>
    </row>
    <row r="1506" spans="1:15" x14ac:dyDescent="0.2">
      <c r="A1506" s="168">
        <v>1499</v>
      </c>
      <c r="B1506" s="159">
        <v>594.63366392643309</v>
      </c>
      <c r="C1506" s="169">
        <f t="shared" si="86"/>
        <v>891355.86222572322</v>
      </c>
      <c r="D1506" s="153"/>
      <c r="E1506" s="153"/>
      <c r="F1506" s="153"/>
      <c r="G1506" s="153"/>
      <c r="I1506" s="168">
        <v>1499</v>
      </c>
      <c r="J1506" s="159">
        <f>ROUND(B1506*('Model Data Inputs'!$E$184*'Model Data Inputs'!$E$185*'Model Data Inputs'!$E$186*'Model Data Inputs'!$E$187),2)</f>
        <v>594.63</v>
      </c>
      <c r="K1506" s="169">
        <f t="shared" si="87"/>
        <v>891350.37</v>
      </c>
      <c r="L1506" s="153"/>
      <c r="M1506" s="153"/>
      <c r="N1506" s="153"/>
      <c r="O1506" s="153"/>
    </row>
    <row r="1507" spans="1:15" x14ac:dyDescent="0.2">
      <c r="A1507" s="168">
        <v>1500</v>
      </c>
      <c r="B1507" s="159">
        <v>594.63366392643309</v>
      </c>
      <c r="C1507" s="169">
        <f t="shared" si="86"/>
        <v>891950.49588964961</v>
      </c>
      <c r="D1507" s="153"/>
      <c r="E1507" s="153"/>
      <c r="F1507" s="153"/>
      <c r="G1507" s="153"/>
      <c r="I1507" s="168">
        <v>1500</v>
      </c>
      <c r="J1507" s="159">
        <f>ROUND(B1507*('Model Data Inputs'!$E$184*'Model Data Inputs'!$E$185*'Model Data Inputs'!$E$186*'Model Data Inputs'!$E$187),2)</f>
        <v>594.63</v>
      </c>
      <c r="K1507" s="169">
        <f t="shared" si="87"/>
        <v>891945</v>
      </c>
      <c r="L1507" s="153"/>
      <c r="M1507" s="153"/>
      <c r="N1507" s="153"/>
      <c r="O1507" s="153"/>
    </row>
    <row r="1508" spans="1:15" x14ac:dyDescent="0.2">
      <c r="A1508" s="168">
        <v>1501</v>
      </c>
      <c r="B1508" s="159">
        <v>594.63366392643309</v>
      </c>
      <c r="C1508" s="169">
        <f t="shared" si="86"/>
        <v>892545.12955357612</v>
      </c>
      <c r="D1508" s="153"/>
      <c r="E1508" s="153"/>
      <c r="F1508" s="153"/>
      <c r="G1508" s="153"/>
      <c r="I1508" s="168">
        <v>1501</v>
      </c>
      <c r="J1508" s="159">
        <f>ROUND(B1508*('Model Data Inputs'!$E$184*'Model Data Inputs'!$E$185*'Model Data Inputs'!$E$186*'Model Data Inputs'!$E$187),2)</f>
        <v>594.63</v>
      </c>
      <c r="K1508" s="169">
        <f t="shared" si="87"/>
        <v>892539.63</v>
      </c>
      <c r="L1508" s="153"/>
      <c r="M1508" s="153"/>
      <c r="N1508" s="153"/>
      <c r="O1508" s="153"/>
    </row>
    <row r="1509" spans="1:15" x14ac:dyDescent="0.2">
      <c r="A1509" s="168">
        <v>1502</v>
      </c>
      <c r="B1509" s="159">
        <v>594.63366392643309</v>
      </c>
      <c r="C1509" s="169">
        <f t="shared" si="86"/>
        <v>893139.76321750251</v>
      </c>
      <c r="D1509" s="153"/>
      <c r="E1509" s="153"/>
      <c r="F1509" s="153"/>
      <c r="G1509" s="153"/>
      <c r="I1509" s="168">
        <v>1502</v>
      </c>
      <c r="J1509" s="159">
        <f>ROUND(B1509*('Model Data Inputs'!$E$184*'Model Data Inputs'!$E$185*'Model Data Inputs'!$E$186*'Model Data Inputs'!$E$187),2)</f>
        <v>594.63</v>
      </c>
      <c r="K1509" s="169">
        <f t="shared" si="87"/>
        <v>893134.26</v>
      </c>
      <c r="L1509" s="153"/>
      <c r="M1509" s="153"/>
      <c r="N1509" s="153"/>
      <c r="O1509" s="153"/>
    </row>
    <row r="1510" spans="1:15" x14ac:dyDescent="0.2">
      <c r="A1510" s="168">
        <v>1503</v>
      </c>
      <c r="B1510" s="159">
        <v>594.63366392643309</v>
      </c>
      <c r="C1510" s="169">
        <f t="shared" si="86"/>
        <v>893734.3968814289</v>
      </c>
      <c r="D1510" s="153"/>
      <c r="E1510" s="153"/>
      <c r="F1510" s="153"/>
      <c r="G1510" s="153"/>
      <c r="I1510" s="168">
        <v>1503</v>
      </c>
      <c r="J1510" s="159">
        <f>ROUND(B1510*('Model Data Inputs'!$E$184*'Model Data Inputs'!$E$185*'Model Data Inputs'!$E$186*'Model Data Inputs'!$E$187),2)</f>
        <v>594.63</v>
      </c>
      <c r="K1510" s="169">
        <f t="shared" si="87"/>
        <v>893728.89</v>
      </c>
      <c r="L1510" s="153"/>
      <c r="M1510" s="153"/>
      <c r="N1510" s="153"/>
      <c r="O1510" s="153"/>
    </row>
    <row r="1511" spans="1:15" x14ac:dyDescent="0.2">
      <c r="A1511" s="168">
        <v>1504</v>
      </c>
      <c r="B1511" s="159">
        <v>594.63366392643309</v>
      </c>
      <c r="C1511" s="169">
        <f t="shared" si="86"/>
        <v>894329.0305453554</v>
      </c>
      <c r="D1511" s="153"/>
      <c r="E1511" s="153"/>
      <c r="F1511" s="153"/>
      <c r="G1511" s="153"/>
      <c r="I1511" s="168">
        <v>1504</v>
      </c>
      <c r="J1511" s="159">
        <f>ROUND(B1511*('Model Data Inputs'!$E$184*'Model Data Inputs'!$E$185*'Model Data Inputs'!$E$186*'Model Data Inputs'!$E$187),2)</f>
        <v>594.63</v>
      </c>
      <c r="K1511" s="169">
        <f t="shared" si="87"/>
        <v>894323.52</v>
      </c>
      <c r="L1511" s="153"/>
      <c r="M1511" s="153"/>
      <c r="N1511" s="153"/>
      <c r="O1511" s="153"/>
    </row>
    <row r="1512" spans="1:15" x14ac:dyDescent="0.2">
      <c r="A1512" s="168">
        <v>1505</v>
      </c>
      <c r="B1512" s="159">
        <v>594.63366392643309</v>
      </c>
      <c r="C1512" s="169">
        <f t="shared" si="86"/>
        <v>894923.66420928179</v>
      </c>
      <c r="D1512" s="153"/>
      <c r="E1512" s="153"/>
      <c r="F1512" s="153"/>
      <c r="G1512" s="153"/>
      <c r="I1512" s="168">
        <v>1505</v>
      </c>
      <c r="J1512" s="159">
        <f>ROUND(B1512*('Model Data Inputs'!$E$184*'Model Data Inputs'!$E$185*'Model Data Inputs'!$E$186*'Model Data Inputs'!$E$187),2)</f>
        <v>594.63</v>
      </c>
      <c r="K1512" s="169">
        <f t="shared" si="87"/>
        <v>894918.15</v>
      </c>
      <c r="L1512" s="153"/>
      <c r="M1512" s="153"/>
      <c r="N1512" s="153"/>
      <c r="O1512" s="153"/>
    </row>
    <row r="1513" spans="1:15" x14ac:dyDescent="0.2">
      <c r="A1513" s="168">
        <v>1506</v>
      </c>
      <c r="B1513" s="159">
        <v>594.63366392643309</v>
      </c>
      <c r="C1513" s="169">
        <f t="shared" si="86"/>
        <v>895518.29787320818</v>
      </c>
      <c r="D1513" s="153"/>
      <c r="E1513" s="153"/>
      <c r="F1513" s="153"/>
      <c r="G1513" s="153"/>
      <c r="I1513" s="168">
        <v>1506</v>
      </c>
      <c r="J1513" s="159">
        <f>ROUND(B1513*('Model Data Inputs'!$E$184*'Model Data Inputs'!$E$185*'Model Data Inputs'!$E$186*'Model Data Inputs'!$E$187),2)</f>
        <v>594.63</v>
      </c>
      <c r="K1513" s="169">
        <f t="shared" si="87"/>
        <v>895512.78</v>
      </c>
      <c r="L1513" s="153"/>
      <c r="M1513" s="153"/>
      <c r="N1513" s="153"/>
      <c r="O1513" s="153"/>
    </row>
    <row r="1514" spans="1:15" x14ac:dyDescent="0.2">
      <c r="A1514" s="168">
        <v>1507</v>
      </c>
      <c r="B1514" s="159">
        <v>594.63366392643309</v>
      </c>
      <c r="C1514" s="169">
        <f t="shared" si="86"/>
        <v>896112.93153713469</v>
      </c>
      <c r="D1514" s="153"/>
      <c r="E1514" s="153"/>
      <c r="F1514" s="153"/>
      <c r="G1514" s="153"/>
      <c r="I1514" s="168">
        <v>1507</v>
      </c>
      <c r="J1514" s="159">
        <f>ROUND(B1514*('Model Data Inputs'!$E$184*'Model Data Inputs'!$E$185*'Model Data Inputs'!$E$186*'Model Data Inputs'!$E$187),2)</f>
        <v>594.63</v>
      </c>
      <c r="K1514" s="169">
        <f t="shared" si="87"/>
        <v>896107.41</v>
      </c>
      <c r="L1514" s="153"/>
      <c r="M1514" s="153"/>
      <c r="N1514" s="153"/>
      <c r="O1514" s="153"/>
    </row>
    <row r="1515" spans="1:15" x14ac:dyDescent="0.2">
      <c r="A1515" s="168">
        <v>1508</v>
      </c>
      <c r="B1515" s="159">
        <v>594.63366392643309</v>
      </c>
      <c r="C1515" s="169">
        <f t="shared" si="86"/>
        <v>896707.56520106108</v>
      </c>
      <c r="D1515" s="153"/>
      <c r="E1515" s="153"/>
      <c r="F1515" s="153"/>
      <c r="G1515" s="153"/>
      <c r="I1515" s="168">
        <v>1508</v>
      </c>
      <c r="J1515" s="159">
        <f>ROUND(B1515*('Model Data Inputs'!$E$184*'Model Data Inputs'!$E$185*'Model Data Inputs'!$E$186*'Model Data Inputs'!$E$187),2)</f>
        <v>594.63</v>
      </c>
      <c r="K1515" s="169">
        <f t="shared" si="87"/>
        <v>896702.04</v>
      </c>
      <c r="L1515" s="153"/>
      <c r="M1515" s="153"/>
      <c r="N1515" s="153"/>
      <c r="O1515" s="153"/>
    </row>
    <row r="1516" spans="1:15" x14ac:dyDescent="0.2">
      <c r="A1516" s="168">
        <v>1509</v>
      </c>
      <c r="B1516" s="159">
        <v>594.63366392643309</v>
      </c>
      <c r="C1516" s="169">
        <f t="shared" si="86"/>
        <v>897302.19886498759</v>
      </c>
      <c r="D1516" s="153"/>
      <c r="E1516" s="153"/>
      <c r="F1516" s="153"/>
      <c r="G1516" s="153"/>
      <c r="I1516" s="168">
        <v>1509</v>
      </c>
      <c r="J1516" s="159">
        <f>ROUND(B1516*('Model Data Inputs'!$E$184*'Model Data Inputs'!$E$185*'Model Data Inputs'!$E$186*'Model Data Inputs'!$E$187),2)</f>
        <v>594.63</v>
      </c>
      <c r="K1516" s="169">
        <f t="shared" si="87"/>
        <v>897296.67</v>
      </c>
      <c r="L1516" s="153"/>
      <c r="M1516" s="153"/>
      <c r="N1516" s="153"/>
      <c r="O1516" s="153"/>
    </row>
    <row r="1517" spans="1:15" x14ac:dyDescent="0.2">
      <c r="A1517" s="168">
        <v>1510</v>
      </c>
      <c r="B1517" s="159">
        <v>594.63366392643309</v>
      </c>
      <c r="C1517" s="169">
        <f t="shared" si="86"/>
        <v>897896.83252891398</v>
      </c>
      <c r="D1517" s="153"/>
      <c r="E1517" s="153"/>
      <c r="F1517" s="153"/>
      <c r="G1517" s="153"/>
      <c r="I1517" s="168">
        <v>1510</v>
      </c>
      <c r="J1517" s="159">
        <f>ROUND(B1517*('Model Data Inputs'!$E$184*'Model Data Inputs'!$E$185*'Model Data Inputs'!$E$186*'Model Data Inputs'!$E$187),2)</f>
        <v>594.63</v>
      </c>
      <c r="K1517" s="169">
        <f t="shared" si="87"/>
        <v>897891.3</v>
      </c>
      <c r="L1517" s="153"/>
      <c r="M1517" s="153"/>
      <c r="N1517" s="153"/>
      <c r="O1517" s="153"/>
    </row>
    <row r="1518" spans="1:15" x14ac:dyDescent="0.2">
      <c r="A1518" s="168">
        <v>1511</v>
      </c>
      <c r="B1518" s="159">
        <v>594.63366392643309</v>
      </c>
      <c r="C1518" s="169">
        <f t="shared" si="86"/>
        <v>898491.46619284037</v>
      </c>
      <c r="D1518" s="153"/>
      <c r="E1518" s="153"/>
      <c r="F1518" s="153"/>
      <c r="G1518" s="153"/>
      <c r="I1518" s="168">
        <v>1511</v>
      </c>
      <c r="J1518" s="159">
        <f>ROUND(B1518*('Model Data Inputs'!$E$184*'Model Data Inputs'!$E$185*'Model Data Inputs'!$E$186*'Model Data Inputs'!$E$187),2)</f>
        <v>594.63</v>
      </c>
      <c r="K1518" s="169">
        <f t="shared" si="87"/>
        <v>898485.93</v>
      </c>
      <c r="L1518" s="153"/>
      <c r="M1518" s="153"/>
      <c r="N1518" s="153"/>
      <c r="O1518" s="153"/>
    </row>
    <row r="1519" spans="1:15" x14ac:dyDescent="0.2">
      <c r="A1519" s="168">
        <v>1512</v>
      </c>
      <c r="B1519" s="159">
        <v>594.63366392643309</v>
      </c>
      <c r="C1519" s="169">
        <f t="shared" si="86"/>
        <v>899086.09985676687</v>
      </c>
      <c r="D1519" s="153"/>
      <c r="E1519" s="153"/>
      <c r="F1519" s="153"/>
      <c r="G1519" s="153"/>
      <c r="I1519" s="168">
        <v>1512</v>
      </c>
      <c r="J1519" s="159">
        <f>ROUND(B1519*('Model Data Inputs'!$E$184*'Model Data Inputs'!$E$185*'Model Data Inputs'!$E$186*'Model Data Inputs'!$E$187),2)</f>
        <v>594.63</v>
      </c>
      <c r="K1519" s="169">
        <f t="shared" si="87"/>
        <v>899080.55999999994</v>
      </c>
      <c r="L1519" s="153"/>
      <c r="M1519" s="153"/>
      <c r="N1519" s="153"/>
      <c r="O1519" s="153"/>
    </row>
    <row r="1520" spans="1:15" x14ac:dyDescent="0.2">
      <c r="A1520" s="168">
        <v>1513</v>
      </c>
      <c r="B1520" s="159">
        <v>594.63366392643309</v>
      </c>
      <c r="C1520" s="169">
        <f t="shared" si="86"/>
        <v>899680.73352069326</v>
      </c>
      <c r="D1520" s="153"/>
      <c r="E1520" s="153"/>
      <c r="F1520" s="153"/>
      <c r="G1520" s="153"/>
      <c r="I1520" s="168">
        <v>1513</v>
      </c>
      <c r="J1520" s="159">
        <f>ROUND(B1520*('Model Data Inputs'!$E$184*'Model Data Inputs'!$E$185*'Model Data Inputs'!$E$186*'Model Data Inputs'!$E$187),2)</f>
        <v>594.63</v>
      </c>
      <c r="K1520" s="169">
        <f t="shared" si="87"/>
        <v>899675.19</v>
      </c>
      <c r="L1520" s="153"/>
      <c r="M1520" s="153"/>
      <c r="N1520" s="153"/>
      <c r="O1520" s="153"/>
    </row>
    <row r="1521" spans="1:15" x14ac:dyDescent="0.2">
      <c r="A1521" s="168">
        <v>1514</v>
      </c>
      <c r="B1521" s="159">
        <v>594.63366392643309</v>
      </c>
      <c r="C1521" s="169">
        <f t="shared" si="86"/>
        <v>900275.36718461965</v>
      </c>
      <c r="D1521" s="153"/>
      <c r="E1521" s="153"/>
      <c r="F1521" s="153"/>
      <c r="G1521" s="153"/>
      <c r="I1521" s="168">
        <v>1514</v>
      </c>
      <c r="J1521" s="159">
        <f>ROUND(B1521*('Model Data Inputs'!$E$184*'Model Data Inputs'!$E$185*'Model Data Inputs'!$E$186*'Model Data Inputs'!$E$187),2)</f>
        <v>594.63</v>
      </c>
      <c r="K1521" s="169">
        <f t="shared" si="87"/>
        <v>900269.82</v>
      </c>
      <c r="L1521" s="153"/>
      <c r="M1521" s="153"/>
      <c r="N1521" s="153"/>
      <c r="O1521" s="153"/>
    </row>
    <row r="1522" spans="1:15" x14ac:dyDescent="0.2">
      <c r="A1522" s="168">
        <v>1515</v>
      </c>
      <c r="B1522" s="159">
        <v>594.63366392643309</v>
      </c>
      <c r="C1522" s="169">
        <f t="shared" si="86"/>
        <v>900870.00084854616</v>
      </c>
      <c r="D1522" s="153"/>
      <c r="E1522" s="153"/>
      <c r="F1522" s="153"/>
      <c r="G1522" s="153"/>
      <c r="I1522" s="168">
        <v>1515</v>
      </c>
      <c r="J1522" s="159">
        <f>ROUND(B1522*('Model Data Inputs'!$E$184*'Model Data Inputs'!$E$185*'Model Data Inputs'!$E$186*'Model Data Inputs'!$E$187),2)</f>
        <v>594.63</v>
      </c>
      <c r="K1522" s="169">
        <f t="shared" si="87"/>
        <v>900864.45</v>
      </c>
      <c r="L1522" s="153"/>
      <c r="M1522" s="153"/>
      <c r="N1522" s="153"/>
      <c r="O1522" s="153"/>
    </row>
    <row r="1523" spans="1:15" x14ac:dyDescent="0.2">
      <c r="A1523" s="168">
        <v>1516</v>
      </c>
      <c r="B1523" s="159">
        <v>594.63366392643309</v>
      </c>
      <c r="C1523" s="169">
        <f t="shared" si="86"/>
        <v>901464.63451247255</v>
      </c>
      <c r="D1523" s="153"/>
      <c r="E1523" s="153"/>
      <c r="F1523" s="153"/>
      <c r="G1523" s="153"/>
      <c r="I1523" s="168">
        <v>1516</v>
      </c>
      <c r="J1523" s="159">
        <f>ROUND(B1523*('Model Data Inputs'!$E$184*'Model Data Inputs'!$E$185*'Model Data Inputs'!$E$186*'Model Data Inputs'!$E$187),2)</f>
        <v>594.63</v>
      </c>
      <c r="K1523" s="169">
        <f t="shared" si="87"/>
        <v>901459.08</v>
      </c>
      <c r="L1523" s="153"/>
      <c r="M1523" s="153"/>
      <c r="N1523" s="153"/>
      <c r="O1523" s="153"/>
    </row>
    <row r="1524" spans="1:15" x14ac:dyDescent="0.2">
      <c r="A1524" s="168">
        <v>1517</v>
      </c>
      <c r="B1524" s="159">
        <v>594.63366392643309</v>
      </c>
      <c r="C1524" s="169">
        <f t="shared" si="86"/>
        <v>902059.26817639894</v>
      </c>
      <c r="D1524" s="153"/>
      <c r="E1524" s="153"/>
      <c r="F1524" s="153"/>
      <c r="G1524" s="153"/>
      <c r="I1524" s="168">
        <v>1517</v>
      </c>
      <c r="J1524" s="159">
        <f>ROUND(B1524*('Model Data Inputs'!$E$184*'Model Data Inputs'!$E$185*'Model Data Inputs'!$E$186*'Model Data Inputs'!$E$187),2)</f>
        <v>594.63</v>
      </c>
      <c r="K1524" s="169">
        <f t="shared" si="87"/>
        <v>902053.71</v>
      </c>
      <c r="L1524" s="153"/>
      <c r="M1524" s="153"/>
      <c r="N1524" s="153"/>
      <c r="O1524" s="153"/>
    </row>
    <row r="1525" spans="1:15" x14ac:dyDescent="0.2">
      <c r="A1525" s="168">
        <v>1518</v>
      </c>
      <c r="B1525" s="159">
        <v>594.63366392643309</v>
      </c>
      <c r="C1525" s="169">
        <f t="shared" si="86"/>
        <v>902653.90184032544</v>
      </c>
      <c r="D1525" s="153"/>
      <c r="E1525" s="153"/>
      <c r="F1525" s="153"/>
      <c r="G1525" s="153"/>
      <c r="I1525" s="168">
        <v>1518</v>
      </c>
      <c r="J1525" s="159">
        <f>ROUND(B1525*('Model Data Inputs'!$E$184*'Model Data Inputs'!$E$185*'Model Data Inputs'!$E$186*'Model Data Inputs'!$E$187),2)</f>
        <v>594.63</v>
      </c>
      <c r="K1525" s="169">
        <f t="shared" si="87"/>
        <v>902648.34</v>
      </c>
      <c r="L1525" s="153"/>
      <c r="M1525" s="153"/>
      <c r="N1525" s="153"/>
      <c r="O1525" s="153"/>
    </row>
    <row r="1526" spans="1:15" x14ac:dyDescent="0.2">
      <c r="A1526" s="168">
        <v>1519</v>
      </c>
      <c r="B1526" s="159">
        <v>594.63366392643309</v>
      </c>
      <c r="C1526" s="169">
        <f t="shared" si="86"/>
        <v>903248.53550425183</v>
      </c>
      <c r="D1526" s="153"/>
      <c r="E1526" s="153"/>
      <c r="F1526" s="153"/>
      <c r="G1526" s="153"/>
      <c r="I1526" s="168">
        <v>1519</v>
      </c>
      <c r="J1526" s="159">
        <f>ROUND(B1526*('Model Data Inputs'!$E$184*'Model Data Inputs'!$E$185*'Model Data Inputs'!$E$186*'Model Data Inputs'!$E$187),2)</f>
        <v>594.63</v>
      </c>
      <c r="K1526" s="169">
        <f t="shared" si="87"/>
        <v>903242.97</v>
      </c>
      <c r="L1526" s="153"/>
      <c r="M1526" s="153"/>
      <c r="N1526" s="153"/>
      <c r="O1526" s="153"/>
    </row>
    <row r="1527" spans="1:15" x14ac:dyDescent="0.2">
      <c r="A1527" s="168">
        <v>1520</v>
      </c>
      <c r="B1527" s="159">
        <v>594.63366392643309</v>
      </c>
      <c r="C1527" s="169">
        <f t="shared" si="86"/>
        <v>903843.16916817834</v>
      </c>
      <c r="D1527" s="153"/>
      <c r="E1527" s="153"/>
      <c r="F1527" s="153"/>
      <c r="G1527" s="153"/>
      <c r="I1527" s="168">
        <v>1520</v>
      </c>
      <c r="J1527" s="159">
        <f>ROUND(B1527*('Model Data Inputs'!$E$184*'Model Data Inputs'!$E$185*'Model Data Inputs'!$E$186*'Model Data Inputs'!$E$187),2)</f>
        <v>594.63</v>
      </c>
      <c r="K1527" s="169">
        <f t="shared" si="87"/>
        <v>903837.6</v>
      </c>
      <c r="L1527" s="153"/>
      <c r="M1527" s="153"/>
      <c r="N1527" s="153"/>
      <c r="O1527" s="153"/>
    </row>
    <row r="1528" spans="1:15" x14ac:dyDescent="0.2">
      <c r="A1528" s="168">
        <v>1521</v>
      </c>
      <c r="B1528" s="159">
        <v>594.63366392643309</v>
      </c>
      <c r="C1528" s="169">
        <f t="shared" si="86"/>
        <v>904437.80283210473</v>
      </c>
      <c r="D1528" s="153"/>
      <c r="E1528" s="153"/>
      <c r="F1528" s="153"/>
      <c r="G1528" s="153"/>
      <c r="I1528" s="168">
        <v>1521</v>
      </c>
      <c r="J1528" s="159">
        <f>ROUND(B1528*('Model Data Inputs'!$E$184*'Model Data Inputs'!$E$185*'Model Data Inputs'!$E$186*'Model Data Inputs'!$E$187),2)</f>
        <v>594.63</v>
      </c>
      <c r="K1528" s="169">
        <f t="shared" si="87"/>
        <v>904432.23</v>
      </c>
      <c r="L1528" s="153"/>
      <c r="M1528" s="153"/>
      <c r="N1528" s="153"/>
      <c r="O1528" s="153"/>
    </row>
    <row r="1529" spans="1:15" x14ac:dyDescent="0.2">
      <c r="A1529" s="168">
        <v>1522</v>
      </c>
      <c r="B1529" s="159">
        <v>594.63366392643309</v>
      </c>
      <c r="C1529" s="169">
        <f t="shared" si="86"/>
        <v>905032.43649603112</v>
      </c>
      <c r="D1529" s="153"/>
      <c r="E1529" s="153"/>
      <c r="F1529" s="153"/>
      <c r="G1529" s="153"/>
      <c r="I1529" s="168">
        <v>1522</v>
      </c>
      <c r="J1529" s="159">
        <f>ROUND(B1529*('Model Data Inputs'!$E$184*'Model Data Inputs'!$E$185*'Model Data Inputs'!$E$186*'Model Data Inputs'!$E$187),2)</f>
        <v>594.63</v>
      </c>
      <c r="K1529" s="169">
        <f t="shared" si="87"/>
        <v>905026.86</v>
      </c>
      <c r="L1529" s="153"/>
      <c r="M1529" s="153"/>
      <c r="N1529" s="153"/>
      <c r="O1529" s="153"/>
    </row>
    <row r="1530" spans="1:15" x14ac:dyDescent="0.2">
      <c r="A1530" s="168">
        <v>1523</v>
      </c>
      <c r="B1530" s="159">
        <v>594.63366392643309</v>
      </c>
      <c r="C1530" s="169">
        <f t="shared" si="86"/>
        <v>905627.07015995763</v>
      </c>
      <c r="D1530" s="153"/>
      <c r="E1530" s="153"/>
      <c r="F1530" s="153"/>
      <c r="G1530" s="153"/>
      <c r="I1530" s="168">
        <v>1523</v>
      </c>
      <c r="J1530" s="159">
        <f>ROUND(B1530*('Model Data Inputs'!$E$184*'Model Data Inputs'!$E$185*'Model Data Inputs'!$E$186*'Model Data Inputs'!$E$187),2)</f>
        <v>594.63</v>
      </c>
      <c r="K1530" s="169">
        <f t="shared" si="87"/>
        <v>905621.49</v>
      </c>
      <c r="L1530" s="153"/>
      <c r="M1530" s="153"/>
      <c r="N1530" s="153"/>
      <c r="O1530" s="153"/>
    </row>
    <row r="1531" spans="1:15" x14ac:dyDescent="0.2">
      <c r="A1531" s="168">
        <v>1524</v>
      </c>
      <c r="B1531" s="159">
        <v>594.63366392643309</v>
      </c>
      <c r="C1531" s="169">
        <f t="shared" si="86"/>
        <v>906221.70382388402</v>
      </c>
      <c r="D1531" s="153"/>
      <c r="E1531" s="153"/>
      <c r="F1531" s="153"/>
      <c r="G1531" s="153"/>
      <c r="I1531" s="168">
        <v>1524</v>
      </c>
      <c r="J1531" s="159">
        <f>ROUND(B1531*('Model Data Inputs'!$E$184*'Model Data Inputs'!$E$185*'Model Data Inputs'!$E$186*'Model Data Inputs'!$E$187),2)</f>
        <v>594.63</v>
      </c>
      <c r="K1531" s="169">
        <f t="shared" si="87"/>
        <v>906216.12</v>
      </c>
      <c r="L1531" s="153"/>
      <c r="M1531" s="153"/>
      <c r="N1531" s="153"/>
      <c r="O1531" s="153"/>
    </row>
    <row r="1532" spans="1:15" x14ac:dyDescent="0.2">
      <c r="A1532" s="168">
        <v>1525</v>
      </c>
      <c r="B1532" s="159">
        <v>594.63366392643309</v>
      </c>
      <c r="C1532" s="169">
        <f t="shared" si="86"/>
        <v>906816.33748781041</v>
      </c>
      <c r="D1532" s="153"/>
      <c r="E1532" s="153"/>
      <c r="F1532" s="153"/>
      <c r="G1532" s="153"/>
      <c r="I1532" s="168">
        <v>1525</v>
      </c>
      <c r="J1532" s="159">
        <f>ROUND(B1532*('Model Data Inputs'!$E$184*'Model Data Inputs'!$E$185*'Model Data Inputs'!$E$186*'Model Data Inputs'!$E$187),2)</f>
        <v>594.63</v>
      </c>
      <c r="K1532" s="169">
        <f t="shared" si="87"/>
        <v>906810.75</v>
      </c>
      <c r="L1532" s="153"/>
      <c r="M1532" s="153"/>
      <c r="N1532" s="153"/>
      <c r="O1532" s="153"/>
    </row>
    <row r="1533" spans="1:15" x14ac:dyDescent="0.2">
      <c r="A1533" s="168">
        <v>1526</v>
      </c>
      <c r="B1533" s="159">
        <v>594.63366392643309</v>
      </c>
      <c r="C1533" s="169">
        <f t="shared" si="86"/>
        <v>907410.97115173691</v>
      </c>
      <c r="D1533" s="153"/>
      <c r="E1533" s="153"/>
      <c r="F1533" s="153"/>
      <c r="G1533" s="153"/>
      <c r="I1533" s="168">
        <v>1526</v>
      </c>
      <c r="J1533" s="159">
        <f>ROUND(B1533*('Model Data Inputs'!$E$184*'Model Data Inputs'!$E$185*'Model Data Inputs'!$E$186*'Model Data Inputs'!$E$187),2)</f>
        <v>594.63</v>
      </c>
      <c r="K1533" s="169">
        <f t="shared" si="87"/>
        <v>907405.38</v>
      </c>
      <c r="L1533" s="153"/>
      <c r="M1533" s="153"/>
      <c r="N1533" s="153"/>
      <c r="O1533" s="153"/>
    </row>
    <row r="1534" spans="1:15" x14ac:dyDescent="0.2">
      <c r="A1534" s="168">
        <v>1527</v>
      </c>
      <c r="B1534" s="159">
        <v>594.63366392643309</v>
      </c>
      <c r="C1534" s="169">
        <f t="shared" si="86"/>
        <v>908005.6048156633</v>
      </c>
      <c r="D1534" s="153"/>
      <c r="E1534" s="153"/>
      <c r="F1534" s="153"/>
      <c r="G1534" s="153"/>
      <c r="I1534" s="168">
        <v>1527</v>
      </c>
      <c r="J1534" s="159">
        <f>ROUND(B1534*('Model Data Inputs'!$E$184*'Model Data Inputs'!$E$185*'Model Data Inputs'!$E$186*'Model Data Inputs'!$E$187),2)</f>
        <v>594.63</v>
      </c>
      <c r="K1534" s="169">
        <f t="shared" si="87"/>
        <v>908000.01</v>
      </c>
      <c r="L1534" s="153"/>
      <c r="M1534" s="153"/>
      <c r="N1534" s="153"/>
      <c r="O1534" s="153"/>
    </row>
    <row r="1535" spans="1:15" x14ac:dyDescent="0.2">
      <c r="A1535" s="168">
        <v>1528</v>
      </c>
      <c r="B1535" s="159">
        <v>594.63366392643309</v>
      </c>
      <c r="C1535" s="169">
        <f t="shared" si="86"/>
        <v>908600.23847958981</v>
      </c>
      <c r="D1535" s="153"/>
      <c r="E1535" s="153"/>
      <c r="F1535" s="153"/>
      <c r="G1535" s="153"/>
      <c r="I1535" s="168">
        <v>1528</v>
      </c>
      <c r="J1535" s="159">
        <f>ROUND(B1535*('Model Data Inputs'!$E$184*'Model Data Inputs'!$E$185*'Model Data Inputs'!$E$186*'Model Data Inputs'!$E$187),2)</f>
        <v>594.63</v>
      </c>
      <c r="K1535" s="169">
        <f t="shared" si="87"/>
        <v>908594.64</v>
      </c>
      <c r="L1535" s="153"/>
      <c r="M1535" s="153"/>
      <c r="N1535" s="153"/>
      <c r="O1535" s="153"/>
    </row>
    <row r="1536" spans="1:15" x14ac:dyDescent="0.2">
      <c r="A1536" s="168">
        <v>1529</v>
      </c>
      <c r="B1536" s="159">
        <v>594.63366392643309</v>
      </c>
      <c r="C1536" s="169">
        <f t="shared" si="86"/>
        <v>909194.8721435162</v>
      </c>
      <c r="D1536" s="153"/>
      <c r="E1536" s="153"/>
      <c r="F1536" s="153"/>
      <c r="G1536" s="153"/>
      <c r="I1536" s="168">
        <v>1529</v>
      </c>
      <c r="J1536" s="159">
        <f>ROUND(B1536*('Model Data Inputs'!$E$184*'Model Data Inputs'!$E$185*'Model Data Inputs'!$E$186*'Model Data Inputs'!$E$187),2)</f>
        <v>594.63</v>
      </c>
      <c r="K1536" s="169">
        <f t="shared" si="87"/>
        <v>909189.27</v>
      </c>
      <c r="L1536" s="153"/>
      <c r="M1536" s="153"/>
      <c r="N1536" s="153"/>
      <c r="O1536" s="153"/>
    </row>
    <row r="1537" spans="1:15" x14ac:dyDescent="0.2">
      <c r="A1537" s="168">
        <v>1530</v>
      </c>
      <c r="B1537" s="159">
        <v>594.63366392643309</v>
      </c>
      <c r="C1537" s="169">
        <f t="shared" si="86"/>
        <v>909789.50580744259</v>
      </c>
      <c r="D1537" s="153"/>
      <c r="E1537" s="153"/>
      <c r="F1537" s="153"/>
      <c r="G1537" s="153"/>
      <c r="I1537" s="168">
        <v>1530</v>
      </c>
      <c r="J1537" s="159">
        <f>ROUND(B1537*('Model Data Inputs'!$E$184*'Model Data Inputs'!$E$185*'Model Data Inputs'!$E$186*'Model Data Inputs'!$E$187),2)</f>
        <v>594.63</v>
      </c>
      <c r="K1537" s="169">
        <f t="shared" si="87"/>
        <v>909783.9</v>
      </c>
      <c r="L1537" s="153"/>
      <c r="M1537" s="153"/>
      <c r="N1537" s="153"/>
      <c r="O1537" s="153"/>
    </row>
    <row r="1538" spans="1:15" x14ac:dyDescent="0.2">
      <c r="A1538" s="168">
        <v>1531</v>
      </c>
      <c r="B1538" s="159">
        <v>594.63366392643309</v>
      </c>
      <c r="C1538" s="169">
        <f t="shared" si="86"/>
        <v>910384.1394713691</v>
      </c>
      <c r="D1538" s="153"/>
      <c r="E1538" s="153"/>
      <c r="F1538" s="153"/>
      <c r="G1538" s="153"/>
      <c r="I1538" s="168">
        <v>1531</v>
      </c>
      <c r="J1538" s="159">
        <f>ROUND(B1538*('Model Data Inputs'!$E$184*'Model Data Inputs'!$E$185*'Model Data Inputs'!$E$186*'Model Data Inputs'!$E$187),2)</f>
        <v>594.63</v>
      </c>
      <c r="K1538" s="169">
        <f t="shared" si="87"/>
        <v>910378.53</v>
      </c>
      <c r="L1538" s="153"/>
      <c r="M1538" s="153"/>
      <c r="N1538" s="153"/>
      <c r="O1538" s="153"/>
    </row>
    <row r="1539" spans="1:15" x14ac:dyDescent="0.2">
      <c r="A1539" s="168">
        <v>1532</v>
      </c>
      <c r="B1539" s="159">
        <v>594.63366392643309</v>
      </c>
      <c r="C1539" s="169">
        <f t="shared" si="86"/>
        <v>910978.77313529549</v>
      </c>
      <c r="D1539" s="153"/>
      <c r="E1539" s="153"/>
      <c r="F1539" s="153"/>
      <c r="G1539" s="153"/>
      <c r="I1539" s="168">
        <v>1532</v>
      </c>
      <c r="J1539" s="159">
        <f>ROUND(B1539*('Model Data Inputs'!$E$184*'Model Data Inputs'!$E$185*'Model Data Inputs'!$E$186*'Model Data Inputs'!$E$187),2)</f>
        <v>594.63</v>
      </c>
      <c r="K1539" s="169">
        <f t="shared" si="87"/>
        <v>910973.16</v>
      </c>
      <c r="L1539" s="153"/>
      <c r="M1539" s="153"/>
      <c r="N1539" s="153"/>
      <c r="O1539" s="153"/>
    </row>
    <row r="1540" spans="1:15" x14ac:dyDescent="0.2">
      <c r="A1540" s="168">
        <v>1533</v>
      </c>
      <c r="B1540" s="159">
        <v>594.63366392643309</v>
      </c>
      <c r="C1540" s="169">
        <f t="shared" si="86"/>
        <v>911573.40679922188</v>
      </c>
      <c r="D1540" s="153"/>
      <c r="E1540" s="153"/>
      <c r="F1540" s="153"/>
      <c r="G1540" s="153"/>
      <c r="I1540" s="168">
        <v>1533</v>
      </c>
      <c r="J1540" s="159">
        <f>ROUND(B1540*('Model Data Inputs'!$E$184*'Model Data Inputs'!$E$185*'Model Data Inputs'!$E$186*'Model Data Inputs'!$E$187),2)</f>
        <v>594.63</v>
      </c>
      <c r="K1540" s="169">
        <f t="shared" si="87"/>
        <v>911567.79</v>
      </c>
      <c r="L1540" s="153"/>
      <c r="M1540" s="153"/>
      <c r="N1540" s="153"/>
      <c r="O1540" s="153"/>
    </row>
    <row r="1541" spans="1:15" x14ac:dyDescent="0.2">
      <c r="A1541" s="168">
        <v>1534</v>
      </c>
      <c r="B1541" s="159">
        <v>594.63366392643309</v>
      </c>
      <c r="C1541" s="169">
        <f t="shared" si="86"/>
        <v>912168.04046314838</v>
      </c>
      <c r="D1541" s="153"/>
      <c r="E1541" s="153"/>
      <c r="F1541" s="153"/>
      <c r="G1541" s="153"/>
      <c r="I1541" s="168">
        <v>1534</v>
      </c>
      <c r="J1541" s="159">
        <f>ROUND(B1541*('Model Data Inputs'!$E$184*'Model Data Inputs'!$E$185*'Model Data Inputs'!$E$186*'Model Data Inputs'!$E$187),2)</f>
        <v>594.63</v>
      </c>
      <c r="K1541" s="169">
        <f t="shared" si="87"/>
        <v>912162.42</v>
      </c>
      <c r="L1541" s="153"/>
      <c r="M1541" s="153"/>
      <c r="N1541" s="153"/>
      <c r="O1541" s="153"/>
    </row>
    <row r="1542" spans="1:15" x14ac:dyDescent="0.2">
      <c r="A1542" s="168">
        <v>1535</v>
      </c>
      <c r="B1542" s="159">
        <v>594.63366392643309</v>
      </c>
      <c r="C1542" s="169">
        <f t="shared" si="86"/>
        <v>912762.67412707477</v>
      </c>
      <c r="D1542" s="153"/>
      <c r="E1542" s="153"/>
      <c r="F1542" s="153"/>
      <c r="G1542" s="153"/>
      <c r="I1542" s="168">
        <v>1535</v>
      </c>
      <c r="J1542" s="159">
        <f>ROUND(B1542*('Model Data Inputs'!$E$184*'Model Data Inputs'!$E$185*'Model Data Inputs'!$E$186*'Model Data Inputs'!$E$187),2)</f>
        <v>594.63</v>
      </c>
      <c r="K1542" s="169">
        <f t="shared" si="87"/>
        <v>912757.05</v>
      </c>
      <c r="L1542" s="153"/>
      <c r="M1542" s="153"/>
      <c r="N1542" s="153"/>
      <c r="O1542" s="153"/>
    </row>
    <row r="1543" spans="1:15" x14ac:dyDescent="0.2">
      <c r="A1543" s="168">
        <v>1536</v>
      </c>
      <c r="B1543" s="159">
        <v>594.63366392643309</v>
      </c>
      <c r="C1543" s="169">
        <f t="shared" si="86"/>
        <v>913357.30779100116</v>
      </c>
      <c r="D1543" s="153"/>
      <c r="E1543" s="153"/>
      <c r="F1543" s="153"/>
      <c r="G1543" s="153"/>
      <c r="I1543" s="168">
        <v>1536</v>
      </c>
      <c r="J1543" s="159">
        <f>ROUND(B1543*('Model Data Inputs'!$E$184*'Model Data Inputs'!$E$185*'Model Data Inputs'!$E$186*'Model Data Inputs'!$E$187),2)</f>
        <v>594.63</v>
      </c>
      <c r="K1543" s="169">
        <f t="shared" si="87"/>
        <v>913351.67999999993</v>
      </c>
      <c r="L1543" s="153"/>
      <c r="M1543" s="153"/>
      <c r="N1543" s="153"/>
      <c r="O1543" s="153"/>
    </row>
    <row r="1544" spans="1:15" x14ac:dyDescent="0.2">
      <c r="A1544" s="168">
        <v>1537</v>
      </c>
      <c r="B1544" s="159">
        <v>594.63366392643309</v>
      </c>
      <c r="C1544" s="169">
        <f t="shared" ref="C1544:C1607" si="88">A1544*B1544</f>
        <v>913951.94145492767</v>
      </c>
      <c r="D1544" s="153"/>
      <c r="E1544" s="153"/>
      <c r="F1544" s="153"/>
      <c r="G1544" s="153"/>
      <c r="I1544" s="168">
        <v>1537</v>
      </c>
      <c r="J1544" s="159">
        <f>ROUND(B1544*('Model Data Inputs'!$E$184*'Model Data Inputs'!$E$185*'Model Data Inputs'!$E$186*'Model Data Inputs'!$E$187),2)</f>
        <v>594.63</v>
      </c>
      <c r="K1544" s="169">
        <f t="shared" ref="K1544:K1607" si="89">I1544*J1544</f>
        <v>913946.30999999994</v>
      </c>
      <c r="L1544" s="153"/>
      <c r="M1544" s="153"/>
      <c r="N1544" s="153"/>
      <c r="O1544" s="153"/>
    </row>
    <row r="1545" spans="1:15" x14ac:dyDescent="0.2">
      <c r="A1545" s="168">
        <v>1538</v>
      </c>
      <c r="B1545" s="159">
        <v>594.63366392643309</v>
      </c>
      <c r="C1545" s="169">
        <f t="shared" si="88"/>
        <v>914546.57511885406</v>
      </c>
      <c r="D1545" s="153"/>
      <c r="E1545" s="153"/>
      <c r="F1545" s="153"/>
      <c r="G1545" s="153"/>
      <c r="I1545" s="168">
        <v>1538</v>
      </c>
      <c r="J1545" s="159">
        <f>ROUND(B1545*('Model Data Inputs'!$E$184*'Model Data Inputs'!$E$185*'Model Data Inputs'!$E$186*'Model Data Inputs'!$E$187),2)</f>
        <v>594.63</v>
      </c>
      <c r="K1545" s="169">
        <f t="shared" si="89"/>
        <v>914540.94</v>
      </c>
      <c r="L1545" s="153"/>
      <c r="M1545" s="153"/>
      <c r="N1545" s="153"/>
      <c r="O1545" s="153"/>
    </row>
    <row r="1546" spans="1:15" x14ac:dyDescent="0.2">
      <c r="A1546" s="168">
        <v>1539</v>
      </c>
      <c r="B1546" s="159">
        <v>594.63366392643309</v>
      </c>
      <c r="C1546" s="169">
        <f t="shared" si="88"/>
        <v>915141.20878278057</v>
      </c>
      <c r="D1546" s="153"/>
      <c r="E1546" s="153"/>
      <c r="F1546" s="153"/>
      <c r="G1546" s="153"/>
      <c r="I1546" s="168">
        <v>1539</v>
      </c>
      <c r="J1546" s="159">
        <f>ROUND(B1546*('Model Data Inputs'!$E$184*'Model Data Inputs'!$E$185*'Model Data Inputs'!$E$186*'Model Data Inputs'!$E$187),2)</f>
        <v>594.63</v>
      </c>
      <c r="K1546" s="169">
        <f t="shared" si="89"/>
        <v>915135.57</v>
      </c>
      <c r="L1546" s="153"/>
      <c r="M1546" s="153"/>
      <c r="N1546" s="153"/>
      <c r="O1546" s="153"/>
    </row>
    <row r="1547" spans="1:15" x14ac:dyDescent="0.2">
      <c r="A1547" s="168">
        <v>1540</v>
      </c>
      <c r="B1547" s="159">
        <v>594.63366392643309</v>
      </c>
      <c r="C1547" s="169">
        <f t="shared" si="88"/>
        <v>915735.84244670696</v>
      </c>
      <c r="D1547" s="153"/>
      <c r="E1547" s="153"/>
      <c r="F1547" s="153"/>
      <c r="G1547" s="153"/>
      <c r="I1547" s="168">
        <v>1540</v>
      </c>
      <c r="J1547" s="159">
        <f>ROUND(B1547*('Model Data Inputs'!$E$184*'Model Data Inputs'!$E$185*'Model Data Inputs'!$E$186*'Model Data Inputs'!$E$187),2)</f>
        <v>594.63</v>
      </c>
      <c r="K1547" s="169">
        <f t="shared" si="89"/>
        <v>915730.2</v>
      </c>
      <c r="L1547" s="153"/>
      <c r="M1547" s="153"/>
      <c r="N1547" s="153"/>
      <c r="O1547" s="153"/>
    </row>
    <row r="1548" spans="1:15" x14ac:dyDescent="0.2">
      <c r="A1548" s="168">
        <v>1541</v>
      </c>
      <c r="B1548" s="159">
        <v>594.63366392643309</v>
      </c>
      <c r="C1548" s="169">
        <f t="shared" si="88"/>
        <v>916330.47611063335</v>
      </c>
      <c r="D1548" s="153"/>
      <c r="E1548" s="153"/>
      <c r="F1548" s="153"/>
      <c r="G1548" s="153"/>
      <c r="I1548" s="168">
        <v>1541</v>
      </c>
      <c r="J1548" s="159">
        <f>ROUND(B1548*('Model Data Inputs'!$E$184*'Model Data Inputs'!$E$185*'Model Data Inputs'!$E$186*'Model Data Inputs'!$E$187),2)</f>
        <v>594.63</v>
      </c>
      <c r="K1548" s="169">
        <f t="shared" si="89"/>
        <v>916324.83</v>
      </c>
      <c r="L1548" s="153"/>
      <c r="M1548" s="153"/>
      <c r="N1548" s="153"/>
      <c r="O1548" s="153"/>
    </row>
    <row r="1549" spans="1:15" x14ac:dyDescent="0.2">
      <c r="A1549" s="168">
        <v>1542</v>
      </c>
      <c r="B1549" s="159">
        <v>594.63366392643309</v>
      </c>
      <c r="C1549" s="169">
        <f t="shared" si="88"/>
        <v>916925.10977455985</v>
      </c>
      <c r="D1549" s="153"/>
      <c r="E1549" s="153"/>
      <c r="F1549" s="153"/>
      <c r="G1549" s="153"/>
      <c r="I1549" s="168">
        <v>1542</v>
      </c>
      <c r="J1549" s="159">
        <f>ROUND(B1549*('Model Data Inputs'!$E$184*'Model Data Inputs'!$E$185*'Model Data Inputs'!$E$186*'Model Data Inputs'!$E$187),2)</f>
        <v>594.63</v>
      </c>
      <c r="K1549" s="169">
        <f t="shared" si="89"/>
        <v>916919.46</v>
      </c>
      <c r="L1549" s="153"/>
      <c r="M1549" s="153"/>
      <c r="N1549" s="153"/>
      <c r="O1549" s="153"/>
    </row>
    <row r="1550" spans="1:15" x14ac:dyDescent="0.2">
      <c r="A1550" s="168">
        <v>1543</v>
      </c>
      <c r="B1550" s="159">
        <v>594.63366392643309</v>
      </c>
      <c r="C1550" s="169">
        <f t="shared" si="88"/>
        <v>917519.74343848624</v>
      </c>
      <c r="D1550" s="153"/>
      <c r="E1550" s="153"/>
      <c r="F1550" s="153"/>
      <c r="G1550" s="153"/>
      <c r="I1550" s="168">
        <v>1543</v>
      </c>
      <c r="J1550" s="159">
        <f>ROUND(B1550*('Model Data Inputs'!$E$184*'Model Data Inputs'!$E$185*'Model Data Inputs'!$E$186*'Model Data Inputs'!$E$187),2)</f>
        <v>594.63</v>
      </c>
      <c r="K1550" s="169">
        <f t="shared" si="89"/>
        <v>917514.09</v>
      </c>
      <c r="L1550" s="153"/>
      <c r="M1550" s="153"/>
      <c r="N1550" s="153"/>
      <c r="O1550" s="153"/>
    </row>
    <row r="1551" spans="1:15" x14ac:dyDescent="0.2">
      <c r="A1551" s="168">
        <v>1544</v>
      </c>
      <c r="B1551" s="159">
        <v>594.63366392643309</v>
      </c>
      <c r="C1551" s="169">
        <f t="shared" si="88"/>
        <v>918114.37710241263</v>
      </c>
      <c r="D1551" s="153"/>
      <c r="E1551" s="153"/>
      <c r="F1551" s="153"/>
      <c r="G1551" s="153"/>
      <c r="I1551" s="168">
        <v>1544</v>
      </c>
      <c r="J1551" s="159">
        <f>ROUND(B1551*('Model Data Inputs'!$E$184*'Model Data Inputs'!$E$185*'Model Data Inputs'!$E$186*'Model Data Inputs'!$E$187),2)</f>
        <v>594.63</v>
      </c>
      <c r="K1551" s="169">
        <f t="shared" si="89"/>
        <v>918108.72</v>
      </c>
      <c r="L1551" s="153"/>
      <c r="M1551" s="153"/>
      <c r="N1551" s="153"/>
      <c r="O1551" s="153"/>
    </row>
    <row r="1552" spans="1:15" x14ac:dyDescent="0.2">
      <c r="A1552" s="168">
        <v>1545</v>
      </c>
      <c r="B1552" s="159">
        <v>594.63366392643309</v>
      </c>
      <c r="C1552" s="169">
        <f t="shared" si="88"/>
        <v>918709.01076633914</v>
      </c>
      <c r="D1552" s="153"/>
      <c r="E1552" s="153"/>
      <c r="F1552" s="153"/>
      <c r="G1552" s="153"/>
      <c r="I1552" s="168">
        <v>1545</v>
      </c>
      <c r="J1552" s="159">
        <f>ROUND(B1552*('Model Data Inputs'!$E$184*'Model Data Inputs'!$E$185*'Model Data Inputs'!$E$186*'Model Data Inputs'!$E$187),2)</f>
        <v>594.63</v>
      </c>
      <c r="K1552" s="169">
        <f t="shared" si="89"/>
        <v>918703.35</v>
      </c>
      <c r="L1552" s="153"/>
      <c r="M1552" s="153"/>
      <c r="N1552" s="153"/>
      <c r="O1552" s="153"/>
    </row>
    <row r="1553" spans="1:15" x14ac:dyDescent="0.2">
      <c r="A1553" s="168">
        <v>1546</v>
      </c>
      <c r="B1553" s="159">
        <v>594.63366392643309</v>
      </c>
      <c r="C1553" s="169">
        <f t="shared" si="88"/>
        <v>919303.64443026553</v>
      </c>
      <c r="D1553" s="153"/>
      <c r="E1553" s="153"/>
      <c r="F1553" s="153"/>
      <c r="G1553" s="153"/>
      <c r="I1553" s="168">
        <v>1546</v>
      </c>
      <c r="J1553" s="159">
        <f>ROUND(B1553*('Model Data Inputs'!$E$184*'Model Data Inputs'!$E$185*'Model Data Inputs'!$E$186*'Model Data Inputs'!$E$187),2)</f>
        <v>594.63</v>
      </c>
      <c r="K1553" s="169">
        <f t="shared" si="89"/>
        <v>919297.98</v>
      </c>
      <c r="L1553" s="153"/>
      <c r="M1553" s="153"/>
      <c r="N1553" s="153"/>
      <c r="O1553" s="153"/>
    </row>
    <row r="1554" spans="1:15" x14ac:dyDescent="0.2">
      <c r="A1554" s="168">
        <v>1547</v>
      </c>
      <c r="B1554" s="159">
        <v>594.63366392643309</v>
      </c>
      <c r="C1554" s="169">
        <f t="shared" si="88"/>
        <v>919898.27809419204</v>
      </c>
      <c r="D1554" s="153"/>
      <c r="E1554" s="153"/>
      <c r="F1554" s="153"/>
      <c r="G1554" s="153"/>
      <c r="I1554" s="168">
        <v>1547</v>
      </c>
      <c r="J1554" s="159">
        <f>ROUND(B1554*('Model Data Inputs'!$E$184*'Model Data Inputs'!$E$185*'Model Data Inputs'!$E$186*'Model Data Inputs'!$E$187),2)</f>
        <v>594.63</v>
      </c>
      <c r="K1554" s="169">
        <f t="shared" si="89"/>
        <v>919892.61</v>
      </c>
      <c r="L1554" s="153"/>
      <c r="M1554" s="153"/>
      <c r="N1554" s="153"/>
      <c r="O1554" s="153"/>
    </row>
    <row r="1555" spans="1:15" x14ac:dyDescent="0.2">
      <c r="A1555" s="168">
        <v>1548</v>
      </c>
      <c r="B1555" s="159">
        <v>594.63366392643309</v>
      </c>
      <c r="C1555" s="169">
        <f t="shared" si="88"/>
        <v>920492.91175811843</v>
      </c>
      <c r="D1555" s="153"/>
      <c r="E1555" s="153"/>
      <c r="F1555" s="153"/>
      <c r="G1555" s="153"/>
      <c r="I1555" s="168">
        <v>1548</v>
      </c>
      <c r="J1555" s="159">
        <f>ROUND(B1555*('Model Data Inputs'!$E$184*'Model Data Inputs'!$E$185*'Model Data Inputs'!$E$186*'Model Data Inputs'!$E$187),2)</f>
        <v>594.63</v>
      </c>
      <c r="K1555" s="169">
        <f t="shared" si="89"/>
        <v>920487.24</v>
      </c>
      <c r="L1555" s="153"/>
      <c r="M1555" s="153"/>
      <c r="N1555" s="153"/>
      <c r="O1555" s="153"/>
    </row>
    <row r="1556" spans="1:15" x14ac:dyDescent="0.2">
      <c r="A1556" s="168">
        <v>1549</v>
      </c>
      <c r="B1556" s="159">
        <v>594.63366392643309</v>
      </c>
      <c r="C1556" s="169">
        <f t="shared" si="88"/>
        <v>921087.54542204482</v>
      </c>
      <c r="D1556" s="153"/>
      <c r="E1556" s="153"/>
      <c r="F1556" s="153"/>
      <c r="G1556" s="153"/>
      <c r="I1556" s="168">
        <v>1549</v>
      </c>
      <c r="J1556" s="159">
        <f>ROUND(B1556*('Model Data Inputs'!$E$184*'Model Data Inputs'!$E$185*'Model Data Inputs'!$E$186*'Model Data Inputs'!$E$187),2)</f>
        <v>594.63</v>
      </c>
      <c r="K1556" s="169">
        <f t="shared" si="89"/>
        <v>921081.87</v>
      </c>
      <c r="L1556" s="153"/>
      <c r="M1556" s="153"/>
      <c r="N1556" s="153"/>
      <c r="O1556" s="153"/>
    </row>
    <row r="1557" spans="1:15" x14ac:dyDescent="0.2">
      <c r="A1557" s="168">
        <v>1550</v>
      </c>
      <c r="B1557" s="159">
        <v>594.63366392643309</v>
      </c>
      <c r="C1557" s="169">
        <f t="shared" si="88"/>
        <v>921682.17908597132</v>
      </c>
      <c r="D1557" s="153"/>
      <c r="E1557" s="153"/>
      <c r="F1557" s="153"/>
      <c r="G1557" s="153"/>
      <c r="I1557" s="168">
        <v>1550</v>
      </c>
      <c r="J1557" s="159">
        <f>ROUND(B1557*('Model Data Inputs'!$E$184*'Model Data Inputs'!$E$185*'Model Data Inputs'!$E$186*'Model Data Inputs'!$E$187),2)</f>
        <v>594.63</v>
      </c>
      <c r="K1557" s="169">
        <f t="shared" si="89"/>
        <v>921676.5</v>
      </c>
      <c r="L1557" s="153"/>
      <c r="M1557" s="153"/>
      <c r="N1557" s="153"/>
      <c r="O1557" s="153"/>
    </row>
    <row r="1558" spans="1:15" x14ac:dyDescent="0.2">
      <c r="A1558" s="168">
        <v>1551</v>
      </c>
      <c r="B1558" s="159">
        <v>594.63366392643309</v>
      </c>
      <c r="C1558" s="169">
        <f t="shared" si="88"/>
        <v>922276.81274989771</v>
      </c>
      <c r="D1558" s="153"/>
      <c r="E1558" s="153"/>
      <c r="F1558" s="153"/>
      <c r="G1558" s="153"/>
      <c r="I1558" s="168">
        <v>1551</v>
      </c>
      <c r="J1558" s="159">
        <f>ROUND(B1558*('Model Data Inputs'!$E$184*'Model Data Inputs'!$E$185*'Model Data Inputs'!$E$186*'Model Data Inputs'!$E$187),2)</f>
        <v>594.63</v>
      </c>
      <c r="K1558" s="169">
        <f t="shared" si="89"/>
        <v>922271.13</v>
      </c>
      <c r="L1558" s="153"/>
      <c r="M1558" s="153"/>
      <c r="N1558" s="153"/>
      <c r="O1558" s="153"/>
    </row>
    <row r="1559" spans="1:15" x14ac:dyDescent="0.2">
      <c r="A1559" s="168">
        <v>1552</v>
      </c>
      <c r="B1559" s="159">
        <v>594.63366392643309</v>
      </c>
      <c r="C1559" s="169">
        <f t="shared" si="88"/>
        <v>922871.4464138241</v>
      </c>
      <c r="D1559" s="153"/>
      <c r="E1559" s="153"/>
      <c r="F1559" s="153"/>
      <c r="G1559" s="153"/>
      <c r="I1559" s="168">
        <v>1552</v>
      </c>
      <c r="J1559" s="159">
        <f>ROUND(B1559*('Model Data Inputs'!$E$184*'Model Data Inputs'!$E$185*'Model Data Inputs'!$E$186*'Model Data Inputs'!$E$187),2)</f>
        <v>594.63</v>
      </c>
      <c r="K1559" s="169">
        <f t="shared" si="89"/>
        <v>922865.76</v>
      </c>
      <c r="L1559" s="153"/>
      <c r="M1559" s="153"/>
      <c r="N1559" s="153"/>
      <c r="O1559" s="153"/>
    </row>
    <row r="1560" spans="1:15" x14ac:dyDescent="0.2">
      <c r="A1560" s="168">
        <v>1553</v>
      </c>
      <c r="B1560" s="159">
        <v>594.63366392643309</v>
      </c>
      <c r="C1560" s="169">
        <f t="shared" si="88"/>
        <v>923466.08007775061</v>
      </c>
      <c r="D1560" s="153"/>
      <c r="E1560" s="153"/>
      <c r="F1560" s="153"/>
      <c r="G1560" s="153"/>
      <c r="I1560" s="168">
        <v>1553</v>
      </c>
      <c r="J1560" s="159">
        <f>ROUND(B1560*('Model Data Inputs'!$E$184*'Model Data Inputs'!$E$185*'Model Data Inputs'!$E$186*'Model Data Inputs'!$E$187),2)</f>
        <v>594.63</v>
      </c>
      <c r="K1560" s="169">
        <f t="shared" si="89"/>
        <v>923460.39</v>
      </c>
      <c r="L1560" s="153"/>
      <c r="M1560" s="153"/>
      <c r="N1560" s="153"/>
      <c r="O1560" s="153"/>
    </row>
    <row r="1561" spans="1:15" x14ac:dyDescent="0.2">
      <c r="A1561" s="168">
        <v>1554</v>
      </c>
      <c r="B1561" s="159">
        <v>594.63366392643309</v>
      </c>
      <c r="C1561" s="169">
        <f t="shared" si="88"/>
        <v>924060.713741677</v>
      </c>
      <c r="D1561" s="153"/>
      <c r="E1561" s="153"/>
      <c r="F1561" s="153"/>
      <c r="G1561" s="153"/>
      <c r="I1561" s="168">
        <v>1554</v>
      </c>
      <c r="J1561" s="159">
        <f>ROUND(B1561*('Model Data Inputs'!$E$184*'Model Data Inputs'!$E$185*'Model Data Inputs'!$E$186*'Model Data Inputs'!$E$187),2)</f>
        <v>594.63</v>
      </c>
      <c r="K1561" s="169">
        <f t="shared" si="89"/>
        <v>924055.02</v>
      </c>
      <c r="L1561" s="153"/>
      <c r="M1561" s="153"/>
      <c r="N1561" s="153"/>
      <c r="O1561" s="153"/>
    </row>
    <row r="1562" spans="1:15" x14ac:dyDescent="0.2">
      <c r="A1562" s="168">
        <v>1555</v>
      </c>
      <c r="B1562" s="159">
        <v>594.63366392643309</v>
      </c>
      <c r="C1562" s="169">
        <f t="shared" si="88"/>
        <v>924655.3474056035</v>
      </c>
      <c r="D1562" s="153"/>
      <c r="E1562" s="153"/>
      <c r="F1562" s="153"/>
      <c r="G1562" s="153"/>
      <c r="I1562" s="168">
        <v>1555</v>
      </c>
      <c r="J1562" s="159">
        <f>ROUND(B1562*('Model Data Inputs'!$E$184*'Model Data Inputs'!$E$185*'Model Data Inputs'!$E$186*'Model Data Inputs'!$E$187),2)</f>
        <v>594.63</v>
      </c>
      <c r="K1562" s="169">
        <f t="shared" si="89"/>
        <v>924649.65</v>
      </c>
      <c r="L1562" s="153"/>
      <c r="M1562" s="153"/>
      <c r="N1562" s="153"/>
      <c r="O1562" s="153"/>
    </row>
    <row r="1563" spans="1:15" x14ac:dyDescent="0.2">
      <c r="A1563" s="168">
        <v>1556</v>
      </c>
      <c r="B1563" s="159">
        <v>594.63366392643309</v>
      </c>
      <c r="C1563" s="169">
        <f t="shared" si="88"/>
        <v>925249.98106952989</v>
      </c>
      <c r="D1563" s="153"/>
      <c r="E1563" s="153"/>
      <c r="F1563" s="153"/>
      <c r="G1563" s="153"/>
      <c r="I1563" s="168">
        <v>1556</v>
      </c>
      <c r="J1563" s="159">
        <f>ROUND(B1563*('Model Data Inputs'!$E$184*'Model Data Inputs'!$E$185*'Model Data Inputs'!$E$186*'Model Data Inputs'!$E$187),2)</f>
        <v>594.63</v>
      </c>
      <c r="K1563" s="169">
        <f t="shared" si="89"/>
        <v>925244.28</v>
      </c>
      <c r="L1563" s="153"/>
      <c r="M1563" s="153"/>
      <c r="N1563" s="153"/>
      <c r="O1563" s="153"/>
    </row>
    <row r="1564" spans="1:15" x14ac:dyDescent="0.2">
      <c r="A1564" s="168">
        <v>1557</v>
      </c>
      <c r="B1564" s="159">
        <v>594.63366392643309</v>
      </c>
      <c r="C1564" s="169">
        <f t="shared" si="88"/>
        <v>925844.61473345628</v>
      </c>
      <c r="D1564" s="153"/>
      <c r="E1564" s="153"/>
      <c r="F1564" s="153"/>
      <c r="G1564" s="153"/>
      <c r="I1564" s="168">
        <v>1557</v>
      </c>
      <c r="J1564" s="159">
        <f>ROUND(B1564*('Model Data Inputs'!$E$184*'Model Data Inputs'!$E$185*'Model Data Inputs'!$E$186*'Model Data Inputs'!$E$187),2)</f>
        <v>594.63</v>
      </c>
      <c r="K1564" s="169">
        <f t="shared" si="89"/>
        <v>925838.91</v>
      </c>
      <c r="L1564" s="153"/>
      <c r="M1564" s="153"/>
      <c r="N1564" s="153"/>
      <c r="O1564" s="153"/>
    </row>
    <row r="1565" spans="1:15" x14ac:dyDescent="0.2">
      <c r="A1565" s="168">
        <v>1558</v>
      </c>
      <c r="B1565" s="159">
        <v>594.63366392643309</v>
      </c>
      <c r="C1565" s="169">
        <f t="shared" si="88"/>
        <v>926439.24839738279</v>
      </c>
      <c r="D1565" s="153"/>
      <c r="E1565" s="153"/>
      <c r="F1565" s="153"/>
      <c r="G1565" s="153"/>
      <c r="I1565" s="168">
        <v>1558</v>
      </c>
      <c r="J1565" s="159">
        <f>ROUND(B1565*('Model Data Inputs'!$E$184*'Model Data Inputs'!$E$185*'Model Data Inputs'!$E$186*'Model Data Inputs'!$E$187),2)</f>
        <v>594.63</v>
      </c>
      <c r="K1565" s="169">
        <f t="shared" si="89"/>
        <v>926433.54</v>
      </c>
      <c r="L1565" s="153"/>
      <c r="M1565" s="153"/>
      <c r="N1565" s="153"/>
      <c r="O1565" s="153"/>
    </row>
    <row r="1566" spans="1:15" x14ac:dyDescent="0.2">
      <c r="A1566" s="168">
        <v>1559</v>
      </c>
      <c r="B1566" s="159">
        <v>594.63366392643309</v>
      </c>
      <c r="C1566" s="169">
        <f t="shared" si="88"/>
        <v>927033.88206130918</v>
      </c>
      <c r="D1566" s="153"/>
      <c r="E1566" s="153"/>
      <c r="F1566" s="153"/>
      <c r="G1566" s="153"/>
      <c r="I1566" s="168">
        <v>1559</v>
      </c>
      <c r="J1566" s="159">
        <f>ROUND(B1566*('Model Data Inputs'!$E$184*'Model Data Inputs'!$E$185*'Model Data Inputs'!$E$186*'Model Data Inputs'!$E$187),2)</f>
        <v>594.63</v>
      </c>
      <c r="K1566" s="169">
        <f t="shared" si="89"/>
        <v>927028.17</v>
      </c>
      <c r="L1566" s="153"/>
      <c r="M1566" s="153"/>
      <c r="N1566" s="153"/>
      <c r="O1566" s="153"/>
    </row>
    <row r="1567" spans="1:15" x14ac:dyDescent="0.2">
      <c r="A1567" s="168">
        <v>1560</v>
      </c>
      <c r="B1567" s="159">
        <v>594.63366392643309</v>
      </c>
      <c r="C1567" s="169">
        <f t="shared" si="88"/>
        <v>927628.51572523557</v>
      </c>
      <c r="D1567" s="153"/>
      <c r="E1567" s="153"/>
      <c r="F1567" s="153"/>
      <c r="G1567" s="153"/>
      <c r="I1567" s="168">
        <v>1560</v>
      </c>
      <c r="J1567" s="159">
        <f>ROUND(B1567*('Model Data Inputs'!$E$184*'Model Data Inputs'!$E$185*'Model Data Inputs'!$E$186*'Model Data Inputs'!$E$187),2)</f>
        <v>594.63</v>
      </c>
      <c r="K1567" s="169">
        <f t="shared" si="89"/>
        <v>927622.8</v>
      </c>
      <c r="L1567" s="153"/>
      <c r="M1567" s="153"/>
      <c r="N1567" s="153"/>
      <c r="O1567" s="153"/>
    </row>
    <row r="1568" spans="1:15" x14ac:dyDescent="0.2">
      <c r="A1568" s="168">
        <v>1561</v>
      </c>
      <c r="B1568" s="159">
        <v>594.63366392643309</v>
      </c>
      <c r="C1568" s="169">
        <f t="shared" si="88"/>
        <v>928223.14938916208</v>
      </c>
      <c r="D1568" s="153"/>
      <c r="E1568" s="153"/>
      <c r="F1568" s="153"/>
      <c r="G1568" s="153"/>
      <c r="I1568" s="168">
        <v>1561</v>
      </c>
      <c r="J1568" s="159">
        <f>ROUND(B1568*('Model Data Inputs'!$E$184*'Model Data Inputs'!$E$185*'Model Data Inputs'!$E$186*'Model Data Inputs'!$E$187),2)</f>
        <v>594.63</v>
      </c>
      <c r="K1568" s="169">
        <f t="shared" si="89"/>
        <v>928217.42999999993</v>
      </c>
      <c r="L1568" s="153"/>
      <c r="M1568" s="153"/>
      <c r="N1568" s="153"/>
      <c r="O1568" s="153"/>
    </row>
    <row r="1569" spans="1:15" x14ac:dyDescent="0.2">
      <c r="A1569" s="168">
        <v>1562</v>
      </c>
      <c r="B1569" s="159">
        <v>594.63366392643309</v>
      </c>
      <c r="C1569" s="169">
        <f t="shared" si="88"/>
        <v>928817.78305308847</v>
      </c>
      <c r="D1569" s="153"/>
      <c r="E1569" s="153"/>
      <c r="F1569" s="153"/>
      <c r="G1569" s="153"/>
      <c r="I1569" s="168">
        <v>1562</v>
      </c>
      <c r="J1569" s="159">
        <f>ROUND(B1569*('Model Data Inputs'!$E$184*'Model Data Inputs'!$E$185*'Model Data Inputs'!$E$186*'Model Data Inputs'!$E$187),2)</f>
        <v>594.63</v>
      </c>
      <c r="K1569" s="169">
        <f t="shared" si="89"/>
        <v>928812.05999999994</v>
      </c>
      <c r="L1569" s="153"/>
      <c r="M1569" s="153"/>
      <c r="N1569" s="153"/>
      <c r="O1569" s="153"/>
    </row>
    <row r="1570" spans="1:15" x14ac:dyDescent="0.2">
      <c r="A1570" s="168">
        <v>1563</v>
      </c>
      <c r="B1570" s="159">
        <v>594.63366392643309</v>
      </c>
      <c r="C1570" s="169">
        <f t="shared" si="88"/>
        <v>929412.41671701486</v>
      </c>
      <c r="D1570" s="153"/>
      <c r="E1570" s="153"/>
      <c r="F1570" s="153"/>
      <c r="G1570" s="153"/>
      <c r="I1570" s="168">
        <v>1563</v>
      </c>
      <c r="J1570" s="159">
        <f>ROUND(B1570*('Model Data Inputs'!$E$184*'Model Data Inputs'!$E$185*'Model Data Inputs'!$E$186*'Model Data Inputs'!$E$187),2)</f>
        <v>594.63</v>
      </c>
      <c r="K1570" s="169">
        <f t="shared" si="89"/>
        <v>929406.69</v>
      </c>
      <c r="L1570" s="153"/>
      <c r="M1570" s="153"/>
      <c r="N1570" s="153"/>
      <c r="O1570" s="153"/>
    </row>
    <row r="1571" spans="1:15" x14ac:dyDescent="0.2">
      <c r="A1571" s="168">
        <v>1564</v>
      </c>
      <c r="B1571" s="159">
        <v>594.63366392643309</v>
      </c>
      <c r="C1571" s="169">
        <f t="shared" si="88"/>
        <v>930007.05038094136</v>
      </c>
      <c r="D1571" s="153"/>
      <c r="E1571" s="153"/>
      <c r="F1571" s="153"/>
      <c r="G1571" s="153"/>
      <c r="I1571" s="168">
        <v>1564</v>
      </c>
      <c r="J1571" s="159">
        <f>ROUND(B1571*('Model Data Inputs'!$E$184*'Model Data Inputs'!$E$185*'Model Data Inputs'!$E$186*'Model Data Inputs'!$E$187),2)</f>
        <v>594.63</v>
      </c>
      <c r="K1571" s="169">
        <f t="shared" si="89"/>
        <v>930001.32</v>
      </c>
      <c r="L1571" s="153"/>
      <c r="M1571" s="153"/>
      <c r="N1571" s="153"/>
      <c r="O1571" s="153"/>
    </row>
    <row r="1572" spans="1:15" x14ac:dyDescent="0.2">
      <c r="A1572" s="168">
        <v>1565</v>
      </c>
      <c r="B1572" s="159">
        <v>594.63366392643309</v>
      </c>
      <c r="C1572" s="169">
        <f t="shared" si="88"/>
        <v>930601.68404486775</v>
      </c>
      <c r="D1572" s="153"/>
      <c r="E1572" s="153"/>
      <c r="F1572" s="153"/>
      <c r="G1572" s="153"/>
      <c r="I1572" s="168">
        <v>1565</v>
      </c>
      <c r="J1572" s="159">
        <f>ROUND(B1572*('Model Data Inputs'!$E$184*'Model Data Inputs'!$E$185*'Model Data Inputs'!$E$186*'Model Data Inputs'!$E$187),2)</f>
        <v>594.63</v>
      </c>
      <c r="K1572" s="169">
        <f t="shared" si="89"/>
        <v>930595.95</v>
      </c>
      <c r="L1572" s="153"/>
      <c r="M1572" s="153"/>
      <c r="N1572" s="153"/>
      <c r="O1572" s="153"/>
    </row>
    <row r="1573" spans="1:15" x14ac:dyDescent="0.2">
      <c r="A1573" s="168">
        <v>1566</v>
      </c>
      <c r="B1573" s="159">
        <v>594.63366392643309</v>
      </c>
      <c r="C1573" s="169">
        <f t="shared" si="88"/>
        <v>931196.31770879426</v>
      </c>
      <c r="D1573" s="153"/>
      <c r="E1573" s="153"/>
      <c r="F1573" s="153"/>
      <c r="G1573" s="153"/>
      <c r="I1573" s="168">
        <v>1566</v>
      </c>
      <c r="J1573" s="159">
        <f>ROUND(B1573*('Model Data Inputs'!$E$184*'Model Data Inputs'!$E$185*'Model Data Inputs'!$E$186*'Model Data Inputs'!$E$187),2)</f>
        <v>594.63</v>
      </c>
      <c r="K1573" s="169">
        <f t="shared" si="89"/>
        <v>931190.58</v>
      </c>
      <c r="L1573" s="153"/>
      <c r="M1573" s="153"/>
      <c r="N1573" s="153"/>
      <c r="O1573" s="153"/>
    </row>
    <row r="1574" spans="1:15" x14ac:dyDescent="0.2">
      <c r="A1574" s="168">
        <v>1567</v>
      </c>
      <c r="B1574" s="159">
        <v>594.63366392643309</v>
      </c>
      <c r="C1574" s="169">
        <f t="shared" si="88"/>
        <v>931790.95137272065</v>
      </c>
      <c r="D1574" s="153"/>
      <c r="E1574" s="153"/>
      <c r="F1574" s="153"/>
      <c r="G1574" s="153"/>
      <c r="I1574" s="168">
        <v>1567</v>
      </c>
      <c r="J1574" s="159">
        <f>ROUND(B1574*('Model Data Inputs'!$E$184*'Model Data Inputs'!$E$185*'Model Data Inputs'!$E$186*'Model Data Inputs'!$E$187),2)</f>
        <v>594.63</v>
      </c>
      <c r="K1574" s="169">
        <f t="shared" si="89"/>
        <v>931785.21</v>
      </c>
      <c r="L1574" s="153"/>
      <c r="M1574" s="153"/>
      <c r="N1574" s="153"/>
      <c r="O1574" s="153"/>
    </row>
    <row r="1575" spans="1:15" x14ac:dyDescent="0.2">
      <c r="A1575" s="168">
        <v>1568</v>
      </c>
      <c r="B1575" s="159">
        <v>594.63366392643309</v>
      </c>
      <c r="C1575" s="169">
        <f t="shared" si="88"/>
        <v>932385.58503664704</v>
      </c>
      <c r="D1575" s="153"/>
      <c r="E1575" s="153"/>
      <c r="F1575" s="153"/>
      <c r="G1575" s="153"/>
      <c r="I1575" s="168">
        <v>1568</v>
      </c>
      <c r="J1575" s="159">
        <f>ROUND(B1575*('Model Data Inputs'!$E$184*'Model Data Inputs'!$E$185*'Model Data Inputs'!$E$186*'Model Data Inputs'!$E$187),2)</f>
        <v>594.63</v>
      </c>
      <c r="K1575" s="169">
        <f t="shared" si="89"/>
        <v>932379.84</v>
      </c>
      <c r="L1575" s="153"/>
      <c r="M1575" s="153"/>
      <c r="N1575" s="153"/>
      <c r="O1575" s="153"/>
    </row>
    <row r="1576" spans="1:15" x14ac:dyDescent="0.2">
      <c r="A1576" s="168">
        <v>1569</v>
      </c>
      <c r="B1576" s="159">
        <v>594.63366392643309</v>
      </c>
      <c r="C1576" s="169">
        <f t="shared" si="88"/>
        <v>932980.21870057355</v>
      </c>
      <c r="D1576" s="153"/>
      <c r="E1576" s="153"/>
      <c r="F1576" s="153"/>
      <c r="G1576" s="153"/>
      <c r="I1576" s="168">
        <v>1569</v>
      </c>
      <c r="J1576" s="159">
        <f>ROUND(B1576*('Model Data Inputs'!$E$184*'Model Data Inputs'!$E$185*'Model Data Inputs'!$E$186*'Model Data Inputs'!$E$187),2)</f>
        <v>594.63</v>
      </c>
      <c r="K1576" s="169">
        <f t="shared" si="89"/>
        <v>932974.47</v>
      </c>
      <c r="L1576" s="153"/>
      <c r="M1576" s="153"/>
      <c r="N1576" s="153"/>
      <c r="O1576" s="153"/>
    </row>
    <row r="1577" spans="1:15" x14ac:dyDescent="0.2">
      <c r="A1577" s="168">
        <v>1570</v>
      </c>
      <c r="B1577" s="159">
        <v>594.63366392643309</v>
      </c>
      <c r="C1577" s="169">
        <f t="shared" si="88"/>
        <v>933574.85236449994</v>
      </c>
      <c r="D1577" s="153"/>
      <c r="E1577" s="153"/>
      <c r="F1577" s="153"/>
      <c r="G1577" s="153"/>
      <c r="I1577" s="168">
        <v>1570</v>
      </c>
      <c r="J1577" s="159">
        <f>ROUND(B1577*('Model Data Inputs'!$E$184*'Model Data Inputs'!$E$185*'Model Data Inputs'!$E$186*'Model Data Inputs'!$E$187),2)</f>
        <v>594.63</v>
      </c>
      <c r="K1577" s="169">
        <f t="shared" si="89"/>
        <v>933569.1</v>
      </c>
      <c r="L1577" s="153"/>
      <c r="M1577" s="153"/>
      <c r="N1577" s="153"/>
      <c r="O1577" s="153"/>
    </row>
    <row r="1578" spans="1:15" x14ac:dyDescent="0.2">
      <c r="A1578" s="168">
        <v>1571</v>
      </c>
      <c r="B1578" s="159">
        <v>594.63366392643309</v>
      </c>
      <c r="C1578" s="169">
        <f t="shared" si="88"/>
        <v>934169.48602842633</v>
      </c>
      <c r="D1578" s="153"/>
      <c r="E1578" s="153"/>
      <c r="F1578" s="153"/>
      <c r="G1578" s="153"/>
      <c r="I1578" s="168">
        <v>1571</v>
      </c>
      <c r="J1578" s="159">
        <f>ROUND(B1578*('Model Data Inputs'!$E$184*'Model Data Inputs'!$E$185*'Model Data Inputs'!$E$186*'Model Data Inputs'!$E$187),2)</f>
        <v>594.63</v>
      </c>
      <c r="K1578" s="169">
        <f t="shared" si="89"/>
        <v>934163.73</v>
      </c>
      <c r="L1578" s="153"/>
      <c r="M1578" s="153"/>
      <c r="N1578" s="153"/>
      <c r="O1578" s="153"/>
    </row>
    <row r="1579" spans="1:15" x14ac:dyDescent="0.2">
      <c r="A1579" s="168">
        <v>1572</v>
      </c>
      <c r="B1579" s="159">
        <v>594.63366392643309</v>
      </c>
      <c r="C1579" s="169">
        <f t="shared" si="88"/>
        <v>934764.11969235283</v>
      </c>
      <c r="D1579" s="153"/>
      <c r="E1579" s="153"/>
      <c r="F1579" s="153"/>
      <c r="G1579" s="153"/>
      <c r="I1579" s="168">
        <v>1572</v>
      </c>
      <c r="J1579" s="159">
        <f>ROUND(B1579*('Model Data Inputs'!$E$184*'Model Data Inputs'!$E$185*'Model Data Inputs'!$E$186*'Model Data Inputs'!$E$187),2)</f>
        <v>594.63</v>
      </c>
      <c r="K1579" s="169">
        <f t="shared" si="89"/>
        <v>934758.36</v>
      </c>
      <c r="L1579" s="153"/>
      <c r="M1579" s="153"/>
      <c r="N1579" s="153"/>
      <c r="O1579" s="153"/>
    </row>
    <row r="1580" spans="1:15" x14ac:dyDescent="0.2">
      <c r="A1580" s="168">
        <v>1573</v>
      </c>
      <c r="B1580" s="159">
        <v>594.63366392643309</v>
      </c>
      <c r="C1580" s="169">
        <f t="shared" si="88"/>
        <v>935358.75335627922</v>
      </c>
      <c r="D1580" s="153"/>
      <c r="E1580" s="153"/>
      <c r="F1580" s="153"/>
      <c r="G1580" s="153"/>
      <c r="I1580" s="168">
        <v>1573</v>
      </c>
      <c r="J1580" s="159">
        <f>ROUND(B1580*('Model Data Inputs'!$E$184*'Model Data Inputs'!$E$185*'Model Data Inputs'!$E$186*'Model Data Inputs'!$E$187),2)</f>
        <v>594.63</v>
      </c>
      <c r="K1580" s="169">
        <f t="shared" si="89"/>
        <v>935352.99</v>
      </c>
      <c r="L1580" s="153"/>
      <c r="M1580" s="153"/>
      <c r="N1580" s="153"/>
      <c r="O1580" s="153"/>
    </row>
    <row r="1581" spans="1:15" x14ac:dyDescent="0.2">
      <c r="A1581" s="168">
        <v>1574</v>
      </c>
      <c r="B1581" s="159">
        <v>594.63366392643309</v>
      </c>
      <c r="C1581" s="169">
        <f t="shared" si="88"/>
        <v>935953.38702020573</v>
      </c>
      <c r="D1581" s="153"/>
      <c r="E1581" s="153"/>
      <c r="F1581" s="153"/>
      <c r="G1581" s="153"/>
      <c r="I1581" s="168">
        <v>1574</v>
      </c>
      <c r="J1581" s="159">
        <f>ROUND(B1581*('Model Data Inputs'!$E$184*'Model Data Inputs'!$E$185*'Model Data Inputs'!$E$186*'Model Data Inputs'!$E$187),2)</f>
        <v>594.63</v>
      </c>
      <c r="K1581" s="169">
        <f t="shared" si="89"/>
        <v>935947.62</v>
      </c>
      <c r="L1581" s="153"/>
      <c r="M1581" s="153"/>
      <c r="N1581" s="153"/>
      <c r="O1581" s="153"/>
    </row>
    <row r="1582" spans="1:15" x14ac:dyDescent="0.2">
      <c r="A1582" s="168">
        <v>1575</v>
      </c>
      <c r="B1582" s="159">
        <v>594.63366392643309</v>
      </c>
      <c r="C1582" s="169">
        <f t="shared" si="88"/>
        <v>936548.02068413212</v>
      </c>
      <c r="D1582" s="153"/>
      <c r="E1582" s="153"/>
      <c r="F1582" s="153"/>
      <c r="G1582" s="153"/>
      <c r="I1582" s="168">
        <v>1575</v>
      </c>
      <c r="J1582" s="159">
        <f>ROUND(B1582*('Model Data Inputs'!$E$184*'Model Data Inputs'!$E$185*'Model Data Inputs'!$E$186*'Model Data Inputs'!$E$187),2)</f>
        <v>594.63</v>
      </c>
      <c r="K1582" s="169">
        <f t="shared" si="89"/>
        <v>936542.25</v>
      </c>
      <c r="L1582" s="153"/>
      <c r="M1582" s="153"/>
      <c r="N1582" s="153"/>
      <c r="O1582" s="153"/>
    </row>
    <row r="1583" spans="1:15" x14ac:dyDescent="0.2">
      <c r="A1583" s="168">
        <v>1576</v>
      </c>
      <c r="B1583" s="159">
        <v>594.63366392643309</v>
      </c>
      <c r="C1583" s="169">
        <f t="shared" si="88"/>
        <v>937142.65434805851</v>
      </c>
      <c r="D1583" s="153"/>
      <c r="E1583" s="153"/>
      <c r="F1583" s="153"/>
      <c r="G1583" s="153"/>
      <c r="I1583" s="168">
        <v>1576</v>
      </c>
      <c r="J1583" s="159">
        <f>ROUND(B1583*('Model Data Inputs'!$E$184*'Model Data Inputs'!$E$185*'Model Data Inputs'!$E$186*'Model Data Inputs'!$E$187),2)</f>
        <v>594.63</v>
      </c>
      <c r="K1583" s="169">
        <f t="shared" si="89"/>
        <v>937136.88</v>
      </c>
      <c r="L1583" s="153"/>
      <c r="M1583" s="153"/>
      <c r="N1583" s="153"/>
      <c r="O1583" s="153"/>
    </row>
    <row r="1584" spans="1:15" x14ac:dyDescent="0.2">
      <c r="A1584" s="168">
        <v>1577</v>
      </c>
      <c r="B1584" s="159">
        <v>594.63366392643309</v>
      </c>
      <c r="C1584" s="169">
        <f t="shared" si="88"/>
        <v>937737.28801198502</v>
      </c>
      <c r="D1584" s="153"/>
      <c r="E1584" s="153"/>
      <c r="F1584" s="153"/>
      <c r="G1584" s="153"/>
      <c r="I1584" s="168">
        <v>1577</v>
      </c>
      <c r="J1584" s="159">
        <f>ROUND(B1584*('Model Data Inputs'!$E$184*'Model Data Inputs'!$E$185*'Model Data Inputs'!$E$186*'Model Data Inputs'!$E$187),2)</f>
        <v>594.63</v>
      </c>
      <c r="K1584" s="169">
        <f t="shared" si="89"/>
        <v>937731.51</v>
      </c>
      <c r="L1584" s="153"/>
      <c r="M1584" s="153"/>
      <c r="N1584" s="153"/>
      <c r="O1584" s="153"/>
    </row>
    <row r="1585" spans="1:15" x14ac:dyDescent="0.2">
      <c r="A1585" s="168">
        <v>1578</v>
      </c>
      <c r="B1585" s="159">
        <v>594.63366392643309</v>
      </c>
      <c r="C1585" s="169">
        <f t="shared" si="88"/>
        <v>938331.92167591141</v>
      </c>
      <c r="D1585" s="153"/>
      <c r="E1585" s="153"/>
      <c r="F1585" s="153"/>
      <c r="G1585" s="153"/>
      <c r="I1585" s="168">
        <v>1578</v>
      </c>
      <c r="J1585" s="159">
        <f>ROUND(B1585*('Model Data Inputs'!$E$184*'Model Data Inputs'!$E$185*'Model Data Inputs'!$E$186*'Model Data Inputs'!$E$187),2)</f>
        <v>594.63</v>
      </c>
      <c r="K1585" s="169">
        <f t="shared" si="89"/>
        <v>938326.14</v>
      </c>
      <c r="L1585" s="153"/>
      <c r="M1585" s="153"/>
      <c r="N1585" s="153"/>
      <c r="O1585" s="153"/>
    </row>
    <row r="1586" spans="1:15" x14ac:dyDescent="0.2">
      <c r="A1586" s="168">
        <v>1579</v>
      </c>
      <c r="B1586" s="159">
        <v>594.63366392643309</v>
      </c>
      <c r="C1586" s="169">
        <f t="shared" si="88"/>
        <v>938926.5553398378</v>
      </c>
      <c r="D1586" s="153"/>
      <c r="E1586" s="153"/>
      <c r="F1586" s="153"/>
      <c r="G1586" s="153"/>
      <c r="I1586" s="168">
        <v>1579</v>
      </c>
      <c r="J1586" s="159">
        <f>ROUND(B1586*('Model Data Inputs'!$E$184*'Model Data Inputs'!$E$185*'Model Data Inputs'!$E$186*'Model Data Inputs'!$E$187),2)</f>
        <v>594.63</v>
      </c>
      <c r="K1586" s="169">
        <f t="shared" si="89"/>
        <v>938920.77</v>
      </c>
      <c r="L1586" s="153"/>
      <c r="M1586" s="153"/>
      <c r="N1586" s="153"/>
      <c r="O1586" s="153"/>
    </row>
    <row r="1587" spans="1:15" x14ac:dyDescent="0.2">
      <c r="A1587" s="168">
        <v>1580</v>
      </c>
      <c r="B1587" s="159">
        <v>594.63366392643309</v>
      </c>
      <c r="C1587" s="169">
        <f t="shared" si="88"/>
        <v>939521.1890037643</v>
      </c>
      <c r="D1587" s="153"/>
      <c r="E1587" s="153"/>
      <c r="F1587" s="153"/>
      <c r="G1587" s="153"/>
      <c r="I1587" s="168">
        <v>1580</v>
      </c>
      <c r="J1587" s="159">
        <f>ROUND(B1587*('Model Data Inputs'!$E$184*'Model Data Inputs'!$E$185*'Model Data Inputs'!$E$186*'Model Data Inputs'!$E$187),2)</f>
        <v>594.63</v>
      </c>
      <c r="K1587" s="169">
        <f t="shared" si="89"/>
        <v>939515.4</v>
      </c>
      <c r="L1587" s="153"/>
      <c r="M1587" s="153"/>
      <c r="N1587" s="153"/>
      <c r="O1587" s="153"/>
    </row>
    <row r="1588" spans="1:15" x14ac:dyDescent="0.2">
      <c r="A1588" s="168">
        <v>1581</v>
      </c>
      <c r="B1588" s="159">
        <v>594.63366392643309</v>
      </c>
      <c r="C1588" s="169">
        <f t="shared" si="88"/>
        <v>940115.82266769069</v>
      </c>
      <c r="D1588" s="153"/>
      <c r="E1588" s="153"/>
      <c r="F1588" s="153"/>
      <c r="G1588" s="153"/>
      <c r="I1588" s="168">
        <v>1581</v>
      </c>
      <c r="J1588" s="159">
        <f>ROUND(B1588*('Model Data Inputs'!$E$184*'Model Data Inputs'!$E$185*'Model Data Inputs'!$E$186*'Model Data Inputs'!$E$187),2)</f>
        <v>594.63</v>
      </c>
      <c r="K1588" s="169">
        <f t="shared" si="89"/>
        <v>940110.03</v>
      </c>
      <c r="L1588" s="153"/>
      <c r="M1588" s="153"/>
      <c r="N1588" s="153"/>
      <c r="O1588" s="153"/>
    </row>
    <row r="1589" spans="1:15" x14ac:dyDescent="0.2">
      <c r="A1589" s="168">
        <v>1582</v>
      </c>
      <c r="B1589" s="159">
        <v>594.63366392643309</v>
      </c>
      <c r="C1589" s="169">
        <f t="shared" si="88"/>
        <v>940710.4563316172</v>
      </c>
      <c r="D1589" s="153"/>
      <c r="E1589" s="153"/>
      <c r="F1589" s="153"/>
      <c r="G1589" s="153"/>
      <c r="I1589" s="168">
        <v>1582</v>
      </c>
      <c r="J1589" s="159">
        <f>ROUND(B1589*('Model Data Inputs'!$E$184*'Model Data Inputs'!$E$185*'Model Data Inputs'!$E$186*'Model Data Inputs'!$E$187),2)</f>
        <v>594.63</v>
      </c>
      <c r="K1589" s="169">
        <f t="shared" si="89"/>
        <v>940704.66</v>
      </c>
      <c r="L1589" s="153"/>
      <c r="M1589" s="153"/>
      <c r="N1589" s="153"/>
      <c r="O1589" s="153"/>
    </row>
    <row r="1590" spans="1:15" x14ac:dyDescent="0.2">
      <c r="A1590" s="168">
        <v>1583</v>
      </c>
      <c r="B1590" s="159">
        <v>594.63366392643309</v>
      </c>
      <c r="C1590" s="169">
        <f t="shared" si="88"/>
        <v>941305.08999554359</v>
      </c>
      <c r="D1590" s="153"/>
      <c r="E1590" s="153"/>
      <c r="F1590" s="153"/>
      <c r="G1590" s="153"/>
      <c r="I1590" s="168">
        <v>1583</v>
      </c>
      <c r="J1590" s="159">
        <f>ROUND(B1590*('Model Data Inputs'!$E$184*'Model Data Inputs'!$E$185*'Model Data Inputs'!$E$186*'Model Data Inputs'!$E$187),2)</f>
        <v>594.63</v>
      </c>
      <c r="K1590" s="169">
        <f t="shared" si="89"/>
        <v>941299.29</v>
      </c>
      <c r="L1590" s="153"/>
      <c r="M1590" s="153"/>
      <c r="N1590" s="153"/>
      <c r="O1590" s="153"/>
    </row>
    <row r="1591" spans="1:15" x14ac:dyDescent="0.2">
      <c r="A1591" s="168">
        <v>1584</v>
      </c>
      <c r="B1591" s="159">
        <v>594.63366392643309</v>
      </c>
      <c r="C1591" s="169">
        <f t="shared" si="88"/>
        <v>941899.72365946998</v>
      </c>
      <c r="D1591" s="153"/>
      <c r="E1591" s="153"/>
      <c r="F1591" s="153"/>
      <c r="G1591" s="153"/>
      <c r="I1591" s="168">
        <v>1584</v>
      </c>
      <c r="J1591" s="159">
        <f>ROUND(B1591*('Model Data Inputs'!$E$184*'Model Data Inputs'!$E$185*'Model Data Inputs'!$E$186*'Model Data Inputs'!$E$187),2)</f>
        <v>594.63</v>
      </c>
      <c r="K1591" s="169">
        <f t="shared" si="89"/>
        <v>941893.92</v>
      </c>
      <c r="L1591" s="153"/>
      <c r="M1591" s="153"/>
      <c r="N1591" s="153"/>
      <c r="O1591" s="153"/>
    </row>
    <row r="1592" spans="1:15" x14ac:dyDescent="0.2">
      <c r="A1592" s="168">
        <v>1585</v>
      </c>
      <c r="B1592" s="159">
        <v>594.63366392643309</v>
      </c>
      <c r="C1592" s="169">
        <f t="shared" si="88"/>
        <v>942494.35732339649</v>
      </c>
      <c r="D1592" s="153"/>
      <c r="E1592" s="153"/>
      <c r="F1592" s="153"/>
      <c r="G1592" s="153"/>
      <c r="I1592" s="168">
        <v>1585</v>
      </c>
      <c r="J1592" s="159">
        <f>ROUND(B1592*('Model Data Inputs'!$E$184*'Model Data Inputs'!$E$185*'Model Data Inputs'!$E$186*'Model Data Inputs'!$E$187),2)</f>
        <v>594.63</v>
      </c>
      <c r="K1592" s="169">
        <f t="shared" si="89"/>
        <v>942488.55</v>
      </c>
      <c r="L1592" s="153"/>
      <c r="M1592" s="153"/>
      <c r="N1592" s="153"/>
      <c r="O1592" s="153"/>
    </row>
    <row r="1593" spans="1:15" x14ac:dyDescent="0.2">
      <c r="A1593" s="168">
        <v>1586</v>
      </c>
      <c r="B1593" s="159">
        <v>594.63366392643309</v>
      </c>
      <c r="C1593" s="169">
        <f t="shared" si="88"/>
        <v>943088.99098732288</v>
      </c>
      <c r="D1593" s="153"/>
      <c r="E1593" s="153"/>
      <c r="F1593" s="153"/>
      <c r="G1593" s="153"/>
      <c r="I1593" s="168">
        <v>1586</v>
      </c>
      <c r="J1593" s="159">
        <f>ROUND(B1593*('Model Data Inputs'!$E$184*'Model Data Inputs'!$E$185*'Model Data Inputs'!$E$186*'Model Data Inputs'!$E$187),2)</f>
        <v>594.63</v>
      </c>
      <c r="K1593" s="169">
        <f t="shared" si="89"/>
        <v>943083.17999999993</v>
      </c>
      <c r="L1593" s="153"/>
      <c r="M1593" s="153"/>
      <c r="N1593" s="153"/>
      <c r="O1593" s="153"/>
    </row>
    <row r="1594" spans="1:15" x14ac:dyDescent="0.2">
      <c r="A1594" s="168">
        <v>1587</v>
      </c>
      <c r="B1594" s="159">
        <v>594.63366392643309</v>
      </c>
      <c r="C1594" s="169">
        <f t="shared" si="88"/>
        <v>943683.62465124927</v>
      </c>
      <c r="D1594" s="153"/>
      <c r="E1594" s="153"/>
      <c r="F1594" s="153"/>
      <c r="G1594" s="153"/>
      <c r="I1594" s="168">
        <v>1587</v>
      </c>
      <c r="J1594" s="159">
        <f>ROUND(B1594*('Model Data Inputs'!$E$184*'Model Data Inputs'!$E$185*'Model Data Inputs'!$E$186*'Model Data Inputs'!$E$187),2)</f>
        <v>594.63</v>
      </c>
      <c r="K1594" s="169">
        <f t="shared" si="89"/>
        <v>943677.80999999994</v>
      </c>
      <c r="L1594" s="153"/>
      <c r="M1594" s="153"/>
      <c r="N1594" s="153"/>
      <c r="O1594" s="153"/>
    </row>
    <row r="1595" spans="1:15" x14ac:dyDescent="0.2">
      <c r="A1595" s="168">
        <v>1588</v>
      </c>
      <c r="B1595" s="159">
        <v>594.63366392643309</v>
      </c>
      <c r="C1595" s="169">
        <f t="shared" si="88"/>
        <v>944278.25831517577</v>
      </c>
      <c r="D1595" s="153"/>
      <c r="E1595" s="153"/>
      <c r="F1595" s="153"/>
      <c r="G1595" s="153"/>
      <c r="I1595" s="168">
        <v>1588</v>
      </c>
      <c r="J1595" s="159">
        <f>ROUND(B1595*('Model Data Inputs'!$E$184*'Model Data Inputs'!$E$185*'Model Data Inputs'!$E$186*'Model Data Inputs'!$E$187),2)</f>
        <v>594.63</v>
      </c>
      <c r="K1595" s="169">
        <f t="shared" si="89"/>
        <v>944272.44</v>
      </c>
      <c r="L1595" s="153"/>
      <c r="M1595" s="153"/>
      <c r="N1595" s="153"/>
      <c r="O1595" s="153"/>
    </row>
    <row r="1596" spans="1:15" x14ac:dyDescent="0.2">
      <c r="A1596" s="168">
        <v>1589</v>
      </c>
      <c r="B1596" s="159">
        <v>594.63366392643309</v>
      </c>
      <c r="C1596" s="169">
        <f t="shared" si="88"/>
        <v>944872.89197910216</v>
      </c>
      <c r="D1596" s="153"/>
      <c r="E1596" s="153"/>
      <c r="F1596" s="153"/>
      <c r="G1596" s="153"/>
      <c r="I1596" s="168">
        <v>1589</v>
      </c>
      <c r="J1596" s="159">
        <f>ROUND(B1596*('Model Data Inputs'!$E$184*'Model Data Inputs'!$E$185*'Model Data Inputs'!$E$186*'Model Data Inputs'!$E$187),2)</f>
        <v>594.63</v>
      </c>
      <c r="K1596" s="169">
        <f t="shared" si="89"/>
        <v>944867.07</v>
      </c>
      <c r="L1596" s="153"/>
      <c r="M1596" s="153"/>
      <c r="N1596" s="153"/>
      <c r="O1596" s="153"/>
    </row>
    <row r="1597" spans="1:15" x14ac:dyDescent="0.2">
      <c r="A1597" s="168">
        <v>1590</v>
      </c>
      <c r="B1597" s="159">
        <v>594.63366392643309</v>
      </c>
      <c r="C1597" s="169">
        <f t="shared" si="88"/>
        <v>945467.52564302855</v>
      </c>
      <c r="D1597" s="153"/>
      <c r="E1597" s="153"/>
      <c r="F1597" s="153"/>
      <c r="G1597" s="153"/>
      <c r="I1597" s="168">
        <v>1590</v>
      </c>
      <c r="J1597" s="159">
        <f>ROUND(B1597*('Model Data Inputs'!$E$184*'Model Data Inputs'!$E$185*'Model Data Inputs'!$E$186*'Model Data Inputs'!$E$187),2)</f>
        <v>594.63</v>
      </c>
      <c r="K1597" s="169">
        <f t="shared" si="89"/>
        <v>945461.7</v>
      </c>
      <c r="L1597" s="153"/>
      <c r="M1597" s="153"/>
      <c r="N1597" s="153"/>
      <c r="O1597" s="153"/>
    </row>
    <row r="1598" spans="1:15" x14ac:dyDescent="0.2">
      <c r="A1598" s="168">
        <v>1591</v>
      </c>
      <c r="B1598" s="159">
        <v>594.63366392643309</v>
      </c>
      <c r="C1598" s="169">
        <f t="shared" si="88"/>
        <v>946062.15930695506</v>
      </c>
      <c r="D1598" s="153"/>
      <c r="E1598" s="153"/>
      <c r="F1598" s="153"/>
      <c r="G1598" s="153"/>
      <c r="I1598" s="168">
        <v>1591</v>
      </c>
      <c r="J1598" s="159">
        <f>ROUND(B1598*('Model Data Inputs'!$E$184*'Model Data Inputs'!$E$185*'Model Data Inputs'!$E$186*'Model Data Inputs'!$E$187),2)</f>
        <v>594.63</v>
      </c>
      <c r="K1598" s="169">
        <f t="shared" si="89"/>
        <v>946056.33</v>
      </c>
      <c r="L1598" s="153"/>
      <c r="M1598" s="153"/>
      <c r="N1598" s="153"/>
      <c r="O1598" s="153"/>
    </row>
    <row r="1599" spans="1:15" x14ac:dyDescent="0.2">
      <c r="A1599" s="168">
        <v>1592</v>
      </c>
      <c r="B1599" s="159">
        <v>594.63366392643309</v>
      </c>
      <c r="C1599" s="169">
        <f t="shared" si="88"/>
        <v>946656.79297088145</v>
      </c>
      <c r="D1599" s="153"/>
      <c r="E1599" s="153"/>
      <c r="F1599" s="153"/>
      <c r="G1599" s="153"/>
      <c r="I1599" s="168">
        <v>1592</v>
      </c>
      <c r="J1599" s="159">
        <f>ROUND(B1599*('Model Data Inputs'!$E$184*'Model Data Inputs'!$E$185*'Model Data Inputs'!$E$186*'Model Data Inputs'!$E$187),2)</f>
        <v>594.63</v>
      </c>
      <c r="K1599" s="169">
        <f t="shared" si="89"/>
        <v>946650.96</v>
      </c>
      <c r="L1599" s="153"/>
      <c r="M1599" s="153"/>
      <c r="N1599" s="153"/>
      <c r="O1599" s="153"/>
    </row>
    <row r="1600" spans="1:15" x14ac:dyDescent="0.2">
      <c r="A1600" s="168">
        <v>1593</v>
      </c>
      <c r="B1600" s="159">
        <v>594.63366392643309</v>
      </c>
      <c r="C1600" s="169">
        <f t="shared" si="88"/>
        <v>947251.42663480795</v>
      </c>
      <c r="D1600" s="153"/>
      <c r="E1600" s="153"/>
      <c r="F1600" s="153"/>
      <c r="G1600" s="153"/>
      <c r="I1600" s="168">
        <v>1593</v>
      </c>
      <c r="J1600" s="159">
        <f>ROUND(B1600*('Model Data Inputs'!$E$184*'Model Data Inputs'!$E$185*'Model Data Inputs'!$E$186*'Model Data Inputs'!$E$187),2)</f>
        <v>594.63</v>
      </c>
      <c r="K1600" s="169">
        <f t="shared" si="89"/>
        <v>947245.59</v>
      </c>
      <c r="L1600" s="153"/>
      <c r="M1600" s="153"/>
      <c r="N1600" s="153"/>
      <c r="O1600" s="153"/>
    </row>
    <row r="1601" spans="1:15" x14ac:dyDescent="0.2">
      <c r="A1601" s="168">
        <v>1594</v>
      </c>
      <c r="B1601" s="159">
        <v>594.63366392643309</v>
      </c>
      <c r="C1601" s="169">
        <f t="shared" si="88"/>
        <v>947846.06029873434</v>
      </c>
      <c r="D1601" s="153"/>
      <c r="E1601" s="153"/>
      <c r="F1601" s="153"/>
      <c r="G1601" s="153"/>
      <c r="I1601" s="168">
        <v>1594</v>
      </c>
      <c r="J1601" s="159">
        <f>ROUND(B1601*('Model Data Inputs'!$E$184*'Model Data Inputs'!$E$185*'Model Data Inputs'!$E$186*'Model Data Inputs'!$E$187),2)</f>
        <v>594.63</v>
      </c>
      <c r="K1601" s="169">
        <f t="shared" si="89"/>
        <v>947840.22</v>
      </c>
      <c r="L1601" s="153"/>
      <c r="M1601" s="153"/>
      <c r="N1601" s="153"/>
      <c r="O1601" s="153"/>
    </row>
    <row r="1602" spans="1:15" x14ac:dyDescent="0.2">
      <c r="A1602" s="168">
        <v>1595</v>
      </c>
      <c r="B1602" s="159">
        <v>594.63366392643309</v>
      </c>
      <c r="C1602" s="169">
        <f t="shared" si="88"/>
        <v>948440.69396266073</v>
      </c>
      <c r="D1602" s="153"/>
      <c r="E1602" s="153"/>
      <c r="F1602" s="153"/>
      <c r="G1602" s="153"/>
      <c r="I1602" s="168">
        <v>1595</v>
      </c>
      <c r="J1602" s="159">
        <f>ROUND(B1602*('Model Data Inputs'!$E$184*'Model Data Inputs'!$E$185*'Model Data Inputs'!$E$186*'Model Data Inputs'!$E$187),2)</f>
        <v>594.63</v>
      </c>
      <c r="K1602" s="169">
        <f t="shared" si="89"/>
        <v>948434.85</v>
      </c>
      <c r="L1602" s="153"/>
      <c r="M1602" s="153"/>
      <c r="N1602" s="153"/>
      <c r="O1602" s="153"/>
    </row>
    <row r="1603" spans="1:15" x14ac:dyDescent="0.2">
      <c r="A1603" s="168">
        <v>1596</v>
      </c>
      <c r="B1603" s="159">
        <v>594.63366392643309</v>
      </c>
      <c r="C1603" s="169">
        <f t="shared" si="88"/>
        <v>949035.32762658724</v>
      </c>
      <c r="D1603" s="153"/>
      <c r="E1603" s="153"/>
      <c r="F1603" s="153"/>
      <c r="G1603" s="153"/>
      <c r="I1603" s="168">
        <v>1596</v>
      </c>
      <c r="J1603" s="159">
        <f>ROUND(B1603*('Model Data Inputs'!$E$184*'Model Data Inputs'!$E$185*'Model Data Inputs'!$E$186*'Model Data Inputs'!$E$187),2)</f>
        <v>594.63</v>
      </c>
      <c r="K1603" s="169">
        <f t="shared" si="89"/>
        <v>949029.48</v>
      </c>
      <c r="L1603" s="153"/>
      <c r="M1603" s="153"/>
      <c r="N1603" s="153"/>
      <c r="O1603" s="153"/>
    </row>
    <row r="1604" spans="1:15" x14ac:dyDescent="0.2">
      <c r="A1604" s="168">
        <v>1597</v>
      </c>
      <c r="B1604" s="159">
        <v>594.63366392643309</v>
      </c>
      <c r="C1604" s="169">
        <f t="shared" si="88"/>
        <v>949629.96129051363</v>
      </c>
      <c r="D1604" s="153"/>
      <c r="E1604" s="153"/>
      <c r="F1604" s="153"/>
      <c r="G1604" s="153"/>
      <c r="I1604" s="168">
        <v>1597</v>
      </c>
      <c r="J1604" s="159">
        <f>ROUND(B1604*('Model Data Inputs'!$E$184*'Model Data Inputs'!$E$185*'Model Data Inputs'!$E$186*'Model Data Inputs'!$E$187),2)</f>
        <v>594.63</v>
      </c>
      <c r="K1604" s="169">
        <f t="shared" si="89"/>
        <v>949624.11</v>
      </c>
      <c r="L1604" s="153"/>
      <c r="M1604" s="153"/>
      <c r="N1604" s="153"/>
      <c r="O1604" s="153"/>
    </row>
    <row r="1605" spans="1:15" x14ac:dyDescent="0.2">
      <c r="A1605" s="168">
        <v>1598</v>
      </c>
      <c r="B1605" s="159">
        <v>594.63366392643309</v>
      </c>
      <c r="C1605" s="169">
        <f t="shared" si="88"/>
        <v>950224.59495444002</v>
      </c>
      <c r="D1605" s="153"/>
      <c r="E1605" s="153"/>
      <c r="F1605" s="153"/>
      <c r="G1605" s="153"/>
      <c r="I1605" s="168">
        <v>1598</v>
      </c>
      <c r="J1605" s="159">
        <f>ROUND(B1605*('Model Data Inputs'!$E$184*'Model Data Inputs'!$E$185*'Model Data Inputs'!$E$186*'Model Data Inputs'!$E$187),2)</f>
        <v>594.63</v>
      </c>
      <c r="K1605" s="169">
        <f t="shared" si="89"/>
        <v>950218.74</v>
      </c>
      <c r="L1605" s="153"/>
      <c r="M1605" s="153"/>
      <c r="N1605" s="153"/>
      <c r="O1605" s="153"/>
    </row>
    <row r="1606" spans="1:15" x14ac:dyDescent="0.2">
      <c r="A1606" s="168">
        <v>1599</v>
      </c>
      <c r="B1606" s="159">
        <v>594.63366392643309</v>
      </c>
      <c r="C1606" s="169">
        <f t="shared" si="88"/>
        <v>950819.22861836653</v>
      </c>
      <c r="D1606" s="153"/>
      <c r="E1606" s="153"/>
      <c r="F1606" s="153"/>
      <c r="G1606" s="153"/>
      <c r="I1606" s="168">
        <v>1599</v>
      </c>
      <c r="J1606" s="159">
        <f>ROUND(B1606*('Model Data Inputs'!$E$184*'Model Data Inputs'!$E$185*'Model Data Inputs'!$E$186*'Model Data Inputs'!$E$187),2)</f>
        <v>594.63</v>
      </c>
      <c r="K1606" s="169">
        <f t="shared" si="89"/>
        <v>950813.37</v>
      </c>
      <c r="L1606" s="153"/>
      <c r="M1606" s="153"/>
      <c r="N1606" s="153"/>
      <c r="O1606" s="153"/>
    </row>
    <row r="1607" spans="1:15" x14ac:dyDescent="0.2">
      <c r="A1607" s="168">
        <v>1600</v>
      </c>
      <c r="B1607" s="159">
        <v>594.63366392643309</v>
      </c>
      <c r="C1607" s="169">
        <f t="shared" si="88"/>
        <v>951413.86228229292</v>
      </c>
      <c r="D1607" s="153"/>
      <c r="E1607" s="153"/>
      <c r="F1607" s="153"/>
      <c r="G1607" s="153"/>
      <c r="I1607" s="168">
        <v>1600</v>
      </c>
      <c r="J1607" s="159">
        <f>ROUND(B1607*('Model Data Inputs'!$E$184*'Model Data Inputs'!$E$185*'Model Data Inputs'!$E$186*'Model Data Inputs'!$E$187),2)</f>
        <v>594.63</v>
      </c>
      <c r="K1607" s="169">
        <f t="shared" si="89"/>
        <v>951408</v>
      </c>
      <c r="L1607" s="153"/>
      <c r="M1607" s="153"/>
      <c r="N1607" s="153"/>
      <c r="O1607" s="153"/>
    </row>
    <row r="1608" spans="1:15" x14ac:dyDescent="0.2">
      <c r="A1608" s="168">
        <v>1601</v>
      </c>
      <c r="B1608" s="159">
        <v>594.63366392643309</v>
      </c>
      <c r="C1608" s="169">
        <f t="shared" ref="C1608:C1671" si="90">A1608*B1608</f>
        <v>952008.49594621942</v>
      </c>
      <c r="D1608" s="153"/>
      <c r="E1608" s="153"/>
      <c r="F1608" s="153"/>
      <c r="G1608" s="153"/>
      <c r="I1608" s="168">
        <v>1601</v>
      </c>
      <c r="J1608" s="159">
        <f>ROUND(B1608*('Model Data Inputs'!$E$184*'Model Data Inputs'!$E$185*'Model Data Inputs'!$E$186*'Model Data Inputs'!$E$187),2)</f>
        <v>594.63</v>
      </c>
      <c r="K1608" s="169">
        <f t="shared" ref="K1608:K1671" si="91">I1608*J1608</f>
        <v>952002.63</v>
      </c>
      <c r="L1608" s="153"/>
      <c r="M1608" s="153"/>
      <c r="N1608" s="153"/>
      <c r="O1608" s="153"/>
    </row>
    <row r="1609" spans="1:15" x14ac:dyDescent="0.2">
      <c r="A1609" s="168">
        <v>1602</v>
      </c>
      <c r="B1609" s="159">
        <v>594.63366392643309</v>
      </c>
      <c r="C1609" s="169">
        <f t="shared" si="90"/>
        <v>952603.12961014581</v>
      </c>
      <c r="D1609" s="153"/>
      <c r="E1609" s="153"/>
      <c r="F1609" s="153"/>
      <c r="G1609" s="153"/>
      <c r="I1609" s="168">
        <v>1602</v>
      </c>
      <c r="J1609" s="159">
        <f>ROUND(B1609*('Model Data Inputs'!$E$184*'Model Data Inputs'!$E$185*'Model Data Inputs'!$E$186*'Model Data Inputs'!$E$187),2)</f>
        <v>594.63</v>
      </c>
      <c r="K1609" s="169">
        <f t="shared" si="91"/>
        <v>952597.26</v>
      </c>
      <c r="L1609" s="153"/>
      <c r="M1609" s="153"/>
      <c r="N1609" s="153"/>
      <c r="O1609" s="153"/>
    </row>
    <row r="1610" spans="1:15" x14ac:dyDescent="0.2">
      <c r="A1610" s="168">
        <v>1603</v>
      </c>
      <c r="B1610" s="159">
        <v>594.63366392643309</v>
      </c>
      <c r="C1610" s="169">
        <f t="shared" si="90"/>
        <v>953197.7632740722</v>
      </c>
      <c r="D1610" s="153"/>
      <c r="E1610" s="153"/>
      <c r="F1610" s="153"/>
      <c r="G1610" s="153"/>
      <c r="I1610" s="168">
        <v>1603</v>
      </c>
      <c r="J1610" s="159">
        <f>ROUND(B1610*('Model Data Inputs'!$E$184*'Model Data Inputs'!$E$185*'Model Data Inputs'!$E$186*'Model Data Inputs'!$E$187),2)</f>
        <v>594.63</v>
      </c>
      <c r="K1610" s="169">
        <f t="shared" si="91"/>
        <v>953191.89</v>
      </c>
      <c r="L1610" s="153"/>
      <c r="M1610" s="153"/>
      <c r="N1610" s="153"/>
      <c r="O1610" s="153"/>
    </row>
    <row r="1611" spans="1:15" x14ac:dyDescent="0.2">
      <c r="A1611" s="168">
        <v>1604</v>
      </c>
      <c r="B1611" s="159">
        <v>594.63366392643309</v>
      </c>
      <c r="C1611" s="169">
        <f t="shared" si="90"/>
        <v>953792.39693799871</v>
      </c>
      <c r="D1611" s="153"/>
      <c r="E1611" s="153"/>
      <c r="F1611" s="153"/>
      <c r="G1611" s="153"/>
      <c r="I1611" s="168">
        <v>1604</v>
      </c>
      <c r="J1611" s="159">
        <f>ROUND(B1611*('Model Data Inputs'!$E$184*'Model Data Inputs'!$E$185*'Model Data Inputs'!$E$186*'Model Data Inputs'!$E$187),2)</f>
        <v>594.63</v>
      </c>
      <c r="K1611" s="169">
        <f t="shared" si="91"/>
        <v>953786.52</v>
      </c>
      <c r="L1611" s="153"/>
      <c r="M1611" s="153"/>
      <c r="N1611" s="153"/>
      <c r="O1611" s="153"/>
    </row>
    <row r="1612" spans="1:15" x14ac:dyDescent="0.2">
      <c r="A1612" s="168">
        <v>1605</v>
      </c>
      <c r="B1612" s="159">
        <v>594.63366392643309</v>
      </c>
      <c r="C1612" s="169">
        <f t="shared" si="90"/>
        <v>954387.0306019251</v>
      </c>
      <c r="D1612" s="153"/>
      <c r="E1612" s="153"/>
      <c r="F1612" s="153"/>
      <c r="G1612" s="153"/>
      <c r="I1612" s="168">
        <v>1605</v>
      </c>
      <c r="J1612" s="159">
        <f>ROUND(B1612*('Model Data Inputs'!$E$184*'Model Data Inputs'!$E$185*'Model Data Inputs'!$E$186*'Model Data Inputs'!$E$187),2)</f>
        <v>594.63</v>
      </c>
      <c r="K1612" s="169">
        <f t="shared" si="91"/>
        <v>954381.15</v>
      </c>
      <c r="L1612" s="153"/>
      <c r="M1612" s="153"/>
      <c r="N1612" s="153"/>
      <c r="O1612" s="153"/>
    </row>
    <row r="1613" spans="1:15" x14ac:dyDescent="0.2">
      <c r="A1613" s="168">
        <v>1606</v>
      </c>
      <c r="B1613" s="159">
        <v>594.63366392643309</v>
      </c>
      <c r="C1613" s="169">
        <f t="shared" si="90"/>
        <v>954981.66426585149</v>
      </c>
      <c r="D1613" s="153"/>
      <c r="E1613" s="153"/>
      <c r="F1613" s="153"/>
      <c r="G1613" s="153"/>
      <c r="I1613" s="168">
        <v>1606</v>
      </c>
      <c r="J1613" s="159">
        <f>ROUND(B1613*('Model Data Inputs'!$E$184*'Model Data Inputs'!$E$185*'Model Data Inputs'!$E$186*'Model Data Inputs'!$E$187),2)</f>
        <v>594.63</v>
      </c>
      <c r="K1613" s="169">
        <f t="shared" si="91"/>
        <v>954975.78</v>
      </c>
      <c r="L1613" s="153"/>
      <c r="M1613" s="153"/>
      <c r="N1613" s="153"/>
      <c r="O1613" s="153"/>
    </row>
    <row r="1614" spans="1:15" x14ac:dyDescent="0.2">
      <c r="A1614" s="168">
        <v>1607</v>
      </c>
      <c r="B1614" s="159">
        <v>594.63366392643309</v>
      </c>
      <c r="C1614" s="169">
        <f t="shared" si="90"/>
        <v>955576.297929778</v>
      </c>
      <c r="D1614" s="153"/>
      <c r="E1614" s="153"/>
      <c r="F1614" s="153"/>
      <c r="G1614" s="153"/>
      <c r="I1614" s="168">
        <v>1607</v>
      </c>
      <c r="J1614" s="159">
        <f>ROUND(B1614*('Model Data Inputs'!$E$184*'Model Data Inputs'!$E$185*'Model Data Inputs'!$E$186*'Model Data Inputs'!$E$187),2)</f>
        <v>594.63</v>
      </c>
      <c r="K1614" s="169">
        <f t="shared" si="91"/>
        <v>955570.41</v>
      </c>
      <c r="L1614" s="153"/>
      <c r="M1614" s="153"/>
      <c r="N1614" s="153"/>
      <c r="O1614" s="153"/>
    </row>
    <row r="1615" spans="1:15" x14ac:dyDescent="0.2">
      <c r="A1615" s="168">
        <v>1608</v>
      </c>
      <c r="B1615" s="159">
        <v>594.63366392643309</v>
      </c>
      <c r="C1615" s="169">
        <f t="shared" si="90"/>
        <v>956170.93159370439</v>
      </c>
      <c r="D1615" s="153"/>
      <c r="E1615" s="153"/>
      <c r="F1615" s="153"/>
      <c r="G1615" s="153"/>
      <c r="I1615" s="168">
        <v>1608</v>
      </c>
      <c r="J1615" s="159">
        <f>ROUND(B1615*('Model Data Inputs'!$E$184*'Model Data Inputs'!$E$185*'Model Data Inputs'!$E$186*'Model Data Inputs'!$E$187),2)</f>
        <v>594.63</v>
      </c>
      <c r="K1615" s="169">
        <f t="shared" si="91"/>
        <v>956165.04</v>
      </c>
      <c r="L1615" s="153"/>
      <c r="M1615" s="153"/>
      <c r="N1615" s="153"/>
      <c r="O1615" s="153"/>
    </row>
    <row r="1616" spans="1:15" x14ac:dyDescent="0.2">
      <c r="A1616" s="168">
        <v>1609</v>
      </c>
      <c r="B1616" s="159">
        <v>594.63366392643309</v>
      </c>
      <c r="C1616" s="169">
        <f t="shared" si="90"/>
        <v>956765.56525763089</v>
      </c>
      <c r="D1616" s="153"/>
      <c r="E1616" s="153"/>
      <c r="F1616" s="153"/>
      <c r="G1616" s="153"/>
      <c r="I1616" s="168">
        <v>1609</v>
      </c>
      <c r="J1616" s="159">
        <f>ROUND(B1616*('Model Data Inputs'!$E$184*'Model Data Inputs'!$E$185*'Model Data Inputs'!$E$186*'Model Data Inputs'!$E$187),2)</f>
        <v>594.63</v>
      </c>
      <c r="K1616" s="169">
        <f t="shared" si="91"/>
        <v>956759.67</v>
      </c>
      <c r="L1616" s="153"/>
      <c r="M1616" s="153"/>
      <c r="N1616" s="153"/>
      <c r="O1616" s="153"/>
    </row>
    <row r="1617" spans="1:15" x14ac:dyDescent="0.2">
      <c r="A1617" s="168">
        <v>1610</v>
      </c>
      <c r="B1617" s="159">
        <v>594.63366392643309</v>
      </c>
      <c r="C1617" s="169">
        <f t="shared" si="90"/>
        <v>957360.19892155728</v>
      </c>
      <c r="D1617" s="153"/>
      <c r="E1617" s="153"/>
      <c r="F1617" s="153"/>
      <c r="G1617" s="153"/>
      <c r="I1617" s="168">
        <v>1610</v>
      </c>
      <c r="J1617" s="159">
        <f>ROUND(B1617*('Model Data Inputs'!$E$184*'Model Data Inputs'!$E$185*'Model Data Inputs'!$E$186*'Model Data Inputs'!$E$187),2)</f>
        <v>594.63</v>
      </c>
      <c r="K1617" s="169">
        <f t="shared" si="91"/>
        <v>957354.3</v>
      </c>
      <c r="L1617" s="153"/>
      <c r="M1617" s="153"/>
      <c r="N1617" s="153"/>
      <c r="O1617" s="153"/>
    </row>
    <row r="1618" spans="1:15" x14ac:dyDescent="0.2">
      <c r="A1618" s="168">
        <v>1611</v>
      </c>
      <c r="B1618" s="159">
        <v>594.63366392643309</v>
      </c>
      <c r="C1618" s="169">
        <f t="shared" si="90"/>
        <v>957954.83258548367</v>
      </c>
      <c r="D1618" s="153"/>
      <c r="E1618" s="153"/>
      <c r="F1618" s="153"/>
      <c r="G1618" s="153"/>
      <c r="I1618" s="168">
        <v>1611</v>
      </c>
      <c r="J1618" s="159">
        <f>ROUND(B1618*('Model Data Inputs'!$E$184*'Model Data Inputs'!$E$185*'Model Data Inputs'!$E$186*'Model Data Inputs'!$E$187),2)</f>
        <v>594.63</v>
      </c>
      <c r="K1618" s="169">
        <f t="shared" si="91"/>
        <v>957948.92999999993</v>
      </c>
      <c r="L1618" s="153"/>
      <c r="M1618" s="153"/>
      <c r="N1618" s="153"/>
      <c r="O1618" s="153"/>
    </row>
    <row r="1619" spans="1:15" x14ac:dyDescent="0.2">
      <c r="A1619" s="168">
        <v>1612</v>
      </c>
      <c r="B1619" s="159">
        <v>594.63366392643309</v>
      </c>
      <c r="C1619" s="169">
        <f t="shared" si="90"/>
        <v>958549.46624941018</v>
      </c>
      <c r="D1619" s="153"/>
      <c r="E1619" s="153"/>
      <c r="F1619" s="153"/>
      <c r="G1619" s="153"/>
      <c r="I1619" s="168">
        <v>1612</v>
      </c>
      <c r="J1619" s="159">
        <f>ROUND(B1619*('Model Data Inputs'!$E$184*'Model Data Inputs'!$E$185*'Model Data Inputs'!$E$186*'Model Data Inputs'!$E$187),2)</f>
        <v>594.63</v>
      </c>
      <c r="K1619" s="169">
        <f t="shared" si="91"/>
        <v>958543.55999999994</v>
      </c>
      <c r="L1619" s="153"/>
      <c r="M1619" s="153"/>
      <c r="N1619" s="153"/>
      <c r="O1619" s="153"/>
    </row>
    <row r="1620" spans="1:15" x14ac:dyDescent="0.2">
      <c r="A1620" s="168">
        <v>1613</v>
      </c>
      <c r="B1620" s="159">
        <v>594.63366392643309</v>
      </c>
      <c r="C1620" s="169">
        <f t="shared" si="90"/>
        <v>959144.09991333657</v>
      </c>
      <c r="D1620" s="153"/>
      <c r="E1620" s="153"/>
      <c r="F1620" s="153"/>
      <c r="G1620" s="153"/>
      <c r="I1620" s="168">
        <v>1613</v>
      </c>
      <c r="J1620" s="159">
        <f>ROUND(B1620*('Model Data Inputs'!$E$184*'Model Data Inputs'!$E$185*'Model Data Inputs'!$E$186*'Model Data Inputs'!$E$187),2)</f>
        <v>594.63</v>
      </c>
      <c r="K1620" s="169">
        <f t="shared" si="91"/>
        <v>959138.19</v>
      </c>
      <c r="L1620" s="153"/>
      <c r="M1620" s="153"/>
      <c r="N1620" s="153"/>
      <c r="O1620" s="153"/>
    </row>
    <row r="1621" spans="1:15" x14ac:dyDescent="0.2">
      <c r="A1621" s="168">
        <v>1614</v>
      </c>
      <c r="B1621" s="159">
        <v>594.63366392643309</v>
      </c>
      <c r="C1621" s="169">
        <f t="shared" si="90"/>
        <v>959738.73357726296</v>
      </c>
      <c r="D1621" s="153"/>
      <c r="E1621" s="153"/>
      <c r="F1621" s="153"/>
      <c r="G1621" s="153"/>
      <c r="I1621" s="168">
        <v>1614</v>
      </c>
      <c r="J1621" s="159">
        <f>ROUND(B1621*('Model Data Inputs'!$E$184*'Model Data Inputs'!$E$185*'Model Data Inputs'!$E$186*'Model Data Inputs'!$E$187),2)</f>
        <v>594.63</v>
      </c>
      <c r="K1621" s="169">
        <f t="shared" si="91"/>
        <v>959732.82</v>
      </c>
      <c r="L1621" s="153"/>
      <c r="M1621" s="153"/>
      <c r="N1621" s="153"/>
      <c r="O1621" s="153"/>
    </row>
    <row r="1622" spans="1:15" x14ac:dyDescent="0.2">
      <c r="A1622" s="168">
        <v>1615</v>
      </c>
      <c r="B1622" s="159">
        <v>594.63366392643309</v>
      </c>
      <c r="C1622" s="169">
        <f t="shared" si="90"/>
        <v>960333.36724118947</v>
      </c>
      <c r="D1622" s="153"/>
      <c r="E1622" s="153"/>
      <c r="F1622" s="153"/>
      <c r="G1622" s="153"/>
      <c r="I1622" s="168">
        <v>1615</v>
      </c>
      <c r="J1622" s="159">
        <f>ROUND(B1622*('Model Data Inputs'!$E$184*'Model Data Inputs'!$E$185*'Model Data Inputs'!$E$186*'Model Data Inputs'!$E$187),2)</f>
        <v>594.63</v>
      </c>
      <c r="K1622" s="169">
        <f t="shared" si="91"/>
        <v>960327.45</v>
      </c>
      <c r="L1622" s="153"/>
      <c r="M1622" s="153"/>
      <c r="N1622" s="153"/>
      <c r="O1622" s="153"/>
    </row>
    <row r="1623" spans="1:15" x14ac:dyDescent="0.2">
      <c r="A1623" s="168">
        <v>1616</v>
      </c>
      <c r="B1623" s="159">
        <v>594.63366392643309</v>
      </c>
      <c r="C1623" s="169">
        <f t="shared" si="90"/>
        <v>960928.00090511586</v>
      </c>
      <c r="D1623" s="153"/>
      <c r="E1623" s="153"/>
      <c r="F1623" s="153"/>
      <c r="G1623" s="153"/>
      <c r="I1623" s="168">
        <v>1616</v>
      </c>
      <c r="J1623" s="159">
        <f>ROUND(B1623*('Model Data Inputs'!$E$184*'Model Data Inputs'!$E$185*'Model Data Inputs'!$E$186*'Model Data Inputs'!$E$187),2)</f>
        <v>594.63</v>
      </c>
      <c r="K1623" s="169">
        <f t="shared" si="91"/>
        <v>960922.08</v>
      </c>
      <c r="L1623" s="153"/>
      <c r="M1623" s="153"/>
      <c r="N1623" s="153"/>
      <c r="O1623" s="153"/>
    </row>
    <row r="1624" spans="1:15" x14ac:dyDescent="0.2">
      <c r="A1624" s="168">
        <v>1617</v>
      </c>
      <c r="B1624" s="159">
        <v>594.63366392643309</v>
      </c>
      <c r="C1624" s="169">
        <f t="shared" si="90"/>
        <v>961522.63456904225</v>
      </c>
      <c r="D1624" s="153"/>
      <c r="E1624" s="153"/>
      <c r="F1624" s="153"/>
      <c r="G1624" s="153"/>
      <c r="I1624" s="168">
        <v>1617</v>
      </c>
      <c r="J1624" s="159">
        <f>ROUND(B1624*('Model Data Inputs'!$E$184*'Model Data Inputs'!$E$185*'Model Data Inputs'!$E$186*'Model Data Inputs'!$E$187),2)</f>
        <v>594.63</v>
      </c>
      <c r="K1624" s="169">
        <f t="shared" si="91"/>
        <v>961516.71</v>
      </c>
      <c r="L1624" s="153"/>
      <c r="M1624" s="153"/>
      <c r="N1624" s="153"/>
      <c r="O1624" s="153"/>
    </row>
    <row r="1625" spans="1:15" x14ac:dyDescent="0.2">
      <c r="A1625" s="168">
        <v>1618</v>
      </c>
      <c r="B1625" s="159">
        <v>594.63366392643309</v>
      </c>
      <c r="C1625" s="169">
        <f t="shared" si="90"/>
        <v>962117.26823296875</v>
      </c>
      <c r="D1625" s="153"/>
      <c r="E1625" s="153"/>
      <c r="F1625" s="153"/>
      <c r="G1625" s="153"/>
      <c r="I1625" s="168">
        <v>1618</v>
      </c>
      <c r="J1625" s="159">
        <f>ROUND(B1625*('Model Data Inputs'!$E$184*'Model Data Inputs'!$E$185*'Model Data Inputs'!$E$186*'Model Data Inputs'!$E$187),2)</f>
        <v>594.63</v>
      </c>
      <c r="K1625" s="169">
        <f t="shared" si="91"/>
        <v>962111.34</v>
      </c>
      <c r="L1625" s="153"/>
      <c r="M1625" s="153"/>
      <c r="N1625" s="153"/>
      <c r="O1625" s="153"/>
    </row>
    <row r="1626" spans="1:15" x14ac:dyDescent="0.2">
      <c r="A1626" s="168">
        <v>1619</v>
      </c>
      <c r="B1626" s="159">
        <v>594.63366392643309</v>
      </c>
      <c r="C1626" s="169">
        <f t="shared" si="90"/>
        <v>962711.90189689514</v>
      </c>
      <c r="D1626" s="153"/>
      <c r="E1626" s="153"/>
      <c r="F1626" s="153"/>
      <c r="G1626" s="153"/>
      <c r="I1626" s="168">
        <v>1619</v>
      </c>
      <c r="J1626" s="159">
        <f>ROUND(B1626*('Model Data Inputs'!$E$184*'Model Data Inputs'!$E$185*'Model Data Inputs'!$E$186*'Model Data Inputs'!$E$187),2)</f>
        <v>594.63</v>
      </c>
      <c r="K1626" s="169">
        <f t="shared" si="91"/>
        <v>962705.97</v>
      </c>
      <c r="L1626" s="153"/>
      <c r="M1626" s="153"/>
      <c r="N1626" s="153"/>
      <c r="O1626" s="153"/>
    </row>
    <row r="1627" spans="1:15" x14ac:dyDescent="0.2">
      <c r="A1627" s="168">
        <v>1620</v>
      </c>
      <c r="B1627" s="159">
        <v>594.63366392643309</v>
      </c>
      <c r="C1627" s="169">
        <f t="shared" si="90"/>
        <v>963306.53556082165</v>
      </c>
      <c r="D1627" s="153"/>
      <c r="E1627" s="153"/>
      <c r="F1627" s="153"/>
      <c r="G1627" s="153"/>
      <c r="I1627" s="168">
        <v>1620</v>
      </c>
      <c r="J1627" s="159">
        <f>ROUND(B1627*('Model Data Inputs'!$E$184*'Model Data Inputs'!$E$185*'Model Data Inputs'!$E$186*'Model Data Inputs'!$E$187),2)</f>
        <v>594.63</v>
      </c>
      <c r="K1627" s="169">
        <f t="shared" si="91"/>
        <v>963300.6</v>
      </c>
      <c r="L1627" s="153"/>
      <c r="M1627" s="153"/>
      <c r="N1627" s="153"/>
      <c r="O1627" s="153"/>
    </row>
    <row r="1628" spans="1:15" x14ac:dyDescent="0.2">
      <c r="A1628" s="168">
        <v>1621</v>
      </c>
      <c r="B1628" s="159">
        <v>594.63366392643309</v>
      </c>
      <c r="C1628" s="169">
        <f t="shared" si="90"/>
        <v>963901.16922474804</v>
      </c>
      <c r="D1628" s="153"/>
      <c r="E1628" s="153"/>
      <c r="F1628" s="153"/>
      <c r="G1628" s="153"/>
      <c r="I1628" s="168">
        <v>1621</v>
      </c>
      <c r="J1628" s="159">
        <f>ROUND(B1628*('Model Data Inputs'!$E$184*'Model Data Inputs'!$E$185*'Model Data Inputs'!$E$186*'Model Data Inputs'!$E$187),2)</f>
        <v>594.63</v>
      </c>
      <c r="K1628" s="169">
        <f t="shared" si="91"/>
        <v>963895.23</v>
      </c>
      <c r="L1628" s="153"/>
      <c r="M1628" s="153"/>
      <c r="N1628" s="153"/>
      <c r="O1628" s="153"/>
    </row>
    <row r="1629" spans="1:15" x14ac:dyDescent="0.2">
      <c r="A1629" s="168">
        <v>1622</v>
      </c>
      <c r="B1629" s="159">
        <v>594.63366392643309</v>
      </c>
      <c r="C1629" s="169">
        <f t="shared" si="90"/>
        <v>964495.80288867443</v>
      </c>
      <c r="D1629" s="153"/>
      <c r="E1629" s="153"/>
      <c r="F1629" s="153"/>
      <c r="G1629" s="153"/>
      <c r="I1629" s="168">
        <v>1622</v>
      </c>
      <c r="J1629" s="159">
        <f>ROUND(B1629*('Model Data Inputs'!$E$184*'Model Data Inputs'!$E$185*'Model Data Inputs'!$E$186*'Model Data Inputs'!$E$187),2)</f>
        <v>594.63</v>
      </c>
      <c r="K1629" s="169">
        <f t="shared" si="91"/>
        <v>964489.86</v>
      </c>
      <c r="L1629" s="153"/>
      <c r="M1629" s="153"/>
      <c r="N1629" s="153"/>
      <c r="O1629" s="153"/>
    </row>
    <row r="1630" spans="1:15" x14ac:dyDescent="0.2">
      <c r="A1630" s="168">
        <v>1623</v>
      </c>
      <c r="B1630" s="159">
        <v>594.63366392643309</v>
      </c>
      <c r="C1630" s="169">
        <f t="shared" si="90"/>
        <v>965090.43655260094</v>
      </c>
      <c r="D1630" s="153"/>
      <c r="E1630" s="153"/>
      <c r="F1630" s="153"/>
      <c r="G1630" s="153"/>
      <c r="I1630" s="168">
        <v>1623</v>
      </c>
      <c r="J1630" s="159">
        <f>ROUND(B1630*('Model Data Inputs'!$E$184*'Model Data Inputs'!$E$185*'Model Data Inputs'!$E$186*'Model Data Inputs'!$E$187),2)</f>
        <v>594.63</v>
      </c>
      <c r="K1630" s="169">
        <f t="shared" si="91"/>
        <v>965084.49</v>
      </c>
      <c r="L1630" s="153"/>
      <c r="M1630" s="153"/>
      <c r="N1630" s="153"/>
      <c r="O1630" s="153"/>
    </row>
    <row r="1631" spans="1:15" x14ac:dyDescent="0.2">
      <c r="A1631" s="168">
        <v>1624</v>
      </c>
      <c r="B1631" s="159">
        <v>594.63366392643309</v>
      </c>
      <c r="C1631" s="169">
        <f t="shared" si="90"/>
        <v>965685.07021652733</v>
      </c>
      <c r="D1631" s="153"/>
      <c r="E1631" s="153"/>
      <c r="F1631" s="153"/>
      <c r="G1631" s="153"/>
      <c r="I1631" s="168">
        <v>1624</v>
      </c>
      <c r="J1631" s="159">
        <f>ROUND(B1631*('Model Data Inputs'!$E$184*'Model Data Inputs'!$E$185*'Model Data Inputs'!$E$186*'Model Data Inputs'!$E$187),2)</f>
        <v>594.63</v>
      </c>
      <c r="K1631" s="169">
        <f t="shared" si="91"/>
        <v>965679.12</v>
      </c>
      <c r="L1631" s="153"/>
      <c r="M1631" s="153"/>
      <c r="N1631" s="153"/>
      <c r="O1631" s="153"/>
    </row>
    <row r="1632" spans="1:15" x14ac:dyDescent="0.2">
      <c r="A1632" s="168">
        <v>1625</v>
      </c>
      <c r="B1632" s="159">
        <v>594.63366392643309</v>
      </c>
      <c r="C1632" s="169">
        <f t="shared" si="90"/>
        <v>966279.70388045372</v>
      </c>
      <c r="D1632" s="153"/>
      <c r="E1632" s="153"/>
      <c r="F1632" s="153"/>
      <c r="G1632" s="153"/>
      <c r="I1632" s="168">
        <v>1625</v>
      </c>
      <c r="J1632" s="159">
        <f>ROUND(B1632*('Model Data Inputs'!$E$184*'Model Data Inputs'!$E$185*'Model Data Inputs'!$E$186*'Model Data Inputs'!$E$187),2)</f>
        <v>594.63</v>
      </c>
      <c r="K1632" s="169">
        <f t="shared" si="91"/>
        <v>966273.75</v>
      </c>
      <c r="L1632" s="153"/>
      <c r="M1632" s="153"/>
      <c r="N1632" s="153"/>
      <c r="O1632" s="153"/>
    </row>
    <row r="1633" spans="1:15" x14ac:dyDescent="0.2">
      <c r="A1633" s="168">
        <v>1626</v>
      </c>
      <c r="B1633" s="159">
        <v>594.63366392643309</v>
      </c>
      <c r="C1633" s="169">
        <f t="shared" si="90"/>
        <v>966874.33754438022</v>
      </c>
      <c r="D1633" s="153"/>
      <c r="E1633" s="153"/>
      <c r="F1633" s="153"/>
      <c r="G1633" s="153"/>
      <c r="I1633" s="168">
        <v>1626</v>
      </c>
      <c r="J1633" s="159">
        <f>ROUND(B1633*('Model Data Inputs'!$E$184*'Model Data Inputs'!$E$185*'Model Data Inputs'!$E$186*'Model Data Inputs'!$E$187),2)</f>
        <v>594.63</v>
      </c>
      <c r="K1633" s="169">
        <f t="shared" si="91"/>
        <v>966868.38</v>
      </c>
      <c r="L1633" s="153"/>
      <c r="M1633" s="153"/>
      <c r="N1633" s="153"/>
      <c r="O1633" s="153"/>
    </row>
    <row r="1634" spans="1:15" x14ac:dyDescent="0.2">
      <c r="A1634" s="168">
        <v>1627</v>
      </c>
      <c r="B1634" s="159">
        <v>594.63366392643309</v>
      </c>
      <c r="C1634" s="169">
        <f t="shared" si="90"/>
        <v>967468.97120830661</v>
      </c>
      <c r="D1634" s="153"/>
      <c r="E1634" s="153"/>
      <c r="F1634" s="153"/>
      <c r="G1634" s="153"/>
      <c r="I1634" s="168">
        <v>1627</v>
      </c>
      <c r="J1634" s="159">
        <f>ROUND(B1634*('Model Data Inputs'!$E$184*'Model Data Inputs'!$E$185*'Model Data Inputs'!$E$186*'Model Data Inputs'!$E$187),2)</f>
        <v>594.63</v>
      </c>
      <c r="K1634" s="169">
        <f t="shared" si="91"/>
        <v>967463.01</v>
      </c>
      <c r="L1634" s="153"/>
      <c r="M1634" s="153"/>
      <c r="N1634" s="153"/>
      <c r="O1634" s="153"/>
    </row>
    <row r="1635" spans="1:15" x14ac:dyDescent="0.2">
      <c r="A1635" s="168">
        <v>1628</v>
      </c>
      <c r="B1635" s="159">
        <v>594.63366392643309</v>
      </c>
      <c r="C1635" s="169">
        <f t="shared" si="90"/>
        <v>968063.60487223312</v>
      </c>
      <c r="D1635" s="153"/>
      <c r="E1635" s="153"/>
      <c r="F1635" s="153"/>
      <c r="G1635" s="153"/>
      <c r="I1635" s="168">
        <v>1628</v>
      </c>
      <c r="J1635" s="159">
        <f>ROUND(B1635*('Model Data Inputs'!$E$184*'Model Data Inputs'!$E$185*'Model Data Inputs'!$E$186*'Model Data Inputs'!$E$187),2)</f>
        <v>594.63</v>
      </c>
      <c r="K1635" s="169">
        <f t="shared" si="91"/>
        <v>968057.64</v>
      </c>
      <c r="L1635" s="153"/>
      <c r="M1635" s="153"/>
      <c r="N1635" s="153"/>
      <c r="O1635" s="153"/>
    </row>
    <row r="1636" spans="1:15" x14ac:dyDescent="0.2">
      <c r="A1636" s="168">
        <v>1629</v>
      </c>
      <c r="B1636" s="159">
        <v>594.63366392643309</v>
      </c>
      <c r="C1636" s="169">
        <f t="shared" si="90"/>
        <v>968658.23853615951</v>
      </c>
      <c r="D1636" s="153"/>
      <c r="E1636" s="153"/>
      <c r="F1636" s="153"/>
      <c r="G1636" s="153"/>
      <c r="I1636" s="168">
        <v>1629</v>
      </c>
      <c r="J1636" s="159">
        <f>ROUND(B1636*('Model Data Inputs'!$E$184*'Model Data Inputs'!$E$185*'Model Data Inputs'!$E$186*'Model Data Inputs'!$E$187),2)</f>
        <v>594.63</v>
      </c>
      <c r="K1636" s="169">
        <f t="shared" si="91"/>
        <v>968652.27</v>
      </c>
      <c r="L1636" s="153"/>
      <c r="M1636" s="153"/>
      <c r="N1636" s="153"/>
      <c r="O1636" s="153"/>
    </row>
    <row r="1637" spans="1:15" x14ac:dyDescent="0.2">
      <c r="A1637" s="168">
        <v>1630</v>
      </c>
      <c r="B1637" s="159">
        <v>594.63366392643309</v>
      </c>
      <c r="C1637" s="169">
        <f t="shared" si="90"/>
        <v>969252.8722000859</v>
      </c>
      <c r="D1637" s="153"/>
      <c r="E1637" s="153"/>
      <c r="F1637" s="153"/>
      <c r="G1637" s="153"/>
      <c r="I1637" s="168">
        <v>1630</v>
      </c>
      <c r="J1637" s="159">
        <f>ROUND(B1637*('Model Data Inputs'!$E$184*'Model Data Inputs'!$E$185*'Model Data Inputs'!$E$186*'Model Data Inputs'!$E$187),2)</f>
        <v>594.63</v>
      </c>
      <c r="K1637" s="169">
        <f t="shared" si="91"/>
        <v>969246.9</v>
      </c>
      <c r="L1637" s="153"/>
      <c r="M1637" s="153"/>
      <c r="N1637" s="153"/>
      <c r="O1637" s="153"/>
    </row>
    <row r="1638" spans="1:15" x14ac:dyDescent="0.2">
      <c r="A1638" s="168">
        <v>1631</v>
      </c>
      <c r="B1638" s="159">
        <v>594.63366392643309</v>
      </c>
      <c r="C1638" s="169">
        <f t="shared" si="90"/>
        <v>969847.5058640124</v>
      </c>
      <c r="D1638" s="153"/>
      <c r="E1638" s="153"/>
      <c r="F1638" s="153"/>
      <c r="G1638" s="153"/>
      <c r="I1638" s="168">
        <v>1631</v>
      </c>
      <c r="J1638" s="159">
        <f>ROUND(B1638*('Model Data Inputs'!$E$184*'Model Data Inputs'!$E$185*'Model Data Inputs'!$E$186*'Model Data Inputs'!$E$187),2)</f>
        <v>594.63</v>
      </c>
      <c r="K1638" s="169">
        <f t="shared" si="91"/>
        <v>969841.53</v>
      </c>
      <c r="L1638" s="153"/>
      <c r="M1638" s="153"/>
      <c r="N1638" s="153"/>
      <c r="O1638" s="153"/>
    </row>
    <row r="1639" spans="1:15" x14ac:dyDescent="0.2">
      <c r="A1639" s="168">
        <v>1632</v>
      </c>
      <c r="B1639" s="159">
        <v>594.63366392643309</v>
      </c>
      <c r="C1639" s="169">
        <f t="shared" si="90"/>
        <v>970442.13952793879</v>
      </c>
      <c r="D1639" s="153"/>
      <c r="E1639" s="153"/>
      <c r="F1639" s="153"/>
      <c r="G1639" s="153"/>
      <c r="I1639" s="168">
        <v>1632</v>
      </c>
      <c r="J1639" s="159">
        <f>ROUND(B1639*('Model Data Inputs'!$E$184*'Model Data Inputs'!$E$185*'Model Data Inputs'!$E$186*'Model Data Inputs'!$E$187),2)</f>
        <v>594.63</v>
      </c>
      <c r="K1639" s="169">
        <f t="shared" si="91"/>
        <v>970436.16</v>
      </c>
      <c r="L1639" s="153"/>
      <c r="M1639" s="153"/>
      <c r="N1639" s="153"/>
      <c r="O1639" s="153"/>
    </row>
    <row r="1640" spans="1:15" x14ac:dyDescent="0.2">
      <c r="A1640" s="168">
        <v>1633</v>
      </c>
      <c r="B1640" s="159">
        <v>594.63366392643309</v>
      </c>
      <c r="C1640" s="169">
        <f t="shared" si="90"/>
        <v>971036.77319186518</v>
      </c>
      <c r="D1640" s="153"/>
      <c r="E1640" s="153"/>
      <c r="F1640" s="153"/>
      <c r="G1640" s="153"/>
      <c r="I1640" s="168">
        <v>1633</v>
      </c>
      <c r="J1640" s="159">
        <f>ROUND(B1640*('Model Data Inputs'!$E$184*'Model Data Inputs'!$E$185*'Model Data Inputs'!$E$186*'Model Data Inputs'!$E$187),2)</f>
        <v>594.63</v>
      </c>
      <c r="K1640" s="169">
        <f t="shared" si="91"/>
        <v>971030.79</v>
      </c>
      <c r="L1640" s="153"/>
      <c r="M1640" s="153"/>
      <c r="N1640" s="153"/>
      <c r="O1640" s="153"/>
    </row>
    <row r="1641" spans="1:15" x14ac:dyDescent="0.2">
      <c r="A1641" s="168">
        <v>1634</v>
      </c>
      <c r="B1641" s="159">
        <v>594.63366392643309</v>
      </c>
      <c r="C1641" s="169">
        <f t="shared" si="90"/>
        <v>971631.40685579169</v>
      </c>
      <c r="D1641" s="153"/>
      <c r="E1641" s="153"/>
      <c r="F1641" s="153"/>
      <c r="G1641" s="153"/>
      <c r="I1641" s="168">
        <v>1634</v>
      </c>
      <c r="J1641" s="159">
        <f>ROUND(B1641*('Model Data Inputs'!$E$184*'Model Data Inputs'!$E$185*'Model Data Inputs'!$E$186*'Model Data Inputs'!$E$187),2)</f>
        <v>594.63</v>
      </c>
      <c r="K1641" s="169">
        <f t="shared" si="91"/>
        <v>971625.42</v>
      </c>
      <c r="L1641" s="153"/>
      <c r="M1641" s="153"/>
      <c r="N1641" s="153"/>
      <c r="O1641" s="153"/>
    </row>
    <row r="1642" spans="1:15" x14ac:dyDescent="0.2">
      <c r="A1642" s="168">
        <v>1635</v>
      </c>
      <c r="B1642" s="159">
        <v>594.63366392643309</v>
      </c>
      <c r="C1642" s="169">
        <f t="shared" si="90"/>
        <v>972226.04051971808</v>
      </c>
      <c r="D1642" s="153"/>
      <c r="E1642" s="153"/>
      <c r="F1642" s="153"/>
      <c r="G1642" s="153"/>
      <c r="I1642" s="168">
        <v>1635</v>
      </c>
      <c r="J1642" s="159">
        <f>ROUND(B1642*('Model Data Inputs'!$E$184*'Model Data Inputs'!$E$185*'Model Data Inputs'!$E$186*'Model Data Inputs'!$E$187),2)</f>
        <v>594.63</v>
      </c>
      <c r="K1642" s="169">
        <f t="shared" si="91"/>
        <v>972220.05</v>
      </c>
      <c r="L1642" s="153"/>
      <c r="M1642" s="153"/>
      <c r="N1642" s="153"/>
      <c r="O1642" s="153"/>
    </row>
    <row r="1643" spans="1:15" x14ac:dyDescent="0.2">
      <c r="A1643" s="168">
        <v>1636</v>
      </c>
      <c r="B1643" s="159">
        <v>594.63366392643309</v>
      </c>
      <c r="C1643" s="169">
        <f t="shared" si="90"/>
        <v>972820.67418364459</v>
      </c>
      <c r="D1643" s="153"/>
      <c r="E1643" s="153"/>
      <c r="F1643" s="153"/>
      <c r="G1643" s="153"/>
      <c r="I1643" s="168">
        <v>1636</v>
      </c>
      <c r="J1643" s="159">
        <f>ROUND(B1643*('Model Data Inputs'!$E$184*'Model Data Inputs'!$E$185*'Model Data Inputs'!$E$186*'Model Data Inputs'!$E$187),2)</f>
        <v>594.63</v>
      </c>
      <c r="K1643" s="169">
        <f t="shared" si="91"/>
        <v>972814.67999999993</v>
      </c>
      <c r="L1643" s="153"/>
      <c r="M1643" s="153"/>
      <c r="N1643" s="153"/>
      <c r="O1643" s="153"/>
    </row>
    <row r="1644" spans="1:15" x14ac:dyDescent="0.2">
      <c r="A1644" s="168">
        <v>1637</v>
      </c>
      <c r="B1644" s="159">
        <v>594.63366392643309</v>
      </c>
      <c r="C1644" s="169">
        <f t="shared" si="90"/>
        <v>973415.30784757098</v>
      </c>
      <c r="D1644" s="153"/>
      <c r="E1644" s="153"/>
      <c r="F1644" s="153"/>
      <c r="G1644" s="153"/>
      <c r="I1644" s="168">
        <v>1637</v>
      </c>
      <c r="J1644" s="159">
        <f>ROUND(B1644*('Model Data Inputs'!$E$184*'Model Data Inputs'!$E$185*'Model Data Inputs'!$E$186*'Model Data Inputs'!$E$187),2)</f>
        <v>594.63</v>
      </c>
      <c r="K1644" s="169">
        <f t="shared" si="91"/>
        <v>973409.30999999994</v>
      </c>
      <c r="L1644" s="153"/>
      <c r="M1644" s="153"/>
      <c r="N1644" s="153"/>
      <c r="O1644" s="153"/>
    </row>
    <row r="1645" spans="1:15" x14ac:dyDescent="0.2">
      <c r="A1645" s="168">
        <v>1638</v>
      </c>
      <c r="B1645" s="159">
        <v>594.63366392643309</v>
      </c>
      <c r="C1645" s="169">
        <f t="shared" si="90"/>
        <v>974009.94151149737</v>
      </c>
      <c r="D1645" s="153"/>
      <c r="E1645" s="153"/>
      <c r="F1645" s="153"/>
      <c r="G1645" s="153"/>
      <c r="I1645" s="168">
        <v>1638</v>
      </c>
      <c r="J1645" s="159">
        <f>ROUND(B1645*('Model Data Inputs'!$E$184*'Model Data Inputs'!$E$185*'Model Data Inputs'!$E$186*'Model Data Inputs'!$E$187),2)</f>
        <v>594.63</v>
      </c>
      <c r="K1645" s="169">
        <f t="shared" si="91"/>
        <v>974003.94</v>
      </c>
      <c r="L1645" s="153"/>
      <c r="M1645" s="153"/>
      <c r="N1645" s="153"/>
      <c r="O1645" s="153"/>
    </row>
    <row r="1646" spans="1:15" x14ac:dyDescent="0.2">
      <c r="A1646" s="168">
        <v>1639</v>
      </c>
      <c r="B1646" s="159">
        <v>594.63366392643309</v>
      </c>
      <c r="C1646" s="169">
        <f t="shared" si="90"/>
        <v>974604.57517542387</v>
      </c>
      <c r="D1646" s="153"/>
      <c r="E1646" s="153"/>
      <c r="F1646" s="153"/>
      <c r="G1646" s="153"/>
      <c r="I1646" s="168">
        <v>1639</v>
      </c>
      <c r="J1646" s="159">
        <f>ROUND(B1646*('Model Data Inputs'!$E$184*'Model Data Inputs'!$E$185*'Model Data Inputs'!$E$186*'Model Data Inputs'!$E$187),2)</f>
        <v>594.63</v>
      </c>
      <c r="K1646" s="169">
        <f t="shared" si="91"/>
        <v>974598.57</v>
      </c>
      <c r="L1646" s="153"/>
      <c r="M1646" s="153"/>
      <c r="N1646" s="153"/>
      <c r="O1646" s="153"/>
    </row>
    <row r="1647" spans="1:15" x14ac:dyDescent="0.2">
      <c r="A1647" s="168">
        <v>1640</v>
      </c>
      <c r="B1647" s="159">
        <v>594.63366392643309</v>
      </c>
      <c r="C1647" s="169">
        <f t="shared" si="90"/>
        <v>975199.20883935026</v>
      </c>
      <c r="D1647" s="153"/>
      <c r="E1647" s="153"/>
      <c r="F1647" s="153"/>
      <c r="G1647" s="153"/>
      <c r="I1647" s="168">
        <v>1640</v>
      </c>
      <c r="J1647" s="159">
        <f>ROUND(B1647*('Model Data Inputs'!$E$184*'Model Data Inputs'!$E$185*'Model Data Inputs'!$E$186*'Model Data Inputs'!$E$187),2)</f>
        <v>594.63</v>
      </c>
      <c r="K1647" s="169">
        <f t="shared" si="91"/>
        <v>975193.2</v>
      </c>
      <c r="L1647" s="153"/>
      <c r="M1647" s="153"/>
      <c r="N1647" s="153"/>
      <c r="O1647" s="153"/>
    </row>
    <row r="1648" spans="1:15" x14ac:dyDescent="0.2">
      <c r="A1648" s="168">
        <v>1641</v>
      </c>
      <c r="B1648" s="159">
        <v>594.63366392643309</v>
      </c>
      <c r="C1648" s="169">
        <f t="shared" si="90"/>
        <v>975793.84250327665</v>
      </c>
      <c r="D1648" s="153"/>
      <c r="E1648" s="153"/>
      <c r="F1648" s="153"/>
      <c r="G1648" s="153"/>
      <c r="I1648" s="168">
        <v>1641</v>
      </c>
      <c r="J1648" s="159">
        <f>ROUND(B1648*('Model Data Inputs'!$E$184*'Model Data Inputs'!$E$185*'Model Data Inputs'!$E$186*'Model Data Inputs'!$E$187),2)</f>
        <v>594.63</v>
      </c>
      <c r="K1648" s="169">
        <f t="shared" si="91"/>
        <v>975787.83</v>
      </c>
      <c r="L1648" s="153"/>
      <c r="M1648" s="153"/>
      <c r="N1648" s="153"/>
      <c r="O1648" s="153"/>
    </row>
    <row r="1649" spans="1:15" x14ac:dyDescent="0.2">
      <c r="A1649" s="168">
        <v>1642</v>
      </c>
      <c r="B1649" s="159">
        <v>594.63366392643309</v>
      </c>
      <c r="C1649" s="169">
        <f t="shared" si="90"/>
        <v>976388.47616720316</v>
      </c>
      <c r="D1649" s="153"/>
      <c r="E1649" s="153"/>
      <c r="F1649" s="153"/>
      <c r="G1649" s="153"/>
      <c r="I1649" s="168">
        <v>1642</v>
      </c>
      <c r="J1649" s="159">
        <f>ROUND(B1649*('Model Data Inputs'!$E$184*'Model Data Inputs'!$E$185*'Model Data Inputs'!$E$186*'Model Data Inputs'!$E$187),2)</f>
        <v>594.63</v>
      </c>
      <c r="K1649" s="169">
        <f t="shared" si="91"/>
        <v>976382.46</v>
      </c>
      <c r="L1649" s="153"/>
      <c r="M1649" s="153"/>
      <c r="N1649" s="153"/>
      <c r="O1649" s="153"/>
    </row>
    <row r="1650" spans="1:15" x14ac:dyDescent="0.2">
      <c r="A1650" s="168">
        <v>1643</v>
      </c>
      <c r="B1650" s="159">
        <v>594.63366392643309</v>
      </c>
      <c r="C1650" s="169">
        <f t="shared" si="90"/>
        <v>976983.10983112955</v>
      </c>
      <c r="D1650" s="153"/>
      <c r="E1650" s="153"/>
      <c r="F1650" s="153"/>
      <c r="G1650" s="153"/>
      <c r="I1650" s="168">
        <v>1643</v>
      </c>
      <c r="J1650" s="159">
        <f>ROUND(B1650*('Model Data Inputs'!$E$184*'Model Data Inputs'!$E$185*'Model Data Inputs'!$E$186*'Model Data Inputs'!$E$187),2)</f>
        <v>594.63</v>
      </c>
      <c r="K1650" s="169">
        <f t="shared" si="91"/>
        <v>976977.09</v>
      </c>
      <c r="L1650" s="153"/>
      <c r="M1650" s="153"/>
      <c r="N1650" s="153"/>
      <c r="O1650" s="153"/>
    </row>
    <row r="1651" spans="1:15" x14ac:dyDescent="0.2">
      <c r="A1651" s="168">
        <v>1644</v>
      </c>
      <c r="B1651" s="159">
        <v>594.63366392643309</v>
      </c>
      <c r="C1651" s="169">
        <f t="shared" si="90"/>
        <v>977577.74349505594</v>
      </c>
      <c r="D1651" s="153"/>
      <c r="E1651" s="153"/>
      <c r="F1651" s="153"/>
      <c r="G1651" s="153"/>
      <c r="I1651" s="168">
        <v>1644</v>
      </c>
      <c r="J1651" s="159">
        <f>ROUND(B1651*('Model Data Inputs'!$E$184*'Model Data Inputs'!$E$185*'Model Data Inputs'!$E$186*'Model Data Inputs'!$E$187),2)</f>
        <v>594.63</v>
      </c>
      <c r="K1651" s="169">
        <f t="shared" si="91"/>
        <v>977571.72</v>
      </c>
      <c r="L1651" s="153"/>
      <c r="M1651" s="153"/>
      <c r="N1651" s="153"/>
      <c r="O1651" s="153"/>
    </row>
    <row r="1652" spans="1:15" x14ac:dyDescent="0.2">
      <c r="A1652" s="168">
        <v>1645</v>
      </c>
      <c r="B1652" s="159">
        <v>594.63366392643309</v>
      </c>
      <c r="C1652" s="169">
        <f t="shared" si="90"/>
        <v>978172.37715898245</v>
      </c>
      <c r="D1652" s="153"/>
      <c r="E1652" s="153"/>
      <c r="F1652" s="153"/>
      <c r="G1652" s="153"/>
      <c r="I1652" s="168">
        <v>1645</v>
      </c>
      <c r="J1652" s="159">
        <f>ROUND(B1652*('Model Data Inputs'!$E$184*'Model Data Inputs'!$E$185*'Model Data Inputs'!$E$186*'Model Data Inputs'!$E$187),2)</f>
        <v>594.63</v>
      </c>
      <c r="K1652" s="169">
        <f t="shared" si="91"/>
        <v>978166.35</v>
      </c>
      <c r="L1652" s="153"/>
      <c r="M1652" s="153"/>
      <c r="N1652" s="153"/>
      <c r="O1652" s="153"/>
    </row>
    <row r="1653" spans="1:15" x14ac:dyDescent="0.2">
      <c r="A1653" s="168">
        <v>1646</v>
      </c>
      <c r="B1653" s="159">
        <v>594.63366392643309</v>
      </c>
      <c r="C1653" s="169">
        <f t="shared" si="90"/>
        <v>978767.01082290884</v>
      </c>
      <c r="D1653" s="153"/>
      <c r="E1653" s="153"/>
      <c r="F1653" s="153"/>
      <c r="G1653" s="153"/>
      <c r="I1653" s="168">
        <v>1646</v>
      </c>
      <c r="J1653" s="159">
        <f>ROUND(B1653*('Model Data Inputs'!$E$184*'Model Data Inputs'!$E$185*'Model Data Inputs'!$E$186*'Model Data Inputs'!$E$187),2)</f>
        <v>594.63</v>
      </c>
      <c r="K1653" s="169">
        <f t="shared" si="91"/>
        <v>978760.98</v>
      </c>
      <c r="L1653" s="153"/>
      <c r="M1653" s="153"/>
      <c r="N1653" s="153"/>
      <c r="O1653" s="153"/>
    </row>
    <row r="1654" spans="1:15" x14ac:dyDescent="0.2">
      <c r="A1654" s="168">
        <v>1647</v>
      </c>
      <c r="B1654" s="159">
        <v>594.63366392643309</v>
      </c>
      <c r="C1654" s="169">
        <f t="shared" si="90"/>
        <v>979361.64448683534</v>
      </c>
      <c r="D1654" s="153"/>
      <c r="E1654" s="153"/>
      <c r="F1654" s="153"/>
      <c r="G1654" s="153"/>
      <c r="I1654" s="168">
        <v>1647</v>
      </c>
      <c r="J1654" s="159">
        <f>ROUND(B1654*('Model Data Inputs'!$E$184*'Model Data Inputs'!$E$185*'Model Data Inputs'!$E$186*'Model Data Inputs'!$E$187),2)</f>
        <v>594.63</v>
      </c>
      <c r="K1654" s="169">
        <f t="shared" si="91"/>
        <v>979355.61</v>
      </c>
      <c r="L1654" s="153"/>
      <c r="M1654" s="153"/>
      <c r="N1654" s="153"/>
      <c r="O1654" s="153"/>
    </row>
    <row r="1655" spans="1:15" x14ac:dyDescent="0.2">
      <c r="A1655" s="168">
        <v>1648</v>
      </c>
      <c r="B1655" s="159">
        <v>594.63366392643309</v>
      </c>
      <c r="C1655" s="169">
        <f t="shared" si="90"/>
        <v>979956.27815076173</v>
      </c>
      <c r="D1655" s="153"/>
      <c r="E1655" s="153"/>
      <c r="F1655" s="153"/>
      <c r="G1655" s="153"/>
      <c r="I1655" s="168">
        <v>1648</v>
      </c>
      <c r="J1655" s="159">
        <f>ROUND(B1655*('Model Data Inputs'!$E$184*'Model Data Inputs'!$E$185*'Model Data Inputs'!$E$186*'Model Data Inputs'!$E$187),2)</f>
        <v>594.63</v>
      </c>
      <c r="K1655" s="169">
        <f t="shared" si="91"/>
        <v>979950.24</v>
      </c>
      <c r="L1655" s="153"/>
      <c r="M1655" s="153"/>
      <c r="N1655" s="153"/>
      <c r="O1655" s="153"/>
    </row>
    <row r="1656" spans="1:15" x14ac:dyDescent="0.2">
      <c r="A1656" s="168">
        <v>1649</v>
      </c>
      <c r="B1656" s="159">
        <v>594.63366392643309</v>
      </c>
      <c r="C1656" s="169">
        <f t="shared" si="90"/>
        <v>980550.91181468812</v>
      </c>
      <c r="D1656" s="153"/>
      <c r="E1656" s="153"/>
      <c r="F1656" s="153"/>
      <c r="G1656" s="153"/>
      <c r="I1656" s="168">
        <v>1649</v>
      </c>
      <c r="J1656" s="159">
        <f>ROUND(B1656*('Model Data Inputs'!$E$184*'Model Data Inputs'!$E$185*'Model Data Inputs'!$E$186*'Model Data Inputs'!$E$187),2)</f>
        <v>594.63</v>
      </c>
      <c r="K1656" s="169">
        <f t="shared" si="91"/>
        <v>980544.87</v>
      </c>
      <c r="L1656" s="153"/>
      <c r="M1656" s="153"/>
      <c r="N1656" s="153"/>
      <c r="O1656" s="153"/>
    </row>
    <row r="1657" spans="1:15" x14ac:dyDescent="0.2">
      <c r="A1657" s="168">
        <v>1650</v>
      </c>
      <c r="B1657" s="159">
        <v>594.63366392643309</v>
      </c>
      <c r="C1657" s="169">
        <f t="shared" si="90"/>
        <v>981145.54547861463</v>
      </c>
      <c r="D1657" s="153"/>
      <c r="E1657" s="153"/>
      <c r="F1657" s="153"/>
      <c r="G1657" s="153"/>
      <c r="I1657" s="168">
        <v>1650</v>
      </c>
      <c r="J1657" s="159">
        <f>ROUND(B1657*('Model Data Inputs'!$E$184*'Model Data Inputs'!$E$185*'Model Data Inputs'!$E$186*'Model Data Inputs'!$E$187),2)</f>
        <v>594.63</v>
      </c>
      <c r="K1657" s="169">
        <f t="shared" si="91"/>
        <v>981139.5</v>
      </c>
      <c r="L1657" s="153"/>
      <c r="M1657" s="153"/>
      <c r="N1657" s="153"/>
      <c r="O1657" s="153"/>
    </row>
    <row r="1658" spans="1:15" x14ac:dyDescent="0.2">
      <c r="A1658" s="168">
        <v>1651</v>
      </c>
      <c r="B1658" s="159">
        <v>594.63366392643309</v>
      </c>
      <c r="C1658" s="169">
        <f t="shared" si="90"/>
        <v>981740.17914254102</v>
      </c>
      <c r="D1658" s="153"/>
      <c r="E1658" s="153"/>
      <c r="F1658" s="153"/>
      <c r="G1658" s="153"/>
      <c r="I1658" s="168">
        <v>1651</v>
      </c>
      <c r="J1658" s="159">
        <f>ROUND(B1658*('Model Data Inputs'!$E$184*'Model Data Inputs'!$E$185*'Model Data Inputs'!$E$186*'Model Data Inputs'!$E$187),2)</f>
        <v>594.63</v>
      </c>
      <c r="K1658" s="169">
        <f t="shared" si="91"/>
        <v>981734.13</v>
      </c>
      <c r="L1658" s="153"/>
      <c r="M1658" s="153"/>
      <c r="N1658" s="153"/>
      <c r="O1658" s="153"/>
    </row>
    <row r="1659" spans="1:15" x14ac:dyDescent="0.2">
      <c r="A1659" s="168">
        <v>1652</v>
      </c>
      <c r="B1659" s="159">
        <v>594.63366392643309</v>
      </c>
      <c r="C1659" s="169">
        <f t="shared" si="90"/>
        <v>982334.81280646741</v>
      </c>
      <c r="D1659" s="153"/>
      <c r="E1659" s="153"/>
      <c r="F1659" s="153"/>
      <c r="G1659" s="153"/>
      <c r="I1659" s="168">
        <v>1652</v>
      </c>
      <c r="J1659" s="159">
        <f>ROUND(B1659*('Model Data Inputs'!$E$184*'Model Data Inputs'!$E$185*'Model Data Inputs'!$E$186*'Model Data Inputs'!$E$187),2)</f>
        <v>594.63</v>
      </c>
      <c r="K1659" s="169">
        <f t="shared" si="91"/>
        <v>982328.76</v>
      </c>
      <c r="L1659" s="153"/>
      <c r="M1659" s="153"/>
      <c r="N1659" s="153"/>
      <c r="O1659" s="153"/>
    </row>
    <row r="1660" spans="1:15" x14ac:dyDescent="0.2">
      <c r="A1660" s="168">
        <v>1653</v>
      </c>
      <c r="B1660" s="159">
        <v>594.63366392643309</v>
      </c>
      <c r="C1660" s="169">
        <f t="shared" si="90"/>
        <v>982929.44647039392</v>
      </c>
      <c r="D1660" s="153"/>
      <c r="E1660" s="153"/>
      <c r="F1660" s="153"/>
      <c r="G1660" s="153"/>
      <c r="I1660" s="168">
        <v>1653</v>
      </c>
      <c r="J1660" s="159">
        <f>ROUND(B1660*('Model Data Inputs'!$E$184*'Model Data Inputs'!$E$185*'Model Data Inputs'!$E$186*'Model Data Inputs'!$E$187),2)</f>
        <v>594.63</v>
      </c>
      <c r="K1660" s="169">
        <f t="shared" si="91"/>
        <v>982923.39</v>
      </c>
      <c r="L1660" s="153"/>
      <c r="M1660" s="153"/>
      <c r="N1660" s="153"/>
      <c r="O1660" s="153"/>
    </row>
    <row r="1661" spans="1:15" x14ac:dyDescent="0.2">
      <c r="A1661" s="168">
        <v>1654</v>
      </c>
      <c r="B1661" s="159">
        <v>594.63366392643309</v>
      </c>
      <c r="C1661" s="169">
        <f t="shared" si="90"/>
        <v>983524.08013432031</v>
      </c>
      <c r="D1661" s="153"/>
      <c r="E1661" s="153"/>
      <c r="F1661" s="153"/>
      <c r="G1661" s="153"/>
      <c r="I1661" s="168">
        <v>1654</v>
      </c>
      <c r="J1661" s="159">
        <f>ROUND(B1661*('Model Data Inputs'!$E$184*'Model Data Inputs'!$E$185*'Model Data Inputs'!$E$186*'Model Data Inputs'!$E$187),2)</f>
        <v>594.63</v>
      </c>
      <c r="K1661" s="169">
        <f t="shared" si="91"/>
        <v>983518.02</v>
      </c>
      <c r="L1661" s="153"/>
      <c r="M1661" s="153"/>
      <c r="N1661" s="153"/>
      <c r="O1661" s="153"/>
    </row>
    <row r="1662" spans="1:15" x14ac:dyDescent="0.2">
      <c r="A1662" s="168">
        <v>1655</v>
      </c>
      <c r="B1662" s="159">
        <v>594.63366392643309</v>
      </c>
      <c r="C1662" s="169">
        <f t="shared" si="90"/>
        <v>984118.71379824681</v>
      </c>
      <c r="D1662" s="153"/>
      <c r="E1662" s="153"/>
      <c r="F1662" s="153"/>
      <c r="G1662" s="153"/>
      <c r="I1662" s="168">
        <v>1655</v>
      </c>
      <c r="J1662" s="159">
        <f>ROUND(B1662*('Model Data Inputs'!$E$184*'Model Data Inputs'!$E$185*'Model Data Inputs'!$E$186*'Model Data Inputs'!$E$187),2)</f>
        <v>594.63</v>
      </c>
      <c r="K1662" s="169">
        <f t="shared" si="91"/>
        <v>984112.65</v>
      </c>
      <c r="L1662" s="153"/>
      <c r="M1662" s="153"/>
      <c r="N1662" s="153"/>
      <c r="O1662" s="153"/>
    </row>
    <row r="1663" spans="1:15" x14ac:dyDescent="0.2">
      <c r="A1663" s="168">
        <v>1656</v>
      </c>
      <c r="B1663" s="159">
        <v>594.63366392643309</v>
      </c>
      <c r="C1663" s="169">
        <f t="shared" si="90"/>
        <v>984713.3474621732</v>
      </c>
      <c r="D1663" s="153"/>
      <c r="E1663" s="153"/>
      <c r="F1663" s="153"/>
      <c r="G1663" s="153"/>
      <c r="I1663" s="168">
        <v>1656</v>
      </c>
      <c r="J1663" s="159">
        <f>ROUND(B1663*('Model Data Inputs'!$E$184*'Model Data Inputs'!$E$185*'Model Data Inputs'!$E$186*'Model Data Inputs'!$E$187),2)</f>
        <v>594.63</v>
      </c>
      <c r="K1663" s="169">
        <f t="shared" si="91"/>
        <v>984707.28</v>
      </c>
      <c r="L1663" s="153"/>
      <c r="M1663" s="153"/>
      <c r="N1663" s="153"/>
      <c r="O1663" s="153"/>
    </row>
    <row r="1664" spans="1:15" x14ac:dyDescent="0.2">
      <c r="A1664" s="168">
        <v>1657</v>
      </c>
      <c r="B1664" s="159">
        <v>594.63366392643309</v>
      </c>
      <c r="C1664" s="169">
        <f t="shared" si="90"/>
        <v>985307.98112609959</v>
      </c>
      <c r="D1664" s="153"/>
      <c r="E1664" s="153"/>
      <c r="F1664" s="153"/>
      <c r="G1664" s="153"/>
      <c r="I1664" s="168">
        <v>1657</v>
      </c>
      <c r="J1664" s="159">
        <f>ROUND(B1664*('Model Data Inputs'!$E$184*'Model Data Inputs'!$E$185*'Model Data Inputs'!$E$186*'Model Data Inputs'!$E$187),2)</f>
        <v>594.63</v>
      </c>
      <c r="K1664" s="169">
        <f t="shared" si="91"/>
        <v>985301.91</v>
      </c>
      <c r="L1664" s="153"/>
      <c r="M1664" s="153"/>
      <c r="N1664" s="153"/>
      <c r="O1664" s="153"/>
    </row>
    <row r="1665" spans="1:15" x14ac:dyDescent="0.2">
      <c r="A1665" s="168">
        <v>1658</v>
      </c>
      <c r="B1665" s="159">
        <v>594.63366392643309</v>
      </c>
      <c r="C1665" s="169">
        <f t="shared" si="90"/>
        <v>985902.6147900261</v>
      </c>
      <c r="D1665" s="153"/>
      <c r="E1665" s="153"/>
      <c r="F1665" s="153"/>
      <c r="G1665" s="153"/>
      <c r="I1665" s="168">
        <v>1658</v>
      </c>
      <c r="J1665" s="159">
        <f>ROUND(B1665*('Model Data Inputs'!$E$184*'Model Data Inputs'!$E$185*'Model Data Inputs'!$E$186*'Model Data Inputs'!$E$187),2)</f>
        <v>594.63</v>
      </c>
      <c r="K1665" s="169">
        <f t="shared" si="91"/>
        <v>985896.54</v>
      </c>
      <c r="L1665" s="153"/>
      <c r="M1665" s="153"/>
      <c r="N1665" s="153"/>
      <c r="O1665" s="153"/>
    </row>
    <row r="1666" spans="1:15" x14ac:dyDescent="0.2">
      <c r="A1666" s="168">
        <v>1659</v>
      </c>
      <c r="B1666" s="159">
        <v>594.63366392643309</v>
      </c>
      <c r="C1666" s="169">
        <f t="shared" si="90"/>
        <v>986497.24845395249</v>
      </c>
      <c r="D1666" s="153"/>
      <c r="E1666" s="153"/>
      <c r="F1666" s="153"/>
      <c r="G1666" s="153"/>
      <c r="I1666" s="168">
        <v>1659</v>
      </c>
      <c r="J1666" s="159">
        <f>ROUND(B1666*('Model Data Inputs'!$E$184*'Model Data Inputs'!$E$185*'Model Data Inputs'!$E$186*'Model Data Inputs'!$E$187),2)</f>
        <v>594.63</v>
      </c>
      <c r="K1666" s="169">
        <f t="shared" si="91"/>
        <v>986491.17</v>
      </c>
      <c r="L1666" s="153"/>
      <c r="M1666" s="153"/>
      <c r="N1666" s="153"/>
      <c r="O1666" s="153"/>
    </row>
    <row r="1667" spans="1:15" x14ac:dyDescent="0.2">
      <c r="A1667" s="168">
        <v>1660</v>
      </c>
      <c r="B1667" s="159">
        <v>594.63366392643309</v>
      </c>
      <c r="C1667" s="169">
        <f t="shared" si="90"/>
        <v>987091.88211787888</v>
      </c>
      <c r="D1667" s="153"/>
      <c r="E1667" s="153"/>
      <c r="F1667" s="153"/>
      <c r="G1667" s="153"/>
      <c r="I1667" s="168">
        <v>1660</v>
      </c>
      <c r="J1667" s="159">
        <f>ROUND(B1667*('Model Data Inputs'!$E$184*'Model Data Inputs'!$E$185*'Model Data Inputs'!$E$186*'Model Data Inputs'!$E$187),2)</f>
        <v>594.63</v>
      </c>
      <c r="K1667" s="169">
        <f t="shared" si="91"/>
        <v>987085.8</v>
      </c>
      <c r="L1667" s="153"/>
      <c r="M1667" s="153"/>
      <c r="N1667" s="153"/>
      <c r="O1667" s="153"/>
    </row>
    <row r="1668" spans="1:15" x14ac:dyDescent="0.2">
      <c r="A1668" s="168">
        <v>1661</v>
      </c>
      <c r="B1668" s="159">
        <v>594.63366392643309</v>
      </c>
      <c r="C1668" s="169">
        <f t="shared" si="90"/>
        <v>987686.51578180538</v>
      </c>
      <c r="D1668" s="153"/>
      <c r="E1668" s="153"/>
      <c r="F1668" s="153"/>
      <c r="G1668" s="153"/>
      <c r="I1668" s="168">
        <v>1661</v>
      </c>
      <c r="J1668" s="159">
        <f>ROUND(B1668*('Model Data Inputs'!$E$184*'Model Data Inputs'!$E$185*'Model Data Inputs'!$E$186*'Model Data Inputs'!$E$187),2)</f>
        <v>594.63</v>
      </c>
      <c r="K1668" s="169">
        <f t="shared" si="91"/>
        <v>987680.42999999993</v>
      </c>
      <c r="L1668" s="153"/>
      <c r="M1668" s="153"/>
      <c r="N1668" s="153"/>
      <c r="O1668" s="153"/>
    </row>
    <row r="1669" spans="1:15" x14ac:dyDescent="0.2">
      <c r="A1669" s="168">
        <v>1662</v>
      </c>
      <c r="B1669" s="159">
        <v>594.63366392643309</v>
      </c>
      <c r="C1669" s="169">
        <f t="shared" si="90"/>
        <v>988281.14944573177</v>
      </c>
      <c r="D1669" s="153"/>
      <c r="E1669" s="153"/>
      <c r="F1669" s="153"/>
      <c r="G1669" s="153"/>
      <c r="I1669" s="168">
        <v>1662</v>
      </c>
      <c r="J1669" s="159">
        <f>ROUND(B1669*('Model Data Inputs'!$E$184*'Model Data Inputs'!$E$185*'Model Data Inputs'!$E$186*'Model Data Inputs'!$E$187),2)</f>
        <v>594.63</v>
      </c>
      <c r="K1669" s="169">
        <f t="shared" si="91"/>
        <v>988275.05999999994</v>
      </c>
      <c r="L1669" s="153"/>
      <c r="M1669" s="153"/>
      <c r="N1669" s="153"/>
      <c r="O1669" s="153"/>
    </row>
    <row r="1670" spans="1:15" x14ac:dyDescent="0.2">
      <c r="A1670" s="168">
        <v>1663</v>
      </c>
      <c r="B1670" s="159">
        <v>594.63366392643309</v>
      </c>
      <c r="C1670" s="169">
        <f t="shared" si="90"/>
        <v>988875.78310965828</v>
      </c>
      <c r="D1670" s="153"/>
      <c r="E1670" s="153"/>
      <c r="F1670" s="153"/>
      <c r="G1670" s="153"/>
      <c r="I1670" s="168">
        <v>1663</v>
      </c>
      <c r="J1670" s="159">
        <f>ROUND(B1670*('Model Data Inputs'!$E$184*'Model Data Inputs'!$E$185*'Model Data Inputs'!$E$186*'Model Data Inputs'!$E$187),2)</f>
        <v>594.63</v>
      </c>
      <c r="K1670" s="169">
        <f t="shared" si="91"/>
        <v>988869.69</v>
      </c>
      <c r="L1670" s="153"/>
      <c r="M1670" s="153"/>
      <c r="N1670" s="153"/>
      <c r="O1670" s="153"/>
    </row>
    <row r="1671" spans="1:15" x14ac:dyDescent="0.2">
      <c r="A1671" s="168">
        <v>1664</v>
      </c>
      <c r="B1671" s="159">
        <v>594.63366392643309</v>
      </c>
      <c r="C1671" s="169">
        <f t="shared" si="90"/>
        <v>989470.41677358467</v>
      </c>
      <c r="D1671" s="153"/>
      <c r="E1671" s="153"/>
      <c r="F1671" s="153"/>
      <c r="G1671" s="153"/>
      <c r="I1671" s="168">
        <v>1664</v>
      </c>
      <c r="J1671" s="159">
        <f>ROUND(B1671*('Model Data Inputs'!$E$184*'Model Data Inputs'!$E$185*'Model Data Inputs'!$E$186*'Model Data Inputs'!$E$187),2)</f>
        <v>594.63</v>
      </c>
      <c r="K1671" s="169">
        <f t="shared" si="91"/>
        <v>989464.32</v>
      </c>
      <c r="L1671" s="153"/>
      <c r="M1671" s="153"/>
      <c r="N1671" s="153"/>
      <c r="O1671" s="153"/>
    </row>
    <row r="1672" spans="1:15" x14ac:dyDescent="0.2">
      <c r="A1672" s="168">
        <v>1665</v>
      </c>
      <c r="B1672" s="159">
        <v>594.63366392643309</v>
      </c>
      <c r="C1672" s="169">
        <f t="shared" ref="C1672:C1735" si="92">A1672*B1672</f>
        <v>990065.05043751106</v>
      </c>
      <c r="D1672" s="153"/>
      <c r="E1672" s="153"/>
      <c r="F1672" s="153"/>
      <c r="G1672" s="153"/>
      <c r="I1672" s="168">
        <v>1665</v>
      </c>
      <c r="J1672" s="159">
        <f>ROUND(B1672*('Model Data Inputs'!$E$184*'Model Data Inputs'!$E$185*'Model Data Inputs'!$E$186*'Model Data Inputs'!$E$187),2)</f>
        <v>594.63</v>
      </c>
      <c r="K1672" s="169">
        <f t="shared" ref="K1672:K1735" si="93">I1672*J1672</f>
        <v>990058.95</v>
      </c>
      <c r="L1672" s="153"/>
      <c r="M1672" s="153"/>
      <c r="N1672" s="153"/>
      <c r="O1672" s="153"/>
    </row>
    <row r="1673" spans="1:15" x14ac:dyDescent="0.2">
      <c r="A1673" s="168">
        <v>1666</v>
      </c>
      <c r="B1673" s="159">
        <v>594.63366392643309</v>
      </c>
      <c r="C1673" s="169">
        <f t="shared" si="92"/>
        <v>990659.68410143757</v>
      </c>
      <c r="D1673" s="153"/>
      <c r="E1673" s="153"/>
      <c r="F1673" s="153"/>
      <c r="G1673" s="153"/>
      <c r="I1673" s="168">
        <v>1666</v>
      </c>
      <c r="J1673" s="159">
        <f>ROUND(B1673*('Model Data Inputs'!$E$184*'Model Data Inputs'!$E$185*'Model Data Inputs'!$E$186*'Model Data Inputs'!$E$187),2)</f>
        <v>594.63</v>
      </c>
      <c r="K1673" s="169">
        <f t="shared" si="93"/>
        <v>990653.58</v>
      </c>
      <c r="L1673" s="153"/>
      <c r="M1673" s="153"/>
      <c r="N1673" s="153"/>
      <c r="O1673" s="153"/>
    </row>
    <row r="1674" spans="1:15" x14ac:dyDescent="0.2">
      <c r="A1674" s="168">
        <v>1667</v>
      </c>
      <c r="B1674" s="159">
        <v>594.63366392643309</v>
      </c>
      <c r="C1674" s="169">
        <f t="shared" si="92"/>
        <v>991254.31776536396</v>
      </c>
      <c r="D1674" s="153"/>
      <c r="E1674" s="153"/>
      <c r="F1674" s="153"/>
      <c r="G1674" s="153"/>
      <c r="I1674" s="168">
        <v>1667</v>
      </c>
      <c r="J1674" s="159">
        <f>ROUND(B1674*('Model Data Inputs'!$E$184*'Model Data Inputs'!$E$185*'Model Data Inputs'!$E$186*'Model Data Inputs'!$E$187),2)</f>
        <v>594.63</v>
      </c>
      <c r="K1674" s="169">
        <f t="shared" si="93"/>
        <v>991248.21</v>
      </c>
      <c r="L1674" s="153"/>
      <c r="M1674" s="153"/>
      <c r="N1674" s="153"/>
      <c r="O1674" s="153"/>
    </row>
    <row r="1675" spans="1:15" x14ac:dyDescent="0.2">
      <c r="A1675" s="168">
        <v>1668</v>
      </c>
      <c r="B1675" s="159">
        <v>594.63366392643309</v>
      </c>
      <c r="C1675" s="169">
        <f t="shared" si="92"/>
        <v>991848.95142929035</v>
      </c>
      <c r="D1675" s="153"/>
      <c r="E1675" s="153"/>
      <c r="F1675" s="153"/>
      <c r="G1675" s="153"/>
      <c r="I1675" s="168">
        <v>1668</v>
      </c>
      <c r="J1675" s="159">
        <f>ROUND(B1675*('Model Data Inputs'!$E$184*'Model Data Inputs'!$E$185*'Model Data Inputs'!$E$186*'Model Data Inputs'!$E$187),2)</f>
        <v>594.63</v>
      </c>
      <c r="K1675" s="169">
        <f t="shared" si="93"/>
        <v>991842.84</v>
      </c>
      <c r="L1675" s="153"/>
      <c r="M1675" s="153"/>
      <c r="N1675" s="153"/>
      <c r="O1675" s="153"/>
    </row>
    <row r="1676" spans="1:15" x14ac:dyDescent="0.2">
      <c r="A1676" s="168">
        <v>1669</v>
      </c>
      <c r="B1676" s="159">
        <v>594.63366392643309</v>
      </c>
      <c r="C1676" s="169">
        <f t="shared" si="92"/>
        <v>992443.58509321685</v>
      </c>
      <c r="D1676" s="153"/>
      <c r="E1676" s="153"/>
      <c r="F1676" s="153"/>
      <c r="G1676" s="153"/>
      <c r="I1676" s="168">
        <v>1669</v>
      </c>
      <c r="J1676" s="159">
        <f>ROUND(B1676*('Model Data Inputs'!$E$184*'Model Data Inputs'!$E$185*'Model Data Inputs'!$E$186*'Model Data Inputs'!$E$187),2)</f>
        <v>594.63</v>
      </c>
      <c r="K1676" s="169">
        <f t="shared" si="93"/>
        <v>992437.47</v>
      </c>
      <c r="L1676" s="153"/>
      <c r="M1676" s="153"/>
      <c r="N1676" s="153"/>
      <c r="O1676" s="153"/>
    </row>
    <row r="1677" spans="1:15" x14ac:dyDescent="0.2">
      <c r="A1677" s="168">
        <v>1670</v>
      </c>
      <c r="B1677" s="159">
        <v>594.63366392643309</v>
      </c>
      <c r="C1677" s="169">
        <f t="shared" si="92"/>
        <v>993038.21875714324</v>
      </c>
      <c r="D1677" s="153"/>
      <c r="E1677" s="153"/>
      <c r="F1677" s="153"/>
      <c r="G1677" s="153"/>
      <c r="I1677" s="168">
        <v>1670</v>
      </c>
      <c r="J1677" s="159">
        <f>ROUND(B1677*('Model Data Inputs'!$E$184*'Model Data Inputs'!$E$185*'Model Data Inputs'!$E$186*'Model Data Inputs'!$E$187),2)</f>
        <v>594.63</v>
      </c>
      <c r="K1677" s="169">
        <f t="shared" si="93"/>
        <v>993032.1</v>
      </c>
      <c r="L1677" s="153"/>
      <c r="M1677" s="153"/>
      <c r="N1677" s="153"/>
      <c r="O1677" s="153"/>
    </row>
    <row r="1678" spans="1:15" x14ac:dyDescent="0.2">
      <c r="A1678" s="168">
        <v>1671</v>
      </c>
      <c r="B1678" s="159">
        <v>594.63366392643309</v>
      </c>
      <c r="C1678" s="169">
        <f t="shared" si="92"/>
        <v>993632.85242106963</v>
      </c>
      <c r="D1678" s="153"/>
      <c r="E1678" s="153"/>
      <c r="F1678" s="153"/>
      <c r="G1678" s="153"/>
      <c r="I1678" s="168">
        <v>1671</v>
      </c>
      <c r="J1678" s="159">
        <f>ROUND(B1678*('Model Data Inputs'!$E$184*'Model Data Inputs'!$E$185*'Model Data Inputs'!$E$186*'Model Data Inputs'!$E$187),2)</f>
        <v>594.63</v>
      </c>
      <c r="K1678" s="169">
        <f t="shared" si="93"/>
        <v>993626.73</v>
      </c>
      <c r="L1678" s="153"/>
      <c r="M1678" s="153"/>
      <c r="N1678" s="153"/>
      <c r="O1678" s="153"/>
    </row>
    <row r="1679" spans="1:15" x14ac:dyDescent="0.2">
      <c r="A1679" s="168">
        <v>1672</v>
      </c>
      <c r="B1679" s="159">
        <v>594.63366392643309</v>
      </c>
      <c r="C1679" s="169">
        <f t="shared" si="92"/>
        <v>994227.48608499614</v>
      </c>
      <c r="D1679" s="153"/>
      <c r="E1679" s="153"/>
      <c r="F1679" s="153"/>
      <c r="G1679" s="153"/>
      <c r="I1679" s="168">
        <v>1672</v>
      </c>
      <c r="J1679" s="159">
        <f>ROUND(B1679*('Model Data Inputs'!$E$184*'Model Data Inputs'!$E$185*'Model Data Inputs'!$E$186*'Model Data Inputs'!$E$187),2)</f>
        <v>594.63</v>
      </c>
      <c r="K1679" s="169">
        <f t="shared" si="93"/>
        <v>994221.36</v>
      </c>
      <c r="L1679" s="153"/>
      <c r="M1679" s="153"/>
      <c r="N1679" s="153"/>
      <c r="O1679" s="153"/>
    </row>
    <row r="1680" spans="1:15" x14ac:dyDescent="0.2">
      <c r="A1680" s="168">
        <v>1673</v>
      </c>
      <c r="B1680" s="159">
        <v>594.63366392643309</v>
      </c>
      <c r="C1680" s="169">
        <f t="shared" si="92"/>
        <v>994822.11974892253</v>
      </c>
      <c r="D1680" s="153"/>
      <c r="E1680" s="153"/>
      <c r="F1680" s="153"/>
      <c r="G1680" s="153"/>
      <c r="I1680" s="168">
        <v>1673</v>
      </c>
      <c r="J1680" s="159">
        <f>ROUND(B1680*('Model Data Inputs'!$E$184*'Model Data Inputs'!$E$185*'Model Data Inputs'!$E$186*'Model Data Inputs'!$E$187),2)</f>
        <v>594.63</v>
      </c>
      <c r="K1680" s="169">
        <f t="shared" si="93"/>
        <v>994815.99</v>
      </c>
      <c r="L1680" s="153"/>
      <c r="M1680" s="153"/>
      <c r="N1680" s="153"/>
      <c r="O1680" s="153"/>
    </row>
    <row r="1681" spans="1:15" x14ac:dyDescent="0.2">
      <c r="A1681" s="168">
        <v>1674</v>
      </c>
      <c r="B1681" s="159">
        <v>594.63366392643309</v>
      </c>
      <c r="C1681" s="169">
        <f t="shared" si="92"/>
        <v>995416.75341284904</v>
      </c>
      <c r="D1681" s="153"/>
      <c r="E1681" s="153"/>
      <c r="F1681" s="153"/>
      <c r="G1681" s="153"/>
      <c r="I1681" s="168">
        <v>1674</v>
      </c>
      <c r="J1681" s="159">
        <f>ROUND(B1681*('Model Data Inputs'!$E$184*'Model Data Inputs'!$E$185*'Model Data Inputs'!$E$186*'Model Data Inputs'!$E$187),2)</f>
        <v>594.63</v>
      </c>
      <c r="K1681" s="169">
        <f t="shared" si="93"/>
        <v>995410.62</v>
      </c>
      <c r="L1681" s="153"/>
      <c r="M1681" s="153"/>
      <c r="N1681" s="153"/>
      <c r="O1681" s="153"/>
    </row>
    <row r="1682" spans="1:15" x14ac:dyDescent="0.2">
      <c r="A1682" s="168">
        <v>1675</v>
      </c>
      <c r="B1682" s="159">
        <v>594.63366392643309</v>
      </c>
      <c r="C1682" s="169">
        <f t="shared" si="92"/>
        <v>996011.38707677543</v>
      </c>
      <c r="D1682" s="153"/>
      <c r="E1682" s="153"/>
      <c r="F1682" s="153"/>
      <c r="G1682" s="153"/>
      <c r="I1682" s="168">
        <v>1675</v>
      </c>
      <c r="J1682" s="159">
        <f>ROUND(B1682*('Model Data Inputs'!$E$184*'Model Data Inputs'!$E$185*'Model Data Inputs'!$E$186*'Model Data Inputs'!$E$187),2)</f>
        <v>594.63</v>
      </c>
      <c r="K1682" s="169">
        <f t="shared" si="93"/>
        <v>996005.25</v>
      </c>
      <c r="L1682" s="153"/>
      <c r="M1682" s="153"/>
      <c r="N1682" s="153"/>
      <c r="O1682" s="153"/>
    </row>
    <row r="1683" spans="1:15" x14ac:dyDescent="0.2">
      <c r="A1683" s="168">
        <v>1676</v>
      </c>
      <c r="B1683" s="159">
        <v>594.63366392643309</v>
      </c>
      <c r="C1683" s="169">
        <f t="shared" si="92"/>
        <v>996606.02074070182</v>
      </c>
      <c r="D1683" s="153"/>
      <c r="E1683" s="153"/>
      <c r="F1683" s="153"/>
      <c r="G1683" s="153"/>
      <c r="I1683" s="168">
        <v>1676</v>
      </c>
      <c r="J1683" s="159">
        <f>ROUND(B1683*('Model Data Inputs'!$E$184*'Model Data Inputs'!$E$185*'Model Data Inputs'!$E$186*'Model Data Inputs'!$E$187),2)</f>
        <v>594.63</v>
      </c>
      <c r="K1683" s="169">
        <f t="shared" si="93"/>
        <v>996599.88</v>
      </c>
      <c r="L1683" s="153"/>
      <c r="M1683" s="153"/>
      <c r="N1683" s="153"/>
      <c r="O1683" s="153"/>
    </row>
    <row r="1684" spans="1:15" x14ac:dyDescent="0.2">
      <c r="A1684" s="168">
        <v>1677</v>
      </c>
      <c r="B1684" s="159">
        <v>594.63366392643309</v>
      </c>
      <c r="C1684" s="169">
        <f t="shared" si="92"/>
        <v>997200.65440462832</v>
      </c>
      <c r="D1684" s="153"/>
      <c r="E1684" s="153"/>
      <c r="F1684" s="153"/>
      <c r="G1684" s="153"/>
      <c r="I1684" s="168">
        <v>1677</v>
      </c>
      <c r="J1684" s="159">
        <f>ROUND(B1684*('Model Data Inputs'!$E$184*'Model Data Inputs'!$E$185*'Model Data Inputs'!$E$186*'Model Data Inputs'!$E$187),2)</f>
        <v>594.63</v>
      </c>
      <c r="K1684" s="169">
        <f t="shared" si="93"/>
        <v>997194.51</v>
      </c>
      <c r="L1684" s="153"/>
      <c r="M1684" s="153"/>
      <c r="N1684" s="153"/>
      <c r="O1684" s="153"/>
    </row>
    <row r="1685" spans="1:15" x14ac:dyDescent="0.2">
      <c r="A1685" s="168">
        <v>1678</v>
      </c>
      <c r="B1685" s="159">
        <v>594.63366392643309</v>
      </c>
      <c r="C1685" s="169">
        <f t="shared" si="92"/>
        <v>997795.28806855471</v>
      </c>
      <c r="D1685" s="153"/>
      <c r="E1685" s="153"/>
      <c r="F1685" s="153"/>
      <c r="G1685" s="153"/>
      <c r="I1685" s="168">
        <v>1678</v>
      </c>
      <c r="J1685" s="159">
        <f>ROUND(B1685*('Model Data Inputs'!$E$184*'Model Data Inputs'!$E$185*'Model Data Inputs'!$E$186*'Model Data Inputs'!$E$187),2)</f>
        <v>594.63</v>
      </c>
      <c r="K1685" s="169">
        <f t="shared" si="93"/>
        <v>997789.14</v>
      </c>
      <c r="L1685" s="153"/>
      <c r="M1685" s="153"/>
      <c r="N1685" s="153"/>
      <c r="O1685" s="153"/>
    </row>
    <row r="1686" spans="1:15" x14ac:dyDescent="0.2">
      <c r="A1686" s="168">
        <v>1679</v>
      </c>
      <c r="B1686" s="159">
        <v>594.63366392643309</v>
      </c>
      <c r="C1686" s="169">
        <f t="shared" si="92"/>
        <v>998389.9217324811</v>
      </c>
      <c r="D1686" s="153"/>
      <c r="E1686" s="153"/>
      <c r="F1686" s="153"/>
      <c r="G1686" s="153"/>
      <c r="I1686" s="168">
        <v>1679</v>
      </c>
      <c r="J1686" s="159">
        <f>ROUND(B1686*('Model Data Inputs'!$E$184*'Model Data Inputs'!$E$185*'Model Data Inputs'!$E$186*'Model Data Inputs'!$E$187),2)</f>
        <v>594.63</v>
      </c>
      <c r="K1686" s="169">
        <f t="shared" si="93"/>
        <v>998383.77</v>
      </c>
      <c r="L1686" s="153"/>
      <c r="M1686" s="153"/>
      <c r="N1686" s="153"/>
      <c r="O1686" s="153"/>
    </row>
    <row r="1687" spans="1:15" x14ac:dyDescent="0.2">
      <c r="A1687" s="168">
        <v>1680</v>
      </c>
      <c r="B1687" s="159">
        <v>594.63366392643309</v>
      </c>
      <c r="C1687" s="169">
        <f t="shared" si="92"/>
        <v>998984.55539640761</v>
      </c>
      <c r="D1687" s="153"/>
      <c r="E1687" s="153"/>
      <c r="F1687" s="153"/>
      <c r="G1687" s="153"/>
      <c r="I1687" s="168">
        <v>1680</v>
      </c>
      <c r="J1687" s="159">
        <f>ROUND(B1687*('Model Data Inputs'!$E$184*'Model Data Inputs'!$E$185*'Model Data Inputs'!$E$186*'Model Data Inputs'!$E$187),2)</f>
        <v>594.63</v>
      </c>
      <c r="K1687" s="169">
        <f t="shared" si="93"/>
        <v>998978.4</v>
      </c>
      <c r="L1687" s="153"/>
      <c r="M1687" s="153"/>
      <c r="N1687" s="153"/>
      <c r="O1687" s="153"/>
    </row>
    <row r="1688" spans="1:15" x14ac:dyDescent="0.2">
      <c r="A1688" s="168">
        <v>1681</v>
      </c>
      <c r="B1688" s="159">
        <v>594.63366392643309</v>
      </c>
      <c r="C1688" s="169">
        <f t="shared" si="92"/>
        <v>999579.189060334</v>
      </c>
      <c r="D1688" s="153"/>
      <c r="E1688" s="153"/>
      <c r="F1688" s="153"/>
      <c r="G1688" s="153"/>
      <c r="I1688" s="168">
        <v>1681</v>
      </c>
      <c r="J1688" s="159">
        <f>ROUND(B1688*('Model Data Inputs'!$E$184*'Model Data Inputs'!$E$185*'Model Data Inputs'!$E$186*'Model Data Inputs'!$E$187),2)</f>
        <v>594.63</v>
      </c>
      <c r="K1688" s="169">
        <f t="shared" si="93"/>
        <v>999573.03</v>
      </c>
      <c r="L1688" s="153"/>
      <c r="M1688" s="153"/>
      <c r="N1688" s="153"/>
      <c r="O1688" s="153"/>
    </row>
    <row r="1689" spans="1:15" x14ac:dyDescent="0.2">
      <c r="A1689" s="168">
        <v>1682</v>
      </c>
      <c r="B1689" s="159">
        <v>594.63366392643309</v>
      </c>
      <c r="C1689" s="169">
        <f t="shared" si="92"/>
        <v>1000173.8227242605</v>
      </c>
      <c r="D1689" s="153"/>
      <c r="E1689" s="153"/>
      <c r="F1689" s="153"/>
      <c r="G1689" s="153"/>
      <c r="I1689" s="168">
        <v>1682</v>
      </c>
      <c r="J1689" s="159">
        <f>ROUND(B1689*('Model Data Inputs'!$E$184*'Model Data Inputs'!$E$185*'Model Data Inputs'!$E$186*'Model Data Inputs'!$E$187),2)</f>
        <v>594.63</v>
      </c>
      <c r="K1689" s="169">
        <f t="shared" si="93"/>
        <v>1000167.66</v>
      </c>
      <c r="L1689" s="153"/>
      <c r="M1689" s="153"/>
      <c r="N1689" s="153"/>
      <c r="O1689" s="153"/>
    </row>
    <row r="1690" spans="1:15" x14ac:dyDescent="0.2">
      <c r="A1690" s="168">
        <v>1683</v>
      </c>
      <c r="B1690" s="159">
        <v>594.63366392643309</v>
      </c>
      <c r="C1690" s="169">
        <f t="shared" si="92"/>
        <v>1000768.4563881869</v>
      </c>
      <c r="D1690" s="153"/>
      <c r="E1690" s="153"/>
      <c r="F1690" s="153"/>
      <c r="G1690" s="153"/>
      <c r="I1690" s="168">
        <v>1683</v>
      </c>
      <c r="J1690" s="159">
        <f>ROUND(B1690*('Model Data Inputs'!$E$184*'Model Data Inputs'!$E$185*'Model Data Inputs'!$E$186*'Model Data Inputs'!$E$187),2)</f>
        <v>594.63</v>
      </c>
      <c r="K1690" s="169">
        <f t="shared" si="93"/>
        <v>1000762.29</v>
      </c>
      <c r="L1690" s="153"/>
      <c r="M1690" s="153"/>
      <c r="N1690" s="153"/>
      <c r="O1690" s="153"/>
    </row>
    <row r="1691" spans="1:15" x14ac:dyDescent="0.2">
      <c r="A1691" s="168">
        <v>1684</v>
      </c>
      <c r="B1691" s="159">
        <v>594.63366392643309</v>
      </c>
      <c r="C1691" s="169">
        <f t="shared" si="92"/>
        <v>1001363.0900521133</v>
      </c>
      <c r="D1691" s="153"/>
      <c r="E1691" s="153"/>
      <c r="F1691" s="153"/>
      <c r="G1691" s="153"/>
      <c r="I1691" s="168">
        <v>1684</v>
      </c>
      <c r="J1691" s="159">
        <f>ROUND(B1691*('Model Data Inputs'!$E$184*'Model Data Inputs'!$E$185*'Model Data Inputs'!$E$186*'Model Data Inputs'!$E$187),2)</f>
        <v>594.63</v>
      </c>
      <c r="K1691" s="169">
        <f t="shared" si="93"/>
        <v>1001356.92</v>
      </c>
      <c r="L1691" s="153"/>
      <c r="M1691" s="153"/>
      <c r="N1691" s="153"/>
      <c r="O1691" s="153"/>
    </row>
    <row r="1692" spans="1:15" x14ac:dyDescent="0.2">
      <c r="A1692" s="168">
        <v>1685</v>
      </c>
      <c r="B1692" s="159">
        <v>594.63366392643309</v>
      </c>
      <c r="C1692" s="169">
        <f t="shared" si="92"/>
        <v>1001957.7237160398</v>
      </c>
      <c r="D1692" s="153"/>
      <c r="E1692" s="153"/>
      <c r="F1692" s="153"/>
      <c r="G1692" s="153"/>
      <c r="I1692" s="168">
        <v>1685</v>
      </c>
      <c r="J1692" s="159">
        <f>ROUND(B1692*('Model Data Inputs'!$E$184*'Model Data Inputs'!$E$185*'Model Data Inputs'!$E$186*'Model Data Inputs'!$E$187),2)</f>
        <v>594.63</v>
      </c>
      <c r="K1692" s="169">
        <f t="shared" si="93"/>
        <v>1001951.55</v>
      </c>
      <c r="L1692" s="153"/>
      <c r="M1692" s="153"/>
      <c r="N1692" s="153"/>
      <c r="O1692" s="153"/>
    </row>
    <row r="1693" spans="1:15" x14ac:dyDescent="0.2">
      <c r="A1693" s="168">
        <v>1686</v>
      </c>
      <c r="B1693" s="159">
        <v>594.63366392643309</v>
      </c>
      <c r="C1693" s="169">
        <f t="shared" si="92"/>
        <v>1002552.3573799662</v>
      </c>
      <c r="D1693" s="153"/>
      <c r="E1693" s="153"/>
      <c r="F1693" s="153"/>
      <c r="G1693" s="153"/>
      <c r="I1693" s="168">
        <v>1686</v>
      </c>
      <c r="J1693" s="159">
        <f>ROUND(B1693*('Model Data Inputs'!$E$184*'Model Data Inputs'!$E$185*'Model Data Inputs'!$E$186*'Model Data Inputs'!$E$187),2)</f>
        <v>594.63</v>
      </c>
      <c r="K1693" s="169">
        <f t="shared" si="93"/>
        <v>1002546.1799999999</v>
      </c>
      <c r="L1693" s="153"/>
      <c r="M1693" s="153"/>
      <c r="N1693" s="153"/>
      <c r="O1693" s="153"/>
    </row>
    <row r="1694" spans="1:15" x14ac:dyDescent="0.2">
      <c r="A1694" s="168">
        <v>1687</v>
      </c>
      <c r="B1694" s="159">
        <v>594.63366392643309</v>
      </c>
      <c r="C1694" s="169">
        <f t="shared" si="92"/>
        <v>1003146.9910438926</v>
      </c>
      <c r="D1694" s="153"/>
      <c r="E1694" s="153"/>
      <c r="F1694" s="153"/>
      <c r="G1694" s="153"/>
      <c r="I1694" s="168">
        <v>1687</v>
      </c>
      <c r="J1694" s="159">
        <f>ROUND(B1694*('Model Data Inputs'!$E$184*'Model Data Inputs'!$E$185*'Model Data Inputs'!$E$186*'Model Data Inputs'!$E$187),2)</f>
        <v>594.63</v>
      </c>
      <c r="K1694" s="169">
        <f t="shared" si="93"/>
        <v>1003140.8099999999</v>
      </c>
      <c r="L1694" s="153"/>
      <c r="M1694" s="153"/>
      <c r="N1694" s="153"/>
      <c r="O1694" s="153"/>
    </row>
    <row r="1695" spans="1:15" x14ac:dyDescent="0.2">
      <c r="A1695" s="168">
        <v>1688</v>
      </c>
      <c r="B1695" s="159">
        <v>594.63366392643309</v>
      </c>
      <c r="C1695" s="169">
        <f t="shared" si="92"/>
        <v>1003741.6247078191</v>
      </c>
      <c r="D1695" s="153"/>
      <c r="E1695" s="153"/>
      <c r="F1695" s="153"/>
      <c r="G1695" s="153"/>
      <c r="I1695" s="168">
        <v>1688</v>
      </c>
      <c r="J1695" s="159">
        <f>ROUND(B1695*('Model Data Inputs'!$E$184*'Model Data Inputs'!$E$185*'Model Data Inputs'!$E$186*'Model Data Inputs'!$E$187),2)</f>
        <v>594.63</v>
      </c>
      <c r="K1695" s="169">
        <f t="shared" si="93"/>
        <v>1003735.44</v>
      </c>
      <c r="L1695" s="153"/>
      <c r="M1695" s="153"/>
      <c r="N1695" s="153"/>
      <c r="O1695" s="153"/>
    </row>
    <row r="1696" spans="1:15" x14ac:dyDescent="0.2">
      <c r="A1696" s="168">
        <v>1689</v>
      </c>
      <c r="B1696" s="159">
        <v>594.63366392643309</v>
      </c>
      <c r="C1696" s="169">
        <f t="shared" si="92"/>
        <v>1004336.2583717455</v>
      </c>
      <c r="D1696" s="153"/>
      <c r="E1696" s="153"/>
      <c r="F1696" s="153"/>
      <c r="G1696" s="153"/>
      <c r="I1696" s="168">
        <v>1689</v>
      </c>
      <c r="J1696" s="159">
        <f>ROUND(B1696*('Model Data Inputs'!$E$184*'Model Data Inputs'!$E$185*'Model Data Inputs'!$E$186*'Model Data Inputs'!$E$187),2)</f>
        <v>594.63</v>
      </c>
      <c r="K1696" s="169">
        <f t="shared" si="93"/>
        <v>1004330.07</v>
      </c>
      <c r="L1696" s="153"/>
      <c r="M1696" s="153"/>
      <c r="N1696" s="153"/>
      <c r="O1696" s="153"/>
    </row>
    <row r="1697" spans="1:15" x14ac:dyDescent="0.2">
      <c r="A1697" s="168">
        <v>1690</v>
      </c>
      <c r="B1697" s="159">
        <v>594.63366392643309</v>
      </c>
      <c r="C1697" s="169">
        <f t="shared" si="92"/>
        <v>1004930.8920356719</v>
      </c>
      <c r="D1697" s="153"/>
      <c r="E1697" s="153"/>
      <c r="F1697" s="153"/>
      <c r="G1697" s="153"/>
      <c r="I1697" s="168">
        <v>1690</v>
      </c>
      <c r="J1697" s="159">
        <f>ROUND(B1697*('Model Data Inputs'!$E$184*'Model Data Inputs'!$E$185*'Model Data Inputs'!$E$186*'Model Data Inputs'!$E$187),2)</f>
        <v>594.63</v>
      </c>
      <c r="K1697" s="169">
        <f t="shared" si="93"/>
        <v>1004924.7</v>
      </c>
      <c r="L1697" s="153"/>
      <c r="M1697" s="153"/>
      <c r="N1697" s="153"/>
      <c r="O1697" s="153"/>
    </row>
    <row r="1698" spans="1:15" x14ac:dyDescent="0.2">
      <c r="A1698" s="168">
        <v>1691</v>
      </c>
      <c r="B1698" s="159">
        <v>594.63366392643309</v>
      </c>
      <c r="C1698" s="169">
        <f t="shared" si="92"/>
        <v>1005525.5256995984</v>
      </c>
      <c r="D1698" s="153"/>
      <c r="E1698" s="153"/>
      <c r="F1698" s="153"/>
      <c r="G1698" s="153"/>
      <c r="I1698" s="168">
        <v>1691</v>
      </c>
      <c r="J1698" s="159">
        <f>ROUND(B1698*('Model Data Inputs'!$E$184*'Model Data Inputs'!$E$185*'Model Data Inputs'!$E$186*'Model Data Inputs'!$E$187),2)</f>
        <v>594.63</v>
      </c>
      <c r="K1698" s="169">
        <f t="shared" si="93"/>
        <v>1005519.33</v>
      </c>
      <c r="L1698" s="153"/>
      <c r="M1698" s="153"/>
      <c r="N1698" s="153"/>
      <c r="O1698" s="153"/>
    </row>
    <row r="1699" spans="1:15" x14ac:dyDescent="0.2">
      <c r="A1699" s="168">
        <v>1692</v>
      </c>
      <c r="B1699" s="159">
        <v>594.63366392643309</v>
      </c>
      <c r="C1699" s="169">
        <f t="shared" si="92"/>
        <v>1006120.1593635248</v>
      </c>
      <c r="D1699" s="153"/>
      <c r="E1699" s="153"/>
      <c r="F1699" s="153"/>
      <c r="G1699" s="153"/>
      <c r="I1699" s="168">
        <v>1692</v>
      </c>
      <c r="J1699" s="159">
        <f>ROUND(B1699*('Model Data Inputs'!$E$184*'Model Data Inputs'!$E$185*'Model Data Inputs'!$E$186*'Model Data Inputs'!$E$187),2)</f>
        <v>594.63</v>
      </c>
      <c r="K1699" s="169">
        <f t="shared" si="93"/>
        <v>1006113.96</v>
      </c>
      <c r="L1699" s="153"/>
      <c r="M1699" s="153"/>
      <c r="N1699" s="153"/>
      <c r="O1699" s="153"/>
    </row>
    <row r="1700" spans="1:15" x14ac:dyDescent="0.2">
      <c r="A1700" s="168">
        <v>1693</v>
      </c>
      <c r="B1700" s="159">
        <v>594.63366392643309</v>
      </c>
      <c r="C1700" s="169">
        <f t="shared" si="92"/>
        <v>1006714.7930274513</v>
      </c>
      <c r="D1700" s="153"/>
      <c r="E1700" s="153"/>
      <c r="F1700" s="153"/>
      <c r="G1700" s="153"/>
      <c r="I1700" s="168">
        <v>1693</v>
      </c>
      <c r="J1700" s="159">
        <f>ROUND(B1700*('Model Data Inputs'!$E$184*'Model Data Inputs'!$E$185*'Model Data Inputs'!$E$186*'Model Data Inputs'!$E$187),2)</f>
        <v>594.63</v>
      </c>
      <c r="K1700" s="169">
        <f t="shared" si="93"/>
        <v>1006708.59</v>
      </c>
      <c r="L1700" s="153"/>
      <c r="M1700" s="153"/>
      <c r="N1700" s="153"/>
      <c r="O1700" s="153"/>
    </row>
    <row r="1701" spans="1:15" x14ac:dyDescent="0.2">
      <c r="A1701" s="168">
        <v>1694</v>
      </c>
      <c r="B1701" s="159">
        <v>594.63366392643309</v>
      </c>
      <c r="C1701" s="169">
        <f t="shared" si="92"/>
        <v>1007309.4266913777</v>
      </c>
      <c r="D1701" s="153"/>
      <c r="E1701" s="153"/>
      <c r="F1701" s="153"/>
      <c r="G1701" s="153"/>
      <c r="I1701" s="168">
        <v>1694</v>
      </c>
      <c r="J1701" s="159">
        <f>ROUND(B1701*('Model Data Inputs'!$E$184*'Model Data Inputs'!$E$185*'Model Data Inputs'!$E$186*'Model Data Inputs'!$E$187),2)</f>
        <v>594.63</v>
      </c>
      <c r="K1701" s="169">
        <f t="shared" si="93"/>
        <v>1007303.22</v>
      </c>
      <c r="L1701" s="153"/>
      <c r="M1701" s="153"/>
      <c r="N1701" s="153"/>
      <c r="O1701" s="153"/>
    </row>
    <row r="1702" spans="1:15" x14ac:dyDescent="0.2">
      <c r="A1702" s="168">
        <v>1695</v>
      </c>
      <c r="B1702" s="159">
        <v>594.63366392643309</v>
      </c>
      <c r="C1702" s="169">
        <f t="shared" si="92"/>
        <v>1007904.060355304</v>
      </c>
      <c r="D1702" s="153"/>
      <c r="E1702" s="153"/>
      <c r="F1702" s="153"/>
      <c r="G1702" s="153"/>
      <c r="I1702" s="168">
        <v>1695</v>
      </c>
      <c r="J1702" s="159">
        <f>ROUND(B1702*('Model Data Inputs'!$E$184*'Model Data Inputs'!$E$185*'Model Data Inputs'!$E$186*'Model Data Inputs'!$E$187),2)</f>
        <v>594.63</v>
      </c>
      <c r="K1702" s="169">
        <f t="shared" si="93"/>
        <v>1007897.85</v>
      </c>
      <c r="L1702" s="153"/>
      <c r="M1702" s="153"/>
      <c r="N1702" s="153"/>
      <c r="O1702" s="153"/>
    </row>
    <row r="1703" spans="1:15" x14ac:dyDescent="0.2">
      <c r="A1703" s="168">
        <v>1696</v>
      </c>
      <c r="B1703" s="159">
        <v>594.63366392643309</v>
      </c>
      <c r="C1703" s="169">
        <f t="shared" si="92"/>
        <v>1008498.6940192305</v>
      </c>
      <c r="D1703" s="153"/>
      <c r="E1703" s="153"/>
      <c r="F1703" s="153"/>
      <c r="G1703" s="153"/>
      <c r="I1703" s="168">
        <v>1696</v>
      </c>
      <c r="J1703" s="159">
        <f>ROUND(B1703*('Model Data Inputs'!$E$184*'Model Data Inputs'!$E$185*'Model Data Inputs'!$E$186*'Model Data Inputs'!$E$187),2)</f>
        <v>594.63</v>
      </c>
      <c r="K1703" s="169">
        <f t="shared" si="93"/>
        <v>1008492.48</v>
      </c>
      <c r="L1703" s="153"/>
      <c r="M1703" s="153"/>
      <c r="N1703" s="153"/>
      <c r="O1703" s="153"/>
    </row>
    <row r="1704" spans="1:15" x14ac:dyDescent="0.2">
      <c r="A1704" s="168">
        <v>1697</v>
      </c>
      <c r="B1704" s="159">
        <v>594.63366392643309</v>
      </c>
      <c r="C1704" s="169">
        <f t="shared" si="92"/>
        <v>1009093.3276831569</v>
      </c>
      <c r="D1704" s="153"/>
      <c r="E1704" s="153"/>
      <c r="F1704" s="153"/>
      <c r="G1704" s="153"/>
      <c r="I1704" s="168">
        <v>1697</v>
      </c>
      <c r="J1704" s="159">
        <f>ROUND(B1704*('Model Data Inputs'!$E$184*'Model Data Inputs'!$E$185*'Model Data Inputs'!$E$186*'Model Data Inputs'!$E$187),2)</f>
        <v>594.63</v>
      </c>
      <c r="K1704" s="169">
        <f t="shared" si="93"/>
        <v>1009087.11</v>
      </c>
      <c r="L1704" s="153"/>
      <c r="M1704" s="153"/>
      <c r="N1704" s="153"/>
      <c r="O1704" s="153"/>
    </row>
    <row r="1705" spans="1:15" x14ac:dyDescent="0.2">
      <c r="A1705" s="168">
        <v>1698</v>
      </c>
      <c r="B1705" s="159">
        <v>594.63366392643309</v>
      </c>
      <c r="C1705" s="169">
        <f t="shared" si="92"/>
        <v>1009687.9613470833</v>
      </c>
      <c r="D1705" s="153"/>
      <c r="E1705" s="153"/>
      <c r="F1705" s="153"/>
      <c r="G1705" s="153"/>
      <c r="I1705" s="168">
        <v>1698</v>
      </c>
      <c r="J1705" s="159">
        <f>ROUND(B1705*('Model Data Inputs'!$E$184*'Model Data Inputs'!$E$185*'Model Data Inputs'!$E$186*'Model Data Inputs'!$E$187),2)</f>
        <v>594.63</v>
      </c>
      <c r="K1705" s="169">
        <f t="shared" si="93"/>
        <v>1009681.74</v>
      </c>
      <c r="L1705" s="153"/>
      <c r="M1705" s="153"/>
      <c r="N1705" s="153"/>
      <c r="O1705" s="153"/>
    </row>
    <row r="1706" spans="1:15" x14ac:dyDescent="0.2">
      <c r="A1706" s="168">
        <v>1699</v>
      </c>
      <c r="B1706" s="159">
        <v>594.63366392643309</v>
      </c>
      <c r="C1706" s="169">
        <f t="shared" si="92"/>
        <v>1010282.5950110098</v>
      </c>
      <c r="D1706" s="153"/>
      <c r="E1706" s="153"/>
      <c r="F1706" s="153"/>
      <c r="G1706" s="153"/>
      <c r="I1706" s="168">
        <v>1699</v>
      </c>
      <c r="J1706" s="159">
        <f>ROUND(B1706*('Model Data Inputs'!$E$184*'Model Data Inputs'!$E$185*'Model Data Inputs'!$E$186*'Model Data Inputs'!$E$187),2)</f>
        <v>594.63</v>
      </c>
      <c r="K1706" s="169">
        <f t="shared" si="93"/>
        <v>1010276.37</v>
      </c>
      <c r="L1706" s="153"/>
      <c r="M1706" s="153"/>
      <c r="N1706" s="153"/>
      <c r="O1706" s="153"/>
    </row>
    <row r="1707" spans="1:15" x14ac:dyDescent="0.2">
      <c r="A1707" s="168">
        <v>1700</v>
      </c>
      <c r="B1707" s="159">
        <v>594.63366392643309</v>
      </c>
      <c r="C1707" s="169">
        <f t="shared" si="92"/>
        <v>1010877.2286749362</v>
      </c>
      <c r="D1707" s="153"/>
      <c r="E1707" s="153"/>
      <c r="F1707" s="153"/>
      <c r="G1707" s="153"/>
      <c r="I1707" s="168">
        <v>1700</v>
      </c>
      <c r="J1707" s="159">
        <f>ROUND(B1707*('Model Data Inputs'!$E$184*'Model Data Inputs'!$E$185*'Model Data Inputs'!$E$186*'Model Data Inputs'!$E$187),2)</f>
        <v>594.63</v>
      </c>
      <c r="K1707" s="169">
        <f t="shared" si="93"/>
        <v>1010871</v>
      </c>
      <c r="L1707" s="153"/>
      <c r="M1707" s="153"/>
      <c r="N1707" s="153"/>
      <c r="O1707" s="153"/>
    </row>
    <row r="1708" spans="1:15" x14ac:dyDescent="0.2">
      <c r="A1708" s="168">
        <v>1701</v>
      </c>
      <c r="B1708" s="159">
        <v>594.63366392643309</v>
      </c>
      <c r="C1708" s="169">
        <f t="shared" si="92"/>
        <v>1011471.8623388627</v>
      </c>
      <c r="D1708" s="153"/>
      <c r="E1708" s="153"/>
      <c r="F1708" s="153"/>
      <c r="G1708" s="153"/>
      <c r="I1708" s="168">
        <v>1701</v>
      </c>
      <c r="J1708" s="159">
        <f>ROUND(B1708*('Model Data Inputs'!$E$184*'Model Data Inputs'!$E$185*'Model Data Inputs'!$E$186*'Model Data Inputs'!$E$187),2)</f>
        <v>594.63</v>
      </c>
      <c r="K1708" s="169">
        <f t="shared" si="93"/>
        <v>1011465.63</v>
      </c>
      <c r="L1708" s="153"/>
      <c r="M1708" s="153"/>
      <c r="N1708" s="153"/>
      <c r="O1708" s="153"/>
    </row>
    <row r="1709" spans="1:15" x14ac:dyDescent="0.2">
      <c r="A1709" s="168">
        <v>1702</v>
      </c>
      <c r="B1709" s="159">
        <v>594.63366392643309</v>
      </c>
      <c r="C1709" s="169">
        <f t="shared" si="92"/>
        <v>1012066.4960027891</v>
      </c>
      <c r="D1709" s="153"/>
      <c r="E1709" s="153"/>
      <c r="F1709" s="153"/>
      <c r="G1709" s="153"/>
      <c r="I1709" s="168">
        <v>1702</v>
      </c>
      <c r="J1709" s="159">
        <f>ROUND(B1709*('Model Data Inputs'!$E$184*'Model Data Inputs'!$E$185*'Model Data Inputs'!$E$186*'Model Data Inputs'!$E$187),2)</f>
        <v>594.63</v>
      </c>
      <c r="K1709" s="169">
        <f t="shared" si="93"/>
        <v>1012060.26</v>
      </c>
      <c r="L1709" s="153"/>
      <c r="M1709" s="153"/>
      <c r="N1709" s="153"/>
      <c r="O1709" s="153"/>
    </row>
    <row r="1710" spans="1:15" x14ac:dyDescent="0.2">
      <c r="A1710" s="168">
        <v>1703</v>
      </c>
      <c r="B1710" s="159">
        <v>594.63366392643309</v>
      </c>
      <c r="C1710" s="169">
        <f t="shared" si="92"/>
        <v>1012661.1296667155</v>
      </c>
      <c r="D1710" s="153"/>
      <c r="E1710" s="153"/>
      <c r="F1710" s="153"/>
      <c r="G1710" s="153"/>
      <c r="I1710" s="168">
        <v>1703</v>
      </c>
      <c r="J1710" s="159">
        <f>ROUND(B1710*('Model Data Inputs'!$E$184*'Model Data Inputs'!$E$185*'Model Data Inputs'!$E$186*'Model Data Inputs'!$E$187),2)</f>
        <v>594.63</v>
      </c>
      <c r="K1710" s="169">
        <f t="shared" si="93"/>
        <v>1012654.89</v>
      </c>
      <c r="L1710" s="153"/>
      <c r="M1710" s="153"/>
      <c r="N1710" s="153"/>
      <c r="O1710" s="153"/>
    </row>
    <row r="1711" spans="1:15" x14ac:dyDescent="0.2">
      <c r="A1711" s="168">
        <v>1704</v>
      </c>
      <c r="B1711" s="159">
        <v>594.63366392643309</v>
      </c>
      <c r="C1711" s="169">
        <f t="shared" si="92"/>
        <v>1013255.763330642</v>
      </c>
      <c r="D1711" s="153"/>
      <c r="E1711" s="153"/>
      <c r="F1711" s="153"/>
      <c r="G1711" s="153"/>
      <c r="I1711" s="168">
        <v>1704</v>
      </c>
      <c r="J1711" s="159">
        <f>ROUND(B1711*('Model Data Inputs'!$E$184*'Model Data Inputs'!$E$185*'Model Data Inputs'!$E$186*'Model Data Inputs'!$E$187),2)</f>
        <v>594.63</v>
      </c>
      <c r="K1711" s="169">
        <f t="shared" si="93"/>
        <v>1013249.52</v>
      </c>
      <c r="L1711" s="153"/>
      <c r="M1711" s="153"/>
      <c r="N1711" s="153"/>
      <c r="O1711" s="153"/>
    </row>
    <row r="1712" spans="1:15" x14ac:dyDescent="0.2">
      <c r="A1712" s="168">
        <v>1705</v>
      </c>
      <c r="B1712" s="159">
        <v>594.63366392643309</v>
      </c>
      <c r="C1712" s="169">
        <f t="shared" si="92"/>
        <v>1013850.3969945684</v>
      </c>
      <c r="D1712" s="153"/>
      <c r="E1712" s="153"/>
      <c r="F1712" s="153"/>
      <c r="G1712" s="153"/>
      <c r="I1712" s="168">
        <v>1705</v>
      </c>
      <c r="J1712" s="159">
        <f>ROUND(B1712*('Model Data Inputs'!$E$184*'Model Data Inputs'!$E$185*'Model Data Inputs'!$E$186*'Model Data Inputs'!$E$187),2)</f>
        <v>594.63</v>
      </c>
      <c r="K1712" s="169">
        <f t="shared" si="93"/>
        <v>1013844.15</v>
      </c>
      <c r="L1712" s="153"/>
      <c r="M1712" s="153"/>
      <c r="N1712" s="153"/>
      <c r="O1712" s="153"/>
    </row>
    <row r="1713" spans="1:15" x14ac:dyDescent="0.2">
      <c r="A1713" s="168">
        <v>1706</v>
      </c>
      <c r="B1713" s="159">
        <v>594.63366392643309</v>
      </c>
      <c r="C1713" s="169">
        <f t="shared" si="92"/>
        <v>1014445.0306584948</v>
      </c>
      <c r="D1713" s="153"/>
      <c r="E1713" s="153"/>
      <c r="F1713" s="153"/>
      <c r="G1713" s="153"/>
      <c r="I1713" s="168">
        <v>1706</v>
      </c>
      <c r="J1713" s="159">
        <f>ROUND(B1713*('Model Data Inputs'!$E$184*'Model Data Inputs'!$E$185*'Model Data Inputs'!$E$186*'Model Data Inputs'!$E$187),2)</f>
        <v>594.63</v>
      </c>
      <c r="K1713" s="169">
        <f t="shared" si="93"/>
        <v>1014438.78</v>
      </c>
      <c r="L1713" s="153"/>
      <c r="M1713" s="153"/>
      <c r="N1713" s="153"/>
      <c r="O1713" s="153"/>
    </row>
    <row r="1714" spans="1:15" x14ac:dyDescent="0.2">
      <c r="A1714" s="168">
        <v>1707</v>
      </c>
      <c r="B1714" s="159">
        <v>594.63366392643309</v>
      </c>
      <c r="C1714" s="169">
        <f t="shared" si="92"/>
        <v>1015039.6643224213</v>
      </c>
      <c r="D1714" s="153"/>
      <c r="E1714" s="153"/>
      <c r="F1714" s="153"/>
      <c r="G1714" s="153"/>
      <c r="I1714" s="168">
        <v>1707</v>
      </c>
      <c r="J1714" s="159">
        <f>ROUND(B1714*('Model Data Inputs'!$E$184*'Model Data Inputs'!$E$185*'Model Data Inputs'!$E$186*'Model Data Inputs'!$E$187),2)</f>
        <v>594.63</v>
      </c>
      <c r="K1714" s="169">
        <f t="shared" si="93"/>
        <v>1015033.41</v>
      </c>
      <c r="L1714" s="153"/>
      <c r="M1714" s="153"/>
      <c r="N1714" s="153"/>
      <c r="O1714" s="153"/>
    </row>
    <row r="1715" spans="1:15" x14ac:dyDescent="0.2">
      <c r="A1715" s="168">
        <v>1708</v>
      </c>
      <c r="B1715" s="159">
        <v>594.63366392643309</v>
      </c>
      <c r="C1715" s="169">
        <f t="shared" si="92"/>
        <v>1015634.2979863477</v>
      </c>
      <c r="D1715" s="153"/>
      <c r="E1715" s="153"/>
      <c r="F1715" s="153"/>
      <c r="G1715" s="153"/>
      <c r="I1715" s="168">
        <v>1708</v>
      </c>
      <c r="J1715" s="159">
        <f>ROUND(B1715*('Model Data Inputs'!$E$184*'Model Data Inputs'!$E$185*'Model Data Inputs'!$E$186*'Model Data Inputs'!$E$187),2)</f>
        <v>594.63</v>
      </c>
      <c r="K1715" s="169">
        <f t="shared" si="93"/>
        <v>1015628.04</v>
      </c>
      <c r="L1715" s="153"/>
      <c r="M1715" s="153"/>
      <c r="N1715" s="153"/>
      <c r="O1715" s="153"/>
    </row>
    <row r="1716" spans="1:15" x14ac:dyDescent="0.2">
      <c r="A1716" s="168">
        <v>1709</v>
      </c>
      <c r="B1716" s="159">
        <v>594.63366392643309</v>
      </c>
      <c r="C1716" s="169">
        <f t="shared" si="92"/>
        <v>1016228.9316502742</v>
      </c>
      <c r="D1716" s="153"/>
      <c r="E1716" s="153"/>
      <c r="F1716" s="153"/>
      <c r="G1716" s="153"/>
      <c r="I1716" s="168">
        <v>1709</v>
      </c>
      <c r="J1716" s="159">
        <f>ROUND(B1716*('Model Data Inputs'!$E$184*'Model Data Inputs'!$E$185*'Model Data Inputs'!$E$186*'Model Data Inputs'!$E$187),2)</f>
        <v>594.63</v>
      </c>
      <c r="K1716" s="169">
        <f t="shared" si="93"/>
        <v>1016222.67</v>
      </c>
      <c r="L1716" s="153"/>
      <c r="M1716" s="153"/>
      <c r="N1716" s="153"/>
      <c r="O1716" s="153"/>
    </row>
    <row r="1717" spans="1:15" x14ac:dyDescent="0.2">
      <c r="A1717" s="168">
        <v>1710</v>
      </c>
      <c r="B1717" s="159">
        <v>594.63366392643309</v>
      </c>
      <c r="C1717" s="169">
        <f t="shared" si="92"/>
        <v>1016823.5653142006</v>
      </c>
      <c r="D1717" s="153"/>
      <c r="E1717" s="153"/>
      <c r="F1717" s="153"/>
      <c r="G1717" s="153"/>
      <c r="I1717" s="168">
        <v>1710</v>
      </c>
      <c r="J1717" s="159">
        <f>ROUND(B1717*('Model Data Inputs'!$E$184*'Model Data Inputs'!$E$185*'Model Data Inputs'!$E$186*'Model Data Inputs'!$E$187),2)</f>
        <v>594.63</v>
      </c>
      <c r="K1717" s="169">
        <f t="shared" si="93"/>
        <v>1016817.3</v>
      </c>
      <c r="L1717" s="153"/>
      <c r="M1717" s="153"/>
      <c r="N1717" s="153"/>
      <c r="O1717" s="153"/>
    </row>
    <row r="1718" spans="1:15" x14ac:dyDescent="0.2">
      <c r="A1718" s="168">
        <v>1711</v>
      </c>
      <c r="B1718" s="159">
        <v>594.63366392643309</v>
      </c>
      <c r="C1718" s="169">
        <f t="shared" si="92"/>
        <v>1017418.198978127</v>
      </c>
      <c r="D1718" s="153"/>
      <c r="E1718" s="153"/>
      <c r="F1718" s="153"/>
      <c r="G1718" s="153"/>
      <c r="I1718" s="168">
        <v>1711</v>
      </c>
      <c r="J1718" s="159">
        <f>ROUND(B1718*('Model Data Inputs'!$E$184*'Model Data Inputs'!$E$185*'Model Data Inputs'!$E$186*'Model Data Inputs'!$E$187),2)</f>
        <v>594.63</v>
      </c>
      <c r="K1718" s="169">
        <f t="shared" si="93"/>
        <v>1017411.9299999999</v>
      </c>
      <c r="L1718" s="153"/>
      <c r="M1718" s="153"/>
      <c r="N1718" s="153"/>
      <c r="O1718" s="153"/>
    </row>
    <row r="1719" spans="1:15" x14ac:dyDescent="0.2">
      <c r="A1719" s="168">
        <v>1712</v>
      </c>
      <c r="B1719" s="159">
        <v>594.63366392643309</v>
      </c>
      <c r="C1719" s="169">
        <f t="shared" si="92"/>
        <v>1018012.8326420535</v>
      </c>
      <c r="D1719" s="153"/>
      <c r="E1719" s="153"/>
      <c r="F1719" s="153"/>
      <c r="G1719" s="153"/>
      <c r="I1719" s="168">
        <v>1712</v>
      </c>
      <c r="J1719" s="159">
        <f>ROUND(B1719*('Model Data Inputs'!$E$184*'Model Data Inputs'!$E$185*'Model Data Inputs'!$E$186*'Model Data Inputs'!$E$187),2)</f>
        <v>594.63</v>
      </c>
      <c r="K1719" s="169">
        <f t="shared" si="93"/>
        <v>1018006.5599999999</v>
      </c>
      <c r="L1719" s="153"/>
      <c r="M1719" s="153"/>
      <c r="N1719" s="153"/>
      <c r="O1719" s="153"/>
    </row>
    <row r="1720" spans="1:15" x14ac:dyDescent="0.2">
      <c r="A1720" s="168">
        <v>1713</v>
      </c>
      <c r="B1720" s="159">
        <v>594.63366392643309</v>
      </c>
      <c r="C1720" s="169">
        <f t="shared" si="92"/>
        <v>1018607.4663059799</v>
      </c>
      <c r="D1720" s="153"/>
      <c r="E1720" s="153"/>
      <c r="F1720" s="153"/>
      <c r="G1720" s="153"/>
      <c r="I1720" s="168">
        <v>1713</v>
      </c>
      <c r="J1720" s="159">
        <f>ROUND(B1720*('Model Data Inputs'!$E$184*'Model Data Inputs'!$E$185*'Model Data Inputs'!$E$186*'Model Data Inputs'!$E$187),2)</f>
        <v>594.63</v>
      </c>
      <c r="K1720" s="169">
        <f t="shared" si="93"/>
        <v>1018601.19</v>
      </c>
      <c r="L1720" s="153"/>
      <c r="M1720" s="153"/>
      <c r="N1720" s="153"/>
      <c r="O1720" s="153"/>
    </row>
    <row r="1721" spans="1:15" x14ac:dyDescent="0.2">
      <c r="A1721" s="168">
        <v>1714</v>
      </c>
      <c r="B1721" s="159">
        <v>594.63366392643309</v>
      </c>
      <c r="C1721" s="169">
        <f t="shared" si="92"/>
        <v>1019202.0999699063</v>
      </c>
      <c r="D1721" s="153"/>
      <c r="E1721" s="153"/>
      <c r="F1721" s="153"/>
      <c r="G1721" s="153"/>
      <c r="I1721" s="168">
        <v>1714</v>
      </c>
      <c r="J1721" s="159">
        <f>ROUND(B1721*('Model Data Inputs'!$E$184*'Model Data Inputs'!$E$185*'Model Data Inputs'!$E$186*'Model Data Inputs'!$E$187),2)</f>
        <v>594.63</v>
      </c>
      <c r="K1721" s="169">
        <f t="shared" si="93"/>
        <v>1019195.82</v>
      </c>
      <c r="L1721" s="153"/>
      <c r="M1721" s="153"/>
      <c r="N1721" s="153"/>
      <c r="O1721" s="153"/>
    </row>
    <row r="1722" spans="1:15" x14ac:dyDescent="0.2">
      <c r="A1722" s="168">
        <v>1715</v>
      </c>
      <c r="B1722" s="159">
        <v>594.63366392643309</v>
      </c>
      <c r="C1722" s="169">
        <f t="shared" si="92"/>
        <v>1019796.7336338328</v>
      </c>
      <c r="D1722" s="153"/>
      <c r="E1722" s="153"/>
      <c r="F1722" s="153"/>
      <c r="G1722" s="153"/>
      <c r="I1722" s="168">
        <v>1715</v>
      </c>
      <c r="J1722" s="159">
        <f>ROUND(B1722*('Model Data Inputs'!$E$184*'Model Data Inputs'!$E$185*'Model Data Inputs'!$E$186*'Model Data Inputs'!$E$187),2)</f>
        <v>594.63</v>
      </c>
      <c r="K1722" s="169">
        <f t="shared" si="93"/>
        <v>1019790.45</v>
      </c>
      <c r="L1722" s="153"/>
      <c r="M1722" s="153"/>
      <c r="N1722" s="153"/>
      <c r="O1722" s="153"/>
    </row>
    <row r="1723" spans="1:15" x14ac:dyDescent="0.2">
      <c r="A1723" s="168">
        <v>1716</v>
      </c>
      <c r="B1723" s="159">
        <v>594.63366392643309</v>
      </c>
      <c r="C1723" s="169">
        <f t="shared" si="92"/>
        <v>1020391.3672977592</v>
      </c>
      <c r="D1723" s="153"/>
      <c r="E1723" s="153"/>
      <c r="F1723" s="153"/>
      <c r="G1723" s="153"/>
      <c r="I1723" s="168">
        <v>1716</v>
      </c>
      <c r="J1723" s="159">
        <f>ROUND(B1723*('Model Data Inputs'!$E$184*'Model Data Inputs'!$E$185*'Model Data Inputs'!$E$186*'Model Data Inputs'!$E$187),2)</f>
        <v>594.63</v>
      </c>
      <c r="K1723" s="169">
        <f t="shared" si="93"/>
        <v>1020385.08</v>
      </c>
      <c r="L1723" s="153"/>
      <c r="M1723" s="153"/>
      <c r="N1723" s="153"/>
      <c r="O1723" s="153"/>
    </row>
    <row r="1724" spans="1:15" x14ac:dyDescent="0.2">
      <c r="A1724" s="168">
        <v>1717</v>
      </c>
      <c r="B1724" s="159">
        <v>594.63366392643309</v>
      </c>
      <c r="C1724" s="169">
        <f t="shared" si="92"/>
        <v>1020986.0009616856</v>
      </c>
      <c r="D1724" s="153"/>
      <c r="E1724" s="153"/>
      <c r="F1724" s="153"/>
      <c r="G1724" s="153"/>
      <c r="I1724" s="168">
        <v>1717</v>
      </c>
      <c r="J1724" s="159">
        <f>ROUND(B1724*('Model Data Inputs'!$E$184*'Model Data Inputs'!$E$185*'Model Data Inputs'!$E$186*'Model Data Inputs'!$E$187),2)</f>
        <v>594.63</v>
      </c>
      <c r="K1724" s="169">
        <f t="shared" si="93"/>
        <v>1020979.71</v>
      </c>
      <c r="L1724" s="153"/>
      <c r="M1724" s="153"/>
      <c r="N1724" s="153"/>
      <c r="O1724" s="153"/>
    </row>
    <row r="1725" spans="1:15" x14ac:dyDescent="0.2">
      <c r="A1725" s="168">
        <v>1718</v>
      </c>
      <c r="B1725" s="159">
        <v>594.63366392643309</v>
      </c>
      <c r="C1725" s="169">
        <f t="shared" si="92"/>
        <v>1021580.6346256121</v>
      </c>
      <c r="D1725" s="153"/>
      <c r="E1725" s="153"/>
      <c r="F1725" s="153"/>
      <c r="G1725" s="153"/>
      <c r="I1725" s="168">
        <v>1718</v>
      </c>
      <c r="J1725" s="159">
        <f>ROUND(B1725*('Model Data Inputs'!$E$184*'Model Data Inputs'!$E$185*'Model Data Inputs'!$E$186*'Model Data Inputs'!$E$187),2)</f>
        <v>594.63</v>
      </c>
      <c r="K1725" s="169">
        <f t="shared" si="93"/>
        <v>1021574.34</v>
      </c>
      <c r="L1725" s="153"/>
      <c r="M1725" s="153"/>
      <c r="N1725" s="153"/>
      <c r="O1725" s="153"/>
    </row>
    <row r="1726" spans="1:15" x14ac:dyDescent="0.2">
      <c r="A1726" s="168">
        <v>1719</v>
      </c>
      <c r="B1726" s="159">
        <v>594.63366392643309</v>
      </c>
      <c r="C1726" s="169">
        <f t="shared" si="92"/>
        <v>1022175.2682895384</v>
      </c>
      <c r="D1726" s="153"/>
      <c r="E1726" s="153"/>
      <c r="F1726" s="153"/>
      <c r="G1726" s="153"/>
      <c r="I1726" s="168">
        <v>1719</v>
      </c>
      <c r="J1726" s="159">
        <f>ROUND(B1726*('Model Data Inputs'!$E$184*'Model Data Inputs'!$E$185*'Model Data Inputs'!$E$186*'Model Data Inputs'!$E$187),2)</f>
        <v>594.63</v>
      </c>
      <c r="K1726" s="169">
        <f t="shared" si="93"/>
        <v>1022168.97</v>
      </c>
      <c r="L1726" s="153"/>
      <c r="M1726" s="153"/>
      <c r="N1726" s="153"/>
      <c r="O1726" s="153"/>
    </row>
    <row r="1727" spans="1:15" x14ac:dyDescent="0.2">
      <c r="A1727" s="168">
        <v>1720</v>
      </c>
      <c r="B1727" s="159">
        <v>594.63366392643309</v>
      </c>
      <c r="C1727" s="169">
        <f t="shared" si="92"/>
        <v>1022769.901953465</v>
      </c>
      <c r="D1727" s="153"/>
      <c r="E1727" s="153"/>
      <c r="F1727" s="153"/>
      <c r="G1727" s="153"/>
      <c r="I1727" s="168">
        <v>1720</v>
      </c>
      <c r="J1727" s="159">
        <f>ROUND(B1727*('Model Data Inputs'!$E$184*'Model Data Inputs'!$E$185*'Model Data Inputs'!$E$186*'Model Data Inputs'!$E$187),2)</f>
        <v>594.63</v>
      </c>
      <c r="K1727" s="169">
        <f t="shared" si="93"/>
        <v>1022763.6</v>
      </c>
      <c r="L1727" s="153"/>
      <c r="M1727" s="153"/>
      <c r="N1727" s="153"/>
      <c r="O1727" s="153"/>
    </row>
    <row r="1728" spans="1:15" x14ac:dyDescent="0.2">
      <c r="A1728" s="168">
        <v>1721</v>
      </c>
      <c r="B1728" s="159">
        <v>594.63366392643309</v>
      </c>
      <c r="C1728" s="169">
        <f t="shared" si="92"/>
        <v>1023364.5356173913</v>
      </c>
      <c r="D1728" s="153"/>
      <c r="E1728" s="153"/>
      <c r="F1728" s="153"/>
      <c r="G1728" s="153"/>
      <c r="I1728" s="168">
        <v>1721</v>
      </c>
      <c r="J1728" s="159">
        <f>ROUND(B1728*('Model Data Inputs'!$E$184*'Model Data Inputs'!$E$185*'Model Data Inputs'!$E$186*'Model Data Inputs'!$E$187),2)</f>
        <v>594.63</v>
      </c>
      <c r="K1728" s="169">
        <f t="shared" si="93"/>
        <v>1023358.23</v>
      </c>
      <c r="L1728" s="153"/>
      <c r="M1728" s="153"/>
      <c r="N1728" s="153"/>
      <c r="O1728" s="153"/>
    </row>
    <row r="1729" spans="1:15" x14ac:dyDescent="0.2">
      <c r="A1729" s="168">
        <v>1722</v>
      </c>
      <c r="B1729" s="159">
        <v>594.63366392643309</v>
      </c>
      <c r="C1729" s="169">
        <f t="shared" si="92"/>
        <v>1023959.1692813177</v>
      </c>
      <c r="D1729" s="153"/>
      <c r="E1729" s="153"/>
      <c r="F1729" s="153"/>
      <c r="G1729" s="153"/>
      <c r="I1729" s="168">
        <v>1722</v>
      </c>
      <c r="J1729" s="159">
        <f>ROUND(B1729*('Model Data Inputs'!$E$184*'Model Data Inputs'!$E$185*'Model Data Inputs'!$E$186*'Model Data Inputs'!$E$187),2)</f>
        <v>594.63</v>
      </c>
      <c r="K1729" s="169">
        <f t="shared" si="93"/>
        <v>1023952.86</v>
      </c>
      <c r="L1729" s="153"/>
      <c r="M1729" s="153"/>
      <c r="N1729" s="153"/>
      <c r="O1729" s="153"/>
    </row>
    <row r="1730" spans="1:15" x14ac:dyDescent="0.2">
      <c r="A1730" s="168">
        <v>1723</v>
      </c>
      <c r="B1730" s="159">
        <v>594.63366392643309</v>
      </c>
      <c r="C1730" s="169">
        <f t="shared" si="92"/>
        <v>1024553.8029452442</v>
      </c>
      <c r="D1730" s="153"/>
      <c r="E1730" s="153"/>
      <c r="F1730" s="153"/>
      <c r="G1730" s="153"/>
      <c r="I1730" s="168">
        <v>1723</v>
      </c>
      <c r="J1730" s="159">
        <f>ROUND(B1730*('Model Data Inputs'!$E$184*'Model Data Inputs'!$E$185*'Model Data Inputs'!$E$186*'Model Data Inputs'!$E$187),2)</f>
        <v>594.63</v>
      </c>
      <c r="K1730" s="169">
        <f t="shared" si="93"/>
        <v>1024547.49</v>
      </c>
      <c r="L1730" s="153"/>
      <c r="M1730" s="153"/>
      <c r="N1730" s="153"/>
      <c r="O1730" s="153"/>
    </row>
    <row r="1731" spans="1:15" x14ac:dyDescent="0.2">
      <c r="A1731" s="168">
        <v>1724</v>
      </c>
      <c r="B1731" s="159">
        <v>594.63366392643309</v>
      </c>
      <c r="C1731" s="169">
        <f t="shared" si="92"/>
        <v>1025148.4366091706</v>
      </c>
      <c r="D1731" s="153"/>
      <c r="E1731" s="153"/>
      <c r="F1731" s="153"/>
      <c r="G1731" s="153"/>
      <c r="I1731" s="168">
        <v>1724</v>
      </c>
      <c r="J1731" s="159">
        <f>ROUND(B1731*('Model Data Inputs'!$E$184*'Model Data Inputs'!$E$185*'Model Data Inputs'!$E$186*'Model Data Inputs'!$E$187),2)</f>
        <v>594.63</v>
      </c>
      <c r="K1731" s="169">
        <f t="shared" si="93"/>
        <v>1025142.12</v>
      </c>
      <c r="L1731" s="153"/>
      <c r="M1731" s="153"/>
      <c r="N1731" s="153"/>
      <c r="O1731" s="153"/>
    </row>
    <row r="1732" spans="1:15" x14ac:dyDescent="0.2">
      <c r="A1732" s="168">
        <v>1725</v>
      </c>
      <c r="B1732" s="159">
        <v>594.63366392643309</v>
      </c>
      <c r="C1732" s="169">
        <f t="shared" si="92"/>
        <v>1025743.070273097</v>
      </c>
      <c r="D1732" s="153"/>
      <c r="E1732" s="153"/>
      <c r="F1732" s="153"/>
      <c r="G1732" s="153"/>
      <c r="I1732" s="168">
        <v>1725</v>
      </c>
      <c r="J1732" s="159">
        <f>ROUND(B1732*('Model Data Inputs'!$E$184*'Model Data Inputs'!$E$185*'Model Data Inputs'!$E$186*'Model Data Inputs'!$E$187),2)</f>
        <v>594.63</v>
      </c>
      <c r="K1732" s="169">
        <f t="shared" si="93"/>
        <v>1025736.75</v>
      </c>
      <c r="L1732" s="153"/>
      <c r="M1732" s="153"/>
      <c r="N1732" s="153"/>
      <c r="O1732" s="153"/>
    </row>
    <row r="1733" spans="1:15" x14ac:dyDescent="0.2">
      <c r="A1733" s="168">
        <v>1726</v>
      </c>
      <c r="B1733" s="159">
        <v>594.63366392643309</v>
      </c>
      <c r="C1733" s="169">
        <f t="shared" si="92"/>
        <v>1026337.7039370235</v>
      </c>
      <c r="D1733" s="153"/>
      <c r="E1733" s="153"/>
      <c r="F1733" s="153"/>
      <c r="G1733" s="153"/>
      <c r="I1733" s="168">
        <v>1726</v>
      </c>
      <c r="J1733" s="159">
        <f>ROUND(B1733*('Model Data Inputs'!$E$184*'Model Data Inputs'!$E$185*'Model Data Inputs'!$E$186*'Model Data Inputs'!$E$187),2)</f>
        <v>594.63</v>
      </c>
      <c r="K1733" s="169">
        <f t="shared" si="93"/>
        <v>1026331.38</v>
      </c>
      <c r="L1733" s="153"/>
      <c r="M1733" s="153"/>
      <c r="N1733" s="153"/>
      <c r="O1733" s="153"/>
    </row>
    <row r="1734" spans="1:15" x14ac:dyDescent="0.2">
      <c r="A1734" s="168">
        <v>1727</v>
      </c>
      <c r="B1734" s="159">
        <v>594.63366392643309</v>
      </c>
      <c r="C1734" s="169">
        <f t="shared" si="92"/>
        <v>1026932.3376009499</v>
      </c>
      <c r="D1734" s="153"/>
      <c r="E1734" s="153"/>
      <c r="F1734" s="153"/>
      <c r="G1734" s="153"/>
      <c r="I1734" s="168">
        <v>1727</v>
      </c>
      <c r="J1734" s="159">
        <f>ROUND(B1734*('Model Data Inputs'!$E$184*'Model Data Inputs'!$E$185*'Model Data Inputs'!$E$186*'Model Data Inputs'!$E$187),2)</f>
        <v>594.63</v>
      </c>
      <c r="K1734" s="169">
        <f t="shared" si="93"/>
        <v>1026926.01</v>
      </c>
      <c r="L1734" s="153"/>
      <c r="M1734" s="153"/>
      <c r="N1734" s="153"/>
      <c r="O1734" s="153"/>
    </row>
    <row r="1735" spans="1:15" x14ac:dyDescent="0.2">
      <c r="A1735" s="168">
        <v>1728</v>
      </c>
      <c r="B1735" s="159">
        <v>594.63366392643309</v>
      </c>
      <c r="C1735" s="169">
        <f t="shared" si="92"/>
        <v>1027526.9712648764</v>
      </c>
      <c r="D1735" s="153"/>
      <c r="E1735" s="153"/>
      <c r="F1735" s="153"/>
      <c r="G1735" s="153"/>
      <c r="I1735" s="168">
        <v>1728</v>
      </c>
      <c r="J1735" s="159">
        <f>ROUND(B1735*('Model Data Inputs'!$E$184*'Model Data Inputs'!$E$185*'Model Data Inputs'!$E$186*'Model Data Inputs'!$E$187),2)</f>
        <v>594.63</v>
      </c>
      <c r="K1735" s="169">
        <f t="shared" si="93"/>
        <v>1027520.64</v>
      </c>
      <c r="L1735" s="153"/>
      <c r="M1735" s="153"/>
      <c r="N1735" s="153"/>
      <c r="O1735" s="153"/>
    </row>
    <row r="1736" spans="1:15" x14ac:dyDescent="0.2">
      <c r="A1736" s="168">
        <v>1729</v>
      </c>
      <c r="B1736" s="159">
        <v>594.63366392643309</v>
      </c>
      <c r="C1736" s="169">
        <f t="shared" ref="C1736:C1799" si="94">A1736*B1736</f>
        <v>1028121.6049288028</v>
      </c>
      <c r="D1736" s="153"/>
      <c r="E1736" s="153"/>
      <c r="F1736" s="153"/>
      <c r="G1736" s="153"/>
      <c r="I1736" s="168">
        <v>1729</v>
      </c>
      <c r="J1736" s="159">
        <f>ROUND(B1736*('Model Data Inputs'!$E$184*'Model Data Inputs'!$E$185*'Model Data Inputs'!$E$186*'Model Data Inputs'!$E$187),2)</f>
        <v>594.63</v>
      </c>
      <c r="K1736" s="169">
        <f t="shared" ref="K1736:K1799" si="95">I1736*J1736</f>
        <v>1028115.27</v>
      </c>
      <c r="L1736" s="153"/>
      <c r="M1736" s="153"/>
      <c r="N1736" s="153"/>
      <c r="O1736" s="153"/>
    </row>
    <row r="1737" spans="1:15" x14ac:dyDescent="0.2">
      <c r="A1737" s="168">
        <v>1730</v>
      </c>
      <c r="B1737" s="159">
        <v>594.63366392643309</v>
      </c>
      <c r="C1737" s="169">
        <f t="shared" si="94"/>
        <v>1028716.2385927292</v>
      </c>
      <c r="D1737" s="153"/>
      <c r="E1737" s="153"/>
      <c r="F1737" s="153"/>
      <c r="G1737" s="153"/>
      <c r="I1737" s="168">
        <v>1730</v>
      </c>
      <c r="J1737" s="159">
        <f>ROUND(B1737*('Model Data Inputs'!$E$184*'Model Data Inputs'!$E$185*'Model Data Inputs'!$E$186*'Model Data Inputs'!$E$187),2)</f>
        <v>594.63</v>
      </c>
      <c r="K1737" s="169">
        <f t="shared" si="95"/>
        <v>1028709.9</v>
      </c>
      <c r="L1737" s="153"/>
      <c r="M1737" s="153"/>
      <c r="N1737" s="153"/>
      <c r="O1737" s="153"/>
    </row>
    <row r="1738" spans="1:15" x14ac:dyDescent="0.2">
      <c r="A1738" s="168">
        <v>1731</v>
      </c>
      <c r="B1738" s="159">
        <v>594.63366392643309</v>
      </c>
      <c r="C1738" s="169">
        <f t="shared" si="94"/>
        <v>1029310.8722566557</v>
      </c>
      <c r="D1738" s="153"/>
      <c r="E1738" s="153"/>
      <c r="F1738" s="153"/>
      <c r="G1738" s="153"/>
      <c r="I1738" s="168">
        <v>1731</v>
      </c>
      <c r="J1738" s="159">
        <f>ROUND(B1738*('Model Data Inputs'!$E$184*'Model Data Inputs'!$E$185*'Model Data Inputs'!$E$186*'Model Data Inputs'!$E$187),2)</f>
        <v>594.63</v>
      </c>
      <c r="K1738" s="169">
        <f t="shared" si="95"/>
        <v>1029304.53</v>
      </c>
      <c r="L1738" s="153"/>
      <c r="M1738" s="153"/>
      <c r="N1738" s="153"/>
      <c r="O1738" s="153"/>
    </row>
    <row r="1739" spans="1:15" x14ac:dyDescent="0.2">
      <c r="A1739" s="168">
        <v>1732</v>
      </c>
      <c r="B1739" s="159">
        <v>594.63366392643309</v>
      </c>
      <c r="C1739" s="169">
        <f t="shared" si="94"/>
        <v>1029905.5059205821</v>
      </c>
      <c r="D1739" s="153"/>
      <c r="E1739" s="153"/>
      <c r="F1739" s="153"/>
      <c r="G1739" s="153"/>
      <c r="I1739" s="168">
        <v>1732</v>
      </c>
      <c r="J1739" s="159">
        <f>ROUND(B1739*('Model Data Inputs'!$E$184*'Model Data Inputs'!$E$185*'Model Data Inputs'!$E$186*'Model Data Inputs'!$E$187),2)</f>
        <v>594.63</v>
      </c>
      <c r="K1739" s="169">
        <f t="shared" si="95"/>
        <v>1029899.16</v>
      </c>
      <c r="L1739" s="153"/>
      <c r="M1739" s="153"/>
      <c r="N1739" s="153"/>
      <c r="O1739" s="153"/>
    </row>
    <row r="1740" spans="1:15" x14ac:dyDescent="0.2">
      <c r="A1740" s="168">
        <v>1733</v>
      </c>
      <c r="B1740" s="159">
        <v>594.63366392643309</v>
      </c>
      <c r="C1740" s="169">
        <f t="shared" si="94"/>
        <v>1030500.1395845085</v>
      </c>
      <c r="D1740" s="153"/>
      <c r="E1740" s="153"/>
      <c r="F1740" s="153"/>
      <c r="G1740" s="153"/>
      <c r="I1740" s="168">
        <v>1733</v>
      </c>
      <c r="J1740" s="159">
        <f>ROUND(B1740*('Model Data Inputs'!$E$184*'Model Data Inputs'!$E$185*'Model Data Inputs'!$E$186*'Model Data Inputs'!$E$187),2)</f>
        <v>594.63</v>
      </c>
      <c r="K1740" s="169">
        <f t="shared" si="95"/>
        <v>1030493.79</v>
      </c>
      <c r="L1740" s="153"/>
      <c r="M1740" s="153"/>
      <c r="N1740" s="153"/>
      <c r="O1740" s="153"/>
    </row>
    <row r="1741" spans="1:15" x14ac:dyDescent="0.2">
      <c r="A1741" s="168">
        <v>1734</v>
      </c>
      <c r="B1741" s="159">
        <v>594.63366392643309</v>
      </c>
      <c r="C1741" s="169">
        <f t="shared" si="94"/>
        <v>1031094.773248435</v>
      </c>
      <c r="D1741" s="153"/>
      <c r="E1741" s="153"/>
      <c r="F1741" s="153"/>
      <c r="G1741" s="153"/>
      <c r="I1741" s="168">
        <v>1734</v>
      </c>
      <c r="J1741" s="159">
        <f>ROUND(B1741*('Model Data Inputs'!$E$184*'Model Data Inputs'!$E$185*'Model Data Inputs'!$E$186*'Model Data Inputs'!$E$187),2)</f>
        <v>594.63</v>
      </c>
      <c r="K1741" s="169">
        <f t="shared" si="95"/>
        <v>1031088.42</v>
      </c>
      <c r="L1741" s="153"/>
      <c r="M1741" s="153"/>
      <c r="N1741" s="153"/>
      <c r="O1741" s="153"/>
    </row>
    <row r="1742" spans="1:15" x14ac:dyDescent="0.2">
      <c r="A1742" s="168">
        <v>1735</v>
      </c>
      <c r="B1742" s="159">
        <v>594.63366392643309</v>
      </c>
      <c r="C1742" s="169">
        <f t="shared" si="94"/>
        <v>1031689.4069123614</v>
      </c>
      <c r="D1742" s="153"/>
      <c r="E1742" s="153"/>
      <c r="F1742" s="153"/>
      <c r="G1742" s="153"/>
      <c r="I1742" s="168">
        <v>1735</v>
      </c>
      <c r="J1742" s="159">
        <f>ROUND(B1742*('Model Data Inputs'!$E$184*'Model Data Inputs'!$E$185*'Model Data Inputs'!$E$186*'Model Data Inputs'!$E$187),2)</f>
        <v>594.63</v>
      </c>
      <c r="K1742" s="169">
        <f t="shared" si="95"/>
        <v>1031683.05</v>
      </c>
      <c r="L1742" s="153"/>
      <c r="M1742" s="153"/>
      <c r="N1742" s="153"/>
      <c r="O1742" s="153"/>
    </row>
    <row r="1743" spans="1:15" x14ac:dyDescent="0.2">
      <c r="A1743" s="168">
        <v>1736</v>
      </c>
      <c r="B1743" s="159">
        <v>594.63366392643309</v>
      </c>
      <c r="C1743" s="169">
        <f t="shared" si="94"/>
        <v>1032284.0405762879</v>
      </c>
      <c r="D1743" s="153"/>
      <c r="E1743" s="153"/>
      <c r="F1743" s="153"/>
      <c r="G1743" s="153"/>
      <c r="I1743" s="168">
        <v>1736</v>
      </c>
      <c r="J1743" s="159">
        <f>ROUND(B1743*('Model Data Inputs'!$E$184*'Model Data Inputs'!$E$185*'Model Data Inputs'!$E$186*'Model Data Inputs'!$E$187),2)</f>
        <v>594.63</v>
      </c>
      <c r="K1743" s="169">
        <f t="shared" si="95"/>
        <v>1032277.6799999999</v>
      </c>
      <c r="L1743" s="153"/>
      <c r="M1743" s="153"/>
      <c r="N1743" s="153"/>
      <c r="O1743" s="153"/>
    </row>
    <row r="1744" spans="1:15" x14ac:dyDescent="0.2">
      <c r="A1744" s="168">
        <v>1737</v>
      </c>
      <c r="B1744" s="159">
        <v>594.63366392643309</v>
      </c>
      <c r="C1744" s="169">
        <f t="shared" si="94"/>
        <v>1032878.6742402143</v>
      </c>
      <c r="D1744" s="153"/>
      <c r="E1744" s="153"/>
      <c r="F1744" s="153"/>
      <c r="G1744" s="153"/>
      <c r="I1744" s="168">
        <v>1737</v>
      </c>
      <c r="J1744" s="159">
        <f>ROUND(B1744*('Model Data Inputs'!$E$184*'Model Data Inputs'!$E$185*'Model Data Inputs'!$E$186*'Model Data Inputs'!$E$187),2)</f>
        <v>594.63</v>
      </c>
      <c r="K1744" s="169">
        <f t="shared" si="95"/>
        <v>1032872.3099999999</v>
      </c>
      <c r="L1744" s="153"/>
      <c r="M1744" s="153"/>
      <c r="N1744" s="153"/>
      <c r="O1744" s="153"/>
    </row>
    <row r="1745" spans="1:15" x14ac:dyDescent="0.2">
      <c r="A1745" s="168">
        <v>1738</v>
      </c>
      <c r="B1745" s="159">
        <v>594.63366392643309</v>
      </c>
      <c r="C1745" s="169">
        <f t="shared" si="94"/>
        <v>1033473.3079041407</v>
      </c>
      <c r="D1745" s="153"/>
      <c r="E1745" s="153"/>
      <c r="F1745" s="153"/>
      <c r="G1745" s="153"/>
      <c r="I1745" s="168">
        <v>1738</v>
      </c>
      <c r="J1745" s="159">
        <f>ROUND(B1745*('Model Data Inputs'!$E$184*'Model Data Inputs'!$E$185*'Model Data Inputs'!$E$186*'Model Data Inputs'!$E$187),2)</f>
        <v>594.63</v>
      </c>
      <c r="K1745" s="169">
        <f t="shared" si="95"/>
        <v>1033466.94</v>
      </c>
      <c r="L1745" s="153"/>
      <c r="M1745" s="153"/>
      <c r="N1745" s="153"/>
      <c r="O1745" s="153"/>
    </row>
    <row r="1746" spans="1:15" x14ac:dyDescent="0.2">
      <c r="A1746" s="168">
        <v>1739</v>
      </c>
      <c r="B1746" s="159">
        <v>594.63366392643309</v>
      </c>
      <c r="C1746" s="169">
        <f t="shared" si="94"/>
        <v>1034067.9415680672</v>
      </c>
      <c r="D1746" s="153"/>
      <c r="E1746" s="153"/>
      <c r="F1746" s="153"/>
      <c r="G1746" s="153"/>
      <c r="I1746" s="168">
        <v>1739</v>
      </c>
      <c r="J1746" s="159">
        <f>ROUND(B1746*('Model Data Inputs'!$E$184*'Model Data Inputs'!$E$185*'Model Data Inputs'!$E$186*'Model Data Inputs'!$E$187),2)</f>
        <v>594.63</v>
      </c>
      <c r="K1746" s="169">
        <f t="shared" si="95"/>
        <v>1034061.57</v>
      </c>
      <c r="L1746" s="153"/>
      <c r="M1746" s="153"/>
      <c r="N1746" s="153"/>
      <c r="O1746" s="153"/>
    </row>
    <row r="1747" spans="1:15" x14ac:dyDescent="0.2">
      <c r="A1747" s="168">
        <v>1740</v>
      </c>
      <c r="B1747" s="159">
        <v>594.63366392643309</v>
      </c>
      <c r="C1747" s="169">
        <f t="shared" si="94"/>
        <v>1034662.5752319936</v>
      </c>
      <c r="D1747" s="153"/>
      <c r="E1747" s="153"/>
      <c r="F1747" s="153"/>
      <c r="G1747" s="153"/>
      <c r="I1747" s="168">
        <v>1740</v>
      </c>
      <c r="J1747" s="159">
        <f>ROUND(B1747*('Model Data Inputs'!$E$184*'Model Data Inputs'!$E$185*'Model Data Inputs'!$E$186*'Model Data Inputs'!$E$187),2)</f>
        <v>594.63</v>
      </c>
      <c r="K1747" s="169">
        <f t="shared" si="95"/>
        <v>1034656.2</v>
      </c>
      <c r="L1747" s="153"/>
      <c r="M1747" s="153"/>
      <c r="N1747" s="153"/>
      <c r="O1747" s="153"/>
    </row>
    <row r="1748" spans="1:15" x14ac:dyDescent="0.2">
      <c r="A1748" s="168">
        <v>1741</v>
      </c>
      <c r="B1748" s="159">
        <v>594.63366392643309</v>
      </c>
      <c r="C1748" s="169">
        <f t="shared" si="94"/>
        <v>1035257.20889592</v>
      </c>
      <c r="D1748" s="153"/>
      <c r="E1748" s="153"/>
      <c r="F1748" s="153"/>
      <c r="G1748" s="153"/>
      <c r="I1748" s="168">
        <v>1741</v>
      </c>
      <c r="J1748" s="159">
        <f>ROUND(B1748*('Model Data Inputs'!$E$184*'Model Data Inputs'!$E$185*'Model Data Inputs'!$E$186*'Model Data Inputs'!$E$187),2)</f>
        <v>594.63</v>
      </c>
      <c r="K1748" s="169">
        <f t="shared" si="95"/>
        <v>1035250.83</v>
      </c>
      <c r="L1748" s="153"/>
      <c r="M1748" s="153"/>
      <c r="N1748" s="153"/>
      <c r="O1748" s="153"/>
    </row>
    <row r="1749" spans="1:15" x14ac:dyDescent="0.2">
      <c r="A1749" s="168">
        <v>1742</v>
      </c>
      <c r="B1749" s="159">
        <v>594.63366392643309</v>
      </c>
      <c r="C1749" s="169">
        <f t="shared" si="94"/>
        <v>1035851.8425598465</v>
      </c>
      <c r="D1749" s="153"/>
      <c r="E1749" s="153"/>
      <c r="F1749" s="153"/>
      <c r="G1749" s="153"/>
      <c r="I1749" s="168">
        <v>1742</v>
      </c>
      <c r="J1749" s="159">
        <f>ROUND(B1749*('Model Data Inputs'!$E$184*'Model Data Inputs'!$E$185*'Model Data Inputs'!$E$186*'Model Data Inputs'!$E$187),2)</f>
        <v>594.63</v>
      </c>
      <c r="K1749" s="169">
        <f t="shared" si="95"/>
        <v>1035845.46</v>
      </c>
      <c r="L1749" s="153"/>
      <c r="M1749" s="153"/>
      <c r="N1749" s="153"/>
      <c r="O1749" s="153"/>
    </row>
    <row r="1750" spans="1:15" x14ac:dyDescent="0.2">
      <c r="A1750" s="168">
        <v>1743</v>
      </c>
      <c r="B1750" s="159">
        <v>594.63366392643309</v>
      </c>
      <c r="C1750" s="169">
        <f t="shared" si="94"/>
        <v>1036446.4762237729</v>
      </c>
      <c r="D1750" s="153"/>
      <c r="E1750" s="153"/>
      <c r="F1750" s="153"/>
      <c r="G1750" s="153"/>
      <c r="I1750" s="168">
        <v>1743</v>
      </c>
      <c r="J1750" s="159">
        <f>ROUND(B1750*('Model Data Inputs'!$E$184*'Model Data Inputs'!$E$185*'Model Data Inputs'!$E$186*'Model Data Inputs'!$E$187),2)</f>
        <v>594.63</v>
      </c>
      <c r="K1750" s="169">
        <f t="shared" si="95"/>
        <v>1036440.09</v>
      </c>
      <c r="L1750" s="153"/>
      <c r="M1750" s="153"/>
      <c r="N1750" s="153"/>
      <c r="O1750" s="153"/>
    </row>
    <row r="1751" spans="1:15" x14ac:dyDescent="0.2">
      <c r="A1751" s="168">
        <v>1744</v>
      </c>
      <c r="B1751" s="159">
        <v>594.63366392643309</v>
      </c>
      <c r="C1751" s="169">
        <f t="shared" si="94"/>
        <v>1037041.1098876992</v>
      </c>
      <c r="D1751" s="153"/>
      <c r="E1751" s="153"/>
      <c r="F1751" s="153"/>
      <c r="G1751" s="153"/>
      <c r="I1751" s="168">
        <v>1744</v>
      </c>
      <c r="J1751" s="159">
        <f>ROUND(B1751*('Model Data Inputs'!$E$184*'Model Data Inputs'!$E$185*'Model Data Inputs'!$E$186*'Model Data Inputs'!$E$187),2)</f>
        <v>594.63</v>
      </c>
      <c r="K1751" s="169">
        <f t="shared" si="95"/>
        <v>1037034.72</v>
      </c>
      <c r="L1751" s="153"/>
      <c r="M1751" s="153"/>
      <c r="N1751" s="153"/>
      <c r="O1751" s="153"/>
    </row>
    <row r="1752" spans="1:15" x14ac:dyDescent="0.2">
      <c r="A1752" s="168">
        <v>1745</v>
      </c>
      <c r="B1752" s="159">
        <v>594.63366392643309</v>
      </c>
      <c r="C1752" s="169">
        <f t="shared" si="94"/>
        <v>1037635.7435516258</v>
      </c>
      <c r="D1752" s="153"/>
      <c r="E1752" s="153"/>
      <c r="F1752" s="153"/>
      <c r="G1752" s="153"/>
      <c r="I1752" s="168">
        <v>1745</v>
      </c>
      <c r="J1752" s="159">
        <f>ROUND(B1752*('Model Data Inputs'!$E$184*'Model Data Inputs'!$E$185*'Model Data Inputs'!$E$186*'Model Data Inputs'!$E$187),2)</f>
        <v>594.63</v>
      </c>
      <c r="K1752" s="169">
        <f t="shared" si="95"/>
        <v>1037629.35</v>
      </c>
      <c r="L1752" s="153"/>
      <c r="M1752" s="153"/>
      <c r="N1752" s="153"/>
      <c r="O1752" s="153"/>
    </row>
    <row r="1753" spans="1:15" x14ac:dyDescent="0.2">
      <c r="A1753" s="168">
        <v>1746</v>
      </c>
      <c r="B1753" s="159">
        <v>594.63366392643309</v>
      </c>
      <c r="C1753" s="169">
        <f t="shared" si="94"/>
        <v>1038230.3772155521</v>
      </c>
      <c r="D1753" s="153"/>
      <c r="E1753" s="153"/>
      <c r="F1753" s="153"/>
      <c r="G1753" s="153"/>
      <c r="I1753" s="168">
        <v>1746</v>
      </c>
      <c r="J1753" s="159">
        <f>ROUND(B1753*('Model Data Inputs'!$E$184*'Model Data Inputs'!$E$185*'Model Data Inputs'!$E$186*'Model Data Inputs'!$E$187),2)</f>
        <v>594.63</v>
      </c>
      <c r="K1753" s="169">
        <f t="shared" si="95"/>
        <v>1038223.98</v>
      </c>
      <c r="L1753" s="153"/>
      <c r="M1753" s="153"/>
      <c r="N1753" s="153"/>
      <c r="O1753" s="153"/>
    </row>
    <row r="1754" spans="1:15" x14ac:dyDescent="0.2">
      <c r="A1754" s="168">
        <v>1747</v>
      </c>
      <c r="B1754" s="159">
        <v>594.63366392643309</v>
      </c>
      <c r="C1754" s="169">
        <f t="shared" si="94"/>
        <v>1038825.0108794787</v>
      </c>
      <c r="D1754" s="153"/>
      <c r="E1754" s="153"/>
      <c r="F1754" s="153"/>
      <c r="G1754" s="153"/>
      <c r="I1754" s="168">
        <v>1747</v>
      </c>
      <c r="J1754" s="159">
        <f>ROUND(B1754*('Model Data Inputs'!$E$184*'Model Data Inputs'!$E$185*'Model Data Inputs'!$E$186*'Model Data Inputs'!$E$187),2)</f>
        <v>594.63</v>
      </c>
      <c r="K1754" s="169">
        <f t="shared" si="95"/>
        <v>1038818.61</v>
      </c>
      <c r="L1754" s="153"/>
      <c r="M1754" s="153"/>
      <c r="N1754" s="153"/>
      <c r="O1754" s="153"/>
    </row>
    <row r="1755" spans="1:15" x14ac:dyDescent="0.2">
      <c r="A1755" s="168">
        <v>1748</v>
      </c>
      <c r="B1755" s="159">
        <v>594.63366392643309</v>
      </c>
      <c r="C1755" s="169">
        <f t="shared" si="94"/>
        <v>1039419.644543405</v>
      </c>
      <c r="D1755" s="153"/>
      <c r="E1755" s="153"/>
      <c r="F1755" s="153"/>
      <c r="G1755" s="153"/>
      <c r="I1755" s="168">
        <v>1748</v>
      </c>
      <c r="J1755" s="159">
        <f>ROUND(B1755*('Model Data Inputs'!$E$184*'Model Data Inputs'!$E$185*'Model Data Inputs'!$E$186*'Model Data Inputs'!$E$187),2)</f>
        <v>594.63</v>
      </c>
      <c r="K1755" s="169">
        <f t="shared" si="95"/>
        <v>1039413.24</v>
      </c>
      <c r="L1755" s="153"/>
      <c r="M1755" s="153"/>
      <c r="N1755" s="153"/>
      <c r="O1755" s="153"/>
    </row>
    <row r="1756" spans="1:15" x14ac:dyDescent="0.2">
      <c r="A1756" s="168">
        <v>1749</v>
      </c>
      <c r="B1756" s="159">
        <v>594.63366392643309</v>
      </c>
      <c r="C1756" s="169">
        <f t="shared" si="94"/>
        <v>1040014.2782073314</v>
      </c>
      <c r="D1756" s="153"/>
      <c r="E1756" s="153"/>
      <c r="F1756" s="153"/>
      <c r="G1756" s="153"/>
      <c r="I1756" s="168">
        <v>1749</v>
      </c>
      <c r="J1756" s="159">
        <f>ROUND(B1756*('Model Data Inputs'!$E$184*'Model Data Inputs'!$E$185*'Model Data Inputs'!$E$186*'Model Data Inputs'!$E$187),2)</f>
        <v>594.63</v>
      </c>
      <c r="K1756" s="169">
        <f t="shared" si="95"/>
        <v>1040007.87</v>
      </c>
      <c r="L1756" s="153"/>
      <c r="M1756" s="153"/>
      <c r="N1756" s="153"/>
      <c r="O1756" s="153"/>
    </row>
    <row r="1757" spans="1:15" x14ac:dyDescent="0.2">
      <c r="A1757" s="168">
        <v>1750</v>
      </c>
      <c r="B1757" s="159">
        <v>594.63366392643309</v>
      </c>
      <c r="C1757" s="169">
        <f t="shared" si="94"/>
        <v>1040608.9118712579</v>
      </c>
      <c r="D1757" s="153"/>
      <c r="E1757" s="153"/>
      <c r="F1757" s="153"/>
      <c r="G1757" s="153"/>
      <c r="I1757" s="168">
        <v>1750</v>
      </c>
      <c r="J1757" s="159">
        <f>ROUND(B1757*('Model Data Inputs'!$E$184*'Model Data Inputs'!$E$185*'Model Data Inputs'!$E$186*'Model Data Inputs'!$E$187),2)</f>
        <v>594.63</v>
      </c>
      <c r="K1757" s="169">
        <f t="shared" si="95"/>
        <v>1040602.5</v>
      </c>
      <c r="L1757" s="153"/>
      <c r="M1757" s="153"/>
      <c r="N1757" s="153"/>
      <c r="O1757" s="153"/>
    </row>
    <row r="1758" spans="1:15" x14ac:dyDescent="0.2">
      <c r="A1758" s="168">
        <v>1751</v>
      </c>
      <c r="B1758" s="159">
        <v>594.63366392643309</v>
      </c>
      <c r="C1758" s="169">
        <f t="shared" si="94"/>
        <v>1041203.5455351843</v>
      </c>
      <c r="D1758" s="153"/>
      <c r="E1758" s="153"/>
      <c r="F1758" s="153"/>
      <c r="G1758" s="153"/>
      <c r="I1758" s="168">
        <v>1751</v>
      </c>
      <c r="J1758" s="159">
        <f>ROUND(B1758*('Model Data Inputs'!$E$184*'Model Data Inputs'!$E$185*'Model Data Inputs'!$E$186*'Model Data Inputs'!$E$187),2)</f>
        <v>594.63</v>
      </c>
      <c r="K1758" s="169">
        <f t="shared" si="95"/>
        <v>1041197.13</v>
      </c>
      <c r="L1758" s="153"/>
      <c r="M1758" s="153"/>
      <c r="N1758" s="153"/>
      <c r="O1758" s="153"/>
    </row>
    <row r="1759" spans="1:15" x14ac:dyDescent="0.2">
      <c r="A1759" s="168">
        <v>1752</v>
      </c>
      <c r="B1759" s="159">
        <v>594.63366392643309</v>
      </c>
      <c r="C1759" s="169">
        <f t="shared" si="94"/>
        <v>1041798.1791991107</v>
      </c>
      <c r="D1759" s="153"/>
      <c r="E1759" s="153"/>
      <c r="F1759" s="153"/>
      <c r="G1759" s="153"/>
      <c r="I1759" s="168">
        <v>1752</v>
      </c>
      <c r="J1759" s="159">
        <f>ROUND(B1759*('Model Data Inputs'!$E$184*'Model Data Inputs'!$E$185*'Model Data Inputs'!$E$186*'Model Data Inputs'!$E$187),2)</f>
        <v>594.63</v>
      </c>
      <c r="K1759" s="169">
        <f t="shared" si="95"/>
        <v>1041791.76</v>
      </c>
      <c r="L1759" s="153"/>
      <c r="M1759" s="153"/>
      <c r="N1759" s="153"/>
      <c r="O1759" s="153"/>
    </row>
    <row r="1760" spans="1:15" x14ac:dyDescent="0.2">
      <c r="A1760" s="168">
        <v>1753</v>
      </c>
      <c r="B1760" s="159">
        <v>594.63366392643309</v>
      </c>
      <c r="C1760" s="169">
        <f t="shared" si="94"/>
        <v>1042392.8128630372</v>
      </c>
      <c r="D1760" s="153"/>
      <c r="E1760" s="153"/>
      <c r="F1760" s="153"/>
      <c r="G1760" s="153"/>
      <c r="I1760" s="168">
        <v>1753</v>
      </c>
      <c r="J1760" s="159">
        <f>ROUND(B1760*('Model Data Inputs'!$E$184*'Model Data Inputs'!$E$185*'Model Data Inputs'!$E$186*'Model Data Inputs'!$E$187),2)</f>
        <v>594.63</v>
      </c>
      <c r="K1760" s="169">
        <f t="shared" si="95"/>
        <v>1042386.39</v>
      </c>
      <c r="L1760" s="153"/>
      <c r="M1760" s="153"/>
      <c r="N1760" s="153"/>
      <c r="O1760" s="153"/>
    </row>
    <row r="1761" spans="1:15" x14ac:dyDescent="0.2">
      <c r="A1761" s="168">
        <v>1754</v>
      </c>
      <c r="B1761" s="159">
        <v>594.63366392643309</v>
      </c>
      <c r="C1761" s="169">
        <f t="shared" si="94"/>
        <v>1042987.4465269636</v>
      </c>
      <c r="D1761" s="153"/>
      <c r="E1761" s="153"/>
      <c r="F1761" s="153"/>
      <c r="G1761" s="153"/>
      <c r="I1761" s="168">
        <v>1754</v>
      </c>
      <c r="J1761" s="159">
        <f>ROUND(B1761*('Model Data Inputs'!$E$184*'Model Data Inputs'!$E$185*'Model Data Inputs'!$E$186*'Model Data Inputs'!$E$187),2)</f>
        <v>594.63</v>
      </c>
      <c r="K1761" s="169">
        <f t="shared" si="95"/>
        <v>1042981.02</v>
      </c>
      <c r="L1761" s="153"/>
      <c r="M1761" s="153"/>
      <c r="N1761" s="153"/>
      <c r="O1761" s="153"/>
    </row>
    <row r="1762" spans="1:15" x14ac:dyDescent="0.2">
      <c r="A1762" s="168">
        <v>1755</v>
      </c>
      <c r="B1762" s="159">
        <v>594.63366392643309</v>
      </c>
      <c r="C1762" s="169">
        <f t="shared" si="94"/>
        <v>1043582.0801908901</v>
      </c>
      <c r="D1762" s="153"/>
      <c r="E1762" s="153"/>
      <c r="F1762" s="153"/>
      <c r="G1762" s="153"/>
      <c r="I1762" s="168">
        <v>1755</v>
      </c>
      <c r="J1762" s="159">
        <f>ROUND(B1762*('Model Data Inputs'!$E$184*'Model Data Inputs'!$E$185*'Model Data Inputs'!$E$186*'Model Data Inputs'!$E$187),2)</f>
        <v>594.63</v>
      </c>
      <c r="K1762" s="169">
        <f t="shared" si="95"/>
        <v>1043575.65</v>
      </c>
      <c r="L1762" s="153"/>
      <c r="M1762" s="153"/>
      <c r="N1762" s="153"/>
      <c r="O1762" s="153"/>
    </row>
    <row r="1763" spans="1:15" x14ac:dyDescent="0.2">
      <c r="A1763" s="168">
        <v>1756</v>
      </c>
      <c r="B1763" s="159">
        <v>594.63366392643309</v>
      </c>
      <c r="C1763" s="169">
        <f t="shared" si="94"/>
        <v>1044176.7138548165</v>
      </c>
      <c r="D1763" s="153"/>
      <c r="E1763" s="153"/>
      <c r="F1763" s="153"/>
      <c r="G1763" s="153"/>
      <c r="I1763" s="168">
        <v>1756</v>
      </c>
      <c r="J1763" s="159">
        <f>ROUND(B1763*('Model Data Inputs'!$E$184*'Model Data Inputs'!$E$185*'Model Data Inputs'!$E$186*'Model Data Inputs'!$E$187),2)</f>
        <v>594.63</v>
      </c>
      <c r="K1763" s="169">
        <f t="shared" si="95"/>
        <v>1044170.28</v>
      </c>
      <c r="L1763" s="153"/>
      <c r="M1763" s="153"/>
      <c r="N1763" s="153"/>
      <c r="O1763" s="153"/>
    </row>
    <row r="1764" spans="1:15" x14ac:dyDescent="0.2">
      <c r="A1764" s="168">
        <v>1757</v>
      </c>
      <c r="B1764" s="159">
        <v>594.63366392643309</v>
      </c>
      <c r="C1764" s="169">
        <f t="shared" si="94"/>
        <v>1044771.3475187429</v>
      </c>
      <c r="D1764" s="153"/>
      <c r="E1764" s="153"/>
      <c r="F1764" s="153"/>
      <c r="G1764" s="153"/>
      <c r="I1764" s="168">
        <v>1757</v>
      </c>
      <c r="J1764" s="159">
        <f>ROUND(B1764*('Model Data Inputs'!$E$184*'Model Data Inputs'!$E$185*'Model Data Inputs'!$E$186*'Model Data Inputs'!$E$187),2)</f>
        <v>594.63</v>
      </c>
      <c r="K1764" s="169">
        <f t="shared" si="95"/>
        <v>1044764.91</v>
      </c>
      <c r="L1764" s="153"/>
      <c r="M1764" s="153"/>
      <c r="N1764" s="153"/>
      <c r="O1764" s="153"/>
    </row>
    <row r="1765" spans="1:15" x14ac:dyDescent="0.2">
      <c r="A1765" s="168">
        <v>1758</v>
      </c>
      <c r="B1765" s="159">
        <v>594.63366392643309</v>
      </c>
      <c r="C1765" s="169">
        <f t="shared" si="94"/>
        <v>1045365.9811826694</v>
      </c>
      <c r="D1765" s="153"/>
      <c r="E1765" s="153"/>
      <c r="F1765" s="153"/>
      <c r="G1765" s="153"/>
      <c r="I1765" s="168">
        <v>1758</v>
      </c>
      <c r="J1765" s="159">
        <f>ROUND(B1765*('Model Data Inputs'!$E$184*'Model Data Inputs'!$E$185*'Model Data Inputs'!$E$186*'Model Data Inputs'!$E$187),2)</f>
        <v>594.63</v>
      </c>
      <c r="K1765" s="169">
        <f t="shared" si="95"/>
        <v>1045359.54</v>
      </c>
      <c r="L1765" s="153"/>
      <c r="M1765" s="153"/>
      <c r="N1765" s="153"/>
      <c r="O1765" s="153"/>
    </row>
    <row r="1766" spans="1:15" x14ac:dyDescent="0.2">
      <c r="A1766" s="168">
        <v>1759</v>
      </c>
      <c r="B1766" s="159">
        <v>594.63366392643309</v>
      </c>
      <c r="C1766" s="169">
        <f t="shared" si="94"/>
        <v>1045960.6148465958</v>
      </c>
      <c r="D1766" s="153"/>
      <c r="E1766" s="153"/>
      <c r="F1766" s="153"/>
      <c r="G1766" s="153"/>
      <c r="I1766" s="168">
        <v>1759</v>
      </c>
      <c r="J1766" s="159">
        <f>ROUND(B1766*('Model Data Inputs'!$E$184*'Model Data Inputs'!$E$185*'Model Data Inputs'!$E$186*'Model Data Inputs'!$E$187),2)</f>
        <v>594.63</v>
      </c>
      <c r="K1766" s="169">
        <f t="shared" si="95"/>
        <v>1045954.17</v>
      </c>
      <c r="L1766" s="153"/>
      <c r="M1766" s="153"/>
      <c r="N1766" s="153"/>
      <c r="O1766" s="153"/>
    </row>
    <row r="1767" spans="1:15" x14ac:dyDescent="0.2">
      <c r="A1767" s="168">
        <v>1760</v>
      </c>
      <c r="B1767" s="159">
        <v>594.63366392643309</v>
      </c>
      <c r="C1767" s="169">
        <f t="shared" si="94"/>
        <v>1046555.2485105222</v>
      </c>
      <c r="D1767" s="153"/>
      <c r="E1767" s="153"/>
      <c r="F1767" s="153"/>
      <c r="G1767" s="153"/>
      <c r="I1767" s="168">
        <v>1760</v>
      </c>
      <c r="J1767" s="159">
        <f>ROUND(B1767*('Model Data Inputs'!$E$184*'Model Data Inputs'!$E$185*'Model Data Inputs'!$E$186*'Model Data Inputs'!$E$187),2)</f>
        <v>594.63</v>
      </c>
      <c r="K1767" s="169">
        <f t="shared" si="95"/>
        <v>1046548.8</v>
      </c>
      <c r="L1767" s="153"/>
      <c r="M1767" s="153"/>
      <c r="N1767" s="153"/>
      <c r="O1767" s="153"/>
    </row>
    <row r="1768" spans="1:15" x14ac:dyDescent="0.2">
      <c r="A1768" s="168">
        <v>1761</v>
      </c>
      <c r="B1768" s="159">
        <v>594.63366392643309</v>
      </c>
      <c r="C1768" s="169">
        <f t="shared" si="94"/>
        <v>1047149.8821744487</v>
      </c>
      <c r="D1768" s="153"/>
      <c r="E1768" s="153"/>
      <c r="F1768" s="153"/>
      <c r="G1768" s="153"/>
      <c r="I1768" s="168">
        <v>1761</v>
      </c>
      <c r="J1768" s="159">
        <f>ROUND(B1768*('Model Data Inputs'!$E$184*'Model Data Inputs'!$E$185*'Model Data Inputs'!$E$186*'Model Data Inputs'!$E$187),2)</f>
        <v>594.63</v>
      </c>
      <c r="K1768" s="169">
        <f t="shared" si="95"/>
        <v>1047143.4299999999</v>
      </c>
      <c r="L1768" s="153"/>
      <c r="M1768" s="153"/>
      <c r="N1768" s="153"/>
      <c r="O1768" s="153"/>
    </row>
    <row r="1769" spans="1:15" x14ac:dyDescent="0.2">
      <c r="A1769" s="168">
        <v>1762</v>
      </c>
      <c r="B1769" s="159">
        <v>594.63366392643309</v>
      </c>
      <c r="C1769" s="169">
        <f t="shared" si="94"/>
        <v>1047744.5158383751</v>
      </c>
      <c r="D1769" s="153"/>
      <c r="E1769" s="153"/>
      <c r="F1769" s="153"/>
      <c r="G1769" s="153"/>
      <c r="I1769" s="168">
        <v>1762</v>
      </c>
      <c r="J1769" s="159">
        <f>ROUND(B1769*('Model Data Inputs'!$E$184*'Model Data Inputs'!$E$185*'Model Data Inputs'!$E$186*'Model Data Inputs'!$E$187),2)</f>
        <v>594.63</v>
      </c>
      <c r="K1769" s="169">
        <f t="shared" si="95"/>
        <v>1047738.0599999999</v>
      </c>
      <c r="L1769" s="153"/>
      <c r="M1769" s="153"/>
      <c r="N1769" s="153"/>
      <c r="O1769" s="153"/>
    </row>
    <row r="1770" spans="1:15" x14ac:dyDescent="0.2">
      <c r="A1770" s="168">
        <v>1763</v>
      </c>
      <c r="B1770" s="159">
        <v>594.63366392643309</v>
      </c>
      <c r="C1770" s="169">
        <f t="shared" si="94"/>
        <v>1048339.1495023016</v>
      </c>
      <c r="D1770" s="153"/>
      <c r="E1770" s="153"/>
      <c r="F1770" s="153"/>
      <c r="G1770" s="153"/>
      <c r="I1770" s="168">
        <v>1763</v>
      </c>
      <c r="J1770" s="159">
        <f>ROUND(B1770*('Model Data Inputs'!$E$184*'Model Data Inputs'!$E$185*'Model Data Inputs'!$E$186*'Model Data Inputs'!$E$187),2)</f>
        <v>594.63</v>
      </c>
      <c r="K1770" s="169">
        <f t="shared" si="95"/>
        <v>1048332.69</v>
      </c>
      <c r="L1770" s="153"/>
      <c r="M1770" s="153"/>
      <c r="N1770" s="153"/>
      <c r="O1770" s="153"/>
    </row>
    <row r="1771" spans="1:15" x14ac:dyDescent="0.2">
      <c r="A1771" s="168">
        <v>1764</v>
      </c>
      <c r="B1771" s="159">
        <v>594.63366392643309</v>
      </c>
      <c r="C1771" s="169">
        <f t="shared" si="94"/>
        <v>1048933.7831662279</v>
      </c>
      <c r="D1771" s="153"/>
      <c r="E1771" s="153"/>
      <c r="F1771" s="153"/>
      <c r="G1771" s="153"/>
      <c r="I1771" s="168">
        <v>1764</v>
      </c>
      <c r="J1771" s="159">
        <f>ROUND(B1771*('Model Data Inputs'!$E$184*'Model Data Inputs'!$E$185*'Model Data Inputs'!$E$186*'Model Data Inputs'!$E$187),2)</f>
        <v>594.63</v>
      </c>
      <c r="K1771" s="169">
        <f t="shared" si="95"/>
        <v>1048927.32</v>
      </c>
      <c r="L1771" s="153"/>
      <c r="M1771" s="153"/>
      <c r="N1771" s="153"/>
      <c r="O1771" s="153"/>
    </row>
    <row r="1772" spans="1:15" x14ac:dyDescent="0.2">
      <c r="A1772" s="168">
        <v>1765</v>
      </c>
      <c r="B1772" s="159">
        <v>594.63366392643309</v>
      </c>
      <c r="C1772" s="169">
        <f t="shared" si="94"/>
        <v>1049528.4168301544</v>
      </c>
      <c r="D1772" s="153"/>
      <c r="E1772" s="153"/>
      <c r="F1772" s="153"/>
      <c r="G1772" s="153"/>
      <c r="I1772" s="168">
        <v>1765</v>
      </c>
      <c r="J1772" s="159">
        <f>ROUND(B1772*('Model Data Inputs'!$E$184*'Model Data Inputs'!$E$185*'Model Data Inputs'!$E$186*'Model Data Inputs'!$E$187),2)</f>
        <v>594.63</v>
      </c>
      <c r="K1772" s="169">
        <f t="shared" si="95"/>
        <v>1049521.95</v>
      </c>
      <c r="L1772" s="153"/>
      <c r="M1772" s="153"/>
      <c r="N1772" s="153"/>
      <c r="O1772" s="153"/>
    </row>
    <row r="1773" spans="1:15" x14ac:dyDescent="0.2">
      <c r="A1773" s="168">
        <v>1766</v>
      </c>
      <c r="B1773" s="159">
        <v>594.63366392643309</v>
      </c>
      <c r="C1773" s="169">
        <f t="shared" si="94"/>
        <v>1050123.0504940809</v>
      </c>
      <c r="D1773" s="153"/>
      <c r="E1773" s="153"/>
      <c r="F1773" s="153"/>
      <c r="G1773" s="153"/>
      <c r="I1773" s="168">
        <v>1766</v>
      </c>
      <c r="J1773" s="159">
        <f>ROUND(B1773*('Model Data Inputs'!$E$184*'Model Data Inputs'!$E$185*'Model Data Inputs'!$E$186*'Model Data Inputs'!$E$187),2)</f>
        <v>594.63</v>
      </c>
      <c r="K1773" s="169">
        <f t="shared" si="95"/>
        <v>1050116.58</v>
      </c>
      <c r="L1773" s="153"/>
      <c r="M1773" s="153"/>
      <c r="N1773" s="153"/>
      <c r="O1773" s="153"/>
    </row>
    <row r="1774" spans="1:15" x14ac:dyDescent="0.2">
      <c r="A1774" s="168">
        <v>1767</v>
      </c>
      <c r="B1774" s="159">
        <v>594.63366392643309</v>
      </c>
      <c r="C1774" s="169">
        <f t="shared" si="94"/>
        <v>1050717.6841580071</v>
      </c>
      <c r="D1774" s="153"/>
      <c r="E1774" s="153"/>
      <c r="F1774" s="153"/>
      <c r="G1774" s="153"/>
      <c r="I1774" s="168">
        <v>1767</v>
      </c>
      <c r="J1774" s="159">
        <f>ROUND(B1774*('Model Data Inputs'!$E$184*'Model Data Inputs'!$E$185*'Model Data Inputs'!$E$186*'Model Data Inputs'!$E$187),2)</f>
        <v>594.63</v>
      </c>
      <c r="K1774" s="169">
        <f t="shared" si="95"/>
        <v>1050711.21</v>
      </c>
      <c r="L1774" s="153"/>
      <c r="M1774" s="153"/>
      <c r="N1774" s="153"/>
      <c r="O1774" s="153"/>
    </row>
    <row r="1775" spans="1:15" x14ac:dyDescent="0.2">
      <c r="A1775" s="168">
        <v>1768</v>
      </c>
      <c r="B1775" s="159">
        <v>594.63366392643309</v>
      </c>
      <c r="C1775" s="169">
        <f t="shared" si="94"/>
        <v>1051312.3178219337</v>
      </c>
      <c r="D1775" s="153"/>
      <c r="E1775" s="153"/>
      <c r="F1775" s="153"/>
      <c r="G1775" s="153"/>
      <c r="I1775" s="168">
        <v>1768</v>
      </c>
      <c r="J1775" s="159">
        <f>ROUND(B1775*('Model Data Inputs'!$E$184*'Model Data Inputs'!$E$185*'Model Data Inputs'!$E$186*'Model Data Inputs'!$E$187),2)</f>
        <v>594.63</v>
      </c>
      <c r="K1775" s="169">
        <f t="shared" si="95"/>
        <v>1051305.8400000001</v>
      </c>
      <c r="L1775" s="153"/>
      <c r="M1775" s="153"/>
      <c r="N1775" s="153"/>
      <c r="O1775" s="153"/>
    </row>
    <row r="1776" spans="1:15" x14ac:dyDescent="0.2">
      <c r="A1776" s="168">
        <v>1769</v>
      </c>
      <c r="B1776" s="159">
        <v>594.63366392643309</v>
      </c>
      <c r="C1776" s="169">
        <f t="shared" si="94"/>
        <v>1051906.9514858602</v>
      </c>
      <c r="D1776" s="153"/>
      <c r="E1776" s="153"/>
      <c r="F1776" s="153"/>
      <c r="G1776" s="153"/>
      <c r="I1776" s="168">
        <v>1769</v>
      </c>
      <c r="J1776" s="159">
        <f>ROUND(B1776*('Model Data Inputs'!$E$184*'Model Data Inputs'!$E$185*'Model Data Inputs'!$E$186*'Model Data Inputs'!$E$187),2)</f>
        <v>594.63</v>
      </c>
      <c r="K1776" s="169">
        <f t="shared" si="95"/>
        <v>1051900.47</v>
      </c>
      <c r="L1776" s="153"/>
      <c r="M1776" s="153"/>
      <c r="N1776" s="153"/>
      <c r="O1776" s="153"/>
    </row>
    <row r="1777" spans="1:15" x14ac:dyDescent="0.2">
      <c r="A1777" s="168">
        <v>1770</v>
      </c>
      <c r="B1777" s="159">
        <v>594.63366392643309</v>
      </c>
      <c r="C1777" s="169">
        <f t="shared" si="94"/>
        <v>1052501.5851497867</v>
      </c>
      <c r="D1777" s="153"/>
      <c r="E1777" s="153"/>
      <c r="F1777" s="153"/>
      <c r="G1777" s="153"/>
      <c r="I1777" s="168">
        <v>1770</v>
      </c>
      <c r="J1777" s="159">
        <f>ROUND(B1777*('Model Data Inputs'!$E$184*'Model Data Inputs'!$E$185*'Model Data Inputs'!$E$186*'Model Data Inputs'!$E$187),2)</f>
        <v>594.63</v>
      </c>
      <c r="K1777" s="169">
        <f t="shared" si="95"/>
        <v>1052495.1000000001</v>
      </c>
      <c r="L1777" s="153"/>
      <c r="M1777" s="153"/>
      <c r="N1777" s="153"/>
      <c r="O1777" s="153"/>
    </row>
    <row r="1778" spans="1:15" x14ac:dyDescent="0.2">
      <c r="A1778" s="168">
        <v>1771</v>
      </c>
      <c r="B1778" s="159">
        <v>594.63366392643309</v>
      </c>
      <c r="C1778" s="169">
        <f t="shared" si="94"/>
        <v>1053096.2188137129</v>
      </c>
      <c r="D1778" s="153"/>
      <c r="E1778" s="153"/>
      <c r="F1778" s="153"/>
      <c r="G1778" s="153"/>
      <c r="I1778" s="168">
        <v>1771</v>
      </c>
      <c r="J1778" s="159">
        <f>ROUND(B1778*('Model Data Inputs'!$E$184*'Model Data Inputs'!$E$185*'Model Data Inputs'!$E$186*'Model Data Inputs'!$E$187),2)</f>
        <v>594.63</v>
      </c>
      <c r="K1778" s="169">
        <f t="shared" si="95"/>
        <v>1053089.73</v>
      </c>
      <c r="L1778" s="153"/>
      <c r="M1778" s="153"/>
      <c r="N1778" s="153"/>
      <c r="O1778" s="153"/>
    </row>
    <row r="1779" spans="1:15" x14ac:dyDescent="0.2">
      <c r="A1779" s="168">
        <v>1772</v>
      </c>
      <c r="B1779" s="159">
        <v>594.63366392643309</v>
      </c>
      <c r="C1779" s="169">
        <f t="shared" si="94"/>
        <v>1053690.8524776394</v>
      </c>
      <c r="D1779" s="153"/>
      <c r="E1779" s="153"/>
      <c r="F1779" s="153"/>
      <c r="G1779" s="153"/>
      <c r="I1779" s="168">
        <v>1772</v>
      </c>
      <c r="J1779" s="159">
        <f>ROUND(B1779*('Model Data Inputs'!$E$184*'Model Data Inputs'!$E$185*'Model Data Inputs'!$E$186*'Model Data Inputs'!$E$187),2)</f>
        <v>594.63</v>
      </c>
      <c r="K1779" s="169">
        <f t="shared" si="95"/>
        <v>1053684.3600000001</v>
      </c>
      <c r="L1779" s="153"/>
      <c r="M1779" s="153"/>
      <c r="N1779" s="153"/>
      <c r="O1779" s="153"/>
    </row>
    <row r="1780" spans="1:15" x14ac:dyDescent="0.2">
      <c r="A1780" s="168">
        <v>1773</v>
      </c>
      <c r="B1780" s="159">
        <v>594.63366392643309</v>
      </c>
      <c r="C1780" s="169">
        <f t="shared" si="94"/>
        <v>1054285.486141566</v>
      </c>
      <c r="D1780" s="153"/>
      <c r="E1780" s="153"/>
      <c r="F1780" s="153"/>
      <c r="G1780" s="153"/>
      <c r="I1780" s="168">
        <v>1773</v>
      </c>
      <c r="J1780" s="159">
        <f>ROUND(B1780*('Model Data Inputs'!$E$184*'Model Data Inputs'!$E$185*'Model Data Inputs'!$E$186*'Model Data Inputs'!$E$187),2)</f>
        <v>594.63</v>
      </c>
      <c r="K1780" s="169">
        <f t="shared" si="95"/>
        <v>1054278.99</v>
      </c>
      <c r="L1780" s="153"/>
      <c r="M1780" s="153"/>
      <c r="N1780" s="153"/>
      <c r="O1780" s="153"/>
    </row>
    <row r="1781" spans="1:15" x14ac:dyDescent="0.2">
      <c r="A1781" s="168">
        <v>1774</v>
      </c>
      <c r="B1781" s="159">
        <v>594.63366392643309</v>
      </c>
      <c r="C1781" s="169">
        <f t="shared" si="94"/>
        <v>1054880.1198054922</v>
      </c>
      <c r="D1781" s="153"/>
      <c r="E1781" s="153"/>
      <c r="F1781" s="153"/>
      <c r="G1781" s="153"/>
      <c r="I1781" s="168">
        <v>1774</v>
      </c>
      <c r="J1781" s="159">
        <f>ROUND(B1781*('Model Data Inputs'!$E$184*'Model Data Inputs'!$E$185*'Model Data Inputs'!$E$186*'Model Data Inputs'!$E$187),2)</f>
        <v>594.63</v>
      </c>
      <c r="K1781" s="169">
        <f t="shared" si="95"/>
        <v>1054873.6199999999</v>
      </c>
      <c r="L1781" s="153"/>
      <c r="M1781" s="153"/>
      <c r="N1781" s="153"/>
      <c r="O1781" s="153"/>
    </row>
    <row r="1782" spans="1:15" x14ac:dyDescent="0.2">
      <c r="A1782" s="168">
        <v>1775</v>
      </c>
      <c r="B1782" s="159">
        <v>594.63366392643309</v>
      </c>
      <c r="C1782" s="169">
        <f t="shared" si="94"/>
        <v>1055474.7534694187</v>
      </c>
      <c r="D1782" s="153"/>
      <c r="E1782" s="153"/>
      <c r="F1782" s="153"/>
      <c r="G1782" s="153"/>
      <c r="I1782" s="168">
        <v>1775</v>
      </c>
      <c r="J1782" s="159">
        <f>ROUND(B1782*('Model Data Inputs'!$E$184*'Model Data Inputs'!$E$185*'Model Data Inputs'!$E$186*'Model Data Inputs'!$E$187),2)</f>
        <v>594.63</v>
      </c>
      <c r="K1782" s="169">
        <f t="shared" si="95"/>
        <v>1055468.25</v>
      </c>
      <c r="L1782" s="153"/>
      <c r="M1782" s="153"/>
      <c r="N1782" s="153"/>
      <c r="O1782" s="153"/>
    </row>
    <row r="1783" spans="1:15" x14ac:dyDescent="0.2">
      <c r="A1783" s="168">
        <v>1776</v>
      </c>
      <c r="B1783" s="159">
        <v>594.63366392643309</v>
      </c>
      <c r="C1783" s="169">
        <f t="shared" si="94"/>
        <v>1056069.3871333452</v>
      </c>
      <c r="D1783" s="153"/>
      <c r="E1783" s="153"/>
      <c r="F1783" s="153"/>
      <c r="G1783" s="153"/>
      <c r="I1783" s="168">
        <v>1776</v>
      </c>
      <c r="J1783" s="159">
        <f>ROUND(B1783*('Model Data Inputs'!$E$184*'Model Data Inputs'!$E$185*'Model Data Inputs'!$E$186*'Model Data Inputs'!$E$187),2)</f>
        <v>594.63</v>
      </c>
      <c r="K1783" s="169">
        <f t="shared" si="95"/>
        <v>1056062.8799999999</v>
      </c>
      <c r="L1783" s="153"/>
      <c r="M1783" s="153"/>
      <c r="N1783" s="153"/>
      <c r="O1783" s="153"/>
    </row>
    <row r="1784" spans="1:15" x14ac:dyDescent="0.2">
      <c r="A1784" s="168">
        <v>1777</v>
      </c>
      <c r="B1784" s="159">
        <v>594.63366392643309</v>
      </c>
      <c r="C1784" s="169">
        <f t="shared" si="94"/>
        <v>1056664.0207972715</v>
      </c>
      <c r="D1784" s="153"/>
      <c r="E1784" s="153"/>
      <c r="F1784" s="153"/>
      <c r="G1784" s="153"/>
      <c r="I1784" s="168">
        <v>1777</v>
      </c>
      <c r="J1784" s="159">
        <f>ROUND(B1784*('Model Data Inputs'!$E$184*'Model Data Inputs'!$E$185*'Model Data Inputs'!$E$186*'Model Data Inputs'!$E$187),2)</f>
        <v>594.63</v>
      </c>
      <c r="K1784" s="169">
        <f t="shared" si="95"/>
        <v>1056657.51</v>
      </c>
      <c r="L1784" s="153"/>
      <c r="M1784" s="153"/>
      <c r="N1784" s="153"/>
      <c r="O1784" s="153"/>
    </row>
    <row r="1785" spans="1:15" x14ac:dyDescent="0.2">
      <c r="A1785" s="168">
        <v>1778</v>
      </c>
      <c r="B1785" s="159">
        <v>594.63366392643309</v>
      </c>
      <c r="C1785" s="169">
        <f t="shared" si="94"/>
        <v>1057258.654461198</v>
      </c>
      <c r="D1785" s="153"/>
      <c r="E1785" s="153"/>
      <c r="F1785" s="153"/>
      <c r="G1785" s="153"/>
      <c r="I1785" s="168">
        <v>1778</v>
      </c>
      <c r="J1785" s="159">
        <f>ROUND(B1785*('Model Data Inputs'!$E$184*'Model Data Inputs'!$E$185*'Model Data Inputs'!$E$186*'Model Data Inputs'!$E$187),2)</f>
        <v>594.63</v>
      </c>
      <c r="K1785" s="169">
        <f t="shared" si="95"/>
        <v>1057252.1399999999</v>
      </c>
      <c r="L1785" s="153"/>
      <c r="M1785" s="153"/>
      <c r="N1785" s="153"/>
      <c r="O1785" s="153"/>
    </row>
    <row r="1786" spans="1:15" x14ac:dyDescent="0.2">
      <c r="A1786" s="168">
        <v>1779</v>
      </c>
      <c r="B1786" s="159">
        <v>594.63366392643309</v>
      </c>
      <c r="C1786" s="169">
        <f t="shared" si="94"/>
        <v>1057853.2881251245</v>
      </c>
      <c r="D1786" s="153"/>
      <c r="E1786" s="153"/>
      <c r="F1786" s="153"/>
      <c r="G1786" s="153"/>
      <c r="I1786" s="168">
        <v>1779</v>
      </c>
      <c r="J1786" s="159">
        <f>ROUND(B1786*('Model Data Inputs'!$E$184*'Model Data Inputs'!$E$185*'Model Data Inputs'!$E$186*'Model Data Inputs'!$E$187),2)</f>
        <v>594.63</v>
      </c>
      <c r="K1786" s="169">
        <f t="shared" si="95"/>
        <v>1057846.77</v>
      </c>
      <c r="L1786" s="153"/>
      <c r="M1786" s="153"/>
      <c r="N1786" s="153"/>
      <c r="O1786" s="153"/>
    </row>
    <row r="1787" spans="1:15" x14ac:dyDescent="0.2">
      <c r="A1787" s="168">
        <v>1780</v>
      </c>
      <c r="B1787" s="159">
        <v>594.63366392643309</v>
      </c>
      <c r="C1787" s="169">
        <f t="shared" si="94"/>
        <v>1058447.9217890508</v>
      </c>
      <c r="D1787" s="153"/>
      <c r="E1787" s="153"/>
      <c r="F1787" s="153"/>
      <c r="G1787" s="153"/>
      <c r="I1787" s="168">
        <v>1780</v>
      </c>
      <c r="J1787" s="159">
        <f>ROUND(B1787*('Model Data Inputs'!$E$184*'Model Data Inputs'!$E$185*'Model Data Inputs'!$E$186*'Model Data Inputs'!$E$187),2)</f>
        <v>594.63</v>
      </c>
      <c r="K1787" s="169">
        <f t="shared" si="95"/>
        <v>1058441.3999999999</v>
      </c>
      <c r="L1787" s="153"/>
      <c r="M1787" s="153"/>
      <c r="N1787" s="153"/>
      <c r="O1787" s="153"/>
    </row>
    <row r="1788" spans="1:15" x14ac:dyDescent="0.2">
      <c r="A1788" s="168">
        <v>1781</v>
      </c>
      <c r="B1788" s="159">
        <v>594.63366392643309</v>
      </c>
      <c r="C1788" s="169">
        <f t="shared" si="94"/>
        <v>1059042.5554529773</v>
      </c>
      <c r="D1788" s="153"/>
      <c r="E1788" s="153"/>
      <c r="F1788" s="153"/>
      <c r="G1788" s="153"/>
      <c r="I1788" s="168">
        <v>1781</v>
      </c>
      <c r="J1788" s="159">
        <f>ROUND(B1788*('Model Data Inputs'!$E$184*'Model Data Inputs'!$E$185*'Model Data Inputs'!$E$186*'Model Data Inputs'!$E$187),2)</f>
        <v>594.63</v>
      </c>
      <c r="K1788" s="169">
        <f t="shared" si="95"/>
        <v>1059036.03</v>
      </c>
      <c r="L1788" s="153"/>
      <c r="M1788" s="153"/>
      <c r="N1788" s="153"/>
      <c r="O1788" s="153"/>
    </row>
    <row r="1789" spans="1:15" x14ac:dyDescent="0.2">
      <c r="A1789" s="168">
        <v>1782</v>
      </c>
      <c r="B1789" s="159">
        <v>594.63366392643309</v>
      </c>
      <c r="C1789" s="169">
        <f t="shared" si="94"/>
        <v>1059637.1891169038</v>
      </c>
      <c r="D1789" s="153"/>
      <c r="E1789" s="153"/>
      <c r="F1789" s="153"/>
      <c r="G1789" s="153"/>
      <c r="I1789" s="168">
        <v>1782</v>
      </c>
      <c r="J1789" s="159">
        <f>ROUND(B1789*('Model Data Inputs'!$E$184*'Model Data Inputs'!$E$185*'Model Data Inputs'!$E$186*'Model Data Inputs'!$E$187),2)</f>
        <v>594.63</v>
      </c>
      <c r="K1789" s="169">
        <f t="shared" si="95"/>
        <v>1059630.6599999999</v>
      </c>
      <c r="L1789" s="153"/>
      <c r="M1789" s="153"/>
      <c r="N1789" s="153"/>
      <c r="O1789" s="153"/>
    </row>
    <row r="1790" spans="1:15" x14ac:dyDescent="0.2">
      <c r="A1790" s="168">
        <v>1783</v>
      </c>
      <c r="B1790" s="159">
        <v>594.63366392643309</v>
      </c>
      <c r="C1790" s="169">
        <f t="shared" si="94"/>
        <v>1060231.8227808301</v>
      </c>
      <c r="D1790" s="153"/>
      <c r="E1790" s="153"/>
      <c r="F1790" s="153"/>
      <c r="G1790" s="153"/>
      <c r="I1790" s="168">
        <v>1783</v>
      </c>
      <c r="J1790" s="159">
        <f>ROUND(B1790*('Model Data Inputs'!$E$184*'Model Data Inputs'!$E$185*'Model Data Inputs'!$E$186*'Model Data Inputs'!$E$187),2)</f>
        <v>594.63</v>
      </c>
      <c r="K1790" s="169">
        <f t="shared" si="95"/>
        <v>1060225.29</v>
      </c>
      <c r="L1790" s="153"/>
      <c r="M1790" s="153"/>
      <c r="N1790" s="153"/>
      <c r="O1790" s="153"/>
    </row>
    <row r="1791" spans="1:15" x14ac:dyDescent="0.2">
      <c r="A1791" s="168">
        <v>1784</v>
      </c>
      <c r="B1791" s="159">
        <v>594.63366392643309</v>
      </c>
      <c r="C1791" s="169">
        <f t="shared" si="94"/>
        <v>1060826.4564447566</v>
      </c>
      <c r="D1791" s="153"/>
      <c r="E1791" s="153"/>
      <c r="F1791" s="153"/>
      <c r="G1791" s="153"/>
      <c r="I1791" s="168">
        <v>1784</v>
      </c>
      <c r="J1791" s="159">
        <f>ROUND(B1791*('Model Data Inputs'!$E$184*'Model Data Inputs'!$E$185*'Model Data Inputs'!$E$186*'Model Data Inputs'!$E$187),2)</f>
        <v>594.63</v>
      </c>
      <c r="K1791" s="169">
        <f t="shared" si="95"/>
        <v>1060819.92</v>
      </c>
      <c r="L1791" s="153"/>
      <c r="M1791" s="153"/>
      <c r="N1791" s="153"/>
      <c r="O1791" s="153"/>
    </row>
    <row r="1792" spans="1:15" x14ac:dyDescent="0.2">
      <c r="A1792" s="168">
        <v>1785</v>
      </c>
      <c r="B1792" s="159">
        <v>594.63366392643309</v>
      </c>
      <c r="C1792" s="169">
        <f t="shared" si="94"/>
        <v>1061421.0901086831</v>
      </c>
      <c r="D1792" s="153"/>
      <c r="E1792" s="153"/>
      <c r="F1792" s="153"/>
      <c r="G1792" s="153"/>
      <c r="I1792" s="168">
        <v>1785</v>
      </c>
      <c r="J1792" s="159">
        <f>ROUND(B1792*('Model Data Inputs'!$E$184*'Model Data Inputs'!$E$185*'Model Data Inputs'!$E$186*'Model Data Inputs'!$E$187),2)</f>
        <v>594.63</v>
      </c>
      <c r="K1792" s="169">
        <f t="shared" si="95"/>
        <v>1061414.55</v>
      </c>
      <c r="L1792" s="153"/>
      <c r="M1792" s="153"/>
      <c r="N1792" s="153"/>
      <c r="O1792" s="153"/>
    </row>
    <row r="1793" spans="1:15" x14ac:dyDescent="0.2">
      <c r="A1793" s="168">
        <v>1786</v>
      </c>
      <c r="B1793" s="159">
        <v>594.63366392643309</v>
      </c>
      <c r="C1793" s="169">
        <f t="shared" si="94"/>
        <v>1062015.7237726096</v>
      </c>
      <c r="D1793" s="153"/>
      <c r="E1793" s="153"/>
      <c r="F1793" s="153"/>
      <c r="G1793" s="153"/>
      <c r="I1793" s="168">
        <v>1786</v>
      </c>
      <c r="J1793" s="159">
        <f>ROUND(B1793*('Model Data Inputs'!$E$184*'Model Data Inputs'!$E$185*'Model Data Inputs'!$E$186*'Model Data Inputs'!$E$187),2)</f>
        <v>594.63</v>
      </c>
      <c r="K1793" s="169">
        <f t="shared" si="95"/>
        <v>1062009.18</v>
      </c>
      <c r="L1793" s="153"/>
      <c r="M1793" s="153"/>
      <c r="N1793" s="153"/>
      <c r="O1793" s="153"/>
    </row>
    <row r="1794" spans="1:15" x14ac:dyDescent="0.2">
      <c r="A1794" s="168">
        <v>1787</v>
      </c>
      <c r="B1794" s="159">
        <v>594.63366392643309</v>
      </c>
      <c r="C1794" s="169">
        <f t="shared" si="94"/>
        <v>1062610.3574365359</v>
      </c>
      <c r="D1794" s="153"/>
      <c r="E1794" s="153"/>
      <c r="F1794" s="153"/>
      <c r="G1794" s="153"/>
      <c r="I1794" s="168">
        <v>1787</v>
      </c>
      <c r="J1794" s="159">
        <f>ROUND(B1794*('Model Data Inputs'!$E$184*'Model Data Inputs'!$E$185*'Model Data Inputs'!$E$186*'Model Data Inputs'!$E$187),2)</f>
        <v>594.63</v>
      </c>
      <c r="K1794" s="169">
        <f t="shared" si="95"/>
        <v>1062603.81</v>
      </c>
      <c r="L1794" s="153"/>
      <c r="M1794" s="153"/>
      <c r="N1794" s="153"/>
      <c r="O1794" s="153"/>
    </row>
    <row r="1795" spans="1:15" x14ac:dyDescent="0.2">
      <c r="A1795" s="168">
        <v>1788</v>
      </c>
      <c r="B1795" s="159">
        <v>594.63366392643309</v>
      </c>
      <c r="C1795" s="169">
        <f t="shared" si="94"/>
        <v>1063204.9911004624</v>
      </c>
      <c r="D1795" s="153"/>
      <c r="E1795" s="153"/>
      <c r="F1795" s="153"/>
      <c r="G1795" s="153"/>
      <c r="I1795" s="168">
        <v>1788</v>
      </c>
      <c r="J1795" s="159">
        <f>ROUND(B1795*('Model Data Inputs'!$E$184*'Model Data Inputs'!$E$185*'Model Data Inputs'!$E$186*'Model Data Inputs'!$E$187),2)</f>
        <v>594.63</v>
      </c>
      <c r="K1795" s="169">
        <f t="shared" si="95"/>
        <v>1063198.44</v>
      </c>
      <c r="L1795" s="153"/>
      <c r="M1795" s="153"/>
      <c r="N1795" s="153"/>
      <c r="O1795" s="153"/>
    </row>
    <row r="1796" spans="1:15" x14ac:dyDescent="0.2">
      <c r="A1796" s="168">
        <v>1789</v>
      </c>
      <c r="B1796" s="159">
        <v>594.63366392643309</v>
      </c>
      <c r="C1796" s="169">
        <f t="shared" si="94"/>
        <v>1063799.6247643889</v>
      </c>
      <c r="D1796" s="153"/>
      <c r="E1796" s="153"/>
      <c r="F1796" s="153"/>
      <c r="G1796" s="153"/>
      <c r="I1796" s="168">
        <v>1789</v>
      </c>
      <c r="J1796" s="159">
        <f>ROUND(B1796*('Model Data Inputs'!$E$184*'Model Data Inputs'!$E$185*'Model Data Inputs'!$E$186*'Model Data Inputs'!$E$187),2)</f>
        <v>594.63</v>
      </c>
      <c r="K1796" s="169">
        <f t="shared" si="95"/>
        <v>1063793.07</v>
      </c>
      <c r="L1796" s="153"/>
      <c r="M1796" s="153"/>
      <c r="N1796" s="153"/>
      <c r="O1796" s="153"/>
    </row>
    <row r="1797" spans="1:15" x14ac:dyDescent="0.2">
      <c r="A1797" s="168">
        <v>1790</v>
      </c>
      <c r="B1797" s="159">
        <v>594.63366392643309</v>
      </c>
      <c r="C1797" s="169">
        <f t="shared" si="94"/>
        <v>1064394.2584283152</v>
      </c>
      <c r="D1797" s="153"/>
      <c r="E1797" s="153"/>
      <c r="F1797" s="153"/>
      <c r="G1797" s="153"/>
      <c r="I1797" s="168">
        <v>1790</v>
      </c>
      <c r="J1797" s="159">
        <f>ROUND(B1797*('Model Data Inputs'!$E$184*'Model Data Inputs'!$E$185*'Model Data Inputs'!$E$186*'Model Data Inputs'!$E$187),2)</f>
        <v>594.63</v>
      </c>
      <c r="K1797" s="169">
        <f t="shared" si="95"/>
        <v>1064387.7</v>
      </c>
      <c r="L1797" s="153"/>
      <c r="M1797" s="153"/>
      <c r="N1797" s="153"/>
      <c r="O1797" s="153"/>
    </row>
    <row r="1798" spans="1:15" x14ac:dyDescent="0.2">
      <c r="A1798" s="168">
        <v>1791</v>
      </c>
      <c r="B1798" s="159">
        <v>594.63366392643309</v>
      </c>
      <c r="C1798" s="169">
        <f t="shared" si="94"/>
        <v>1064988.8920922417</v>
      </c>
      <c r="D1798" s="153"/>
      <c r="E1798" s="153"/>
      <c r="F1798" s="153"/>
      <c r="G1798" s="153"/>
      <c r="I1798" s="168">
        <v>1791</v>
      </c>
      <c r="J1798" s="159">
        <f>ROUND(B1798*('Model Data Inputs'!$E$184*'Model Data Inputs'!$E$185*'Model Data Inputs'!$E$186*'Model Data Inputs'!$E$187),2)</f>
        <v>594.63</v>
      </c>
      <c r="K1798" s="169">
        <f t="shared" si="95"/>
        <v>1064982.33</v>
      </c>
      <c r="L1798" s="153"/>
      <c r="M1798" s="153"/>
      <c r="N1798" s="153"/>
      <c r="O1798" s="153"/>
    </row>
    <row r="1799" spans="1:15" x14ac:dyDescent="0.2">
      <c r="A1799" s="168">
        <v>1792</v>
      </c>
      <c r="B1799" s="159">
        <v>594.63366392643309</v>
      </c>
      <c r="C1799" s="169">
        <f t="shared" si="94"/>
        <v>1065583.5257561682</v>
      </c>
      <c r="D1799" s="153"/>
      <c r="E1799" s="153"/>
      <c r="F1799" s="153"/>
      <c r="G1799" s="153"/>
      <c r="I1799" s="168">
        <v>1792</v>
      </c>
      <c r="J1799" s="159">
        <f>ROUND(B1799*('Model Data Inputs'!$E$184*'Model Data Inputs'!$E$185*'Model Data Inputs'!$E$186*'Model Data Inputs'!$E$187),2)</f>
        <v>594.63</v>
      </c>
      <c r="K1799" s="169">
        <f t="shared" si="95"/>
        <v>1065576.96</v>
      </c>
      <c r="L1799" s="153"/>
      <c r="M1799" s="153"/>
      <c r="N1799" s="153"/>
      <c r="O1799" s="153"/>
    </row>
    <row r="1800" spans="1:15" x14ac:dyDescent="0.2">
      <c r="A1800" s="168">
        <v>1793</v>
      </c>
      <c r="B1800" s="159">
        <v>594.63366392643309</v>
      </c>
      <c r="C1800" s="169">
        <f t="shared" ref="C1800:C1863" si="96">A1800*B1800</f>
        <v>1066178.1594200945</v>
      </c>
      <c r="D1800" s="153"/>
      <c r="E1800" s="153"/>
      <c r="F1800" s="153"/>
      <c r="G1800" s="153"/>
      <c r="I1800" s="168">
        <v>1793</v>
      </c>
      <c r="J1800" s="159">
        <f>ROUND(B1800*('Model Data Inputs'!$E$184*'Model Data Inputs'!$E$185*'Model Data Inputs'!$E$186*'Model Data Inputs'!$E$187),2)</f>
        <v>594.63</v>
      </c>
      <c r="K1800" s="169">
        <f t="shared" ref="K1800:K1863" si="97">I1800*J1800</f>
        <v>1066171.5900000001</v>
      </c>
      <c r="L1800" s="153"/>
      <c r="M1800" s="153"/>
      <c r="N1800" s="153"/>
      <c r="O1800" s="153"/>
    </row>
    <row r="1801" spans="1:15" x14ac:dyDescent="0.2">
      <c r="A1801" s="168">
        <v>1794</v>
      </c>
      <c r="B1801" s="159">
        <v>594.63366392643309</v>
      </c>
      <c r="C1801" s="169">
        <f t="shared" si="96"/>
        <v>1066772.793084021</v>
      </c>
      <c r="D1801" s="153"/>
      <c r="E1801" s="153"/>
      <c r="F1801" s="153"/>
      <c r="G1801" s="153"/>
      <c r="I1801" s="168">
        <v>1794</v>
      </c>
      <c r="J1801" s="159">
        <f>ROUND(B1801*('Model Data Inputs'!$E$184*'Model Data Inputs'!$E$185*'Model Data Inputs'!$E$186*'Model Data Inputs'!$E$187),2)</f>
        <v>594.63</v>
      </c>
      <c r="K1801" s="169">
        <f t="shared" si="97"/>
        <v>1066766.22</v>
      </c>
      <c r="L1801" s="153"/>
      <c r="M1801" s="153"/>
      <c r="N1801" s="153"/>
      <c r="O1801" s="153"/>
    </row>
    <row r="1802" spans="1:15" x14ac:dyDescent="0.2">
      <c r="A1802" s="168">
        <v>1795</v>
      </c>
      <c r="B1802" s="159">
        <v>594.63366392643309</v>
      </c>
      <c r="C1802" s="169">
        <f t="shared" si="96"/>
        <v>1067367.4267479475</v>
      </c>
      <c r="D1802" s="153"/>
      <c r="E1802" s="153"/>
      <c r="F1802" s="153"/>
      <c r="G1802" s="153"/>
      <c r="I1802" s="168">
        <v>1795</v>
      </c>
      <c r="J1802" s="159">
        <f>ROUND(B1802*('Model Data Inputs'!$E$184*'Model Data Inputs'!$E$185*'Model Data Inputs'!$E$186*'Model Data Inputs'!$E$187),2)</f>
        <v>594.63</v>
      </c>
      <c r="K1802" s="169">
        <f t="shared" si="97"/>
        <v>1067360.8500000001</v>
      </c>
      <c r="L1802" s="153"/>
      <c r="M1802" s="153"/>
      <c r="N1802" s="153"/>
      <c r="O1802" s="153"/>
    </row>
    <row r="1803" spans="1:15" x14ac:dyDescent="0.2">
      <c r="A1803" s="168">
        <v>1796</v>
      </c>
      <c r="B1803" s="159">
        <v>594.63366392643309</v>
      </c>
      <c r="C1803" s="169">
        <f t="shared" si="96"/>
        <v>1067962.0604118737</v>
      </c>
      <c r="D1803" s="153"/>
      <c r="E1803" s="153"/>
      <c r="F1803" s="153"/>
      <c r="G1803" s="153"/>
      <c r="I1803" s="168">
        <v>1796</v>
      </c>
      <c r="J1803" s="159">
        <f>ROUND(B1803*('Model Data Inputs'!$E$184*'Model Data Inputs'!$E$185*'Model Data Inputs'!$E$186*'Model Data Inputs'!$E$187),2)</f>
        <v>594.63</v>
      </c>
      <c r="K1803" s="169">
        <f t="shared" si="97"/>
        <v>1067955.48</v>
      </c>
      <c r="L1803" s="153"/>
      <c r="M1803" s="153"/>
      <c r="N1803" s="153"/>
      <c r="O1803" s="153"/>
    </row>
    <row r="1804" spans="1:15" x14ac:dyDescent="0.2">
      <c r="A1804" s="168">
        <v>1797</v>
      </c>
      <c r="B1804" s="159">
        <v>594.63366392643309</v>
      </c>
      <c r="C1804" s="169">
        <f t="shared" si="96"/>
        <v>1068556.6940758002</v>
      </c>
      <c r="D1804" s="153"/>
      <c r="E1804" s="153"/>
      <c r="F1804" s="153"/>
      <c r="G1804" s="153"/>
      <c r="I1804" s="168">
        <v>1797</v>
      </c>
      <c r="J1804" s="159">
        <f>ROUND(B1804*('Model Data Inputs'!$E$184*'Model Data Inputs'!$E$185*'Model Data Inputs'!$E$186*'Model Data Inputs'!$E$187),2)</f>
        <v>594.63</v>
      </c>
      <c r="K1804" s="169">
        <f t="shared" si="97"/>
        <v>1068550.1100000001</v>
      </c>
      <c r="L1804" s="153"/>
      <c r="M1804" s="153"/>
      <c r="N1804" s="153"/>
      <c r="O1804" s="153"/>
    </row>
    <row r="1805" spans="1:15" x14ac:dyDescent="0.2">
      <c r="A1805" s="168">
        <v>1798</v>
      </c>
      <c r="B1805" s="159">
        <v>594.63366392643309</v>
      </c>
      <c r="C1805" s="169">
        <f t="shared" si="96"/>
        <v>1069151.3277397268</v>
      </c>
      <c r="D1805" s="153"/>
      <c r="E1805" s="153"/>
      <c r="F1805" s="153"/>
      <c r="G1805" s="153"/>
      <c r="I1805" s="168">
        <v>1798</v>
      </c>
      <c r="J1805" s="159">
        <f>ROUND(B1805*('Model Data Inputs'!$E$184*'Model Data Inputs'!$E$185*'Model Data Inputs'!$E$186*'Model Data Inputs'!$E$187),2)</f>
        <v>594.63</v>
      </c>
      <c r="K1805" s="169">
        <f t="shared" si="97"/>
        <v>1069144.74</v>
      </c>
      <c r="L1805" s="153"/>
      <c r="M1805" s="153"/>
      <c r="N1805" s="153"/>
      <c r="O1805" s="153"/>
    </row>
    <row r="1806" spans="1:15" x14ac:dyDescent="0.2">
      <c r="A1806" s="168">
        <v>1799</v>
      </c>
      <c r="B1806" s="159">
        <v>594.63366392643309</v>
      </c>
      <c r="C1806" s="169">
        <f t="shared" si="96"/>
        <v>1069745.961403653</v>
      </c>
      <c r="D1806" s="153"/>
      <c r="E1806" s="153"/>
      <c r="F1806" s="153"/>
      <c r="G1806" s="153"/>
      <c r="I1806" s="168">
        <v>1799</v>
      </c>
      <c r="J1806" s="159">
        <f>ROUND(B1806*('Model Data Inputs'!$E$184*'Model Data Inputs'!$E$185*'Model Data Inputs'!$E$186*'Model Data Inputs'!$E$187),2)</f>
        <v>594.63</v>
      </c>
      <c r="K1806" s="169">
        <f t="shared" si="97"/>
        <v>1069739.3699999999</v>
      </c>
      <c r="L1806" s="153"/>
      <c r="M1806" s="153"/>
      <c r="N1806" s="153"/>
      <c r="O1806" s="153"/>
    </row>
    <row r="1807" spans="1:15" x14ac:dyDescent="0.2">
      <c r="A1807" s="168">
        <v>1800</v>
      </c>
      <c r="B1807" s="159">
        <v>594.63366392643309</v>
      </c>
      <c r="C1807" s="169">
        <f t="shared" si="96"/>
        <v>1070340.5950675795</v>
      </c>
      <c r="D1807" s="153"/>
      <c r="E1807" s="153"/>
      <c r="F1807" s="153"/>
      <c r="G1807" s="153"/>
      <c r="I1807" s="168">
        <v>1800</v>
      </c>
      <c r="J1807" s="159">
        <f>ROUND(B1807*('Model Data Inputs'!$E$184*'Model Data Inputs'!$E$185*'Model Data Inputs'!$E$186*'Model Data Inputs'!$E$187),2)</f>
        <v>594.63</v>
      </c>
      <c r="K1807" s="169">
        <f t="shared" si="97"/>
        <v>1070334</v>
      </c>
      <c r="L1807" s="153"/>
      <c r="M1807" s="153"/>
      <c r="N1807" s="153"/>
      <c r="O1807" s="153"/>
    </row>
    <row r="1808" spans="1:15" x14ac:dyDescent="0.2">
      <c r="A1808" s="168">
        <v>1801</v>
      </c>
      <c r="B1808" s="159">
        <v>594.63366392643309</v>
      </c>
      <c r="C1808" s="169">
        <f t="shared" si="96"/>
        <v>1070935.228731506</v>
      </c>
      <c r="D1808" s="153"/>
      <c r="E1808" s="153"/>
      <c r="F1808" s="153"/>
      <c r="G1808" s="153"/>
      <c r="I1808" s="168">
        <v>1801</v>
      </c>
      <c r="J1808" s="159">
        <f>ROUND(B1808*('Model Data Inputs'!$E$184*'Model Data Inputs'!$E$185*'Model Data Inputs'!$E$186*'Model Data Inputs'!$E$187),2)</f>
        <v>594.63</v>
      </c>
      <c r="K1808" s="169">
        <f t="shared" si="97"/>
        <v>1070928.6299999999</v>
      </c>
      <c r="L1808" s="153"/>
      <c r="M1808" s="153"/>
      <c r="N1808" s="153"/>
      <c r="O1808" s="153"/>
    </row>
    <row r="1809" spans="1:15" x14ac:dyDescent="0.2">
      <c r="A1809" s="168">
        <v>1802</v>
      </c>
      <c r="B1809" s="159">
        <v>594.63366392643309</v>
      </c>
      <c r="C1809" s="169">
        <f t="shared" si="96"/>
        <v>1071529.8623954323</v>
      </c>
      <c r="D1809" s="153"/>
      <c r="E1809" s="153"/>
      <c r="F1809" s="153"/>
      <c r="G1809" s="153"/>
      <c r="I1809" s="168">
        <v>1802</v>
      </c>
      <c r="J1809" s="159">
        <f>ROUND(B1809*('Model Data Inputs'!$E$184*'Model Data Inputs'!$E$185*'Model Data Inputs'!$E$186*'Model Data Inputs'!$E$187),2)</f>
        <v>594.63</v>
      </c>
      <c r="K1809" s="169">
        <f t="shared" si="97"/>
        <v>1071523.26</v>
      </c>
      <c r="L1809" s="153"/>
      <c r="M1809" s="153"/>
      <c r="N1809" s="153"/>
      <c r="O1809" s="153"/>
    </row>
    <row r="1810" spans="1:15" x14ac:dyDescent="0.2">
      <c r="A1810" s="168">
        <v>1803</v>
      </c>
      <c r="B1810" s="159">
        <v>594.63366392643309</v>
      </c>
      <c r="C1810" s="169">
        <f t="shared" si="96"/>
        <v>1072124.4960593588</v>
      </c>
      <c r="D1810" s="153"/>
      <c r="E1810" s="153"/>
      <c r="F1810" s="153"/>
      <c r="G1810" s="153"/>
      <c r="I1810" s="168">
        <v>1803</v>
      </c>
      <c r="J1810" s="159">
        <f>ROUND(B1810*('Model Data Inputs'!$E$184*'Model Data Inputs'!$E$185*'Model Data Inputs'!$E$186*'Model Data Inputs'!$E$187),2)</f>
        <v>594.63</v>
      </c>
      <c r="K1810" s="169">
        <f t="shared" si="97"/>
        <v>1072117.8899999999</v>
      </c>
      <c r="L1810" s="153"/>
      <c r="M1810" s="153"/>
      <c r="N1810" s="153"/>
      <c r="O1810" s="153"/>
    </row>
    <row r="1811" spans="1:15" x14ac:dyDescent="0.2">
      <c r="A1811" s="168">
        <v>1804</v>
      </c>
      <c r="B1811" s="159">
        <v>594.63366392643309</v>
      </c>
      <c r="C1811" s="169">
        <f t="shared" si="96"/>
        <v>1072719.1297232853</v>
      </c>
      <c r="D1811" s="153"/>
      <c r="E1811" s="153"/>
      <c r="F1811" s="153"/>
      <c r="G1811" s="153"/>
      <c r="I1811" s="168">
        <v>1804</v>
      </c>
      <c r="J1811" s="159">
        <f>ROUND(B1811*('Model Data Inputs'!$E$184*'Model Data Inputs'!$E$185*'Model Data Inputs'!$E$186*'Model Data Inputs'!$E$187),2)</f>
        <v>594.63</v>
      </c>
      <c r="K1811" s="169">
        <f t="shared" si="97"/>
        <v>1072712.52</v>
      </c>
      <c r="L1811" s="153"/>
      <c r="M1811" s="153"/>
      <c r="N1811" s="153"/>
      <c r="O1811" s="153"/>
    </row>
    <row r="1812" spans="1:15" x14ac:dyDescent="0.2">
      <c r="A1812" s="168">
        <v>1805</v>
      </c>
      <c r="B1812" s="159">
        <v>594.63366392643309</v>
      </c>
      <c r="C1812" s="169">
        <f t="shared" si="96"/>
        <v>1073313.7633872118</v>
      </c>
      <c r="D1812" s="153"/>
      <c r="E1812" s="153"/>
      <c r="F1812" s="153"/>
      <c r="G1812" s="153"/>
      <c r="I1812" s="168">
        <v>1805</v>
      </c>
      <c r="J1812" s="159">
        <f>ROUND(B1812*('Model Data Inputs'!$E$184*'Model Data Inputs'!$E$185*'Model Data Inputs'!$E$186*'Model Data Inputs'!$E$187),2)</f>
        <v>594.63</v>
      </c>
      <c r="K1812" s="169">
        <f t="shared" si="97"/>
        <v>1073307.1499999999</v>
      </c>
      <c r="L1812" s="153"/>
      <c r="M1812" s="153"/>
      <c r="N1812" s="153"/>
      <c r="O1812" s="153"/>
    </row>
    <row r="1813" spans="1:15" x14ac:dyDescent="0.2">
      <c r="A1813" s="168">
        <v>1806</v>
      </c>
      <c r="B1813" s="159">
        <v>594.63366392643309</v>
      </c>
      <c r="C1813" s="169">
        <f t="shared" si="96"/>
        <v>1073908.3970511381</v>
      </c>
      <c r="D1813" s="153"/>
      <c r="E1813" s="153"/>
      <c r="F1813" s="153"/>
      <c r="G1813" s="153"/>
      <c r="I1813" s="168">
        <v>1806</v>
      </c>
      <c r="J1813" s="159">
        <f>ROUND(B1813*('Model Data Inputs'!$E$184*'Model Data Inputs'!$E$185*'Model Data Inputs'!$E$186*'Model Data Inputs'!$E$187),2)</f>
        <v>594.63</v>
      </c>
      <c r="K1813" s="169">
        <f t="shared" si="97"/>
        <v>1073901.78</v>
      </c>
      <c r="L1813" s="153"/>
      <c r="M1813" s="153"/>
      <c r="N1813" s="153"/>
      <c r="O1813" s="153"/>
    </row>
    <row r="1814" spans="1:15" x14ac:dyDescent="0.2">
      <c r="A1814" s="168">
        <v>1807</v>
      </c>
      <c r="B1814" s="159">
        <v>594.63366392643309</v>
      </c>
      <c r="C1814" s="169">
        <f t="shared" si="96"/>
        <v>1074503.0307150646</v>
      </c>
      <c r="D1814" s="153"/>
      <c r="E1814" s="153"/>
      <c r="F1814" s="153"/>
      <c r="G1814" s="153"/>
      <c r="I1814" s="168">
        <v>1807</v>
      </c>
      <c r="J1814" s="159">
        <f>ROUND(B1814*('Model Data Inputs'!$E$184*'Model Data Inputs'!$E$185*'Model Data Inputs'!$E$186*'Model Data Inputs'!$E$187),2)</f>
        <v>594.63</v>
      </c>
      <c r="K1814" s="169">
        <f t="shared" si="97"/>
        <v>1074496.4099999999</v>
      </c>
      <c r="L1814" s="153"/>
      <c r="M1814" s="153"/>
      <c r="N1814" s="153"/>
      <c r="O1814" s="153"/>
    </row>
    <row r="1815" spans="1:15" x14ac:dyDescent="0.2">
      <c r="A1815" s="168">
        <v>1808</v>
      </c>
      <c r="B1815" s="159">
        <v>594.63366392643309</v>
      </c>
      <c r="C1815" s="169">
        <f t="shared" si="96"/>
        <v>1075097.6643789911</v>
      </c>
      <c r="D1815" s="153"/>
      <c r="E1815" s="153"/>
      <c r="F1815" s="153"/>
      <c r="G1815" s="153"/>
      <c r="I1815" s="168">
        <v>1808</v>
      </c>
      <c r="J1815" s="159">
        <f>ROUND(B1815*('Model Data Inputs'!$E$184*'Model Data Inputs'!$E$185*'Model Data Inputs'!$E$186*'Model Data Inputs'!$E$187),2)</f>
        <v>594.63</v>
      </c>
      <c r="K1815" s="169">
        <f t="shared" si="97"/>
        <v>1075091.04</v>
      </c>
      <c r="L1815" s="153"/>
      <c r="M1815" s="153"/>
      <c r="N1815" s="153"/>
      <c r="O1815" s="153"/>
    </row>
    <row r="1816" spans="1:15" x14ac:dyDescent="0.2">
      <c r="A1816" s="168">
        <v>1809</v>
      </c>
      <c r="B1816" s="159">
        <v>594.63366392643309</v>
      </c>
      <c r="C1816" s="169">
        <f t="shared" si="96"/>
        <v>1075692.2980429174</v>
      </c>
      <c r="D1816" s="153"/>
      <c r="E1816" s="153"/>
      <c r="F1816" s="153"/>
      <c r="G1816" s="153"/>
      <c r="I1816" s="168">
        <v>1809</v>
      </c>
      <c r="J1816" s="159">
        <f>ROUND(B1816*('Model Data Inputs'!$E$184*'Model Data Inputs'!$E$185*'Model Data Inputs'!$E$186*'Model Data Inputs'!$E$187),2)</f>
        <v>594.63</v>
      </c>
      <c r="K1816" s="169">
        <f t="shared" si="97"/>
        <v>1075685.67</v>
      </c>
      <c r="L1816" s="153"/>
      <c r="M1816" s="153"/>
      <c r="N1816" s="153"/>
      <c r="O1816" s="153"/>
    </row>
    <row r="1817" spans="1:15" x14ac:dyDescent="0.2">
      <c r="A1817" s="168">
        <v>1810</v>
      </c>
      <c r="B1817" s="159">
        <v>594.63366392643309</v>
      </c>
      <c r="C1817" s="169">
        <f t="shared" si="96"/>
        <v>1076286.9317068439</v>
      </c>
      <c r="D1817" s="153"/>
      <c r="E1817" s="153"/>
      <c r="F1817" s="153"/>
      <c r="G1817" s="153"/>
      <c r="I1817" s="168">
        <v>1810</v>
      </c>
      <c r="J1817" s="159">
        <f>ROUND(B1817*('Model Data Inputs'!$E$184*'Model Data Inputs'!$E$185*'Model Data Inputs'!$E$186*'Model Data Inputs'!$E$187),2)</f>
        <v>594.63</v>
      </c>
      <c r="K1817" s="169">
        <f t="shared" si="97"/>
        <v>1076280.3</v>
      </c>
      <c r="L1817" s="153"/>
      <c r="M1817" s="153"/>
      <c r="N1817" s="153"/>
      <c r="O1817" s="153"/>
    </row>
    <row r="1818" spans="1:15" x14ac:dyDescent="0.2">
      <c r="A1818" s="168">
        <v>1811</v>
      </c>
      <c r="B1818" s="159">
        <v>594.63366392643309</v>
      </c>
      <c r="C1818" s="169">
        <f t="shared" si="96"/>
        <v>1076881.5653707704</v>
      </c>
      <c r="D1818" s="153"/>
      <c r="E1818" s="153"/>
      <c r="F1818" s="153"/>
      <c r="G1818" s="153"/>
      <c r="I1818" s="168">
        <v>1811</v>
      </c>
      <c r="J1818" s="159">
        <f>ROUND(B1818*('Model Data Inputs'!$E$184*'Model Data Inputs'!$E$185*'Model Data Inputs'!$E$186*'Model Data Inputs'!$E$187),2)</f>
        <v>594.63</v>
      </c>
      <c r="K1818" s="169">
        <f t="shared" si="97"/>
        <v>1076874.93</v>
      </c>
      <c r="L1818" s="153"/>
      <c r="M1818" s="153"/>
      <c r="N1818" s="153"/>
      <c r="O1818" s="153"/>
    </row>
    <row r="1819" spans="1:15" x14ac:dyDescent="0.2">
      <c r="A1819" s="168">
        <v>1812</v>
      </c>
      <c r="B1819" s="159">
        <v>594.63366392643309</v>
      </c>
      <c r="C1819" s="169">
        <f t="shared" si="96"/>
        <v>1077476.1990346967</v>
      </c>
      <c r="D1819" s="153"/>
      <c r="E1819" s="153"/>
      <c r="F1819" s="153"/>
      <c r="G1819" s="153"/>
      <c r="I1819" s="168">
        <v>1812</v>
      </c>
      <c r="J1819" s="159">
        <f>ROUND(B1819*('Model Data Inputs'!$E$184*'Model Data Inputs'!$E$185*'Model Data Inputs'!$E$186*'Model Data Inputs'!$E$187),2)</f>
        <v>594.63</v>
      </c>
      <c r="K1819" s="169">
        <f t="shared" si="97"/>
        <v>1077469.56</v>
      </c>
      <c r="L1819" s="153"/>
      <c r="M1819" s="153"/>
      <c r="N1819" s="153"/>
      <c r="O1819" s="153"/>
    </row>
    <row r="1820" spans="1:15" x14ac:dyDescent="0.2">
      <c r="A1820" s="168">
        <v>1813</v>
      </c>
      <c r="B1820" s="159">
        <v>594.63366392643309</v>
      </c>
      <c r="C1820" s="169">
        <f t="shared" si="96"/>
        <v>1078070.8326986232</v>
      </c>
      <c r="D1820" s="153"/>
      <c r="E1820" s="153"/>
      <c r="F1820" s="153"/>
      <c r="G1820" s="153"/>
      <c r="I1820" s="168">
        <v>1813</v>
      </c>
      <c r="J1820" s="159">
        <f>ROUND(B1820*('Model Data Inputs'!$E$184*'Model Data Inputs'!$E$185*'Model Data Inputs'!$E$186*'Model Data Inputs'!$E$187),2)</f>
        <v>594.63</v>
      </c>
      <c r="K1820" s="169">
        <f t="shared" si="97"/>
        <v>1078064.19</v>
      </c>
      <c r="L1820" s="153"/>
      <c r="M1820" s="153"/>
      <c r="N1820" s="153"/>
      <c r="O1820" s="153"/>
    </row>
    <row r="1821" spans="1:15" x14ac:dyDescent="0.2">
      <c r="A1821" s="168">
        <v>1814</v>
      </c>
      <c r="B1821" s="159">
        <v>594.63366392643309</v>
      </c>
      <c r="C1821" s="169">
        <f t="shared" si="96"/>
        <v>1078665.4663625497</v>
      </c>
      <c r="D1821" s="153"/>
      <c r="E1821" s="153"/>
      <c r="F1821" s="153"/>
      <c r="G1821" s="153"/>
      <c r="I1821" s="168">
        <v>1814</v>
      </c>
      <c r="J1821" s="159">
        <f>ROUND(B1821*('Model Data Inputs'!$E$184*'Model Data Inputs'!$E$185*'Model Data Inputs'!$E$186*'Model Data Inputs'!$E$187),2)</f>
        <v>594.63</v>
      </c>
      <c r="K1821" s="169">
        <f t="shared" si="97"/>
        <v>1078658.82</v>
      </c>
      <c r="L1821" s="153"/>
      <c r="M1821" s="153"/>
      <c r="N1821" s="153"/>
      <c r="O1821" s="153"/>
    </row>
    <row r="1822" spans="1:15" x14ac:dyDescent="0.2">
      <c r="A1822" s="168">
        <v>1815</v>
      </c>
      <c r="B1822" s="159">
        <v>594.63366392643309</v>
      </c>
      <c r="C1822" s="169">
        <f t="shared" si="96"/>
        <v>1079260.100026476</v>
      </c>
      <c r="D1822" s="153"/>
      <c r="E1822" s="153"/>
      <c r="F1822" s="153"/>
      <c r="G1822" s="153"/>
      <c r="I1822" s="168">
        <v>1815</v>
      </c>
      <c r="J1822" s="159">
        <f>ROUND(B1822*('Model Data Inputs'!$E$184*'Model Data Inputs'!$E$185*'Model Data Inputs'!$E$186*'Model Data Inputs'!$E$187),2)</f>
        <v>594.63</v>
      </c>
      <c r="K1822" s="169">
        <f t="shared" si="97"/>
        <v>1079253.45</v>
      </c>
      <c r="L1822" s="153"/>
      <c r="M1822" s="153"/>
      <c r="N1822" s="153"/>
      <c r="O1822" s="153"/>
    </row>
    <row r="1823" spans="1:15" x14ac:dyDescent="0.2">
      <c r="A1823" s="168">
        <v>1816</v>
      </c>
      <c r="B1823" s="159">
        <v>594.63366392643309</v>
      </c>
      <c r="C1823" s="169">
        <f t="shared" si="96"/>
        <v>1079854.7336904025</v>
      </c>
      <c r="D1823" s="153"/>
      <c r="E1823" s="153"/>
      <c r="F1823" s="153"/>
      <c r="G1823" s="153"/>
      <c r="I1823" s="168">
        <v>1816</v>
      </c>
      <c r="J1823" s="159">
        <f>ROUND(B1823*('Model Data Inputs'!$E$184*'Model Data Inputs'!$E$185*'Model Data Inputs'!$E$186*'Model Data Inputs'!$E$187),2)</f>
        <v>594.63</v>
      </c>
      <c r="K1823" s="169">
        <f t="shared" si="97"/>
        <v>1079848.08</v>
      </c>
      <c r="L1823" s="153"/>
      <c r="M1823" s="153"/>
      <c r="N1823" s="153"/>
      <c r="O1823" s="153"/>
    </row>
    <row r="1824" spans="1:15" x14ac:dyDescent="0.2">
      <c r="A1824" s="168">
        <v>1817</v>
      </c>
      <c r="B1824" s="159">
        <v>594.63366392643309</v>
      </c>
      <c r="C1824" s="169">
        <f t="shared" si="96"/>
        <v>1080449.367354329</v>
      </c>
      <c r="D1824" s="153"/>
      <c r="E1824" s="153"/>
      <c r="F1824" s="153"/>
      <c r="G1824" s="153"/>
      <c r="I1824" s="168">
        <v>1817</v>
      </c>
      <c r="J1824" s="159">
        <f>ROUND(B1824*('Model Data Inputs'!$E$184*'Model Data Inputs'!$E$185*'Model Data Inputs'!$E$186*'Model Data Inputs'!$E$187),2)</f>
        <v>594.63</v>
      </c>
      <c r="K1824" s="169">
        <f t="shared" si="97"/>
        <v>1080442.71</v>
      </c>
      <c r="L1824" s="153"/>
      <c r="M1824" s="153"/>
      <c r="N1824" s="153"/>
      <c r="O1824" s="153"/>
    </row>
    <row r="1825" spans="1:15" x14ac:dyDescent="0.2">
      <c r="A1825" s="168">
        <v>1818</v>
      </c>
      <c r="B1825" s="159">
        <v>594.63366392643309</v>
      </c>
      <c r="C1825" s="169">
        <f t="shared" si="96"/>
        <v>1081044.0010182553</v>
      </c>
      <c r="D1825" s="153"/>
      <c r="E1825" s="153"/>
      <c r="F1825" s="153"/>
      <c r="G1825" s="153"/>
      <c r="I1825" s="168">
        <v>1818</v>
      </c>
      <c r="J1825" s="159">
        <f>ROUND(B1825*('Model Data Inputs'!$E$184*'Model Data Inputs'!$E$185*'Model Data Inputs'!$E$186*'Model Data Inputs'!$E$187),2)</f>
        <v>594.63</v>
      </c>
      <c r="K1825" s="169">
        <f t="shared" si="97"/>
        <v>1081037.3400000001</v>
      </c>
      <c r="L1825" s="153"/>
      <c r="M1825" s="153"/>
      <c r="N1825" s="153"/>
      <c r="O1825" s="153"/>
    </row>
    <row r="1826" spans="1:15" x14ac:dyDescent="0.2">
      <c r="A1826" s="168">
        <v>1819</v>
      </c>
      <c r="B1826" s="159">
        <v>594.63366392643309</v>
      </c>
      <c r="C1826" s="169">
        <f t="shared" si="96"/>
        <v>1081638.6346821818</v>
      </c>
      <c r="D1826" s="153"/>
      <c r="E1826" s="153"/>
      <c r="F1826" s="153"/>
      <c r="G1826" s="153"/>
      <c r="I1826" s="168">
        <v>1819</v>
      </c>
      <c r="J1826" s="159">
        <f>ROUND(B1826*('Model Data Inputs'!$E$184*'Model Data Inputs'!$E$185*'Model Data Inputs'!$E$186*'Model Data Inputs'!$E$187),2)</f>
        <v>594.63</v>
      </c>
      <c r="K1826" s="169">
        <f t="shared" si="97"/>
        <v>1081631.97</v>
      </c>
      <c r="L1826" s="153"/>
      <c r="M1826" s="153"/>
      <c r="N1826" s="153"/>
      <c r="O1826" s="153"/>
    </row>
    <row r="1827" spans="1:15" x14ac:dyDescent="0.2">
      <c r="A1827" s="168">
        <v>1820</v>
      </c>
      <c r="B1827" s="159">
        <v>594.63366392643309</v>
      </c>
      <c r="C1827" s="169">
        <f t="shared" si="96"/>
        <v>1082233.2683461083</v>
      </c>
      <c r="D1827" s="153"/>
      <c r="E1827" s="153"/>
      <c r="F1827" s="153"/>
      <c r="G1827" s="153"/>
      <c r="I1827" s="168">
        <v>1820</v>
      </c>
      <c r="J1827" s="159">
        <f>ROUND(B1827*('Model Data Inputs'!$E$184*'Model Data Inputs'!$E$185*'Model Data Inputs'!$E$186*'Model Data Inputs'!$E$187),2)</f>
        <v>594.63</v>
      </c>
      <c r="K1827" s="169">
        <f t="shared" si="97"/>
        <v>1082226.6000000001</v>
      </c>
      <c r="L1827" s="153"/>
      <c r="M1827" s="153"/>
      <c r="N1827" s="153"/>
      <c r="O1827" s="153"/>
    </row>
    <row r="1828" spans="1:15" x14ac:dyDescent="0.2">
      <c r="A1828" s="168">
        <v>1821</v>
      </c>
      <c r="B1828" s="159">
        <v>594.63366392643309</v>
      </c>
      <c r="C1828" s="169">
        <f t="shared" si="96"/>
        <v>1082827.9020100345</v>
      </c>
      <c r="D1828" s="153"/>
      <c r="E1828" s="153"/>
      <c r="F1828" s="153"/>
      <c r="G1828" s="153"/>
      <c r="I1828" s="168">
        <v>1821</v>
      </c>
      <c r="J1828" s="159">
        <f>ROUND(B1828*('Model Data Inputs'!$E$184*'Model Data Inputs'!$E$185*'Model Data Inputs'!$E$186*'Model Data Inputs'!$E$187),2)</f>
        <v>594.63</v>
      </c>
      <c r="K1828" s="169">
        <f t="shared" si="97"/>
        <v>1082821.23</v>
      </c>
      <c r="L1828" s="153"/>
      <c r="M1828" s="153"/>
      <c r="N1828" s="153"/>
      <c r="O1828" s="153"/>
    </row>
    <row r="1829" spans="1:15" x14ac:dyDescent="0.2">
      <c r="A1829" s="168">
        <v>1822</v>
      </c>
      <c r="B1829" s="159">
        <v>594.63366392643309</v>
      </c>
      <c r="C1829" s="169">
        <f t="shared" si="96"/>
        <v>1083422.535673961</v>
      </c>
      <c r="D1829" s="153"/>
      <c r="E1829" s="153"/>
      <c r="F1829" s="153"/>
      <c r="G1829" s="153"/>
      <c r="I1829" s="168">
        <v>1822</v>
      </c>
      <c r="J1829" s="159">
        <f>ROUND(B1829*('Model Data Inputs'!$E$184*'Model Data Inputs'!$E$185*'Model Data Inputs'!$E$186*'Model Data Inputs'!$E$187),2)</f>
        <v>594.63</v>
      </c>
      <c r="K1829" s="169">
        <f t="shared" si="97"/>
        <v>1083415.8600000001</v>
      </c>
      <c r="L1829" s="153"/>
      <c r="M1829" s="153"/>
      <c r="N1829" s="153"/>
      <c r="O1829" s="153"/>
    </row>
    <row r="1830" spans="1:15" x14ac:dyDescent="0.2">
      <c r="A1830" s="168">
        <v>1823</v>
      </c>
      <c r="B1830" s="159">
        <v>594.63366392643309</v>
      </c>
      <c r="C1830" s="169">
        <f t="shared" si="96"/>
        <v>1084017.1693378875</v>
      </c>
      <c r="D1830" s="153"/>
      <c r="E1830" s="153"/>
      <c r="F1830" s="153"/>
      <c r="G1830" s="153"/>
      <c r="I1830" s="168">
        <v>1823</v>
      </c>
      <c r="J1830" s="159">
        <f>ROUND(B1830*('Model Data Inputs'!$E$184*'Model Data Inputs'!$E$185*'Model Data Inputs'!$E$186*'Model Data Inputs'!$E$187),2)</f>
        <v>594.63</v>
      </c>
      <c r="K1830" s="169">
        <f t="shared" si="97"/>
        <v>1084010.49</v>
      </c>
      <c r="L1830" s="153"/>
      <c r="M1830" s="153"/>
      <c r="N1830" s="153"/>
      <c r="O1830" s="153"/>
    </row>
    <row r="1831" spans="1:15" x14ac:dyDescent="0.2">
      <c r="A1831" s="168">
        <v>1824</v>
      </c>
      <c r="B1831" s="159">
        <v>594.63366392643309</v>
      </c>
      <c r="C1831" s="169">
        <f t="shared" si="96"/>
        <v>1084611.8030018141</v>
      </c>
      <c r="D1831" s="153"/>
      <c r="E1831" s="153"/>
      <c r="F1831" s="153"/>
      <c r="G1831" s="153"/>
      <c r="I1831" s="168">
        <v>1824</v>
      </c>
      <c r="J1831" s="159">
        <f>ROUND(B1831*('Model Data Inputs'!$E$184*'Model Data Inputs'!$E$185*'Model Data Inputs'!$E$186*'Model Data Inputs'!$E$187),2)</f>
        <v>594.63</v>
      </c>
      <c r="K1831" s="169">
        <f t="shared" si="97"/>
        <v>1084605.1199999999</v>
      </c>
      <c r="L1831" s="153"/>
      <c r="M1831" s="153"/>
      <c r="N1831" s="153"/>
      <c r="O1831" s="153"/>
    </row>
    <row r="1832" spans="1:15" x14ac:dyDescent="0.2">
      <c r="A1832" s="168">
        <v>1825</v>
      </c>
      <c r="B1832" s="159">
        <v>594.63366392643309</v>
      </c>
      <c r="C1832" s="169">
        <f t="shared" si="96"/>
        <v>1085206.4366657403</v>
      </c>
      <c r="D1832" s="153"/>
      <c r="E1832" s="153"/>
      <c r="F1832" s="153"/>
      <c r="G1832" s="153"/>
      <c r="I1832" s="168">
        <v>1825</v>
      </c>
      <c r="J1832" s="159">
        <f>ROUND(B1832*('Model Data Inputs'!$E$184*'Model Data Inputs'!$E$185*'Model Data Inputs'!$E$186*'Model Data Inputs'!$E$187),2)</f>
        <v>594.63</v>
      </c>
      <c r="K1832" s="169">
        <f t="shared" si="97"/>
        <v>1085199.75</v>
      </c>
      <c r="L1832" s="153"/>
      <c r="M1832" s="153"/>
      <c r="N1832" s="153"/>
      <c r="O1832" s="153"/>
    </row>
    <row r="1833" spans="1:15" x14ac:dyDescent="0.2">
      <c r="A1833" s="168">
        <v>1826</v>
      </c>
      <c r="B1833" s="159">
        <v>594.63366392643309</v>
      </c>
      <c r="C1833" s="169">
        <f t="shared" si="96"/>
        <v>1085801.0703296668</v>
      </c>
      <c r="D1833" s="153"/>
      <c r="E1833" s="153"/>
      <c r="F1833" s="153"/>
      <c r="G1833" s="153"/>
      <c r="I1833" s="168">
        <v>1826</v>
      </c>
      <c r="J1833" s="159">
        <f>ROUND(B1833*('Model Data Inputs'!$E$184*'Model Data Inputs'!$E$185*'Model Data Inputs'!$E$186*'Model Data Inputs'!$E$187),2)</f>
        <v>594.63</v>
      </c>
      <c r="K1833" s="169">
        <f t="shared" si="97"/>
        <v>1085794.3799999999</v>
      </c>
      <c r="L1833" s="153"/>
      <c r="M1833" s="153"/>
      <c r="N1833" s="153"/>
      <c r="O1833" s="153"/>
    </row>
    <row r="1834" spans="1:15" x14ac:dyDescent="0.2">
      <c r="A1834" s="168">
        <v>1827</v>
      </c>
      <c r="B1834" s="159">
        <v>594.63366392643309</v>
      </c>
      <c r="C1834" s="169">
        <f t="shared" si="96"/>
        <v>1086395.7039935933</v>
      </c>
      <c r="D1834" s="153"/>
      <c r="E1834" s="153"/>
      <c r="F1834" s="153"/>
      <c r="G1834" s="153"/>
      <c r="I1834" s="168">
        <v>1827</v>
      </c>
      <c r="J1834" s="159">
        <f>ROUND(B1834*('Model Data Inputs'!$E$184*'Model Data Inputs'!$E$185*'Model Data Inputs'!$E$186*'Model Data Inputs'!$E$187),2)</f>
        <v>594.63</v>
      </c>
      <c r="K1834" s="169">
        <f t="shared" si="97"/>
        <v>1086389.01</v>
      </c>
      <c r="L1834" s="153"/>
      <c r="M1834" s="153"/>
      <c r="N1834" s="153"/>
      <c r="O1834" s="153"/>
    </row>
    <row r="1835" spans="1:15" x14ac:dyDescent="0.2">
      <c r="A1835" s="168">
        <v>1828</v>
      </c>
      <c r="B1835" s="159">
        <v>594.63366392643309</v>
      </c>
      <c r="C1835" s="169">
        <f t="shared" si="96"/>
        <v>1086990.3376575196</v>
      </c>
      <c r="D1835" s="153"/>
      <c r="E1835" s="153"/>
      <c r="F1835" s="153"/>
      <c r="G1835" s="153"/>
      <c r="I1835" s="168">
        <v>1828</v>
      </c>
      <c r="J1835" s="159">
        <f>ROUND(B1835*('Model Data Inputs'!$E$184*'Model Data Inputs'!$E$185*'Model Data Inputs'!$E$186*'Model Data Inputs'!$E$187),2)</f>
        <v>594.63</v>
      </c>
      <c r="K1835" s="169">
        <f t="shared" si="97"/>
        <v>1086983.6399999999</v>
      </c>
      <c r="L1835" s="153"/>
      <c r="M1835" s="153"/>
      <c r="N1835" s="153"/>
      <c r="O1835" s="153"/>
    </row>
    <row r="1836" spans="1:15" x14ac:dyDescent="0.2">
      <c r="A1836" s="168">
        <v>1829</v>
      </c>
      <c r="B1836" s="159">
        <v>594.63366392643309</v>
      </c>
      <c r="C1836" s="169">
        <f t="shared" si="96"/>
        <v>1087584.9713214461</v>
      </c>
      <c r="D1836" s="153"/>
      <c r="E1836" s="153"/>
      <c r="F1836" s="153"/>
      <c r="G1836" s="153"/>
      <c r="I1836" s="168">
        <v>1829</v>
      </c>
      <c r="J1836" s="159">
        <f>ROUND(B1836*('Model Data Inputs'!$E$184*'Model Data Inputs'!$E$185*'Model Data Inputs'!$E$186*'Model Data Inputs'!$E$187),2)</f>
        <v>594.63</v>
      </c>
      <c r="K1836" s="169">
        <f t="shared" si="97"/>
        <v>1087578.27</v>
      </c>
      <c r="L1836" s="153"/>
      <c r="M1836" s="153"/>
      <c r="N1836" s="153"/>
      <c r="O1836" s="153"/>
    </row>
    <row r="1837" spans="1:15" x14ac:dyDescent="0.2">
      <c r="A1837" s="168">
        <v>1830</v>
      </c>
      <c r="B1837" s="159">
        <v>594.63366392643309</v>
      </c>
      <c r="C1837" s="169">
        <f t="shared" si="96"/>
        <v>1088179.6049853726</v>
      </c>
      <c r="D1837" s="153"/>
      <c r="E1837" s="153"/>
      <c r="F1837" s="153"/>
      <c r="G1837" s="153"/>
      <c r="I1837" s="168">
        <v>1830</v>
      </c>
      <c r="J1837" s="159">
        <f>ROUND(B1837*('Model Data Inputs'!$E$184*'Model Data Inputs'!$E$185*'Model Data Inputs'!$E$186*'Model Data Inputs'!$E$187),2)</f>
        <v>594.63</v>
      </c>
      <c r="K1837" s="169">
        <f t="shared" si="97"/>
        <v>1088172.8999999999</v>
      </c>
      <c r="L1837" s="153"/>
      <c r="M1837" s="153"/>
      <c r="N1837" s="153"/>
      <c r="O1837" s="153"/>
    </row>
    <row r="1838" spans="1:15" x14ac:dyDescent="0.2">
      <c r="A1838" s="168">
        <v>1831</v>
      </c>
      <c r="B1838" s="159">
        <v>594.63366392643309</v>
      </c>
      <c r="C1838" s="169">
        <f t="shared" si="96"/>
        <v>1088774.2386492989</v>
      </c>
      <c r="D1838" s="153"/>
      <c r="E1838" s="153"/>
      <c r="F1838" s="153"/>
      <c r="G1838" s="153"/>
      <c r="I1838" s="168">
        <v>1831</v>
      </c>
      <c r="J1838" s="159">
        <f>ROUND(B1838*('Model Data Inputs'!$E$184*'Model Data Inputs'!$E$185*'Model Data Inputs'!$E$186*'Model Data Inputs'!$E$187),2)</f>
        <v>594.63</v>
      </c>
      <c r="K1838" s="169">
        <f t="shared" si="97"/>
        <v>1088767.53</v>
      </c>
      <c r="L1838" s="153"/>
      <c r="M1838" s="153"/>
      <c r="N1838" s="153"/>
      <c r="O1838" s="153"/>
    </row>
    <row r="1839" spans="1:15" x14ac:dyDescent="0.2">
      <c r="A1839" s="168">
        <v>1832</v>
      </c>
      <c r="B1839" s="159">
        <v>594.63366392643309</v>
      </c>
      <c r="C1839" s="169">
        <f t="shared" si="96"/>
        <v>1089368.8723132254</v>
      </c>
      <c r="D1839" s="153"/>
      <c r="E1839" s="153"/>
      <c r="F1839" s="153"/>
      <c r="G1839" s="153"/>
      <c r="I1839" s="168">
        <v>1832</v>
      </c>
      <c r="J1839" s="159">
        <f>ROUND(B1839*('Model Data Inputs'!$E$184*'Model Data Inputs'!$E$185*'Model Data Inputs'!$E$186*'Model Data Inputs'!$E$187),2)</f>
        <v>594.63</v>
      </c>
      <c r="K1839" s="169">
        <f t="shared" si="97"/>
        <v>1089362.1599999999</v>
      </c>
      <c r="L1839" s="153"/>
      <c r="M1839" s="153"/>
      <c r="N1839" s="153"/>
      <c r="O1839" s="153"/>
    </row>
    <row r="1840" spans="1:15" x14ac:dyDescent="0.2">
      <c r="A1840" s="168">
        <v>1833</v>
      </c>
      <c r="B1840" s="159">
        <v>594.63366392643309</v>
      </c>
      <c r="C1840" s="169">
        <f t="shared" si="96"/>
        <v>1089963.5059771519</v>
      </c>
      <c r="D1840" s="153"/>
      <c r="E1840" s="153"/>
      <c r="F1840" s="153"/>
      <c r="G1840" s="153"/>
      <c r="I1840" s="168">
        <v>1833</v>
      </c>
      <c r="J1840" s="159">
        <f>ROUND(B1840*('Model Data Inputs'!$E$184*'Model Data Inputs'!$E$185*'Model Data Inputs'!$E$186*'Model Data Inputs'!$E$187),2)</f>
        <v>594.63</v>
      </c>
      <c r="K1840" s="169">
        <f t="shared" si="97"/>
        <v>1089956.79</v>
      </c>
      <c r="L1840" s="153"/>
      <c r="M1840" s="153"/>
      <c r="N1840" s="153"/>
      <c r="O1840" s="153"/>
    </row>
    <row r="1841" spans="1:15" x14ac:dyDescent="0.2">
      <c r="A1841" s="168">
        <v>1834</v>
      </c>
      <c r="B1841" s="159">
        <v>594.63366392643309</v>
      </c>
      <c r="C1841" s="169">
        <f t="shared" si="96"/>
        <v>1090558.1396410782</v>
      </c>
      <c r="D1841" s="153"/>
      <c r="E1841" s="153"/>
      <c r="F1841" s="153"/>
      <c r="G1841" s="153"/>
      <c r="I1841" s="168">
        <v>1834</v>
      </c>
      <c r="J1841" s="159">
        <f>ROUND(B1841*('Model Data Inputs'!$E$184*'Model Data Inputs'!$E$185*'Model Data Inputs'!$E$186*'Model Data Inputs'!$E$187),2)</f>
        <v>594.63</v>
      </c>
      <c r="K1841" s="169">
        <f t="shared" si="97"/>
        <v>1090551.42</v>
      </c>
      <c r="L1841" s="153"/>
      <c r="M1841" s="153"/>
      <c r="N1841" s="153"/>
      <c r="O1841" s="153"/>
    </row>
    <row r="1842" spans="1:15" x14ac:dyDescent="0.2">
      <c r="A1842" s="168">
        <v>1835</v>
      </c>
      <c r="B1842" s="159">
        <v>594.63366392643309</v>
      </c>
      <c r="C1842" s="169">
        <f t="shared" si="96"/>
        <v>1091152.7733050047</v>
      </c>
      <c r="D1842" s="153"/>
      <c r="E1842" s="153"/>
      <c r="F1842" s="153"/>
      <c r="G1842" s="153"/>
      <c r="I1842" s="168">
        <v>1835</v>
      </c>
      <c r="J1842" s="159">
        <f>ROUND(B1842*('Model Data Inputs'!$E$184*'Model Data Inputs'!$E$185*'Model Data Inputs'!$E$186*'Model Data Inputs'!$E$187),2)</f>
        <v>594.63</v>
      </c>
      <c r="K1842" s="169">
        <f t="shared" si="97"/>
        <v>1091146.05</v>
      </c>
      <c r="L1842" s="153"/>
      <c r="M1842" s="153"/>
      <c r="N1842" s="153"/>
      <c r="O1842" s="153"/>
    </row>
    <row r="1843" spans="1:15" x14ac:dyDescent="0.2">
      <c r="A1843" s="168">
        <v>1836</v>
      </c>
      <c r="B1843" s="159">
        <v>594.63366392643309</v>
      </c>
      <c r="C1843" s="169">
        <f t="shared" si="96"/>
        <v>1091747.4069689312</v>
      </c>
      <c r="D1843" s="153"/>
      <c r="E1843" s="153"/>
      <c r="F1843" s="153"/>
      <c r="G1843" s="153"/>
      <c r="I1843" s="168">
        <v>1836</v>
      </c>
      <c r="J1843" s="159">
        <f>ROUND(B1843*('Model Data Inputs'!$E$184*'Model Data Inputs'!$E$185*'Model Data Inputs'!$E$186*'Model Data Inputs'!$E$187),2)</f>
        <v>594.63</v>
      </c>
      <c r="K1843" s="169">
        <f t="shared" si="97"/>
        <v>1091740.68</v>
      </c>
      <c r="L1843" s="153"/>
      <c r="M1843" s="153"/>
      <c r="N1843" s="153"/>
      <c r="O1843" s="153"/>
    </row>
    <row r="1844" spans="1:15" x14ac:dyDescent="0.2">
      <c r="A1844" s="168">
        <v>1837</v>
      </c>
      <c r="B1844" s="159">
        <v>594.63366392643309</v>
      </c>
      <c r="C1844" s="169">
        <f t="shared" si="96"/>
        <v>1092342.0406328575</v>
      </c>
      <c r="D1844" s="153"/>
      <c r="E1844" s="153"/>
      <c r="F1844" s="153"/>
      <c r="G1844" s="153"/>
      <c r="I1844" s="168">
        <v>1837</v>
      </c>
      <c r="J1844" s="159">
        <f>ROUND(B1844*('Model Data Inputs'!$E$184*'Model Data Inputs'!$E$185*'Model Data Inputs'!$E$186*'Model Data Inputs'!$E$187),2)</f>
        <v>594.63</v>
      </c>
      <c r="K1844" s="169">
        <f t="shared" si="97"/>
        <v>1092335.31</v>
      </c>
      <c r="L1844" s="153"/>
      <c r="M1844" s="153"/>
      <c r="N1844" s="153"/>
      <c r="O1844" s="153"/>
    </row>
    <row r="1845" spans="1:15" x14ac:dyDescent="0.2">
      <c r="A1845" s="168">
        <v>1838</v>
      </c>
      <c r="B1845" s="159">
        <v>594.63366392643309</v>
      </c>
      <c r="C1845" s="169">
        <f t="shared" si="96"/>
        <v>1092936.674296784</v>
      </c>
      <c r="D1845" s="153"/>
      <c r="E1845" s="153"/>
      <c r="F1845" s="153"/>
      <c r="G1845" s="153"/>
      <c r="I1845" s="168">
        <v>1838</v>
      </c>
      <c r="J1845" s="159">
        <f>ROUND(B1845*('Model Data Inputs'!$E$184*'Model Data Inputs'!$E$185*'Model Data Inputs'!$E$186*'Model Data Inputs'!$E$187),2)</f>
        <v>594.63</v>
      </c>
      <c r="K1845" s="169">
        <f t="shared" si="97"/>
        <v>1092929.94</v>
      </c>
      <c r="L1845" s="153"/>
      <c r="M1845" s="153"/>
      <c r="N1845" s="153"/>
      <c r="O1845" s="153"/>
    </row>
    <row r="1846" spans="1:15" x14ac:dyDescent="0.2">
      <c r="A1846" s="168">
        <v>1839</v>
      </c>
      <c r="B1846" s="159">
        <v>594.63366392643309</v>
      </c>
      <c r="C1846" s="169">
        <f t="shared" si="96"/>
        <v>1093531.3079607105</v>
      </c>
      <c r="D1846" s="153"/>
      <c r="E1846" s="153"/>
      <c r="F1846" s="153"/>
      <c r="G1846" s="153"/>
      <c r="I1846" s="168">
        <v>1839</v>
      </c>
      <c r="J1846" s="159">
        <f>ROUND(B1846*('Model Data Inputs'!$E$184*'Model Data Inputs'!$E$185*'Model Data Inputs'!$E$186*'Model Data Inputs'!$E$187),2)</f>
        <v>594.63</v>
      </c>
      <c r="K1846" s="169">
        <f t="shared" si="97"/>
        <v>1093524.57</v>
      </c>
      <c r="L1846" s="153"/>
      <c r="M1846" s="153"/>
      <c r="N1846" s="153"/>
      <c r="O1846" s="153"/>
    </row>
    <row r="1847" spans="1:15" x14ac:dyDescent="0.2">
      <c r="A1847" s="168">
        <v>1840</v>
      </c>
      <c r="B1847" s="159">
        <v>594.63366392643309</v>
      </c>
      <c r="C1847" s="169">
        <f t="shared" si="96"/>
        <v>1094125.941624637</v>
      </c>
      <c r="D1847" s="153"/>
      <c r="E1847" s="153"/>
      <c r="F1847" s="153"/>
      <c r="G1847" s="153"/>
      <c r="I1847" s="168">
        <v>1840</v>
      </c>
      <c r="J1847" s="159">
        <f>ROUND(B1847*('Model Data Inputs'!$E$184*'Model Data Inputs'!$E$185*'Model Data Inputs'!$E$186*'Model Data Inputs'!$E$187),2)</f>
        <v>594.63</v>
      </c>
      <c r="K1847" s="169">
        <f t="shared" si="97"/>
        <v>1094119.2</v>
      </c>
      <c r="L1847" s="153"/>
      <c r="M1847" s="153"/>
      <c r="N1847" s="153"/>
      <c r="O1847" s="153"/>
    </row>
    <row r="1848" spans="1:15" x14ac:dyDescent="0.2">
      <c r="A1848" s="168">
        <v>1841</v>
      </c>
      <c r="B1848" s="159">
        <v>594.63366392643309</v>
      </c>
      <c r="C1848" s="169">
        <f t="shared" si="96"/>
        <v>1094720.5752885633</v>
      </c>
      <c r="D1848" s="153"/>
      <c r="E1848" s="153"/>
      <c r="F1848" s="153"/>
      <c r="G1848" s="153"/>
      <c r="I1848" s="168">
        <v>1841</v>
      </c>
      <c r="J1848" s="159">
        <f>ROUND(B1848*('Model Data Inputs'!$E$184*'Model Data Inputs'!$E$185*'Model Data Inputs'!$E$186*'Model Data Inputs'!$E$187),2)</f>
        <v>594.63</v>
      </c>
      <c r="K1848" s="169">
        <f t="shared" si="97"/>
        <v>1094713.83</v>
      </c>
      <c r="L1848" s="153"/>
      <c r="M1848" s="153"/>
      <c r="N1848" s="153"/>
      <c r="O1848" s="153"/>
    </row>
    <row r="1849" spans="1:15" x14ac:dyDescent="0.2">
      <c r="A1849" s="168">
        <v>1842</v>
      </c>
      <c r="B1849" s="159">
        <v>594.63366392643309</v>
      </c>
      <c r="C1849" s="169">
        <f t="shared" si="96"/>
        <v>1095315.2089524898</v>
      </c>
      <c r="D1849" s="153"/>
      <c r="E1849" s="153"/>
      <c r="F1849" s="153"/>
      <c r="G1849" s="153"/>
      <c r="I1849" s="168">
        <v>1842</v>
      </c>
      <c r="J1849" s="159">
        <f>ROUND(B1849*('Model Data Inputs'!$E$184*'Model Data Inputs'!$E$185*'Model Data Inputs'!$E$186*'Model Data Inputs'!$E$187),2)</f>
        <v>594.63</v>
      </c>
      <c r="K1849" s="169">
        <f t="shared" si="97"/>
        <v>1095308.46</v>
      </c>
      <c r="L1849" s="153"/>
      <c r="M1849" s="153"/>
      <c r="N1849" s="153"/>
      <c r="O1849" s="153"/>
    </row>
    <row r="1850" spans="1:15" x14ac:dyDescent="0.2">
      <c r="A1850" s="168">
        <v>1843</v>
      </c>
      <c r="B1850" s="159">
        <v>594.63366392643309</v>
      </c>
      <c r="C1850" s="169">
        <f t="shared" si="96"/>
        <v>1095909.8426164163</v>
      </c>
      <c r="D1850" s="153"/>
      <c r="E1850" s="153"/>
      <c r="F1850" s="153"/>
      <c r="G1850" s="153"/>
      <c r="I1850" s="168">
        <v>1843</v>
      </c>
      <c r="J1850" s="159">
        <f>ROUND(B1850*('Model Data Inputs'!$E$184*'Model Data Inputs'!$E$185*'Model Data Inputs'!$E$186*'Model Data Inputs'!$E$187),2)</f>
        <v>594.63</v>
      </c>
      <c r="K1850" s="169">
        <f t="shared" si="97"/>
        <v>1095903.0900000001</v>
      </c>
      <c r="L1850" s="153"/>
      <c r="M1850" s="153"/>
      <c r="N1850" s="153"/>
      <c r="O1850" s="153"/>
    </row>
    <row r="1851" spans="1:15" x14ac:dyDescent="0.2">
      <c r="A1851" s="168">
        <v>1844</v>
      </c>
      <c r="B1851" s="159">
        <v>594.63366392643309</v>
      </c>
      <c r="C1851" s="169">
        <f t="shared" si="96"/>
        <v>1096504.4762803426</v>
      </c>
      <c r="D1851" s="153"/>
      <c r="E1851" s="153"/>
      <c r="F1851" s="153"/>
      <c r="G1851" s="153"/>
      <c r="I1851" s="168">
        <v>1844</v>
      </c>
      <c r="J1851" s="159">
        <f>ROUND(B1851*('Model Data Inputs'!$E$184*'Model Data Inputs'!$E$185*'Model Data Inputs'!$E$186*'Model Data Inputs'!$E$187),2)</f>
        <v>594.63</v>
      </c>
      <c r="K1851" s="169">
        <f t="shared" si="97"/>
        <v>1096497.72</v>
      </c>
      <c r="L1851" s="153"/>
      <c r="M1851" s="153"/>
      <c r="N1851" s="153"/>
      <c r="O1851" s="153"/>
    </row>
    <row r="1852" spans="1:15" x14ac:dyDescent="0.2">
      <c r="A1852" s="168">
        <v>1845</v>
      </c>
      <c r="B1852" s="159">
        <v>594.63366392643309</v>
      </c>
      <c r="C1852" s="169">
        <f t="shared" si="96"/>
        <v>1097099.1099442691</v>
      </c>
      <c r="D1852" s="153"/>
      <c r="E1852" s="153"/>
      <c r="F1852" s="153"/>
      <c r="G1852" s="153"/>
      <c r="I1852" s="168">
        <v>1845</v>
      </c>
      <c r="J1852" s="159">
        <f>ROUND(B1852*('Model Data Inputs'!$E$184*'Model Data Inputs'!$E$185*'Model Data Inputs'!$E$186*'Model Data Inputs'!$E$187),2)</f>
        <v>594.63</v>
      </c>
      <c r="K1852" s="169">
        <f t="shared" si="97"/>
        <v>1097092.3500000001</v>
      </c>
      <c r="L1852" s="153"/>
      <c r="M1852" s="153"/>
      <c r="N1852" s="153"/>
      <c r="O1852" s="153"/>
    </row>
    <row r="1853" spans="1:15" x14ac:dyDescent="0.2">
      <c r="A1853" s="168">
        <v>1846</v>
      </c>
      <c r="B1853" s="159">
        <v>594.63366392643309</v>
      </c>
      <c r="C1853" s="169">
        <f t="shared" si="96"/>
        <v>1097693.7436081956</v>
      </c>
      <c r="D1853" s="153"/>
      <c r="E1853" s="153"/>
      <c r="F1853" s="153"/>
      <c r="G1853" s="153"/>
      <c r="I1853" s="168">
        <v>1846</v>
      </c>
      <c r="J1853" s="159">
        <f>ROUND(B1853*('Model Data Inputs'!$E$184*'Model Data Inputs'!$E$185*'Model Data Inputs'!$E$186*'Model Data Inputs'!$E$187),2)</f>
        <v>594.63</v>
      </c>
      <c r="K1853" s="169">
        <f t="shared" si="97"/>
        <v>1097686.98</v>
      </c>
      <c r="L1853" s="153"/>
      <c r="M1853" s="153"/>
      <c r="N1853" s="153"/>
      <c r="O1853" s="153"/>
    </row>
    <row r="1854" spans="1:15" x14ac:dyDescent="0.2">
      <c r="A1854" s="168">
        <v>1847</v>
      </c>
      <c r="B1854" s="159">
        <v>594.63366392643309</v>
      </c>
      <c r="C1854" s="169">
        <f t="shared" si="96"/>
        <v>1098288.3772721218</v>
      </c>
      <c r="D1854" s="153"/>
      <c r="E1854" s="153"/>
      <c r="F1854" s="153"/>
      <c r="G1854" s="153"/>
      <c r="I1854" s="168">
        <v>1847</v>
      </c>
      <c r="J1854" s="159">
        <f>ROUND(B1854*('Model Data Inputs'!$E$184*'Model Data Inputs'!$E$185*'Model Data Inputs'!$E$186*'Model Data Inputs'!$E$187),2)</f>
        <v>594.63</v>
      </c>
      <c r="K1854" s="169">
        <f t="shared" si="97"/>
        <v>1098281.6100000001</v>
      </c>
      <c r="L1854" s="153"/>
      <c r="M1854" s="153"/>
      <c r="N1854" s="153"/>
      <c r="O1854" s="153"/>
    </row>
    <row r="1855" spans="1:15" x14ac:dyDescent="0.2">
      <c r="A1855" s="168">
        <v>1848</v>
      </c>
      <c r="B1855" s="159">
        <v>594.63366392643309</v>
      </c>
      <c r="C1855" s="169">
        <f t="shared" si="96"/>
        <v>1098883.0109360483</v>
      </c>
      <c r="D1855" s="153"/>
      <c r="E1855" s="153"/>
      <c r="F1855" s="153"/>
      <c r="G1855" s="153"/>
      <c r="I1855" s="168">
        <v>1848</v>
      </c>
      <c r="J1855" s="159">
        <f>ROUND(B1855*('Model Data Inputs'!$E$184*'Model Data Inputs'!$E$185*'Model Data Inputs'!$E$186*'Model Data Inputs'!$E$187),2)</f>
        <v>594.63</v>
      </c>
      <c r="K1855" s="169">
        <f t="shared" si="97"/>
        <v>1098876.24</v>
      </c>
      <c r="L1855" s="153"/>
      <c r="M1855" s="153"/>
      <c r="N1855" s="153"/>
      <c r="O1855" s="153"/>
    </row>
    <row r="1856" spans="1:15" x14ac:dyDescent="0.2">
      <c r="A1856" s="168">
        <v>1849</v>
      </c>
      <c r="B1856" s="159">
        <v>594.63366392643309</v>
      </c>
      <c r="C1856" s="169">
        <f t="shared" si="96"/>
        <v>1099477.6445999749</v>
      </c>
      <c r="D1856" s="153"/>
      <c r="E1856" s="153"/>
      <c r="F1856" s="153"/>
      <c r="G1856" s="153"/>
      <c r="I1856" s="168">
        <v>1849</v>
      </c>
      <c r="J1856" s="159">
        <f>ROUND(B1856*('Model Data Inputs'!$E$184*'Model Data Inputs'!$E$185*'Model Data Inputs'!$E$186*'Model Data Inputs'!$E$187),2)</f>
        <v>594.63</v>
      </c>
      <c r="K1856" s="169">
        <f t="shared" si="97"/>
        <v>1099470.8699999999</v>
      </c>
      <c r="L1856" s="153"/>
      <c r="M1856" s="153"/>
      <c r="N1856" s="153"/>
      <c r="O1856" s="153"/>
    </row>
    <row r="1857" spans="1:15" x14ac:dyDescent="0.2">
      <c r="A1857" s="168">
        <v>1850</v>
      </c>
      <c r="B1857" s="159">
        <v>594.63366392643309</v>
      </c>
      <c r="C1857" s="169">
        <f t="shared" si="96"/>
        <v>1100072.2782639011</v>
      </c>
      <c r="D1857" s="153"/>
      <c r="E1857" s="153"/>
      <c r="F1857" s="153"/>
      <c r="G1857" s="153"/>
      <c r="I1857" s="168">
        <v>1850</v>
      </c>
      <c r="J1857" s="159">
        <f>ROUND(B1857*('Model Data Inputs'!$E$184*'Model Data Inputs'!$E$185*'Model Data Inputs'!$E$186*'Model Data Inputs'!$E$187),2)</f>
        <v>594.63</v>
      </c>
      <c r="K1857" s="169">
        <f t="shared" si="97"/>
        <v>1100065.5</v>
      </c>
      <c r="L1857" s="153"/>
      <c r="M1857" s="153"/>
      <c r="N1857" s="153"/>
      <c r="O1857" s="153"/>
    </row>
    <row r="1858" spans="1:15" x14ac:dyDescent="0.2">
      <c r="A1858" s="168">
        <v>1851</v>
      </c>
      <c r="B1858" s="159">
        <v>594.63366392643309</v>
      </c>
      <c r="C1858" s="169">
        <f t="shared" si="96"/>
        <v>1100666.9119278276</v>
      </c>
      <c r="D1858" s="153"/>
      <c r="E1858" s="153"/>
      <c r="F1858" s="153"/>
      <c r="G1858" s="153"/>
      <c r="I1858" s="168">
        <v>1851</v>
      </c>
      <c r="J1858" s="159">
        <f>ROUND(B1858*('Model Data Inputs'!$E$184*'Model Data Inputs'!$E$185*'Model Data Inputs'!$E$186*'Model Data Inputs'!$E$187),2)</f>
        <v>594.63</v>
      </c>
      <c r="K1858" s="169">
        <f t="shared" si="97"/>
        <v>1100660.1299999999</v>
      </c>
      <c r="L1858" s="153"/>
      <c r="M1858" s="153"/>
      <c r="N1858" s="153"/>
      <c r="O1858" s="153"/>
    </row>
    <row r="1859" spans="1:15" x14ac:dyDescent="0.2">
      <c r="A1859" s="168">
        <v>1852</v>
      </c>
      <c r="B1859" s="159">
        <v>594.63366392643309</v>
      </c>
      <c r="C1859" s="169">
        <f t="shared" si="96"/>
        <v>1101261.5455917541</v>
      </c>
      <c r="D1859" s="153"/>
      <c r="E1859" s="153"/>
      <c r="F1859" s="153"/>
      <c r="G1859" s="153"/>
      <c r="I1859" s="168">
        <v>1852</v>
      </c>
      <c r="J1859" s="159">
        <f>ROUND(B1859*('Model Data Inputs'!$E$184*'Model Data Inputs'!$E$185*'Model Data Inputs'!$E$186*'Model Data Inputs'!$E$187),2)</f>
        <v>594.63</v>
      </c>
      <c r="K1859" s="169">
        <f t="shared" si="97"/>
        <v>1101254.76</v>
      </c>
      <c r="L1859" s="153"/>
      <c r="M1859" s="153"/>
      <c r="N1859" s="153"/>
      <c r="O1859" s="153"/>
    </row>
    <row r="1860" spans="1:15" x14ac:dyDescent="0.2">
      <c r="A1860" s="168">
        <v>1853</v>
      </c>
      <c r="B1860" s="159">
        <v>594.63366392643309</v>
      </c>
      <c r="C1860" s="169">
        <f t="shared" si="96"/>
        <v>1101856.1792556804</v>
      </c>
      <c r="D1860" s="153"/>
      <c r="E1860" s="153"/>
      <c r="F1860" s="153"/>
      <c r="G1860" s="153"/>
      <c r="I1860" s="168">
        <v>1853</v>
      </c>
      <c r="J1860" s="159">
        <f>ROUND(B1860*('Model Data Inputs'!$E$184*'Model Data Inputs'!$E$185*'Model Data Inputs'!$E$186*'Model Data Inputs'!$E$187),2)</f>
        <v>594.63</v>
      </c>
      <c r="K1860" s="169">
        <f t="shared" si="97"/>
        <v>1101849.3899999999</v>
      </c>
      <c r="L1860" s="153"/>
      <c r="M1860" s="153"/>
      <c r="N1860" s="153"/>
      <c r="O1860" s="153"/>
    </row>
    <row r="1861" spans="1:15" x14ac:dyDescent="0.2">
      <c r="A1861" s="168">
        <v>1854</v>
      </c>
      <c r="B1861" s="159">
        <v>594.63366392643309</v>
      </c>
      <c r="C1861" s="169">
        <f t="shared" si="96"/>
        <v>1102450.8129196069</v>
      </c>
      <c r="D1861" s="153"/>
      <c r="E1861" s="153"/>
      <c r="F1861" s="153"/>
      <c r="G1861" s="153"/>
      <c r="I1861" s="168">
        <v>1854</v>
      </c>
      <c r="J1861" s="159">
        <f>ROUND(B1861*('Model Data Inputs'!$E$184*'Model Data Inputs'!$E$185*'Model Data Inputs'!$E$186*'Model Data Inputs'!$E$187),2)</f>
        <v>594.63</v>
      </c>
      <c r="K1861" s="169">
        <f t="shared" si="97"/>
        <v>1102444.02</v>
      </c>
      <c r="L1861" s="153"/>
      <c r="M1861" s="153"/>
      <c r="N1861" s="153"/>
      <c r="O1861" s="153"/>
    </row>
    <row r="1862" spans="1:15" x14ac:dyDescent="0.2">
      <c r="A1862" s="168">
        <v>1855</v>
      </c>
      <c r="B1862" s="159">
        <v>594.63366392643309</v>
      </c>
      <c r="C1862" s="169">
        <f t="shared" si="96"/>
        <v>1103045.4465835334</v>
      </c>
      <c r="D1862" s="153"/>
      <c r="E1862" s="153"/>
      <c r="F1862" s="153"/>
      <c r="G1862" s="153"/>
      <c r="I1862" s="168">
        <v>1855</v>
      </c>
      <c r="J1862" s="159">
        <f>ROUND(B1862*('Model Data Inputs'!$E$184*'Model Data Inputs'!$E$185*'Model Data Inputs'!$E$186*'Model Data Inputs'!$E$187),2)</f>
        <v>594.63</v>
      </c>
      <c r="K1862" s="169">
        <f t="shared" si="97"/>
        <v>1103038.6499999999</v>
      </c>
      <c r="L1862" s="153"/>
      <c r="M1862" s="153"/>
      <c r="N1862" s="153"/>
      <c r="O1862" s="153"/>
    </row>
    <row r="1863" spans="1:15" x14ac:dyDescent="0.2">
      <c r="A1863" s="168">
        <v>1856</v>
      </c>
      <c r="B1863" s="159">
        <v>594.63366392643309</v>
      </c>
      <c r="C1863" s="169">
        <f t="shared" si="96"/>
        <v>1103640.0802474597</v>
      </c>
      <c r="D1863" s="153"/>
      <c r="E1863" s="153"/>
      <c r="F1863" s="153"/>
      <c r="G1863" s="153"/>
      <c r="I1863" s="168">
        <v>1856</v>
      </c>
      <c r="J1863" s="159">
        <f>ROUND(B1863*('Model Data Inputs'!$E$184*'Model Data Inputs'!$E$185*'Model Data Inputs'!$E$186*'Model Data Inputs'!$E$187),2)</f>
        <v>594.63</v>
      </c>
      <c r="K1863" s="169">
        <f t="shared" si="97"/>
        <v>1103633.28</v>
      </c>
      <c r="L1863" s="153"/>
      <c r="M1863" s="153"/>
      <c r="N1863" s="153"/>
      <c r="O1863" s="153"/>
    </row>
    <row r="1864" spans="1:15" x14ac:dyDescent="0.2">
      <c r="A1864" s="168">
        <v>1857</v>
      </c>
      <c r="B1864" s="159">
        <v>594.63366392643309</v>
      </c>
      <c r="C1864" s="169">
        <f t="shared" ref="C1864:C1927" si="98">A1864*B1864</f>
        <v>1104234.7139113862</v>
      </c>
      <c r="D1864" s="153"/>
      <c r="E1864" s="153"/>
      <c r="F1864" s="153"/>
      <c r="G1864" s="153"/>
      <c r="I1864" s="168">
        <v>1857</v>
      </c>
      <c r="J1864" s="159">
        <f>ROUND(B1864*('Model Data Inputs'!$E$184*'Model Data Inputs'!$E$185*'Model Data Inputs'!$E$186*'Model Data Inputs'!$E$187),2)</f>
        <v>594.63</v>
      </c>
      <c r="K1864" s="169">
        <f t="shared" ref="K1864:K1927" si="99">I1864*J1864</f>
        <v>1104227.9099999999</v>
      </c>
      <c r="L1864" s="153"/>
      <c r="M1864" s="153"/>
      <c r="N1864" s="153"/>
      <c r="O1864" s="153"/>
    </row>
    <row r="1865" spans="1:15" x14ac:dyDescent="0.2">
      <c r="A1865" s="168">
        <v>1858</v>
      </c>
      <c r="B1865" s="159">
        <v>594.63366392643309</v>
      </c>
      <c r="C1865" s="169">
        <f t="shared" si="98"/>
        <v>1104829.3475753127</v>
      </c>
      <c r="D1865" s="153"/>
      <c r="E1865" s="153"/>
      <c r="F1865" s="153"/>
      <c r="G1865" s="153"/>
      <c r="I1865" s="168">
        <v>1858</v>
      </c>
      <c r="J1865" s="159">
        <f>ROUND(B1865*('Model Data Inputs'!$E$184*'Model Data Inputs'!$E$185*'Model Data Inputs'!$E$186*'Model Data Inputs'!$E$187),2)</f>
        <v>594.63</v>
      </c>
      <c r="K1865" s="169">
        <f t="shared" si="99"/>
        <v>1104822.54</v>
      </c>
      <c r="L1865" s="153"/>
      <c r="M1865" s="153"/>
      <c r="N1865" s="153"/>
      <c r="O1865" s="153"/>
    </row>
    <row r="1866" spans="1:15" x14ac:dyDescent="0.2">
      <c r="A1866" s="168">
        <v>1859</v>
      </c>
      <c r="B1866" s="159">
        <v>594.63366392643309</v>
      </c>
      <c r="C1866" s="169">
        <f t="shared" si="98"/>
        <v>1105423.9812392392</v>
      </c>
      <c r="D1866" s="153"/>
      <c r="E1866" s="153"/>
      <c r="F1866" s="153"/>
      <c r="G1866" s="153"/>
      <c r="I1866" s="168">
        <v>1859</v>
      </c>
      <c r="J1866" s="159">
        <f>ROUND(B1866*('Model Data Inputs'!$E$184*'Model Data Inputs'!$E$185*'Model Data Inputs'!$E$186*'Model Data Inputs'!$E$187),2)</f>
        <v>594.63</v>
      </c>
      <c r="K1866" s="169">
        <f t="shared" si="99"/>
        <v>1105417.17</v>
      </c>
      <c r="L1866" s="153"/>
      <c r="M1866" s="153"/>
      <c r="N1866" s="153"/>
      <c r="O1866" s="153"/>
    </row>
    <row r="1867" spans="1:15" x14ac:dyDescent="0.2">
      <c r="A1867" s="168">
        <v>1860</v>
      </c>
      <c r="B1867" s="159">
        <v>594.63366392643309</v>
      </c>
      <c r="C1867" s="169">
        <f t="shared" si="98"/>
        <v>1106018.6149031655</v>
      </c>
      <c r="D1867" s="153"/>
      <c r="E1867" s="153"/>
      <c r="F1867" s="153"/>
      <c r="G1867" s="153"/>
      <c r="I1867" s="168">
        <v>1860</v>
      </c>
      <c r="J1867" s="159">
        <f>ROUND(B1867*('Model Data Inputs'!$E$184*'Model Data Inputs'!$E$185*'Model Data Inputs'!$E$186*'Model Data Inputs'!$E$187),2)</f>
        <v>594.63</v>
      </c>
      <c r="K1867" s="169">
        <f t="shared" si="99"/>
        <v>1106011.8</v>
      </c>
      <c r="L1867" s="153"/>
      <c r="M1867" s="153"/>
      <c r="N1867" s="153"/>
      <c r="O1867" s="153"/>
    </row>
    <row r="1868" spans="1:15" x14ac:dyDescent="0.2">
      <c r="A1868" s="168">
        <v>1861</v>
      </c>
      <c r="B1868" s="159">
        <v>594.63366392643309</v>
      </c>
      <c r="C1868" s="169">
        <f t="shared" si="98"/>
        <v>1106613.248567092</v>
      </c>
      <c r="D1868" s="153"/>
      <c r="E1868" s="153"/>
      <c r="F1868" s="153"/>
      <c r="G1868" s="153"/>
      <c r="I1868" s="168">
        <v>1861</v>
      </c>
      <c r="J1868" s="159">
        <f>ROUND(B1868*('Model Data Inputs'!$E$184*'Model Data Inputs'!$E$185*'Model Data Inputs'!$E$186*'Model Data Inputs'!$E$187),2)</f>
        <v>594.63</v>
      </c>
      <c r="K1868" s="169">
        <f t="shared" si="99"/>
        <v>1106606.43</v>
      </c>
      <c r="L1868" s="153"/>
      <c r="M1868" s="153"/>
      <c r="N1868" s="153"/>
      <c r="O1868" s="153"/>
    </row>
    <row r="1869" spans="1:15" x14ac:dyDescent="0.2">
      <c r="A1869" s="168">
        <v>1862</v>
      </c>
      <c r="B1869" s="159">
        <v>594.63366392643309</v>
      </c>
      <c r="C1869" s="169">
        <f t="shared" si="98"/>
        <v>1107207.8822310185</v>
      </c>
      <c r="D1869" s="153"/>
      <c r="E1869" s="153"/>
      <c r="F1869" s="153"/>
      <c r="G1869" s="153"/>
      <c r="I1869" s="168">
        <v>1862</v>
      </c>
      <c r="J1869" s="159">
        <f>ROUND(B1869*('Model Data Inputs'!$E$184*'Model Data Inputs'!$E$185*'Model Data Inputs'!$E$186*'Model Data Inputs'!$E$187),2)</f>
        <v>594.63</v>
      </c>
      <c r="K1869" s="169">
        <f t="shared" si="99"/>
        <v>1107201.06</v>
      </c>
      <c r="L1869" s="153"/>
      <c r="M1869" s="153"/>
      <c r="N1869" s="153"/>
      <c r="O1869" s="153"/>
    </row>
    <row r="1870" spans="1:15" x14ac:dyDescent="0.2">
      <c r="A1870" s="168">
        <v>1863</v>
      </c>
      <c r="B1870" s="159">
        <v>594.63366392643309</v>
      </c>
      <c r="C1870" s="169">
        <f t="shared" si="98"/>
        <v>1107802.5158949448</v>
      </c>
      <c r="D1870" s="153"/>
      <c r="E1870" s="153"/>
      <c r="F1870" s="153"/>
      <c r="G1870" s="153"/>
      <c r="I1870" s="168">
        <v>1863</v>
      </c>
      <c r="J1870" s="159">
        <f>ROUND(B1870*('Model Data Inputs'!$E$184*'Model Data Inputs'!$E$185*'Model Data Inputs'!$E$186*'Model Data Inputs'!$E$187),2)</f>
        <v>594.63</v>
      </c>
      <c r="K1870" s="169">
        <f t="shared" si="99"/>
        <v>1107795.69</v>
      </c>
      <c r="L1870" s="153"/>
      <c r="M1870" s="153"/>
      <c r="N1870" s="153"/>
      <c r="O1870" s="153"/>
    </row>
    <row r="1871" spans="1:15" x14ac:dyDescent="0.2">
      <c r="A1871" s="168">
        <v>1864</v>
      </c>
      <c r="B1871" s="159">
        <v>594.63366392643309</v>
      </c>
      <c r="C1871" s="169">
        <f t="shared" si="98"/>
        <v>1108397.1495588713</v>
      </c>
      <c r="D1871" s="153"/>
      <c r="E1871" s="153"/>
      <c r="F1871" s="153"/>
      <c r="G1871" s="153"/>
      <c r="I1871" s="168">
        <v>1864</v>
      </c>
      <c r="J1871" s="159">
        <f>ROUND(B1871*('Model Data Inputs'!$E$184*'Model Data Inputs'!$E$185*'Model Data Inputs'!$E$186*'Model Data Inputs'!$E$187),2)</f>
        <v>594.63</v>
      </c>
      <c r="K1871" s="169">
        <f t="shared" si="99"/>
        <v>1108390.32</v>
      </c>
      <c r="L1871" s="153"/>
      <c r="M1871" s="153"/>
      <c r="N1871" s="153"/>
      <c r="O1871" s="153"/>
    </row>
    <row r="1872" spans="1:15" x14ac:dyDescent="0.2">
      <c r="A1872" s="168">
        <v>1865</v>
      </c>
      <c r="B1872" s="159">
        <v>594.63366392643309</v>
      </c>
      <c r="C1872" s="169">
        <f t="shared" si="98"/>
        <v>1108991.7832227978</v>
      </c>
      <c r="D1872" s="153"/>
      <c r="E1872" s="153"/>
      <c r="F1872" s="153"/>
      <c r="G1872" s="153"/>
      <c r="I1872" s="168">
        <v>1865</v>
      </c>
      <c r="J1872" s="159">
        <f>ROUND(B1872*('Model Data Inputs'!$E$184*'Model Data Inputs'!$E$185*'Model Data Inputs'!$E$186*'Model Data Inputs'!$E$187),2)</f>
        <v>594.63</v>
      </c>
      <c r="K1872" s="169">
        <f t="shared" si="99"/>
        <v>1108984.95</v>
      </c>
      <c r="L1872" s="153"/>
      <c r="M1872" s="153"/>
      <c r="N1872" s="153"/>
      <c r="O1872" s="153"/>
    </row>
    <row r="1873" spans="1:15" x14ac:dyDescent="0.2">
      <c r="A1873" s="168">
        <v>1866</v>
      </c>
      <c r="B1873" s="159">
        <v>594.63366392643309</v>
      </c>
      <c r="C1873" s="169">
        <f t="shared" si="98"/>
        <v>1109586.4168867241</v>
      </c>
      <c r="D1873" s="153"/>
      <c r="E1873" s="153"/>
      <c r="F1873" s="153"/>
      <c r="G1873" s="153"/>
      <c r="I1873" s="168">
        <v>1866</v>
      </c>
      <c r="J1873" s="159">
        <f>ROUND(B1873*('Model Data Inputs'!$E$184*'Model Data Inputs'!$E$185*'Model Data Inputs'!$E$186*'Model Data Inputs'!$E$187),2)</f>
        <v>594.63</v>
      </c>
      <c r="K1873" s="169">
        <f t="shared" si="99"/>
        <v>1109579.58</v>
      </c>
      <c r="L1873" s="153"/>
      <c r="M1873" s="153"/>
      <c r="N1873" s="153"/>
      <c r="O1873" s="153"/>
    </row>
    <row r="1874" spans="1:15" x14ac:dyDescent="0.2">
      <c r="A1874" s="168">
        <v>1867</v>
      </c>
      <c r="B1874" s="159">
        <v>594.63366392643309</v>
      </c>
      <c r="C1874" s="169">
        <f t="shared" si="98"/>
        <v>1110181.0505506506</v>
      </c>
      <c r="D1874" s="153"/>
      <c r="E1874" s="153"/>
      <c r="F1874" s="153"/>
      <c r="G1874" s="153"/>
      <c r="I1874" s="168">
        <v>1867</v>
      </c>
      <c r="J1874" s="159">
        <f>ROUND(B1874*('Model Data Inputs'!$E$184*'Model Data Inputs'!$E$185*'Model Data Inputs'!$E$186*'Model Data Inputs'!$E$187),2)</f>
        <v>594.63</v>
      </c>
      <c r="K1874" s="169">
        <f t="shared" si="99"/>
        <v>1110174.21</v>
      </c>
      <c r="L1874" s="153"/>
      <c r="M1874" s="153"/>
      <c r="N1874" s="153"/>
      <c r="O1874" s="153"/>
    </row>
    <row r="1875" spans="1:15" x14ac:dyDescent="0.2">
      <c r="A1875" s="168">
        <v>1868</v>
      </c>
      <c r="B1875" s="159">
        <v>594.63366392643309</v>
      </c>
      <c r="C1875" s="169">
        <f t="shared" si="98"/>
        <v>1110775.6842145771</v>
      </c>
      <c r="D1875" s="153"/>
      <c r="E1875" s="153"/>
      <c r="F1875" s="153"/>
      <c r="G1875" s="153"/>
      <c r="I1875" s="168">
        <v>1868</v>
      </c>
      <c r="J1875" s="159">
        <f>ROUND(B1875*('Model Data Inputs'!$E$184*'Model Data Inputs'!$E$185*'Model Data Inputs'!$E$186*'Model Data Inputs'!$E$187),2)</f>
        <v>594.63</v>
      </c>
      <c r="K1875" s="169">
        <f t="shared" si="99"/>
        <v>1110768.8400000001</v>
      </c>
      <c r="L1875" s="153"/>
      <c r="M1875" s="153"/>
      <c r="N1875" s="153"/>
      <c r="O1875" s="153"/>
    </row>
    <row r="1876" spans="1:15" x14ac:dyDescent="0.2">
      <c r="A1876" s="168">
        <v>1869</v>
      </c>
      <c r="B1876" s="159">
        <v>594.63366392643309</v>
      </c>
      <c r="C1876" s="169">
        <f t="shared" si="98"/>
        <v>1111370.3178785034</v>
      </c>
      <c r="D1876" s="153"/>
      <c r="E1876" s="153"/>
      <c r="F1876" s="153"/>
      <c r="G1876" s="153"/>
      <c r="I1876" s="168">
        <v>1869</v>
      </c>
      <c r="J1876" s="159">
        <f>ROUND(B1876*('Model Data Inputs'!$E$184*'Model Data Inputs'!$E$185*'Model Data Inputs'!$E$186*'Model Data Inputs'!$E$187),2)</f>
        <v>594.63</v>
      </c>
      <c r="K1876" s="169">
        <f t="shared" si="99"/>
        <v>1111363.47</v>
      </c>
      <c r="L1876" s="153"/>
      <c r="M1876" s="153"/>
      <c r="N1876" s="153"/>
      <c r="O1876" s="153"/>
    </row>
    <row r="1877" spans="1:15" x14ac:dyDescent="0.2">
      <c r="A1877" s="168">
        <v>1870</v>
      </c>
      <c r="B1877" s="159">
        <v>594.63366392643309</v>
      </c>
      <c r="C1877" s="169">
        <f t="shared" si="98"/>
        <v>1111964.9515424299</v>
      </c>
      <c r="D1877" s="153"/>
      <c r="E1877" s="153"/>
      <c r="F1877" s="153"/>
      <c r="G1877" s="153"/>
      <c r="I1877" s="168">
        <v>1870</v>
      </c>
      <c r="J1877" s="159">
        <f>ROUND(B1877*('Model Data Inputs'!$E$184*'Model Data Inputs'!$E$185*'Model Data Inputs'!$E$186*'Model Data Inputs'!$E$187),2)</f>
        <v>594.63</v>
      </c>
      <c r="K1877" s="169">
        <f t="shared" si="99"/>
        <v>1111958.1000000001</v>
      </c>
      <c r="L1877" s="153"/>
      <c r="M1877" s="153"/>
      <c r="N1877" s="153"/>
      <c r="O1877" s="153"/>
    </row>
    <row r="1878" spans="1:15" x14ac:dyDescent="0.2">
      <c r="A1878" s="168">
        <v>1871</v>
      </c>
      <c r="B1878" s="159">
        <v>594.63366392643309</v>
      </c>
      <c r="C1878" s="169">
        <f t="shared" si="98"/>
        <v>1112559.5852063564</v>
      </c>
      <c r="D1878" s="153"/>
      <c r="E1878" s="153"/>
      <c r="F1878" s="153"/>
      <c r="G1878" s="153"/>
      <c r="I1878" s="168">
        <v>1871</v>
      </c>
      <c r="J1878" s="159">
        <f>ROUND(B1878*('Model Data Inputs'!$E$184*'Model Data Inputs'!$E$185*'Model Data Inputs'!$E$186*'Model Data Inputs'!$E$187),2)</f>
        <v>594.63</v>
      </c>
      <c r="K1878" s="169">
        <f t="shared" si="99"/>
        <v>1112552.73</v>
      </c>
      <c r="L1878" s="153"/>
      <c r="M1878" s="153"/>
      <c r="N1878" s="153"/>
      <c r="O1878" s="153"/>
    </row>
    <row r="1879" spans="1:15" x14ac:dyDescent="0.2">
      <c r="A1879" s="168">
        <v>1872</v>
      </c>
      <c r="B1879" s="159">
        <v>594.63366392643309</v>
      </c>
      <c r="C1879" s="169">
        <f t="shared" si="98"/>
        <v>1113154.2188702826</v>
      </c>
      <c r="D1879" s="153"/>
      <c r="E1879" s="153"/>
      <c r="F1879" s="153"/>
      <c r="G1879" s="153"/>
      <c r="I1879" s="168">
        <v>1872</v>
      </c>
      <c r="J1879" s="159">
        <f>ROUND(B1879*('Model Data Inputs'!$E$184*'Model Data Inputs'!$E$185*'Model Data Inputs'!$E$186*'Model Data Inputs'!$E$187),2)</f>
        <v>594.63</v>
      </c>
      <c r="K1879" s="169">
        <f t="shared" si="99"/>
        <v>1113147.3600000001</v>
      </c>
      <c r="L1879" s="153"/>
      <c r="M1879" s="153"/>
      <c r="N1879" s="153"/>
      <c r="O1879" s="153"/>
    </row>
    <row r="1880" spans="1:15" x14ac:dyDescent="0.2">
      <c r="A1880" s="168">
        <v>1873</v>
      </c>
      <c r="B1880" s="159">
        <v>594.63366392643309</v>
      </c>
      <c r="C1880" s="169">
        <f t="shared" si="98"/>
        <v>1113748.8525342091</v>
      </c>
      <c r="D1880" s="153"/>
      <c r="E1880" s="153"/>
      <c r="F1880" s="153"/>
      <c r="G1880" s="153"/>
      <c r="I1880" s="168">
        <v>1873</v>
      </c>
      <c r="J1880" s="159">
        <f>ROUND(B1880*('Model Data Inputs'!$E$184*'Model Data Inputs'!$E$185*'Model Data Inputs'!$E$186*'Model Data Inputs'!$E$187),2)</f>
        <v>594.63</v>
      </c>
      <c r="K1880" s="169">
        <f t="shared" si="99"/>
        <v>1113741.99</v>
      </c>
      <c r="L1880" s="153"/>
      <c r="M1880" s="153"/>
      <c r="N1880" s="153"/>
      <c r="O1880" s="153"/>
    </row>
    <row r="1881" spans="1:15" x14ac:dyDescent="0.2">
      <c r="A1881" s="168">
        <v>1874</v>
      </c>
      <c r="B1881" s="159">
        <v>594.63366392643309</v>
      </c>
      <c r="C1881" s="169">
        <f t="shared" si="98"/>
        <v>1114343.4861981357</v>
      </c>
      <c r="D1881" s="153"/>
      <c r="E1881" s="153"/>
      <c r="F1881" s="153"/>
      <c r="G1881" s="153"/>
      <c r="I1881" s="168">
        <v>1874</v>
      </c>
      <c r="J1881" s="159">
        <f>ROUND(B1881*('Model Data Inputs'!$E$184*'Model Data Inputs'!$E$185*'Model Data Inputs'!$E$186*'Model Data Inputs'!$E$187),2)</f>
        <v>594.63</v>
      </c>
      <c r="K1881" s="169">
        <f t="shared" si="99"/>
        <v>1114336.6199999999</v>
      </c>
      <c r="L1881" s="153"/>
      <c r="M1881" s="153"/>
      <c r="N1881" s="153"/>
      <c r="O1881" s="153"/>
    </row>
    <row r="1882" spans="1:15" x14ac:dyDescent="0.2">
      <c r="A1882" s="168">
        <v>1875</v>
      </c>
      <c r="B1882" s="159">
        <v>594.63366392643309</v>
      </c>
      <c r="C1882" s="169">
        <f t="shared" si="98"/>
        <v>1114938.1198620619</v>
      </c>
      <c r="D1882" s="153"/>
      <c r="E1882" s="153"/>
      <c r="F1882" s="153"/>
      <c r="G1882" s="153"/>
      <c r="I1882" s="168">
        <v>1875</v>
      </c>
      <c r="J1882" s="159">
        <f>ROUND(B1882*('Model Data Inputs'!$E$184*'Model Data Inputs'!$E$185*'Model Data Inputs'!$E$186*'Model Data Inputs'!$E$187),2)</f>
        <v>594.63</v>
      </c>
      <c r="K1882" s="169">
        <f t="shared" si="99"/>
        <v>1114931.25</v>
      </c>
      <c r="L1882" s="153"/>
      <c r="M1882" s="153"/>
      <c r="N1882" s="153"/>
      <c r="O1882" s="153"/>
    </row>
    <row r="1883" spans="1:15" x14ac:dyDescent="0.2">
      <c r="A1883" s="168">
        <v>1876</v>
      </c>
      <c r="B1883" s="159">
        <v>594.63366392643309</v>
      </c>
      <c r="C1883" s="169">
        <f t="shared" si="98"/>
        <v>1115532.7535259884</v>
      </c>
      <c r="D1883" s="153"/>
      <c r="E1883" s="153"/>
      <c r="F1883" s="153"/>
      <c r="G1883" s="153"/>
      <c r="I1883" s="168">
        <v>1876</v>
      </c>
      <c r="J1883" s="159">
        <f>ROUND(B1883*('Model Data Inputs'!$E$184*'Model Data Inputs'!$E$185*'Model Data Inputs'!$E$186*'Model Data Inputs'!$E$187),2)</f>
        <v>594.63</v>
      </c>
      <c r="K1883" s="169">
        <f t="shared" si="99"/>
        <v>1115525.8799999999</v>
      </c>
      <c r="L1883" s="153"/>
      <c r="M1883" s="153"/>
      <c r="N1883" s="153"/>
      <c r="O1883" s="153"/>
    </row>
    <row r="1884" spans="1:15" x14ac:dyDescent="0.2">
      <c r="A1884" s="168">
        <v>1877</v>
      </c>
      <c r="B1884" s="159">
        <v>594.63366392643309</v>
      </c>
      <c r="C1884" s="169">
        <f t="shared" si="98"/>
        <v>1116127.3871899149</v>
      </c>
      <c r="D1884" s="153"/>
      <c r="E1884" s="153"/>
      <c r="F1884" s="153"/>
      <c r="G1884" s="153"/>
      <c r="I1884" s="168">
        <v>1877</v>
      </c>
      <c r="J1884" s="159">
        <f>ROUND(B1884*('Model Data Inputs'!$E$184*'Model Data Inputs'!$E$185*'Model Data Inputs'!$E$186*'Model Data Inputs'!$E$187),2)</f>
        <v>594.63</v>
      </c>
      <c r="K1884" s="169">
        <f t="shared" si="99"/>
        <v>1116120.51</v>
      </c>
      <c r="L1884" s="153"/>
      <c r="M1884" s="153"/>
      <c r="N1884" s="153"/>
      <c r="O1884" s="153"/>
    </row>
    <row r="1885" spans="1:15" x14ac:dyDescent="0.2">
      <c r="A1885" s="168">
        <v>1878</v>
      </c>
      <c r="B1885" s="159">
        <v>594.63366392643309</v>
      </c>
      <c r="C1885" s="169">
        <f t="shared" si="98"/>
        <v>1116722.0208538414</v>
      </c>
      <c r="D1885" s="153"/>
      <c r="E1885" s="153"/>
      <c r="F1885" s="153"/>
      <c r="G1885" s="153"/>
      <c r="I1885" s="168">
        <v>1878</v>
      </c>
      <c r="J1885" s="159">
        <f>ROUND(B1885*('Model Data Inputs'!$E$184*'Model Data Inputs'!$E$185*'Model Data Inputs'!$E$186*'Model Data Inputs'!$E$187),2)</f>
        <v>594.63</v>
      </c>
      <c r="K1885" s="169">
        <f t="shared" si="99"/>
        <v>1116715.1399999999</v>
      </c>
      <c r="L1885" s="153"/>
      <c r="M1885" s="153"/>
      <c r="N1885" s="153"/>
      <c r="O1885" s="153"/>
    </row>
    <row r="1886" spans="1:15" x14ac:dyDescent="0.2">
      <c r="A1886" s="168">
        <v>1879</v>
      </c>
      <c r="B1886" s="159">
        <v>594.63366392643309</v>
      </c>
      <c r="C1886" s="169">
        <f t="shared" si="98"/>
        <v>1117316.6545177677</v>
      </c>
      <c r="D1886" s="153"/>
      <c r="E1886" s="153"/>
      <c r="F1886" s="153"/>
      <c r="G1886" s="153"/>
      <c r="I1886" s="168">
        <v>1879</v>
      </c>
      <c r="J1886" s="159">
        <f>ROUND(B1886*('Model Data Inputs'!$E$184*'Model Data Inputs'!$E$185*'Model Data Inputs'!$E$186*'Model Data Inputs'!$E$187),2)</f>
        <v>594.63</v>
      </c>
      <c r="K1886" s="169">
        <f t="shared" si="99"/>
        <v>1117309.77</v>
      </c>
      <c r="L1886" s="153"/>
      <c r="M1886" s="153"/>
      <c r="N1886" s="153"/>
      <c r="O1886" s="153"/>
    </row>
    <row r="1887" spans="1:15" x14ac:dyDescent="0.2">
      <c r="A1887" s="168">
        <v>1880</v>
      </c>
      <c r="B1887" s="159">
        <v>594.63366392643309</v>
      </c>
      <c r="C1887" s="169">
        <f t="shared" si="98"/>
        <v>1117911.2881816942</v>
      </c>
      <c r="D1887" s="153"/>
      <c r="E1887" s="153"/>
      <c r="F1887" s="153"/>
      <c r="G1887" s="153"/>
      <c r="I1887" s="168">
        <v>1880</v>
      </c>
      <c r="J1887" s="159">
        <f>ROUND(B1887*('Model Data Inputs'!$E$184*'Model Data Inputs'!$E$185*'Model Data Inputs'!$E$186*'Model Data Inputs'!$E$187),2)</f>
        <v>594.63</v>
      </c>
      <c r="K1887" s="169">
        <f t="shared" si="99"/>
        <v>1117904.3999999999</v>
      </c>
      <c r="L1887" s="153"/>
      <c r="M1887" s="153"/>
      <c r="N1887" s="153"/>
      <c r="O1887" s="153"/>
    </row>
    <row r="1888" spans="1:15" x14ac:dyDescent="0.2">
      <c r="A1888" s="168">
        <v>1881</v>
      </c>
      <c r="B1888" s="159">
        <v>594.63366392643309</v>
      </c>
      <c r="C1888" s="169">
        <f t="shared" si="98"/>
        <v>1118505.9218456207</v>
      </c>
      <c r="D1888" s="153"/>
      <c r="E1888" s="153"/>
      <c r="F1888" s="153"/>
      <c r="G1888" s="153"/>
      <c r="I1888" s="168">
        <v>1881</v>
      </c>
      <c r="J1888" s="159">
        <f>ROUND(B1888*('Model Data Inputs'!$E$184*'Model Data Inputs'!$E$185*'Model Data Inputs'!$E$186*'Model Data Inputs'!$E$187),2)</f>
        <v>594.63</v>
      </c>
      <c r="K1888" s="169">
        <f t="shared" si="99"/>
        <v>1118499.03</v>
      </c>
      <c r="L1888" s="153"/>
      <c r="M1888" s="153"/>
      <c r="N1888" s="153"/>
      <c r="O1888" s="153"/>
    </row>
    <row r="1889" spans="1:15" x14ac:dyDescent="0.2">
      <c r="A1889" s="168">
        <v>1882</v>
      </c>
      <c r="B1889" s="159">
        <v>594.63366392643309</v>
      </c>
      <c r="C1889" s="169">
        <f t="shared" si="98"/>
        <v>1119100.555509547</v>
      </c>
      <c r="D1889" s="153"/>
      <c r="E1889" s="153"/>
      <c r="F1889" s="153"/>
      <c r="G1889" s="153"/>
      <c r="I1889" s="168">
        <v>1882</v>
      </c>
      <c r="J1889" s="159">
        <f>ROUND(B1889*('Model Data Inputs'!$E$184*'Model Data Inputs'!$E$185*'Model Data Inputs'!$E$186*'Model Data Inputs'!$E$187),2)</f>
        <v>594.63</v>
      </c>
      <c r="K1889" s="169">
        <f t="shared" si="99"/>
        <v>1119093.6599999999</v>
      </c>
      <c r="L1889" s="153"/>
      <c r="M1889" s="153"/>
      <c r="N1889" s="153"/>
      <c r="O1889" s="153"/>
    </row>
    <row r="1890" spans="1:15" x14ac:dyDescent="0.2">
      <c r="A1890" s="168">
        <v>1883</v>
      </c>
      <c r="B1890" s="159">
        <v>594.63366392643309</v>
      </c>
      <c r="C1890" s="169">
        <f t="shared" si="98"/>
        <v>1119695.1891734735</v>
      </c>
      <c r="D1890" s="153"/>
      <c r="E1890" s="153"/>
      <c r="F1890" s="153"/>
      <c r="G1890" s="153"/>
      <c r="I1890" s="168">
        <v>1883</v>
      </c>
      <c r="J1890" s="159">
        <f>ROUND(B1890*('Model Data Inputs'!$E$184*'Model Data Inputs'!$E$185*'Model Data Inputs'!$E$186*'Model Data Inputs'!$E$187),2)</f>
        <v>594.63</v>
      </c>
      <c r="K1890" s="169">
        <f t="shared" si="99"/>
        <v>1119688.29</v>
      </c>
      <c r="L1890" s="153"/>
      <c r="M1890" s="153"/>
      <c r="N1890" s="153"/>
      <c r="O1890" s="153"/>
    </row>
    <row r="1891" spans="1:15" x14ac:dyDescent="0.2">
      <c r="A1891" s="168">
        <v>1884</v>
      </c>
      <c r="B1891" s="159">
        <v>594.63366392643309</v>
      </c>
      <c r="C1891" s="169">
        <f t="shared" si="98"/>
        <v>1120289.8228374</v>
      </c>
      <c r="D1891" s="153"/>
      <c r="E1891" s="153"/>
      <c r="F1891" s="153"/>
      <c r="G1891" s="153"/>
      <c r="I1891" s="168">
        <v>1884</v>
      </c>
      <c r="J1891" s="159">
        <f>ROUND(B1891*('Model Data Inputs'!$E$184*'Model Data Inputs'!$E$185*'Model Data Inputs'!$E$186*'Model Data Inputs'!$E$187),2)</f>
        <v>594.63</v>
      </c>
      <c r="K1891" s="169">
        <f t="shared" si="99"/>
        <v>1120282.92</v>
      </c>
      <c r="L1891" s="153"/>
      <c r="M1891" s="153"/>
      <c r="N1891" s="153"/>
      <c r="O1891" s="153"/>
    </row>
    <row r="1892" spans="1:15" x14ac:dyDescent="0.2">
      <c r="A1892" s="168">
        <v>1885</v>
      </c>
      <c r="B1892" s="159">
        <v>594.63366392643309</v>
      </c>
      <c r="C1892" s="169">
        <f t="shared" si="98"/>
        <v>1120884.4565013263</v>
      </c>
      <c r="D1892" s="153"/>
      <c r="E1892" s="153"/>
      <c r="F1892" s="153"/>
      <c r="G1892" s="153"/>
      <c r="I1892" s="168">
        <v>1885</v>
      </c>
      <c r="J1892" s="159">
        <f>ROUND(B1892*('Model Data Inputs'!$E$184*'Model Data Inputs'!$E$185*'Model Data Inputs'!$E$186*'Model Data Inputs'!$E$187),2)</f>
        <v>594.63</v>
      </c>
      <c r="K1892" s="169">
        <f t="shared" si="99"/>
        <v>1120877.55</v>
      </c>
      <c r="L1892" s="153"/>
      <c r="M1892" s="153"/>
      <c r="N1892" s="153"/>
      <c r="O1892" s="153"/>
    </row>
    <row r="1893" spans="1:15" x14ac:dyDescent="0.2">
      <c r="A1893" s="168">
        <v>1886</v>
      </c>
      <c r="B1893" s="159">
        <v>594.63366392643309</v>
      </c>
      <c r="C1893" s="169">
        <f t="shared" si="98"/>
        <v>1121479.0901652528</v>
      </c>
      <c r="D1893" s="153"/>
      <c r="E1893" s="153"/>
      <c r="F1893" s="153"/>
      <c r="G1893" s="153"/>
      <c r="I1893" s="168">
        <v>1886</v>
      </c>
      <c r="J1893" s="159">
        <f>ROUND(B1893*('Model Data Inputs'!$E$184*'Model Data Inputs'!$E$185*'Model Data Inputs'!$E$186*'Model Data Inputs'!$E$187),2)</f>
        <v>594.63</v>
      </c>
      <c r="K1893" s="169">
        <f t="shared" si="99"/>
        <v>1121472.18</v>
      </c>
      <c r="L1893" s="153"/>
      <c r="M1893" s="153"/>
      <c r="N1893" s="153"/>
      <c r="O1893" s="153"/>
    </row>
    <row r="1894" spans="1:15" x14ac:dyDescent="0.2">
      <c r="A1894" s="168">
        <v>1887</v>
      </c>
      <c r="B1894" s="159">
        <v>594.63366392643309</v>
      </c>
      <c r="C1894" s="169">
        <f t="shared" si="98"/>
        <v>1122073.7238291793</v>
      </c>
      <c r="D1894" s="153"/>
      <c r="E1894" s="153"/>
      <c r="F1894" s="153"/>
      <c r="G1894" s="153"/>
      <c r="I1894" s="168">
        <v>1887</v>
      </c>
      <c r="J1894" s="159">
        <f>ROUND(B1894*('Model Data Inputs'!$E$184*'Model Data Inputs'!$E$185*'Model Data Inputs'!$E$186*'Model Data Inputs'!$E$187),2)</f>
        <v>594.63</v>
      </c>
      <c r="K1894" s="169">
        <f t="shared" si="99"/>
        <v>1122066.81</v>
      </c>
      <c r="L1894" s="153"/>
      <c r="M1894" s="153"/>
      <c r="N1894" s="153"/>
      <c r="O1894" s="153"/>
    </row>
    <row r="1895" spans="1:15" x14ac:dyDescent="0.2">
      <c r="A1895" s="168">
        <v>1888</v>
      </c>
      <c r="B1895" s="159">
        <v>594.63366392643309</v>
      </c>
      <c r="C1895" s="169">
        <f t="shared" si="98"/>
        <v>1122668.3574931056</v>
      </c>
      <c r="D1895" s="153"/>
      <c r="E1895" s="153"/>
      <c r="F1895" s="153"/>
      <c r="G1895" s="153"/>
      <c r="I1895" s="168">
        <v>1888</v>
      </c>
      <c r="J1895" s="159">
        <f>ROUND(B1895*('Model Data Inputs'!$E$184*'Model Data Inputs'!$E$185*'Model Data Inputs'!$E$186*'Model Data Inputs'!$E$187),2)</f>
        <v>594.63</v>
      </c>
      <c r="K1895" s="169">
        <f t="shared" si="99"/>
        <v>1122661.44</v>
      </c>
      <c r="L1895" s="153"/>
      <c r="M1895" s="153"/>
      <c r="N1895" s="153"/>
      <c r="O1895" s="153"/>
    </row>
    <row r="1896" spans="1:15" x14ac:dyDescent="0.2">
      <c r="A1896" s="168">
        <v>1889</v>
      </c>
      <c r="B1896" s="159">
        <v>594.63366392643309</v>
      </c>
      <c r="C1896" s="169">
        <f t="shared" si="98"/>
        <v>1123262.9911570321</v>
      </c>
      <c r="D1896" s="153"/>
      <c r="E1896" s="153"/>
      <c r="F1896" s="153"/>
      <c r="G1896" s="153"/>
      <c r="I1896" s="168">
        <v>1889</v>
      </c>
      <c r="J1896" s="159">
        <f>ROUND(B1896*('Model Data Inputs'!$E$184*'Model Data Inputs'!$E$185*'Model Data Inputs'!$E$186*'Model Data Inputs'!$E$187),2)</f>
        <v>594.63</v>
      </c>
      <c r="K1896" s="169">
        <f t="shared" si="99"/>
        <v>1123256.07</v>
      </c>
      <c r="L1896" s="153"/>
      <c r="M1896" s="153"/>
      <c r="N1896" s="153"/>
      <c r="O1896" s="153"/>
    </row>
    <row r="1897" spans="1:15" x14ac:dyDescent="0.2">
      <c r="A1897" s="168">
        <v>1890</v>
      </c>
      <c r="B1897" s="159">
        <v>594.63366392643309</v>
      </c>
      <c r="C1897" s="169">
        <f t="shared" si="98"/>
        <v>1123857.6248209586</v>
      </c>
      <c r="D1897" s="153"/>
      <c r="E1897" s="153"/>
      <c r="F1897" s="153"/>
      <c r="G1897" s="153"/>
      <c r="I1897" s="168">
        <v>1890</v>
      </c>
      <c r="J1897" s="159">
        <f>ROUND(B1897*('Model Data Inputs'!$E$184*'Model Data Inputs'!$E$185*'Model Data Inputs'!$E$186*'Model Data Inputs'!$E$187),2)</f>
        <v>594.63</v>
      </c>
      <c r="K1897" s="169">
        <f t="shared" si="99"/>
        <v>1123850.7</v>
      </c>
      <c r="L1897" s="153"/>
      <c r="M1897" s="153"/>
      <c r="N1897" s="153"/>
      <c r="O1897" s="153"/>
    </row>
    <row r="1898" spans="1:15" x14ac:dyDescent="0.2">
      <c r="A1898" s="168">
        <v>1891</v>
      </c>
      <c r="B1898" s="159">
        <v>594.63366392643309</v>
      </c>
      <c r="C1898" s="169">
        <f t="shared" si="98"/>
        <v>1124452.2584848849</v>
      </c>
      <c r="D1898" s="153"/>
      <c r="E1898" s="153"/>
      <c r="F1898" s="153"/>
      <c r="G1898" s="153"/>
      <c r="I1898" s="168">
        <v>1891</v>
      </c>
      <c r="J1898" s="159">
        <f>ROUND(B1898*('Model Data Inputs'!$E$184*'Model Data Inputs'!$E$185*'Model Data Inputs'!$E$186*'Model Data Inputs'!$E$187),2)</f>
        <v>594.63</v>
      </c>
      <c r="K1898" s="169">
        <f t="shared" si="99"/>
        <v>1124445.33</v>
      </c>
      <c r="L1898" s="153"/>
      <c r="M1898" s="153"/>
      <c r="N1898" s="153"/>
      <c r="O1898" s="153"/>
    </row>
    <row r="1899" spans="1:15" x14ac:dyDescent="0.2">
      <c r="A1899" s="168">
        <v>1892</v>
      </c>
      <c r="B1899" s="159">
        <v>594.63366392643309</v>
      </c>
      <c r="C1899" s="169">
        <f t="shared" si="98"/>
        <v>1125046.8921488114</v>
      </c>
      <c r="D1899" s="153"/>
      <c r="E1899" s="153"/>
      <c r="F1899" s="153"/>
      <c r="G1899" s="153"/>
      <c r="I1899" s="168">
        <v>1892</v>
      </c>
      <c r="J1899" s="159">
        <f>ROUND(B1899*('Model Data Inputs'!$E$184*'Model Data Inputs'!$E$185*'Model Data Inputs'!$E$186*'Model Data Inputs'!$E$187),2)</f>
        <v>594.63</v>
      </c>
      <c r="K1899" s="169">
        <f t="shared" si="99"/>
        <v>1125039.96</v>
      </c>
      <c r="L1899" s="153"/>
      <c r="M1899" s="153"/>
      <c r="N1899" s="153"/>
      <c r="O1899" s="153"/>
    </row>
    <row r="1900" spans="1:15" x14ac:dyDescent="0.2">
      <c r="A1900" s="168">
        <v>1893</v>
      </c>
      <c r="B1900" s="159">
        <v>594.63366392643309</v>
      </c>
      <c r="C1900" s="169">
        <f t="shared" si="98"/>
        <v>1125641.5258127379</v>
      </c>
      <c r="D1900" s="153"/>
      <c r="E1900" s="153"/>
      <c r="F1900" s="153"/>
      <c r="G1900" s="153"/>
      <c r="I1900" s="168">
        <v>1893</v>
      </c>
      <c r="J1900" s="159">
        <f>ROUND(B1900*('Model Data Inputs'!$E$184*'Model Data Inputs'!$E$185*'Model Data Inputs'!$E$186*'Model Data Inputs'!$E$187),2)</f>
        <v>594.63</v>
      </c>
      <c r="K1900" s="169">
        <f t="shared" si="99"/>
        <v>1125634.5900000001</v>
      </c>
      <c r="L1900" s="153"/>
      <c r="M1900" s="153"/>
      <c r="N1900" s="153"/>
      <c r="O1900" s="153"/>
    </row>
    <row r="1901" spans="1:15" x14ac:dyDescent="0.2">
      <c r="A1901" s="168">
        <v>1894</v>
      </c>
      <c r="B1901" s="159">
        <v>594.63366392643309</v>
      </c>
      <c r="C1901" s="169">
        <f t="shared" si="98"/>
        <v>1126236.1594766644</v>
      </c>
      <c r="D1901" s="153"/>
      <c r="E1901" s="153"/>
      <c r="F1901" s="153"/>
      <c r="G1901" s="153"/>
      <c r="I1901" s="168">
        <v>1894</v>
      </c>
      <c r="J1901" s="159">
        <f>ROUND(B1901*('Model Data Inputs'!$E$184*'Model Data Inputs'!$E$185*'Model Data Inputs'!$E$186*'Model Data Inputs'!$E$187),2)</f>
        <v>594.63</v>
      </c>
      <c r="K1901" s="169">
        <f t="shared" si="99"/>
        <v>1126229.22</v>
      </c>
      <c r="L1901" s="153"/>
      <c r="M1901" s="153"/>
      <c r="N1901" s="153"/>
      <c r="O1901" s="153"/>
    </row>
    <row r="1902" spans="1:15" x14ac:dyDescent="0.2">
      <c r="A1902" s="168">
        <v>1895</v>
      </c>
      <c r="B1902" s="159">
        <v>594.63366392643309</v>
      </c>
      <c r="C1902" s="169">
        <f t="shared" si="98"/>
        <v>1126830.7931405907</v>
      </c>
      <c r="D1902" s="153"/>
      <c r="E1902" s="153"/>
      <c r="F1902" s="153"/>
      <c r="G1902" s="153"/>
      <c r="I1902" s="168">
        <v>1895</v>
      </c>
      <c r="J1902" s="159">
        <f>ROUND(B1902*('Model Data Inputs'!$E$184*'Model Data Inputs'!$E$185*'Model Data Inputs'!$E$186*'Model Data Inputs'!$E$187),2)</f>
        <v>594.63</v>
      </c>
      <c r="K1902" s="169">
        <f t="shared" si="99"/>
        <v>1126823.8500000001</v>
      </c>
      <c r="L1902" s="153"/>
      <c r="M1902" s="153"/>
      <c r="N1902" s="153"/>
      <c r="O1902" s="153"/>
    </row>
    <row r="1903" spans="1:15" x14ac:dyDescent="0.2">
      <c r="A1903" s="168">
        <v>1896</v>
      </c>
      <c r="B1903" s="159">
        <v>594.63366392643309</v>
      </c>
      <c r="C1903" s="169">
        <f t="shared" si="98"/>
        <v>1127425.4268045172</v>
      </c>
      <c r="D1903" s="153"/>
      <c r="E1903" s="153"/>
      <c r="F1903" s="153"/>
      <c r="G1903" s="153"/>
      <c r="I1903" s="168">
        <v>1896</v>
      </c>
      <c r="J1903" s="159">
        <f>ROUND(B1903*('Model Data Inputs'!$E$184*'Model Data Inputs'!$E$185*'Model Data Inputs'!$E$186*'Model Data Inputs'!$E$187),2)</f>
        <v>594.63</v>
      </c>
      <c r="K1903" s="169">
        <f t="shared" si="99"/>
        <v>1127418.48</v>
      </c>
      <c r="L1903" s="153"/>
      <c r="M1903" s="153"/>
      <c r="N1903" s="153"/>
      <c r="O1903" s="153"/>
    </row>
    <row r="1904" spans="1:15" x14ac:dyDescent="0.2">
      <c r="A1904" s="168">
        <v>1897</v>
      </c>
      <c r="B1904" s="159">
        <v>594.63366392643309</v>
      </c>
      <c r="C1904" s="169">
        <f t="shared" si="98"/>
        <v>1128020.0604684437</v>
      </c>
      <c r="D1904" s="153"/>
      <c r="E1904" s="153"/>
      <c r="F1904" s="153"/>
      <c r="G1904" s="153"/>
      <c r="I1904" s="168">
        <v>1897</v>
      </c>
      <c r="J1904" s="159">
        <f>ROUND(B1904*('Model Data Inputs'!$E$184*'Model Data Inputs'!$E$185*'Model Data Inputs'!$E$186*'Model Data Inputs'!$E$187),2)</f>
        <v>594.63</v>
      </c>
      <c r="K1904" s="169">
        <f t="shared" si="99"/>
        <v>1128013.1100000001</v>
      </c>
      <c r="L1904" s="153"/>
      <c r="M1904" s="153"/>
      <c r="N1904" s="153"/>
      <c r="O1904" s="153"/>
    </row>
    <row r="1905" spans="1:15" x14ac:dyDescent="0.2">
      <c r="A1905" s="168">
        <v>1898</v>
      </c>
      <c r="B1905" s="159">
        <v>594.63366392643309</v>
      </c>
      <c r="C1905" s="169">
        <f t="shared" si="98"/>
        <v>1128614.6941323699</v>
      </c>
      <c r="D1905" s="153"/>
      <c r="E1905" s="153"/>
      <c r="F1905" s="153"/>
      <c r="G1905" s="153"/>
      <c r="I1905" s="168">
        <v>1898</v>
      </c>
      <c r="J1905" s="159">
        <f>ROUND(B1905*('Model Data Inputs'!$E$184*'Model Data Inputs'!$E$185*'Model Data Inputs'!$E$186*'Model Data Inputs'!$E$187),2)</f>
        <v>594.63</v>
      </c>
      <c r="K1905" s="169">
        <f t="shared" si="99"/>
        <v>1128607.74</v>
      </c>
      <c r="L1905" s="153"/>
      <c r="M1905" s="153"/>
      <c r="N1905" s="153"/>
      <c r="O1905" s="153"/>
    </row>
    <row r="1906" spans="1:15" x14ac:dyDescent="0.2">
      <c r="A1906" s="168">
        <v>1899</v>
      </c>
      <c r="B1906" s="159">
        <v>594.63366392643309</v>
      </c>
      <c r="C1906" s="169">
        <f t="shared" si="98"/>
        <v>1129209.3277962964</v>
      </c>
      <c r="D1906" s="153"/>
      <c r="E1906" s="153"/>
      <c r="F1906" s="153"/>
      <c r="G1906" s="153"/>
      <c r="I1906" s="168">
        <v>1899</v>
      </c>
      <c r="J1906" s="159">
        <f>ROUND(B1906*('Model Data Inputs'!$E$184*'Model Data Inputs'!$E$185*'Model Data Inputs'!$E$186*'Model Data Inputs'!$E$187),2)</f>
        <v>594.63</v>
      </c>
      <c r="K1906" s="169">
        <f t="shared" si="99"/>
        <v>1129202.3699999999</v>
      </c>
      <c r="L1906" s="153"/>
      <c r="M1906" s="153"/>
      <c r="N1906" s="153"/>
      <c r="O1906" s="153"/>
    </row>
    <row r="1907" spans="1:15" x14ac:dyDescent="0.2">
      <c r="A1907" s="168">
        <v>1900</v>
      </c>
      <c r="B1907" s="159">
        <v>594.63366392643309</v>
      </c>
      <c r="C1907" s="169">
        <f t="shared" si="98"/>
        <v>1129803.961460223</v>
      </c>
      <c r="I1907" s="168">
        <v>1900</v>
      </c>
      <c r="J1907" s="159">
        <f>ROUND(B1907*('Model Data Inputs'!$E$184*'Model Data Inputs'!$E$185*'Model Data Inputs'!$E$186*'Model Data Inputs'!$E$187),2)</f>
        <v>594.63</v>
      </c>
      <c r="K1907" s="169">
        <f t="shared" si="99"/>
        <v>1129797</v>
      </c>
    </row>
    <row r="1908" spans="1:15" x14ac:dyDescent="0.2">
      <c r="A1908" s="168">
        <v>1901</v>
      </c>
      <c r="B1908" s="159">
        <v>594.63366392643309</v>
      </c>
      <c r="C1908" s="169">
        <f t="shared" si="98"/>
        <v>1130398.5951241492</v>
      </c>
      <c r="I1908" s="168">
        <v>1901</v>
      </c>
      <c r="J1908" s="159">
        <f>ROUND(B1908*('Model Data Inputs'!$E$184*'Model Data Inputs'!$E$185*'Model Data Inputs'!$E$186*'Model Data Inputs'!$E$187),2)</f>
        <v>594.63</v>
      </c>
      <c r="K1908" s="169">
        <f t="shared" si="99"/>
        <v>1130391.6299999999</v>
      </c>
    </row>
    <row r="1909" spans="1:15" x14ac:dyDescent="0.2">
      <c r="A1909" s="168">
        <v>1902</v>
      </c>
      <c r="B1909" s="159">
        <v>594.63366392643309</v>
      </c>
      <c r="C1909" s="169">
        <f t="shared" si="98"/>
        <v>1130993.2287880757</v>
      </c>
      <c r="I1909" s="168">
        <v>1902</v>
      </c>
      <c r="J1909" s="159">
        <f>ROUND(B1909*('Model Data Inputs'!$E$184*'Model Data Inputs'!$E$185*'Model Data Inputs'!$E$186*'Model Data Inputs'!$E$187),2)</f>
        <v>594.63</v>
      </c>
      <c r="K1909" s="169">
        <f t="shared" si="99"/>
        <v>1130986.26</v>
      </c>
    </row>
    <row r="1910" spans="1:15" x14ac:dyDescent="0.2">
      <c r="A1910" s="168">
        <v>1903</v>
      </c>
      <c r="B1910" s="159">
        <v>594.63366392643309</v>
      </c>
      <c r="C1910" s="169">
        <f t="shared" si="98"/>
        <v>1131587.8624520022</v>
      </c>
      <c r="I1910" s="168">
        <v>1903</v>
      </c>
      <c r="J1910" s="159">
        <f>ROUND(B1910*('Model Data Inputs'!$E$184*'Model Data Inputs'!$E$185*'Model Data Inputs'!$E$186*'Model Data Inputs'!$E$187),2)</f>
        <v>594.63</v>
      </c>
      <c r="K1910" s="169">
        <f t="shared" si="99"/>
        <v>1131580.8899999999</v>
      </c>
    </row>
    <row r="1911" spans="1:15" x14ac:dyDescent="0.2">
      <c r="A1911" s="168">
        <v>1904</v>
      </c>
      <c r="B1911" s="159">
        <v>594.63366392643309</v>
      </c>
      <c r="C1911" s="169">
        <f t="shared" si="98"/>
        <v>1132182.4961159285</v>
      </c>
      <c r="I1911" s="168">
        <v>1904</v>
      </c>
      <c r="J1911" s="159">
        <f>ROUND(B1911*('Model Data Inputs'!$E$184*'Model Data Inputs'!$E$185*'Model Data Inputs'!$E$186*'Model Data Inputs'!$E$187),2)</f>
        <v>594.63</v>
      </c>
      <c r="K1911" s="169">
        <f t="shared" si="99"/>
        <v>1132175.52</v>
      </c>
    </row>
    <row r="1912" spans="1:15" x14ac:dyDescent="0.2">
      <c r="A1912" s="168">
        <v>1905</v>
      </c>
      <c r="B1912" s="159">
        <v>594.63366392643309</v>
      </c>
      <c r="C1912" s="169">
        <f t="shared" si="98"/>
        <v>1132777.129779855</v>
      </c>
      <c r="I1912" s="168">
        <v>1905</v>
      </c>
      <c r="J1912" s="159">
        <f>ROUND(B1912*('Model Data Inputs'!$E$184*'Model Data Inputs'!$E$185*'Model Data Inputs'!$E$186*'Model Data Inputs'!$E$187),2)</f>
        <v>594.63</v>
      </c>
      <c r="K1912" s="169">
        <f t="shared" si="99"/>
        <v>1132770.1499999999</v>
      </c>
    </row>
    <row r="1913" spans="1:15" x14ac:dyDescent="0.2">
      <c r="A1913" s="168">
        <v>1906</v>
      </c>
      <c r="B1913" s="159">
        <v>594.63366392643309</v>
      </c>
      <c r="C1913" s="169">
        <f t="shared" si="98"/>
        <v>1133371.7634437815</v>
      </c>
      <c r="I1913" s="168">
        <v>1906</v>
      </c>
      <c r="J1913" s="159">
        <f>ROUND(B1913*('Model Data Inputs'!$E$184*'Model Data Inputs'!$E$185*'Model Data Inputs'!$E$186*'Model Data Inputs'!$E$187),2)</f>
        <v>594.63</v>
      </c>
      <c r="K1913" s="169">
        <f t="shared" si="99"/>
        <v>1133364.78</v>
      </c>
    </row>
    <row r="1914" spans="1:15" x14ac:dyDescent="0.2">
      <c r="A1914" s="168">
        <v>1907</v>
      </c>
      <c r="B1914" s="159">
        <v>594.63366392643309</v>
      </c>
      <c r="C1914" s="169">
        <f t="shared" si="98"/>
        <v>1133966.3971077078</v>
      </c>
      <c r="I1914" s="168">
        <v>1907</v>
      </c>
      <c r="J1914" s="159">
        <f>ROUND(B1914*('Model Data Inputs'!$E$184*'Model Data Inputs'!$E$185*'Model Data Inputs'!$E$186*'Model Data Inputs'!$E$187),2)</f>
        <v>594.63</v>
      </c>
      <c r="K1914" s="169">
        <f t="shared" si="99"/>
        <v>1133959.4099999999</v>
      </c>
    </row>
    <row r="1915" spans="1:15" x14ac:dyDescent="0.2">
      <c r="A1915" s="168">
        <v>1908</v>
      </c>
      <c r="B1915" s="159">
        <v>594.63366392643309</v>
      </c>
      <c r="C1915" s="169">
        <f t="shared" si="98"/>
        <v>1134561.0307716343</v>
      </c>
      <c r="I1915" s="168">
        <v>1908</v>
      </c>
      <c r="J1915" s="159">
        <f>ROUND(B1915*('Model Data Inputs'!$E$184*'Model Data Inputs'!$E$185*'Model Data Inputs'!$E$186*'Model Data Inputs'!$E$187),2)</f>
        <v>594.63</v>
      </c>
      <c r="K1915" s="169">
        <f t="shared" si="99"/>
        <v>1134554.04</v>
      </c>
    </row>
    <row r="1916" spans="1:15" x14ac:dyDescent="0.2">
      <c r="A1916" s="168">
        <v>1909</v>
      </c>
      <c r="B1916" s="159">
        <v>594.63366392643309</v>
      </c>
      <c r="C1916" s="169">
        <f t="shared" si="98"/>
        <v>1135155.6644355608</v>
      </c>
      <c r="I1916" s="168">
        <v>1909</v>
      </c>
      <c r="J1916" s="159">
        <f>ROUND(B1916*('Model Data Inputs'!$E$184*'Model Data Inputs'!$E$185*'Model Data Inputs'!$E$186*'Model Data Inputs'!$E$187),2)</f>
        <v>594.63</v>
      </c>
      <c r="K1916" s="169">
        <f t="shared" si="99"/>
        <v>1135148.67</v>
      </c>
    </row>
    <row r="1917" spans="1:15" x14ac:dyDescent="0.2">
      <c r="A1917" s="168">
        <v>1910</v>
      </c>
      <c r="B1917" s="159">
        <v>594.63366392643309</v>
      </c>
      <c r="C1917" s="169">
        <f t="shared" si="98"/>
        <v>1135750.2980994871</v>
      </c>
      <c r="I1917" s="168">
        <v>1910</v>
      </c>
      <c r="J1917" s="159">
        <f>ROUND(B1917*('Model Data Inputs'!$E$184*'Model Data Inputs'!$E$185*'Model Data Inputs'!$E$186*'Model Data Inputs'!$E$187),2)</f>
        <v>594.63</v>
      </c>
      <c r="K1917" s="169">
        <f t="shared" si="99"/>
        <v>1135743.3</v>
      </c>
    </row>
    <row r="1918" spans="1:15" x14ac:dyDescent="0.2">
      <c r="A1918" s="168">
        <v>1911</v>
      </c>
      <c r="B1918" s="159">
        <v>594.63366392643309</v>
      </c>
      <c r="C1918" s="169">
        <f t="shared" si="98"/>
        <v>1136344.9317634136</v>
      </c>
      <c r="I1918" s="168">
        <v>1911</v>
      </c>
      <c r="J1918" s="159">
        <f>ROUND(B1918*('Model Data Inputs'!$E$184*'Model Data Inputs'!$E$185*'Model Data Inputs'!$E$186*'Model Data Inputs'!$E$187),2)</f>
        <v>594.63</v>
      </c>
      <c r="K1918" s="169">
        <f t="shared" si="99"/>
        <v>1136337.93</v>
      </c>
    </row>
    <row r="1919" spans="1:15" x14ac:dyDescent="0.2">
      <c r="A1919" s="168">
        <v>1912</v>
      </c>
      <c r="B1919" s="159">
        <v>594.63366392643309</v>
      </c>
      <c r="C1919" s="169">
        <f t="shared" si="98"/>
        <v>1136939.5654273401</v>
      </c>
      <c r="I1919" s="168">
        <v>1912</v>
      </c>
      <c r="J1919" s="159">
        <f>ROUND(B1919*('Model Data Inputs'!$E$184*'Model Data Inputs'!$E$185*'Model Data Inputs'!$E$186*'Model Data Inputs'!$E$187),2)</f>
        <v>594.63</v>
      </c>
      <c r="K1919" s="169">
        <f t="shared" si="99"/>
        <v>1136932.56</v>
      </c>
    </row>
    <row r="1920" spans="1:15" x14ac:dyDescent="0.2">
      <c r="A1920" s="168">
        <v>1913</v>
      </c>
      <c r="B1920" s="159">
        <v>594.63366392643309</v>
      </c>
      <c r="C1920" s="169">
        <f t="shared" si="98"/>
        <v>1137534.1990912666</v>
      </c>
      <c r="I1920" s="168">
        <v>1913</v>
      </c>
      <c r="J1920" s="159">
        <f>ROUND(B1920*('Model Data Inputs'!$E$184*'Model Data Inputs'!$E$185*'Model Data Inputs'!$E$186*'Model Data Inputs'!$E$187),2)</f>
        <v>594.63</v>
      </c>
      <c r="K1920" s="169">
        <f t="shared" si="99"/>
        <v>1137527.19</v>
      </c>
    </row>
    <row r="1921" spans="1:11" x14ac:dyDescent="0.2">
      <c r="A1921" s="168">
        <v>1914</v>
      </c>
      <c r="B1921" s="159">
        <v>594.63366392643309</v>
      </c>
      <c r="C1921" s="169">
        <f t="shared" si="98"/>
        <v>1138128.8327551929</v>
      </c>
      <c r="I1921" s="168">
        <v>1914</v>
      </c>
      <c r="J1921" s="159">
        <f>ROUND(B1921*('Model Data Inputs'!$E$184*'Model Data Inputs'!$E$185*'Model Data Inputs'!$E$186*'Model Data Inputs'!$E$187),2)</f>
        <v>594.63</v>
      </c>
      <c r="K1921" s="169">
        <f t="shared" si="99"/>
        <v>1138121.82</v>
      </c>
    </row>
    <row r="1922" spans="1:11" x14ac:dyDescent="0.2">
      <c r="A1922" s="168">
        <v>1915</v>
      </c>
      <c r="B1922" s="159">
        <v>594.63366392643309</v>
      </c>
      <c r="C1922" s="169">
        <f t="shared" si="98"/>
        <v>1138723.4664191194</v>
      </c>
      <c r="I1922" s="168">
        <v>1915</v>
      </c>
      <c r="J1922" s="159">
        <f>ROUND(B1922*('Model Data Inputs'!$E$184*'Model Data Inputs'!$E$185*'Model Data Inputs'!$E$186*'Model Data Inputs'!$E$187),2)</f>
        <v>594.63</v>
      </c>
      <c r="K1922" s="169">
        <f t="shared" si="99"/>
        <v>1138716.45</v>
      </c>
    </row>
    <row r="1923" spans="1:11" x14ac:dyDescent="0.2">
      <c r="A1923" s="168">
        <v>1916</v>
      </c>
      <c r="B1923" s="159">
        <v>594.63366392643309</v>
      </c>
      <c r="C1923" s="169">
        <f t="shared" si="98"/>
        <v>1139318.1000830459</v>
      </c>
      <c r="I1923" s="168">
        <v>1916</v>
      </c>
      <c r="J1923" s="159">
        <f>ROUND(B1923*('Model Data Inputs'!$E$184*'Model Data Inputs'!$E$185*'Model Data Inputs'!$E$186*'Model Data Inputs'!$E$187),2)</f>
        <v>594.63</v>
      </c>
      <c r="K1923" s="169">
        <f t="shared" si="99"/>
        <v>1139311.08</v>
      </c>
    </row>
    <row r="1924" spans="1:11" x14ac:dyDescent="0.2">
      <c r="A1924" s="168">
        <v>1917</v>
      </c>
      <c r="B1924" s="159">
        <v>594.63366392643309</v>
      </c>
      <c r="C1924" s="169">
        <f t="shared" si="98"/>
        <v>1139912.7337469722</v>
      </c>
      <c r="I1924" s="168">
        <v>1917</v>
      </c>
      <c r="J1924" s="159">
        <f>ROUND(B1924*('Model Data Inputs'!$E$184*'Model Data Inputs'!$E$185*'Model Data Inputs'!$E$186*'Model Data Inputs'!$E$187),2)</f>
        <v>594.63</v>
      </c>
      <c r="K1924" s="169">
        <f t="shared" si="99"/>
        <v>1139905.71</v>
      </c>
    </row>
    <row r="1925" spans="1:11" x14ac:dyDescent="0.2">
      <c r="A1925" s="168">
        <v>1918</v>
      </c>
      <c r="B1925" s="159">
        <v>594.63366392643309</v>
      </c>
      <c r="C1925" s="169">
        <f t="shared" si="98"/>
        <v>1140507.3674108987</v>
      </c>
      <c r="I1925" s="168">
        <v>1918</v>
      </c>
      <c r="J1925" s="159">
        <f>ROUND(B1925*('Model Data Inputs'!$E$184*'Model Data Inputs'!$E$185*'Model Data Inputs'!$E$186*'Model Data Inputs'!$E$187),2)</f>
        <v>594.63</v>
      </c>
      <c r="K1925" s="169">
        <f t="shared" si="99"/>
        <v>1140500.3400000001</v>
      </c>
    </row>
    <row r="1926" spans="1:11" x14ac:dyDescent="0.2">
      <c r="A1926" s="168">
        <v>1919</v>
      </c>
      <c r="B1926" s="159">
        <v>594.63366392643309</v>
      </c>
      <c r="C1926" s="169">
        <f t="shared" si="98"/>
        <v>1141102.0010748252</v>
      </c>
      <c r="I1926" s="168">
        <v>1919</v>
      </c>
      <c r="J1926" s="159">
        <f>ROUND(B1926*('Model Data Inputs'!$E$184*'Model Data Inputs'!$E$185*'Model Data Inputs'!$E$186*'Model Data Inputs'!$E$187),2)</f>
        <v>594.63</v>
      </c>
      <c r="K1926" s="169">
        <f t="shared" si="99"/>
        <v>1141094.97</v>
      </c>
    </row>
    <row r="1927" spans="1:11" x14ac:dyDescent="0.2">
      <c r="A1927" s="168">
        <v>1920</v>
      </c>
      <c r="B1927" s="159">
        <v>594.63366392643309</v>
      </c>
      <c r="C1927" s="169">
        <f t="shared" si="98"/>
        <v>1141696.6347387515</v>
      </c>
      <c r="I1927" s="168">
        <v>1920</v>
      </c>
      <c r="J1927" s="159">
        <f>ROUND(B1927*('Model Data Inputs'!$E$184*'Model Data Inputs'!$E$185*'Model Data Inputs'!$E$186*'Model Data Inputs'!$E$187),2)</f>
        <v>594.63</v>
      </c>
      <c r="K1927" s="169">
        <f t="shared" si="99"/>
        <v>1141689.6000000001</v>
      </c>
    </row>
    <row r="1928" spans="1:11" x14ac:dyDescent="0.2">
      <c r="A1928" s="168">
        <v>1921</v>
      </c>
      <c r="B1928" s="159">
        <v>594.63366392643309</v>
      </c>
      <c r="C1928" s="169">
        <f t="shared" ref="C1928:C1991" si="100">A1928*B1928</f>
        <v>1142291.268402678</v>
      </c>
      <c r="I1928" s="168">
        <v>1921</v>
      </c>
      <c r="J1928" s="159">
        <f>ROUND(B1928*('Model Data Inputs'!$E$184*'Model Data Inputs'!$E$185*'Model Data Inputs'!$E$186*'Model Data Inputs'!$E$187),2)</f>
        <v>594.63</v>
      </c>
      <c r="K1928" s="169">
        <f t="shared" ref="K1928:K1991" si="101">I1928*J1928</f>
        <v>1142284.23</v>
      </c>
    </row>
    <row r="1929" spans="1:11" x14ac:dyDescent="0.2">
      <c r="A1929" s="168">
        <v>1922</v>
      </c>
      <c r="B1929" s="159">
        <v>594.63366392643309</v>
      </c>
      <c r="C1929" s="169">
        <f t="shared" si="100"/>
        <v>1142885.9020666045</v>
      </c>
      <c r="I1929" s="168">
        <v>1922</v>
      </c>
      <c r="J1929" s="159">
        <f>ROUND(B1929*('Model Data Inputs'!$E$184*'Model Data Inputs'!$E$185*'Model Data Inputs'!$E$186*'Model Data Inputs'!$E$187),2)</f>
        <v>594.63</v>
      </c>
      <c r="K1929" s="169">
        <f t="shared" si="101"/>
        <v>1142878.8600000001</v>
      </c>
    </row>
    <row r="1930" spans="1:11" x14ac:dyDescent="0.2">
      <c r="A1930" s="168">
        <v>1923</v>
      </c>
      <c r="B1930" s="159">
        <v>594.63366392643309</v>
      </c>
      <c r="C1930" s="169">
        <f t="shared" si="100"/>
        <v>1143480.5357305307</v>
      </c>
      <c r="I1930" s="168">
        <v>1923</v>
      </c>
      <c r="J1930" s="159">
        <f>ROUND(B1930*('Model Data Inputs'!$E$184*'Model Data Inputs'!$E$185*'Model Data Inputs'!$E$186*'Model Data Inputs'!$E$187),2)</f>
        <v>594.63</v>
      </c>
      <c r="K1930" s="169">
        <f t="shared" si="101"/>
        <v>1143473.49</v>
      </c>
    </row>
    <row r="1931" spans="1:11" x14ac:dyDescent="0.2">
      <c r="A1931" s="168">
        <v>1924</v>
      </c>
      <c r="B1931" s="159">
        <v>594.63366392643309</v>
      </c>
      <c r="C1931" s="169">
        <f t="shared" si="100"/>
        <v>1144075.1693944572</v>
      </c>
      <c r="I1931" s="168">
        <v>1924</v>
      </c>
      <c r="J1931" s="159">
        <f>ROUND(B1931*('Model Data Inputs'!$E$184*'Model Data Inputs'!$E$185*'Model Data Inputs'!$E$186*'Model Data Inputs'!$E$187),2)</f>
        <v>594.63</v>
      </c>
      <c r="K1931" s="169">
        <f t="shared" si="101"/>
        <v>1144068.1199999999</v>
      </c>
    </row>
    <row r="1932" spans="1:11" x14ac:dyDescent="0.2">
      <c r="A1932" s="168">
        <v>1925</v>
      </c>
      <c r="B1932" s="159">
        <v>594.63366392643309</v>
      </c>
      <c r="C1932" s="169">
        <f t="shared" si="100"/>
        <v>1144669.8030583838</v>
      </c>
      <c r="I1932" s="168">
        <v>1925</v>
      </c>
      <c r="J1932" s="159">
        <f>ROUND(B1932*('Model Data Inputs'!$E$184*'Model Data Inputs'!$E$185*'Model Data Inputs'!$E$186*'Model Data Inputs'!$E$187),2)</f>
        <v>594.63</v>
      </c>
      <c r="K1932" s="169">
        <f t="shared" si="101"/>
        <v>1144662.75</v>
      </c>
    </row>
    <row r="1933" spans="1:11" x14ac:dyDescent="0.2">
      <c r="A1933" s="168">
        <v>1926</v>
      </c>
      <c r="B1933" s="159">
        <v>594.63366392643309</v>
      </c>
      <c r="C1933" s="169">
        <f t="shared" si="100"/>
        <v>1145264.43672231</v>
      </c>
      <c r="I1933" s="168">
        <v>1926</v>
      </c>
      <c r="J1933" s="159">
        <f>ROUND(B1933*('Model Data Inputs'!$E$184*'Model Data Inputs'!$E$185*'Model Data Inputs'!$E$186*'Model Data Inputs'!$E$187),2)</f>
        <v>594.63</v>
      </c>
      <c r="K1933" s="169">
        <f t="shared" si="101"/>
        <v>1145257.3799999999</v>
      </c>
    </row>
    <row r="1934" spans="1:11" x14ac:dyDescent="0.2">
      <c r="A1934" s="168">
        <v>1927</v>
      </c>
      <c r="B1934" s="159">
        <v>594.63366392643309</v>
      </c>
      <c r="C1934" s="169">
        <f t="shared" si="100"/>
        <v>1145859.0703862365</v>
      </c>
      <c r="I1934" s="168">
        <v>1927</v>
      </c>
      <c r="J1934" s="159">
        <f>ROUND(B1934*('Model Data Inputs'!$E$184*'Model Data Inputs'!$E$185*'Model Data Inputs'!$E$186*'Model Data Inputs'!$E$187),2)</f>
        <v>594.63</v>
      </c>
      <c r="K1934" s="169">
        <f t="shared" si="101"/>
        <v>1145852.01</v>
      </c>
    </row>
    <row r="1935" spans="1:11" x14ac:dyDescent="0.2">
      <c r="A1935" s="168">
        <v>1928</v>
      </c>
      <c r="B1935" s="159">
        <v>594.63366392643309</v>
      </c>
      <c r="C1935" s="169">
        <f t="shared" si="100"/>
        <v>1146453.704050163</v>
      </c>
      <c r="I1935" s="168">
        <v>1928</v>
      </c>
      <c r="J1935" s="159">
        <f>ROUND(B1935*('Model Data Inputs'!$E$184*'Model Data Inputs'!$E$185*'Model Data Inputs'!$E$186*'Model Data Inputs'!$E$187),2)</f>
        <v>594.63</v>
      </c>
      <c r="K1935" s="169">
        <f t="shared" si="101"/>
        <v>1146446.6399999999</v>
      </c>
    </row>
    <row r="1936" spans="1:11" x14ac:dyDescent="0.2">
      <c r="A1936" s="168">
        <v>1929</v>
      </c>
      <c r="B1936" s="159">
        <v>594.63366392643309</v>
      </c>
      <c r="C1936" s="169">
        <f t="shared" si="100"/>
        <v>1147048.3377140893</v>
      </c>
      <c r="I1936" s="168">
        <v>1929</v>
      </c>
      <c r="J1936" s="159">
        <f>ROUND(B1936*('Model Data Inputs'!$E$184*'Model Data Inputs'!$E$185*'Model Data Inputs'!$E$186*'Model Data Inputs'!$E$187),2)</f>
        <v>594.63</v>
      </c>
      <c r="K1936" s="169">
        <f t="shared" si="101"/>
        <v>1147041.27</v>
      </c>
    </row>
    <row r="1937" spans="1:11" x14ac:dyDescent="0.2">
      <c r="A1937" s="168">
        <v>1930</v>
      </c>
      <c r="B1937" s="159">
        <v>594.63366392643309</v>
      </c>
      <c r="C1937" s="169">
        <f t="shared" si="100"/>
        <v>1147642.9713780158</v>
      </c>
      <c r="I1937" s="168">
        <v>1930</v>
      </c>
      <c r="J1937" s="159">
        <f>ROUND(B1937*('Model Data Inputs'!$E$184*'Model Data Inputs'!$E$185*'Model Data Inputs'!$E$186*'Model Data Inputs'!$E$187),2)</f>
        <v>594.63</v>
      </c>
      <c r="K1937" s="169">
        <f t="shared" si="101"/>
        <v>1147635.8999999999</v>
      </c>
    </row>
    <row r="1938" spans="1:11" x14ac:dyDescent="0.2">
      <c r="A1938" s="168">
        <v>1931</v>
      </c>
      <c r="B1938" s="159">
        <v>594.63366392643309</v>
      </c>
      <c r="C1938" s="169">
        <f t="shared" si="100"/>
        <v>1148237.6050419423</v>
      </c>
      <c r="I1938" s="168">
        <v>1931</v>
      </c>
      <c r="J1938" s="159">
        <f>ROUND(B1938*('Model Data Inputs'!$E$184*'Model Data Inputs'!$E$185*'Model Data Inputs'!$E$186*'Model Data Inputs'!$E$187),2)</f>
        <v>594.63</v>
      </c>
      <c r="K1938" s="169">
        <f t="shared" si="101"/>
        <v>1148230.53</v>
      </c>
    </row>
    <row r="1939" spans="1:11" x14ac:dyDescent="0.2">
      <c r="A1939" s="168">
        <v>1932</v>
      </c>
      <c r="B1939" s="159">
        <v>594.63366392643309</v>
      </c>
      <c r="C1939" s="169">
        <f t="shared" si="100"/>
        <v>1148832.2387058688</v>
      </c>
      <c r="I1939" s="168">
        <v>1932</v>
      </c>
      <c r="J1939" s="159">
        <f>ROUND(B1939*('Model Data Inputs'!$E$184*'Model Data Inputs'!$E$185*'Model Data Inputs'!$E$186*'Model Data Inputs'!$E$187),2)</f>
        <v>594.63</v>
      </c>
      <c r="K1939" s="169">
        <f t="shared" si="101"/>
        <v>1148825.1599999999</v>
      </c>
    </row>
    <row r="1940" spans="1:11" x14ac:dyDescent="0.2">
      <c r="A1940" s="168">
        <v>1933</v>
      </c>
      <c r="B1940" s="159">
        <v>594.63366392643309</v>
      </c>
      <c r="C1940" s="169">
        <f t="shared" si="100"/>
        <v>1149426.8723697951</v>
      </c>
      <c r="I1940" s="168">
        <v>1933</v>
      </c>
      <c r="J1940" s="159">
        <f>ROUND(B1940*('Model Data Inputs'!$E$184*'Model Data Inputs'!$E$185*'Model Data Inputs'!$E$186*'Model Data Inputs'!$E$187),2)</f>
        <v>594.63</v>
      </c>
      <c r="K1940" s="169">
        <f t="shared" si="101"/>
        <v>1149419.79</v>
      </c>
    </row>
    <row r="1941" spans="1:11" x14ac:dyDescent="0.2">
      <c r="A1941" s="168">
        <v>1934</v>
      </c>
      <c r="B1941" s="159">
        <v>594.63366392643309</v>
      </c>
      <c r="C1941" s="169">
        <f t="shared" si="100"/>
        <v>1150021.5060337216</v>
      </c>
      <c r="I1941" s="168">
        <v>1934</v>
      </c>
      <c r="J1941" s="159">
        <f>ROUND(B1941*('Model Data Inputs'!$E$184*'Model Data Inputs'!$E$185*'Model Data Inputs'!$E$186*'Model Data Inputs'!$E$187),2)</f>
        <v>594.63</v>
      </c>
      <c r="K1941" s="169">
        <f t="shared" si="101"/>
        <v>1150014.42</v>
      </c>
    </row>
    <row r="1942" spans="1:11" x14ac:dyDescent="0.2">
      <c r="A1942" s="168">
        <v>1935</v>
      </c>
      <c r="B1942" s="159">
        <v>594.63366392643309</v>
      </c>
      <c r="C1942" s="169">
        <f t="shared" si="100"/>
        <v>1150616.1396976481</v>
      </c>
      <c r="I1942" s="168">
        <v>1935</v>
      </c>
      <c r="J1942" s="159">
        <f>ROUND(B1942*('Model Data Inputs'!$E$184*'Model Data Inputs'!$E$185*'Model Data Inputs'!$E$186*'Model Data Inputs'!$E$187),2)</f>
        <v>594.63</v>
      </c>
      <c r="K1942" s="169">
        <f t="shared" si="101"/>
        <v>1150609.05</v>
      </c>
    </row>
    <row r="1943" spans="1:11" x14ac:dyDescent="0.2">
      <c r="A1943" s="168">
        <v>1936</v>
      </c>
      <c r="B1943" s="159">
        <v>594.63366392643309</v>
      </c>
      <c r="C1943" s="169">
        <f t="shared" si="100"/>
        <v>1151210.7733615744</v>
      </c>
      <c r="I1943" s="168">
        <v>1936</v>
      </c>
      <c r="J1943" s="159">
        <f>ROUND(B1943*('Model Data Inputs'!$E$184*'Model Data Inputs'!$E$185*'Model Data Inputs'!$E$186*'Model Data Inputs'!$E$187),2)</f>
        <v>594.63</v>
      </c>
      <c r="K1943" s="169">
        <f t="shared" si="101"/>
        <v>1151203.68</v>
      </c>
    </row>
    <row r="1944" spans="1:11" x14ac:dyDescent="0.2">
      <c r="A1944" s="168">
        <v>1937</v>
      </c>
      <c r="B1944" s="159">
        <v>594.63366392643309</v>
      </c>
      <c r="C1944" s="169">
        <f t="shared" si="100"/>
        <v>1151805.4070255009</v>
      </c>
      <c r="I1944" s="168">
        <v>1937</v>
      </c>
      <c r="J1944" s="159">
        <f>ROUND(B1944*('Model Data Inputs'!$E$184*'Model Data Inputs'!$E$185*'Model Data Inputs'!$E$186*'Model Data Inputs'!$E$187),2)</f>
        <v>594.63</v>
      </c>
      <c r="K1944" s="169">
        <f t="shared" si="101"/>
        <v>1151798.31</v>
      </c>
    </row>
    <row r="1945" spans="1:11" x14ac:dyDescent="0.2">
      <c r="A1945" s="168">
        <v>1938</v>
      </c>
      <c r="B1945" s="159">
        <v>594.63366392643309</v>
      </c>
      <c r="C1945" s="169">
        <f t="shared" si="100"/>
        <v>1152400.0406894274</v>
      </c>
      <c r="I1945" s="168">
        <v>1938</v>
      </c>
      <c r="J1945" s="159">
        <f>ROUND(B1945*('Model Data Inputs'!$E$184*'Model Data Inputs'!$E$185*'Model Data Inputs'!$E$186*'Model Data Inputs'!$E$187),2)</f>
        <v>594.63</v>
      </c>
      <c r="K1945" s="169">
        <f t="shared" si="101"/>
        <v>1152392.94</v>
      </c>
    </row>
    <row r="1946" spans="1:11" x14ac:dyDescent="0.2">
      <c r="A1946" s="168">
        <v>1939</v>
      </c>
      <c r="B1946" s="159">
        <v>594.63366392643309</v>
      </c>
      <c r="C1946" s="169">
        <f t="shared" si="100"/>
        <v>1152994.6743533537</v>
      </c>
      <c r="I1946" s="168">
        <v>1939</v>
      </c>
      <c r="J1946" s="159">
        <f>ROUND(B1946*('Model Data Inputs'!$E$184*'Model Data Inputs'!$E$185*'Model Data Inputs'!$E$186*'Model Data Inputs'!$E$187),2)</f>
        <v>594.63</v>
      </c>
      <c r="K1946" s="169">
        <f t="shared" si="101"/>
        <v>1152987.57</v>
      </c>
    </row>
    <row r="1947" spans="1:11" x14ac:dyDescent="0.2">
      <c r="A1947" s="168">
        <v>1940</v>
      </c>
      <c r="B1947" s="159">
        <v>594.63366392643309</v>
      </c>
      <c r="C1947" s="169">
        <f t="shared" si="100"/>
        <v>1153589.3080172802</v>
      </c>
      <c r="I1947" s="168">
        <v>1940</v>
      </c>
      <c r="J1947" s="159">
        <f>ROUND(B1947*('Model Data Inputs'!$E$184*'Model Data Inputs'!$E$185*'Model Data Inputs'!$E$186*'Model Data Inputs'!$E$187),2)</f>
        <v>594.63</v>
      </c>
      <c r="K1947" s="169">
        <f t="shared" si="101"/>
        <v>1153582.2</v>
      </c>
    </row>
    <row r="1948" spans="1:11" x14ac:dyDescent="0.2">
      <c r="A1948" s="168">
        <v>1941</v>
      </c>
      <c r="B1948" s="159">
        <v>594.63366392643309</v>
      </c>
      <c r="C1948" s="169">
        <f t="shared" si="100"/>
        <v>1154183.9416812067</v>
      </c>
      <c r="I1948" s="168">
        <v>1941</v>
      </c>
      <c r="J1948" s="159">
        <f>ROUND(B1948*('Model Data Inputs'!$E$184*'Model Data Inputs'!$E$185*'Model Data Inputs'!$E$186*'Model Data Inputs'!$E$187),2)</f>
        <v>594.63</v>
      </c>
      <c r="K1948" s="169">
        <f t="shared" si="101"/>
        <v>1154176.83</v>
      </c>
    </row>
    <row r="1949" spans="1:11" x14ac:dyDescent="0.2">
      <c r="A1949" s="168">
        <v>1942</v>
      </c>
      <c r="B1949" s="159">
        <v>594.63366392643309</v>
      </c>
      <c r="C1949" s="169">
        <f t="shared" si="100"/>
        <v>1154778.575345133</v>
      </c>
      <c r="I1949" s="168">
        <v>1942</v>
      </c>
      <c r="J1949" s="159">
        <f>ROUND(B1949*('Model Data Inputs'!$E$184*'Model Data Inputs'!$E$185*'Model Data Inputs'!$E$186*'Model Data Inputs'!$E$187),2)</f>
        <v>594.63</v>
      </c>
      <c r="K1949" s="169">
        <f t="shared" si="101"/>
        <v>1154771.46</v>
      </c>
    </row>
    <row r="1950" spans="1:11" x14ac:dyDescent="0.2">
      <c r="A1950" s="168">
        <v>1943</v>
      </c>
      <c r="B1950" s="159">
        <v>594.63366392643309</v>
      </c>
      <c r="C1950" s="169">
        <f t="shared" si="100"/>
        <v>1155373.2090090595</v>
      </c>
      <c r="I1950" s="168">
        <v>1943</v>
      </c>
      <c r="J1950" s="159">
        <f>ROUND(B1950*('Model Data Inputs'!$E$184*'Model Data Inputs'!$E$185*'Model Data Inputs'!$E$186*'Model Data Inputs'!$E$187),2)</f>
        <v>594.63</v>
      </c>
      <c r="K1950" s="169">
        <f t="shared" si="101"/>
        <v>1155366.0900000001</v>
      </c>
    </row>
    <row r="1951" spans="1:11" x14ac:dyDescent="0.2">
      <c r="A1951" s="168">
        <v>1944</v>
      </c>
      <c r="B1951" s="159">
        <v>594.63366392643309</v>
      </c>
      <c r="C1951" s="169">
        <f t="shared" si="100"/>
        <v>1155967.842672986</v>
      </c>
      <c r="I1951" s="168">
        <v>1944</v>
      </c>
      <c r="J1951" s="159">
        <f>ROUND(B1951*('Model Data Inputs'!$E$184*'Model Data Inputs'!$E$185*'Model Data Inputs'!$E$186*'Model Data Inputs'!$E$187),2)</f>
        <v>594.63</v>
      </c>
      <c r="K1951" s="169">
        <f t="shared" si="101"/>
        <v>1155960.72</v>
      </c>
    </row>
    <row r="1952" spans="1:11" x14ac:dyDescent="0.2">
      <c r="A1952" s="168">
        <v>1945</v>
      </c>
      <c r="B1952" s="159">
        <v>594.63366392643309</v>
      </c>
      <c r="C1952" s="169">
        <f t="shared" si="100"/>
        <v>1156562.4763369123</v>
      </c>
      <c r="I1952" s="168">
        <v>1945</v>
      </c>
      <c r="J1952" s="159">
        <f>ROUND(B1952*('Model Data Inputs'!$E$184*'Model Data Inputs'!$E$185*'Model Data Inputs'!$E$186*'Model Data Inputs'!$E$187),2)</f>
        <v>594.63</v>
      </c>
      <c r="K1952" s="169">
        <f t="shared" si="101"/>
        <v>1156555.3500000001</v>
      </c>
    </row>
    <row r="1953" spans="1:11" x14ac:dyDescent="0.2">
      <c r="A1953" s="168">
        <v>1946</v>
      </c>
      <c r="B1953" s="159">
        <v>594.63366392643309</v>
      </c>
      <c r="C1953" s="169">
        <f t="shared" si="100"/>
        <v>1157157.1100008388</v>
      </c>
      <c r="I1953" s="168">
        <v>1946</v>
      </c>
      <c r="J1953" s="159">
        <f>ROUND(B1953*('Model Data Inputs'!$E$184*'Model Data Inputs'!$E$185*'Model Data Inputs'!$E$186*'Model Data Inputs'!$E$187),2)</f>
        <v>594.63</v>
      </c>
      <c r="K1953" s="169">
        <f t="shared" si="101"/>
        <v>1157149.98</v>
      </c>
    </row>
    <row r="1954" spans="1:11" x14ac:dyDescent="0.2">
      <c r="A1954" s="168">
        <v>1947</v>
      </c>
      <c r="B1954" s="159">
        <v>594.63366392643309</v>
      </c>
      <c r="C1954" s="169">
        <f t="shared" si="100"/>
        <v>1157751.7436647653</v>
      </c>
      <c r="I1954" s="168">
        <v>1947</v>
      </c>
      <c r="J1954" s="159">
        <f>ROUND(B1954*('Model Data Inputs'!$E$184*'Model Data Inputs'!$E$185*'Model Data Inputs'!$E$186*'Model Data Inputs'!$E$187),2)</f>
        <v>594.63</v>
      </c>
      <c r="K1954" s="169">
        <f t="shared" si="101"/>
        <v>1157744.6100000001</v>
      </c>
    </row>
    <row r="1955" spans="1:11" x14ac:dyDescent="0.2">
      <c r="A1955" s="168">
        <v>1948</v>
      </c>
      <c r="B1955" s="159">
        <v>594.63366392643309</v>
      </c>
      <c r="C1955" s="169">
        <f t="shared" si="100"/>
        <v>1158346.3773286915</v>
      </c>
      <c r="I1955" s="168">
        <v>1948</v>
      </c>
      <c r="J1955" s="159">
        <f>ROUND(B1955*('Model Data Inputs'!$E$184*'Model Data Inputs'!$E$185*'Model Data Inputs'!$E$186*'Model Data Inputs'!$E$187),2)</f>
        <v>594.63</v>
      </c>
      <c r="K1955" s="169">
        <f t="shared" si="101"/>
        <v>1158339.24</v>
      </c>
    </row>
    <row r="1956" spans="1:11" x14ac:dyDescent="0.2">
      <c r="A1956" s="168">
        <v>1949</v>
      </c>
      <c r="B1956" s="159">
        <v>594.63366392643309</v>
      </c>
      <c r="C1956" s="169">
        <f t="shared" si="100"/>
        <v>1158941.010992618</v>
      </c>
      <c r="I1956" s="168">
        <v>1949</v>
      </c>
      <c r="J1956" s="159">
        <f>ROUND(B1956*('Model Data Inputs'!$E$184*'Model Data Inputs'!$E$185*'Model Data Inputs'!$E$186*'Model Data Inputs'!$E$187),2)</f>
        <v>594.63</v>
      </c>
      <c r="K1956" s="169">
        <f t="shared" si="101"/>
        <v>1158933.8699999999</v>
      </c>
    </row>
    <row r="1957" spans="1:11" x14ac:dyDescent="0.2">
      <c r="A1957" s="168">
        <v>1950</v>
      </c>
      <c r="B1957" s="159">
        <v>594.63366392643309</v>
      </c>
      <c r="C1957" s="169">
        <f t="shared" si="100"/>
        <v>1159535.6446565446</v>
      </c>
      <c r="I1957" s="168">
        <v>1950</v>
      </c>
      <c r="J1957" s="159">
        <f>ROUND(B1957*('Model Data Inputs'!$E$184*'Model Data Inputs'!$E$185*'Model Data Inputs'!$E$186*'Model Data Inputs'!$E$187),2)</f>
        <v>594.63</v>
      </c>
      <c r="K1957" s="169">
        <f t="shared" si="101"/>
        <v>1159528.5</v>
      </c>
    </row>
    <row r="1958" spans="1:11" x14ac:dyDescent="0.2">
      <c r="A1958" s="168">
        <v>1951</v>
      </c>
      <c r="B1958" s="159">
        <v>594.63366392643309</v>
      </c>
      <c r="C1958" s="169">
        <f t="shared" si="100"/>
        <v>1160130.2783204711</v>
      </c>
      <c r="I1958" s="168">
        <v>1951</v>
      </c>
      <c r="J1958" s="159">
        <f>ROUND(B1958*('Model Data Inputs'!$E$184*'Model Data Inputs'!$E$185*'Model Data Inputs'!$E$186*'Model Data Inputs'!$E$187),2)</f>
        <v>594.63</v>
      </c>
      <c r="K1958" s="169">
        <f t="shared" si="101"/>
        <v>1160123.1299999999</v>
      </c>
    </row>
    <row r="1959" spans="1:11" x14ac:dyDescent="0.2">
      <c r="A1959" s="168">
        <v>1952</v>
      </c>
      <c r="B1959" s="159">
        <v>594.63366392643309</v>
      </c>
      <c r="C1959" s="169">
        <f t="shared" si="100"/>
        <v>1160724.9119843973</v>
      </c>
      <c r="I1959" s="168">
        <v>1952</v>
      </c>
      <c r="J1959" s="159">
        <f>ROUND(B1959*('Model Data Inputs'!$E$184*'Model Data Inputs'!$E$185*'Model Data Inputs'!$E$186*'Model Data Inputs'!$E$187),2)</f>
        <v>594.63</v>
      </c>
      <c r="K1959" s="169">
        <f t="shared" si="101"/>
        <v>1160717.76</v>
      </c>
    </row>
    <row r="1960" spans="1:11" x14ac:dyDescent="0.2">
      <c r="A1960" s="168">
        <v>1953</v>
      </c>
      <c r="B1960" s="159">
        <v>594.63366392643309</v>
      </c>
      <c r="C1960" s="169">
        <f t="shared" si="100"/>
        <v>1161319.5456483238</v>
      </c>
      <c r="I1960" s="168">
        <v>1953</v>
      </c>
      <c r="J1960" s="159">
        <f>ROUND(B1960*('Model Data Inputs'!$E$184*'Model Data Inputs'!$E$185*'Model Data Inputs'!$E$186*'Model Data Inputs'!$E$187),2)</f>
        <v>594.63</v>
      </c>
      <c r="K1960" s="169">
        <f t="shared" si="101"/>
        <v>1161312.3899999999</v>
      </c>
    </row>
    <row r="1961" spans="1:11" x14ac:dyDescent="0.2">
      <c r="A1961" s="168">
        <v>1954</v>
      </c>
      <c r="B1961" s="159">
        <v>594.63366392643309</v>
      </c>
      <c r="C1961" s="169">
        <f t="shared" si="100"/>
        <v>1161914.1793122503</v>
      </c>
      <c r="I1961" s="168">
        <v>1954</v>
      </c>
      <c r="J1961" s="159">
        <f>ROUND(B1961*('Model Data Inputs'!$E$184*'Model Data Inputs'!$E$185*'Model Data Inputs'!$E$186*'Model Data Inputs'!$E$187),2)</f>
        <v>594.63</v>
      </c>
      <c r="K1961" s="169">
        <f t="shared" si="101"/>
        <v>1161907.02</v>
      </c>
    </row>
    <row r="1962" spans="1:11" x14ac:dyDescent="0.2">
      <c r="A1962" s="168">
        <v>1955</v>
      </c>
      <c r="B1962" s="159">
        <v>594.63366392643309</v>
      </c>
      <c r="C1962" s="169">
        <f t="shared" si="100"/>
        <v>1162508.8129761766</v>
      </c>
      <c r="I1962" s="168">
        <v>1955</v>
      </c>
      <c r="J1962" s="159">
        <f>ROUND(B1962*('Model Data Inputs'!$E$184*'Model Data Inputs'!$E$185*'Model Data Inputs'!$E$186*'Model Data Inputs'!$E$187),2)</f>
        <v>594.63</v>
      </c>
      <c r="K1962" s="169">
        <f t="shared" si="101"/>
        <v>1162501.6499999999</v>
      </c>
    </row>
    <row r="1963" spans="1:11" x14ac:dyDescent="0.2">
      <c r="A1963" s="168">
        <v>1956</v>
      </c>
      <c r="B1963" s="159">
        <v>594.63366392643309</v>
      </c>
      <c r="C1963" s="169">
        <f t="shared" si="100"/>
        <v>1163103.4466401031</v>
      </c>
      <c r="I1963" s="168">
        <v>1956</v>
      </c>
      <c r="J1963" s="159">
        <f>ROUND(B1963*('Model Data Inputs'!$E$184*'Model Data Inputs'!$E$185*'Model Data Inputs'!$E$186*'Model Data Inputs'!$E$187),2)</f>
        <v>594.63</v>
      </c>
      <c r="K1963" s="169">
        <f t="shared" si="101"/>
        <v>1163096.28</v>
      </c>
    </row>
    <row r="1964" spans="1:11" x14ac:dyDescent="0.2">
      <c r="A1964" s="168">
        <v>1957</v>
      </c>
      <c r="B1964" s="159">
        <v>594.63366392643309</v>
      </c>
      <c r="C1964" s="169">
        <f t="shared" si="100"/>
        <v>1163698.0803040296</v>
      </c>
      <c r="I1964" s="168">
        <v>1957</v>
      </c>
      <c r="J1964" s="159">
        <f>ROUND(B1964*('Model Data Inputs'!$E$184*'Model Data Inputs'!$E$185*'Model Data Inputs'!$E$186*'Model Data Inputs'!$E$187),2)</f>
        <v>594.63</v>
      </c>
      <c r="K1964" s="169">
        <f t="shared" si="101"/>
        <v>1163690.9099999999</v>
      </c>
    </row>
    <row r="1965" spans="1:11" x14ac:dyDescent="0.2">
      <c r="A1965" s="168">
        <v>1958</v>
      </c>
      <c r="B1965" s="159">
        <v>594.63366392643309</v>
      </c>
      <c r="C1965" s="169">
        <f t="shared" si="100"/>
        <v>1164292.7139679559</v>
      </c>
      <c r="I1965" s="168">
        <v>1958</v>
      </c>
      <c r="J1965" s="159">
        <f>ROUND(B1965*('Model Data Inputs'!$E$184*'Model Data Inputs'!$E$185*'Model Data Inputs'!$E$186*'Model Data Inputs'!$E$187),2)</f>
        <v>594.63</v>
      </c>
      <c r="K1965" s="169">
        <f t="shared" si="101"/>
        <v>1164285.54</v>
      </c>
    </row>
    <row r="1966" spans="1:11" x14ac:dyDescent="0.2">
      <c r="A1966" s="168">
        <v>1959</v>
      </c>
      <c r="B1966" s="159">
        <v>594.63366392643309</v>
      </c>
      <c r="C1966" s="169">
        <f t="shared" si="100"/>
        <v>1164887.3476318824</v>
      </c>
      <c r="I1966" s="168">
        <v>1959</v>
      </c>
      <c r="J1966" s="159">
        <f>ROUND(B1966*('Model Data Inputs'!$E$184*'Model Data Inputs'!$E$185*'Model Data Inputs'!$E$186*'Model Data Inputs'!$E$187),2)</f>
        <v>594.63</v>
      </c>
      <c r="K1966" s="169">
        <f t="shared" si="101"/>
        <v>1164880.17</v>
      </c>
    </row>
    <row r="1967" spans="1:11" x14ac:dyDescent="0.2">
      <c r="A1967" s="168">
        <v>1960</v>
      </c>
      <c r="B1967" s="159">
        <v>594.63366392643309</v>
      </c>
      <c r="C1967" s="169">
        <f t="shared" si="100"/>
        <v>1165481.9812958089</v>
      </c>
      <c r="I1967" s="168">
        <v>1960</v>
      </c>
      <c r="J1967" s="159">
        <f>ROUND(B1967*('Model Data Inputs'!$E$184*'Model Data Inputs'!$E$185*'Model Data Inputs'!$E$186*'Model Data Inputs'!$E$187),2)</f>
        <v>594.63</v>
      </c>
      <c r="K1967" s="169">
        <f t="shared" si="101"/>
        <v>1165474.8</v>
      </c>
    </row>
    <row r="1968" spans="1:11" x14ac:dyDescent="0.2">
      <c r="A1968" s="168">
        <v>1961</v>
      </c>
      <c r="B1968" s="159">
        <v>594.63366392643309</v>
      </c>
      <c r="C1968" s="169">
        <f t="shared" si="100"/>
        <v>1166076.6149597352</v>
      </c>
      <c r="I1968" s="168">
        <v>1961</v>
      </c>
      <c r="J1968" s="159">
        <f>ROUND(B1968*('Model Data Inputs'!$E$184*'Model Data Inputs'!$E$185*'Model Data Inputs'!$E$186*'Model Data Inputs'!$E$187),2)</f>
        <v>594.63</v>
      </c>
      <c r="K1968" s="169">
        <f t="shared" si="101"/>
        <v>1166069.43</v>
      </c>
    </row>
    <row r="1969" spans="1:11" x14ac:dyDescent="0.2">
      <c r="A1969" s="168">
        <v>1962</v>
      </c>
      <c r="B1969" s="159">
        <v>594.63366392643309</v>
      </c>
      <c r="C1969" s="169">
        <f t="shared" si="100"/>
        <v>1166671.2486236617</v>
      </c>
      <c r="I1969" s="168">
        <v>1962</v>
      </c>
      <c r="J1969" s="159">
        <f>ROUND(B1969*('Model Data Inputs'!$E$184*'Model Data Inputs'!$E$185*'Model Data Inputs'!$E$186*'Model Data Inputs'!$E$187),2)</f>
        <v>594.63</v>
      </c>
      <c r="K1969" s="169">
        <f t="shared" si="101"/>
        <v>1166664.06</v>
      </c>
    </row>
    <row r="1970" spans="1:11" x14ac:dyDescent="0.2">
      <c r="A1970" s="168">
        <v>1963</v>
      </c>
      <c r="B1970" s="159">
        <v>594.63366392643309</v>
      </c>
      <c r="C1970" s="169">
        <f t="shared" si="100"/>
        <v>1167265.8822875882</v>
      </c>
      <c r="I1970" s="168">
        <v>1963</v>
      </c>
      <c r="J1970" s="159">
        <f>ROUND(B1970*('Model Data Inputs'!$E$184*'Model Data Inputs'!$E$185*'Model Data Inputs'!$E$186*'Model Data Inputs'!$E$187),2)</f>
        <v>594.63</v>
      </c>
      <c r="K1970" s="169">
        <f t="shared" si="101"/>
        <v>1167258.69</v>
      </c>
    </row>
    <row r="1971" spans="1:11" x14ac:dyDescent="0.2">
      <c r="A1971" s="168">
        <v>1964</v>
      </c>
      <c r="B1971" s="159">
        <v>594.63366392643309</v>
      </c>
      <c r="C1971" s="169">
        <f t="shared" si="100"/>
        <v>1167860.5159515145</v>
      </c>
      <c r="I1971" s="168">
        <v>1964</v>
      </c>
      <c r="J1971" s="159">
        <f>ROUND(B1971*('Model Data Inputs'!$E$184*'Model Data Inputs'!$E$185*'Model Data Inputs'!$E$186*'Model Data Inputs'!$E$187),2)</f>
        <v>594.63</v>
      </c>
      <c r="K1971" s="169">
        <f t="shared" si="101"/>
        <v>1167853.32</v>
      </c>
    </row>
    <row r="1972" spans="1:11" x14ac:dyDescent="0.2">
      <c r="A1972" s="168">
        <v>1965</v>
      </c>
      <c r="B1972" s="159">
        <v>594.63366392643309</v>
      </c>
      <c r="C1972" s="169">
        <f t="shared" si="100"/>
        <v>1168455.149615441</v>
      </c>
      <c r="I1972" s="168">
        <v>1965</v>
      </c>
      <c r="J1972" s="159">
        <f>ROUND(B1972*('Model Data Inputs'!$E$184*'Model Data Inputs'!$E$185*'Model Data Inputs'!$E$186*'Model Data Inputs'!$E$187),2)</f>
        <v>594.63</v>
      </c>
      <c r="K1972" s="169">
        <f t="shared" si="101"/>
        <v>1168447.95</v>
      </c>
    </row>
    <row r="1973" spans="1:11" x14ac:dyDescent="0.2">
      <c r="A1973" s="168">
        <v>1966</v>
      </c>
      <c r="B1973" s="159">
        <v>594.63366392643309</v>
      </c>
      <c r="C1973" s="169">
        <f t="shared" si="100"/>
        <v>1169049.7832793675</v>
      </c>
      <c r="I1973" s="168">
        <v>1966</v>
      </c>
      <c r="J1973" s="159">
        <f>ROUND(B1973*('Model Data Inputs'!$E$184*'Model Data Inputs'!$E$185*'Model Data Inputs'!$E$186*'Model Data Inputs'!$E$187),2)</f>
        <v>594.63</v>
      </c>
      <c r="K1973" s="169">
        <f t="shared" si="101"/>
        <v>1169042.58</v>
      </c>
    </row>
    <row r="1974" spans="1:11" x14ac:dyDescent="0.2">
      <c r="A1974" s="168">
        <v>1967</v>
      </c>
      <c r="B1974" s="159">
        <v>594.63366392643309</v>
      </c>
      <c r="C1974" s="169">
        <f t="shared" si="100"/>
        <v>1169644.416943294</v>
      </c>
      <c r="I1974" s="168">
        <v>1967</v>
      </c>
      <c r="J1974" s="159">
        <f>ROUND(B1974*('Model Data Inputs'!$E$184*'Model Data Inputs'!$E$185*'Model Data Inputs'!$E$186*'Model Data Inputs'!$E$187),2)</f>
        <v>594.63</v>
      </c>
      <c r="K1974" s="169">
        <f t="shared" si="101"/>
        <v>1169637.21</v>
      </c>
    </row>
    <row r="1975" spans="1:11" x14ac:dyDescent="0.2">
      <c r="A1975" s="168">
        <v>1968</v>
      </c>
      <c r="B1975" s="159">
        <v>594.63366392643309</v>
      </c>
      <c r="C1975" s="169">
        <f t="shared" si="100"/>
        <v>1170239.0506072203</v>
      </c>
      <c r="I1975" s="168">
        <v>1968</v>
      </c>
      <c r="J1975" s="159">
        <f>ROUND(B1975*('Model Data Inputs'!$E$184*'Model Data Inputs'!$E$185*'Model Data Inputs'!$E$186*'Model Data Inputs'!$E$187),2)</f>
        <v>594.63</v>
      </c>
      <c r="K1975" s="169">
        <f t="shared" si="101"/>
        <v>1170231.8400000001</v>
      </c>
    </row>
    <row r="1976" spans="1:11" x14ac:dyDescent="0.2">
      <c r="A1976" s="168">
        <v>1969</v>
      </c>
      <c r="B1976" s="159">
        <v>594.63366392643309</v>
      </c>
      <c r="C1976" s="169">
        <f t="shared" si="100"/>
        <v>1170833.6842711468</v>
      </c>
      <c r="I1976" s="168">
        <v>1969</v>
      </c>
      <c r="J1976" s="159">
        <f>ROUND(B1976*('Model Data Inputs'!$E$184*'Model Data Inputs'!$E$185*'Model Data Inputs'!$E$186*'Model Data Inputs'!$E$187),2)</f>
        <v>594.63</v>
      </c>
      <c r="K1976" s="169">
        <f t="shared" si="101"/>
        <v>1170826.47</v>
      </c>
    </row>
    <row r="1977" spans="1:11" x14ac:dyDescent="0.2">
      <c r="A1977" s="168">
        <v>1970</v>
      </c>
      <c r="B1977" s="159">
        <v>594.63366392643309</v>
      </c>
      <c r="C1977" s="169">
        <f t="shared" si="100"/>
        <v>1171428.3179350733</v>
      </c>
      <c r="I1977" s="168">
        <v>1970</v>
      </c>
      <c r="J1977" s="159">
        <f>ROUND(B1977*('Model Data Inputs'!$E$184*'Model Data Inputs'!$E$185*'Model Data Inputs'!$E$186*'Model Data Inputs'!$E$187),2)</f>
        <v>594.63</v>
      </c>
      <c r="K1977" s="169">
        <f t="shared" si="101"/>
        <v>1171421.1000000001</v>
      </c>
    </row>
    <row r="1978" spans="1:11" x14ac:dyDescent="0.2">
      <c r="A1978" s="168">
        <v>1971</v>
      </c>
      <c r="B1978" s="159">
        <v>594.63366392643309</v>
      </c>
      <c r="C1978" s="169">
        <f t="shared" si="100"/>
        <v>1172022.9515989996</v>
      </c>
      <c r="I1978" s="168">
        <v>1971</v>
      </c>
      <c r="J1978" s="159">
        <f>ROUND(B1978*('Model Data Inputs'!$E$184*'Model Data Inputs'!$E$185*'Model Data Inputs'!$E$186*'Model Data Inputs'!$E$187),2)</f>
        <v>594.63</v>
      </c>
      <c r="K1978" s="169">
        <f t="shared" si="101"/>
        <v>1172015.73</v>
      </c>
    </row>
    <row r="1979" spans="1:11" x14ac:dyDescent="0.2">
      <c r="A1979" s="168">
        <v>1972</v>
      </c>
      <c r="B1979" s="159">
        <v>594.63366392643309</v>
      </c>
      <c r="C1979" s="169">
        <f t="shared" si="100"/>
        <v>1172617.5852629261</v>
      </c>
      <c r="I1979" s="168">
        <v>1972</v>
      </c>
      <c r="J1979" s="159">
        <f>ROUND(B1979*('Model Data Inputs'!$E$184*'Model Data Inputs'!$E$185*'Model Data Inputs'!$E$186*'Model Data Inputs'!$E$187),2)</f>
        <v>594.63</v>
      </c>
      <c r="K1979" s="169">
        <f t="shared" si="101"/>
        <v>1172610.3600000001</v>
      </c>
    </row>
    <row r="1980" spans="1:11" x14ac:dyDescent="0.2">
      <c r="A1980" s="168">
        <v>1973</v>
      </c>
      <c r="B1980" s="159">
        <v>594.63366392643309</v>
      </c>
      <c r="C1980" s="169">
        <f t="shared" si="100"/>
        <v>1173212.2189268526</v>
      </c>
      <c r="I1980" s="168">
        <v>1973</v>
      </c>
      <c r="J1980" s="159">
        <f>ROUND(B1980*('Model Data Inputs'!$E$184*'Model Data Inputs'!$E$185*'Model Data Inputs'!$E$186*'Model Data Inputs'!$E$187),2)</f>
        <v>594.63</v>
      </c>
      <c r="K1980" s="169">
        <f t="shared" si="101"/>
        <v>1173204.99</v>
      </c>
    </row>
    <row r="1981" spans="1:11" x14ac:dyDescent="0.2">
      <c r="A1981" s="168">
        <v>1974</v>
      </c>
      <c r="B1981" s="159">
        <v>594.63366392643309</v>
      </c>
      <c r="C1981" s="169">
        <f t="shared" si="100"/>
        <v>1173806.8525907788</v>
      </c>
      <c r="I1981" s="168">
        <v>1974</v>
      </c>
      <c r="J1981" s="159">
        <f>ROUND(B1981*('Model Data Inputs'!$E$184*'Model Data Inputs'!$E$185*'Model Data Inputs'!$E$186*'Model Data Inputs'!$E$187),2)</f>
        <v>594.63</v>
      </c>
      <c r="K1981" s="169">
        <f t="shared" si="101"/>
        <v>1173799.6199999999</v>
      </c>
    </row>
    <row r="1982" spans="1:11" x14ac:dyDescent="0.2">
      <c r="A1982" s="168">
        <v>1975</v>
      </c>
      <c r="B1982" s="159">
        <v>594.63366392643309</v>
      </c>
      <c r="C1982" s="169">
        <f t="shared" si="100"/>
        <v>1174401.4862547053</v>
      </c>
      <c r="I1982" s="168">
        <v>1975</v>
      </c>
      <c r="J1982" s="159">
        <f>ROUND(B1982*('Model Data Inputs'!$E$184*'Model Data Inputs'!$E$185*'Model Data Inputs'!$E$186*'Model Data Inputs'!$E$187),2)</f>
        <v>594.63</v>
      </c>
      <c r="K1982" s="169">
        <f t="shared" si="101"/>
        <v>1174394.25</v>
      </c>
    </row>
    <row r="1983" spans="1:11" x14ac:dyDescent="0.2">
      <c r="A1983" s="168">
        <v>1976</v>
      </c>
      <c r="B1983" s="159">
        <v>594.63366392643309</v>
      </c>
      <c r="C1983" s="169">
        <f t="shared" si="100"/>
        <v>1174996.1199186319</v>
      </c>
      <c r="I1983" s="168">
        <v>1976</v>
      </c>
      <c r="J1983" s="159">
        <f>ROUND(B1983*('Model Data Inputs'!$E$184*'Model Data Inputs'!$E$185*'Model Data Inputs'!$E$186*'Model Data Inputs'!$E$187),2)</f>
        <v>594.63</v>
      </c>
      <c r="K1983" s="169">
        <f t="shared" si="101"/>
        <v>1174988.8799999999</v>
      </c>
    </row>
    <row r="1984" spans="1:11" x14ac:dyDescent="0.2">
      <c r="A1984" s="168">
        <v>1977</v>
      </c>
      <c r="B1984" s="159">
        <v>594.63366392643309</v>
      </c>
      <c r="C1984" s="169">
        <f t="shared" si="100"/>
        <v>1175590.7535825581</v>
      </c>
      <c r="I1984" s="168">
        <v>1977</v>
      </c>
      <c r="J1984" s="159">
        <f>ROUND(B1984*('Model Data Inputs'!$E$184*'Model Data Inputs'!$E$185*'Model Data Inputs'!$E$186*'Model Data Inputs'!$E$187),2)</f>
        <v>594.63</v>
      </c>
      <c r="K1984" s="169">
        <f t="shared" si="101"/>
        <v>1175583.51</v>
      </c>
    </row>
    <row r="1985" spans="1:11" x14ac:dyDescent="0.2">
      <c r="A1985" s="168">
        <v>1978</v>
      </c>
      <c r="B1985" s="159">
        <v>594.63366392643309</v>
      </c>
      <c r="C1985" s="169">
        <f t="shared" si="100"/>
        <v>1176185.3872464846</v>
      </c>
      <c r="I1985" s="168">
        <v>1978</v>
      </c>
      <c r="J1985" s="159">
        <f>ROUND(B1985*('Model Data Inputs'!$E$184*'Model Data Inputs'!$E$185*'Model Data Inputs'!$E$186*'Model Data Inputs'!$E$187),2)</f>
        <v>594.63</v>
      </c>
      <c r="K1985" s="169">
        <f t="shared" si="101"/>
        <v>1176178.1399999999</v>
      </c>
    </row>
    <row r="1986" spans="1:11" x14ac:dyDescent="0.2">
      <c r="A1986" s="168">
        <v>1979</v>
      </c>
      <c r="B1986" s="159">
        <v>594.63366392643309</v>
      </c>
      <c r="C1986" s="169">
        <f t="shared" si="100"/>
        <v>1176780.0209104111</v>
      </c>
      <c r="I1986" s="168">
        <v>1979</v>
      </c>
      <c r="J1986" s="159">
        <f>ROUND(B1986*('Model Data Inputs'!$E$184*'Model Data Inputs'!$E$185*'Model Data Inputs'!$E$186*'Model Data Inputs'!$E$187),2)</f>
        <v>594.63</v>
      </c>
      <c r="K1986" s="169">
        <f t="shared" si="101"/>
        <v>1176772.77</v>
      </c>
    </row>
    <row r="1987" spans="1:11" x14ac:dyDescent="0.2">
      <c r="A1987" s="168">
        <v>1980</v>
      </c>
      <c r="B1987" s="159">
        <v>594.63366392643309</v>
      </c>
      <c r="C1987" s="169">
        <f t="shared" si="100"/>
        <v>1177374.6545743374</v>
      </c>
      <c r="I1987" s="168">
        <v>1980</v>
      </c>
      <c r="J1987" s="159">
        <f>ROUND(B1987*('Model Data Inputs'!$E$184*'Model Data Inputs'!$E$185*'Model Data Inputs'!$E$186*'Model Data Inputs'!$E$187),2)</f>
        <v>594.63</v>
      </c>
      <c r="K1987" s="169">
        <f t="shared" si="101"/>
        <v>1177367.3999999999</v>
      </c>
    </row>
    <row r="1988" spans="1:11" x14ac:dyDescent="0.2">
      <c r="A1988" s="168">
        <v>1981</v>
      </c>
      <c r="B1988" s="159">
        <v>594.63366392643309</v>
      </c>
      <c r="C1988" s="169">
        <f t="shared" si="100"/>
        <v>1177969.2882382639</v>
      </c>
      <c r="I1988" s="168">
        <v>1981</v>
      </c>
      <c r="J1988" s="159">
        <f>ROUND(B1988*('Model Data Inputs'!$E$184*'Model Data Inputs'!$E$185*'Model Data Inputs'!$E$186*'Model Data Inputs'!$E$187),2)</f>
        <v>594.63</v>
      </c>
      <c r="K1988" s="169">
        <f t="shared" si="101"/>
        <v>1177962.03</v>
      </c>
    </row>
    <row r="1989" spans="1:11" x14ac:dyDescent="0.2">
      <c r="A1989" s="168">
        <v>1982</v>
      </c>
      <c r="B1989" s="159">
        <v>594.63366392643309</v>
      </c>
      <c r="C1989" s="169">
        <f t="shared" si="100"/>
        <v>1178563.9219021904</v>
      </c>
      <c r="I1989" s="168">
        <v>1982</v>
      </c>
      <c r="J1989" s="159">
        <f>ROUND(B1989*('Model Data Inputs'!$E$184*'Model Data Inputs'!$E$185*'Model Data Inputs'!$E$186*'Model Data Inputs'!$E$187),2)</f>
        <v>594.63</v>
      </c>
      <c r="K1989" s="169">
        <f t="shared" si="101"/>
        <v>1178556.6599999999</v>
      </c>
    </row>
    <row r="1990" spans="1:11" x14ac:dyDescent="0.2">
      <c r="A1990" s="168">
        <v>1983</v>
      </c>
      <c r="B1990" s="159">
        <v>594.63366392643309</v>
      </c>
      <c r="C1990" s="169">
        <f t="shared" si="100"/>
        <v>1179158.5555661167</v>
      </c>
      <c r="I1990" s="168">
        <v>1983</v>
      </c>
      <c r="J1990" s="159">
        <f>ROUND(B1990*('Model Data Inputs'!$E$184*'Model Data Inputs'!$E$185*'Model Data Inputs'!$E$186*'Model Data Inputs'!$E$187),2)</f>
        <v>594.63</v>
      </c>
      <c r="K1990" s="169">
        <f t="shared" si="101"/>
        <v>1179151.29</v>
      </c>
    </row>
    <row r="1991" spans="1:11" x14ac:dyDescent="0.2">
      <c r="A1991" s="168">
        <v>1984</v>
      </c>
      <c r="B1991" s="159">
        <v>594.63366392643309</v>
      </c>
      <c r="C1991" s="169">
        <f t="shared" si="100"/>
        <v>1179753.1892300432</v>
      </c>
      <c r="I1991" s="168">
        <v>1984</v>
      </c>
      <c r="J1991" s="159">
        <f>ROUND(B1991*('Model Data Inputs'!$E$184*'Model Data Inputs'!$E$185*'Model Data Inputs'!$E$186*'Model Data Inputs'!$E$187),2)</f>
        <v>594.63</v>
      </c>
      <c r="K1991" s="169">
        <f t="shared" si="101"/>
        <v>1179745.92</v>
      </c>
    </row>
    <row r="1992" spans="1:11" x14ac:dyDescent="0.2">
      <c r="A1992" s="168">
        <v>1985</v>
      </c>
      <c r="B1992" s="159">
        <v>594.63366392643309</v>
      </c>
      <c r="C1992" s="169">
        <f t="shared" ref="C1992:C2055" si="102">A1992*B1992</f>
        <v>1180347.8228939697</v>
      </c>
      <c r="I1992" s="168">
        <v>1985</v>
      </c>
      <c r="J1992" s="159">
        <f>ROUND(B1992*('Model Data Inputs'!$E$184*'Model Data Inputs'!$E$185*'Model Data Inputs'!$E$186*'Model Data Inputs'!$E$187),2)</f>
        <v>594.63</v>
      </c>
      <c r="K1992" s="169">
        <f t="shared" ref="K1992:K2055" si="103">I1992*J1992</f>
        <v>1180340.55</v>
      </c>
    </row>
    <row r="1993" spans="1:11" x14ac:dyDescent="0.2">
      <c r="A1993" s="168">
        <v>1986</v>
      </c>
      <c r="B1993" s="159">
        <v>594.63366392643309</v>
      </c>
      <c r="C1993" s="169">
        <f t="shared" si="102"/>
        <v>1180942.4565578962</v>
      </c>
      <c r="I1993" s="168">
        <v>1986</v>
      </c>
      <c r="J1993" s="159">
        <f>ROUND(B1993*('Model Data Inputs'!$E$184*'Model Data Inputs'!$E$185*'Model Data Inputs'!$E$186*'Model Data Inputs'!$E$187),2)</f>
        <v>594.63</v>
      </c>
      <c r="K1993" s="169">
        <f t="shared" si="103"/>
        <v>1180935.18</v>
      </c>
    </row>
    <row r="1994" spans="1:11" x14ac:dyDescent="0.2">
      <c r="A1994" s="168">
        <v>1987</v>
      </c>
      <c r="B1994" s="159">
        <v>594.63366392643309</v>
      </c>
      <c r="C1994" s="169">
        <f t="shared" si="102"/>
        <v>1181537.0902218225</v>
      </c>
      <c r="I1994" s="168">
        <v>1987</v>
      </c>
      <c r="J1994" s="159">
        <f>ROUND(B1994*('Model Data Inputs'!$E$184*'Model Data Inputs'!$E$185*'Model Data Inputs'!$E$186*'Model Data Inputs'!$E$187),2)</f>
        <v>594.63</v>
      </c>
      <c r="K1994" s="169">
        <f t="shared" si="103"/>
        <v>1181529.81</v>
      </c>
    </row>
    <row r="1995" spans="1:11" x14ac:dyDescent="0.2">
      <c r="A1995" s="168">
        <v>1988</v>
      </c>
      <c r="B1995" s="159">
        <v>594.63366392643309</v>
      </c>
      <c r="C1995" s="169">
        <f t="shared" si="102"/>
        <v>1182131.723885749</v>
      </c>
      <c r="I1995" s="168">
        <v>1988</v>
      </c>
      <c r="J1995" s="159">
        <f>ROUND(B1995*('Model Data Inputs'!$E$184*'Model Data Inputs'!$E$185*'Model Data Inputs'!$E$186*'Model Data Inputs'!$E$187),2)</f>
        <v>594.63</v>
      </c>
      <c r="K1995" s="169">
        <f t="shared" si="103"/>
        <v>1182124.44</v>
      </c>
    </row>
    <row r="1996" spans="1:11" x14ac:dyDescent="0.2">
      <c r="A1996" s="168">
        <v>1989</v>
      </c>
      <c r="B1996" s="159">
        <v>594.63366392643309</v>
      </c>
      <c r="C1996" s="169">
        <f t="shared" si="102"/>
        <v>1182726.3575496755</v>
      </c>
      <c r="I1996" s="168">
        <v>1989</v>
      </c>
      <c r="J1996" s="159">
        <f>ROUND(B1996*('Model Data Inputs'!$E$184*'Model Data Inputs'!$E$185*'Model Data Inputs'!$E$186*'Model Data Inputs'!$E$187),2)</f>
        <v>594.63</v>
      </c>
      <c r="K1996" s="169">
        <f t="shared" si="103"/>
        <v>1182719.07</v>
      </c>
    </row>
    <row r="1997" spans="1:11" x14ac:dyDescent="0.2">
      <c r="A1997" s="168">
        <v>1990</v>
      </c>
      <c r="B1997" s="159">
        <v>594.63366392643309</v>
      </c>
      <c r="C1997" s="169">
        <f t="shared" si="102"/>
        <v>1183320.9912136018</v>
      </c>
      <c r="I1997" s="168">
        <v>1990</v>
      </c>
      <c r="J1997" s="159">
        <f>ROUND(B1997*('Model Data Inputs'!$E$184*'Model Data Inputs'!$E$185*'Model Data Inputs'!$E$186*'Model Data Inputs'!$E$187),2)</f>
        <v>594.63</v>
      </c>
      <c r="K1997" s="169">
        <f t="shared" si="103"/>
        <v>1183313.7</v>
      </c>
    </row>
    <row r="1998" spans="1:11" x14ac:dyDescent="0.2">
      <c r="A1998" s="168">
        <v>1991</v>
      </c>
      <c r="B1998" s="159">
        <v>594.63366392643309</v>
      </c>
      <c r="C1998" s="169">
        <f t="shared" si="102"/>
        <v>1183915.6248775283</v>
      </c>
      <c r="I1998" s="168">
        <v>1991</v>
      </c>
      <c r="J1998" s="159">
        <f>ROUND(B1998*('Model Data Inputs'!$E$184*'Model Data Inputs'!$E$185*'Model Data Inputs'!$E$186*'Model Data Inputs'!$E$187),2)</f>
        <v>594.63</v>
      </c>
      <c r="K1998" s="169">
        <f t="shared" si="103"/>
        <v>1183908.33</v>
      </c>
    </row>
    <row r="1999" spans="1:11" x14ac:dyDescent="0.2">
      <c r="A1999" s="168">
        <v>1992</v>
      </c>
      <c r="B1999" s="159">
        <v>594.63366392643309</v>
      </c>
      <c r="C1999" s="169">
        <f t="shared" si="102"/>
        <v>1184510.2585414548</v>
      </c>
      <c r="I1999" s="168">
        <v>1992</v>
      </c>
      <c r="J1999" s="159">
        <f>ROUND(B1999*('Model Data Inputs'!$E$184*'Model Data Inputs'!$E$185*'Model Data Inputs'!$E$186*'Model Data Inputs'!$E$187),2)</f>
        <v>594.63</v>
      </c>
      <c r="K1999" s="169">
        <f t="shared" si="103"/>
        <v>1184502.96</v>
      </c>
    </row>
    <row r="2000" spans="1:11" x14ac:dyDescent="0.2">
      <c r="A2000" s="168">
        <v>1993</v>
      </c>
      <c r="B2000" s="159">
        <v>594.63366392643309</v>
      </c>
      <c r="C2000" s="169">
        <f t="shared" si="102"/>
        <v>1185104.8922053811</v>
      </c>
      <c r="I2000" s="168">
        <v>1993</v>
      </c>
      <c r="J2000" s="159">
        <f>ROUND(B2000*('Model Data Inputs'!$E$184*'Model Data Inputs'!$E$185*'Model Data Inputs'!$E$186*'Model Data Inputs'!$E$187),2)</f>
        <v>594.63</v>
      </c>
      <c r="K2000" s="169">
        <f t="shared" si="103"/>
        <v>1185097.5900000001</v>
      </c>
    </row>
    <row r="2001" spans="1:11" x14ac:dyDescent="0.2">
      <c r="A2001" s="168">
        <v>1994</v>
      </c>
      <c r="B2001" s="159">
        <v>594.63366392643309</v>
      </c>
      <c r="C2001" s="169">
        <f t="shared" si="102"/>
        <v>1185699.5258693076</v>
      </c>
      <c r="I2001" s="168">
        <v>1994</v>
      </c>
      <c r="J2001" s="159">
        <f>ROUND(B2001*('Model Data Inputs'!$E$184*'Model Data Inputs'!$E$185*'Model Data Inputs'!$E$186*'Model Data Inputs'!$E$187),2)</f>
        <v>594.63</v>
      </c>
      <c r="K2001" s="169">
        <f t="shared" si="103"/>
        <v>1185692.22</v>
      </c>
    </row>
    <row r="2002" spans="1:11" x14ac:dyDescent="0.2">
      <c r="A2002" s="168">
        <v>1995</v>
      </c>
      <c r="B2002" s="159">
        <v>594.63366392643309</v>
      </c>
      <c r="C2002" s="169">
        <f t="shared" si="102"/>
        <v>1186294.1595332341</v>
      </c>
      <c r="I2002" s="168">
        <v>1995</v>
      </c>
      <c r="J2002" s="159">
        <f>ROUND(B2002*('Model Data Inputs'!$E$184*'Model Data Inputs'!$E$185*'Model Data Inputs'!$E$186*'Model Data Inputs'!$E$187),2)</f>
        <v>594.63</v>
      </c>
      <c r="K2002" s="169">
        <f t="shared" si="103"/>
        <v>1186286.8500000001</v>
      </c>
    </row>
    <row r="2003" spans="1:11" x14ac:dyDescent="0.2">
      <c r="A2003" s="168">
        <v>1996</v>
      </c>
      <c r="B2003" s="159">
        <v>594.63366392643309</v>
      </c>
      <c r="C2003" s="169">
        <f t="shared" si="102"/>
        <v>1186888.7931971604</v>
      </c>
      <c r="I2003" s="168">
        <v>1996</v>
      </c>
      <c r="J2003" s="159">
        <f>ROUND(B2003*('Model Data Inputs'!$E$184*'Model Data Inputs'!$E$185*'Model Data Inputs'!$E$186*'Model Data Inputs'!$E$187),2)</f>
        <v>594.63</v>
      </c>
      <c r="K2003" s="169">
        <f t="shared" si="103"/>
        <v>1186881.48</v>
      </c>
    </row>
    <row r="2004" spans="1:11" x14ac:dyDescent="0.2">
      <c r="A2004" s="168">
        <v>1997</v>
      </c>
      <c r="B2004" s="159">
        <v>594.63366392643309</v>
      </c>
      <c r="C2004" s="169">
        <f t="shared" si="102"/>
        <v>1187483.4268610869</v>
      </c>
      <c r="I2004" s="168">
        <v>1997</v>
      </c>
      <c r="J2004" s="159">
        <f>ROUND(B2004*('Model Data Inputs'!$E$184*'Model Data Inputs'!$E$185*'Model Data Inputs'!$E$186*'Model Data Inputs'!$E$187),2)</f>
        <v>594.63</v>
      </c>
      <c r="K2004" s="169">
        <f t="shared" si="103"/>
        <v>1187476.1100000001</v>
      </c>
    </row>
    <row r="2005" spans="1:11" x14ac:dyDescent="0.2">
      <c r="A2005" s="168">
        <v>1998</v>
      </c>
      <c r="B2005" s="159">
        <v>594.63366392643309</v>
      </c>
      <c r="C2005" s="169">
        <f t="shared" si="102"/>
        <v>1188078.0605250134</v>
      </c>
      <c r="I2005" s="168">
        <v>1998</v>
      </c>
      <c r="J2005" s="159">
        <f>ROUND(B2005*('Model Data Inputs'!$E$184*'Model Data Inputs'!$E$185*'Model Data Inputs'!$E$186*'Model Data Inputs'!$E$187),2)</f>
        <v>594.63</v>
      </c>
      <c r="K2005" s="169">
        <f t="shared" si="103"/>
        <v>1188070.74</v>
      </c>
    </row>
    <row r="2006" spans="1:11" x14ac:dyDescent="0.2">
      <c r="A2006" s="168">
        <v>1999</v>
      </c>
      <c r="B2006" s="159">
        <v>594.63366392643309</v>
      </c>
      <c r="C2006" s="169">
        <f t="shared" si="102"/>
        <v>1188672.6941889396</v>
      </c>
      <c r="I2006" s="168">
        <v>1999</v>
      </c>
      <c r="J2006" s="159">
        <f>ROUND(B2006*('Model Data Inputs'!$E$184*'Model Data Inputs'!$E$185*'Model Data Inputs'!$E$186*'Model Data Inputs'!$E$187),2)</f>
        <v>594.63</v>
      </c>
      <c r="K2006" s="169">
        <f t="shared" si="103"/>
        <v>1188665.3699999999</v>
      </c>
    </row>
    <row r="2007" spans="1:11" x14ac:dyDescent="0.2">
      <c r="A2007" s="168">
        <v>2000</v>
      </c>
      <c r="B2007" s="159">
        <v>594.63366392643309</v>
      </c>
      <c r="C2007" s="169">
        <f t="shared" si="102"/>
        <v>1189267.3278528661</v>
      </c>
      <c r="I2007" s="168">
        <v>2000</v>
      </c>
      <c r="J2007" s="159">
        <f>ROUND(B2007*('Model Data Inputs'!$E$184*'Model Data Inputs'!$E$185*'Model Data Inputs'!$E$186*'Model Data Inputs'!$E$187),2)</f>
        <v>594.63</v>
      </c>
      <c r="K2007" s="169">
        <f t="shared" si="103"/>
        <v>1189260</v>
      </c>
    </row>
    <row r="2008" spans="1:11" x14ac:dyDescent="0.2">
      <c r="A2008" s="168">
        <v>2001</v>
      </c>
      <c r="B2008" s="159">
        <v>594.63366392643309</v>
      </c>
      <c r="C2008" s="169">
        <f t="shared" si="102"/>
        <v>1189861.9615167927</v>
      </c>
      <c r="I2008" s="168">
        <v>2001</v>
      </c>
      <c r="J2008" s="159">
        <f>ROUND(B2008*('Model Data Inputs'!$E$184*'Model Data Inputs'!$E$185*'Model Data Inputs'!$E$186*'Model Data Inputs'!$E$187),2)</f>
        <v>594.63</v>
      </c>
      <c r="K2008" s="169">
        <f t="shared" si="103"/>
        <v>1189854.6299999999</v>
      </c>
    </row>
    <row r="2009" spans="1:11" x14ac:dyDescent="0.2">
      <c r="A2009" s="168">
        <v>2002</v>
      </c>
      <c r="B2009" s="159">
        <v>594.63366392643309</v>
      </c>
      <c r="C2009" s="169">
        <f t="shared" si="102"/>
        <v>1190456.5951807189</v>
      </c>
      <c r="I2009" s="168">
        <v>2002</v>
      </c>
      <c r="J2009" s="159">
        <f>ROUND(B2009*('Model Data Inputs'!$E$184*'Model Data Inputs'!$E$185*'Model Data Inputs'!$E$186*'Model Data Inputs'!$E$187),2)</f>
        <v>594.63</v>
      </c>
      <c r="K2009" s="169">
        <f t="shared" si="103"/>
        <v>1190449.26</v>
      </c>
    </row>
    <row r="2010" spans="1:11" x14ac:dyDescent="0.2">
      <c r="A2010" s="168">
        <v>2003</v>
      </c>
      <c r="B2010" s="159">
        <v>594.63366392643309</v>
      </c>
      <c r="C2010" s="169">
        <f t="shared" si="102"/>
        <v>1191051.2288446454</v>
      </c>
      <c r="I2010" s="168">
        <v>2003</v>
      </c>
      <c r="J2010" s="159">
        <f>ROUND(B2010*('Model Data Inputs'!$E$184*'Model Data Inputs'!$E$185*'Model Data Inputs'!$E$186*'Model Data Inputs'!$E$187),2)</f>
        <v>594.63</v>
      </c>
      <c r="K2010" s="169">
        <f t="shared" si="103"/>
        <v>1191043.8899999999</v>
      </c>
    </row>
    <row r="2011" spans="1:11" x14ac:dyDescent="0.2">
      <c r="A2011" s="168">
        <v>2004</v>
      </c>
      <c r="B2011" s="159">
        <v>594.63366392643309</v>
      </c>
      <c r="C2011" s="169">
        <f t="shared" si="102"/>
        <v>1191645.8625085719</v>
      </c>
      <c r="I2011" s="168">
        <v>2004</v>
      </c>
      <c r="J2011" s="159">
        <f>ROUND(B2011*('Model Data Inputs'!$E$184*'Model Data Inputs'!$E$185*'Model Data Inputs'!$E$186*'Model Data Inputs'!$E$187),2)</f>
        <v>594.63</v>
      </c>
      <c r="K2011" s="169">
        <f t="shared" si="103"/>
        <v>1191638.52</v>
      </c>
    </row>
    <row r="2012" spans="1:11" x14ac:dyDescent="0.2">
      <c r="A2012" s="168">
        <v>2005</v>
      </c>
      <c r="B2012" s="159">
        <v>594.63366392643309</v>
      </c>
      <c r="C2012" s="169">
        <f t="shared" si="102"/>
        <v>1192240.4961724984</v>
      </c>
      <c r="I2012" s="168">
        <v>2005</v>
      </c>
      <c r="J2012" s="159">
        <f>ROUND(B2012*('Model Data Inputs'!$E$184*'Model Data Inputs'!$E$185*'Model Data Inputs'!$E$186*'Model Data Inputs'!$E$187),2)</f>
        <v>594.63</v>
      </c>
      <c r="K2012" s="169">
        <f t="shared" si="103"/>
        <v>1192233.1499999999</v>
      </c>
    </row>
    <row r="2013" spans="1:11" x14ac:dyDescent="0.2">
      <c r="A2013" s="168">
        <v>2006</v>
      </c>
      <c r="B2013" s="159">
        <v>594.63366392643309</v>
      </c>
      <c r="C2013" s="169">
        <f t="shared" si="102"/>
        <v>1192835.1298364247</v>
      </c>
      <c r="I2013" s="168">
        <v>2006</v>
      </c>
      <c r="J2013" s="159">
        <f>ROUND(B2013*('Model Data Inputs'!$E$184*'Model Data Inputs'!$E$185*'Model Data Inputs'!$E$186*'Model Data Inputs'!$E$187),2)</f>
        <v>594.63</v>
      </c>
      <c r="K2013" s="169">
        <f t="shared" si="103"/>
        <v>1192827.78</v>
      </c>
    </row>
    <row r="2014" spans="1:11" x14ac:dyDescent="0.2">
      <c r="A2014" s="168">
        <v>2007</v>
      </c>
      <c r="B2014" s="159">
        <v>594.63366392643309</v>
      </c>
      <c r="C2014" s="169">
        <f t="shared" si="102"/>
        <v>1193429.7635003512</v>
      </c>
      <c r="I2014" s="168">
        <v>2007</v>
      </c>
      <c r="J2014" s="159">
        <f>ROUND(B2014*('Model Data Inputs'!$E$184*'Model Data Inputs'!$E$185*'Model Data Inputs'!$E$186*'Model Data Inputs'!$E$187),2)</f>
        <v>594.63</v>
      </c>
      <c r="K2014" s="169">
        <f t="shared" si="103"/>
        <v>1193422.4099999999</v>
      </c>
    </row>
    <row r="2015" spans="1:11" x14ac:dyDescent="0.2">
      <c r="A2015" s="168">
        <v>2008</v>
      </c>
      <c r="B2015" s="159">
        <v>594.63366392643309</v>
      </c>
      <c r="C2015" s="169">
        <f t="shared" si="102"/>
        <v>1194024.3971642777</v>
      </c>
      <c r="I2015" s="168">
        <v>2008</v>
      </c>
      <c r="J2015" s="159">
        <f>ROUND(B2015*('Model Data Inputs'!$E$184*'Model Data Inputs'!$E$185*'Model Data Inputs'!$E$186*'Model Data Inputs'!$E$187),2)</f>
        <v>594.63</v>
      </c>
      <c r="K2015" s="169">
        <f t="shared" si="103"/>
        <v>1194017.04</v>
      </c>
    </row>
    <row r="2016" spans="1:11" x14ac:dyDescent="0.2">
      <c r="A2016" s="168">
        <v>2009</v>
      </c>
      <c r="B2016" s="159">
        <v>594.63366392643309</v>
      </c>
      <c r="C2016" s="169">
        <f t="shared" si="102"/>
        <v>1194619.030828204</v>
      </c>
      <c r="I2016" s="168">
        <v>2009</v>
      </c>
      <c r="J2016" s="159">
        <f>ROUND(B2016*('Model Data Inputs'!$E$184*'Model Data Inputs'!$E$185*'Model Data Inputs'!$E$186*'Model Data Inputs'!$E$187),2)</f>
        <v>594.63</v>
      </c>
      <c r="K2016" s="169">
        <f t="shared" si="103"/>
        <v>1194611.67</v>
      </c>
    </row>
    <row r="2017" spans="1:11" x14ac:dyDescent="0.2">
      <c r="A2017" s="168">
        <v>2010</v>
      </c>
      <c r="B2017" s="159">
        <v>594.63366392643309</v>
      </c>
      <c r="C2017" s="169">
        <f t="shared" si="102"/>
        <v>1195213.6644921305</v>
      </c>
      <c r="I2017" s="168">
        <v>2010</v>
      </c>
      <c r="J2017" s="159">
        <f>ROUND(B2017*('Model Data Inputs'!$E$184*'Model Data Inputs'!$E$185*'Model Data Inputs'!$E$186*'Model Data Inputs'!$E$187),2)</f>
        <v>594.63</v>
      </c>
      <c r="K2017" s="169">
        <f t="shared" si="103"/>
        <v>1195206.3</v>
      </c>
    </row>
    <row r="2018" spans="1:11" x14ac:dyDescent="0.2">
      <c r="A2018" s="168">
        <v>2011</v>
      </c>
      <c r="B2018" s="159">
        <v>594.63366392643309</v>
      </c>
      <c r="C2018" s="169">
        <f t="shared" si="102"/>
        <v>1195808.298156057</v>
      </c>
      <c r="I2018" s="168">
        <v>2011</v>
      </c>
      <c r="J2018" s="159">
        <f>ROUND(B2018*('Model Data Inputs'!$E$184*'Model Data Inputs'!$E$185*'Model Data Inputs'!$E$186*'Model Data Inputs'!$E$187),2)</f>
        <v>594.63</v>
      </c>
      <c r="K2018" s="169">
        <f t="shared" si="103"/>
        <v>1195800.93</v>
      </c>
    </row>
    <row r="2019" spans="1:11" x14ac:dyDescent="0.2">
      <c r="A2019" s="168">
        <v>2012</v>
      </c>
      <c r="B2019" s="159">
        <v>594.63366392643309</v>
      </c>
      <c r="C2019" s="169">
        <f t="shared" si="102"/>
        <v>1196402.9318199833</v>
      </c>
      <c r="I2019" s="168">
        <v>2012</v>
      </c>
      <c r="J2019" s="159">
        <f>ROUND(B2019*('Model Data Inputs'!$E$184*'Model Data Inputs'!$E$185*'Model Data Inputs'!$E$186*'Model Data Inputs'!$E$187),2)</f>
        <v>594.63</v>
      </c>
      <c r="K2019" s="169">
        <f t="shared" si="103"/>
        <v>1196395.56</v>
      </c>
    </row>
    <row r="2020" spans="1:11" x14ac:dyDescent="0.2">
      <c r="A2020" s="168">
        <v>2013</v>
      </c>
      <c r="B2020" s="159">
        <v>594.63366392643309</v>
      </c>
      <c r="C2020" s="169">
        <f t="shared" si="102"/>
        <v>1196997.5654839098</v>
      </c>
      <c r="I2020" s="168">
        <v>2013</v>
      </c>
      <c r="J2020" s="159">
        <f>ROUND(B2020*('Model Data Inputs'!$E$184*'Model Data Inputs'!$E$185*'Model Data Inputs'!$E$186*'Model Data Inputs'!$E$187),2)</f>
        <v>594.63</v>
      </c>
      <c r="K2020" s="169">
        <f t="shared" si="103"/>
        <v>1196990.19</v>
      </c>
    </row>
    <row r="2021" spans="1:11" x14ac:dyDescent="0.2">
      <c r="A2021" s="168">
        <v>2014</v>
      </c>
      <c r="B2021" s="159">
        <v>594.63366392643309</v>
      </c>
      <c r="C2021" s="169">
        <f t="shared" si="102"/>
        <v>1197592.1991478363</v>
      </c>
      <c r="I2021" s="168">
        <v>2014</v>
      </c>
      <c r="J2021" s="159">
        <f>ROUND(B2021*('Model Data Inputs'!$E$184*'Model Data Inputs'!$E$185*'Model Data Inputs'!$E$186*'Model Data Inputs'!$E$187),2)</f>
        <v>594.63</v>
      </c>
      <c r="K2021" s="169">
        <f t="shared" si="103"/>
        <v>1197584.82</v>
      </c>
    </row>
    <row r="2022" spans="1:11" x14ac:dyDescent="0.2">
      <c r="A2022" s="168">
        <v>2015</v>
      </c>
      <c r="B2022" s="159">
        <v>594.63366392643309</v>
      </c>
      <c r="C2022" s="169">
        <f t="shared" si="102"/>
        <v>1198186.8328117626</v>
      </c>
      <c r="I2022" s="168">
        <v>2015</v>
      </c>
      <c r="J2022" s="159">
        <f>ROUND(B2022*('Model Data Inputs'!$E$184*'Model Data Inputs'!$E$185*'Model Data Inputs'!$E$186*'Model Data Inputs'!$E$187),2)</f>
        <v>594.63</v>
      </c>
      <c r="K2022" s="169">
        <f t="shared" si="103"/>
        <v>1198179.45</v>
      </c>
    </row>
    <row r="2023" spans="1:11" x14ac:dyDescent="0.2">
      <c r="A2023" s="168">
        <v>2016</v>
      </c>
      <c r="B2023" s="159">
        <v>594.63366392643309</v>
      </c>
      <c r="C2023" s="169">
        <f t="shared" si="102"/>
        <v>1198781.4664756891</v>
      </c>
      <c r="I2023" s="168">
        <v>2016</v>
      </c>
      <c r="J2023" s="159">
        <f>ROUND(B2023*('Model Data Inputs'!$E$184*'Model Data Inputs'!$E$185*'Model Data Inputs'!$E$186*'Model Data Inputs'!$E$187),2)</f>
        <v>594.63</v>
      </c>
      <c r="K2023" s="169">
        <f t="shared" si="103"/>
        <v>1198774.08</v>
      </c>
    </row>
    <row r="2024" spans="1:11" x14ac:dyDescent="0.2">
      <c r="A2024" s="168">
        <v>2017</v>
      </c>
      <c r="B2024" s="159">
        <v>594.63366392643309</v>
      </c>
      <c r="C2024" s="169">
        <f t="shared" si="102"/>
        <v>1199376.1001396156</v>
      </c>
      <c r="I2024" s="168">
        <v>2017</v>
      </c>
      <c r="J2024" s="159">
        <f>ROUND(B2024*('Model Data Inputs'!$E$184*'Model Data Inputs'!$E$185*'Model Data Inputs'!$E$186*'Model Data Inputs'!$E$187),2)</f>
        <v>594.63</v>
      </c>
      <c r="K2024" s="169">
        <f t="shared" si="103"/>
        <v>1199368.71</v>
      </c>
    </row>
    <row r="2025" spans="1:11" x14ac:dyDescent="0.2">
      <c r="A2025" s="168">
        <v>2018</v>
      </c>
      <c r="B2025" s="159">
        <v>594.63366392643309</v>
      </c>
      <c r="C2025" s="169">
        <f t="shared" si="102"/>
        <v>1199970.7338035419</v>
      </c>
      <c r="I2025" s="168">
        <v>2018</v>
      </c>
      <c r="J2025" s="159">
        <f>ROUND(B2025*('Model Data Inputs'!$E$184*'Model Data Inputs'!$E$185*'Model Data Inputs'!$E$186*'Model Data Inputs'!$E$187),2)</f>
        <v>594.63</v>
      </c>
      <c r="K2025" s="169">
        <f t="shared" si="103"/>
        <v>1199963.3400000001</v>
      </c>
    </row>
    <row r="2026" spans="1:11" x14ac:dyDescent="0.2">
      <c r="A2026" s="168">
        <v>2019</v>
      </c>
      <c r="B2026" s="159">
        <v>594.63366392643309</v>
      </c>
      <c r="C2026" s="169">
        <f t="shared" si="102"/>
        <v>1200565.3674674684</v>
      </c>
      <c r="I2026" s="168">
        <v>2019</v>
      </c>
      <c r="J2026" s="159">
        <f>ROUND(B2026*('Model Data Inputs'!$E$184*'Model Data Inputs'!$E$185*'Model Data Inputs'!$E$186*'Model Data Inputs'!$E$187),2)</f>
        <v>594.63</v>
      </c>
      <c r="K2026" s="169">
        <f t="shared" si="103"/>
        <v>1200557.97</v>
      </c>
    </row>
    <row r="2027" spans="1:11" x14ac:dyDescent="0.2">
      <c r="A2027" s="168">
        <v>2020</v>
      </c>
      <c r="B2027" s="159">
        <v>594.63366392643309</v>
      </c>
      <c r="C2027" s="169">
        <f t="shared" si="102"/>
        <v>1201160.0011313949</v>
      </c>
      <c r="I2027" s="168">
        <v>2020</v>
      </c>
      <c r="J2027" s="159">
        <f>ROUND(B2027*('Model Data Inputs'!$E$184*'Model Data Inputs'!$E$185*'Model Data Inputs'!$E$186*'Model Data Inputs'!$E$187),2)</f>
        <v>594.63</v>
      </c>
      <c r="K2027" s="169">
        <f t="shared" si="103"/>
        <v>1201152.6000000001</v>
      </c>
    </row>
    <row r="2028" spans="1:11" x14ac:dyDescent="0.2">
      <c r="A2028" s="168">
        <v>2021</v>
      </c>
      <c r="B2028" s="159">
        <v>594.63366392643309</v>
      </c>
      <c r="C2028" s="169">
        <f t="shared" si="102"/>
        <v>1201754.6347953214</v>
      </c>
      <c r="I2028" s="168">
        <v>2021</v>
      </c>
      <c r="J2028" s="159">
        <f>ROUND(B2028*('Model Data Inputs'!$E$184*'Model Data Inputs'!$E$185*'Model Data Inputs'!$E$186*'Model Data Inputs'!$E$187),2)</f>
        <v>594.63</v>
      </c>
      <c r="K2028" s="169">
        <f t="shared" si="103"/>
        <v>1201747.23</v>
      </c>
    </row>
    <row r="2029" spans="1:11" x14ac:dyDescent="0.2">
      <c r="A2029" s="168">
        <v>2022</v>
      </c>
      <c r="B2029" s="159">
        <v>594.63366392643309</v>
      </c>
      <c r="C2029" s="169">
        <f t="shared" si="102"/>
        <v>1202349.2684592477</v>
      </c>
      <c r="I2029" s="168">
        <v>2022</v>
      </c>
      <c r="J2029" s="159">
        <f>ROUND(B2029*('Model Data Inputs'!$E$184*'Model Data Inputs'!$E$185*'Model Data Inputs'!$E$186*'Model Data Inputs'!$E$187),2)</f>
        <v>594.63</v>
      </c>
      <c r="K2029" s="169">
        <f t="shared" si="103"/>
        <v>1202341.8600000001</v>
      </c>
    </row>
    <row r="2030" spans="1:11" x14ac:dyDescent="0.2">
      <c r="A2030" s="168">
        <v>2023</v>
      </c>
      <c r="B2030" s="159">
        <v>594.63366392643309</v>
      </c>
      <c r="C2030" s="169">
        <f t="shared" si="102"/>
        <v>1202943.9021231742</v>
      </c>
      <c r="I2030" s="168">
        <v>2023</v>
      </c>
      <c r="J2030" s="159">
        <f>ROUND(B2030*('Model Data Inputs'!$E$184*'Model Data Inputs'!$E$185*'Model Data Inputs'!$E$186*'Model Data Inputs'!$E$187),2)</f>
        <v>594.63</v>
      </c>
      <c r="K2030" s="169">
        <f t="shared" si="103"/>
        <v>1202936.49</v>
      </c>
    </row>
    <row r="2031" spans="1:11" x14ac:dyDescent="0.2">
      <c r="A2031" s="168">
        <v>2024</v>
      </c>
      <c r="B2031" s="159">
        <v>594.63366392643309</v>
      </c>
      <c r="C2031" s="169">
        <f t="shared" si="102"/>
        <v>1203538.5357871007</v>
      </c>
      <c r="I2031" s="168">
        <v>2024</v>
      </c>
      <c r="J2031" s="159">
        <f>ROUND(B2031*('Model Data Inputs'!$E$184*'Model Data Inputs'!$E$185*'Model Data Inputs'!$E$186*'Model Data Inputs'!$E$187),2)</f>
        <v>594.63</v>
      </c>
      <c r="K2031" s="169">
        <f t="shared" si="103"/>
        <v>1203531.1199999999</v>
      </c>
    </row>
    <row r="2032" spans="1:11" x14ac:dyDescent="0.2">
      <c r="A2032" s="168">
        <v>2025</v>
      </c>
      <c r="B2032" s="159">
        <v>594.63366392643309</v>
      </c>
      <c r="C2032" s="169">
        <f t="shared" si="102"/>
        <v>1204133.1694510269</v>
      </c>
      <c r="I2032" s="168">
        <v>2025</v>
      </c>
      <c r="J2032" s="159">
        <f>ROUND(B2032*('Model Data Inputs'!$E$184*'Model Data Inputs'!$E$185*'Model Data Inputs'!$E$186*'Model Data Inputs'!$E$187),2)</f>
        <v>594.63</v>
      </c>
      <c r="K2032" s="169">
        <f t="shared" si="103"/>
        <v>1204125.75</v>
      </c>
    </row>
    <row r="2033" spans="1:11" x14ac:dyDescent="0.2">
      <c r="A2033" s="168">
        <v>2026</v>
      </c>
      <c r="B2033" s="159">
        <v>594.63366392643309</v>
      </c>
      <c r="C2033" s="169">
        <f t="shared" si="102"/>
        <v>1204727.8031149535</v>
      </c>
      <c r="I2033" s="168">
        <v>2026</v>
      </c>
      <c r="J2033" s="159">
        <f>ROUND(B2033*('Model Data Inputs'!$E$184*'Model Data Inputs'!$E$185*'Model Data Inputs'!$E$186*'Model Data Inputs'!$E$187),2)</f>
        <v>594.63</v>
      </c>
      <c r="K2033" s="169">
        <f t="shared" si="103"/>
        <v>1204720.3799999999</v>
      </c>
    </row>
    <row r="2034" spans="1:11" x14ac:dyDescent="0.2">
      <c r="A2034" s="168">
        <v>2027</v>
      </c>
      <c r="B2034" s="159">
        <v>594.63366392643309</v>
      </c>
      <c r="C2034" s="169">
        <f t="shared" si="102"/>
        <v>1205322.43677888</v>
      </c>
      <c r="I2034" s="168">
        <v>2027</v>
      </c>
      <c r="J2034" s="159">
        <f>ROUND(B2034*('Model Data Inputs'!$E$184*'Model Data Inputs'!$E$185*'Model Data Inputs'!$E$186*'Model Data Inputs'!$E$187),2)</f>
        <v>594.63</v>
      </c>
      <c r="K2034" s="169">
        <f t="shared" si="103"/>
        <v>1205315.01</v>
      </c>
    </row>
    <row r="2035" spans="1:11" x14ac:dyDescent="0.2">
      <c r="A2035" s="168">
        <v>2028</v>
      </c>
      <c r="B2035" s="159">
        <v>594.63366392643309</v>
      </c>
      <c r="C2035" s="169">
        <f t="shared" si="102"/>
        <v>1205917.0704428062</v>
      </c>
      <c r="I2035" s="168">
        <v>2028</v>
      </c>
      <c r="J2035" s="159">
        <f>ROUND(B2035*('Model Data Inputs'!$E$184*'Model Data Inputs'!$E$185*'Model Data Inputs'!$E$186*'Model Data Inputs'!$E$187),2)</f>
        <v>594.63</v>
      </c>
      <c r="K2035" s="169">
        <f t="shared" si="103"/>
        <v>1205909.6399999999</v>
      </c>
    </row>
    <row r="2036" spans="1:11" x14ac:dyDescent="0.2">
      <c r="A2036" s="168">
        <v>2029</v>
      </c>
      <c r="B2036" s="159">
        <v>594.63366392643309</v>
      </c>
      <c r="C2036" s="169">
        <f t="shared" si="102"/>
        <v>1206511.7041067327</v>
      </c>
      <c r="I2036" s="168">
        <v>2029</v>
      </c>
      <c r="J2036" s="159">
        <f>ROUND(B2036*('Model Data Inputs'!$E$184*'Model Data Inputs'!$E$185*'Model Data Inputs'!$E$186*'Model Data Inputs'!$E$187),2)</f>
        <v>594.63</v>
      </c>
      <c r="K2036" s="169">
        <f t="shared" si="103"/>
        <v>1206504.27</v>
      </c>
    </row>
    <row r="2037" spans="1:11" x14ac:dyDescent="0.2">
      <c r="A2037" s="168">
        <v>2030</v>
      </c>
      <c r="B2037" s="159">
        <v>594.63366392643309</v>
      </c>
      <c r="C2037" s="169">
        <f t="shared" si="102"/>
        <v>1207106.3377706592</v>
      </c>
      <c r="I2037" s="168">
        <v>2030</v>
      </c>
      <c r="J2037" s="159">
        <f>ROUND(B2037*('Model Data Inputs'!$E$184*'Model Data Inputs'!$E$185*'Model Data Inputs'!$E$186*'Model Data Inputs'!$E$187),2)</f>
        <v>594.63</v>
      </c>
      <c r="K2037" s="169">
        <f t="shared" si="103"/>
        <v>1207098.8999999999</v>
      </c>
    </row>
    <row r="2038" spans="1:11" x14ac:dyDescent="0.2">
      <c r="A2038" s="168">
        <v>2031</v>
      </c>
      <c r="B2038" s="159">
        <v>594.63366392643309</v>
      </c>
      <c r="C2038" s="169">
        <f t="shared" si="102"/>
        <v>1207700.9714345855</v>
      </c>
      <c r="I2038" s="168">
        <v>2031</v>
      </c>
      <c r="J2038" s="159">
        <f>ROUND(B2038*('Model Data Inputs'!$E$184*'Model Data Inputs'!$E$185*'Model Data Inputs'!$E$186*'Model Data Inputs'!$E$187),2)</f>
        <v>594.63</v>
      </c>
      <c r="K2038" s="169">
        <f t="shared" si="103"/>
        <v>1207693.53</v>
      </c>
    </row>
    <row r="2039" spans="1:11" x14ac:dyDescent="0.2">
      <c r="A2039" s="168">
        <v>2032</v>
      </c>
      <c r="B2039" s="159">
        <v>594.63366392643309</v>
      </c>
      <c r="C2039" s="169">
        <f t="shared" si="102"/>
        <v>1208295.605098512</v>
      </c>
      <c r="I2039" s="168">
        <v>2032</v>
      </c>
      <c r="J2039" s="159">
        <f>ROUND(B2039*('Model Data Inputs'!$E$184*'Model Data Inputs'!$E$185*'Model Data Inputs'!$E$186*'Model Data Inputs'!$E$187),2)</f>
        <v>594.63</v>
      </c>
      <c r="K2039" s="169">
        <f t="shared" si="103"/>
        <v>1208288.1599999999</v>
      </c>
    </row>
    <row r="2040" spans="1:11" x14ac:dyDescent="0.2">
      <c r="A2040" s="168">
        <v>2033</v>
      </c>
      <c r="B2040" s="159">
        <v>594.63366392643309</v>
      </c>
      <c r="C2040" s="169">
        <f t="shared" si="102"/>
        <v>1208890.2387624385</v>
      </c>
      <c r="I2040" s="168">
        <v>2033</v>
      </c>
      <c r="J2040" s="159">
        <f>ROUND(B2040*('Model Data Inputs'!$E$184*'Model Data Inputs'!$E$185*'Model Data Inputs'!$E$186*'Model Data Inputs'!$E$187),2)</f>
        <v>594.63</v>
      </c>
      <c r="K2040" s="169">
        <f t="shared" si="103"/>
        <v>1208882.79</v>
      </c>
    </row>
    <row r="2041" spans="1:11" x14ac:dyDescent="0.2">
      <c r="A2041" s="168">
        <v>2034</v>
      </c>
      <c r="B2041" s="159">
        <v>594.63366392643309</v>
      </c>
      <c r="C2041" s="169">
        <f t="shared" si="102"/>
        <v>1209484.8724263648</v>
      </c>
      <c r="I2041" s="168">
        <v>2034</v>
      </c>
      <c r="J2041" s="159">
        <f>ROUND(B2041*('Model Data Inputs'!$E$184*'Model Data Inputs'!$E$185*'Model Data Inputs'!$E$186*'Model Data Inputs'!$E$187),2)</f>
        <v>594.63</v>
      </c>
      <c r="K2041" s="169">
        <f t="shared" si="103"/>
        <v>1209477.42</v>
      </c>
    </row>
    <row r="2042" spans="1:11" x14ac:dyDescent="0.2">
      <c r="A2042" s="168">
        <v>2035</v>
      </c>
      <c r="B2042" s="159">
        <v>594.63366392643309</v>
      </c>
      <c r="C2042" s="169">
        <f t="shared" si="102"/>
        <v>1210079.5060902913</v>
      </c>
      <c r="I2042" s="168">
        <v>2035</v>
      </c>
      <c r="J2042" s="159">
        <f>ROUND(B2042*('Model Data Inputs'!$E$184*'Model Data Inputs'!$E$185*'Model Data Inputs'!$E$186*'Model Data Inputs'!$E$187),2)</f>
        <v>594.63</v>
      </c>
      <c r="K2042" s="169">
        <f t="shared" si="103"/>
        <v>1210072.05</v>
      </c>
    </row>
    <row r="2043" spans="1:11" x14ac:dyDescent="0.2">
      <c r="A2043" s="168">
        <v>2036</v>
      </c>
      <c r="B2043" s="159">
        <v>594.63366392643309</v>
      </c>
      <c r="C2043" s="169">
        <f t="shared" si="102"/>
        <v>1210674.1397542178</v>
      </c>
      <c r="I2043" s="168">
        <v>2036</v>
      </c>
      <c r="J2043" s="159">
        <f>ROUND(B2043*('Model Data Inputs'!$E$184*'Model Data Inputs'!$E$185*'Model Data Inputs'!$E$186*'Model Data Inputs'!$E$187),2)</f>
        <v>594.63</v>
      </c>
      <c r="K2043" s="169">
        <f t="shared" si="103"/>
        <v>1210666.68</v>
      </c>
    </row>
    <row r="2044" spans="1:11" x14ac:dyDescent="0.2">
      <c r="A2044" s="168">
        <v>2037</v>
      </c>
      <c r="B2044" s="159">
        <v>594.63366392643309</v>
      </c>
      <c r="C2044" s="169">
        <f t="shared" si="102"/>
        <v>1211268.7734181441</v>
      </c>
      <c r="I2044" s="168">
        <v>2037</v>
      </c>
      <c r="J2044" s="159">
        <f>ROUND(B2044*('Model Data Inputs'!$E$184*'Model Data Inputs'!$E$185*'Model Data Inputs'!$E$186*'Model Data Inputs'!$E$187),2)</f>
        <v>594.63</v>
      </c>
      <c r="K2044" s="169">
        <f t="shared" si="103"/>
        <v>1211261.31</v>
      </c>
    </row>
    <row r="2045" spans="1:11" x14ac:dyDescent="0.2">
      <c r="A2045" s="168">
        <v>2038</v>
      </c>
      <c r="B2045" s="159">
        <v>594.63366392643309</v>
      </c>
      <c r="C2045" s="169">
        <f t="shared" si="102"/>
        <v>1211863.4070820706</v>
      </c>
      <c r="I2045" s="168">
        <v>2038</v>
      </c>
      <c r="J2045" s="159">
        <f>ROUND(B2045*('Model Data Inputs'!$E$184*'Model Data Inputs'!$E$185*'Model Data Inputs'!$E$186*'Model Data Inputs'!$E$187),2)</f>
        <v>594.63</v>
      </c>
      <c r="K2045" s="169">
        <f t="shared" si="103"/>
        <v>1211855.94</v>
      </c>
    </row>
    <row r="2046" spans="1:11" x14ac:dyDescent="0.2">
      <c r="A2046" s="168">
        <v>2039</v>
      </c>
      <c r="B2046" s="159">
        <v>594.63366392643309</v>
      </c>
      <c r="C2046" s="169">
        <f t="shared" si="102"/>
        <v>1212458.0407459971</v>
      </c>
      <c r="I2046" s="168">
        <v>2039</v>
      </c>
      <c r="J2046" s="159">
        <f>ROUND(B2046*('Model Data Inputs'!$E$184*'Model Data Inputs'!$E$185*'Model Data Inputs'!$E$186*'Model Data Inputs'!$E$187),2)</f>
        <v>594.63</v>
      </c>
      <c r="K2046" s="169">
        <f t="shared" si="103"/>
        <v>1212450.57</v>
      </c>
    </row>
    <row r="2047" spans="1:11" x14ac:dyDescent="0.2">
      <c r="A2047" s="168">
        <v>2040</v>
      </c>
      <c r="B2047" s="159">
        <v>594.63366392643309</v>
      </c>
      <c r="C2047" s="169">
        <f t="shared" si="102"/>
        <v>1213052.6744099236</v>
      </c>
      <c r="I2047" s="168">
        <v>2040</v>
      </c>
      <c r="J2047" s="159">
        <f>ROUND(B2047*('Model Data Inputs'!$E$184*'Model Data Inputs'!$E$185*'Model Data Inputs'!$E$186*'Model Data Inputs'!$E$187),2)</f>
        <v>594.63</v>
      </c>
      <c r="K2047" s="169">
        <f t="shared" si="103"/>
        <v>1213045.2</v>
      </c>
    </row>
    <row r="2048" spans="1:11" x14ac:dyDescent="0.2">
      <c r="A2048" s="168">
        <v>2041</v>
      </c>
      <c r="B2048" s="159">
        <v>594.63366392643309</v>
      </c>
      <c r="C2048" s="169">
        <f t="shared" si="102"/>
        <v>1213647.3080738499</v>
      </c>
      <c r="I2048" s="168">
        <v>2041</v>
      </c>
      <c r="J2048" s="159">
        <f>ROUND(B2048*('Model Data Inputs'!$E$184*'Model Data Inputs'!$E$185*'Model Data Inputs'!$E$186*'Model Data Inputs'!$E$187),2)</f>
        <v>594.63</v>
      </c>
      <c r="K2048" s="169">
        <f t="shared" si="103"/>
        <v>1213639.83</v>
      </c>
    </row>
    <row r="2049" spans="1:11" x14ac:dyDescent="0.2">
      <c r="A2049" s="168">
        <v>2042</v>
      </c>
      <c r="B2049" s="159">
        <v>594.63366392643309</v>
      </c>
      <c r="C2049" s="169">
        <f t="shared" si="102"/>
        <v>1214241.9417377764</v>
      </c>
      <c r="I2049" s="168">
        <v>2042</v>
      </c>
      <c r="J2049" s="159">
        <f>ROUND(B2049*('Model Data Inputs'!$E$184*'Model Data Inputs'!$E$185*'Model Data Inputs'!$E$186*'Model Data Inputs'!$E$187),2)</f>
        <v>594.63</v>
      </c>
      <c r="K2049" s="169">
        <f t="shared" si="103"/>
        <v>1214234.46</v>
      </c>
    </row>
    <row r="2050" spans="1:11" x14ac:dyDescent="0.2">
      <c r="A2050" s="168">
        <v>2043</v>
      </c>
      <c r="B2050" s="159">
        <v>594.63366392643309</v>
      </c>
      <c r="C2050" s="169">
        <f t="shared" si="102"/>
        <v>1214836.5754017029</v>
      </c>
      <c r="I2050" s="168">
        <v>2043</v>
      </c>
      <c r="J2050" s="159">
        <f>ROUND(B2050*('Model Data Inputs'!$E$184*'Model Data Inputs'!$E$185*'Model Data Inputs'!$E$186*'Model Data Inputs'!$E$187),2)</f>
        <v>594.63</v>
      </c>
      <c r="K2050" s="169">
        <f t="shared" si="103"/>
        <v>1214829.0900000001</v>
      </c>
    </row>
    <row r="2051" spans="1:11" x14ac:dyDescent="0.2">
      <c r="A2051" s="168">
        <v>2044</v>
      </c>
      <c r="B2051" s="159">
        <v>594.63366392643309</v>
      </c>
      <c r="C2051" s="169">
        <f t="shared" si="102"/>
        <v>1215431.2090656292</v>
      </c>
      <c r="I2051" s="168">
        <v>2044</v>
      </c>
      <c r="J2051" s="159">
        <f>ROUND(B2051*('Model Data Inputs'!$E$184*'Model Data Inputs'!$E$185*'Model Data Inputs'!$E$186*'Model Data Inputs'!$E$187),2)</f>
        <v>594.63</v>
      </c>
      <c r="K2051" s="169">
        <f t="shared" si="103"/>
        <v>1215423.72</v>
      </c>
    </row>
    <row r="2052" spans="1:11" x14ac:dyDescent="0.2">
      <c r="A2052" s="168">
        <v>2045</v>
      </c>
      <c r="B2052" s="159">
        <v>594.63366392643309</v>
      </c>
      <c r="C2052" s="169">
        <f t="shared" si="102"/>
        <v>1216025.8427295557</v>
      </c>
      <c r="I2052" s="168">
        <v>2045</v>
      </c>
      <c r="J2052" s="159">
        <f>ROUND(B2052*('Model Data Inputs'!$E$184*'Model Data Inputs'!$E$185*'Model Data Inputs'!$E$186*'Model Data Inputs'!$E$187),2)</f>
        <v>594.63</v>
      </c>
      <c r="K2052" s="169">
        <f t="shared" si="103"/>
        <v>1216018.3500000001</v>
      </c>
    </row>
    <row r="2053" spans="1:11" x14ac:dyDescent="0.2">
      <c r="A2053" s="168">
        <v>2046</v>
      </c>
      <c r="B2053" s="159">
        <v>594.63366392643309</v>
      </c>
      <c r="C2053" s="169">
        <f t="shared" si="102"/>
        <v>1216620.4763934822</v>
      </c>
      <c r="I2053" s="168">
        <v>2046</v>
      </c>
      <c r="J2053" s="159">
        <f>ROUND(B2053*('Model Data Inputs'!$E$184*'Model Data Inputs'!$E$185*'Model Data Inputs'!$E$186*'Model Data Inputs'!$E$187),2)</f>
        <v>594.63</v>
      </c>
      <c r="K2053" s="169">
        <f t="shared" si="103"/>
        <v>1216612.98</v>
      </c>
    </row>
    <row r="2054" spans="1:11" x14ac:dyDescent="0.2">
      <c r="A2054" s="168">
        <v>2047</v>
      </c>
      <c r="B2054" s="159">
        <v>594.63366392643309</v>
      </c>
      <c r="C2054" s="169">
        <f t="shared" si="102"/>
        <v>1217215.1100574085</v>
      </c>
      <c r="I2054" s="168">
        <v>2047</v>
      </c>
      <c r="J2054" s="159">
        <f>ROUND(B2054*('Model Data Inputs'!$E$184*'Model Data Inputs'!$E$185*'Model Data Inputs'!$E$186*'Model Data Inputs'!$E$187),2)</f>
        <v>594.63</v>
      </c>
      <c r="K2054" s="169">
        <f t="shared" si="103"/>
        <v>1217207.6100000001</v>
      </c>
    </row>
    <row r="2055" spans="1:11" x14ac:dyDescent="0.2">
      <c r="A2055" s="168">
        <v>2048</v>
      </c>
      <c r="B2055" s="159">
        <v>594.63366392643309</v>
      </c>
      <c r="C2055" s="169">
        <f t="shared" si="102"/>
        <v>1217809.743721335</v>
      </c>
      <c r="I2055" s="168">
        <v>2048</v>
      </c>
      <c r="J2055" s="159">
        <f>ROUND(B2055*('Model Data Inputs'!$E$184*'Model Data Inputs'!$E$185*'Model Data Inputs'!$E$186*'Model Data Inputs'!$E$187),2)</f>
        <v>594.63</v>
      </c>
      <c r="K2055" s="169">
        <f t="shared" si="103"/>
        <v>1217802.24</v>
      </c>
    </row>
    <row r="2056" spans="1:11" x14ac:dyDescent="0.2">
      <c r="A2056" s="168">
        <v>2049</v>
      </c>
      <c r="B2056" s="159">
        <v>594.63366392643309</v>
      </c>
      <c r="C2056" s="169">
        <f t="shared" ref="C2056:C2119" si="104">A2056*B2056</f>
        <v>1218404.3773852615</v>
      </c>
      <c r="I2056" s="168">
        <v>2049</v>
      </c>
      <c r="J2056" s="159">
        <f>ROUND(B2056*('Model Data Inputs'!$E$184*'Model Data Inputs'!$E$185*'Model Data Inputs'!$E$186*'Model Data Inputs'!$E$187),2)</f>
        <v>594.63</v>
      </c>
      <c r="K2056" s="169">
        <f t="shared" ref="K2056:K2119" si="105">I2056*J2056</f>
        <v>1218396.8699999999</v>
      </c>
    </row>
    <row r="2057" spans="1:11" x14ac:dyDescent="0.2">
      <c r="A2057" s="168">
        <v>2050</v>
      </c>
      <c r="B2057" s="159">
        <v>594.63366392643309</v>
      </c>
      <c r="C2057" s="169">
        <f t="shared" si="104"/>
        <v>1218999.0110491877</v>
      </c>
      <c r="I2057" s="168">
        <v>2050</v>
      </c>
      <c r="J2057" s="159">
        <f>ROUND(B2057*('Model Data Inputs'!$E$184*'Model Data Inputs'!$E$185*'Model Data Inputs'!$E$186*'Model Data Inputs'!$E$187),2)</f>
        <v>594.63</v>
      </c>
      <c r="K2057" s="169">
        <f t="shared" si="105"/>
        <v>1218991.5</v>
      </c>
    </row>
    <row r="2058" spans="1:11" x14ac:dyDescent="0.2">
      <c r="A2058" s="168">
        <v>2051</v>
      </c>
      <c r="B2058" s="159">
        <v>594.63366392643309</v>
      </c>
      <c r="C2058" s="169">
        <f t="shared" si="104"/>
        <v>1219593.6447131142</v>
      </c>
      <c r="I2058" s="168">
        <v>2051</v>
      </c>
      <c r="J2058" s="159">
        <f>ROUND(B2058*('Model Data Inputs'!$E$184*'Model Data Inputs'!$E$185*'Model Data Inputs'!$E$186*'Model Data Inputs'!$E$187),2)</f>
        <v>594.63</v>
      </c>
      <c r="K2058" s="169">
        <f t="shared" si="105"/>
        <v>1219586.1299999999</v>
      </c>
    </row>
    <row r="2059" spans="1:11" x14ac:dyDescent="0.2">
      <c r="A2059" s="168">
        <v>2052</v>
      </c>
      <c r="B2059" s="159">
        <v>594.63366392643309</v>
      </c>
      <c r="C2059" s="169">
        <f t="shared" si="104"/>
        <v>1220188.2783770408</v>
      </c>
      <c r="I2059" s="168">
        <v>2052</v>
      </c>
      <c r="J2059" s="159">
        <f>ROUND(B2059*('Model Data Inputs'!$E$184*'Model Data Inputs'!$E$185*'Model Data Inputs'!$E$186*'Model Data Inputs'!$E$187),2)</f>
        <v>594.63</v>
      </c>
      <c r="K2059" s="169">
        <f t="shared" si="105"/>
        <v>1220180.76</v>
      </c>
    </row>
    <row r="2060" spans="1:11" x14ac:dyDescent="0.2">
      <c r="A2060" s="168">
        <v>2053</v>
      </c>
      <c r="B2060" s="159">
        <v>594.63366392643309</v>
      </c>
      <c r="C2060" s="169">
        <f t="shared" si="104"/>
        <v>1220782.912040967</v>
      </c>
      <c r="I2060" s="168">
        <v>2053</v>
      </c>
      <c r="J2060" s="159">
        <f>ROUND(B2060*('Model Data Inputs'!$E$184*'Model Data Inputs'!$E$185*'Model Data Inputs'!$E$186*'Model Data Inputs'!$E$187),2)</f>
        <v>594.63</v>
      </c>
      <c r="K2060" s="169">
        <f t="shared" si="105"/>
        <v>1220775.3899999999</v>
      </c>
    </row>
    <row r="2061" spans="1:11" x14ac:dyDescent="0.2">
      <c r="A2061" s="168">
        <v>2054</v>
      </c>
      <c r="B2061" s="159">
        <v>594.63366392643309</v>
      </c>
      <c r="C2061" s="169">
        <f t="shared" si="104"/>
        <v>1221377.5457048935</v>
      </c>
      <c r="I2061" s="168">
        <v>2054</v>
      </c>
      <c r="J2061" s="159">
        <f>ROUND(B2061*('Model Data Inputs'!$E$184*'Model Data Inputs'!$E$185*'Model Data Inputs'!$E$186*'Model Data Inputs'!$E$187),2)</f>
        <v>594.63</v>
      </c>
      <c r="K2061" s="169">
        <f t="shared" si="105"/>
        <v>1221370.02</v>
      </c>
    </row>
    <row r="2062" spans="1:11" x14ac:dyDescent="0.2">
      <c r="A2062" s="168">
        <v>2055</v>
      </c>
      <c r="B2062" s="159">
        <v>594.63366392643309</v>
      </c>
      <c r="C2062" s="169">
        <f t="shared" si="104"/>
        <v>1221972.17936882</v>
      </c>
      <c r="I2062" s="168">
        <v>2055</v>
      </c>
      <c r="J2062" s="159">
        <f>ROUND(B2062*('Model Data Inputs'!$E$184*'Model Data Inputs'!$E$185*'Model Data Inputs'!$E$186*'Model Data Inputs'!$E$187),2)</f>
        <v>594.63</v>
      </c>
      <c r="K2062" s="169">
        <f t="shared" si="105"/>
        <v>1221964.6499999999</v>
      </c>
    </row>
    <row r="2063" spans="1:11" x14ac:dyDescent="0.2">
      <c r="A2063" s="168">
        <v>2056</v>
      </c>
      <c r="B2063" s="159">
        <v>594.63366392643309</v>
      </c>
      <c r="C2063" s="169">
        <f t="shared" si="104"/>
        <v>1222566.8130327463</v>
      </c>
      <c r="I2063" s="168">
        <v>2056</v>
      </c>
      <c r="J2063" s="159">
        <f>ROUND(B2063*('Model Data Inputs'!$E$184*'Model Data Inputs'!$E$185*'Model Data Inputs'!$E$186*'Model Data Inputs'!$E$187),2)</f>
        <v>594.63</v>
      </c>
      <c r="K2063" s="169">
        <f t="shared" si="105"/>
        <v>1222559.28</v>
      </c>
    </row>
    <row r="2064" spans="1:11" x14ac:dyDescent="0.2">
      <c r="A2064" s="168">
        <v>2057</v>
      </c>
      <c r="B2064" s="159">
        <v>594.63366392643309</v>
      </c>
      <c r="C2064" s="169">
        <f t="shared" si="104"/>
        <v>1223161.4466966728</v>
      </c>
      <c r="I2064" s="168">
        <v>2057</v>
      </c>
      <c r="J2064" s="159">
        <f>ROUND(B2064*('Model Data Inputs'!$E$184*'Model Data Inputs'!$E$185*'Model Data Inputs'!$E$186*'Model Data Inputs'!$E$187),2)</f>
        <v>594.63</v>
      </c>
      <c r="K2064" s="169">
        <f t="shared" si="105"/>
        <v>1223153.9099999999</v>
      </c>
    </row>
    <row r="2065" spans="1:11" x14ac:dyDescent="0.2">
      <c r="A2065" s="168">
        <v>2058</v>
      </c>
      <c r="B2065" s="159">
        <v>594.63366392643309</v>
      </c>
      <c r="C2065" s="169">
        <f t="shared" si="104"/>
        <v>1223756.0803605993</v>
      </c>
      <c r="I2065" s="168">
        <v>2058</v>
      </c>
      <c r="J2065" s="159">
        <f>ROUND(B2065*('Model Data Inputs'!$E$184*'Model Data Inputs'!$E$185*'Model Data Inputs'!$E$186*'Model Data Inputs'!$E$187),2)</f>
        <v>594.63</v>
      </c>
      <c r="K2065" s="169">
        <f t="shared" si="105"/>
        <v>1223748.54</v>
      </c>
    </row>
    <row r="2066" spans="1:11" x14ac:dyDescent="0.2">
      <c r="A2066" s="168">
        <v>2059</v>
      </c>
      <c r="B2066" s="159">
        <v>594.63366392643309</v>
      </c>
      <c r="C2066" s="169">
        <f t="shared" si="104"/>
        <v>1224350.7140245258</v>
      </c>
      <c r="I2066" s="168">
        <v>2059</v>
      </c>
      <c r="J2066" s="159">
        <f>ROUND(B2066*('Model Data Inputs'!$E$184*'Model Data Inputs'!$E$185*'Model Data Inputs'!$E$186*'Model Data Inputs'!$E$187),2)</f>
        <v>594.63</v>
      </c>
      <c r="K2066" s="169">
        <f t="shared" si="105"/>
        <v>1224343.17</v>
      </c>
    </row>
    <row r="2067" spans="1:11" x14ac:dyDescent="0.2">
      <c r="A2067" s="168">
        <v>2060</v>
      </c>
      <c r="B2067" s="159">
        <v>594.63366392643309</v>
      </c>
      <c r="C2067" s="169">
        <f t="shared" si="104"/>
        <v>1224945.3476884521</v>
      </c>
      <c r="I2067" s="168">
        <v>2060</v>
      </c>
      <c r="J2067" s="159">
        <f>ROUND(B2067*('Model Data Inputs'!$E$184*'Model Data Inputs'!$E$185*'Model Data Inputs'!$E$186*'Model Data Inputs'!$E$187),2)</f>
        <v>594.63</v>
      </c>
      <c r="K2067" s="169">
        <f t="shared" si="105"/>
        <v>1224937.8</v>
      </c>
    </row>
    <row r="2068" spans="1:11" x14ac:dyDescent="0.2">
      <c r="A2068" s="168">
        <v>2061</v>
      </c>
      <c r="B2068" s="159">
        <v>594.63366392643309</v>
      </c>
      <c r="C2068" s="169">
        <f t="shared" si="104"/>
        <v>1225539.9813523786</v>
      </c>
      <c r="I2068" s="168">
        <v>2061</v>
      </c>
      <c r="J2068" s="159">
        <f>ROUND(B2068*('Model Data Inputs'!$E$184*'Model Data Inputs'!$E$185*'Model Data Inputs'!$E$186*'Model Data Inputs'!$E$187),2)</f>
        <v>594.63</v>
      </c>
      <c r="K2068" s="169">
        <f t="shared" si="105"/>
        <v>1225532.43</v>
      </c>
    </row>
    <row r="2069" spans="1:11" x14ac:dyDescent="0.2">
      <c r="A2069" s="168">
        <v>2062</v>
      </c>
      <c r="B2069" s="159">
        <v>594.63366392643309</v>
      </c>
      <c r="C2069" s="169">
        <f t="shared" si="104"/>
        <v>1226134.6150163051</v>
      </c>
      <c r="I2069" s="168">
        <v>2062</v>
      </c>
      <c r="J2069" s="159">
        <f>ROUND(B2069*('Model Data Inputs'!$E$184*'Model Data Inputs'!$E$185*'Model Data Inputs'!$E$186*'Model Data Inputs'!$E$187),2)</f>
        <v>594.63</v>
      </c>
      <c r="K2069" s="169">
        <f t="shared" si="105"/>
        <v>1226127.06</v>
      </c>
    </row>
    <row r="2070" spans="1:11" x14ac:dyDescent="0.2">
      <c r="A2070" s="168">
        <v>2063</v>
      </c>
      <c r="B2070" s="159">
        <v>594.63366392643309</v>
      </c>
      <c r="C2070" s="169">
        <f t="shared" si="104"/>
        <v>1226729.2486802314</v>
      </c>
      <c r="I2070" s="168">
        <v>2063</v>
      </c>
      <c r="J2070" s="159">
        <f>ROUND(B2070*('Model Data Inputs'!$E$184*'Model Data Inputs'!$E$185*'Model Data Inputs'!$E$186*'Model Data Inputs'!$E$187),2)</f>
        <v>594.63</v>
      </c>
      <c r="K2070" s="169">
        <f t="shared" si="105"/>
        <v>1226721.69</v>
      </c>
    </row>
    <row r="2071" spans="1:11" x14ac:dyDescent="0.2">
      <c r="A2071" s="168">
        <v>2064</v>
      </c>
      <c r="B2071" s="159">
        <v>594.63366392643309</v>
      </c>
      <c r="C2071" s="169">
        <f t="shared" si="104"/>
        <v>1227323.8823441579</v>
      </c>
      <c r="I2071" s="168">
        <v>2064</v>
      </c>
      <c r="J2071" s="159">
        <f>ROUND(B2071*('Model Data Inputs'!$E$184*'Model Data Inputs'!$E$185*'Model Data Inputs'!$E$186*'Model Data Inputs'!$E$187),2)</f>
        <v>594.63</v>
      </c>
      <c r="K2071" s="169">
        <f t="shared" si="105"/>
        <v>1227316.32</v>
      </c>
    </row>
    <row r="2072" spans="1:11" x14ac:dyDescent="0.2">
      <c r="A2072" s="168">
        <v>2065</v>
      </c>
      <c r="B2072" s="159">
        <v>594.63366392643309</v>
      </c>
      <c r="C2072" s="169">
        <f t="shared" si="104"/>
        <v>1227918.5160080844</v>
      </c>
      <c r="I2072" s="168">
        <v>2065</v>
      </c>
      <c r="J2072" s="159">
        <f>ROUND(B2072*('Model Data Inputs'!$E$184*'Model Data Inputs'!$E$185*'Model Data Inputs'!$E$186*'Model Data Inputs'!$E$187),2)</f>
        <v>594.63</v>
      </c>
      <c r="K2072" s="169">
        <f t="shared" si="105"/>
        <v>1227910.95</v>
      </c>
    </row>
    <row r="2073" spans="1:11" x14ac:dyDescent="0.2">
      <c r="A2073" s="168">
        <v>2066</v>
      </c>
      <c r="B2073" s="159">
        <v>594.63366392643309</v>
      </c>
      <c r="C2073" s="169">
        <f t="shared" si="104"/>
        <v>1228513.1496720107</v>
      </c>
      <c r="I2073" s="168">
        <v>2066</v>
      </c>
      <c r="J2073" s="159">
        <f>ROUND(B2073*('Model Data Inputs'!$E$184*'Model Data Inputs'!$E$185*'Model Data Inputs'!$E$186*'Model Data Inputs'!$E$187),2)</f>
        <v>594.63</v>
      </c>
      <c r="K2073" s="169">
        <f t="shared" si="105"/>
        <v>1228505.58</v>
      </c>
    </row>
    <row r="2074" spans="1:11" x14ac:dyDescent="0.2">
      <c r="A2074" s="168">
        <v>2067</v>
      </c>
      <c r="B2074" s="159">
        <v>594.63366392643309</v>
      </c>
      <c r="C2074" s="169">
        <f t="shared" si="104"/>
        <v>1229107.7833359372</v>
      </c>
      <c r="I2074" s="168">
        <v>2067</v>
      </c>
      <c r="J2074" s="159">
        <f>ROUND(B2074*('Model Data Inputs'!$E$184*'Model Data Inputs'!$E$185*'Model Data Inputs'!$E$186*'Model Data Inputs'!$E$187),2)</f>
        <v>594.63</v>
      </c>
      <c r="K2074" s="169">
        <f t="shared" si="105"/>
        <v>1229100.21</v>
      </c>
    </row>
    <row r="2075" spans="1:11" x14ac:dyDescent="0.2">
      <c r="A2075" s="168">
        <v>2068</v>
      </c>
      <c r="B2075" s="159">
        <v>594.63366392643309</v>
      </c>
      <c r="C2075" s="169">
        <f t="shared" si="104"/>
        <v>1229702.4169998637</v>
      </c>
      <c r="I2075" s="168">
        <v>2068</v>
      </c>
      <c r="J2075" s="159">
        <f>ROUND(B2075*('Model Data Inputs'!$E$184*'Model Data Inputs'!$E$185*'Model Data Inputs'!$E$186*'Model Data Inputs'!$E$187),2)</f>
        <v>594.63</v>
      </c>
      <c r="K2075" s="169">
        <f t="shared" si="105"/>
        <v>1229694.8400000001</v>
      </c>
    </row>
    <row r="2076" spans="1:11" x14ac:dyDescent="0.2">
      <c r="A2076" s="168">
        <v>2069</v>
      </c>
      <c r="B2076" s="159">
        <v>594.63366392643309</v>
      </c>
      <c r="C2076" s="169">
        <f t="shared" si="104"/>
        <v>1230297.05066379</v>
      </c>
      <c r="I2076" s="168">
        <v>2069</v>
      </c>
      <c r="J2076" s="159">
        <f>ROUND(B2076*('Model Data Inputs'!$E$184*'Model Data Inputs'!$E$185*'Model Data Inputs'!$E$186*'Model Data Inputs'!$E$187),2)</f>
        <v>594.63</v>
      </c>
      <c r="K2076" s="169">
        <f t="shared" si="105"/>
        <v>1230289.47</v>
      </c>
    </row>
    <row r="2077" spans="1:11" x14ac:dyDescent="0.2">
      <c r="A2077" s="168">
        <v>2070</v>
      </c>
      <c r="B2077" s="159">
        <v>594.63366392643309</v>
      </c>
      <c r="C2077" s="169">
        <f t="shared" si="104"/>
        <v>1230891.6843277165</v>
      </c>
      <c r="I2077" s="168">
        <v>2070</v>
      </c>
      <c r="J2077" s="159">
        <f>ROUND(B2077*('Model Data Inputs'!$E$184*'Model Data Inputs'!$E$185*'Model Data Inputs'!$E$186*'Model Data Inputs'!$E$187),2)</f>
        <v>594.63</v>
      </c>
      <c r="K2077" s="169">
        <f t="shared" si="105"/>
        <v>1230884.1000000001</v>
      </c>
    </row>
    <row r="2078" spans="1:11" x14ac:dyDescent="0.2">
      <c r="A2078" s="168">
        <v>2071</v>
      </c>
      <c r="B2078" s="159">
        <v>594.63366392643309</v>
      </c>
      <c r="C2078" s="169">
        <f t="shared" si="104"/>
        <v>1231486.317991643</v>
      </c>
      <c r="I2078" s="168">
        <v>2071</v>
      </c>
      <c r="J2078" s="159">
        <f>ROUND(B2078*('Model Data Inputs'!$E$184*'Model Data Inputs'!$E$185*'Model Data Inputs'!$E$186*'Model Data Inputs'!$E$187),2)</f>
        <v>594.63</v>
      </c>
      <c r="K2078" s="169">
        <f t="shared" si="105"/>
        <v>1231478.73</v>
      </c>
    </row>
    <row r="2079" spans="1:11" x14ac:dyDescent="0.2">
      <c r="A2079" s="168">
        <v>2072</v>
      </c>
      <c r="B2079" s="159">
        <v>594.63366392643309</v>
      </c>
      <c r="C2079" s="169">
        <f t="shared" si="104"/>
        <v>1232080.9516555693</v>
      </c>
      <c r="I2079" s="168">
        <v>2072</v>
      </c>
      <c r="J2079" s="159">
        <f>ROUND(B2079*('Model Data Inputs'!$E$184*'Model Data Inputs'!$E$185*'Model Data Inputs'!$E$186*'Model Data Inputs'!$E$187),2)</f>
        <v>594.63</v>
      </c>
      <c r="K2079" s="169">
        <f t="shared" si="105"/>
        <v>1232073.3600000001</v>
      </c>
    </row>
    <row r="2080" spans="1:11" x14ac:dyDescent="0.2">
      <c r="A2080" s="168">
        <v>2073</v>
      </c>
      <c r="B2080" s="159">
        <v>594.63366392643309</v>
      </c>
      <c r="C2080" s="169">
        <f t="shared" si="104"/>
        <v>1232675.5853194958</v>
      </c>
      <c r="I2080" s="168">
        <v>2073</v>
      </c>
      <c r="J2080" s="159">
        <f>ROUND(B2080*('Model Data Inputs'!$E$184*'Model Data Inputs'!$E$185*'Model Data Inputs'!$E$186*'Model Data Inputs'!$E$187),2)</f>
        <v>594.63</v>
      </c>
      <c r="K2080" s="169">
        <f t="shared" si="105"/>
        <v>1232667.99</v>
      </c>
    </row>
    <row r="2081" spans="1:11" x14ac:dyDescent="0.2">
      <c r="A2081" s="168">
        <v>2074</v>
      </c>
      <c r="B2081" s="159">
        <v>594.63366392643309</v>
      </c>
      <c r="C2081" s="169">
        <f t="shared" si="104"/>
        <v>1233270.2189834223</v>
      </c>
      <c r="I2081" s="168">
        <v>2074</v>
      </c>
      <c r="J2081" s="159">
        <f>ROUND(B2081*('Model Data Inputs'!$E$184*'Model Data Inputs'!$E$185*'Model Data Inputs'!$E$186*'Model Data Inputs'!$E$187),2)</f>
        <v>594.63</v>
      </c>
      <c r="K2081" s="169">
        <f t="shared" si="105"/>
        <v>1233262.6199999999</v>
      </c>
    </row>
    <row r="2082" spans="1:11" x14ac:dyDescent="0.2">
      <c r="A2082" s="168">
        <v>2075</v>
      </c>
      <c r="B2082" s="159">
        <v>594.63366392643309</v>
      </c>
      <c r="C2082" s="169">
        <f t="shared" si="104"/>
        <v>1233864.8526473485</v>
      </c>
      <c r="I2082" s="168">
        <v>2075</v>
      </c>
      <c r="J2082" s="159">
        <f>ROUND(B2082*('Model Data Inputs'!$E$184*'Model Data Inputs'!$E$185*'Model Data Inputs'!$E$186*'Model Data Inputs'!$E$187),2)</f>
        <v>594.63</v>
      </c>
      <c r="K2082" s="169">
        <f t="shared" si="105"/>
        <v>1233857.25</v>
      </c>
    </row>
    <row r="2083" spans="1:11" x14ac:dyDescent="0.2">
      <c r="A2083" s="168">
        <v>2076</v>
      </c>
      <c r="B2083" s="159">
        <v>594.63366392643309</v>
      </c>
      <c r="C2083" s="169">
        <f t="shared" si="104"/>
        <v>1234459.486311275</v>
      </c>
      <c r="I2083" s="168">
        <v>2076</v>
      </c>
      <c r="J2083" s="159">
        <f>ROUND(B2083*('Model Data Inputs'!$E$184*'Model Data Inputs'!$E$185*'Model Data Inputs'!$E$186*'Model Data Inputs'!$E$187),2)</f>
        <v>594.63</v>
      </c>
      <c r="K2083" s="169">
        <f t="shared" si="105"/>
        <v>1234451.8799999999</v>
      </c>
    </row>
    <row r="2084" spans="1:11" x14ac:dyDescent="0.2">
      <c r="A2084" s="168">
        <v>2077</v>
      </c>
      <c r="B2084" s="159">
        <v>594.63366392643309</v>
      </c>
      <c r="C2084" s="169">
        <f t="shared" si="104"/>
        <v>1235054.1199752016</v>
      </c>
      <c r="I2084" s="168">
        <v>2077</v>
      </c>
      <c r="J2084" s="159">
        <f>ROUND(B2084*('Model Data Inputs'!$E$184*'Model Data Inputs'!$E$185*'Model Data Inputs'!$E$186*'Model Data Inputs'!$E$187),2)</f>
        <v>594.63</v>
      </c>
      <c r="K2084" s="169">
        <f t="shared" si="105"/>
        <v>1235046.51</v>
      </c>
    </row>
    <row r="2085" spans="1:11" x14ac:dyDescent="0.2">
      <c r="A2085" s="168">
        <v>2078</v>
      </c>
      <c r="B2085" s="159">
        <v>594.63366392643309</v>
      </c>
      <c r="C2085" s="169">
        <f t="shared" si="104"/>
        <v>1235648.7536391281</v>
      </c>
      <c r="I2085" s="168">
        <v>2078</v>
      </c>
      <c r="J2085" s="159">
        <f>ROUND(B2085*('Model Data Inputs'!$E$184*'Model Data Inputs'!$E$185*'Model Data Inputs'!$E$186*'Model Data Inputs'!$E$187),2)</f>
        <v>594.63</v>
      </c>
      <c r="K2085" s="169">
        <f t="shared" si="105"/>
        <v>1235641.1399999999</v>
      </c>
    </row>
    <row r="2086" spans="1:11" x14ac:dyDescent="0.2">
      <c r="A2086" s="168">
        <v>2079</v>
      </c>
      <c r="B2086" s="159">
        <v>594.63366392643309</v>
      </c>
      <c r="C2086" s="169">
        <f t="shared" si="104"/>
        <v>1236243.3873030543</v>
      </c>
      <c r="I2086" s="168">
        <v>2079</v>
      </c>
      <c r="J2086" s="159">
        <f>ROUND(B2086*('Model Data Inputs'!$E$184*'Model Data Inputs'!$E$185*'Model Data Inputs'!$E$186*'Model Data Inputs'!$E$187),2)</f>
        <v>594.63</v>
      </c>
      <c r="K2086" s="169">
        <f t="shared" si="105"/>
        <v>1236235.77</v>
      </c>
    </row>
    <row r="2087" spans="1:11" x14ac:dyDescent="0.2">
      <c r="A2087" s="168">
        <v>2080</v>
      </c>
      <c r="B2087" s="159">
        <v>594.63366392643309</v>
      </c>
      <c r="C2087" s="169">
        <f t="shared" si="104"/>
        <v>1236838.0209669808</v>
      </c>
      <c r="I2087" s="168">
        <v>2080</v>
      </c>
      <c r="J2087" s="159">
        <f>ROUND(B2087*('Model Data Inputs'!$E$184*'Model Data Inputs'!$E$185*'Model Data Inputs'!$E$186*'Model Data Inputs'!$E$187),2)</f>
        <v>594.63</v>
      </c>
      <c r="K2087" s="169">
        <f t="shared" si="105"/>
        <v>1236830.3999999999</v>
      </c>
    </row>
    <row r="2088" spans="1:11" x14ac:dyDescent="0.2">
      <c r="A2088" s="168">
        <v>2081</v>
      </c>
      <c r="B2088" s="159">
        <v>594.63366392643309</v>
      </c>
      <c r="C2088" s="169">
        <f t="shared" si="104"/>
        <v>1237432.6546309073</v>
      </c>
      <c r="I2088" s="168">
        <v>2081</v>
      </c>
      <c r="J2088" s="159">
        <f>ROUND(B2088*('Model Data Inputs'!$E$184*'Model Data Inputs'!$E$185*'Model Data Inputs'!$E$186*'Model Data Inputs'!$E$187),2)</f>
        <v>594.63</v>
      </c>
      <c r="K2088" s="169">
        <f t="shared" si="105"/>
        <v>1237425.03</v>
      </c>
    </row>
    <row r="2089" spans="1:11" x14ac:dyDescent="0.2">
      <c r="A2089" s="168">
        <v>2082</v>
      </c>
      <c r="B2089" s="159">
        <v>594.63366392643309</v>
      </c>
      <c r="C2089" s="169">
        <f t="shared" si="104"/>
        <v>1238027.2882948336</v>
      </c>
      <c r="I2089" s="168">
        <v>2082</v>
      </c>
      <c r="J2089" s="159">
        <f>ROUND(B2089*('Model Data Inputs'!$E$184*'Model Data Inputs'!$E$185*'Model Data Inputs'!$E$186*'Model Data Inputs'!$E$187),2)</f>
        <v>594.63</v>
      </c>
      <c r="K2089" s="169">
        <f t="shared" si="105"/>
        <v>1238019.6599999999</v>
      </c>
    </row>
    <row r="2090" spans="1:11" x14ac:dyDescent="0.2">
      <c r="A2090" s="168">
        <v>2083</v>
      </c>
      <c r="B2090" s="159">
        <v>594.63366392643309</v>
      </c>
      <c r="C2090" s="169">
        <f t="shared" si="104"/>
        <v>1238621.9219587601</v>
      </c>
      <c r="I2090" s="168">
        <v>2083</v>
      </c>
      <c r="J2090" s="159">
        <f>ROUND(B2090*('Model Data Inputs'!$E$184*'Model Data Inputs'!$E$185*'Model Data Inputs'!$E$186*'Model Data Inputs'!$E$187),2)</f>
        <v>594.63</v>
      </c>
      <c r="K2090" s="169">
        <f t="shared" si="105"/>
        <v>1238614.29</v>
      </c>
    </row>
    <row r="2091" spans="1:11" x14ac:dyDescent="0.2">
      <c r="A2091" s="168">
        <v>2084</v>
      </c>
      <c r="B2091" s="159">
        <v>594.63366392643309</v>
      </c>
      <c r="C2091" s="169">
        <f t="shared" si="104"/>
        <v>1239216.5556226866</v>
      </c>
      <c r="I2091" s="168">
        <v>2084</v>
      </c>
      <c r="J2091" s="159">
        <f>ROUND(B2091*('Model Data Inputs'!$E$184*'Model Data Inputs'!$E$185*'Model Data Inputs'!$E$186*'Model Data Inputs'!$E$187),2)</f>
        <v>594.63</v>
      </c>
      <c r="K2091" s="169">
        <f t="shared" si="105"/>
        <v>1239208.92</v>
      </c>
    </row>
    <row r="2092" spans="1:11" x14ac:dyDescent="0.2">
      <c r="A2092" s="168">
        <v>2085</v>
      </c>
      <c r="B2092" s="159">
        <v>594.63366392643309</v>
      </c>
      <c r="C2092" s="169">
        <f t="shared" si="104"/>
        <v>1239811.1892866129</v>
      </c>
      <c r="I2092" s="168">
        <v>2085</v>
      </c>
      <c r="J2092" s="159">
        <f>ROUND(B2092*('Model Data Inputs'!$E$184*'Model Data Inputs'!$E$185*'Model Data Inputs'!$E$186*'Model Data Inputs'!$E$187),2)</f>
        <v>594.63</v>
      </c>
      <c r="K2092" s="169">
        <f t="shared" si="105"/>
        <v>1239803.55</v>
      </c>
    </row>
    <row r="2093" spans="1:11" x14ac:dyDescent="0.2">
      <c r="A2093" s="168">
        <v>2086</v>
      </c>
      <c r="B2093" s="159">
        <v>594.63366392643309</v>
      </c>
      <c r="C2093" s="169">
        <f t="shared" si="104"/>
        <v>1240405.8229505394</v>
      </c>
      <c r="I2093" s="168">
        <v>2086</v>
      </c>
      <c r="J2093" s="159">
        <f>ROUND(B2093*('Model Data Inputs'!$E$184*'Model Data Inputs'!$E$185*'Model Data Inputs'!$E$186*'Model Data Inputs'!$E$187),2)</f>
        <v>594.63</v>
      </c>
      <c r="K2093" s="169">
        <f t="shared" si="105"/>
        <v>1240398.18</v>
      </c>
    </row>
    <row r="2094" spans="1:11" x14ac:dyDescent="0.2">
      <c r="A2094" s="168">
        <v>2087</v>
      </c>
      <c r="B2094" s="159">
        <v>594.63366392643309</v>
      </c>
      <c r="C2094" s="169">
        <f t="shared" si="104"/>
        <v>1241000.4566144659</v>
      </c>
      <c r="I2094" s="168">
        <v>2087</v>
      </c>
      <c r="J2094" s="159">
        <f>ROUND(B2094*('Model Data Inputs'!$E$184*'Model Data Inputs'!$E$185*'Model Data Inputs'!$E$186*'Model Data Inputs'!$E$187),2)</f>
        <v>594.63</v>
      </c>
      <c r="K2094" s="169">
        <f t="shared" si="105"/>
        <v>1240992.81</v>
      </c>
    </row>
    <row r="2095" spans="1:11" x14ac:dyDescent="0.2">
      <c r="A2095" s="168">
        <v>2088</v>
      </c>
      <c r="B2095" s="159">
        <v>594.63366392643309</v>
      </c>
      <c r="C2095" s="169">
        <f t="shared" si="104"/>
        <v>1241595.0902783922</v>
      </c>
      <c r="I2095" s="168">
        <v>2088</v>
      </c>
      <c r="J2095" s="159">
        <f>ROUND(B2095*('Model Data Inputs'!$E$184*'Model Data Inputs'!$E$185*'Model Data Inputs'!$E$186*'Model Data Inputs'!$E$187),2)</f>
        <v>594.63</v>
      </c>
      <c r="K2095" s="169">
        <f t="shared" si="105"/>
        <v>1241587.44</v>
      </c>
    </row>
    <row r="2096" spans="1:11" x14ac:dyDescent="0.2">
      <c r="A2096" s="168">
        <v>2089</v>
      </c>
      <c r="B2096" s="159">
        <v>594.63366392643309</v>
      </c>
      <c r="C2096" s="169">
        <f t="shared" si="104"/>
        <v>1242189.7239423187</v>
      </c>
      <c r="I2096" s="168">
        <v>2089</v>
      </c>
      <c r="J2096" s="159">
        <f>ROUND(B2096*('Model Data Inputs'!$E$184*'Model Data Inputs'!$E$185*'Model Data Inputs'!$E$186*'Model Data Inputs'!$E$187),2)</f>
        <v>594.63</v>
      </c>
      <c r="K2096" s="169">
        <f t="shared" si="105"/>
        <v>1242182.07</v>
      </c>
    </row>
    <row r="2097" spans="1:11" x14ac:dyDescent="0.2">
      <c r="A2097" s="168">
        <v>2090</v>
      </c>
      <c r="B2097" s="159">
        <v>594.63366392643309</v>
      </c>
      <c r="C2097" s="169">
        <f t="shared" si="104"/>
        <v>1242784.3576062452</v>
      </c>
      <c r="I2097" s="168">
        <v>2090</v>
      </c>
      <c r="J2097" s="159">
        <f>ROUND(B2097*('Model Data Inputs'!$E$184*'Model Data Inputs'!$E$185*'Model Data Inputs'!$E$186*'Model Data Inputs'!$E$187),2)</f>
        <v>594.63</v>
      </c>
      <c r="K2097" s="169">
        <f t="shared" si="105"/>
        <v>1242776.7</v>
      </c>
    </row>
    <row r="2098" spans="1:11" x14ac:dyDescent="0.2">
      <c r="A2098" s="168">
        <v>2091</v>
      </c>
      <c r="B2098" s="159">
        <v>594.63366392643309</v>
      </c>
      <c r="C2098" s="169">
        <f t="shared" si="104"/>
        <v>1243378.9912701715</v>
      </c>
      <c r="I2098" s="168">
        <v>2091</v>
      </c>
      <c r="J2098" s="159">
        <f>ROUND(B2098*('Model Data Inputs'!$E$184*'Model Data Inputs'!$E$185*'Model Data Inputs'!$E$186*'Model Data Inputs'!$E$187),2)</f>
        <v>594.63</v>
      </c>
      <c r="K2098" s="169">
        <f t="shared" si="105"/>
        <v>1243371.33</v>
      </c>
    </row>
    <row r="2099" spans="1:11" x14ac:dyDescent="0.2">
      <c r="A2099" s="168">
        <v>2092</v>
      </c>
      <c r="B2099" s="159">
        <v>594.63366392643309</v>
      </c>
      <c r="C2099" s="169">
        <f t="shared" si="104"/>
        <v>1243973.624934098</v>
      </c>
      <c r="I2099" s="168">
        <v>2092</v>
      </c>
      <c r="J2099" s="159">
        <f>ROUND(B2099*('Model Data Inputs'!$E$184*'Model Data Inputs'!$E$185*'Model Data Inputs'!$E$186*'Model Data Inputs'!$E$187),2)</f>
        <v>594.63</v>
      </c>
      <c r="K2099" s="169">
        <f t="shared" si="105"/>
        <v>1243965.96</v>
      </c>
    </row>
    <row r="2100" spans="1:11" x14ac:dyDescent="0.2">
      <c r="A2100" s="168">
        <v>2093</v>
      </c>
      <c r="B2100" s="159">
        <v>594.63366392643309</v>
      </c>
      <c r="C2100" s="169">
        <f t="shared" si="104"/>
        <v>1244568.2585980245</v>
      </c>
      <c r="I2100" s="168">
        <v>2093</v>
      </c>
      <c r="J2100" s="159">
        <f>ROUND(B2100*('Model Data Inputs'!$E$184*'Model Data Inputs'!$E$185*'Model Data Inputs'!$E$186*'Model Data Inputs'!$E$187),2)</f>
        <v>594.63</v>
      </c>
      <c r="K2100" s="169">
        <f t="shared" si="105"/>
        <v>1244560.5900000001</v>
      </c>
    </row>
    <row r="2101" spans="1:11" x14ac:dyDescent="0.2">
      <c r="A2101" s="168">
        <v>2094</v>
      </c>
      <c r="B2101" s="159">
        <v>594.63366392643309</v>
      </c>
      <c r="C2101" s="169">
        <f t="shared" si="104"/>
        <v>1245162.892261951</v>
      </c>
      <c r="I2101" s="168">
        <v>2094</v>
      </c>
      <c r="J2101" s="159">
        <f>ROUND(B2101*('Model Data Inputs'!$E$184*'Model Data Inputs'!$E$185*'Model Data Inputs'!$E$186*'Model Data Inputs'!$E$187),2)</f>
        <v>594.63</v>
      </c>
      <c r="K2101" s="169">
        <f t="shared" si="105"/>
        <v>1245155.22</v>
      </c>
    </row>
    <row r="2102" spans="1:11" x14ac:dyDescent="0.2">
      <c r="A2102" s="168">
        <v>2095</v>
      </c>
      <c r="B2102" s="159">
        <v>594.63366392643309</v>
      </c>
      <c r="C2102" s="169">
        <f t="shared" si="104"/>
        <v>1245757.5259258773</v>
      </c>
      <c r="I2102" s="168">
        <v>2095</v>
      </c>
      <c r="J2102" s="159">
        <f>ROUND(B2102*('Model Data Inputs'!$E$184*'Model Data Inputs'!$E$185*'Model Data Inputs'!$E$186*'Model Data Inputs'!$E$187),2)</f>
        <v>594.63</v>
      </c>
      <c r="K2102" s="169">
        <f t="shared" si="105"/>
        <v>1245749.8500000001</v>
      </c>
    </row>
    <row r="2103" spans="1:11" x14ac:dyDescent="0.2">
      <c r="A2103" s="168">
        <v>2096</v>
      </c>
      <c r="B2103" s="159">
        <v>594.63366392643309</v>
      </c>
      <c r="C2103" s="169">
        <f t="shared" si="104"/>
        <v>1246352.1595898038</v>
      </c>
      <c r="I2103" s="168">
        <v>2096</v>
      </c>
      <c r="J2103" s="159">
        <f>ROUND(B2103*('Model Data Inputs'!$E$184*'Model Data Inputs'!$E$185*'Model Data Inputs'!$E$186*'Model Data Inputs'!$E$187),2)</f>
        <v>594.63</v>
      </c>
      <c r="K2103" s="169">
        <f t="shared" si="105"/>
        <v>1246344.48</v>
      </c>
    </row>
    <row r="2104" spans="1:11" x14ac:dyDescent="0.2">
      <c r="A2104" s="168">
        <v>2097</v>
      </c>
      <c r="B2104" s="159">
        <v>594.63366392643309</v>
      </c>
      <c r="C2104" s="169">
        <f t="shared" si="104"/>
        <v>1246946.7932537303</v>
      </c>
      <c r="I2104" s="168">
        <v>2097</v>
      </c>
      <c r="J2104" s="159">
        <f>ROUND(B2104*('Model Data Inputs'!$E$184*'Model Data Inputs'!$E$185*'Model Data Inputs'!$E$186*'Model Data Inputs'!$E$187),2)</f>
        <v>594.63</v>
      </c>
      <c r="K2104" s="169">
        <f t="shared" si="105"/>
        <v>1246939.1100000001</v>
      </c>
    </row>
    <row r="2105" spans="1:11" x14ac:dyDescent="0.2">
      <c r="A2105" s="168">
        <v>2098</v>
      </c>
      <c r="B2105" s="159">
        <v>594.63366392643309</v>
      </c>
      <c r="C2105" s="169">
        <f t="shared" si="104"/>
        <v>1247541.4269176566</v>
      </c>
      <c r="I2105" s="168">
        <v>2098</v>
      </c>
      <c r="J2105" s="159">
        <f>ROUND(B2105*('Model Data Inputs'!$E$184*'Model Data Inputs'!$E$185*'Model Data Inputs'!$E$186*'Model Data Inputs'!$E$187),2)</f>
        <v>594.63</v>
      </c>
      <c r="K2105" s="169">
        <f t="shared" si="105"/>
        <v>1247533.74</v>
      </c>
    </row>
    <row r="2106" spans="1:11" x14ac:dyDescent="0.2">
      <c r="A2106" s="168">
        <v>2099</v>
      </c>
      <c r="B2106" s="159">
        <v>594.63366392643309</v>
      </c>
      <c r="C2106" s="169">
        <f t="shared" si="104"/>
        <v>1248136.0605815831</v>
      </c>
      <c r="I2106" s="168">
        <v>2099</v>
      </c>
      <c r="J2106" s="159">
        <f>ROUND(B2106*('Model Data Inputs'!$E$184*'Model Data Inputs'!$E$185*'Model Data Inputs'!$E$186*'Model Data Inputs'!$E$187),2)</f>
        <v>594.63</v>
      </c>
      <c r="K2106" s="169">
        <f t="shared" si="105"/>
        <v>1248128.3699999999</v>
      </c>
    </row>
    <row r="2107" spans="1:11" x14ac:dyDescent="0.2">
      <c r="A2107" s="168">
        <v>2100</v>
      </c>
      <c r="B2107" s="159">
        <v>594.63366392643309</v>
      </c>
      <c r="C2107" s="169">
        <f t="shared" si="104"/>
        <v>1248730.6942455096</v>
      </c>
      <c r="I2107" s="168">
        <v>2100</v>
      </c>
      <c r="J2107" s="159">
        <f>ROUND(B2107*('Model Data Inputs'!$E$184*'Model Data Inputs'!$E$185*'Model Data Inputs'!$E$186*'Model Data Inputs'!$E$187),2)</f>
        <v>594.63</v>
      </c>
      <c r="K2107" s="169">
        <f t="shared" si="105"/>
        <v>1248723</v>
      </c>
    </row>
    <row r="2108" spans="1:11" x14ac:dyDescent="0.2">
      <c r="A2108" s="168">
        <v>2101</v>
      </c>
      <c r="B2108" s="159">
        <v>594.63366392643309</v>
      </c>
      <c r="C2108" s="169">
        <f t="shared" si="104"/>
        <v>1249325.3279094358</v>
      </c>
      <c r="I2108" s="168">
        <v>2101</v>
      </c>
      <c r="J2108" s="159">
        <f>ROUND(B2108*('Model Data Inputs'!$E$184*'Model Data Inputs'!$E$185*'Model Data Inputs'!$E$186*'Model Data Inputs'!$E$187),2)</f>
        <v>594.63</v>
      </c>
      <c r="K2108" s="169">
        <f t="shared" si="105"/>
        <v>1249317.6299999999</v>
      </c>
    </row>
    <row r="2109" spans="1:11" x14ac:dyDescent="0.2">
      <c r="A2109" s="168">
        <v>2102</v>
      </c>
      <c r="B2109" s="159">
        <v>594.63366392643309</v>
      </c>
      <c r="C2109" s="169">
        <f t="shared" si="104"/>
        <v>1249919.9615733624</v>
      </c>
      <c r="I2109" s="168">
        <v>2102</v>
      </c>
      <c r="J2109" s="159">
        <f>ROUND(B2109*('Model Data Inputs'!$E$184*'Model Data Inputs'!$E$185*'Model Data Inputs'!$E$186*'Model Data Inputs'!$E$187),2)</f>
        <v>594.63</v>
      </c>
      <c r="K2109" s="169">
        <f t="shared" si="105"/>
        <v>1249912.26</v>
      </c>
    </row>
    <row r="2110" spans="1:11" x14ac:dyDescent="0.2">
      <c r="A2110" s="168">
        <v>2103</v>
      </c>
      <c r="B2110" s="159">
        <v>594.63366392643309</v>
      </c>
      <c r="C2110" s="169">
        <f t="shared" si="104"/>
        <v>1250514.5952372889</v>
      </c>
      <c r="I2110" s="168">
        <v>2103</v>
      </c>
      <c r="J2110" s="159">
        <f>ROUND(B2110*('Model Data Inputs'!$E$184*'Model Data Inputs'!$E$185*'Model Data Inputs'!$E$186*'Model Data Inputs'!$E$187),2)</f>
        <v>594.63</v>
      </c>
      <c r="K2110" s="169">
        <f t="shared" si="105"/>
        <v>1250506.8899999999</v>
      </c>
    </row>
    <row r="2111" spans="1:11" x14ac:dyDescent="0.2">
      <c r="A2111" s="168">
        <v>2104</v>
      </c>
      <c r="B2111" s="159">
        <v>594.63366392643309</v>
      </c>
      <c r="C2111" s="169">
        <f t="shared" si="104"/>
        <v>1251109.2289012151</v>
      </c>
      <c r="I2111" s="168">
        <v>2104</v>
      </c>
      <c r="J2111" s="159">
        <f>ROUND(B2111*('Model Data Inputs'!$E$184*'Model Data Inputs'!$E$185*'Model Data Inputs'!$E$186*'Model Data Inputs'!$E$187),2)</f>
        <v>594.63</v>
      </c>
      <c r="K2111" s="169">
        <f t="shared" si="105"/>
        <v>1251101.52</v>
      </c>
    </row>
    <row r="2112" spans="1:11" x14ac:dyDescent="0.2">
      <c r="A2112" s="168">
        <v>2105</v>
      </c>
      <c r="B2112" s="159">
        <v>594.63366392643309</v>
      </c>
      <c r="C2112" s="169">
        <f t="shared" si="104"/>
        <v>1251703.8625651416</v>
      </c>
      <c r="I2112" s="168">
        <v>2105</v>
      </c>
      <c r="J2112" s="159">
        <f>ROUND(B2112*('Model Data Inputs'!$E$184*'Model Data Inputs'!$E$185*'Model Data Inputs'!$E$186*'Model Data Inputs'!$E$187),2)</f>
        <v>594.63</v>
      </c>
      <c r="K2112" s="169">
        <f t="shared" si="105"/>
        <v>1251696.1499999999</v>
      </c>
    </row>
    <row r="2113" spans="1:11" x14ac:dyDescent="0.2">
      <c r="A2113" s="168">
        <v>2106</v>
      </c>
      <c r="B2113" s="159">
        <v>594.63366392643309</v>
      </c>
      <c r="C2113" s="169">
        <f t="shared" si="104"/>
        <v>1252298.4962290681</v>
      </c>
      <c r="I2113" s="168">
        <v>2106</v>
      </c>
      <c r="J2113" s="159">
        <f>ROUND(B2113*('Model Data Inputs'!$E$184*'Model Data Inputs'!$E$185*'Model Data Inputs'!$E$186*'Model Data Inputs'!$E$187),2)</f>
        <v>594.63</v>
      </c>
      <c r="K2113" s="169">
        <f t="shared" si="105"/>
        <v>1252290.78</v>
      </c>
    </row>
    <row r="2114" spans="1:11" x14ac:dyDescent="0.2">
      <c r="A2114" s="168">
        <v>2107</v>
      </c>
      <c r="B2114" s="159">
        <v>594.63366392643309</v>
      </c>
      <c r="C2114" s="169">
        <f t="shared" si="104"/>
        <v>1252893.1298929944</v>
      </c>
      <c r="I2114" s="168">
        <v>2107</v>
      </c>
      <c r="J2114" s="159">
        <f>ROUND(B2114*('Model Data Inputs'!$E$184*'Model Data Inputs'!$E$185*'Model Data Inputs'!$E$186*'Model Data Inputs'!$E$187),2)</f>
        <v>594.63</v>
      </c>
      <c r="K2114" s="169">
        <f t="shared" si="105"/>
        <v>1252885.4099999999</v>
      </c>
    </row>
    <row r="2115" spans="1:11" x14ac:dyDescent="0.2">
      <c r="A2115" s="168">
        <v>2108</v>
      </c>
      <c r="B2115" s="159">
        <v>594.63366392643309</v>
      </c>
      <c r="C2115" s="169">
        <f t="shared" si="104"/>
        <v>1253487.7635569209</v>
      </c>
      <c r="I2115" s="168">
        <v>2108</v>
      </c>
      <c r="J2115" s="159">
        <f>ROUND(B2115*('Model Data Inputs'!$E$184*'Model Data Inputs'!$E$185*'Model Data Inputs'!$E$186*'Model Data Inputs'!$E$187),2)</f>
        <v>594.63</v>
      </c>
      <c r="K2115" s="169">
        <f t="shared" si="105"/>
        <v>1253480.04</v>
      </c>
    </row>
    <row r="2116" spans="1:11" x14ac:dyDescent="0.2">
      <c r="A2116" s="168">
        <v>2109</v>
      </c>
      <c r="B2116" s="159">
        <v>594.63366392643309</v>
      </c>
      <c r="C2116" s="169">
        <f t="shared" si="104"/>
        <v>1254082.3972208474</v>
      </c>
      <c r="I2116" s="168">
        <v>2109</v>
      </c>
      <c r="J2116" s="159">
        <f>ROUND(B2116*('Model Data Inputs'!$E$184*'Model Data Inputs'!$E$185*'Model Data Inputs'!$E$186*'Model Data Inputs'!$E$187),2)</f>
        <v>594.63</v>
      </c>
      <c r="K2116" s="169">
        <f t="shared" si="105"/>
        <v>1254074.67</v>
      </c>
    </row>
    <row r="2117" spans="1:11" x14ac:dyDescent="0.2">
      <c r="A2117" s="168">
        <v>2110</v>
      </c>
      <c r="B2117" s="159">
        <v>594.63366392643309</v>
      </c>
      <c r="C2117" s="169">
        <f t="shared" si="104"/>
        <v>1254677.0308847737</v>
      </c>
      <c r="I2117" s="168">
        <v>2110</v>
      </c>
      <c r="J2117" s="159">
        <f>ROUND(B2117*('Model Data Inputs'!$E$184*'Model Data Inputs'!$E$185*'Model Data Inputs'!$E$186*'Model Data Inputs'!$E$187),2)</f>
        <v>594.63</v>
      </c>
      <c r="K2117" s="169">
        <f t="shared" si="105"/>
        <v>1254669.3</v>
      </c>
    </row>
    <row r="2118" spans="1:11" x14ac:dyDescent="0.2">
      <c r="A2118" s="168">
        <v>2111</v>
      </c>
      <c r="B2118" s="159">
        <v>594.63366392643309</v>
      </c>
      <c r="C2118" s="169">
        <f t="shared" si="104"/>
        <v>1255271.6645487002</v>
      </c>
      <c r="I2118" s="168">
        <v>2111</v>
      </c>
      <c r="J2118" s="159">
        <f>ROUND(B2118*('Model Data Inputs'!$E$184*'Model Data Inputs'!$E$185*'Model Data Inputs'!$E$186*'Model Data Inputs'!$E$187),2)</f>
        <v>594.63</v>
      </c>
      <c r="K2118" s="169">
        <f t="shared" si="105"/>
        <v>1255263.93</v>
      </c>
    </row>
    <row r="2119" spans="1:11" x14ac:dyDescent="0.2">
      <c r="A2119" s="168">
        <v>2112</v>
      </c>
      <c r="B2119" s="159">
        <v>594.63366392643309</v>
      </c>
      <c r="C2119" s="169">
        <f t="shared" si="104"/>
        <v>1255866.2982126267</v>
      </c>
      <c r="I2119" s="168">
        <v>2112</v>
      </c>
      <c r="J2119" s="159">
        <f>ROUND(B2119*('Model Data Inputs'!$E$184*'Model Data Inputs'!$E$185*'Model Data Inputs'!$E$186*'Model Data Inputs'!$E$187),2)</f>
        <v>594.63</v>
      </c>
      <c r="K2119" s="169">
        <f t="shared" si="105"/>
        <v>1255858.56</v>
      </c>
    </row>
    <row r="2120" spans="1:11" x14ac:dyDescent="0.2">
      <c r="A2120" s="168">
        <v>2113</v>
      </c>
      <c r="B2120" s="159">
        <v>594.63366392643309</v>
      </c>
      <c r="C2120" s="169">
        <f t="shared" ref="C2120:C2183" si="106">A2120*B2120</f>
        <v>1256460.9318765532</v>
      </c>
      <c r="I2120" s="168">
        <v>2113</v>
      </c>
      <c r="J2120" s="159">
        <f>ROUND(B2120*('Model Data Inputs'!$E$184*'Model Data Inputs'!$E$185*'Model Data Inputs'!$E$186*'Model Data Inputs'!$E$187),2)</f>
        <v>594.63</v>
      </c>
      <c r="K2120" s="169">
        <f t="shared" ref="K2120:K2183" si="107">I2120*J2120</f>
        <v>1256453.19</v>
      </c>
    </row>
    <row r="2121" spans="1:11" x14ac:dyDescent="0.2">
      <c r="A2121" s="168">
        <v>2114</v>
      </c>
      <c r="B2121" s="159">
        <v>594.63366392643309</v>
      </c>
      <c r="C2121" s="169">
        <f t="shared" si="106"/>
        <v>1257055.5655404795</v>
      </c>
      <c r="I2121" s="168">
        <v>2114</v>
      </c>
      <c r="J2121" s="159">
        <f>ROUND(B2121*('Model Data Inputs'!$E$184*'Model Data Inputs'!$E$185*'Model Data Inputs'!$E$186*'Model Data Inputs'!$E$187),2)</f>
        <v>594.63</v>
      </c>
      <c r="K2121" s="169">
        <f t="shared" si="107"/>
        <v>1257047.82</v>
      </c>
    </row>
    <row r="2122" spans="1:11" x14ac:dyDescent="0.2">
      <c r="A2122" s="168">
        <v>2115</v>
      </c>
      <c r="B2122" s="159">
        <v>594.63366392643309</v>
      </c>
      <c r="C2122" s="169">
        <f t="shared" si="106"/>
        <v>1257650.199204406</v>
      </c>
      <c r="I2122" s="168">
        <v>2115</v>
      </c>
      <c r="J2122" s="159">
        <f>ROUND(B2122*('Model Data Inputs'!$E$184*'Model Data Inputs'!$E$185*'Model Data Inputs'!$E$186*'Model Data Inputs'!$E$187),2)</f>
        <v>594.63</v>
      </c>
      <c r="K2122" s="169">
        <f t="shared" si="107"/>
        <v>1257642.45</v>
      </c>
    </row>
    <row r="2123" spans="1:11" x14ac:dyDescent="0.2">
      <c r="A2123" s="168">
        <v>2116</v>
      </c>
      <c r="B2123" s="159">
        <v>594.63366392643309</v>
      </c>
      <c r="C2123" s="169">
        <f t="shared" si="106"/>
        <v>1258244.8328683325</v>
      </c>
      <c r="I2123" s="168">
        <v>2116</v>
      </c>
      <c r="J2123" s="159">
        <f>ROUND(B2123*('Model Data Inputs'!$E$184*'Model Data Inputs'!$E$185*'Model Data Inputs'!$E$186*'Model Data Inputs'!$E$187),2)</f>
        <v>594.63</v>
      </c>
      <c r="K2123" s="169">
        <f t="shared" si="107"/>
        <v>1258237.08</v>
      </c>
    </row>
    <row r="2124" spans="1:11" x14ac:dyDescent="0.2">
      <c r="A2124" s="168">
        <v>2117</v>
      </c>
      <c r="B2124" s="159">
        <v>594.63366392643309</v>
      </c>
      <c r="C2124" s="169">
        <f t="shared" si="106"/>
        <v>1258839.4665322588</v>
      </c>
      <c r="I2124" s="168">
        <v>2117</v>
      </c>
      <c r="J2124" s="159">
        <f>ROUND(B2124*('Model Data Inputs'!$E$184*'Model Data Inputs'!$E$185*'Model Data Inputs'!$E$186*'Model Data Inputs'!$E$187),2)</f>
        <v>594.63</v>
      </c>
      <c r="K2124" s="169">
        <f t="shared" si="107"/>
        <v>1258831.71</v>
      </c>
    </row>
    <row r="2125" spans="1:11" x14ac:dyDescent="0.2">
      <c r="A2125" s="168">
        <v>2118</v>
      </c>
      <c r="B2125" s="159">
        <v>594.63366392643309</v>
      </c>
      <c r="C2125" s="169">
        <f t="shared" si="106"/>
        <v>1259434.1001961853</v>
      </c>
      <c r="I2125" s="168">
        <v>2118</v>
      </c>
      <c r="J2125" s="159">
        <f>ROUND(B2125*('Model Data Inputs'!$E$184*'Model Data Inputs'!$E$185*'Model Data Inputs'!$E$186*'Model Data Inputs'!$E$187),2)</f>
        <v>594.63</v>
      </c>
      <c r="K2125" s="169">
        <f t="shared" si="107"/>
        <v>1259426.3400000001</v>
      </c>
    </row>
    <row r="2126" spans="1:11" x14ac:dyDescent="0.2">
      <c r="A2126" s="168">
        <v>2119</v>
      </c>
      <c r="B2126" s="159">
        <v>594.63366392643309</v>
      </c>
      <c r="C2126" s="169">
        <f t="shared" si="106"/>
        <v>1260028.7338601118</v>
      </c>
      <c r="I2126" s="168">
        <v>2119</v>
      </c>
      <c r="J2126" s="159">
        <f>ROUND(B2126*('Model Data Inputs'!$E$184*'Model Data Inputs'!$E$185*'Model Data Inputs'!$E$186*'Model Data Inputs'!$E$187),2)</f>
        <v>594.63</v>
      </c>
      <c r="K2126" s="169">
        <f t="shared" si="107"/>
        <v>1260020.97</v>
      </c>
    </row>
    <row r="2127" spans="1:11" x14ac:dyDescent="0.2">
      <c r="A2127" s="168">
        <v>2120</v>
      </c>
      <c r="B2127" s="159">
        <v>594.63366392643309</v>
      </c>
      <c r="C2127" s="169">
        <f t="shared" si="106"/>
        <v>1260623.3675240381</v>
      </c>
      <c r="I2127" s="168">
        <v>2120</v>
      </c>
      <c r="J2127" s="159">
        <f>ROUND(B2127*('Model Data Inputs'!$E$184*'Model Data Inputs'!$E$185*'Model Data Inputs'!$E$186*'Model Data Inputs'!$E$187),2)</f>
        <v>594.63</v>
      </c>
      <c r="K2127" s="169">
        <f t="shared" si="107"/>
        <v>1260615.6000000001</v>
      </c>
    </row>
    <row r="2128" spans="1:11" x14ac:dyDescent="0.2">
      <c r="A2128" s="168">
        <v>2121</v>
      </c>
      <c r="B2128" s="159">
        <v>594.63366392643309</v>
      </c>
      <c r="C2128" s="169">
        <f t="shared" si="106"/>
        <v>1261218.0011879646</v>
      </c>
      <c r="I2128" s="168">
        <v>2121</v>
      </c>
      <c r="J2128" s="159">
        <f>ROUND(B2128*('Model Data Inputs'!$E$184*'Model Data Inputs'!$E$185*'Model Data Inputs'!$E$186*'Model Data Inputs'!$E$187),2)</f>
        <v>594.63</v>
      </c>
      <c r="K2128" s="169">
        <f t="shared" si="107"/>
        <v>1261210.23</v>
      </c>
    </row>
    <row r="2129" spans="1:11" x14ac:dyDescent="0.2">
      <c r="A2129" s="168">
        <v>2122</v>
      </c>
      <c r="B2129" s="159">
        <v>594.63366392643309</v>
      </c>
      <c r="C2129" s="169">
        <f t="shared" si="106"/>
        <v>1261812.6348518911</v>
      </c>
      <c r="I2129" s="168">
        <v>2122</v>
      </c>
      <c r="J2129" s="159">
        <f>ROUND(B2129*('Model Data Inputs'!$E$184*'Model Data Inputs'!$E$185*'Model Data Inputs'!$E$186*'Model Data Inputs'!$E$187),2)</f>
        <v>594.63</v>
      </c>
      <c r="K2129" s="169">
        <f t="shared" si="107"/>
        <v>1261804.8600000001</v>
      </c>
    </row>
    <row r="2130" spans="1:11" x14ac:dyDescent="0.2">
      <c r="A2130" s="168">
        <v>2123</v>
      </c>
      <c r="B2130" s="159">
        <v>594.63366392643309</v>
      </c>
      <c r="C2130" s="169">
        <f t="shared" si="106"/>
        <v>1262407.2685158174</v>
      </c>
      <c r="I2130" s="168">
        <v>2123</v>
      </c>
      <c r="J2130" s="159">
        <f>ROUND(B2130*('Model Data Inputs'!$E$184*'Model Data Inputs'!$E$185*'Model Data Inputs'!$E$186*'Model Data Inputs'!$E$187),2)</f>
        <v>594.63</v>
      </c>
      <c r="K2130" s="169">
        <f t="shared" si="107"/>
        <v>1262399.49</v>
      </c>
    </row>
    <row r="2131" spans="1:11" x14ac:dyDescent="0.2">
      <c r="A2131" s="168">
        <v>2124</v>
      </c>
      <c r="B2131" s="159">
        <v>594.63366392643309</v>
      </c>
      <c r="C2131" s="169">
        <f t="shared" si="106"/>
        <v>1263001.9021797439</v>
      </c>
      <c r="I2131" s="168">
        <v>2124</v>
      </c>
      <c r="J2131" s="159">
        <f>ROUND(B2131*('Model Data Inputs'!$E$184*'Model Data Inputs'!$E$185*'Model Data Inputs'!$E$186*'Model Data Inputs'!$E$187),2)</f>
        <v>594.63</v>
      </c>
      <c r="K2131" s="169">
        <f t="shared" si="107"/>
        <v>1262994.1199999999</v>
      </c>
    </row>
    <row r="2132" spans="1:11" x14ac:dyDescent="0.2">
      <c r="A2132" s="168">
        <v>2125</v>
      </c>
      <c r="B2132" s="159">
        <v>594.63366392643309</v>
      </c>
      <c r="C2132" s="169">
        <f t="shared" si="106"/>
        <v>1263596.5358436704</v>
      </c>
      <c r="I2132" s="168">
        <v>2125</v>
      </c>
      <c r="J2132" s="159">
        <f>ROUND(B2132*('Model Data Inputs'!$E$184*'Model Data Inputs'!$E$185*'Model Data Inputs'!$E$186*'Model Data Inputs'!$E$187),2)</f>
        <v>594.63</v>
      </c>
      <c r="K2132" s="169">
        <f t="shared" si="107"/>
        <v>1263588.75</v>
      </c>
    </row>
    <row r="2133" spans="1:11" x14ac:dyDescent="0.2">
      <c r="A2133" s="168">
        <v>2126</v>
      </c>
      <c r="B2133" s="159">
        <v>594.63366392643309</v>
      </c>
      <c r="C2133" s="169">
        <f t="shared" si="106"/>
        <v>1264191.1695075966</v>
      </c>
      <c r="I2133" s="168">
        <v>2126</v>
      </c>
      <c r="J2133" s="159">
        <f>ROUND(B2133*('Model Data Inputs'!$E$184*'Model Data Inputs'!$E$185*'Model Data Inputs'!$E$186*'Model Data Inputs'!$E$187),2)</f>
        <v>594.63</v>
      </c>
      <c r="K2133" s="169">
        <f t="shared" si="107"/>
        <v>1264183.3799999999</v>
      </c>
    </row>
    <row r="2134" spans="1:11" x14ac:dyDescent="0.2">
      <c r="A2134" s="168">
        <v>2127</v>
      </c>
      <c r="B2134" s="159">
        <v>594.63366392643309</v>
      </c>
      <c r="C2134" s="169">
        <f t="shared" si="106"/>
        <v>1264785.8031715231</v>
      </c>
      <c r="I2134" s="168">
        <v>2127</v>
      </c>
      <c r="J2134" s="159">
        <f>ROUND(B2134*('Model Data Inputs'!$E$184*'Model Data Inputs'!$E$185*'Model Data Inputs'!$E$186*'Model Data Inputs'!$E$187),2)</f>
        <v>594.63</v>
      </c>
      <c r="K2134" s="169">
        <f t="shared" si="107"/>
        <v>1264778.01</v>
      </c>
    </row>
    <row r="2135" spans="1:11" x14ac:dyDescent="0.2">
      <c r="A2135" s="168">
        <v>2128</v>
      </c>
      <c r="B2135" s="159">
        <v>594.63366392643309</v>
      </c>
      <c r="C2135" s="169">
        <f t="shared" si="106"/>
        <v>1265380.4368354497</v>
      </c>
      <c r="I2135" s="168">
        <v>2128</v>
      </c>
      <c r="J2135" s="159">
        <f>ROUND(B2135*('Model Data Inputs'!$E$184*'Model Data Inputs'!$E$185*'Model Data Inputs'!$E$186*'Model Data Inputs'!$E$187),2)</f>
        <v>594.63</v>
      </c>
      <c r="K2135" s="169">
        <f t="shared" si="107"/>
        <v>1265372.6399999999</v>
      </c>
    </row>
    <row r="2136" spans="1:11" x14ac:dyDescent="0.2">
      <c r="A2136" s="168">
        <v>2129</v>
      </c>
      <c r="B2136" s="159">
        <v>594.63366392643309</v>
      </c>
      <c r="C2136" s="169">
        <f t="shared" si="106"/>
        <v>1265975.0704993759</v>
      </c>
      <c r="I2136" s="168">
        <v>2129</v>
      </c>
      <c r="J2136" s="159">
        <f>ROUND(B2136*('Model Data Inputs'!$E$184*'Model Data Inputs'!$E$185*'Model Data Inputs'!$E$186*'Model Data Inputs'!$E$187),2)</f>
        <v>594.63</v>
      </c>
      <c r="K2136" s="169">
        <f t="shared" si="107"/>
        <v>1265967.27</v>
      </c>
    </row>
    <row r="2137" spans="1:11" x14ac:dyDescent="0.2">
      <c r="A2137" s="168">
        <v>2130</v>
      </c>
      <c r="B2137" s="159">
        <v>594.63366392643309</v>
      </c>
      <c r="C2137" s="169">
        <f t="shared" si="106"/>
        <v>1266569.7041633024</v>
      </c>
      <c r="I2137" s="168">
        <v>2130</v>
      </c>
      <c r="J2137" s="159">
        <f>ROUND(B2137*('Model Data Inputs'!$E$184*'Model Data Inputs'!$E$185*'Model Data Inputs'!$E$186*'Model Data Inputs'!$E$187),2)</f>
        <v>594.63</v>
      </c>
      <c r="K2137" s="169">
        <f t="shared" si="107"/>
        <v>1266561.8999999999</v>
      </c>
    </row>
    <row r="2138" spans="1:11" x14ac:dyDescent="0.2">
      <c r="A2138" s="168">
        <v>2131</v>
      </c>
      <c r="B2138" s="159">
        <v>594.63366392643309</v>
      </c>
      <c r="C2138" s="169">
        <f t="shared" si="106"/>
        <v>1267164.3378272289</v>
      </c>
      <c r="I2138" s="168">
        <v>2131</v>
      </c>
      <c r="J2138" s="159">
        <f>ROUND(B2138*('Model Data Inputs'!$E$184*'Model Data Inputs'!$E$185*'Model Data Inputs'!$E$186*'Model Data Inputs'!$E$187),2)</f>
        <v>594.63</v>
      </c>
      <c r="K2138" s="169">
        <f t="shared" si="107"/>
        <v>1267156.53</v>
      </c>
    </row>
    <row r="2139" spans="1:11" x14ac:dyDescent="0.2">
      <c r="A2139" s="168">
        <v>2132</v>
      </c>
      <c r="B2139" s="159">
        <v>594.63366392643309</v>
      </c>
      <c r="C2139" s="169">
        <f t="shared" si="106"/>
        <v>1267758.9714911554</v>
      </c>
      <c r="I2139" s="168">
        <v>2132</v>
      </c>
      <c r="J2139" s="159">
        <f>ROUND(B2139*('Model Data Inputs'!$E$184*'Model Data Inputs'!$E$185*'Model Data Inputs'!$E$186*'Model Data Inputs'!$E$187),2)</f>
        <v>594.63</v>
      </c>
      <c r="K2139" s="169">
        <f t="shared" si="107"/>
        <v>1267751.1599999999</v>
      </c>
    </row>
    <row r="2140" spans="1:11" x14ac:dyDescent="0.2">
      <c r="A2140" s="168">
        <v>2133</v>
      </c>
      <c r="B2140" s="159">
        <v>594.63366392643309</v>
      </c>
      <c r="C2140" s="169">
        <f t="shared" si="106"/>
        <v>1268353.6051550817</v>
      </c>
      <c r="I2140" s="168">
        <v>2133</v>
      </c>
      <c r="J2140" s="159">
        <f>ROUND(B2140*('Model Data Inputs'!$E$184*'Model Data Inputs'!$E$185*'Model Data Inputs'!$E$186*'Model Data Inputs'!$E$187),2)</f>
        <v>594.63</v>
      </c>
      <c r="K2140" s="169">
        <f t="shared" si="107"/>
        <v>1268345.79</v>
      </c>
    </row>
    <row r="2141" spans="1:11" x14ac:dyDescent="0.2">
      <c r="A2141" s="168">
        <v>2134</v>
      </c>
      <c r="B2141" s="159">
        <v>594.63366392643309</v>
      </c>
      <c r="C2141" s="169">
        <f t="shared" si="106"/>
        <v>1268948.2388190082</v>
      </c>
      <c r="I2141" s="168">
        <v>2134</v>
      </c>
      <c r="J2141" s="159">
        <f>ROUND(B2141*('Model Data Inputs'!$E$184*'Model Data Inputs'!$E$185*'Model Data Inputs'!$E$186*'Model Data Inputs'!$E$187),2)</f>
        <v>594.63</v>
      </c>
      <c r="K2141" s="169">
        <f t="shared" si="107"/>
        <v>1268940.42</v>
      </c>
    </row>
    <row r="2142" spans="1:11" x14ac:dyDescent="0.2">
      <c r="A2142" s="168">
        <v>2135</v>
      </c>
      <c r="B2142" s="159">
        <v>594.63366392643309</v>
      </c>
      <c r="C2142" s="169">
        <f t="shared" si="106"/>
        <v>1269542.8724829347</v>
      </c>
      <c r="I2142" s="168">
        <v>2135</v>
      </c>
      <c r="J2142" s="159">
        <f>ROUND(B2142*('Model Data Inputs'!$E$184*'Model Data Inputs'!$E$185*'Model Data Inputs'!$E$186*'Model Data Inputs'!$E$187),2)</f>
        <v>594.63</v>
      </c>
      <c r="K2142" s="169">
        <f t="shared" si="107"/>
        <v>1269535.05</v>
      </c>
    </row>
    <row r="2143" spans="1:11" x14ac:dyDescent="0.2">
      <c r="A2143" s="168">
        <v>2136</v>
      </c>
      <c r="B2143" s="159">
        <v>594.63366392643309</v>
      </c>
      <c r="C2143" s="169">
        <f t="shared" si="106"/>
        <v>1270137.506146861</v>
      </c>
      <c r="I2143" s="168">
        <v>2136</v>
      </c>
      <c r="J2143" s="159">
        <f>ROUND(B2143*('Model Data Inputs'!$E$184*'Model Data Inputs'!$E$185*'Model Data Inputs'!$E$186*'Model Data Inputs'!$E$187),2)</f>
        <v>594.63</v>
      </c>
      <c r="K2143" s="169">
        <f t="shared" si="107"/>
        <v>1270129.68</v>
      </c>
    </row>
    <row r="2144" spans="1:11" x14ac:dyDescent="0.2">
      <c r="A2144" s="168">
        <v>2137</v>
      </c>
      <c r="B2144" s="159">
        <v>594.63366392643309</v>
      </c>
      <c r="C2144" s="169">
        <f t="shared" si="106"/>
        <v>1270732.1398107875</v>
      </c>
      <c r="I2144" s="168">
        <v>2137</v>
      </c>
      <c r="J2144" s="159">
        <f>ROUND(B2144*('Model Data Inputs'!$E$184*'Model Data Inputs'!$E$185*'Model Data Inputs'!$E$186*'Model Data Inputs'!$E$187),2)</f>
        <v>594.63</v>
      </c>
      <c r="K2144" s="169">
        <f t="shared" si="107"/>
        <v>1270724.31</v>
      </c>
    </row>
    <row r="2145" spans="1:11" x14ac:dyDescent="0.2">
      <c r="A2145" s="168">
        <v>2138</v>
      </c>
      <c r="B2145" s="159">
        <v>594.63366392643309</v>
      </c>
      <c r="C2145" s="169">
        <f t="shared" si="106"/>
        <v>1271326.773474714</v>
      </c>
      <c r="I2145" s="168">
        <v>2138</v>
      </c>
      <c r="J2145" s="159">
        <f>ROUND(B2145*('Model Data Inputs'!$E$184*'Model Data Inputs'!$E$185*'Model Data Inputs'!$E$186*'Model Data Inputs'!$E$187),2)</f>
        <v>594.63</v>
      </c>
      <c r="K2145" s="169">
        <f t="shared" si="107"/>
        <v>1271318.94</v>
      </c>
    </row>
    <row r="2146" spans="1:11" x14ac:dyDescent="0.2">
      <c r="A2146" s="168">
        <v>2139</v>
      </c>
      <c r="B2146" s="159">
        <v>594.63366392643309</v>
      </c>
      <c r="C2146" s="169">
        <f t="shared" si="106"/>
        <v>1271921.4071386403</v>
      </c>
      <c r="I2146" s="168">
        <v>2139</v>
      </c>
      <c r="J2146" s="159">
        <f>ROUND(B2146*('Model Data Inputs'!$E$184*'Model Data Inputs'!$E$185*'Model Data Inputs'!$E$186*'Model Data Inputs'!$E$187),2)</f>
        <v>594.63</v>
      </c>
      <c r="K2146" s="169">
        <f t="shared" si="107"/>
        <v>1271913.57</v>
      </c>
    </row>
    <row r="2147" spans="1:11" x14ac:dyDescent="0.2">
      <c r="A2147" s="168">
        <v>2140</v>
      </c>
      <c r="B2147" s="159">
        <v>594.63366392643309</v>
      </c>
      <c r="C2147" s="169">
        <f t="shared" si="106"/>
        <v>1272516.0408025668</v>
      </c>
      <c r="I2147" s="168">
        <v>2140</v>
      </c>
      <c r="J2147" s="159">
        <f>ROUND(B2147*('Model Data Inputs'!$E$184*'Model Data Inputs'!$E$185*'Model Data Inputs'!$E$186*'Model Data Inputs'!$E$187),2)</f>
        <v>594.63</v>
      </c>
      <c r="K2147" s="169">
        <f t="shared" si="107"/>
        <v>1272508.2</v>
      </c>
    </row>
    <row r="2148" spans="1:11" x14ac:dyDescent="0.2">
      <c r="A2148" s="168">
        <v>2141</v>
      </c>
      <c r="B2148" s="159">
        <v>594.63366392643309</v>
      </c>
      <c r="C2148" s="169">
        <f t="shared" si="106"/>
        <v>1273110.6744664933</v>
      </c>
      <c r="I2148" s="168">
        <v>2141</v>
      </c>
      <c r="J2148" s="159">
        <f>ROUND(B2148*('Model Data Inputs'!$E$184*'Model Data Inputs'!$E$185*'Model Data Inputs'!$E$186*'Model Data Inputs'!$E$187),2)</f>
        <v>594.63</v>
      </c>
      <c r="K2148" s="169">
        <f t="shared" si="107"/>
        <v>1273102.83</v>
      </c>
    </row>
    <row r="2149" spans="1:11" x14ac:dyDescent="0.2">
      <c r="A2149" s="168">
        <v>2142</v>
      </c>
      <c r="B2149" s="159">
        <v>594.63366392643309</v>
      </c>
      <c r="C2149" s="169">
        <f t="shared" si="106"/>
        <v>1273705.3081304196</v>
      </c>
      <c r="I2149" s="168">
        <v>2142</v>
      </c>
      <c r="J2149" s="159">
        <f>ROUND(B2149*('Model Data Inputs'!$E$184*'Model Data Inputs'!$E$185*'Model Data Inputs'!$E$186*'Model Data Inputs'!$E$187),2)</f>
        <v>594.63</v>
      </c>
      <c r="K2149" s="169">
        <f t="shared" si="107"/>
        <v>1273697.46</v>
      </c>
    </row>
    <row r="2150" spans="1:11" x14ac:dyDescent="0.2">
      <c r="A2150" s="168">
        <v>2143</v>
      </c>
      <c r="B2150" s="159">
        <v>594.63366392643309</v>
      </c>
      <c r="C2150" s="169">
        <f t="shared" si="106"/>
        <v>1274299.9417943461</v>
      </c>
      <c r="I2150" s="168">
        <v>2143</v>
      </c>
      <c r="J2150" s="159">
        <f>ROUND(B2150*('Model Data Inputs'!$E$184*'Model Data Inputs'!$E$185*'Model Data Inputs'!$E$186*'Model Data Inputs'!$E$187),2)</f>
        <v>594.63</v>
      </c>
      <c r="K2150" s="169">
        <f t="shared" si="107"/>
        <v>1274292.0900000001</v>
      </c>
    </row>
    <row r="2151" spans="1:11" x14ac:dyDescent="0.2">
      <c r="A2151" s="168">
        <v>2144</v>
      </c>
      <c r="B2151" s="159">
        <v>594.63366392643309</v>
      </c>
      <c r="C2151" s="169">
        <f t="shared" si="106"/>
        <v>1274894.5754582726</v>
      </c>
      <c r="I2151" s="168">
        <v>2144</v>
      </c>
      <c r="J2151" s="159">
        <f>ROUND(B2151*('Model Data Inputs'!$E$184*'Model Data Inputs'!$E$185*'Model Data Inputs'!$E$186*'Model Data Inputs'!$E$187),2)</f>
        <v>594.63</v>
      </c>
      <c r="K2151" s="169">
        <f t="shared" si="107"/>
        <v>1274886.72</v>
      </c>
    </row>
    <row r="2152" spans="1:11" x14ac:dyDescent="0.2">
      <c r="A2152" s="168">
        <v>2145</v>
      </c>
      <c r="B2152" s="159">
        <v>594.63366392643309</v>
      </c>
      <c r="C2152" s="169">
        <f t="shared" si="106"/>
        <v>1275489.2091221989</v>
      </c>
      <c r="I2152" s="168">
        <v>2145</v>
      </c>
      <c r="J2152" s="159">
        <f>ROUND(B2152*('Model Data Inputs'!$E$184*'Model Data Inputs'!$E$185*'Model Data Inputs'!$E$186*'Model Data Inputs'!$E$187),2)</f>
        <v>594.63</v>
      </c>
      <c r="K2152" s="169">
        <f t="shared" si="107"/>
        <v>1275481.3500000001</v>
      </c>
    </row>
    <row r="2153" spans="1:11" x14ac:dyDescent="0.2">
      <c r="A2153" s="168">
        <v>2146</v>
      </c>
      <c r="B2153" s="159">
        <v>594.63366392643309</v>
      </c>
      <c r="C2153" s="169">
        <f t="shared" si="106"/>
        <v>1276083.8427861254</v>
      </c>
      <c r="I2153" s="168">
        <v>2146</v>
      </c>
      <c r="J2153" s="159">
        <f>ROUND(B2153*('Model Data Inputs'!$E$184*'Model Data Inputs'!$E$185*'Model Data Inputs'!$E$186*'Model Data Inputs'!$E$187),2)</f>
        <v>594.63</v>
      </c>
      <c r="K2153" s="169">
        <f t="shared" si="107"/>
        <v>1276075.98</v>
      </c>
    </row>
    <row r="2154" spans="1:11" x14ac:dyDescent="0.2">
      <c r="A2154" s="168">
        <v>2147</v>
      </c>
      <c r="B2154" s="159">
        <v>594.63366392643309</v>
      </c>
      <c r="C2154" s="169">
        <f t="shared" si="106"/>
        <v>1276678.4764500519</v>
      </c>
      <c r="I2154" s="168">
        <v>2147</v>
      </c>
      <c r="J2154" s="159">
        <f>ROUND(B2154*('Model Data Inputs'!$E$184*'Model Data Inputs'!$E$185*'Model Data Inputs'!$E$186*'Model Data Inputs'!$E$187),2)</f>
        <v>594.63</v>
      </c>
      <c r="K2154" s="169">
        <f t="shared" si="107"/>
        <v>1276670.6100000001</v>
      </c>
    </row>
    <row r="2155" spans="1:11" x14ac:dyDescent="0.2">
      <c r="A2155" s="168">
        <v>2148</v>
      </c>
      <c r="B2155" s="159">
        <v>594.63366392643309</v>
      </c>
      <c r="C2155" s="169">
        <f t="shared" si="106"/>
        <v>1277273.1101139784</v>
      </c>
      <c r="I2155" s="168">
        <v>2148</v>
      </c>
      <c r="J2155" s="159">
        <f>ROUND(B2155*('Model Data Inputs'!$E$184*'Model Data Inputs'!$E$185*'Model Data Inputs'!$E$186*'Model Data Inputs'!$E$187),2)</f>
        <v>594.63</v>
      </c>
      <c r="K2155" s="169">
        <f t="shared" si="107"/>
        <v>1277265.24</v>
      </c>
    </row>
    <row r="2156" spans="1:11" x14ac:dyDescent="0.2">
      <c r="A2156" s="168">
        <v>2149</v>
      </c>
      <c r="B2156" s="159">
        <v>594.63366392643309</v>
      </c>
      <c r="C2156" s="169">
        <f t="shared" si="106"/>
        <v>1277867.7437779047</v>
      </c>
      <c r="I2156" s="168">
        <v>2149</v>
      </c>
      <c r="J2156" s="159">
        <f>ROUND(B2156*('Model Data Inputs'!$E$184*'Model Data Inputs'!$E$185*'Model Data Inputs'!$E$186*'Model Data Inputs'!$E$187),2)</f>
        <v>594.63</v>
      </c>
      <c r="K2156" s="169">
        <f t="shared" si="107"/>
        <v>1277859.8699999999</v>
      </c>
    </row>
    <row r="2157" spans="1:11" x14ac:dyDescent="0.2">
      <c r="A2157" s="168">
        <v>2150</v>
      </c>
      <c r="B2157" s="159">
        <v>594.63366392643309</v>
      </c>
      <c r="C2157" s="169">
        <f t="shared" si="106"/>
        <v>1278462.3774418312</v>
      </c>
      <c r="I2157" s="168">
        <v>2150</v>
      </c>
      <c r="J2157" s="159">
        <f>ROUND(B2157*('Model Data Inputs'!$E$184*'Model Data Inputs'!$E$185*'Model Data Inputs'!$E$186*'Model Data Inputs'!$E$187),2)</f>
        <v>594.63</v>
      </c>
      <c r="K2157" s="169">
        <f t="shared" si="107"/>
        <v>1278454.5</v>
      </c>
    </row>
    <row r="2158" spans="1:11" x14ac:dyDescent="0.2">
      <c r="A2158" s="168">
        <v>2151</v>
      </c>
      <c r="B2158" s="159">
        <v>594.63366392643309</v>
      </c>
      <c r="C2158" s="169">
        <f t="shared" si="106"/>
        <v>1279057.0111057577</v>
      </c>
      <c r="I2158" s="168">
        <v>2151</v>
      </c>
      <c r="J2158" s="159">
        <f>ROUND(B2158*('Model Data Inputs'!$E$184*'Model Data Inputs'!$E$185*'Model Data Inputs'!$E$186*'Model Data Inputs'!$E$187),2)</f>
        <v>594.63</v>
      </c>
      <c r="K2158" s="169">
        <f t="shared" si="107"/>
        <v>1279049.1299999999</v>
      </c>
    </row>
    <row r="2159" spans="1:11" x14ac:dyDescent="0.2">
      <c r="A2159" s="168">
        <v>2152</v>
      </c>
      <c r="B2159" s="159">
        <v>594.63366392643309</v>
      </c>
      <c r="C2159" s="169">
        <f t="shared" si="106"/>
        <v>1279651.6447696839</v>
      </c>
      <c r="I2159" s="168">
        <v>2152</v>
      </c>
      <c r="J2159" s="159">
        <f>ROUND(B2159*('Model Data Inputs'!$E$184*'Model Data Inputs'!$E$185*'Model Data Inputs'!$E$186*'Model Data Inputs'!$E$187),2)</f>
        <v>594.63</v>
      </c>
      <c r="K2159" s="169">
        <f t="shared" si="107"/>
        <v>1279643.76</v>
      </c>
    </row>
    <row r="2160" spans="1:11" x14ac:dyDescent="0.2">
      <c r="A2160" s="168">
        <v>2153</v>
      </c>
      <c r="B2160" s="159">
        <v>594.63366392643309</v>
      </c>
      <c r="C2160" s="169">
        <f t="shared" si="106"/>
        <v>1280246.2784336105</v>
      </c>
      <c r="I2160" s="168">
        <v>2153</v>
      </c>
      <c r="J2160" s="159">
        <f>ROUND(B2160*('Model Data Inputs'!$E$184*'Model Data Inputs'!$E$185*'Model Data Inputs'!$E$186*'Model Data Inputs'!$E$187),2)</f>
        <v>594.63</v>
      </c>
      <c r="K2160" s="169">
        <f t="shared" si="107"/>
        <v>1280238.3899999999</v>
      </c>
    </row>
    <row r="2161" spans="1:11" x14ac:dyDescent="0.2">
      <c r="A2161" s="168">
        <v>2154</v>
      </c>
      <c r="B2161" s="159">
        <v>594.63366392643309</v>
      </c>
      <c r="C2161" s="169">
        <f t="shared" si="106"/>
        <v>1280840.912097537</v>
      </c>
      <c r="I2161" s="168">
        <v>2154</v>
      </c>
      <c r="J2161" s="159">
        <f>ROUND(B2161*('Model Data Inputs'!$E$184*'Model Data Inputs'!$E$185*'Model Data Inputs'!$E$186*'Model Data Inputs'!$E$187),2)</f>
        <v>594.63</v>
      </c>
      <c r="K2161" s="169">
        <f t="shared" si="107"/>
        <v>1280833.02</v>
      </c>
    </row>
    <row r="2162" spans="1:11" x14ac:dyDescent="0.2">
      <c r="A2162" s="168">
        <v>2155</v>
      </c>
      <c r="B2162" s="159">
        <v>594.63366392643309</v>
      </c>
      <c r="C2162" s="169">
        <f t="shared" si="106"/>
        <v>1281435.5457614632</v>
      </c>
      <c r="I2162" s="168">
        <v>2155</v>
      </c>
      <c r="J2162" s="159">
        <f>ROUND(B2162*('Model Data Inputs'!$E$184*'Model Data Inputs'!$E$185*'Model Data Inputs'!$E$186*'Model Data Inputs'!$E$187),2)</f>
        <v>594.63</v>
      </c>
      <c r="K2162" s="169">
        <f t="shared" si="107"/>
        <v>1281427.6499999999</v>
      </c>
    </row>
    <row r="2163" spans="1:11" x14ac:dyDescent="0.2">
      <c r="A2163" s="168">
        <v>2156</v>
      </c>
      <c r="B2163" s="159">
        <v>594.63366392643309</v>
      </c>
      <c r="C2163" s="169">
        <f t="shared" si="106"/>
        <v>1282030.1794253897</v>
      </c>
      <c r="I2163" s="168">
        <v>2156</v>
      </c>
      <c r="J2163" s="159">
        <f>ROUND(B2163*('Model Data Inputs'!$E$184*'Model Data Inputs'!$E$185*'Model Data Inputs'!$E$186*'Model Data Inputs'!$E$187),2)</f>
        <v>594.63</v>
      </c>
      <c r="K2163" s="169">
        <f t="shared" si="107"/>
        <v>1282022.28</v>
      </c>
    </row>
    <row r="2164" spans="1:11" x14ac:dyDescent="0.2">
      <c r="A2164" s="168">
        <v>2157</v>
      </c>
      <c r="B2164" s="159">
        <v>594.63366392643309</v>
      </c>
      <c r="C2164" s="169">
        <f t="shared" si="106"/>
        <v>1282624.8130893162</v>
      </c>
      <c r="I2164" s="168">
        <v>2157</v>
      </c>
      <c r="J2164" s="159">
        <f>ROUND(B2164*('Model Data Inputs'!$E$184*'Model Data Inputs'!$E$185*'Model Data Inputs'!$E$186*'Model Data Inputs'!$E$187),2)</f>
        <v>594.63</v>
      </c>
      <c r="K2164" s="169">
        <f t="shared" si="107"/>
        <v>1282616.9099999999</v>
      </c>
    </row>
    <row r="2165" spans="1:11" x14ac:dyDescent="0.2">
      <c r="A2165" s="168">
        <v>2158</v>
      </c>
      <c r="B2165" s="159">
        <v>594.63366392643309</v>
      </c>
      <c r="C2165" s="169">
        <f t="shared" si="106"/>
        <v>1283219.4467532425</v>
      </c>
      <c r="I2165" s="168">
        <v>2158</v>
      </c>
      <c r="J2165" s="159">
        <f>ROUND(B2165*('Model Data Inputs'!$E$184*'Model Data Inputs'!$E$185*'Model Data Inputs'!$E$186*'Model Data Inputs'!$E$187),2)</f>
        <v>594.63</v>
      </c>
      <c r="K2165" s="169">
        <f t="shared" si="107"/>
        <v>1283211.54</v>
      </c>
    </row>
    <row r="2166" spans="1:11" x14ac:dyDescent="0.2">
      <c r="A2166" s="168">
        <v>2159</v>
      </c>
      <c r="B2166" s="159">
        <v>594.63366392643309</v>
      </c>
      <c r="C2166" s="169">
        <f t="shared" si="106"/>
        <v>1283814.080417169</v>
      </c>
      <c r="I2166" s="168">
        <v>2159</v>
      </c>
      <c r="J2166" s="159">
        <f>ROUND(B2166*('Model Data Inputs'!$E$184*'Model Data Inputs'!$E$185*'Model Data Inputs'!$E$186*'Model Data Inputs'!$E$187),2)</f>
        <v>594.63</v>
      </c>
      <c r="K2166" s="169">
        <f t="shared" si="107"/>
        <v>1283806.17</v>
      </c>
    </row>
    <row r="2167" spans="1:11" x14ac:dyDescent="0.2">
      <c r="A2167" s="168">
        <v>2160</v>
      </c>
      <c r="B2167" s="159">
        <v>594.63366392643309</v>
      </c>
      <c r="C2167" s="169">
        <f t="shared" si="106"/>
        <v>1284408.7140810955</v>
      </c>
      <c r="I2167" s="168">
        <v>2160</v>
      </c>
      <c r="J2167" s="159">
        <f>ROUND(B2167*('Model Data Inputs'!$E$184*'Model Data Inputs'!$E$185*'Model Data Inputs'!$E$186*'Model Data Inputs'!$E$187),2)</f>
        <v>594.63</v>
      </c>
      <c r="K2167" s="169">
        <f t="shared" si="107"/>
        <v>1284400.8</v>
      </c>
    </row>
    <row r="2168" spans="1:11" x14ac:dyDescent="0.2">
      <c r="A2168" s="168">
        <v>2161</v>
      </c>
      <c r="B2168" s="159">
        <v>594.63366392643309</v>
      </c>
      <c r="C2168" s="169">
        <f t="shared" si="106"/>
        <v>1285003.3477450218</v>
      </c>
      <c r="I2168" s="168">
        <v>2161</v>
      </c>
      <c r="J2168" s="159">
        <f>ROUND(B2168*('Model Data Inputs'!$E$184*'Model Data Inputs'!$E$185*'Model Data Inputs'!$E$186*'Model Data Inputs'!$E$187),2)</f>
        <v>594.63</v>
      </c>
      <c r="K2168" s="169">
        <f t="shared" si="107"/>
        <v>1284995.43</v>
      </c>
    </row>
    <row r="2169" spans="1:11" x14ac:dyDescent="0.2">
      <c r="A2169" s="168">
        <v>2162</v>
      </c>
      <c r="B2169" s="159">
        <v>594.63366392643309</v>
      </c>
      <c r="C2169" s="169">
        <f t="shared" si="106"/>
        <v>1285597.9814089483</v>
      </c>
      <c r="I2169" s="168">
        <v>2162</v>
      </c>
      <c r="J2169" s="159">
        <f>ROUND(B2169*('Model Data Inputs'!$E$184*'Model Data Inputs'!$E$185*'Model Data Inputs'!$E$186*'Model Data Inputs'!$E$187),2)</f>
        <v>594.63</v>
      </c>
      <c r="K2169" s="169">
        <f t="shared" si="107"/>
        <v>1285590.06</v>
      </c>
    </row>
    <row r="2170" spans="1:11" x14ac:dyDescent="0.2">
      <c r="A2170" s="168">
        <v>2163</v>
      </c>
      <c r="B2170" s="159">
        <v>594.63366392643309</v>
      </c>
      <c r="C2170" s="169">
        <f t="shared" si="106"/>
        <v>1286192.6150728748</v>
      </c>
      <c r="I2170" s="168">
        <v>2163</v>
      </c>
      <c r="J2170" s="159">
        <f>ROUND(B2170*('Model Data Inputs'!$E$184*'Model Data Inputs'!$E$185*'Model Data Inputs'!$E$186*'Model Data Inputs'!$E$187),2)</f>
        <v>594.63</v>
      </c>
      <c r="K2170" s="169">
        <f t="shared" si="107"/>
        <v>1286184.69</v>
      </c>
    </row>
    <row r="2171" spans="1:11" x14ac:dyDescent="0.2">
      <c r="A2171" s="168">
        <v>2164</v>
      </c>
      <c r="B2171" s="159">
        <v>594.63366392643309</v>
      </c>
      <c r="C2171" s="169">
        <f t="shared" si="106"/>
        <v>1286787.2487368011</v>
      </c>
      <c r="I2171" s="168">
        <v>2164</v>
      </c>
      <c r="J2171" s="159">
        <f>ROUND(B2171*('Model Data Inputs'!$E$184*'Model Data Inputs'!$E$185*'Model Data Inputs'!$E$186*'Model Data Inputs'!$E$187),2)</f>
        <v>594.63</v>
      </c>
      <c r="K2171" s="169">
        <f t="shared" si="107"/>
        <v>1286779.32</v>
      </c>
    </row>
    <row r="2172" spans="1:11" x14ac:dyDescent="0.2">
      <c r="A2172" s="168">
        <v>2165</v>
      </c>
      <c r="B2172" s="159">
        <v>594.63366392643309</v>
      </c>
      <c r="C2172" s="169">
        <f t="shared" si="106"/>
        <v>1287381.8824007276</v>
      </c>
      <c r="I2172" s="168">
        <v>2165</v>
      </c>
      <c r="J2172" s="159">
        <f>ROUND(B2172*('Model Data Inputs'!$E$184*'Model Data Inputs'!$E$185*'Model Data Inputs'!$E$186*'Model Data Inputs'!$E$187),2)</f>
        <v>594.63</v>
      </c>
      <c r="K2172" s="169">
        <f t="shared" si="107"/>
        <v>1287373.95</v>
      </c>
    </row>
    <row r="2173" spans="1:11" x14ac:dyDescent="0.2">
      <c r="A2173" s="168">
        <v>2166</v>
      </c>
      <c r="B2173" s="159">
        <v>594.63366392643309</v>
      </c>
      <c r="C2173" s="169">
        <f t="shared" si="106"/>
        <v>1287976.5160646541</v>
      </c>
      <c r="I2173" s="168">
        <v>2166</v>
      </c>
      <c r="J2173" s="159">
        <f>ROUND(B2173*('Model Data Inputs'!$E$184*'Model Data Inputs'!$E$185*'Model Data Inputs'!$E$186*'Model Data Inputs'!$E$187),2)</f>
        <v>594.63</v>
      </c>
      <c r="K2173" s="169">
        <f t="shared" si="107"/>
        <v>1287968.58</v>
      </c>
    </row>
    <row r="2174" spans="1:11" x14ac:dyDescent="0.2">
      <c r="A2174" s="168">
        <v>2167</v>
      </c>
      <c r="B2174" s="159">
        <v>594.63366392643309</v>
      </c>
      <c r="C2174" s="169">
        <f t="shared" si="106"/>
        <v>1288571.1497285806</v>
      </c>
      <c r="I2174" s="168">
        <v>2167</v>
      </c>
      <c r="J2174" s="159">
        <f>ROUND(B2174*('Model Data Inputs'!$E$184*'Model Data Inputs'!$E$185*'Model Data Inputs'!$E$186*'Model Data Inputs'!$E$187),2)</f>
        <v>594.63</v>
      </c>
      <c r="K2174" s="169">
        <f t="shared" si="107"/>
        <v>1288563.21</v>
      </c>
    </row>
    <row r="2175" spans="1:11" x14ac:dyDescent="0.2">
      <c r="A2175" s="168">
        <v>2168</v>
      </c>
      <c r="B2175" s="159">
        <v>594.63366392643309</v>
      </c>
      <c r="C2175" s="169">
        <f t="shared" si="106"/>
        <v>1289165.7833925069</v>
      </c>
      <c r="I2175" s="168">
        <v>2168</v>
      </c>
      <c r="J2175" s="159">
        <f>ROUND(B2175*('Model Data Inputs'!$E$184*'Model Data Inputs'!$E$185*'Model Data Inputs'!$E$186*'Model Data Inputs'!$E$187),2)</f>
        <v>594.63</v>
      </c>
      <c r="K2175" s="169">
        <f t="shared" si="107"/>
        <v>1289157.8400000001</v>
      </c>
    </row>
    <row r="2176" spans="1:11" x14ac:dyDescent="0.2">
      <c r="A2176" s="168">
        <v>2169</v>
      </c>
      <c r="B2176" s="159">
        <v>594.63366392643309</v>
      </c>
      <c r="C2176" s="169">
        <f t="shared" si="106"/>
        <v>1289760.4170564334</v>
      </c>
      <c r="I2176" s="168">
        <v>2169</v>
      </c>
      <c r="J2176" s="159">
        <f>ROUND(B2176*('Model Data Inputs'!$E$184*'Model Data Inputs'!$E$185*'Model Data Inputs'!$E$186*'Model Data Inputs'!$E$187),2)</f>
        <v>594.63</v>
      </c>
      <c r="K2176" s="169">
        <f t="shared" si="107"/>
        <v>1289752.47</v>
      </c>
    </row>
    <row r="2177" spans="1:11" x14ac:dyDescent="0.2">
      <c r="A2177" s="168">
        <v>2170</v>
      </c>
      <c r="B2177" s="159">
        <v>594.63366392643309</v>
      </c>
      <c r="C2177" s="169">
        <f t="shared" si="106"/>
        <v>1290355.0507203599</v>
      </c>
      <c r="I2177" s="168">
        <v>2170</v>
      </c>
      <c r="J2177" s="159">
        <f>ROUND(B2177*('Model Data Inputs'!$E$184*'Model Data Inputs'!$E$185*'Model Data Inputs'!$E$186*'Model Data Inputs'!$E$187),2)</f>
        <v>594.63</v>
      </c>
      <c r="K2177" s="169">
        <f t="shared" si="107"/>
        <v>1290347.1000000001</v>
      </c>
    </row>
    <row r="2178" spans="1:11" x14ac:dyDescent="0.2">
      <c r="A2178" s="168">
        <v>2171</v>
      </c>
      <c r="B2178" s="159">
        <v>594.63366392643309</v>
      </c>
      <c r="C2178" s="169">
        <f t="shared" si="106"/>
        <v>1290949.6843842862</v>
      </c>
      <c r="I2178" s="168">
        <v>2171</v>
      </c>
      <c r="J2178" s="159">
        <f>ROUND(B2178*('Model Data Inputs'!$E$184*'Model Data Inputs'!$E$185*'Model Data Inputs'!$E$186*'Model Data Inputs'!$E$187),2)</f>
        <v>594.63</v>
      </c>
      <c r="K2178" s="169">
        <f t="shared" si="107"/>
        <v>1290941.73</v>
      </c>
    </row>
    <row r="2179" spans="1:11" x14ac:dyDescent="0.2">
      <c r="A2179" s="168">
        <v>2172</v>
      </c>
      <c r="B2179" s="159">
        <v>594.63366392643309</v>
      </c>
      <c r="C2179" s="169">
        <f t="shared" si="106"/>
        <v>1291544.3180482127</v>
      </c>
      <c r="I2179" s="168">
        <v>2172</v>
      </c>
      <c r="J2179" s="159">
        <f>ROUND(B2179*('Model Data Inputs'!$E$184*'Model Data Inputs'!$E$185*'Model Data Inputs'!$E$186*'Model Data Inputs'!$E$187),2)</f>
        <v>594.63</v>
      </c>
      <c r="K2179" s="169">
        <f t="shared" si="107"/>
        <v>1291536.3600000001</v>
      </c>
    </row>
    <row r="2180" spans="1:11" x14ac:dyDescent="0.2">
      <c r="A2180" s="168">
        <v>2173</v>
      </c>
      <c r="B2180" s="159">
        <v>594.63366392643309</v>
      </c>
      <c r="C2180" s="169">
        <f t="shared" si="106"/>
        <v>1292138.9517121392</v>
      </c>
      <c r="I2180" s="168">
        <v>2173</v>
      </c>
      <c r="J2180" s="159">
        <f>ROUND(B2180*('Model Data Inputs'!$E$184*'Model Data Inputs'!$E$185*'Model Data Inputs'!$E$186*'Model Data Inputs'!$E$187),2)</f>
        <v>594.63</v>
      </c>
      <c r="K2180" s="169">
        <f t="shared" si="107"/>
        <v>1292130.99</v>
      </c>
    </row>
    <row r="2181" spans="1:11" x14ac:dyDescent="0.2">
      <c r="A2181" s="168">
        <v>2174</v>
      </c>
      <c r="B2181" s="159">
        <v>594.63366392643309</v>
      </c>
      <c r="C2181" s="169">
        <f t="shared" si="106"/>
        <v>1292733.5853760655</v>
      </c>
      <c r="I2181" s="168">
        <v>2174</v>
      </c>
      <c r="J2181" s="159">
        <f>ROUND(B2181*('Model Data Inputs'!$E$184*'Model Data Inputs'!$E$185*'Model Data Inputs'!$E$186*'Model Data Inputs'!$E$187),2)</f>
        <v>594.63</v>
      </c>
      <c r="K2181" s="169">
        <f t="shared" si="107"/>
        <v>1292725.6199999999</v>
      </c>
    </row>
    <row r="2182" spans="1:11" x14ac:dyDescent="0.2">
      <c r="A2182" s="168">
        <v>2175</v>
      </c>
      <c r="B2182" s="159">
        <v>594.63366392643309</v>
      </c>
      <c r="C2182" s="169">
        <f t="shared" si="106"/>
        <v>1293328.219039992</v>
      </c>
      <c r="I2182" s="168">
        <v>2175</v>
      </c>
      <c r="J2182" s="159">
        <f>ROUND(B2182*('Model Data Inputs'!$E$184*'Model Data Inputs'!$E$185*'Model Data Inputs'!$E$186*'Model Data Inputs'!$E$187),2)</f>
        <v>594.63</v>
      </c>
      <c r="K2182" s="169">
        <f t="shared" si="107"/>
        <v>1293320.25</v>
      </c>
    </row>
    <row r="2183" spans="1:11" x14ac:dyDescent="0.2">
      <c r="A2183" s="168">
        <v>2176</v>
      </c>
      <c r="B2183" s="159">
        <v>594.63366392643309</v>
      </c>
      <c r="C2183" s="169">
        <f t="shared" si="106"/>
        <v>1293922.8527039185</v>
      </c>
      <c r="I2183" s="168">
        <v>2176</v>
      </c>
      <c r="J2183" s="159">
        <f>ROUND(B2183*('Model Data Inputs'!$E$184*'Model Data Inputs'!$E$185*'Model Data Inputs'!$E$186*'Model Data Inputs'!$E$187),2)</f>
        <v>594.63</v>
      </c>
      <c r="K2183" s="169">
        <f t="shared" si="107"/>
        <v>1293914.8799999999</v>
      </c>
    </row>
    <row r="2184" spans="1:11" x14ac:dyDescent="0.2">
      <c r="A2184" s="168">
        <v>2177</v>
      </c>
      <c r="B2184" s="159">
        <v>594.63366392643309</v>
      </c>
      <c r="C2184" s="169">
        <f t="shared" ref="C2184:C2247" si="108">A2184*B2184</f>
        <v>1294517.4863678447</v>
      </c>
      <c r="I2184" s="168">
        <v>2177</v>
      </c>
      <c r="J2184" s="159">
        <f>ROUND(B2184*('Model Data Inputs'!$E$184*'Model Data Inputs'!$E$185*'Model Data Inputs'!$E$186*'Model Data Inputs'!$E$187),2)</f>
        <v>594.63</v>
      </c>
      <c r="K2184" s="169">
        <f t="shared" ref="K2184:K2247" si="109">I2184*J2184</f>
        <v>1294509.51</v>
      </c>
    </row>
    <row r="2185" spans="1:11" x14ac:dyDescent="0.2">
      <c r="A2185" s="168">
        <v>2178</v>
      </c>
      <c r="B2185" s="159">
        <v>594.63366392643309</v>
      </c>
      <c r="C2185" s="169">
        <f t="shared" si="108"/>
        <v>1295112.1200317713</v>
      </c>
      <c r="I2185" s="168">
        <v>2178</v>
      </c>
      <c r="J2185" s="159">
        <f>ROUND(B2185*('Model Data Inputs'!$E$184*'Model Data Inputs'!$E$185*'Model Data Inputs'!$E$186*'Model Data Inputs'!$E$187),2)</f>
        <v>594.63</v>
      </c>
      <c r="K2185" s="169">
        <f t="shared" si="109"/>
        <v>1295104.1399999999</v>
      </c>
    </row>
    <row r="2186" spans="1:11" x14ac:dyDescent="0.2">
      <c r="A2186" s="168">
        <v>2179</v>
      </c>
      <c r="B2186" s="159">
        <v>594.63366392643309</v>
      </c>
      <c r="C2186" s="169">
        <f t="shared" si="108"/>
        <v>1295706.7536956978</v>
      </c>
      <c r="I2186" s="168">
        <v>2179</v>
      </c>
      <c r="J2186" s="159">
        <f>ROUND(B2186*('Model Data Inputs'!$E$184*'Model Data Inputs'!$E$185*'Model Data Inputs'!$E$186*'Model Data Inputs'!$E$187),2)</f>
        <v>594.63</v>
      </c>
      <c r="K2186" s="169">
        <f t="shared" si="109"/>
        <v>1295698.77</v>
      </c>
    </row>
    <row r="2187" spans="1:11" x14ac:dyDescent="0.2">
      <c r="A2187" s="168">
        <v>2180</v>
      </c>
      <c r="B2187" s="159">
        <v>594.63366392643309</v>
      </c>
      <c r="C2187" s="169">
        <f t="shared" si="108"/>
        <v>1296301.387359624</v>
      </c>
      <c r="I2187" s="168">
        <v>2180</v>
      </c>
      <c r="J2187" s="159">
        <f>ROUND(B2187*('Model Data Inputs'!$E$184*'Model Data Inputs'!$E$185*'Model Data Inputs'!$E$186*'Model Data Inputs'!$E$187),2)</f>
        <v>594.63</v>
      </c>
      <c r="K2187" s="169">
        <f t="shared" si="109"/>
        <v>1296293.3999999999</v>
      </c>
    </row>
    <row r="2188" spans="1:11" x14ac:dyDescent="0.2">
      <c r="A2188" s="168">
        <v>2181</v>
      </c>
      <c r="B2188" s="159">
        <v>594.63366392643309</v>
      </c>
      <c r="C2188" s="169">
        <f t="shared" si="108"/>
        <v>1296896.0210235505</v>
      </c>
      <c r="I2188" s="168">
        <v>2181</v>
      </c>
      <c r="J2188" s="159">
        <f>ROUND(B2188*('Model Data Inputs'!$E$184*'Model Data Inputs'!$E$185*'Model Data Inputs'!$E$186*'Model Data Inputs'!$E$187),2)</f>
        <v>594.63</v>
      </c>
      <c r="K2188" s="169">
        <f t="shared" si="109"/>
        <v>1296888.03</v>
      </c>
    </row>
    <row r="2189" spans="1:11" x14ac:dyDescent="0.2">
      <c r="A2189" s="168">
        <v>2182</v>
      </c>
      <c r="B2189" s="159">
        <v>594.63366392643309</v>
      </c>
      <c r="C2189" s="169">
        <f t="shared" si="108"/>
        <v>1297490.654687477</v>
      </c>
      <c r="I2189" s="168">
        <v>2182</v>
      </c>
      <c r="J2189" s="159">
        <f>ROUND(B2189*('Model Data Inputs'!$E$184*'Model Data Inputs'!$E$185*'Model Data Inputs'!$E$186*'Model Data Inputs'!$E$187),2)</f>
        <v>594.63</v>
      </c>
      <c r="K2189" s="169">
        <f t="shared" si="109"/>
        <v>1297482.6599999999</v>
      </c>
    </row>
    <row r="2190" spans="1:11" x14ac:dyDescent="0.2">
      <c r="A2190" s="168">
        <v>2183</v>
      </c>
      <c r="B2190" s="159">
        <v>594.63366392643309</v>
      </c>
      <c r="C2190" s="169">
        <f t="shared" si="108"/>
        <v>1298085.2883514033</v>
      </c>
      <c r="I2190" s="168">
        <v>2183</v>
      </c>
      <c r="J2190" s="159">
        <f>ROUND(B2190*('Model Data Inputs'!$E$184*'Model Data Inputs'!$E$185*'Model Data Inputs'!$E$186*'Model Data Inputs'!$E$187),2)</f>
        <v>594.63</v>
      </c>
      <c r="K2190" s="169">
        <f t="shared" si="109"/>
        <v>1298077.29</v>
      </c>
    </row>
    <row r="2191" spans="1:11" x14ac:dyDescent="0.2">
      <c r="A2191" s="168">
        <v>2184</v>
      </c>
      <c r="B2191" s="159">
        <v>594.63366392643309</v>
      </c>
      <c r="C2191" s="169">
        <f t="shared" si="108"/>
        <v>1298679.9220153298</v>
      </c>
      <c r="I2191" s="168">
        <v>2184</v>
      </c>
      <c r="J2191" s="159">
        <f>ROUND(B2191*('Model Data Inputs'!$E$184*'Model Data Inputs'!$E$185*'Model Data Inputs'!$E$186*'Model Data Inputs'!$E$187),2)</f>
        <v>594.63</v>
      </c>
      <c r="K2191" s="169">
        <f t="shared" si="109"/>
        <v>1298671.92</v>
      </c>
    </row>
    <row r="2192" spans="1:11" x14ac:dyDescent="0.2">
      <c r="A2192" s="168">
        <v>2185</v>
      </c>
      <c r="B2192" s="159">
        <v>594.63366392643309</v>
      </c>
      <c r="C2192" s="169">
        <f t="shared" si="108"/>
        <v>1299274.5556792563</v>
      </c>
      <c r="I2192" s="168">
        <v>2185</v>
      </c>
      <c r="J2192" s="159">
        <f>ROUND(B2192*('Model Data Inputs'!$E$184*'Model Data Inputs'!$E$185*'Model Data Inputs'!$E$186*'Model Data Inputs'!$E$187),2)</f>
        <v>594.63</v>
      </c>
      <c r="K2192" s="169">
        <f t="shared" si="109"/>
        <v>1299266.55</v>
      </c>
    </row>
    <row r="2193" spans="1:11" x14ac:dyDescent="0.2">
      <c r="A2193" s="168">
        <v>2186</v>
      </c>
      <c r="B2193" s="159">
        <v>594.63366392643309</v>
      </c>
      <c r="C2193" s="169">
        <f t="shared" si="108"/>
        <v>1299869.1893431828</v>
      </c>
      <c r="I2193" s="168">
        <v>2186</v>
      </c>
      <c r="J2193" s="159">
        <f>ROUND(B2193*('Model Data Inputs'!$E$184*'Model Data Inputs'!$E$185*'Model Data Inputs'!$E$186*'Model Data Inputs'!$E$187),2)</f>
        <v>594.63</v>
      </c>
      <c r="K2193" s="169">
        <f t="shared" si="109"/>
        <v>1299861.18</v>
      </c>
    </row>
    <row r="2194" spans="1:11" x14ac:dyDescent="0.2">
      <c r="A2194" s="168">
        <v>2187</v>
      </c>
      <c r="B2194" s="159">
        <v>594.63366392643309</v>
      </c>
      <c r="C2194" s="169">
        <f t="shared" si="108"/>
        <v>1300463.8230071091</v>
      </c>
      <c r="I2194" s="168">
        <v>2187</v>
      </c>
      <c r="J2194" s="159">
        <f>ROUND(B2194*('Model Data Inputs'!$E$184*'Model Data Inputs'!$E$185*'Model Data Inputs'!$E$186*'Model Data Inputs'!$E$187),2)</f>
        <v>594.63</v>
      </c>
      <c r="K2194" s="169">
        <f t="shared" si="109"/>
        <v>1300455.81</v>
      </c>
    </row>
    <row r="2195" spans="1:11" x14ac:dyDescent="0.2">
      <c r="A2195" s="168">
        <v>2188</v>
      </c>
      <c r="B2195" s="159">
        <v>594.63366392643309</v>
      </c>
      <c r="C2195" s="169">
        <f t="shared" si="108"/>
        <v>1301058.4566710356</v>
      </c>
      <c r="I2195" s="168">
        <v>2188</v>
      </c>
      <c r="J2195" s="159">
        <f>ROUND(B2195*('Model Data Inputs'!$E$184*'Model Data Inputs'!$E$185*'Model Data Inputs'!$E$186*'Model Data Inputs'!$E$187),2)</f>
        <v>594.63</v>
      </c>
      <c r="K2195" s="169">
        <f t="shared" si="109"/>
        <v>1301050.44</v>
      </c>
    </row>
    <row r="2196" spans="1:11" x14ac:dyDescent="0.2">
      <c r="A2196" s="168">
        <v>2189</v>
      </c>
      <c r="B2196" s="159">
        <v>594.63366392643309</v>
      </c>
      <c r="C2196" s="169">
        <f t="shared" si="108"/>
        <v>1301653.0903349621</v>
      </c>
      <c r="I2196" s="168">
        <v>2189</v>
      </c>
      <c r="J2196" s="159">
        <f>ROUND(B2196*('Model Data Inputs'!$E$184*'Model Data Inputs'!$E$185*'Model Data Inputs'!$E$186*'Model Data Inputs'!$E$187),2)</f>
        <v>594.63</v>
      </c>
      <c r="K2196" s="169">
        <f t="shared" si="109"/>
        <v>1301645.07</v>
      </c>
    </row>
    <row r="2197" spans="1:11" x14ac:dyDescent="0.2">
      <c r="A2197" s="168">
        <v>2190</v>
      </c>
      <c r="B2197" s="159">
        <v>594.63366392643309</v>
      </c>
      <c r="C2197" s="169">
        <f t="shared" si="108"/>
        <v>1302247.7239988884</v>
      </c>
      <c r="I2197" s="168">
        <v>2190</v>
      </c>
      <c r="J2197" s="159">
        <f>ROUND(B2197*('Model Data Inputs'!$E$184*'Model Data Inputs'!$E$185*'Model Data Inputs'!$E$186*'Model Data Inputs'!$E$187),2)</f>
        <v>594.63</v>
      </c>
      <c r="K2197" s="169">
        <f t="shared" si="109"/>
        <v>1302239.7</v>
      </c>
    </row>
    <row r="2198" spans="1:11" x14ac:dyDescent="0.2">
      <c r="A2198" s="168">
        <v>2191</v>
      </c>
      <c r="B2198" s="159">
        <v>594.63366392643309</v>
      </c>
      <c r="C2198" s="169">
        <f t="shared" si="108"/>
        <v>1302842.3576628149</v>
      </c>
      <c r="I2198" s="168">
        <v>2191</v>
      </c>
      <c r="J2198" s="159">
        <f>ROUND(B2198*('Model Data Inputs'!$E$184*'Model Data Inputs'!$E$185*'Model Data Inputs'!$E$186*'Model Data Inputs'!$E$187),2)</f>
        <v>594.63</v>
      </c>
      <c r="K2198" s="169">
        <f t="shared" si="109"/>
        <v>1302834.33</v>
      </c>
    </row>
    <row r="2199" spans="1:11" x14ac:dyDescent="0.2">
      <c r="A2199" s="168">
        <v>2192</v>
      </c>
      <c r="B2199" s="159">
        <v>594.63366392643309</v>
      </c>
      <c r="C2199" s="169">
        <f t="shared" si="108"/>
        <v>1303436.9913267414</v>
      </c>
      <c r="I2199" s="168">
        <v>2192</v>
      </c>
      <c r="J2199" s="159">
        <f>ROUND(B2199*('Model Data Inputs'!$E$184*'Model Data Inputs'!$E$185*'Model Data Inputs'!$E$186*'Model Data Inputs'!$E$187),2)</f>
        <v>594.63</v>
      </c>
      <c r="K2199" s="169">
        <f t="shared" si="109"/>
        <v>1303428.96</v>
      </c>
    </row>
    <row r="2200" spans="1:11" x14ac:dyDescent="0.2">
      <c r="A2200" s="168">
        <v>2193</v>
      </c>
      <c r="B2200" s="159">
        <v>594.63366392643309</v>
      </c>
      <c r="C2200" s="169">
        <f t="shared" si="108"/>
        <v>1304031.6249906677</v>
      </c>
      <c r="I2200" s="168">
        <v>2193</v>
      </c>
      <c r="J2200" s="159">
        <f>ROUND(B2200*('Model Data Inputs'!$E$184*'Model Data Inputs'!$E$185*'Model Data Inputs'!$E$186*'Model Data Inputs'!$E$187),2)</f>
        <v>594.63</v>
      </c>
      <c r="K2200" s="169">
        <f t="shared" si="109"/>
        <v>1304023.5900000001</v>
      </c>
    </row>
    <row r="2201" spans="1:11" x14ac:dyDescent="0.2">
      <c r="A2201" s="168">
        <v>2194</v>
      </c>
      <c r="B2201" s="159">
        <v>594.63366392643309</v>
      </c>
      <c r="C2201" s="169">
        <f t="shared" si="108"/>
        <v>1304626.2586545942</v>
      </c>
      <c r="I2201" s="168">
        <v>2194</v>
      </c>
      <c r="J2201" s="159">
        <f>ROUND(B2201*('Model Data Inputs'!$E$184*'Model Data Inputs'!$E$185*'Model Data Inputs'!$E$186*'Model Data Inputs'!$E$187),2)</f>
        <v>594.63</v>
      </c>
      <c r="K2201" s="169">
        <f t="shared" si="109"/>
        <v>1304618.22</v>
      </c>
    </row>
    <row r="2202" spans="1:11" x14ac:dyDescent="0.2">
      <c r="A2202" s="168">
        <v>2195</v>
      </c>
      <c r="B2202" s="159">
        <v>594.63366392643309</v>
      </c>
      <c r="C2202" s="169">
        <f t="shared" si="108"/>
        <v>1305220.8923185207</v>
      </c>
      <c r="I2202" s="168">
        <v>2195</v>
      </c>
      <c r="J2202" s="159">
        <f>ROUND(B2202*('Model Data Inputs'!$E$184*'Model Data Inputs'!$E$185*'Model Data Inputs'!$E$186*'Model Data Inputs'!$E$187),2)</f>
        <v>594.63</v>
      </c>
      <c r="K2202" s="169">
        <f t="shared" si="109"/>
        <v>1305212.8500000001</v>
      </c>
    </row>
    <row r="2203" spans="1:11" x14ac:dyDescent="0.2">
      <c r="A2203" s="168">
        <v>2196</v>
      </c>
      <c r="B2203" s="159">
        <v>594.63366392643309</v>
      </c>
      <c r="C2203" s="169">
        <f t="shared" si="108"/>
        <v>1305815.525982447</v>
      </c>
      <c r="I2203" s="168">
        <v>2196</v>
      </c>
      <c r="J2203" s="159">
        <f>ROUND(B2203*('Model Data Inputs'!$E$184*'Model Data Inputs'!$E$185*'Model Data Inputs'!$E$186*'Model Data Inputs'!$E$187),2)</f>
        <v>594.63</v>
      </c>
      <c r="K2203" s="169">
        <f t="shared" si="109"/>
        <v>1305807.48</v>
      </c>
    </row>
    <row r="2204" spans="1:11" x14ac:dyDescent="0.2">
      <c r="A2204" s="168">
        <v>2197</v>
      </c>
      <c r="B2204" s="159">
        <v>594.63366392643309</v>
      </c>
      <c r="C2204" s="169">
        <f t="shared" si="108"/>
        <v>1306410.1596463735</v>
      </c>
      <c r="I2204" s="168">
        <v>2197</v>
      </c>
      <c r="J2204" s="159">
        <f>ROUND(B2204*('Model Data Inputs'!$E$184*'Model Data Inputs'!$E$185*'Model Data Inputs'!$E$186*'Model Data Inputs'!$E$187),2)</f>
        <v>594.63</v>
      </c>
      <c r="K2204" s="169">
        <f t="shared" si="109"/>
        <v>1306402.1100000001</v>
      </c>
    </row>
    <row r="2205" spans="1:11" x14ac:dyDescent="0.2">
      <c r="A2205" s="168">
        <v>2198</v>
      </c>
      <c r="B2205" s="159">
        <v>594.63366392643309</v>
      </c>
      <c r="C2205" s="169">
        <f t="shared" si="108"/>
        <v>1307004.7933103</v>
      </c>
      <c r="I2205" s="168">
        <v>2198</v>
      </c>
      <c r="J2205" s="159">
        <f>ROUND(B2205*('Model Data Inputs'!$E$184*'Model Data Inputs'!$E$185*'Model Data Inputs'!$E$186*'Model Data Inputs'!$E$187),2)</f>
        <v>594.63</v>
      </c>
      <c r="K2205" s="169">
        <f t="shared" si="109"/>
        <v>1306996.74</v>
      </c>
    </row>
    <row r="2206" spans="1:11" x14ac:dyDescent="0.2">
      <c r="A2206" s="168">
        <v>2199</v>
      </c>
      <c r="B2206" s="159">
        <v>594.63366392643309</v>
      </c>
      <c r="C2206" s="169">
        <f t="shared" si="108"/>
        <v>1307599.4269742263</v>
      </c>
      <c r="I2206" s="168">
        <v>2199</v>
      </c>
      <c r="J2206" s="159">
        <f>ROUND(B2206*('Model Data Inputs'!$E$184*'Model Data Inputs'!$E$185*'Model Data Inputs'!$E$186*'Model Data Inputs'!$E$187),2)</f>
        <v>594.63</v>
      </c>
      <c r="K2206" s="169">
        <f t="shared" si="109"/>
        <v>1307591.3699999999</v>
      </c>
    </row>
    <row r="2207" spans="1:11" x14ac:dyDescent="0.2">
      <c r="A2207" s="168">
        <v>2200</v>
      </c>
      <c r="B2207" s="159">
        <v>594.63366392643309</v>
      </c>
      <c r="C2207" s="169">
        <f t="shared" si="108"/>
        <v>1308194.0606381528</v>
      </c>
      <c r="I2207" s="168">
        <v>2200</v>
      </c>
      <c r="J2207" s="159">
        <f>ROUND(B2207*('Model Data Inputs'!$E$184*'Model Data Inputs'!$E$185*'Model Data Inputs'!$E$186*'Model Data Inputs'!$E$187),2)</f>
        <v>594.63</v>
      </c>
      <c r="K2207" s="169">
        <f t="shared" si="109"/>
        <v>1308186</v>
      </c>
    </row>
    <row r="2208" spans="1:11" x14ac:dyDescent="0.2">
      <c r="A2208" s="168">
        <v>2201</v>
      </c>
      <c r="B2208" s="159">
        <v>594.63366392643309</v>
      </c>
      <c r="C2208" s="169">
        <f t="shared" si="108"/>
        <v>1308788.6943020793</v>
      </c>
      <c r="I2208" s="168">
        <v>2201</v>
      </c>
      <c r="J2208" s="159">
        <f>ROUND(B2208*('Model Data Inputs'!$E$184*'Model Data Inputs'!$E$185*'Model Data Inputs'!$E$186*'Model Data Inputs'!$E$187),2)</f>
        <v>594.63</v>
      </c>
      <c r="K2208" s="169">
        <f t="shared" si="109"/>
        <v>1308780.6299999999</v>
      </c>
    </row>
    <row r="2209" spans="1:11" x14ac:dyDescent="0.2">
      <c r="A2209" s="168">
        <v>2202</v>
      </c>
      <c r="B2209" s="159">
        <v>594.63366392643309</v>
      </c>
      <c r="C2209" s="169">
        <f t="shared" si="108"/>
        <v>1309383.3279660055</v>
      </c>
      <c r="I2209" s="168">
        <v>2202</v>
      </c>
      <c r="J2209" s="159">
        <f>ROUND(B2209*('Model Data Inputs'!$E$184*'Model Data Inputs'!$E$185*'Model Data Inputs'!$E$186*'Model Data Inputs'!$E$187),2)</f>
        <v>594.63</v>
      </c>
      <c r="K2209" s="169">
        <f t="shared" si="109"/>
        <v>1309375.26</v>
      </c>
    </row>
    <row r="2210" spans="1:11" x14ac:dyDescent="0.2">
      <c r="A2210" s="168">
        <v>2203</v>
      </c>
      <c r="B2210" s="159">
        <v>594.63366392643309</v>
      </c>
      <c r="C2210" s="169">
        <f t="shared" si="108"/>
        <v>1309977.961629932</v>
      </c>
      <c r="I2210" s="168">
        <v>2203</v>
      </c>
      <c r="J2210" s="159">
        <f>ROUND(B2210*('Model Data Inputs'!$E$184*'Model Data Inputs'!$E$185*'Model Data Inputs'!$E$186*'Model Data Inputs'!$E$187),2)</f>
        <v>594.63</v>
      </c>
      <c r="K2210" s="169">
        <f t="shared" si="109"/>
        <v>1309969.8899999999</v>
      </c>
    </row>
    <row r="2211" spans="1:11" x14ac:dyDescent="0.2">
      <c r="A2211" s="168">
        <v>2204</v>
      </c>
      <c r="B2211" s="159">
        <v>594.63366392643309</v>
      </c>
      <c r="C2211" s="169">
        <f t="shared" si="108"/>
        <v>1310572.5952938586</v>
      </c>
      <c r="I2211" s="168">
        <v>2204</v>
      </c>
      <c r="J2211" s="159">
        <f>ROUND(B2211*('Model Data Inputs'!$E$184*'Model Data Inputs'!$E$185*'Model Data Inputs'!$E$186*'Model Data Inputs'!$E$187),2)</f>
        <v>594.63</v>
      </c>
      <c r="K2211" s="169">
        <f t="shared" si="109"/>
        <v>1310564.52</v>
      </c>
    </row>
    <row r="2212" spans="1:11" x14ac:dyDescent="0.2">
      <c r="A2212" s="168">
        <v>2205</v>
      </c>
      <c r="B2212" s="159">
        <v>594.63366392643309</v>
      </c>
      <c r="C2212" s="169">
        <f t="shared" si="108"/>
        <v>1311167.2289577851</v>
      </c>
      <c r="I2212" s="168">
        <v>2205</v>
      </c>
      <c r="J2212" s="159">
        <f>ROUND(B2212*('Model Data Inputs'!$E$184*'Model Data Inputs'!$E$185*'Model Data Inputs'!$E$186*'Model Data Inputs'!$E$187),2)</f>
        <v>594.63</v>
      </c>
      <c r="K2212" s="169">
        <f t="shared" si="109"/>
        <v>1311159.1499999999</v>
      </c>
    </row>
    <row r="2213" spans="1:11" x14ac:dyDescent="0.2">
      <c r="A2213" s="168">
        <v>2206</v>
      </c>
      <c r="B2213" s="159">
        <v>594.63366392643309</v>
      </c>
      <c r="C2213" s="169">
        <f t="shared" si="108"/>
        <v>1311761.8626217113</v>
      </c>
      <c r="I2213" s="168">
        <v>2206</v>
      </c>
      <c r="J2213" s="159">
        <f>ROUND(B2213*('Model Data Inputs'!$E$184*'Model Data Inputs'!$E$185*'Model Data Inputs'!$E$186*'Model Data Inputs'!$E$187),2)</f>
        <v>594.63</v>
      </c>
      <c r="K2213" s="169">
        <f t="shared" si="109"/>
        <v>1311753.78</v>
      </c>
    </row>
    <row r="2214" spans="1:11" x14ac:dyDescent="0.2">
      <c r="A2214" s="168">
        <v>2207</v>
      </c>
      <c r="B2214" s="159">
        <v>594.63366392643309</v>
      </c>
      <c r="C2214" s="169">
        <f t="shared" si="108"/>
        <v>1312356.4962856378</v>
      </c>
      <c r="I2214" s="168">
        <v>2207</v>
      </c>
      <c r="J2214" s="159">
        <f>ROUND(B2214*('Model Data Inputs'!$E$184*'Model Data Inputs'!$E$185*'Model Data Inputs'!$E$186*'Model Data Inputs'!$E$187),2)</f>
        <v>594.63</v>
      </c>
      <c r="K2214" s="169">
        <f t="shared" si="109"/>
        <v>1312348.4099999999</v>
      </c>
    </row>
    <row r="2215" spans="1:11" x14ac:dyDescent="0.2">
      <c r="A2215" s="168">
        <v>2208</v>
      </c>
      <c r="B2215" s="159">
        <v>594.63366392643309</v>
      </c>
      <c r="C2215" s="169">
        <f t="shared" si="108"/>
        <v>1312951.1299495643</v>
      </c>
      <c r="I2215" s="168">
        <v>2208</v>
      </c>
      <c r="J2215" s="159">
        <f>ROUND(B2215*('Model Data Inputs'!$E$184*'Model Data Inputs'!$E$185*'Model Data Inputs'!$E$186*'Model Data Inputs'!$E$187),2)</f>
        <v>594.63</v>
      </c>
      <c r="K2215" s="169">
        <f t="shared" si="109"/>
        <v>1312943.04</v>
      </c>
    </row>
    <row r="2216" spans="1:11" x14ac:dyDescent="0.2">
      <c r="A2216" s="168">
        <v>2209</v>
      </c>
      <c r="B2216" s="159">
        <v>594.63366392643309</v>
      </c>
      <c r="C2216" s="169">
        <f t="shared" si="108"/>
        <v>1313545.7636134906</v>
      </c>
      <c r="I2216" s="168">
        <v>2209</v>
      </c>
      <c r="J2216" s="159">
        <f>ROUND(B2216*('Model Data Inputs'!$E$184*'Model Data Inputs'!$E$185*'Model Data Inputs'!$E$186*'Model Data Inputs'!$E$187),2)</f>
        <v>594.63</v>
      </c>
      <c r="K2216" s="169">
        <f t="shared" si="109"/>
        <v>1313537.67</v>
      </c>
    </row>
    <row r="2217" spans="1:11" x14ac:dyDescent="0.2">
      <c r="A2217" s="168">
        <v>2210</v>
      </c>
      <c r="B2217" s="159">
        <v>594.63366392643309</v>
      </c>
      <c r="C2217" s="169">
        <f t="shared" si="108"/>
        <v>1314140.3972774171</v>
      </c>
      <c r="I2217" s="168">
        <v>2210</v>
      </c>
      <c r="J2217" s="159">
        <f>ROUND(B2217*('Model Data Inputs'!$E$184*'Model Data Inputs'!$E$185*'Model Data Inputs'!$E$186*'Model Data Inputs'!$E$187),2)</f>
        <v>594.63</v>
      </c>
      <c r="K2217" s="169">
        <f t="shared" si="109"/>
        <v>1314132.3</v>
      </c>
    </row>
    <row r="2218" spans="1:11" x14ac:dyDescent="0.2">
      <c r="A2218" s="168">
        <v>2211</v>
      </c>
      <c r="B2218" s="159">
        <v>594.63366392643309</v>
      </c>
      <c r="C2218" s="169">
        <f t="shared" si="108"/>
        <v>1314735.0309413436</v>
      </c>
      <c r="I2218" s="168">
        <v>2211</v>
      </c>
      <c r="J2218" s="159">
        <f>ROUND(B2218*('Model Data Inputs'!$E$184*'Model Data Inputs'!$E$185*'Model Data Inputs'!$E$186*'Model Data Inputs'!$E$187),2)</f>
        <v>594.63</v>
      </c>
      <c r="K2218" s="169">
        <f t="shared" si="109"/>
        <v>1314726.93</v>
      </c>
    </row>
    <row r="2219" spans="1:11" x14ac:dyDescent="0.2">
      <c r="A2219" s="168">
        <v>2212</v>
      </c>
      <c r="B2219" s="159">
        <v>594.63366392643309</v>
      </c>
      <c r="C2219" s="169">
        <f t="shared" si="108"/>
        <v>1315329.6646052699</v>
      </c>
      <c r="I2219" s="168">
        <v>2212</v>
      </c>
      <c r="J2219" s="159">
        <f>ROUND(B2219*('Model Data Inputs'!$E$184*'Model Data Inputs'!$E$185*'Model Data Inputs'!$E$186*'Model Data Inputs'!$E$187),2)</f>
        <v>594.63</v>
      </c>
      <c r="K2219" s="169">
        <f t="shared" si="109"/>
        <v>1315321.56</v>
      </c>
    </row>
    <row r="2220" spans="1:11" x14ac:dyDescent="0.2">
      <c r="A2220" s="168">
        <v>2213</v>
      </c>
      <c r="B2220" s="159">
        <v>594.63366392643309</v>
      </c>
      <c r="C2220" s="169">
        <f t="shared" si="108"/>
        <v>1315924.2982691964</v>
      </c>
      <c r="I2220" s="168">
        <v>2213</v>
      </c>
      <c r="J2220" s="159">
        <f>ROUND(B2220*('Model Data Inputs'!$E$184*'Model Data Inputs'!$E$185*'Model Data Inputs'!$E$186*'Model Data Inputs'!$E$187),2)</f>
        <v>594.63</v>
      </c>
      <c r="K2220" s="169">
        <f t="shared" si="109"/>
        <v>1315916.19</v>
      </c>
    </row>
    <row r="2221" spans="1:11" x14ac:dyDescent="0.2">
      <c r="A2221" s="168">
        <v>2214</v>
      </c>
      <c r="B2221" s="159">
        <v>594.63366392643309</v>
      </c>
      <c r="C2221" s="169">
        <f t="shared" si="108"/>
        <v>1316518.9319331229</v>
      </c>
      <c r="I2221" s="168">
        <v>2214</v>
      </c>
      <c r="J2221" s="159">
        <f>ROUND(B2221*('Model Data Inputs'!$E$184*'Model Data Inputs'!$E$185*'Model Data Inputs'!$E$186*'Model Data Inputs'!$E$187),2)</f>
        <v>594.63</v>
      </c>
      <c r="K2221" s="169">
        <f t="shared" si="109"/>
        <v>1316510.82</v>
      </c>
    </row>
    <row r="2222" spans="1:11" x14ac:dyDescent="0.2">
      <c r="A2222" s="168">
        <v>2215</v>
      </c>
      <c r="B2222" s="159">
        <v>594.63366392643309</v>
      </c>
      <c r="C2222" s="169">
        <f t="shared" si="108"/>
        <v>1317113.5655970492</v>
      </c>
      <c r="I2222" s="168">
        <v>2215</v>
      </c>
      <c r="J2222" s="159">
        <f>ROUND(B2222*('Model Data Inputs'!$E$184*'Model Data Inputs'!$E$185*'Model Data Inputs'!$E$186*'Model Data Inputs'!$E$187),2)</f>
        <v>594.63</v>
      </c>
      <c r="K2222" s="169">
        <f t="shared" si="109"/>
        <v>1317105.45</v>
      </c>
    </row>
    <row r="2223" spans="1:11" x14ac:dyDescent="0.2">
      <c r="A2223" s="168">
        <v>2216</v>
      </c>
      <c r="B2223" s="159">
        <v>594.63366392643309</v>
      </c>
      <c r="C2223" s="169">
        <f t="shared" si="108"/>
        <v>1317708.1992609757</v>
      </c>
      <c r="I2223" s="168">
        <v>2216</v>
      </c>
      <c r="J2223" s="159">
        <f>ROUND(B2223*('Model Data Inputs'!$E$184*'Model Data Inputs'!$E$185*'Model Data Inputs'!$E$186*'Model Data Inputs'!$E$187),2)</f>
        <v>594.63</v>
      </c>
      <c r="K2223" s="169">
        <f t="shared" si="109"/>
        <v>1317700.08</v>
      </c>
    </row>
    <row r="2224" spans="1:11" x14ac:dyDescent="0.2">
      <c r="A2224" s="168">
        <v>2217</v>
      </c>
      <c r="B2224" s="159">
        <v>594.63366392643309</v>
      </c>
      <c r="C2224" s="169">
        <f t="shared" si="108"/>
        <v>1318302.8329249022</v>
      </c>
      <c r="I2224" s="168">
        <v>2217</v>
      </c>
      <c r="J2224" s="159">
        <f>ROUND(B2224*('Model Data Inputs'!$E$184*'Model Data Inputs'!$E$185*'Model Data Inputs'!$E$186*'Model Data Inputs'!$E$187),2)</f>
        <v>594.63</v>
      </c>
      <c r="K2224" s="169">
        <f t="shared" si="109"/>
        <v>1318294.71</v>
      </c>
    </row>
    <row r="2225" spans="1:11" x14ac:dyDescent="0.2">
      <c r="A2225" s="168">
        <v>2218</v>
      </c>
      <c r="B2225" s="159">
        <v>594.63366392643309</v>
      </c>
      <c r="C2225" s="169">
        <f t="shared" si="108"/>
        <v>1318897.4665888285</v>
      </c>
      <c r="I2225" s="168">
        <v>2218</v>
      </c>
      <c r="J2225" s="159">
        <f>ROUND(B2225*('Model Data Inputs'!$E$184*'Model Data Inputs'!$E$185*'Model Data Inputs'!$E$186*'Model Data Inputs'!$E$187),2)</f>
        <v>594.63</v>
      </c>
      <c r="K2225" s="169">
        <f t="shared" si="109"/>
        <v>1318889.3400000001</v>
      </c>
    </row>
    <row r="2226" spans="1:11" x14ac:dyDescent="0.2">
      <c r="A2226" s="168">
        <v>2219</v>
      </c>
      <c r="B2226" s="159">
        <v>594.63366392643309</v>
      </c>
      <c r="C2226" s="169">
        <f t="shared" si="108"/>
        <v>1319492.100252755</v>
      </c>
      <c r="I2226" s="168">
        <v>2219</v>
      </c>
      <c r="J2226" s="159">
        <f>ROUND(B2226*('Model Data Inputs'!$E$184*'Model Data Inputs'!$E$185*'Model Data Inputs'!$E$186*'Model Data Inputs'!$E$187),2)</f>
        <v>594.63</v>
      </c>
      <c r="K2226" s="169">
        <f t="shared" si="109"/>
        <v>1319483.97</v>
      </c>
    </row>
    <row r="2227" spans="1:11" x14ac:dyDescent="0.2">
      <c r="A2227" s="168">
        <v>2220</v>
      </c>
      <c r="B2227" s="159">
        <v>594.63366392643309</v>
      </c>
      <c r="C2227" s="169">
        <f t="shared" si="108"/>
        <v>1320086.7339166815</v>
      </c>
      <c r="I2227" s="168">
        <v>2220</v>
      </c>
      <c r="J2227" s="159">
        <f>ROUND(B2227*('Model Data Inputs'!$E$184*'Model Data Inputs'!$E$185*'Model Data Inputs'!$E$186*'Model Data Inputs'!$E$187),2)</f>
        <v>594.63</v>
      </c>
      <c r="K2227" s="169">
        <f t="shared" si="109"/>
        <v>1320078.6000000001</v>
      </c>
    </row>
    <row r="2228" spans="1:11" x14ac:dyDescent="0.2">
      <c r="A2228" s="168">
        <v>2221</v>
      </c>
      <c r="B2228" s="159">
        <v>594.63366392643309</v>
      </c>
      <c r="C2228" s="169">
        <f t="shared" si="108"/>
        <v>1320681.367580608</v>
      </c>
      <c r="I2228" s="168">
        <v>2221</v>
      </c>
      <c r="J2228" s="159">
        <f>ROUND(B2228*('Model Data Inputs'!$E$184*'Model Data Inputs'!$E$185*'Model Data Inputs'!$E$186*'Model Data Inputs'!$E$187),2)</f>
        <v>594.63</v>
      </c>
      <c r="K2228" s="169">
        <f t="shared" si="109"/>
        <v>1320673.23</v>
      </c>
    </row>
    <row r="2229" spans="1:11" x14ac:dyDescent="0.2">
      <c r="A2229" s="168">
        <v>2222</v>
      </c>
      <c r="B2229" s="159">
        <v>594.63366392643309</v>
      </c>
      <c r="C2229" s="169">
        <f t="shared" si="108"/>
        <v>1321276.0012445343</v>
      </c>
      <c r="I2229" s="168">
        <v>2222</v>
      </c>
      <c r="J2229" s="159">
        <f>ROUND(B2229*('Model Data Inputs'!$E$184*'Model Data Inputs'!$E$185*'Model Data Inputs'!$E$186*'Model Data Inputs'!$E$187),2)</f>
        <v>594.63</v>
      </c>
      <c r="K2229" s="169">
        <f t="shared" si="109"/>
        <v>1321267.8600000001</v>
      </c>
    </row>
    <row r="2230" spans="1:11" x14ac:dyDescent="0.2">
      <c r="A2230" s="168">
        <v>2223</v>
      </c>
      <c r="B2230" s="159">
        <v>594.63366392643309</v>
      </c>
      <c r="C2230" s="169">
        <f t="shared" si="108"/>
        <v>1321870.6349084608</v>
      </c>
      <c r="I2230" s="168">
        <v>2223</v>
      </c>
      <c r="J2230" s="159">
        <f>ROUND(B2230*('Model Data Inputs'!$E$184*'Model Data Inputs'!$E$185*'Model Data Inputs'!$E$186*'Model Data Inputs'!$E$187),2)</f>
        <v>594.63</v>
      </c>
      <c r="K2230" s="169">
        <f t="shared" si="109"/>
        <v>1321862.49</v>
      </c>
    </row>
    <row r="2231" spans="1:11" x14ac:dyDescent="0.2">
      <c r="A2231" s="168">
        <v>2224</v>
      </c>
      <c r="B2231" s="159">
        <v>594.63366392643309</v>
      </c>
      <c r="C2231" s="169">
        <f t="shared" si="108"/>
        <v>1322465.2685723873</v>
      </c>
      <c r="I2231" s="168">
        <v>2224</v>
      </c>
      <c r="J2231" s="159">
        <f>ROUND(B2231*('Model Data Inputs'!$E$184*'Model Data Inputs'!$E$185*'Model Data Inputs'!$E$186*'Model Data Inputs'!$E$187),2)</f>
        <v>594.63</v>
      </c>
      <c r="K2231" s="169">
        <f t="shared" si="109"/>
        <v>1322457.1199999999</v>
      </c>
    </row>
    <row r="2232" spans="1:11" x14ac:dyDescent="0.2">
      <c r="A2232" s="168">
        <v>2225</v>
      </c>
      <c r="B2232" s="159">
        <v>594.63366392643309</v>
      </c>
      <c r="C2232" s="169">
        <f t="shared" si="108"/>
        <v>1323059.9022363136</v>
      </c>
      <c r="I2232" s="168">
        <v>2225</v>
      </c>
      <c r="J2232" s="159">
        <f>ROUND(B2232*('Model Data Inputs'!$E$184*'Model Data Inputs'!$E$185*'Model Data Inputs'!$E$186*'Model Data Inputs'!$E$187),2)</f>
        <v>594.63</v>
      </c>
      <c r="K2232" s="169">
        <f t="shared" si="109"/>
        <v>1323051.75</v>
      </c>
    </row>
    <row r="2233" spans="1:11" x14ac:dyDescent="0.2">
      <c r="A2233" s="168">
        <v>2226</v>
      </c>
      <c r="B2233" s="159">
        <v>594.63366392643309</v>
      </c>
      <c r="C2233" s="169">
        <f t="shared" si="108"/>
        <v>1323654.5359002401</v>
      </c>
      <c r="I2233" s="168">
        <v>2226</v>
      </c>
      <c r="J2233" s="159">
        <f>ROUND(B2233*('Model Data Inputs'!$E$184*'Model Data Inputs'!$E$185*'Model Data Inputs'!$E$186*'Model Data Inputs'!$E$187),2)</f>
        <v>594.63</v>
      </c>
      <c r="K2233" s="169">
        <f t="shared" si="109"/>
        <v>1323646.3799999999</v>
      </c>
    </row>
    <row r="2234" spans="1:11" x14ac:dyDescent="0.2">
      <c r="A2234" s="168">
        <v>2227</v>
      </c>
      <c r="B2234" s="159">
        <v>594.63366392643309</v>
      </c>
      <c r="C2234" s="169">
        <f t="shared" si="108"/>
        <v>1324249.1695641666</v>
      </c>
      <c r="I2234" s="168">
        <v>2227</v>
      </c>
      <c r="J2234" s="159">
        <f>ROUND(B2234*('Model Data Inputs'!$E$184*'Model Data Inputs'!$E$185*'Model Data Inputs'!$E$186*'Model Data Inputs'!$E$187),2)</f>
        <v>594.63</v>
      </c>
      <c r="K2234" s="169">
        <f t="shared" si="109"/>
        <v>1324241.01</v>
      </c>
    </row>
    <row r="2235" spans="1:11" x14ac:dyDescent="0.2">
      <c r="A2235" s="168">
        <v>2228</v>
      </c>
      <c r="B2235" s="159">
        <v>594.63366392643309</v>
      </c>
      <c r="C2235" s="169">
        <f t="shared" si="108"/>
        <v>1324843.8032280928</v>
      </c>
      <c r="I2235" s="168">
        <v>2228</v>
      </c>
      <c r="J2235" s="159">
        <f>ROUND(B2235*('Model Data Inputs'!$E$184*'Model Data Inputs'!$E$185*'Model Data Inputs'!$E$186*'Model Data Inputs'!$E$187),2)</f>
        <v>594.63</v>
      </c>
      <c r="K2235" s="169">
        <f t="shared" si="109"/>
        <v>1324835.6399999999</v>
      </c>
    </row>
    <row r="2236" spans="1:11" x14ac:dyDescent="0.2">
      <c r="A2236" s="168">
        <v>2229</v>
      </c>
      <c r="B2236" s="159">
        <v>594.63366392643309</v>
      </c>
      <c r="C2236" s="169">
        <f t="shared" si="108"/>
        <v>1325438.4368920194</v>
      </c>
      <c r="I2236" s="168">
        <v>2229</v>
      </c>
      <c r="J2236" s="159">
        <f>ROUND(B2236*('Model Data Inputs'!$E$184*'Model Data Inputs'!$E$185*'Model Data Inputs'!$E$186*'Model Data Inputs'!$E$187),2)</f>
        <v>594.63</v>
      </c>
      <c r="K2236" s="169">
        <f t="shared" si="109"/>
        <v>1325430.27</v>
      </c>
    </row>
    <row r="2237" spans="1:11" x14ac:dyDescent="0.2">
      <c r="A2237" s="168">
        <v>2230</v>
      </c>
      <c r="B2237" s="159">
        <v>594.63366392643309</v>
      </c>
      <c r="C2237" s="169">
        <f t="shared" si="108"/>
        <v>1326033.0705559459</v>
      </c>
      <c r="I2237" s="168">
        <v>2230</v>
      </c>
      <c r="J2237" s="159">
        <f>ROUND(B2237*('Model Data Inputs'!$E$184*'Model Data Inputs'!$E$185*'Model Data Inputs'!$E$186*'Model Data Inputs'!$E$187),2)</f>
        <v>594.63</v>
      </c>
      <c r="K2237" s="169">
        <f t="shared" si="109"/>
        <v>1326024.8999999999</v>
      </c>
    </row>
    <row r="2238" spans="1:11" x14ac:dyDescent="0.2">
      <c r="A2238" s="168">
        <v>2231</v>
      </c>
      <c r="B2238" s="159">
        <v>594.63366392643309</v>
      </c>
      <c r="C2238" s="169">
        <f t="shared" si="108"/>
        <v>1326627.7042198721</v>
      </c>
      <c r="I2238" s="168">
        <v>2231</v>
      </c>
      <c r="J2238" s="159">
        <f>ROUND(B2238*('Model Data Inputs'!$E$184*'Model Data Inputs'!$E$185*'Model Data Inputs'!$E$186*'Model Data Inputs'!$E$187),2)</f>
        <v>594.63</v>
      </c>
      <c r="K2238" s="169">
        <f t="shared" si="109"/>
        <v>1326619.53</v>
      </c>
    </row>
    <row r="2239" spans="1:11" x14ac:dyDescent="0.2">
      <c r="A2239" s="168">
        <v>2232</v>
      </c>
      <c r="B2239" s="159">
        <v>594.63366392643309</v>
      </c>
      <c r="C2239" s="169">
        <f t="shared" si="108"/>
        <v>1327222.3378837986</v>
      </c>
      <c r="I2239" s="168">
        <v>2232</v>
      </c>
      <c r="J2239" s="159">
        <f>ROUND(B2239*('Model Data Inputs'!$E$184*'Model Data Inputs'!$E$185*'Model Data Inputs'!$E$186*'Model Data Inputs'!$E$187),2)</f>
        <v>594.63</v>
      </c>
      <c r="K2239" s="169">
        <f t="shared" si="109"/>
        <v>1327214.1599999999</v>
      </c>
    </row>
    <row r="2240" spans="1:11" x14ac:dyDescent="0.2">
      <c r="A2240" s="168">
        <v>2233</v>
      </c>
      <c r="B2240" s="159">
        <v>594.63366392643309</v>
      </c>
      <c r="C2240" s="169">
        <f t="shared" si="108"/>
        <v>1327816.9715477251</v>
      </c>
      <c r="I2240" s="168">
        <v>2233</v>
      </c>
      <c r="J2240" s="159">
        <f>ROUND(B2240*('Model Data Inputs'!$E$184*'Model Data Inputs'!$E$185*'Model Data Inputs'!$E$186*'Model Data Inputs'!$E$187),2)</f>
        <v>594.63</v>
      </c>
      <c r="K2240" s="169">
        <f t="shared" si="109"/>
        <v>1327808.79</v>
      </c>
    </row>
    <row r="2241" spans="1:11" x14ac:dyDescent="0.2">
      <c r="A2241" s="168">
        <v>2234</v>
      </c>
      <c r="B2241" s="159">
        <v>594.63366392643309</v>
      </c>
      <c r="C2241" s="169">
        <f t="shared" si="108"/>
        <v>1328411.6052116514</v>
      </c>
      <c r="I2241" s="168">
        <v>2234</v>
      </c>
      <c r="J2241" s="159">
        <f>ROUND(B2241*('Model Data Inputs'!$E$184*'Model Data Inputs'!$E$185*'Model Data Inputs'!$E$186*'Model Data Inputs'!$E$187),2)</f>
        <v>594.63</v>
      </c>
      <c r="K2241" s="169">
        <f t="shared" si="109"/>
        <v>1328403.42</v>
      </c>
    </row>
    <row r="2242" spans="1:11" x14ac:dyDescent="0.2">
      <c r="A2242" s="168">
        <v>2235</v>
      </c>
      <c r="B2242" s="159">
        <v>594.63366392643309</v>
      </c>
      <c r="C2242" s="169">
        <f t="shared" si="108"/>
        <v>1329006.2388755779</v>
      </c>
      <c r="I2242" s="168">
        <v>2235</v>
      </c>
      <c r="J2242" s="159">
        <f>ROUND(B2242*('Model Data Inputs'!$E$184*'Model Data Inputs'!$E$185*'Model Data Inputs'!$E$186*'Model Data Inputs'!$E$187),2)</f>
        <v>594.63</v>
      </c>
      <c r="K2242" s="169">
        <f t="shared" si="109"/>
        <v>1328998.05</v>
      </c>
    </row>
    <row r="2243" spans="1:11" x14ac:dyDescent="0.2">
      <c r="A2243" s="168">
        <v>2236</v>
      </c>
      <c r="B2243" s="159">
        <v>594.63366392643309</v>
      </c>
      <c r="C2243" s="169">
        <f t="shared" si="108"/>
        <v>1329600.8725395044</v>
      </c>
      <c r="I2243" s="168">
        <v>2236</v>
      </c>
      <c r="J2243" s="159">
        <f>ROUND(B2243*('Model Data Inputs'!$E$184*'Model Data Inputs'!$E$185*'Model Data Inputs'!$E$186*'Model Data Inputs'!$E$187),2)</f>
        <v>594.63</v>
      </c>
      <c r="K2243" s="169">
        <f t="shared" si="109"/>
        <v>1329592.68</v>
      </c>
    </row>
    <row r="2244" spans="1:11" x14ac:dyDescent="0.2">
      <c r="A2244" s="168">
        <v>2237</v>
      </c>
      <c r="B2244" s="159">
        <v>594.63366392643309</v>
      </c>
      <c r="C2244" s="169">
        <f t="shared" si="108"/>
        <v>1330195.5062034307</v>
      </c>
      <c r="I2244" s="168">
        <v>2237</v>
      </c>
      <c r="J2244" s="159">
        <f>ROUND(B2244*('Model Data Inputs'!$E$184*'Model Data Inputs'!$E$185*'Model Data Inputs'!$E$186*'Model Data Inputs'!$E$187),2)</f>
        <v>594.63</v>
      </c>
      <c r="K2244" s="169">
        <f t="shared" si="109"/>
        <v>1330187.31</v>
      </c>
    </row>
    <row r="2245" spans="1:11" x14ac:dyDescent="0.2">
      <c r="A2245" s="168">
        <v>2238</v>
      </c>
      <c r="B2245" s="159">
        <v>594.63366392643309</v>
      </c>
      <c r="C2245" s="169">
        <f t="shared" si="108"/>
        <v>1330790.1398673572</v>
      </c>
      <c r="I2245" s="168">
        <v>2238</v>
      </c>
      <c r="J2245" s="159">
        <f>ROUND(B2245*('Model Data Inputs'!$E$184*'Model Data Inputs'!$E$185*'Model Data Inputs'!$E$186*'Model Data Inputs'!$E$187),2)</f>
        <v>594.63</v>
      </c>
      <c r="K2245" s="169">
        <f t="shared" si="109"/>
        <v>1330781.94</v>
      </c>
    </row>
    <row r="2246" spans="1:11" x14ac:dyDescent="0.2">
      <c r="A2246" s="168">
        <v>2239</v>
      </c>
      <c r="B2246" s="159">
        <v>594.63366392643309</v>
      </c>
      <c r="C2246" s="169">
        <f t="shared" si="108"/>
        <v>1331384.7735312837</v>
      </c>
      <c r="I2246" s="168">
        <v>2239</v>
      </c>
      <c r="J2246" s="159">
        <f>ROUND(B2246*('Model Data Inputs'!$E$184*'Model Data Inputs'!$E$185*'Model Data Inputs'!$E$186*'Model Data Inputs'!$E$187),2)</f>
        <v>594.63</v>
      </c>
      <c r="K2246" s="169">
        <f t="shared" si="109"/>
        <v>1331376.57</v>
      </c>
    </row>
    <row r="2247" spans="1:11" x14ac:dyDescent="0.2">
      <c r="A2247" s="168">
        <v>2240</v>
      </c>
      <c r="B2247" s="159">
        <v>594.63366392643309</v>
      </c>
      <c r="C2247" s="169">
        <f t="shared" si="108"/>
        <v>1331979.4071952102</v>
      </c>
      <c r="I2247" s="168">
        <v>2240</v>
      </c>
      <c r="J2247" s="159">
        <f>ROUND(B2247*('Model Data Inputs'!$E$184*'Model Data Inputs'!$E$185*'Model Data Inputs'!$E$186*'Model Data Inputs'!$E$187),2)</f>
        <v>594.63</v>
      </c>
      <c r="K2247" s="169">
        <f t="shared" si="109"/>
        <v>1331971.2</v>
      </c>
    </row>
    <row r="2248" spans="1:11" x14ac:dyDescent="0.2">
      <c r="A2248" s="168">
        <v>2241</v>
      </c>
      <c r="B2248" s="159">
        <v>594.63366392643309</v>
      </c>
      <c r="C2248" s="169">
        <f t="shared" ref="C2248:C2311" si="110">A2248*B2248</f>
        <v>1332574.0408591365</v>
      </c>
      <c r="I2248" s="168">
        <v>2241</v>
      </c>
      <c r="J2248" s="159">
        <f>ROUND(B2248*('Model Data Inputs'!$E$184*'Model Data Inputs'!$E$185*'Model Data Inputs'!$E$186*'Model Data Inputs'!$E$187),2)</f>
        <v>594.63</v>
      </c>
      <c r="K2248" s="169">
        <f t="shared" ref="K2248:K2311" si="111">I2248*J2248</f>
        <v>1332565.83</v>
      </c>
    </row>
    <row r="2249" spans="1:11" x14ac:dyDescent="0.2">
      <c r="A2249" s="168">
        <v>2242</v>
      </c>
      <c r="B2249" s="159">
        <v>594.63366392643309</v>
      </c>
      <c r="C2249" s="169">
        <f t="shared" si="110"/>
        <v>1333168.674523063</v>
      </c>
      <c r="I2249" s="168">
        <v>2242</v>
      </c>
      <c r="J2249" s="159">
        <f>ROUND(B2249*('Model Data Inputs'!$E$184*'Model Data Inputs'!$E$185*'Model Data Inputs'!$E$186*'Model Data Inputs'!$E$187),2)</f>
        <v>594.63</v>
      </c>
      <c r="K2249" s="169">
        <f t="shared" si="111"/>
        <v>1333160.46</v>
      </c>
    </row>
    <row r="2250" spans="1:11" x14ac:dyDescent="0.2">
      <c r="A2250" s="168">
        <v>2243</v>
      </c>
      <c r="B2250" s="159">
        <v>594.63366392643309</v>
      </c>
      <c r="C2250" s="169">
        <f t="shared" si="110"/>
        <v>1333763.3081869895</v>
      </c>
      <c r="I2250" s="168">
        <v>2243</v>
      </c>
      <c r="J2250" s="159">
        <f>ROUND(B2250*('Model Data Inputs'!$E$184*'Model Data Inputs'!$E$185*'Model Data Inputs'!$E$186*'Model Data Inputs'!$E$187),2)</f>
        <v>594.63</v>
      </c>
      <c r="K2250" s="169">
        <f t="shared" si="111"/>
        <v>1333755.0900000001</v>
      </c>
    </row>
    <row r="2251" spans="1:11" x14ac:dyDescent="0.2">
      <c r="A2251" s="168">
        <v>2244</v>
      </c>
      <c r="B2251" s="159">
        <v>594.63366392643309</v>
      </c>
      <c r="C2251" s="169">
        <f t="shared" si="110"/>
        <v>1334357.9418509158</v>
      </c>
      <c r="I2251" s="168">
        <v>2244</v>
      </c>
      <c r="J2251" s="159">
        <f>ROUND(B2251*('Model Data Inputs'!$E$184*'Model Data Inputs'!$E$185*'Model Data Inputs'!$E$186*'Model Data Inputs'!$E$187),2)</f>
        <v>594.63</v>
      </c>
      <c r="K2251" s="169">
        <f t="shared" si="111"/>
        <v>1334349.72</v>
      </c>
    </row>
    <row r="2252" spans="1:11" x14ac:dyDescent="0.2">
      <c r="A2252" s="168">
        <v>2245</v>
      </c>
      <c r="B2252" s="159">
        <v>594.63366392643309</v>
      </c>
      <c r="C2252" s="169">
        <f t="shared" si="110"/>
        <v>1334952.5755148423</v>
      </c>
      <c r="I2252" s="168">
        <v>2245</v>
      </c>
      <c r="J2252" s="159">
        <f>ROUND(B2252*('Model Data Inputs'!$E$184*'Model Data Inputs'!$E$185*'Model Data Inputs'!$E$186*'Model Data Inputs'!$E$187),2)</f>
        <v>594.63</v>
      </c>
      <c r="K2252" s="169">
        <f t="shared" si="111"/>
        <v>1334944.3500000001</v>
      </c>
    </row>
    <row r="2253" spans="1:11" x14ac:dyDescent="0.2">
      <c r="A2253" s="168">
        <v>2246</v>
      </c>
      <c r="B2253" s="159">
        <v>594.63366392643309</v>
      </c>
      <c r="C2253" s="169">
        <f t="shared" si="110"/>
        <v>1335547.2091787688</v>
      </c>
      <c r="I2253" s="168">
        <v>2246</v>
      </c>
      <c r="J2253" s="159">
        <f>ROUND(B2253*('Model Data Inputs'!$E$184*'Model Data Inputs'!$E$185*'Model Data Inputs'!$E$186*'Model Data Inputs'!$E$187),2)</f>
        <v>594.63</v>
      </c>
      <c r="K2253" s="169">
        <f t="shared" si="111"/>
        <v>1335538.98</v>
      </c>
    </row>
    <row r="2254" spans="1:11" x14ac:dyDescent="0.2">
      <c r="A2254" s="168">
        <v>2247</v>
      </c>
      <c r="B2254" s="159">
        <v>594.63366392643309</v>
      </c>
      <c r="C2254" s="169">
        <f t="shared" si="110"/>
        <v>1336141.8428426951</v>
      </c>
      <c r="I2254" s="168">
        <v>2247</v>
      </c>
      <c r="J2254" s="159">
        <f>ROUND(B2254*('Model Data Inputs'!$E$184*'Model Data Inputs'!$E$185*'Model Data Inputs'!$E$186*'Model Data Inputs'!$E$187),2)</f>
        <v>594.63</v>
      </c>
      <c r="K2254" s="169">
        <f t="shared" si="111"/>
        <v>1336133.6100000001</v>
      </c>
    </row>
    <row r="2255" spans="1:11" x14ac:dyDescent="0.2">
      <c r="A2255" s="168">
        <v>2248</v>
      </c>
      <c r="B2255" s="159">
        <v>594.63366392643309</v>
      </c>
      <c r="C2255" s="169">
        <f t="shared" si="110"/>
        <v>1336736.4765066216</v>
      </c>
      <c r="I2255" s="168">
        <v>2248</v>
      </c>
      <c r="J2255" s="159">
        <f>ROUND(B2255*('Model Data Inputs'!$E$184*'Model Data Inputs'!$E$185*'Model Data Inputs'!$E$186*'Model Data Inputs'!$E$187),2)</f>
        <v>594.63</v>
      </c>
      <c r="K2255" s="169">
        <f t="shared" si="111"/>
        <v>1336728.24</v>
      </c>
    </row>
    <row r="2256" spans="1:11" x14ac:dyDescent="0.2">
      <c r="A2256" s="168">
        <v>2249</v>
      </c>
      <c r="B2256" s="159">
        <v>594.63366392643309</v>
      </c>
      <c r="C2256" s="169">
        <f t="shared" si="110"/>
        <v>1337331.1101705481</v>
      </c>
      <c r="I2256" s="168">
        <v>2249</v>
      </c>
      <c r="J2256" s="159">
        <f>ROUND(B2256*('Model Data Inputs'!$E$184*'Model Data Inputs'!$E$185*'Model Data Inputs'!$E$186*'Model Data Inputs'!$E$187),2)</f>
        <v>594.63</v>
      </c>
      <c r="K2256" s="169">
        <f t="shared" si="111"/>
        <v>1337322.8699999999</v>
      </c>
    </row>
    <row r="2257" spans="1:11" x14ac:dyDescent="0.2">
      <c r="A2257" s="168">
        <v>2250</v>
      </c>
      <c r="B2257" s="159">
        <v>594.63366392643309</v>
      </c>
      <c r="C2257" s="169">
        <f t="shared" si="110"/>
        <v>1337925.7438344744</v>
      </c>
      <c r="I2257" s="168">
        <v>2250</v>
      </c>
      <c r="J2257" s="159">
        <f>ROUND(B2257*('Model Data Inputs'!$E$184*'Model Data Inputs'!$E$185*'Model Data Inputs'!$E$186*'Model Data Inputs'!$E$187),2)</f>
        <v>594.63</v>
      </c>
      <c r="K2257" s="169">
        <f t="shared" si="111"/>
        <v>1337917.5</v>
      </c>
    </row>
    <row r="2258" spans="1:11" x14ac:dyDescent="0.2">
      <c r="A2258" s="168">
        <v>2251</v>
      </c>
      <c r="B2258" s="159">
        <v>594.63366392643309</v>
      </c>
      <c r="C2258" s="169">
        <f t="shared" si="110"/>
        <v>1338520.3774984009</v>
      </c>
      <c r="I2258" s="168">
        <v>2251</v>
      </c>
      <c r="J2258" s="159">
        <f>ROUND(B2258*('Model Data Inputs'!$E$184*'Model Data Inputs'!$E$185*'Model Data Inputs'!$E$186*'Model Data Inputs'!$E$187),2)</f>
        <v>594.63</v>
      </c>
      <c r="K2258" s="169">
        <f t="shared" si="111"/>
        <v>1338512.1299999999</v>
      </c>
    </row>
    <row r="2259" spans="1:11" x14ac:dyDescent="0.2">
      <c r="A2259" s="168">
        <v>2252</v>
      </c>
      <c r="B2259" s="159">
        <v>594.63366392643309</v>
      </c>
      <c r="C2259" s="169">
        <f t="shared" si="110"/>
        <v>1339115.0111623274</v>
      </c>
      <c r="I2259" s="168">
        <v>2252</v>
      </c>
      <c r="J2259" s="159">
        <f>ROUND(B2259*('Model Data Inputs'!$E$184*'Model Data Inputs'!$E$185*'Model Data Inputs'!$E$186*'Model Data Inputs'!$E$187),2)</f>
        <v>594.63</v>
      </c>
      <c r="K2259" s="169">
        <f t="shared" si="111"/>
        <v>1339106.76</v>
      </c>
    </row>
    <row r="2260" spans="1:11" x14ac:dyDescent="0.2">
      <c r="A2260" s="168">
        <v>2253</v>
      </c>
      <c r="B2260" s="159">
        <v>594.63366392643309</v>
      </c>
      <c r="C2260" s="169">
        <f t="shared" si="110"/>
        <v>1339709.6448262536</v>
      </c>
      <c r="I2260" s="168">
        <v>2253</v>
      </c>
      <c r="J2260" s="159">
        <f>ROUND(B2260*('Model Data Inputs'!$E$184*'Model Data Inputs'!$E$185*'Model Data Inputs'!$E$186*'Model Data Inputs'!$E$187),2)</f>
        <v>594.63</v>
      </c>
      <c r="K2260" s="169">
        <f t="shared" si="111"/>
        <v>1339701.3899999999</v>
      </c>
    </row>
    <row r="2261" spans="1:11" x14ac:dyDescent="0.2">
      <c r="A2261" s="168">
        <v>2254</v>
      </c>
      <c r="B2261" s="159">
        <v>594.63366392643309</v>
      </c>
      <c r="C2261" s="169">
        <f t="shared" si="110"/>
        <v>1340304.2784901801</v>
      </c>
      <c r="I2261" s="168">
        <v>2254</v>
      </c>
      <c r="J2261" s="159">
        <f>ROUND(B2261*('Model Data Inputs'!$E$184*'Model Data Inputs'!$E$185*'Model Data Inputs'!$E$186*'Model Data Inputs'!$E$187),2)</f>
        <v>594.63</v>
      </c>
      <c r="K2261" s="169">
        <f t="shared" si="111"/>
        <v>1340296.02</v>
      </c>
    </row>
    <row r="2262" spans="1:11" x14ac:dyDescent="0.2">
      <c r="A2262" s="168">
        <v>2255</v>
      </c>
      <c r="B2262" s="159">
        <v>594.63366392643309</v>
      </c>
      <c r="C2262" s="169">
        <f t="shared" si="110"/>
        <v>1340898.9121541067</v>
      </c>
      <c r="I2262" s="168">
        <v>2255</v>
      </c>
      <c r="J2262" s="159">
        <f>ROUND(B2262*('Model Data Inputs'!$E$184*'Model Data Inputs'!$E$185*'Model Data Inputs'!$E$186*'Model Data Inputs'!$E$187),2)</f>
        <v>594.63</v>
      </c>
      <c r="K2262" s="169">
        <f t="shared" si="111"/>
        <v>1340890.6499999999</v>
      </c>
    </row>
    <row r="2263" spans="1:11" x14ac:dyDescent="0.2">
      <c r="A2263" s="168">
        <v>2256</v>
      </c>
      <c r="B2263" s="159">
        <v>594.63366392643309</v>
      </c>
      <c r="C2263" s="169">
        <f t="shared" si="110"/>
        <v>1341493.5458180329</v>
      </c>
      <c r="I2263" s="168">
        <v>2256</v>
      </c>
      <c r="J2263" s="159">
        <f>ROUND(B2263*('Model Data Inputs'!$E$184*'Model Data Inputs'!$E$185*'Model Data Inputs'!$E$186*'Model Data Inputs'!$E$187),2)</f>
        <v>594.63</v>
      </c>
      <c r="K2263" s="169">
        <f t="shared" si="111"/>
        <v>1341485.28</v>
      </c>
    </row>
    <row r="2264" spans="1:11" x14ac:dyDescent="0.2">
      <c r="A2264" s="168">
        <v>2257</v>
      </c>
      <c r="B2264" s="159">
        <v>594.63366392643309</v>
      </c>
      <c r="C2264" s="169">
        <f t="shared" si="110"/>
        <v>1342088.1794819594</v>
      </c>
      <c r="I2264" s="168">
        <v>2257</v>
      </c>
      <c r="J2264" s="159">
        <f>ROUND(B2264*('Model Data Inputs'!$E$184*'Model Data Inputs'!$E$185*'Model Data Inputs'!$E$186*'Model Data Inputs'!$E$187),2)</f>
        <v>594.63</v>
      </c>
      <c r="K2264" s="169">
        <f t="shared" si="111"/>
        <v>1342079.9099999999</v>
      </c>
    </row>
    <row r="2265" spans="1:11" x14ac:dyDescent="0.2">
      <c r="A2265" s="168">
        <v>2258</v>
      </c>
      <c r="B2265" s="159">
        <v>594.63366392643309</v>
      </c>
      <c r="C2265" s="169">
        <f t="shared" si="110"/>
        <v>1342682.8131458859</v>
      </c>
      <c r="I2265" s="168">
        <v>2258</v>
      </c>
      <c r="J2265" s="159">
        <f>ROUND(B2265*('Model Data Inputs'!$E$184*'Model Data Inputs'!$E$185*'Model Data Inputs'!$E$186*'Model Data Inputs'!$E$187),2)</f>
        <v>594.63</v>
      </c>
      <c r="K2265" s="169">
        <f t="shared" si="111"/>
        <v>1342674.54</v>
      </c>
    </row>
    <row r="2266" spans="1:11" x14ac:dyDescent="0.2">
      <c r="A2266" s="168">
        <v>2259</v>
      </c>
      <c r="B2266" s="159">
        <v>594.63366392643309</v>
      </c>
      <c r="C2266" s="169">
        <f t="shared" si="110"/>
        <v>1343277.4468098124</v>
      </c>
      <c r="I2266" s="168">
        <v>2259</v>
      </c>
      <c r="J2266" s="159">
        <f>ROUND(B2266*('Model Data Inputs'!$E$184*'Model Data Inputs'!$E$185*'Model Data Inputs'!$E$186*'Model Data Inputs'!$E$187),2)</f>
        <v>594.63</v>
      </c>
      <c r="K2266" s="169">
        <f t="shared" si="111"/>
        <v>1343269.17</v>
      </c>
    </row>
    <row r="2267" spans="1:11" x14ac:dyDescent="0.2">
      <c r="A2267" s="168">
        <v>2260</v>
      </c>
      <c r="B2267" s="159">
        <v>594.63366392643309</v>
      </c>
      <c r="C2267" s="169">
        <f t="shared" si="110"/>
        <v>1343872.0804737387</v>
      </c>
      <c r="I2267" s="168">
        <v>2260</v>
      </c>
      <c r="J2267" s="159">
        <f>ROUND(B2267*('Model Data Inputs'!$E$184*'Model Data Inputs'!$E$185*'Model Data Inputs'!$E$186*'Model Data Inputs'!$E$187),2)</f>
        <v>594.63</v>
      </c>
      <c r="K2267" s="169">
        <f t="shared" si="111"/>
        <v>1343863.8</v>
      </c>
    </row>
    <row r="2268" spans="1:11" x14ac:dyDescent="0.2">
      <c r="A2268" s="168">
        <v>2261</v>
      </c>
      <c r="B2268" s="159">
        <v>594.63366392643309</v>
      </c>
      <c r="C2268" s="169">
        <f t="shared" si="110"/>
        <v>1344466.7141376652</v>
      </c>
      <c r="I2268" s="168">
        <v>2261</v>
      </c>
      <c r="J2268" s="159">
        <f>ROUND(B2268*('Model Data Inputs'!$E$184*'Model Data Inputs'!$E$185*'Model Data Inputs'!$E$186*'Model Data Inputs'!$E$187),2)</f>
        <v>594.63</v>
      </c>
      <c r="K2268" s="169">
        <f t="shared" si="111"/>
        <v>1344458.43</v>
      </c>
    </row>
    <row r="2269" spans="1:11" x14ac:dyDescent="0.2">
      <c r="A2269" s="168">
        <v>2262</v>
      </c>
      <c r="B2269" s="159">
        <v>594.63366392643309</v>
      </c>
      <c r="C2269" s="169">
        <f t="shared" si="110"/>
        <v>1345061.3478015917</v>
      </c>
      <c r="I2269" s="168">
        <v>2262</v>
      </c>
      <c r="J2269" s="159">
        <f>ROUND(B2269*('Model Data Inputs'!$E$184*'Model Data Inputs'!$E$185*'Model Data Inputs'!$E$186*'Model Data Inputs'!$E$187),2)</f>
        <v>594.63</v>
      </c>
      <c r="K2269" s="169">
        <f t="shared" si="111"/>
        <v>1345053.06</v>
      </c>
    </row>
    <row r="2270" spans="1:11" x14ac:dyDescent="0.2">
      <c r="A2270" s="168">
        <v>2263</v>
      </c>
      <c r="B2270" s="159">
        <v>594.63366392643309</v>
      </c>
      <c r="C2270" s="169">
        <f t="shared" si="110"/>
        <v>1345655.981465518</v>
      </c>
      <c r="I2270" s="168">
        <v>2263</v>
      </c>
      <c r="J2270" s="159">
        <f>ROUND(B2270*('Model Data Inputs'!$E$184*'Model Data Inputs'!$E$185*'Model Data Inputs'!$E$186*'Model Data Inputs'!$E$187),2)</f>
        <v>594.63</v>
      </c>
      <c r="K2270" s="169">
        <f t="shared" si="111"/>
        <v>1345647.69</v>
      </c>
    </row>
    <row r="2271" spans="1:11" x14ac:dyDescent="0.2">
      <c r="A2271" s="168">
        <v>2264</v>
      </c>
      <c r="B2271" s="159">
        <v>594.63366392643309</v>
      </c>
      <c r="C2271" s="169">
        <f t="shared" si="110"/>
        <v>1346250.6151294445</v>
      </c>
      <c r="I2271" s="168">
        <v>2264</v>
      </c>
      <c r="J2271" s="159">
        <f>ROUND(B2271*('Model Data Inputs'!$E$184*'Model Data Inputs'!$E$185*'Model Data Inputs'!$E$186*'Model Data Inputs'!$E$187),2)</f>
        <v>594.63</v>
      </c>
      <c r="K2271" s="169">
        <f t="shared" si="111"/>
        <v>1346242.32</v>
      </c>
    </row>
    <row r="2272" spans="1:11" x14ac:dyDescent="0.2">
      <c r="A2272" s="168">
        <v>2265</v>
      </c>
      <c r="B2272" s="159">
        <v>594.63366392643309</v>
      </c>
      <c r="C2272" s="169">
        <f t="shared" si="110"/>
        <v>1346845.248793371</v>
      </c>
      <c r="I2272" s="168">
        <v>2265</v>
      </c>
      <c r="J2272" s="159">
        <f>ROUND(B2272*('Model Data Inputs'!$E$184*'Model Data Inputs'!$E$185*'Model Data Inputs'!$E$186*'Model Data Inputs'!$E$187),2)</f>
        <v>594.63</v>
      </c>
      <c r="K2272" s="169">
        <f t="shared" si="111"/>
        <v>1346836.95</v>
      </c>
    </row>
    <row r="2273" spans="1:11" x14ac:dyDescent="0.2">
      <c r="A2273" s="168">
        <v>2266</v>
      </c>
      <c r="B2273" s="159">
        <v>594.63366392643309</v>
      </c>
      <c r="C2273" s="169">
        <f t="shared" si="110"/>
        <v>1347439.8824572973</v>
      </c>
      <c r="I2273" s="168">
        <v>2266</v>
      </c>
      <c r="J2273" s="159">
        <f>ROUND(B2273*('Model Data Inputs'!$E$184*'Model Data Inputs'!$E$185*'Model Data Inputs'!$E$186*'Model Data Inputs'!$E$187),2)</f>
        <v>594.63</v>
      </c>
      <c r="K2273" s="169">
        <f t="shared" si="111"/>
        <v>1347431.58</v>
      </c>
    </row>
    <row r="2274" spans="1:11" x14ac:dyDescent="0.2">
      <c r="A2274" s="168">
        <v>2267</v>
      </c>
      <c r="B2274" s="159">
        <v>594.63366392643309</v>
      </c>
      <c r="C2274" s="169">
        <f t="shared" si="110"/>
        <v>1348034.5161212238</v>
      </c>
      <c r="I2274" s="168">
        <v>2267</v>
      </c>
      <c r="J2274" s="159">
        <f>ROUND(B2274*('Model Data Inputs'!$E$184*'Model Data Inputs'!$E$185*'Model Data Inputs'!$E$186*'Model Data Inputs'!$E$187),2)</f>
        <v>594.63</v>
      </c>
      <c r="K2274" s="169">
        <f t="shared" si="111"/>
        <v>1348026.21</v>
      </c>
    </row>
    <row r="2275" spans="1:11" x14ac:dyDescent="0.2">
      <c r="A2275" s="168">
        <v>2268</v>
      </c>
      <c r="B2275" s="159">
        <v>594.63366392643309</v>
      </c>
      <c r="C2275" s="169">
        <f t="shared" si="110"/>
        <v>1348629.1497851503</v>
      </c>
      <c r="I2275" s="168">
        <v>2268</v>
      </c>
      <c r="J2275" s="159">
        <f>ROUND(B2275*('Model Data Inputs'!$E$184*'Model Data Inputs'!$E$185*'Model Data Inputs'!$E$186*'Model Data Inputs'!$E$187),2)</f>
        <v>594.63</v>
      </c>
      <c r="K2275" s="169">
        <f t="shared" si="111"/>
        <v>1348620.84</v>
      </c>
    </row>
    <row r="2276" spans="1:11" x14ac:dyDescent="0.2">
      <c r="A2276" s="168">
        <v>2269</v>
      </c>
      <c r="B2276" s="159">
        <v>594.63366392643309</v>
      </c>
      <c r="C2276" s="169">
        <f t="shared" si="110"/>
        <v>1349223.7834490766</v>
      </c>
      <c r="I2276" s="168">
        <v>2269</v>
      </c>
      <c r="J2276" s="159">
        <f>ROUND(B2276*('Model Data Inputs'!$E$184*'Model Data Inputs'!$E$185*'Model Data Inputs'!$E$186*'Model Data Inputs'!$E$187),2)</f>
        <v>594.63</v>
      </c>
      <c r="K2276" s="169">
        <f t="shared" si="111"/>
        <v>1349215.47</v>
      </c>
    </row>
    <row r="2277" spans="1:11" x14ac:dyDescent="0.2">
      <c r="A2277" s="168">
        <v>2270</v>
      </c>
      <c r="B2277" s="159">
        <v>594.63366392643309</v>
      </c>
      <c r="C2277" s="169">
        <f t="shared" si="110"/>
        <v>1349818.4171130031</v>
      </c>
      <c r="I2277" s="168">
        <v>2270</v>
      </c>
      <c r="J2277" s="159">
        <f>ROUND(B2277*('Model Data Inputs'!$E$184*'Model Data Inputs'!$E$185*'Model Data Inputs'!$E$186*'Model Data Inputs'!$E$187),2)</f>
        <v>594.63</v>
      </c>
      <c r="K2277" s="169">
        <f t="shared" si="111"/>
        <v>1349810.1</v>
      </c>
    </row>
    <row r="2278" spans="1:11" x14ac:dyDescent="0.2">
      <c r="A2278" s="168">
        <v>2271</v>
      </c>
      <c r="B2278" s="159">
        <v>594.63366392643309</v>
      </c>
      <c r="C2278" s="169">
        <f t="shared" si="110"/>
        <v>1350413.0507769296</v>
      </c>
      <c r="I2278" s="168">
        <v>2271</v>
      </c>
      <c r="J2278" s="159">
        <f>ROUND(B2278*('Model Data Inputs'!$E$184*'Model Data Inputs'!$E$185*'Model Data Inputs'!$E$186*'Model Data Inputs'!$E$187),2)</f>
        <v>594.63</v>
      </c>
      <c r="K2278" s="169">
        <f t="shared" si="111"/>
        <v>1350404.73</v>
      </c>
    </row>
    <row r="2279" spans="1:11" x14ac:dyDescent="0.2">
      <c r="A2279" s="168">
        <v>2272</v>
      </c>
      <c r="B2279" s="159">
        <v>594.63366392643309</v>
      </c>
      <c r="C2279" s="169">
        <f t="shared" si="110"/>
        <v>1351007.6844408559</v>
      </c>
      <c r="I2279" s="168">
        <v>2272</v>
      </c>
      <c r="J2279" s="159">
        <f>ROUND(B2279*('Model Data Inputs'!$E$184*'Model Data Inputs'!$E$185*'Model Data Inputs'!$E$186*'Model Data Inputs'!$E$187),2)</f>
        <v>594.63</v>
      </c>
      <c r="K2279" s="169">
        <f t="shared" si="111"/>
        <v>1350999.36</v>
      </c>
    </row>
    <row r="2280" spans="1:11" x14ac:dyDescent="0.2">
      <c r="A2280" s="168">
        <v>2273</v>
      </c>
      <c r="B2280" s="159">
        <v>594.63366392643309</v>
      </c>
      <c r="C2280" s="169">
        <f t="shared" si="110"/>
        <v>1351602.3181047824</v>
      </c>
      <c r="I2280" s="168">
        <v>2273</v>
      </c>
      <c r="J2280" s="159">
        <f>ROUND(B2280*('Model Data Inputs'!$E$184*'Model Data Inputs'!$E$185*'Model Data Inputs'!$E$186*'Model Data Inputs'!$E$187),2)</f>
        <v>594.63</v>
      </c>
      <c r="K2280" s="169">
        <f t="shared" si="111"/>
        <v>1351593.99</v>
      </c>
    </row>
    <row r="2281" spans="1:11" x14ac:dyDescent="0.2">
      <c r="A2281" s="168">
        <v>2274</v>
      </c>
      <c r="B2281" s="159">
        <v>594.63366392643309</v>
      </c>
      <c r="C2281" s="169">
        <f t="shared" si="110"/>
        <v>1352196.9517687089</v>
      </c>
      <c r="I2281" s="168">
        <v>2274</v>
      </c>
      <c r="J2281" s="159">
        <f>ROUND(B2281*('Model Data Inputs'!$E$184*'Model Data Inputs'!$E$185*'Model Data Inputs'!$E$186*'Model Data Inputs'!$E$187),2)</f>
        <v>594.63</v>
      </c>
      <c r="K2281" s="169">
        <f t="shared" si="111"/>
        <v>1352188.6199999999</v>
      </c>
    </row>
    <row r="2282" spans="1:11" x14ac:dyDescent="0.2">
      <c r="A2282" s="168">
        <v>2275</v>
      </c>
      <c r="B2282" s="159">
        <v>594.63366392643309</v>
      </c>
      <c r="C2282" s="169">
        <f t="shared" si="110"/>
        <v>1352791.5854326354</v>
      </c>
      <c r="I2282" s="168">
        <v>2275</v>
      </c>
      <c r="J2282" s="159">
        <f>ROUND(B2282*('Model Data Inputs'!$E$184*'Model Data Inputs'!$E$185*'Model Data Inputs'!$E$186*'Model Data Inputs'!$E$187),2)</f>
        <v>594.63</v>
      </c>
      <c r="K2282" s="169">
        <f t="shared" si="111"/>
        <v>1352783.25</v>
      </c>
    </row>
    <row r="2283" spans="1:11" x14ac:dyDescent="0.2">
      <c r="A2283" s="168">
        <v>2276</v>
      </c>
      <c r="B2283" s="159">
        <v>594.63366392643309</v>
      </c>
      <c r="C2283" s="169">
        <f t="shared" si="110"/>
        <v>1353386.2190965617</v>
      </c>
      <c r="I2283" s="168">
        <v>2276</v>
      </c>
      <c r="J2283" s="159">
        <f>ROUND(B2283*('Model Data Inputs'!$E$184*'Model Data Inputs'!$E$185*'Model Data Inputs'!$E$186*'Model Data Inputs'!$E$187),2)</f>
        <v>594.63</v>
      </c>
      <c r="K2283" s="169">
        <f t="shared" si="111"/>
        <v>1353377.88</v>
      </c>
    </row>
    <row r="2284" spans="1:11" x14ac:dyDescent="0.2">
      <c r="A2284" s="168">
        <v>2277</v>
      </c>
      <c r="B2284" s="159">
        <v>594.63366392643309</v>
      </c>
      <c r="C2284" s="169">
        <f t="shared" si="110"/>
        <v>1353980.8527604882</v>
      </c>
      <c r="I2284" s="168">
        <v>2277</v>
      </c>
      <c r="J2284" s="159">
        <f>ROUND(B2284*('Model Data Inputs'!$E$184*'Model Data Inputs'!$E$185*'Model Data Inputs'!$E$186*'Model Data Inputs'!$E$187),2)</f>
        <v>594.63</v>
      </c>
      <c r="K2284" s="169">
        <f t="shared" si="111"/>
        <v>1353972.51</v>
      </c>
    </row>
    <row r="2285" spans="1:11" x14ac:dyDescent="0.2">
      <c r="A2285" s="168">
        <v>2278</v>
      </c>
      <c r="B2285" s="159">
        <v>594.63366392643309</v>
      </c>
      <c r="C2285" s="169">
        <f t="shared" si="110"/>
        <v>1354575.4864244147</v>
      </c>
      <c r="I2285" s="168">
        <v>2278</v>
      </c>
      <c r="J2285" s="159">
        <f>ROUND(B2285*('Model Data Inputs'!$E$184*'Model Data Inputs'!$E$185*'Model Data Inputs'!$E$186*'Model Data Inputs'!$E$187),2)</f>
        <v>594.63</v>
      </c>
      <c r="K2285" s="169">
        <f t="shared" si="111"/>
        <v>1354567.14</v>
      </c>
    </row>
    <row r="2286" spans="1:11" x14ac:dyDescent="0.2">
      <c r="A2286" s="168">
        <v>2279</v>
      </c>
      <c r="B2286" s="159">
        <v>594.63366392643309</v>
      </c>
      <c r="C2286" s="169">
        <f t="shared" si="110"/>
        <v>1355170.1200883409</v>
      </c>
      <c r="I2286" s="168">
        <v>2279</v>
      </c>
      <c r="J2286" s="159">
        <f>ROUND(B2286*('Model Data Inputs'!$E$184*'Model Data Inputs'!$E$185*'Model Data Inputs'!$E$186*'Model Data Inputs'!$E$187),2)</f>
        <v>594.63</v>
      </c>
      <c r="K2286" s="169">
        <f t="shared" si="111"/>
        <v>1355161.77</v>
      </c>
    </row>
    <row r="2287" spans="1:11" x14ac:dyDescent="0.2">
      <c r="A2287" s="168">
        <v>2280</v>
      </c>
      <c r="B2287" s="159">
        <v>594.63366392643309</v>
      </c>
      <c r="C2287" s="169">
        <f t="shared" si="110"/>
        <v>1355764.7537522675</v>
      </c>
      <c r="I2287" s="168">
        <v>2280</v>
      </c>
      <c r="J2287" s="159">
        <f>ROUND(B2287*('Model Data Inputs'!$E$184*'Model Data Inputs'!$E$185*'Model Data Inputs'!$E$186*'Model Data Inputs'!$E$187),2)</f>
        <v>594.63</v>
      </c>
      <c r="K2287" s="169">
        <f t="shared" si="111"/>
        <v>1355756.4</v>
      </c>
    </row>
    <row r="2288" spans="1:11" x14ac:dyDescent="0.2">
      <c r="A2288" s="168">
        <v>2281</v>
      </c>
      <c r="B2288" s="159">
        <v>594.63366392643309</v>
      </c>
      <c r="C2288" s="169">
        <f t="shared" si="110"/>
        <v>1356359.387416194</v>
      </c>
      <c r="I2288" s="168">
        <v>2281</v>
      </c>
      <c r="J2288" s="159">
        <f>ROUND(B2288*('Model Data Inputs'!$E$184*'Model Data Inputs'!$E$185*'Model Data Inputs'!$E$186*'Model Data Inputs'!$E$187),2)</f>
        <v>594.63</v>
      </c>
      <c r="K2288" s="169">
        <f t="shared" si="111"/>
        <v>1356351.03</v>
      </c>
    </row>
    <row r="2289" spans="1:11" x14ac:dyDescent="0.2">
      <c r="A2289" s="168">
        <v>2282</v>
      </c>
      <c r="B2289" s="159">
        <v>594.63366392643309</v>
      </c>
      <c r="C2289" s="169">
        <f t="shared" si="110"/>
        <v>1356954.0210801202</v>
      </c>
      <c r="I2289" s="168">
        <v>2282</v>
      </c>
      <c r="J2289" s="159">
        <f>ROUND(B2289*('Model Data Inputs'!$E$184*'Model Data Inputs'!$E$185*'Model Data Inputs'!$E$186*'Model Data Inputs'!$E$187),2)</f>
        <v>594.63</v>
      </c>
      <c r="K2289" s="169">
        <f t="shared" si="111"/>
        <v>1356945.66</v>
      </c>
    </row>
    <row r="2290" spans="1:11" x14ac:dyDescent="0.2">
      <c r="A2290" s="168">
        <v>2283</v>
      </c>
      <c r="B2290" s="159">
        <v>594.63366392643309</v>
      </c>
      <c r="C2290" s="169">
        <f t="shared" si="110"/>
        <v>1357548.6547440467</v>
      </c>
      <c r="I2290" s="168">
        <v>2283</v>
      </c>
      <c r="J2290" s="159">
        <f>ROUND(B2290*('Model Data Inputs'!$E$184*'Model Data Inputs'!$E$185*'Model Data Inputs'!$E$186*'Model Data Inputs'!$E$187),2)</f>
        <v>594.63</v>
      </c>
      <c r="K2290" s="169">
        <f t="shared" si="111"/>
        <v>1357540.29</v>
      </c>
    </row>
    <row r="2291" spans="1:11" x14ac:dyDescent="0.2">
      <c r="A2291" s="168">
        <v>2284</v>
      </c>
      <c r="B2291" s="159">
        <v>594.63366392643309</v>
      </c>
      <c r="C2291" s="169">
        <f t="shared" si="110"/>
        <v>1358143.2884079732</v>
      </c>
      <c r="I2291" s="168">
        <v>2284</v>
      </c>
      <c r="J2291" s="159">
        <f>ROUND(B2291*('Model Data Inputs'!$E$184*'Model Data Inputs'!$E$185*'Model Data Inputs'!$E$186*'Model Data Inputs'!$E$187),2)</f>
        <v>594.63</v>
      </c>
      <c r="K2291" s="169">
        <f t="shared" si="111"/>
        <v>1358134.92</v>
      </c>
    </row>
    <row r="2292" spans="1:11" x14ac:dyDescent="0.2">
      <c r="A2292" s="168">
        <v>2285</v>
      </c>
      <c r="B2292" s="159">
        <v>594.63366392643309</v>
      </c>
      <c r="C2292" s="169">
        <f t="shared" si="110"/>
        <v>1358737.9220718995</v>
      </c>
      <c r="I2292" s="168">
        <v>2285</v>
      </c>
      <c r="J2292" s="159">
        <f>ROUND(B2292*('Model Data Inputs'!$E$184*'Model Data Inputs'!$E$185*'Model Data Inputs'!$E$186*'Model Data Inputs'!$E$187),2)</f>
        <v>594.63</v>
      </c>
      <c r="K2292" s="169">
        <f t="shared" si="111"/>
        <v>1358729.55</v>
      </c>
    </row>
    <row r="2293" spans="1:11" x14ac:dyDescent="0.2">
      <c r="A2293" s="168">
        <v>2286</v>
      </c>
      <c r="B2293" s="159">
        <v>594.63366392643309</v>
      </c>
      <c r="C2293" s="169">
        <f t="shared" si="110"/>
        <v>1359332.555735826</v>
      </c>
      <c r="I2293" s="168">
        <v>2286</v>
      </c>
      <c r="J2293" s="159">
        <f>ROUND(B2293*('Model Data Inputs'!$E$184*'Model Data Inputs'!$E$185*'Model Data Inputs'!$E$186*'Model Data Inputs'!$E$187),2)</f>
        <v>594.63</v>
      </c>
      <c r="K2293" s="169">
        <f t="shared" si="111"/>
        <v>1359324.18</v>
      </c>
    </row>
    <row r="2294" spans="1:11" x14ac:dyDescent="0.2">
      <c r="A2294" s="168">
        <v>2287</v>
      </c>
      <c r="B2294" s="159">
        <v>594.63366392643309</v>
      </c>
      <c r="C2294" s="169">
        <f t="shared" si="110"/>
        <v>1359927.1893997525</v>
      </c>
      <c r="I2294" s="168">
        <v>2287</v>
      </c>
      <c r="J2294" s="159">
        <f>ROUND(B2294*('Model Data Inputs'!$E$184*'Model Data Inputs'!$E$185*'Model Data Inputs'!$E$186*'Model Data Inputs'!$E$187),2)</f>
        <v>594.63</v>
      </c>
      <c r="K2294" s="169">
        <f t="shared" si="111"/>
        <v>1359918.81</v>
      </c>
    </row>
    <row r="2295" spans="1:11" x14ac:dyDescent="0.2">
      <c r="A2295" s="168">
        <v>2288</v>
      </c>
      <c r="B2295" s="159">
        <v>594.63366392643309</v>
      </c>
      <c r="C2295" s="169">
        <f t="shared" si="110"/>
        <v>1360521.8230636788</v>
      </c>
      <c r="I2295" s="168">
        <v>2288</v>
      </c>
      <c r="J2295" s="159">
        <f>ROUND(B2295*('Model Data Inputs'!$E$184*'Model Data Inputs'!$E$185*'Model Data Inputs'!$E$186*'Model Data Inputs'!$E$187),2)</f>
        <v>594.63</v>
      </c>
      <c r="K2295" s="169">
        <f t="shared" si="111"/>
        <v>1360513.44</v>
      </c>
    </row>
    <row r="2296" spans="1:11" x14ac:dyDescent="0.2">
      <c r="A2296" s="168">
        <v>2289</v>
      </c>
      <c r="B2296" s="159">
        <v>594.63366392643309</v>
      </c>
      <c r="C2296" s="169">
        <f t="shared" si="110"/>
        <v>1361116.4567276053</v>
      </c>
      <c r="I2296" s="168">
        <v>2289</v>
      </c>
      <c r="J2296" s="159">
        <f>ROUND(B2296*('Model Data Inputs'!$E$184*'Model Data Inputs'!$E$185*'Model Data Inputs'!$E$186*'Model Data Inputs'!$E$187),2)</f>
        <v>594.63</v>
      </c>
      <c r="K2296" s="169">
        <f t="shared" si="111"/>
        <v>1361108.07</v>
      </c>
    </row>
    <row r="2297" spans="1:11" x14ac:dyDescent="0.2">
      <c r="A2297" s="168">
        <v>2290</v>
      </c>
      <c r="B2297" s="159">
        <v>594.63366392643309</v>
      </c>
      <c r="C2297" s="169">
        <f t="shared" si="110"/>
        <v>1361711.0903915318</v>
      </c>
      <c r="I2297" s="168">
        <v>2290</v>
      </c>
      <c r="J2297" s="159">
        <f>ROUND(B2297*('Model Data Inputs'!$E$184*'Model Data Inputs'!$E$185*'Model Data Inputs'!$E$186*'Model Data Inputs'!$E$187),2)</f>
        <v>594.63</v>
      </c>
      <c r="K2297" s="169">
        <f t="shared" si="111"/>
        <v>1361702.7</v>
      </c>
    </row>
    <row r="2298" spans="1:11" x14ac:dyDescent="0.2">
      <c r="A2298" s="168">
        <v>2291</v>
      </c>
      <c r="B2298" s="159">
        <v>594.63366392643309</v>
      </c>
      <c r="C2298" s="169">
        <f t="shared" si="110"/>
        <v>1362305.7240554581</v>
      </c>
      <c r="I2298" s="168">
        <v>2291</v>
      </c>
      <c r="J2298" s="159">
        <f>ROUND(B2298*('Model Data Inputs'!$E$184*'Model Data Inputs'!$E$185*'Model Data Inputs'!$E$186*'Model Data Inputs'!$E$187),2)</f>
        <v>594.63</v>
      </c>
      <c r="K2298" s="169">
        <f t="shared" si="111"/>
        <v>1362297.33</v>
      </c>
    </row>
    <row r="2299" spans="1:11" x14ac:dyDescent="0.2">
      <c r="A2299" s="168">
        <v>2292</v>
      </c>
      <c r="B2299" s="159">
        <v>594.63366392643309</v>
      </c>
      <c r="C2299" s="169">
        <f t="shared" si="110"/>
        <v>1362900.3577193846</v>
      </c>
      <c r="I2299" s="168">
        <v>2292</v>
      </c>
      <c r="J2299" s="159">
        <f>ROUND(B2299*('Model Data Inputs'!$E$184*'Model Data Inputs'!$E$185*'Model Data Inputs'!$E$186*'Model Data Inputs'!$E$187),2)</f>
        <v>594.63</v>
      </c>
      <c r="K2299" s="169">
        <f t="shared" si="111"/>
        <v>1362891.96</v>
      </c>
    </row>
    <row r="2300" spans="1:11" x14ac:dyDescent="0.2">
      <c r="A2300" s="168">
        <v>2293</v>
      </c>
      <c r="B2300" s="159">
        <v>594.63366392643309</v>
      </c>
      <c r="C2300" s="169">
        <f t="shared" si="110"/>
        <v>1363494.9913833111</v>
      </c>
      <c r="I2300" s="168">
        <v>2293</v>
      </c>
      <c r="J2300" s="159">
        <f>ROUND(B2300*('Model Data Inputs'!$E$184*'Model Data Inputs'!$E$185*'Model Data Inputs'!$E$186*'Model Data Inputs'!$E$187),2)</f>
        <v>594.63</v>
      </c>
      <c r="K2300" s="169">
        <f t="shared" si="111"/>
        <v>1363486.59</v>
      </c>
    </row>
    <row r="2301" spans="1:11" x14ac:dyDescent="0.2">
      <c r="A2301" s="168">
        <v>2294</v>
      </c>
      <c r="B2301" s="159">
        <v>594.63366392643309</v>
      </c>
      <c r="C2301" s="169">
        <f t="shared" si="110"/>
        <v>1364089.6250472376</v>
      </c>
      <c r="I2301" s="168">
        <v>2294</v>
      </c>
      <c r="J2301" s="159">
        <f>ROUND(B2301*('Model Data Inputs'!$E$184*'Model Data Inputs'!$E$185*'Model Data Inputs'!$E$186*'Model Data Inputs'!$E$187),2)</f>
        <v>594.63</v>
      </c>
      <c r="K2301" s="169">
        <f t="shared" si="111"/>
        <v>1364081.22</v>
      </c>
    </row>
    <row r="2302" spans="1:11" x14ac:dyDescent="0.2">
      <c r="A2302" s="168">
        <v>2295</v>
      </c>
      <c r="B2302" s="159">
        <v>594.63366392643309</v>
      </c>
      <c r="C2302" s="169">
        <f t="shared" si="110"/>
        <v>1364684.2587111639</v>
      </c>
      <c r="I2302" s="168">
        <v>2295</v>
      </c>
      <c r="J2302" s="159">
        <f>ROUND(B2302*('Model Data Inputs'!$E$184*'Model Data Inputs'!$E$185*'Model Data Inputs'!$E$186*'Model Data Inputs'!$E$187),2)</f>
        <v>594.63</v>
      </c>
      <c r="K2302" s="169">
        <f t="shared" si="111"/>
        <v>1364675.85</v>
      </c>
    </row>
    <row r="2303" spans="1:11" x14ac:dyDescent="0.2">
      <c r="A2303" s="168">
        <v>2296</v>
      </c>
      <c r="B2303" s="159">
        <v>594.63366392643309</v>
      </c>
      <c r="C2303" s="169">
        <f t="shared" si="110"/>
        <v>1365278.8923750904</v>
      </c>
      <c r="I2303" s="168">
        <v>2296</v>
      </c>
      <c r="J2303" s="159">
        <f>ROUND(B2303*('Model Data Inputs'!$E$184*'Model Data Inputs'!$E$185*'Model Data Inputs'!$E$186*'Model Data Inputs'!$E$187),2)</f>
        <v>594.63</v>
      </c>
      <c r="K2303" s="169">
        <f t="shared" si="111"/>
        <v>1365270.48</v>
      </c>
    </row>
    <row r="2304" spans="1:11" x14ac:dyDescent="0.2">
      <c r="A2304" s="168">
        <v>2297</v>
      </c>
      <c r="B2304" s="159">
        <v>594.63366392643309</v>
      </c>
      <c r="C2304" s="169">
        <f t="shared" si="110"/>
        <v>1365873.5260390169</v>
      </c>
      <c r="I2304" s="168">
        <v>2297</v>
      </c>
      <c r="J2304" s="159">
        <f>ROUND(B2304*('Model Data Inputs'!$E$184*'Model Data Inputs'!$E$185*'Model Data Inputs'!$E$186*'Model Data Inputs'!$E$187),2)</f>
        <v>594.63</v>
      </c>
      <c r="K2304" s="169">
        <f t="shared" si="111"/>
        <v>1365865.11</v>
      </c>
    </row>
    <row r="2305" spans="1:11" x14ac:dyDescent="0.2">
      <c r="A2305" s="168">
        <v>2298</v>
      </c>
      <c r="B2305" s="159">
        <v>594.63366392643309</v>
      </c>
      <c r="C2305" s="169">
        <f t="shared" si="110"/>
        <v>1366468.1597029432</v>
      </c>
      <c r="I2305" s="168">
        <v>2298</v>
      </c>
      <c r="J2305" s="159">
        <f>ROUND(B2305*('Model Data Inputs'!$E$184*'Model Data Inputs'!$E$185*'Model Data Inputs'!$E$186*'Model Data Inputs'!$E$187),2)</f>
        <v>594.63</v>
      </c>
      <c r="K2305" s="169">
        <f t="shared" si="111"/>
        <v>1366459.74</v>
      </c>
    </row>
    <row r="2306" spans="1:11" x14ac:dyDescent="0.2">
      <c r="A2306" s="168">
        <v>2299</v>
      </c>
      <c r="B2306" s="159">
        <v>594.63366392643309</v>
      </c>
      <c r="C2306" s="169">
        <f t="shared" si="110"/>
        <v>1367062.7933668697</v>
      </c>
      <c r="I2306" s="168">
        <v>2299</v>
      </c>
      <c r="J2306" s="159">
        <f>ROUND(B2306*('Model Data Inputs'!$E$184*'Model Data Inputs'!$E$185*'Model Data Inputs'!$E$186*'Model Data Inputs'!$E$187),2)</f>
        <v>594.63</v>
      </c>
      <c r="K2306" s="169">
        <f t="shared" si="111"/>
        <v>1367054.3699999999</v>
      </c>
    </row>
    <row r="2307" spans="1:11" x14ac:dyDescent="0.2">
      <c r="A2307" s="168">
        <v>2300</v>
      </c>
      <c r="B2307" s="159">
        <v>594.63366392643309</v>
      </c>
      <c r="C2307" s="169">
        <f t="shared" si="110"/>
        <v>1367657.4270307962</v>
      </c>
      <c r="I2307" s="168">
        <v>2300</v>
      </c>
      <c r="J2307" s="159">
        <f>ROUND(B2307*('Model Data Inputs'!$E$184*'Model Data Inputs'!$E$185*'Model Data Inputs'!$E$186*'Model Data Inputs'!$E$187),2)</f>
        <v>594.63</v>
      </c>
      <c r="K2307" s="169">
        <f t="shared" si="111"/>
        <v>1367649</v>
      </c>
    </row>
    <row r="2308" spans="1:11" x14ac:dyDescent="0.2">
      <c r="A2308" s="168">
        <v>2301</v>
      </c>
      <c r="B2308" s="159">
        <v>594.63366392643309</v>
      </c>
      <c r="C2308" s="169">
        <f t="shared" si="110"/>
        <v>1368252.0606947225</v>
      </c>
      <c r="I2308" s="168">
        <v>2301</v>
      </c>
      <c r="J2308" s="159">
        <f>ROUND(B2308*('Model Data Inputs'!$E$184*'Model Data Inputs'!$E$185*'Model Data Inputs'!$E$186*'Model Data Inputs'!$E$187),2)</f>
        <v>594.63</v>
      </c>
      <c r="K2308" s="169">
        <f t="shared" si="111"/>
        <v>1368243.63</v>
      </c>
    </row>
    <row r="2309" spans="1:11" x14ac:dyDescent="0.2">
      <c r="A2309" s="168">
        <v>2302</v>
      </c>
      <c r="B2309" s="159">
        <v>594.63366392643309</v>
      </c>
      <c r="C2309" s="169">
        <f t="shared" si="110"/>
        <v>1368846.694358649</v>
      </c>
      <c r="I2309" s="168">
        <v>2302</v>
      </c>
      <c r="J2309" s="159">
        <f>ROUND(B2309*('Model Data Inputs'!$E$184*'Model Data Inputs'!$E$185*'Model Data Inputs'!$E$186*'Model Data Inputs'!$E$187),2)</f>
        <v>594.63</v>
      </c>
      <c r="K2309" s="169">
        <f t="shared" si="111"/>
        <v>1368838.26</v>
      </c>
    </row>
    <row r="2310" spans="1:11" x14ac:dyDescent="0.2">
      <c r="A2310" s="168">
        <v>2303</v>
      </c>
      <c r="B2310" s="159">
        <v>594.63366392643309</v>
      </c>
      <c r="C2310" s="169">
        <f t="shared" si="110"/>
        <v>1369441.3280225755</v>
      </c>
      <c r="I2310" s="168">
        <v>2303</v>
      </c>
      <c r="J2310" s="159">
        <f>ROUND(B2310*('Model Data Inputs'!$E$184*'Model Data Inputs'!$E$185*'Model Data Inputs'!$E$186*'Model Data Inputs'!$E$187),2)</f>
        <v>594.63</v>
      </c>
      <c r="K2310" s="169">
        <f t="shared" si="111"/>
        <v>1369432.89</v>
      </c>
    </row>
    <row r="2311" spans="1:11" x14ac:dyDescent="0.2">
      <c r="A2311" s="168">
        <v>2304</v>
      </c>
      <c r="B2311" s="159">
        <v>594.63366392643309</v>
      </c>
      <c r="C2311" s="169">
        <f t="shared" si="110"/>
        <v>1370035.9616865017</v>
      </c>
      <c r="I2311" s="168">
        <v>2304</v>
      </c>
      <c r="J2311" s="159">
        <f>ROUND(B2311*('Model Data Inputs'!$E$184*'Model Data Inputs'!$E$185*'Model Data Inputs'!$E$186*'Model Data Inputs'!$E$187),2)</f>
        <v>594.63</v>
      </c>
      <c r="K2311" s="169">
        <f t="shared" si="111"/>
        <v>1370027.52</v>
      </c>
    </row>
    <row r="2312" spans="1:11" x14ac:dyDescent="0.2">
      <c r="A2312" s="168">
        <v>2305</v>
      </c>
      <c r="B2312" s="159">
        <v>594.63366392643309</v>
      </c>
      <c r="C2312" s="169">
        <f t="shared" ref="C2312:C2375" si="112">A2312*B2312</f>
        <v>1370630.5953504283</v>
      </c>
      <c r="I2312" s="168">
        <v>2305</v>
      </c>
      <c r="J2312" s="159">
        <f>ROUND(B2312*('Model Data Inputs'!$E$184*'Model Data Inputs'!$E$185*'Model Data Inputs'!$E$186*'Model Data Inputs'!$E$187),2)</f>
        <v>594.63</v>
      </c>
      <c r="K2312" s="169">
        <f t="shared" ref="K2312:K2375" si="113">I2312*J2312</f>
        <v>1370622.15</v>
      </c>
    </row>
    <row r="2313" spans="1:11" x14ac:dyDescent="0.2">
      <c r="A2313" s="168">
        <v>2306</v>
      </c>
      <c r="B2313" s="159">
        <v>594.63366392643309</v>
      </c>
      <c r="C2313" s="169">
        <f t="shared" si="112"/>
        <v>1371225.2290143548</v>
      </c>
      <c r="I2313" s="168">
        <v>2306</v>
      </c>
      <c r="J2313" s="159">
        <f>ROUND(B2313*('Model Data Inputs'!$E$184*'Model Data Inputs'!$E$185*'Model Data Inputs'!$E$186*'Model Data Inputs'!$E$187),2)</f>
        <v>594.63</v>
      </c>
      <c r="K2313" s="169">
        <f t="shared" si="113"/>
        <v>1371216.78</v>
      </c>
    </row>
    <row r="2314" spans="1:11" x14ac:dyDescent="0.2">
      <c r="A2314" s="168">
        <v>2307</v>
      </c>
      <c r="B2314" s="159">
        <v>594.63366392643309</v>
      </c>
      <c r="C2314" s="169">
        <f t="shared" si="112"/>
        <v>1371819.862678281</v>
      </c>
      <c r="I2314" s="168">
        <v>2307</v>
      </c>
      <c r="J2314" s="159">
        <f>ROUND(B2314*('Model Data Inputs'!$E$184*'Model Data Inputs'!$E$185*'Model Data Inputs'!$E$186*'Model Data Inputs'!$E$187),2)</f>
        <v>594.63</v>
      </c>
      <c r="K2314" s="169">
        <f t="shared" si="113"/>
        <v>1371811.41</v>
      </c>
    </row>
    <row r="2315" spans="1:11" x14ac:dyDescent="0.2">
      <c r="A2315" s="168">
        <v>2308</v>
      </c>
      <c r="B2315" s="159">
        <v>594.63366392643309</v>
      </c>
      <c r="C2315" s="169">
        <f t="shared" si="112"/>
        <v>1372414.4963422075</v>
      </c>
      <c r="I2315" s="168">
        <v>2308</v>
      </c>
      <c r="J2315" s="159">
        <f>ROUND(B2315*('Model Data Inputs'!$E$184*'Model Data Inputs'!$E$185*'Model Data Inputs'!$E$186*'Model Data Inputs'!$E$187),2)</f>
        <v>594.63</v>
      </c>
      <c r="K2315" s="169">
        <f t="shared" si="113"/>
        <v>1372406.04</v>
      </c>
    </row>
    <row r="2316" spans="1:11" x14ac:dyDescent="0.2">
      <c r="A2316" s="168">
        <v>2309</v>
      </c>
      <c r="B2316" s="159">
        <v>594.63366392643309</v>
      </c>
      <c r="C2316" s="169">
        <f t="shared" si="112"/>
        <v>1373009.130006134</v>
      </c>
      <c r="I2316" s="168">
        <v>2309</v>
      </c>
      <c r="J2316" s="159">
        <f>ROUND(B2316*('Model Data Inputs'!$E$184*'Model Data Inputs'!$E$185*'Model Data Inputs'!$E$186*'Model Data Inputs'!$E$187),2)</f>
        <v>594.63</v>
      </c>
      <c r="K2316" s="169">
        <f t="shared" si="113"/>
        <v>1373000.67</v>
      </c>
    </row>
    <row r="2317" spans="1:11" x14ac:dyDescent="0.2">
      <c r="A2317" s="168">
        <v>2310</v>
      </c>
      <c r="B2317" s="159">
        <v>594.63366392643309</v>
      </c>
      <c r="C2317" s="169">
        <f t="shared" si="112"/>
        <v>1373603.7636700603</v>
      </c>
      <c r="I2317" s="168">
        <v>2310</v>
      </c>
      <c r="J2317" s="159">
        <f>ROUND(B2317*('Model Data Inputs'!$E$184*'Model Data Inputs'!$E$185*'Model Data Inputs'!$E$186*'Model Data Inputs'!$E$187),2)</f>
        <v>594.63</v>
      </c>
      <c r="K2317" s="169">
        <f t="shared" si="113"/>
        <v>1373595.3</v>
      </c>
    </row>
    <row r="2318" spans="1:11" x14ac:dyDescent="0.2">
      <c r="A2318" s="168">
        <v>2311</v>
      </c>
      <c r="B2318" s="159">
        <v>594.63366392643309</v>
      </c>
      <c r="C2318" s="169">
        <f t="shared" si="112"/>
        <v>1374198.3973339868</v>
      </c>
      <c r="I2318" s="168">
        <v>2311</v>
      </c>
      <c r="J2318" s="159">
        <f>ROUND(B2318*('Model Data Inputs'!$E$184*'Model Data Inputs'!$E$185*'Model Data Inputs'!$E$186*'Model Data Inputs'!$E$187),2)</f>
        <v>594.63</v>
      </c>
      <c r="K2318" s="169">
        <f t="shared" si="113"/>
        <v>1374189.93</v>
      </c>
    </row>
    <row r="2319" spans="1:11" x14ac:dyDescent="0.2">
      <c r="A2319" s="168">
        <v>2312</v>
      </c>
      <c r="B2319" s="159">
        <v>594.63366392643309</v>
      </c>
      <c r="C2319" s="169">
        <f t="shared" si="112"/>
        <v>1374793.0309979133</v>
      </c>
      <c r="I2319" s="168">
        <v>2312</v>
      </c>
      <c r="J2319" s="159">
        <f>ROUND(B2319*('Model Data Inputs'!$E$184*'Model Data Inputs'!$E$185*'Model Data Inputs'!$E$186*'Model Data Inputs'!$E$187),2)</f>
        <v>594.63</v>
      </c>
      <c r="K2319" s="169">
        <f t="shared" si="113"/>
        <v>1374784.56</v>
      </c>
    </row>
    <row r="2320" spans="1:11" x14ac:dyDescent="0.2">
      <c r="A2320" s="168">
        <v>2313</v>
      </c>
      <c r="B2320" s="159">
        <v>594.63366392643309</v>
      </c>
      <c r="C2320" s="169">
        <f t="shared" si="112"/>
        <v>1375387.6646618398</v>
      </c>
      <c r="I2320" s="168">
        <v>2313</v>
      </c>
      <c r="J2320" s="159">
        <f>ROUND(B2320*('Model Data Inputs'!$E$184*'Model Data Inputs'!$E$185*'Model Data Inputs'!$E$186*'Model Data Inputs'!$E$187),2)</f>
        <v>594.63</v>
      </c>
      <c r="K2320" s="169">
        <f t="shared" si="113"/>
        <v>1375379.19</v>
      </c>
    </row>
    <row r="2321" spans="1:11" x14ac:dyDescent="0.2">
      <c r="A2321" s="168">
        <v>2314</v>
      </c>
      <c r="B2321" s="159">
        <v>594.63366392643309</v>
      </c>
      <c r="C2321" s="169">
        <f t="shared" si="112"/>
        <v>1375982.2983257661</v>
      </c>
      <c r="I2321" s="168">
        <v>2314</v>
      </c>
      <c r="J2321" s="159">
        <f>ROUND(B2321*('Model Data Inputs'!$E$184*'Model Data Inputs'!$E$185*'Model Data Inputs'!$E$186*'Model Data Inputs'!$E$187),2)</f>
        <v>594.63</v>
      </c>
      <c r="K2321" s="169">
        <f t="shared" si="113"/>
        <v>1375973.82</v>
      </c>
    </row>
    <row r="2322" spans="1:11" x14ac:dyDescent="0.2">
      <c r="A2322" s="168">
        <v>2315</v>
      </c>
      <c r="B2322" s="159">
        <v>594.63366392643309</v>
      </c>
      <c r="C2322" s="169">
        <f t="shared" si="112"/>
        <v>1376576.9319896926</v>
      </c>
      <c r="I2322" s="168">
        <v>2315</v>
      </c>
      <c r="J2322" s="159">
        <f>ROUND(B2322*('Model Data Inputs'!$E$184*'Model Data Inputs'!$E$185*'Model Data Inputs'!$E$186*'Model Data Inputs'!$E$187),2)</f>
        <v>594.63</v>
      </c>
      <c r="K2322" s="169">
        <f t="shared" si="113"/>
        <v>1376568.45</v>
      </c>
    </row>
    <row r="2323" spans="1:11" x14ac:dyDescent="0.2">
      <c r="A2323" s="168">
        <v>2316</v>
      </c>
      <c r="B2323" s="159">
        <v>594.63366392643309</v>
      </c>
      <c r="C2323" s="169">
        <f t="shared" si="112"/>
        <v>1377171.5656536191</v>
      </c>
      <c r="I2323" s="168">
        <v>2316</v>
      </c>
      <c r="J2323" s="159">
        <f>ROUND(B2323*('Model Data Inputs'!$E$184*'Model Data Inputs'!$E$185*'Model Data Inputs'!$E$186*'Model Data Inputs'!$E$187),2)</f>
        <v>594.63</v>
      </c>
      <c r="K2323" s="169">
        <f t="shared" si="113"/>
        <v>1377163.08</v>
      </c>
    </row>
    <row r="2324" spans="1:11" x14ac:dyDescent="0.2">
      <c r="A2324" s="168">
        <v>2317</v>
      </c>
      <c r="B2324" s="159">
        <v>594.63366392643309</v>
      </c>
      <c r="C2324" s="169">
        <f t="shared" si="112"/>
        <v>1377766.1993175454</v>
      </c>
      <c r="I2324" s="168">
        <v>2317</v>
      </c>
      <c r="J2324" s="159">
        <f>ROUND(B2324*('Model Data Inputs'!$E$184*'Model Data Inputs'!$E$185*'Model Data Inputs'!$E$186*'Model Data Inputs'!$E$187),2)</f>
        <v>594.63</v>
      </c>
      <c r="K2324" s="169">
        <f t="shared" si="113"/>
        <v>1377757.71</v>
      </c>
    </row>
    <row r="2325" spans="1:11" x14ac:dyDescent="0.2">
      <c r="A2325" s="168">
        <v>2318</v>
      </c>
      <c r="B2325" s="159">
        <v>594.63366392643309</v>
      </c>
      <c r="C2325" s="169">
        <f t="shared" si="112"/>
        <v>1378360.8329814719</v>
      </c>
      <c r="I2325" s="168">
        <v>2318</v>
      </c>
      <c r="J2325" s="159">
        <f>ROUND(B2325*('Model Data Inputs'!$E$184*'Model Data Inputs'!$E$185*'Model Data Inputs'!$E$186*'Model Data Inputs'!$E$187),2)</f>
        <v>594.63</v>
      </c>
      <c r="K2325" s="169">
        <f t="shared" si="113"/>
        <v>1378352.34</v>
      </c>
    </row>
    <row r="2326" spans="1:11" x14ac:dyDescent="0.2">
      <c r="A2326" s="168">
        <v>2319</v>
      </c>
      <c r="B2326" s="159">
        <v>594.63366392643309</v>
      </c>
      <c r="C2326" s="169">
        <f t="shared" si="112"/>
        <v>1378955.4666453984</v>
      </c>
      <c r="I2326" s="168">
        <v>2319</v>
      </c>
      <c r="J2326" s="159">
        <f>ROUND(B2326*('Model Data Inputs'!$E$184*'Model Data Inputs'!$E$185*'Model Data Inputs'!$E$186*'Model Data Inputs'!$E$187),2)</f>
        <v>594.63</v>
      </c>
      <c r="K2326" s="169">
        <f t="shared" si="113"/>
        <v>1378946.97</v>
      </c>
    </row>
    <row r="2327" spans="1:11" x14ac:dyDescent="0.2">
      <c r="A2327" s="168">
        <v>2320</v>
      </c>
      <c r="B2327" s="159">
        <v>594.63366392643309</v>
      </c>
      <c r="C2327" s="169">
        <f t="shared" si="112"/>
        <v>1379550.1003093247</v>
      </c>
      <c r="I2327" s="168">
        <v>2320</v>
      </c>
      <c r="J2327" s="159">
        <f>ROUND(B2327*('Model Data Inputs'!$E$184*'Model Data Inputs'!$E$185*'Model Data Inputs'!$E$186*'Model Data Inputs'!$E$187),2)</f>
        <v>594.63</v>
      </c>
      <c r="K2327" s="169">
        <f t="shared" si="113"/>
        <v>1379541.6</v>
      </c>
    </row>
    <row r="2328" spans="1:11" x14ac:dyDescent="0.2">
      <c r="A2328" s="168">
        <v>2321</v>
      </c>
      <c r="B2328" s="159">
        <v>594.63366392643309</v>
      </c>
      <c r="C2328" s="169">
        <f t="shared" si="112"/>
        <v>1380144.7339732512</v>
      </c>
      <c r="I2328" s="168">
        <v>2321</v>
      </c>
      <c r="J2328" s="159">
        <f>ROUND(B2328*('Model Data Inputs'!$E$184*'Model Data Inputs'!$E$185*'Model Data Inputs'!$E$186*'Model Data Inputs'!$E$187),2)</f>
        <v>594.63</v>
      </c>
      <c r="K2328" s="169">
        <f t="shared" si="113"/>
        <v>1380136.23</v>
      </c>
    </row>
    <row r="2329" spans="1:11" x14ac:dyDescent="0.2">
      <c r="A2329" s="168">
        <v>2322</v>
      </c>
      <c r="B2329" s="159">
        <v>594.63366392643309</v>
      </c>
      <c r="C2329" s="169">
        <f t="shared" si="112"/>
        <v>1380739.3676371777</v>
      </c>
      <c r="I2329" s="168">
        <v>2322</v>
      </c>
      <c r="J2329" s="159">
        <f>ROUND(B2329*('Model Data Inputs'!$E$184*'Model Data Inputs'!$E$185*'Model Data Inputs'!$E$186*'Model Data Inputs'!$E$187),2)</f>
        <v>594.63</v>
      </c>
      <c r="K2329" s="169">
        <f t="shared" si="113"/>
        <v>1380730.86</v>
      </c>
    </row>
    <row r="2330" spans="1:11" x14ac:dyDescent="0.2">
      <c r="A2330" s="168">
        <v>2323</v>
      </c>
      <c r="B2330" s="159">
        <v>594.63366392643309</v>
      </c>
      <c r="C2330" s="169">
        <f t="shared" si="112"/>
        <v>1381334.001301104</v>
      </c>
      <c r="I2330" s="168">
        <v>2323</v>
      </c>
      <c r="J2330" s="159">
        <f>ROUND(B2330*('Model Data Inputs'!$E$184*'Model Data Inputs'!$E$185*'Model Data Inputs'!$E$186*'Model Data Inputs'!$E$187),2)</f>
        <v>594.63</v>
      </c>
      <c r="K2330" s="169">
        <f t="shared" si="113"/>
        <v>1381325.49</v>
      </c>
    </row>
    <row r="2331" spans="1:11" x14ac:dyDescent="0.2">
      <c r="A2331" s="168">
        <v>2324</v>
      </c>
      <c r="B2331" s="159">
        <v>594.63366392643309</v>
      </c>
      <c r="C2331" s="169">
        <f t="shared" si="112"/>
        <v>1381928.6349650305</v>
      </c>
      <c r="I2331" s="168">
        <v>2324</v>
      </c>
      <c r="J2331" s="159">
        <f>ROUND(B2331*('Model Data Inputs'!$E$184*'Model Data Inputs'!$E$185*'Model Data Inputs'!$E$186*'Model Data Inputs'!$E$187),2)</f>
        <v>594.63</v>
      </c>
      <c r="K2331" s="169">
        <f t="shared" si="113"/>
        <v>1381920.1199999999</v>
      </c>
    </row>
    <row r="2332" spans="1:11" x14ac:dyDescent="0.2">
      <c r="A2332" s="168">
        <v>2325</v>
      </c>
      <c r="B2332" s="159">
        <v>594.63366392643309</v>
      </c>
      <c r="C2332" s="169">
        <f t="shared" si="112"/>
        <v>1382523.268628957</v>
      </c>
      <c r="I2332" s="168">
        <v>2325</v>
      </c>
      <c r="J2332" s="159">
        <f>ROUND(B2332*('Model Data Inputs'!$E$184*'Model Data Inputs'!$E$185*'Model Data Inputs'!$E$186*'Model Data Inputs'!$E$187),2)</f>
        <v>594.63</v>
      </c>
      <c r="K2332" s="169">
        <f t="shared" si="113"/>
        <v>1382514.75</v>
      </c>
    </row>
    <row r="2333" spans="1:11" x14ac:dyDescent="0.2">
      <c r="A2333" s="168">
        <v>2326</v>
      </c>
      <c r="B2333" s="159">
        <v>594.63366392643309</v>
      </c>
      <c r="C2333" s="169">
        <f t="shared" si="112"/>
        <v>1383117.9022928833</v>
      </c>
      <c r="I2333" s="168">
        <v>2326</v>
      </c>
      <c r="J2333" s="159">
        <f>ROUND(B2333*('Model Data Inputs'!$E$184*'Model Data Inputs'!$E$185*'Model Data Inputs'!$E$186*'Model Data Inputs'!$E$187),2)</f>
        <v>594.63</v>
      </c>
      <c r="K2333" s="169">
        <f t="shared" si="113"/>
        <v>1383109.38</v>
      </c>
    </row>
    <row r="2334" spans="1:11" x14ac:dyDescent="0.2">
      <c r="A2334" s="168">
        <v>2327</v>
      </c>
      <c r="B2334" s="159">
        <v>594.63366392643309</v>
      </c>
      <c r="C2334" s="169">
        <f t="shared" si="112"/>
        <v>1383712.5359568098</v>
      </c>
      <c r="I2334" s="168">
        <v>2327</v>
      </c>
      <c r="J2334" s="159">
        <f>ROUND(B2334*('Model Data Inputs'!$E$184*'Model Data Inputs'!$E$185*'Model Data Inputs'!$E$186*'Model Data Inputs'!$E$187),2)</f>
        <v>594.63</v>
      </c>
      <c r="K2334" s="169">
        <f t="shared" si="113"/>
        <v>1383704.01</v>
      </c>
    </row>
    <row r="2335" spans="1:11" x14ac:dyDescent="0.2">
      <c r="A2335" s="168">
        <v>2328</v>
      </c>
      <c r="B2335" s="159">
        <v>594.63366392643309</v>
      </c>
      <c r="C2335" s="169">
        <f t="shared" si="112"/>
        <v>1384307.1696207363</v>
      </c>
      <c r="I2335" s="168">
        <v>2328</v>
      </c>
      <c r="J2335" s="159">
        <f>ROUND(B2335*('Model Data Inputs'!$E$184*'Model Data Inputs'!$E$185*'Model Data Inputs'!$E$186*'Model Data Inputs'!$E$187),2)</f>
        <v>594.63</v>
      </c>
      <c r="K2335" s="169">
        <f t="shared" si="113"/>
        <v>1384298.64</v>
      </c>
    </row>
    <row r="2336" spans="1:11" x14ac:dyDescent="0.2">
      <c r="A2336" s="168">
        <v>2329</v>
      </c>
      <c r="B2336" s="159">
        <v>594.63366392643309</v>
      </c>
      <c r="C2336" s="169">
        <f t="shared" si="112"/>
        <v>1384901.8032846628</v>
      </c>
      <c r="I2336" s="168">
        <v>2329</v>
      </c>
      <c r="J2336" s="159">
        <f>ROUND(B2336*('Model Data Inputs'!$E$184*'Model Data Inputs'!$E$185*'Model Data Inputs'!$E$186*'Model Data Inputs'!$E$187),2)</f>
        <v>594.63</v>
      </c>
      <c r="K2336" s="169">
        <f t="shared" si="113"/>
        <v>1384893.27</v>
      </c>
    </row>
    <row r="2337" spans="1:11" x14ac:dyDescent="0.2">
      <c r="A2337" s="168">
        <v>2330</v>
      </c>
      <c r="B2337" s="159">
        <v>594.63366392643309</v>
      </c>
      <c r="C2337" s="169">
        <f t="shared" si="112"/>
        <v>1385496.436948589</v>
      </c>
      <c r="I2337" s="168">
        <v>2330</v>
      </c>
      <c r="J2337" s="159">
        <f>ROUND(B2337*('Model Data Inputs'!$E$184*'Model Data Inputs'!$E$185*'Model Data Inputs'!$E$186*'Model Data Inputs'!$E$187),2)</f>
        <v>594.63</v>
      </c>
      <c r="K2337" s="169">
        <f t="shared" si="113"/>
        <v>1385487.9</v>
      </c>
    </row>
    <row r="2338" spans="1:11" x14ac:dyDescent="0.2">
      <c r="A2338" s="168">
        <v>2331</v>
      </c>
      <c r="B2338" s="159">
        <v>594.63366392643309</v>
      </c>
      <c r="C2338" s="169">
        <f t="shared" si="112"/>
        <v>1386091.0706125156</v>
      </c>
      <c r="I2338" s="168">
        <v>2331</v>
      </c>
      <c r="J2338" s="159">
        <f>ROUND(B2338*('Model Data Inputs'!$E$184*'Model Data Inputs'!$E$185*'Model Data Inputs'!$E$186*'Model Data Inputs'!$E$187),2)</f>
        <v>594.63</v>
      </c>
      <c r="K2338" s="169">
        <f t="shared" si="113"/>
        <v>1386082.53</v>
      </c>
    </row>
    <row r="2339" spans="1:11" x14ac:dyDescent="0.2">
      <c r="A2339" s="168">
        <v>2332</v>
      </c>
      <c r="B2339" s="159">
        <v>594.63366392643309</v>
      </c>
      <c r="C2339" s="169">
        <f t="shared" si="112"/>
        <v>1386685.7042764421</v>
      </c>
      <c r="I2339" s="168">
        <v>2332</v>
      </c>
      <c r="J2339" s="159">
        <f>ROUND(B2339*('Model Data Inputs'!$E$184*'Model Data Inputs'!$E$185*'Model Data Inputs'!$E$186*'Model Data Inputs'!$E$187),2)</f>
        <v>594.63</v>
      </c>
      <c r="K2339" s="169">
        <f t="shared" si="113"/>
        <v>1386677.16</v>
      </c>
    </row>
    <row r="2340" spans="1:11" x14ac:dyDescent="0.2">
      <c r="A2340" s="168">
        <v>2333</v>
      </c>
      <c r="B2340" s="159">
        <v>594.63366392643309</v>
      </c>
      <c r="C2340" s="169">
        <f t="shared" si="112"/>
        <v>1387280.3379403683</v>
      </c>
      <c r="I2340" s="168">
        <v>2333</v>
      </c>
      <c r="J2340" s="159">
        <f>ROUND(B2340*('Model Data Inputs'!$E$184*'Model Data Inputs'!$E$185*'Model Data Inputs'!$E$186*'Model Data Inputs'!$E$187),2)</f>
        <v>594.63</v>
      </c>
      <c r="K2340" s="169">
        <f t="shared" si="113"/>
        <v>1387271.79</v>
      </c>
    </row>
    <row r="2341" spans="1:11" x14ac:dyDescent="0.2">
      <c r="A2341" s="168">
        <v>2334</v>
      </c>
      <c r="B2341" s="159">
        <v>594.63366392643309</v>
      </c>
      <c r="C2341" s="169">
        <f t="shared" si="112"/>
        <v>1387874.9716042948</v>
      </c>
      <c r="I2341" s="168">
        <v>2334</v>
      </c>
      <c r="J2341" s="159">
        <f>ROUND(B2341*('Model Data Inputs'!$E$184*'Model Data Inputs'!$E$185*'Model Data Inputs'!$E$186*'Model Data Inputs'!$E$187),2)</f>
        <v>594.63</v>
      </c>
      <c r="K2341" s="169">
        <f t="shared" si="113"/>
        <v>1387866.42</v>
      </c>
    </row>
    <row r="2342" spans="1:11" x14ac:dyDescent="0.2">
      <c r="A2342" s="168">
        <v>2335</v>
      </c>
      <c r="B2342" s="159">
        <v>594.63366392643309</v>
      </c>
      <c r="C2342" s="169">
        <f t="shared" si="112"/>
        <v>1388469.6052682213</v>
      </c>
      <c r="I2342" s="168">
        <v>2335</v>
      </c>
      <c r="J2342" s="159">
        <f>ROUND(B2342*('Model Data Inputs'!$E$184*'Model Data Inputs'!$E$185*'Model Data Inputs'!$E$186*'Model Data Inputs'!$E$187),2)</f>
        <v>594.63</v>
      </c>
      <c r="K2342" s="169">
        <f t="shared" si="113"/>
        <v>1388461.05</v>
      </c>
    </row>
    <row r="2343" spans="1:11" x14ac:dyDescent="0.2">
      <c r="A2343" s="168">
        <v>2336</v>
      </c>
      <c r="B2343" s="159">
        <v>594.63366392643309</v>
      </c>
      <c r="C2343" s="169">
        <f t="shared" si="112"/>
        <v>1389064.2389321476</v>
      </c>
      <c r="I2343" s="168">
        <v>2336</v>
      </c>
      <c r="J2343" s="159">
        <f>ROUND(B2343*('Model Data Inputs'!$E$184*'Model Data Inputs'!$E$185*'Model Data Inputs'!$E$186*'Model Data Inputs'!$E$187),2)</f>
        <v>594.63</v>
      </c>
      <c r="K2343" s="169">
        <f t="shared" si="113"/>
        <v>1389055.68</v>
      </c>
    </row>
    <row r="2344" spans="1:11" x14ac:dyDescent="0.2">
      <c r="A2344" s="168">
        <v>2337</v>
      </c>
      <c r="B2344" s="159">
        <v>594.63366392643309</v>
      </c>
      <c r="C2344" s="169">
        <f t="shared" si="112"/>
        <v>1389658.8725960741</v>
      </c>
      <c r="I2344" s="168">
        <v>2337</v>
      </c>
      <c r="J2344" s="159">
        <f>ROUND(B2344*('Model Data Inputs'!$E$184*'Model Data Inputs'!$E$185*'Model Data Inputs'!$E$186*'Model Data Inputs'!$E$187),2)</f>
        <v>594.63</v>
      </c>
      <c r="K2344" s="169">
        <f t="shared" si="113"/>
        <v>1389650.31</v>
      </c>
    </row>
    <row r="2345" spans="1:11" x14ac:dyDescent="0.2">
      <c r="A2345" s="168">
        <v>2338</v>
      </c>
      <c r="B2345" s="159">
        <v>594.63366392643309</v>
      </c>
      <c r="C2345" s="169">
        <f t="shared" si="112"/>
        <v>1390253.5062600006</v>
      </c>
      <c r="I2345" s="168">
        <v>2338</v>
      </c>
      <c r="J2345" s="159">
        <f>ROUND(B2345*('Model Data Inputs'!$E$184*'Model Data Inputs'!$E$185*'Model Data Inputs'!$E$186*'Model Data Inputs'!$E$187),2)</f>
        <v>594.63</v>
      </c>
      <c r="K2345" s="169">
        <f t="shared" si="113"/>
        <v>1390244.94</v>
      </c>
    </row>
    <row r="2346" spans="1:11" x14ac:dyDescent="0.2">
      <c r="A2346" s="168">
        <v>2339</v>
      </c>
      <c r="B2346" s="159">
        <v>594.63366392643309</v>
      </c>
      <c r="C2346" s="169">
        <f t="shared" si="112"/>
        <v>1390848.1399239269</v>
      </c>
      <c r="I2346" s="168">
        <v>2339</v>
      </c>
      <c r="J2346" s="159">
        <f>ROUND(B2346*('Model Data Inputs'!$E$184*'Model Data Inputs'!$E$185*'Model Data Inputs'!$E$186*'Model Data Inputs'!$E$187),2)</f>
        <v>594.63</v>
      </c>
      <c r="K2346" s="169">
        <f t="shared" si="113"/>
        <v>1390839.57</v>
      </c>
    </row>
    <row r="2347" spans="1:11" x14ac:dyDescent="0.2">
      <c r="A2347" s="168">
        <v>2340</v>
      </c>
      <c r="B2347" s="159">
        <v>594.63366392643309</v>
      </c>
      <c r="C2347" s="169">
        <f t="shared" si="112"/>
        <v>1391442.7735878534</v>
      </c>
      <c r="I2347" s="168">
        <v>2340</v>
      </c>
      <c r="J2347" s="159">
        <f>ROUND(B2347*('Model Data Inputs'!$E$184*'Model Data Inputs'!$E$185*'Model Data Inputs'!$E$186*'Model Data Inputs'!$E$187),2)</f>
        <v>594.63</v>
      </c>
      <c r="K2347" s="169">
        <f t="shared" si="113"/>
        <v>1391434.2</v>
      </c>
    </row>
    <row r="2348" spans="1:11" x14ac:dyDescent="0.2">
      <c r="A2348" s="168">
        <v>2341</v>
      </c>
      <c r="B2348" s="159">
        <v>594.63366392643309</v>
      </c>
      <c r="C2348" s="169">
        <f t="shared" si="112"/>
        <v>1392037.4072517799</v>
      </c>
      <c r="I2348" s="168">
        <v>2341</v>
      </c>
      <c r="J2348" s="159">
        <f>ROUND(B2348*('Model Data Inputs'!$E$184*'Model Data Inputs'!$E$185*'Model Data Inputs'!$E$186*'Model Data Inputs'!$E$187),2)</f>
        <v>594.63</v>
      </c>
      <c r="K2348" s="169">
        <f t="shared" si="113"/>
        <v>1392028.83</v>
      </c>
    </row>
    <row r="2349" spans="1:11" x14ac:dyDescent="0.2">
      <c r="A2349" s="168">
        <v>2342</v>
      </c>
      <c r="B2349" s="159">
        <v>594.63366392643309</v>
      </c>
      <c r="C2349" s="169">
        <f t="shared" si="112"/>
        <v>1392632.0409157062</v>
      </c>
      <c r="I2349" s="168">
        <v>2342</v>
      </c>
      <c r="J2349" s="159">
        <f>ROUND(B2349*('Model Data Inputs'!$E$184*'Model Data Inputs'!$E$185*'Model Data Inputs'!$E$186*'Model Data Inputs'!$E$187),2)</f>
        <v>594.63</v>
      </c>
      <c r="K2349" s="169">
        <f t="shared" si="113"/>
        <v>1392623.46</v>
      </c>
    </row>
    <row r="2350" spans="1:11" x14ac:dyDescent="0.2">
      <c r="A2350" s="168">
        <v>2343</v>
      </c>
      <c r="B2350" s="159">
        <v>594.63366392643309</v>
      </c>
      <c r="C2350" s="169">
        <f t="shared" si="112"/>
        <v>1393226.6745796327</v>
      </c>
      <c r="I2350" s="168">
        <v>2343</v>
      </c>
      <c r="J2350" s="159">
        <f>ROUND(B2350*('Model Data Inputs'!$E$184*'Model Data Inputs'!$E$185*'Model Data Inputs'!$E$186*'Model Data Inputs'!$E$187),2)</f>
        <v>594.63</v>
      </c>
      <c r="K2350" s="169">
        <f t="shared" si="113"/>
        <v>1393218.09</v>
      </c>
    </row>
    <row r="2351" spans="1:11" x14ac:dyDescent="0.2">
      <c r="A2351" s="168">
        <v>2344</v>
      </c>
      <c r="B2351" s="159">
        <v>594.63366392643309</v>
      </c>
      <c r="C2351" s="169">
        <f t="shared" si="112"/>
        <v>1393821.3082435592</v>
      </c>
      <c r="I2351" s="168">
        <v>2344</v>
      </c>
      <c r="J2351" s="159">
        <f>ROUND(B2351*('Model Data Inputs'!$E$184*'Model Data Inputs'!$E$185*'Model Data Inputs'!$E$186*'Model Data Inputs'!$E$187),2)</f>
        <v>594.63</v>
      </c>
      <c r="K2351" s="169">
        <f t="shared" si="113"/>
        <v>1393812.72</v>
      </c>
    </row>
    <row r="2352" spans="1:11" x14ac:dyDescent="0.2">
      <c r="A2352" s="168">
        <v>2345</v>
      </c>
      <c r="B2352" s="159">
        <v>594.63366392643309</v>
      </c>
      <c r="C2352" s="169">
        <f t="shared" si="112"/>
        <v>1394415.9419074855</v>
      </c>
      <c r="I2352" s="168">
        <v>2345</v>
      </c>
      <c r="J2352" s="159">
        <f>ROUND(B2352*('Model Data Inputs'!$E$184*'Model Data Inputs'!$E$185*'Model Data Inputs'!$E$186*'Model Data Inputs'!$E$187),2)</f>
        <v>594.63</v>
      </c>
      <c r="K2352" s="169">
        <f t="shared" si="113"/>
        <v>1394407.35</v>
      </c>
    </row>
    <row r="2353" spans="1:11" x14ac:dyDescent="0.2">
      <c r="A2353" s="168">
        <v>2346</v>
      </c>
      <c r="B2353" s="159">
        <v>594.63366392643309</v>
      </c>
      <c r="C2353" s="169">
        <f t="shared" si="112"/>
        <v>1395010.575571412</v>
      </c>
      <c r="I2353" s="168">
        <v>2346</v>
      </c>
      <c r="J2353" s="159">
        <f>ROUND(B2353*('Model Data Inputs'!$E$184*'Model Data Inputs'!$E$185*'Model Data Inputs'!$E$186*'Model Data Inputs'!$E$187),2)</f>
        <v>594.63</v>
      </c>
      <c r="K2353" s="169">
        <f t="shared" si="113"/>
        <v>1395001.98</v>
      </c>
    </row>
    <row r="2354" spans="1:11" x14ac:dyDescent="0.2">
      <c r="A2354" s="168">
        <v>2347</v>
      </c>
      <c r="B2354" s="159">
        <v>594.63366392643309</v>
      </c>
      <c r="C2354" s="169">
        <f t="shared" si="112"/>
        <v>1395605.2092353385</v>
      </c>
      <c r="I2354" s="168">
        <v>2347</v>
      </c>
      <c r="J2354" s="159">
        <f>ROUND(B2354*('Model Data Inputs'!$E$184*'Model Data Inputs'!$E$185*'Model Data Inputs'!$E$186*'Model Data Inputs'!$E$187),2)</f>
        <v>594.63</v>
      </c>
      <c r="K2354" s="169">
        <f t="shared" si="113"/>
        <v>1395596.61</v>
      </c>
    </row>
    <row r="2355" spans="1:11" x14ac:dyDescent="0.2">
      <c r="A2355" s="168">
        <v>2348</v>
      </c>
      <c r="B2355" s="159">
        <v>594.63366392643309</v>
      </c>
      <c r="C2355" s="169">
        <f t="shared" si="112"/>
        <v>1396199.842899265</v>
      </c>
      <c r="I2355" s="168">
        <v>2348</v>
      </c>
      <c r="J2355" s="159">
        <f>ROUND(B2355*('Model Data Inputs'!$E$184*'Model Data Inputs'!$E$185*'Model Data Inputs'!$E$186*'Model Data Inputs'!$E$187),2)</f>
        <v>594.63</v>
      </c>
      <c r="K2355" s="169">
        <f t="shared" si="113"/>
        <v>1396191.24</v>
      </c>
    </row>
    <row r="2356" spans="1:11" x14ac:dyDescent="0.2">
      <c r="A2356" s="168">
        <v>2349</v>
      </c>
      <c r="B2356" s="159">
        <v>594.63366392643309</v>
      </c>
      <c r="C2356" s="169">
        <f t="shared" si="112"/>
        <v>1396794.4765631913</v>
      </c>
      <c r="I2356" s="168">
        <v>2349</v>
      </c>
      <c r="J2356" s="159">
        <f>ROUND(B2356*('Model Data Inputs'!$E$184*'Model Data Inputs'!$E$185*'Model Data Inputs'!$E$186*'Model Data Inputs'!$E$187),2)</f>
        <v>594.63</v>
      </c>
      <c r="K2356" s="169">
        <f t="shared" si="113"/>
        <v>1396785.8699999999</v>
      </c>
    </row>
    <row r="2357" spans="1:11" x14ac:dyDescent="0.2">
      <c r="A2357" s="168">
        <v>2350</v>
      </c>
      <c r="B2357" s="159">
        <v>594.63366392643309</v>
      </c>
      <c r="C2357" s="169">
        <f t="shared" si="112"/>
        <v>1397389.1102271178</v>
      </c>
      <c r="I2357" s="168">
        <v>2350</v>
      </c>
      <c r="J2357" s="159">
        <f>ROUND(B2357*('Model Data Inputs'!$E$184*'Model Data Inputs'!$E$185*'Model Data Inputs'!$E$186*'Model Data Inputs'!$E$187),2)</f>
        <v>594.63</v>
      </c>
      <c r="K2357" s="169">
        <f t="shared" si="113"/>
        <v>1397380.5</v>
      </c>
    </row>
    <row r="2358" spans="1:11" x14ac:dyDescent="0.2">
      <c r="A2358" s="168">
        <v>2351</v>
      </c>
      <c r="B2358" s="159">
        <v>594.63366392643309</v>
      </c>
      <c r="C2358" s="169">
        <f t="shared" si="112"/>
        <v>1397983.7438910443</v>
      </c>
      <c r="I2358" s="168">
        <v>2351</v>
      </c>
      <c r="J2358" s="159">
        <f>ROUND(B2358*('Model Data Inputs'!$E$184*'Model Data Inputs'!$E$185*'Model Data Inputs'!$E$186*'Model Data Inputs'!$E$187),2)</f>
        <v>594.63</v>
      </c>
      <c r="K2358" s="169">
        <f t="shared" si="113"/>
        <v>1397975.13</v>
      </c>
    </row>
    <row r="2359" spans="1:11" x14ac:dyDescent="0.2">
      <c r="A2359" s="168">
        <v>2352</v>
      </c>
      <c r="B2359" s="159">
        <v>594.63366392643309</v>
      </c>
      <c r="C2359" s="169">
        <f t="shared" si="112"/>
        <v>1398578.3775549706</v>
      </c>
      <c r="I2359" s="168">
        <v>2352</v>
      </c>
      <c r="J2359" s="159">
        <f>ROUND(B2359*('Model Data Inputs'!$E$184*'Model Data Inputs'!$E$185*'Model Data Inputs'!$E$186*'Model Data Inputs'!$E$187),2)</f>
        <v>594.63</v>
      </c>
      <c r="K2359" s="169">
        <f t="shared" si="113"/>
        <v>1398569.76</v>
      </c>
    </row>
    <row r="2360" spans="1:11" x14ac:dyDescent="0.2">
      <c r="A2360" s="168">
        <v>2353</v>
      </c>
      <c r="B2360" s="159">
        <v>594.63366392643309</v>
      </c>
      <c r="C2360" s="169">
        <f t="shared" si="112"/>
        <v>1399173.0112188971</v>
      </c>
      <c r="I2360" s="168">
        <v>2353</v>
      </c>
      <c r="J2360" s="159">
        <f>ROUND(B2360*('Model Data Inputs'!$E$184*'Model Data Inputs'!$E$185*'Model Data Inputs'!$E$186*'Model Data Inputs'!$E$187),2)</f>
        <v>594.63</v>
      </c>
      <c r="K2360" s="169">
        <f t="shared" si="113"/>
        <v>1399164.39</v>
      </c>
    </row>
    <row r="2361" spans="1:11" x14ac:dyDescent="0.2">
      <c r="A2361" s="168">
        <v>2354</v>
      </c>
      <c r="B2361" s="159">
        <v>594.63366392643309</v>
      </c>
      <c r="C2361" s="169">
        <f t="shared" si="112"/>
        <v>1399767.6448828236</v>
      </c>
      <c r="I2361" s="168">
        <v>2354</v>
      </c>
      <c r="J2361" s="159">
        <f>ROUND(B2361*('Model Data Inputs'!$E$184*'Model Data Inputs'!$E$185*'Model Data Inputs'!$E$186*'Model Data Inputs'!$E$187),2)</f>
        <v>594.63</v>
      </c>
      <c r="K2361" s="169">
        <f t="shared" si="113"/>
        <v>1399759.02</v>
      </c>
    </row>
    <row r="2362" spans="1:11" x14ac:dyDescent="0.2">
      <c r="A2362" s="168">
        <v>2355</v>
      </c>
      <c r="B2362" s="159">
        <v>594.63366392643309</v>
      </c>
      <c r="C2362" s="169">
        <f t="shared" si="112"/>
        <v>1400362.2785467498</v>
      </c>
      <c r="I2362" s="168">
        <v>2355</v>
      </c>
      <c r="J2362" s="159">
        <f>ROUND(B2362*('Model Data Inputs'!$E$184*'Model Data Inputs'!$E$185*'Model Data Inputs'!$E$186*'Model Data Inputs'!$E$187),2)</f>
        <v>594.63</v>
      </c>
      <c r="K2362" s="169">
        <f t="shared" si="113"/>
        <v>1400353.65</v>
      </c>
    </row>
    <row r="2363" spans="1:11" x14ac:dyDescent="0.2">
      <c r="A2363" s="168">
        <v>2356</v>
      </c>
      <c r="B2363" s="159">
        <v>594.63366392643309</v>
      </c>
      <c r="C2363" s="169">
        <f t="shared" si="112"/>
        <v>1400956.9122106764</v>
      </c>
      <c r="I2363" s="168">
        <v>2356</v>
      </c>
      <c r="J2363" s="159">
        <f>ROUND(B2363*('Model Data Inputs'!$E$184*'Model Data Inputs'!$E$185*'Model Data Inputs'!$E$186*'Model Data Inputs'!$E$187),2)</f>
        <v>594.63</v>
      </c>
      <c r="K2363" s="169">
        <f t="shared" si="113"/>
        <v>1400948.28</v>
      </c>
    </row>
    <row r="2364" spans="1:11" x14ac:dyDescent="0.2">
      <c r="A2364" s="168">
        <v>2357</v>
      </c>
      <c r="B2364" s="159">
        <v>594.63366392643309</v>
      </c>
      <c r="C2364" s="169">
        <f t="shared" si="112"/>
        <v>1401551.5458746029</v>
      </c>
      <c r="I2364" s="168">
        <v>2357</v>
      </c>
      <c r="J2364" s="159">
        <f>ROUND(B2364*('Model Data Inputs'!$E$184*'Model Data Inputs'!$E$185*'Model Data Inputs'!$E$186*'Model Data Inputs'!$E$187),2)</f>
        <v>594.63</v>
      </c>
      <c r="K2364" s="169">
        <f t="shared" si="113"/>
        <v>1401542.91</v>
      </c>
    </row>
    <row r="2365" spans="1:11" x14ac:dyDescent="0.2">
      <c r="A2365" s="168">
        <v>2358</v>
      </c>
      <c r="B2365" s="159">
        <v>594.63366392643309</v>
      </c>
      <c r="C2365" s="169">
        <f t="shared" si="112"/>
        <v>1402146.1795385291</v>
      </c>
      <c r="I2365" s="168">
        <v>2358</v>
      </c>
      <c r="J2365" s="159">
        <f>ROUND(B2365*('Model Data Inputs'!$E$184*'Model Data Inputs'!$E$185*'Model Data Inputs'!$E$186*'Model Data Inputs'!$E$187),2)</f>
        <v>594.63</v>
      </c>
      <c r="K2365" s="169">
        <f t="shared" si="113"/>
        <v>1402137.54</v>
      </c>
    </row>
    <row r="2366" spans="1:11" x14ac:dyDescent="0.2">
      <c r="A2366" s="168">
        <v>2359</v>
      </c>
      <c r="B2366" s="159">
        <v>594.63366392643309</v>
      </c>
      <c r="C2366" s="169">
        <f t="shared" si="112"/>
        <v>1402740.8132024556</v>
      </c>
      <c r="I2366" s="168">
        <v>2359</v>
      </c>
      <c r="J2366" s="159">
        <f>ROUND(B2366*('Model Data Inputs'!$E$184*'Model Data Inputs'!$E$185*'Model Data Inputs'!$E$186*'Model Data Inputs'!$E$187),2)</f>
        <v>594.63</v>
      </c>
      <c r="K2366" s="169">
        <f t="shared" si="113"/>
        <v>1402732.17</v>
      </c>
    </row>
    <row r="2367" spans="1:11" x14ac:dyDescent="0.2">
      <c r="A2367" s="168">
        <v>2360</v>
      </c>
      <c r="B2367" s="159">
        <v>594.63366392643309</v>
      </c>
      <c r="C2367" s="169">
        <f t="shared" si="112"/>
        <v>1403335.4468663821</v>
      </c>
      <c r="I2367" s="168">
        <v>2360</v>
      </c>
      <c r="J2367" s="159">
        <f>ROUND(B2367*('Model Data Inputs'!$E$184*'Model Data Inputs'!$E$185*'Model Data Inputs'!$E$186*'Model Data Inputs'!$E$187),2)</f>
        <v>594.63</v>
      </c>
      <c r="K2367" s="169">
        <f t="shared" si="113"/>
        <v>1403326.8</v>
      </c>
    </row>
    <row r="2368" spans="1:11" x14ac:dyDescent="0.2">
      <c r="A2368" s="168">
        <v>2361</v>
      </c>
      <c r="B2368" s="159">
        <v>594.63366392643309</v>
      </c>
      <c r="C2368" s="169">
        <f t="shared" si="112"/>
        <v>1403930.0805303084</v>
      </c>
      <c r="I2368" s="168">
        <v>2361</v>
      </c>
      <c r="J2368" s="159">
        <f>ROUND(B2368*('Model Data Inputs'!$E$184*'Model Data Inputs'!$E$185*'Model Data Inputs'!$E$186*'Model Data Inputs'!$E$187),2)</f>
        <v>594.63</v>
      </c>
      <c r="K2368" s="169">
        <f t="shared" si="113"/>
        <v>1403921.43</v>
      </c>
    </row>
    <row r="2369" spans="1:11" x14ac:dyDescent="0.2">
      <c r="A2369" s="168">
        <v>2362</v>
      </c>
      <c r="B2369" s="159">
        <v>594.63366392643309</v>
      </c>
      <c r="C2369" s="169">
        <f t="shared" si="112"/>
        <v>1404524.7141942349</v>
      </c>
      <c r="I2369" s="168">
        <v>2362</v>
      </c>
      <c r="J2369" s="159">
        <f>ROUND(B2369*('Model Data Inputs'!$E$184*'Model Data Inputs'!$E$185*'Model Data Inputs'!$E$186*'Model Data Inputs'!$E$187),2)</f>
        <v>594.63</v>
      </c>
      <c r="K2369" s="169">
        <f t="shared" si="113"/>
        <v>1404516.06</v>
      </c>
    </row>
    <row r="2370" spans="1:11" x14ac:dyDescent="0.2">
      <c r="A2370" s="168">
        <v>2363</v>
      </c>
      <c r="B2370" s="159">
        <v>594.63366392643309</v>
      </c>
      <c r="C2370" s="169">
        <f t="shared" si="112"/>
        <v>1405119.3478581614</v>
      </c>
      <c r="I2370" s="168">
        <v>2363</v>
      </c>
      <c r="J2370" s="159">
        <f>ROUND(B2370*('Model Data Inputs'!$E$184*'Model Data Inputs'!$E$185*'Model Data Inputs'!$E$186*'Model Data Inputs'!$E$187),2)</f>
        <v>594.63</v>
      </c>
      <c r="K2370" s="169">
        <f t="shared" si="113"/>
        <v>1405110.69</v>
      </c>
    </row>
    <row r="2371" spans="1:11" x14ac:dyDescent="0.2">
      <c r="A2371" s="168">
        <v>2364</v>
      </c>
      <c r="B2371" s="159">
        <v>594.63366392643309</v>
      </c>
      <c r="C2371" s="169">
        <f t="shared" si="112"/>
        <v>1405713.9815220877</v>
      </c>
      <c r="I2371" s="168">
        <v>2364</v>
      </c>
      <c r="J2371" s="159">
        <f>ROUND(B2371*('Model Data Inputs'!$E$184*'Model Data Inputs'!$E$185*'Model Data Inputs'!$E$186*'Model Data Inputs'!$E$187),2)</f>
        <v>594.63</v>
      </c>
      <c r="K2371" s="169">
        <f t="shared" si="113"/>
        <v>1405705.32</v>
      </c>
    </row>
    <row r="2372" spans="1:11" x14ac:dyDescent="0.2">
      <c r="A2372" s="168">
        <v>2365</v>
      </c>
      <c r="B2372" s="159">
        <v>594.63366392643309</v>
      </c>
      <c r="C2372" s="169">
        <f t="shared" si="112"/>
        <v>1406308.6151860142</v>
      </c>
      <c r="I2372" s="168">
        <v>2365</v>
      </c>
      <c r="J2372" s="159">
        <f>ROUND(B2372*('Model Data Inputs'!$E$184*'Model Data Inputs'!$E$185*'Model Data Inputs'!$E$186*'Model Data Inputs'!$E$187),2)</f>
        <v>594.63</v>
      </c>
      <c r="K2372" s="169">
        <f t="shared" si="113"/>
        <v>1406299.95</v>
      </c>
    </row>
    <row r="2373" spans="1:11" x14ac:dyDescent="0.2">
      <c r="A2373" s="168">
        <v>2366</v>
      </c>
      <c r="B2373" s="159">
        <v>594.63366392643309</v>
      </c>
      <c r="C2373" s="169">
        <f t="shared" si="112"/>
        <v>1406903.2488499407</v>
      </c>
      <c r="I2373" s="168">
        <v>2366</v>
      </c>
      <c r="J2373" s="159">
        <f>ROUND(B2373*('Model Data Inputs'!$E$184*'Model Data Inputs'!$E$185*'Model Data Inputs'!$E$186*'Model Data Inputs'!$E$187),2)</f>
        <v>594.63</v>
      </c>
      <c r="K2373" s="169">
        <f t="shared" si="113"/>
        <v>1406894.58</v>
      </c>
    </row>
    <row r="2374" spans="1:11" x14ac:dyDescent="0.2">
      <c r="A2374" s="168">
        <v>2367</v>
      </c>
      <c r="B2374" s="159">
        <v>594.63366392643309</v>
      </c>
      <c r="C2374" s="169">
        <f t="shared" si="112"/>
        <v>1407497.8825138672</v>
      </c>
      <c r="I2374" s="168">
        <v>2367</v>
      </c>
      <c r="J2374" s="159">
        <f>ROUND(B2374*('Model Data Inputs'!$E$184*'Model Data Inputs'!$E$185*'Model Data Inputs'!$E$186*'Model Data Inputs'!$E$187),2)</f>
        <v>594.63</v>
      </c>
      <c r="K2374" s="169">
        <f t="shared" si="113"/>
        <v>1407489.21</v>
      </c>
    </row>
    <row r="2375" spans="1:11" x14ac:dyDescent="0.2">
      <c r="A2375" s="168">
        <v>2368</v>
      </c>
      <c r="B2375" s="159">
        <v>594.63366392643309</v>
      </c>
      <c r="C2375" s="169">
        <f t="shared" si="112"/>
        <v>1408092.5161777935</v>
      </c>
      <c r="I2375" s="168">
        <v>2368</v>
      </c>
      <c r="J2375" s="159">
        <f>ROUND(B2375*('Model Data Inputs'!$E$184*'Model Data Inputs'!$E$185*'Model Data Inputs'!$E$186*'Model Data Inputs'!$E$187),2)</f>
        <v>594.63</v>
      </c>
      <c r="K2375" s="169">
        <f t="shared" si="113"/>
        <v>1408083.84</v>
      </c>
    </row>
    <row r="2376" spans="1:11" x14ac:dyDescent="0.2">
      <c r="A2376" s="168">
        <v>2369</v>
      </c>
      <c r="B2376" s="159">
        <v>594.63366392643309</v>
      </c>
      <c r="C2376" s="169">
        <f t="shared" ref="C2376:C2439" si="114">A2376*B2376</f>
        <v>1408687.14984172</v>
      </c>
      <c r="I2376" s="168">
        <v>2369</v>
      </c>
      <c r="J2376" s="159">
        <f>ROUND(B2376*('Model Data Inputs'!$E$184*'Model Data Inputs'!$E$185*'Model Data Inputs'!$E$186*'Model Data Inputs'!$E$187),2)</f>
        <v>594.63</v>
      </c>
      <c r="K2376" s="169">
        <f t="shared" ref="K2376:K2439" si="115">I2376*J2376</f>
        <v>1408678.47</v>
      </c>
    </row>
    <row r="2377" spans="1:11" x14ac:dyDescent="0.2">
      <c r="A2377" s="168">
        <v>2370</v>
      </c>
      <c r="B2377" s="159">
        <v>594.63366392643309</v>
      </c>
      <c r="C2377" s="169">
        <f t="shared" si="114"/>
        <v>1409281.7835056465</v>
      </c>
      <c r="I2377" s="168">
        <v>2370</v>
      </c>
      <c r="J2377" s="159">
        <f>ROUND(B2377*('Model Data Inputs'!$E$184*'Model Data Inputs'!$E$185*'Model Data Inputs'!$E$186*'Model Data Inputs'!$E$187),2)</f>
        <v>594.63</v>
      </c>
      <c r="K2377" s="169">
        <f t="shared" si="115"/>
        <v>1409273.1</v>
      </c>
    </row>
    <row r="2378" spans="1:11" x14ac:dyDescent="0.2">
      <c r="A2378" s="168">
        <v>2371</v>
      </c>
      <c r="B2378" s="159">
        <v>594.63366392643309</v>
      </c>
      <c r="C2378" s="169">
        <f t="shared" si="114"/>
        <v>1409876.4171695728</v>
      </c>
      <c r="I2378" s="168">
        <v>2371</v>
      </c>
      <c r="J2378" s="159">
        <f>ROUND(B2378*('Model Data Inputs'!$E$184*'Model Data Inputs'!$E$185*'Model Data Inputs'!$E$186*'Model Data Inputs'!$E$187),2)</f>
        <v>594.63</v>
      </c>
      <c r="K2378" s="169">
        <f t="shared" si="115"/>
        <v>1409867.73</v>
      </c>
    </row>
    <row r="2379" spans="1:11" x14ac:dyDescent="0.2">
      <c r="A2379" s="168">
        <v>2372</v>
      </c>
      <c r="B2379" s="159">
        <v>594.63366392643309</v>
      </c>
      <c r="C2379" s="169">
        <f t="shared" si="114"/>
        <v>1410471.0508334993</v>
      </c>
      <c r="I2379" s="168">
        <v>2372</v>
      </c>
      <c r="J2379" s="159">
        <f>ROUND(B2379*('Model Data Inputs'!$E$184*'Model Data Inputs'!$E$185*'Model Data Inputs'!$E$186*'Model Data Inputs'!$E$187),2)</f>
        <v>594.63</v>
      </c>
      <c r="K2379" s="169">
        <f t="shared" si="115"/>
        <v>1410462.36</v>
      </c>
    </row>
    <row r="2380" spans="1:11" x14ac:dyDescent="0.2">
      <c r="A2380" s="168">
        <v>2373</v>
      </c>
      <c r="B2380" s="159">
        <v>594.63366392643309</v>
      </c>
      <c r="C2380" s="169">
        <f t="shared" si="114"/>
        <v>1411065.6844974258</v>
      </c>
      <c r="I2380" s="168">
        <v>2373</v>
      </c>
      <c r="J2380" s="159">
        <f>ROUND(B2380*('Model Data Inputs'!$E$184*'Model Data Inputs'!$E$185*'Model Data Inputs'!$E$186*'Model Data Inputs'!$E$187),2)</f>
        <v>594.63</v>
      </c>
      <c r="K2380" s="169">
        <f t="shared" si="115"/>
        <v>1411056.99</v>
      </c>
    </row>
    <row r="2381" spans="1:11" x14ac:dyDescent="0.2">
      <c r="A2381" s="168">
        <v>2374</v>
      </c>
      <c r="B2381" s="159">
        <v>594.63366392643309</v>
      </c>
      <c r="C2381" s="169">
        <f t="shared" si="114"/>
        <v>1411660.3181613521</v>
      </c>
      <c r="I2381" s="168">
        <v>2374</v>
      </c>
      <c r="J2381" s="159">
        <f>ROUND(B2381*('Model Data Inputs'!$E$184*'Model Data Inputs'!$E$185*'Model Data Inputs'!$E$186*'Model Data Inputs'!$E$187),2)</f>
        <v>594.63</v>
      </c>
      <c r="K2381" s="169">
        <f t="shared" si="115"/>
        <v>1411651.6199999999</v>
      </c>
    </row>
    <row r="2382" spans="1:11" x14ac:dyDescent="0.2">
      <c r="A2382" s="168">
        <v>2375</v>
      </c>
      <c r="B2382" s="159">
        <v>594.63366392643309</v>
      </c>
      <c r="C2382" s="169">
        <f t="shared" si="114"/>
        <v>1412254.9518252786</v>
      </c>
      <c r="I2382" s="168">
        <v>2375</v>
      </c>
      <c r="J2382" s="159">
        <f>ROUND(B2382*('Model Data Inputs'!$E$184*'Model Data Inputs'!$E$185*'Model Data Inputs'!$E$186*'Model Data Inputs'!$E$187),2)</f>
        <v>594.63</v>
      </c>
      <c r="K2382" s="169">
        <f t="shared" si="115"/>
        <v>1412246.25</v>
      </c>
    </row>
    <row r="2383" spans="1:11" x14ac:dyDescent="0.2">
      <c r="A2383" s="168">
        <v>2376</v>
      </c>
      <c r="B2383" s="159">
        <v>594.63366392643309</v>
      </c>
      <c r="C2383" s="169">
        <f t="shared" si="114"/>
        <v>1412849.5854892051</v>
      </c>
      <c r="I2383" s="168">
        <v>2376</v>
      </c>
      <c r="J2383" s="159">
        <f>ROUND(B2383*('Model Data Inputs'!$E$184*'Model Data Inputs'!$E$185*'Model Data Inputs'!$E$186*'Model Data Inputs'!$E$187),2)</f>
        <v>594.63</v>
      </c>
      <c r="K2383" s="169">
        <f t="shared" si="115"/>
        <v>1412840.88</v>
      </c>
    </row>
    <row r="2384" spans="1:11" x14ac:dyDescent="0.2">
      <c r="A2384" s="168">
        <v>2377</v>
      </c>
      <c r="B2384" s="159">
        <v>594.63366392643309</v>
      </c>
      <c r="C2384" s="169">
        <f t="shared" si="114"/>
        <v>1413444.2191531314</v>
      </c>
      <c r="I2384" s="168">
        <v>2377</v>
      </c>
      <c r="J2384" s="159">
        <f>ROUND(B2384*('Model Data Inputs'!$E$184*'Model Data Inputs'!$E$185*'Model Data Inputs'!$E$186*'Model Data Inputs'!$E$187),2)</f>
        <v>594.63</v>
      </c>
      <c r="K2384" s="169">
        <f t="shared" si="115"/>
        <v>1413435.51</v>
      </c>
    </row>
    <row r="2385" spans="1:11" x14ac:dyDescent="0.2">
      <c r="A2385" s="168">
        <v>2378</v>
      </c>
      <c r="B2385" s="159">
        <v>594.63366392643309</v>
      </c>
      <c r="C2385" s="169">
        <f t="shared" si="114"/>
        <v>1414038.8528170579</v>
      </c>
      <c r="I2385" s="168">
        <v>2378</v>
      </c>
      <c r="J2385" s="159">
        <f>ROUND(B2385*('Model Data Inputs'!$E$184*'Model Data Inputs'!$E$185*'Model Data Inputs'!$E$186*'Model Data Inputs'!$E$187),2)</f>
        <v>594.63</v>
      </c>
      <c r="K2385" s="169">
        <f t="shared" si="115"/>
        <v>1414030.14</v>
      </c>
    </row>
    <row r="2386" spans="1:11" x14ac:dyDescent="0.2">
      <c r="A2386" s="168">
        <v>2379</v>
      </c>
      <c r="B2386" s="159">
        <v>594.63366392643309</v>
      </c>
      <c r="C2386" s="169">
        <f t="shared" si="114"/>
        <v>1414633.4864809844</v>
      </c>
      <c r="I2386" s="168">
        <v>2379</v>
      </c>
      <c r="J2386" s="159">
        <f>ROUND(B2386*('Model Data Inputs'!$E$184*'Model Data Inputs'!$E$185*'Model Data Inputs'!$E$186*'Model Data Inputs'!$E$187),2)</f>
        <v>594.63</v>
      </c>
      <c r="K2386" s="169">
        <f t="shared" si="115"/>
        <v>1414624.77</v>
      </c>
    </row>
    <row r="2387" spans="1:11" x14ac:dyDescent="0.2">
      <c r="A2387" s="168">
        <v>2380</v>
      </c>
      <c r="B2387" s="159">
        <v>594.63366392643309</v>
      </c>
      <c r="C2387" s="169">
        <f t="shared" si="114"/>
        <v>1415228.1201449106</v>
      </c>
      <c r="I2387" s="168">
        <v>2380</v>
      </c>
      <c r="J2387" s="159">
        <f>ROUND(B2387*('Model Data Inputs'!$E$184*'Model Data Inputs'!$E$185*'Model Data Inputs'!$E$186*'Model Data Inputs'!$E$187),2)</f>
        <v>594.63</v>
      </c>
      <c r="K2387" s="169">
        <f t="shared" si="115"/>
        <v>1415219.4</v>
      </c>
    </row>
    <row r="2388" spans="1:11" x14ac:dyDescent="0.2">
      <c r="A2388" s="168">
        <v>2381</v>
      </c>
      <c r="B2388" s="159">
        <v>594.63366392643309</v>
      </c>
      <c r="C2388" s="169">
        <f t="shared" si="114"/>
        <v>1415822.7538088372</v>
      </c>
      <c r="I2388" s="168">
        <v>2381</v>
      </c>
      <c r="J2388" s="159">
        <f>ROUND(B2388*('Model Data Inputs'!$E$184*'Model Data Inputs'!$E$185*'Model Data Inputs'!$E$186*'Model Data Inputs'!$E$187),2)</f>
        <v>594.63</v>
      </c>
      <c r="K2388" s="169">
        <f t="shared" si="115"/>
        <v>1415814.03</v>
      </c>
    </row>
    <row r="2389" spans="1:11" x14ac:dyDescent="0.2">
      <c r="A2389" s="168">
        <v>2382</v>
      </c>
      <c r="B2389" s="159">
        <v>594.63366392643309</v>
      </c>
      <c r="C2389" s="169">
        <f t="shared" si="114"/>
        <v>1416417.3874727637</v>
      </c>
      <c r="I2389" s="168">
        <v>2382</v>
      </c>
      <c r="J2389" s="159">
        <f>ROUND(B2389*('Model Data Inputs'!$E$184*'Model Data Inputs'!$E$185*'Model Data Inputs'!$E$186*'Model Data Inputs'!$E$187),2)</f>
        <v>594.63</v>
      </c>
      <c r="K2389" s="169">
        <f t="shared" si="115"/>
        <v>1416408.66</v>
      </c>
    </row>
    <row r="2390" spans="1:11" x14ac:dyDescent="0.2">
      <c r="A2390" s="168">
        <v>2383</v>
      </c>
      <c r="B2390" s="159">
        <v>594.63366392643309</v>
      </c>
      <c r="C2390" s="169">
        <f t="shared" si="114"/>
        <v>1417012.0211366899</v>
      </c>
      <c r="I2390" s="168">
        <v>2383</v>
      </c>
      <c r="J2390" s="159">
        <f>ROUND(B2390*('Model Data Inputs'!$E$184*'Model Data Inputs'!$E$185*'Model Data Inputs'!$E$186*'Model Data Inputs'!$E$187),2)</f>
        <v>594.63</v>
      </c>
      <c r="K2390" s="169">
        <f t="shared" si="115"/>
        <v>1417003.29</v>
      </c>
    </row>
    <row r="2391" spans="1:11" x14ac:dyDescent="0.2">
      <c r="A2391" s="168">
        <v>2384</v>
      </c>
      <c r="B2391" s="159">
        <v>594.63366392643309</v>
      </c>
      <c r="C2391" s="169">
        <f t="shared" si="114"/>
        <v>1417606.6548006164</v>
      </c>
      <c r="I2391" s="168">
        <v>2384</v>
      </c>
      <c r="J2391" s="159">
        <f>ROUND(B2391*('Model Data Inputs'!$E$184*'Model Data Inputs'!$E$185*'Model Data Inputs'!$E$186*'Model Data Inputs'!$E$187),2)</f>
        <v>594.63</v>
      </c>
      <c r="K2391" s="169">
        <f t="shared" si="115"/>
        <v>1417597.92</v>
      </c>
    </row>
    <row r="2392" spans="1:11" x14ac:dyDescent="0.2">
      <c r="A2392" s="168">
        <v>2385</v>
      </c>
      <c r="B2392" s="159">
        <v>594.63366392643309</v>
      </c>
      <c r="C2392" s="169">
        <f t="shared" si="114"/>
        <v>1418201.2884645429</v>
      </c>
      <c r="I2392" s="168">
        <v>2385</v>
      </c>
      <c r="J2392" s="159">
        <f>ROUND(B2392*('Model Data Inputs'!$E$184*'Model Data Inputs'!$E$185*'Model Data Inputs'!$E$186*'Model Data Inputs'!$E$187),2)</f>
        <v>594.63</v>
      </c>
      <c r="K2392" s="169">
        <f t="shared" si="115"/>
        <v>1418192.55</v>
      </c>
    </row>
    <row r="2393" spans="1:11" x14ac:dyDescent="0.2">
      <c r="A2393" s="168">
        <v>2386</v>
      </c>
      <c r="B2393" s="159">
        <v>594.63366392643309</v>
      </c>
      <c r="C2393" s="169">
        <f t="shared" si="114"/>
        <v>1418795.9221284695</v>
      </c>
      <c r="I2393" s="168">
        <v>2386</v>
      </c>
      <c r="J2393" s="159">
        <f>ROUND(B2393*('Model Data Inputs'!$E$184*'Model Data Inputs'!$E$185*'Model Data Inputs'!$E$186*'Model Data Inputs'!$E$187),2)</f>
        <v>594.63</v>
      </c>
      <c r="K2393" s="169">
        <f t="shared" si="115"/>
        <v>1418787.18</v>
      </c>
    </row>
    <row r="2394" spans="1:11" x14ac:dyDescent="0.2">
      <c r="A2394" s="168">
        <v>2387</v>
      </c>
      <c r="B2394" s="159">
        <v>594.63366392643309</v>
      </c>
      <c r="C2394" s="169">
        <f t="shared" si="114"/>
        <v>1419390.5557923957</v>
      </c>
      <c r="I2394" s="168">
        <v>2387</v>
      </c>
      <c r="J2394" s="159">
        <f>ROUND(B2394*('Model Data Inputs'!$E$184*'Model Data Inputs'!$E$185*'Model Data Inputs'!$E$186*'Model Data Inputs'!$E$187),2)</f>
        <v>594.63</v>
      </c>
      <c r="K2394" s="169">
        <f t="shared" si="115"/>
        <v>1419381.81</v>
      </c>
    </row>
    <row r="2395" spans="1:11" x14ac:dyDescent="0.2">
      <c r="A2395" s="168">
        <v>2388</v>
      </c>
      <c r="B2395" s="159">
        <v>594.63366392643309</v>
      </c>
      <c r="C2395" s="169">
        <f t="shared" si="114"/>
        <v>1419985.1894563222</v>
      </c>
      <c r="I2395" s="168">
        <v>2388</v>
      </c>
      <c r="J2395" s="159">
        <f>ROUND(B2395*('Model Data Inputs'!$E$184*'Model Data Inputs'!$E$185*'Model Data Inputs'!$E$186*'Model Data Inputs'!$E$187),2)</f>
        <v>594.63</v>
      </c>
      <c r="K2395" s="169">
        <f t="shared" si="115"/>
        <v>1419976.44</v>
      </c>
    </row>
    <row r="2396" spans="1:11" x14ac:dyDescent="0.2">
      <c r="A2396" s="168">
        <v>2389</v>
      </c>
      <c r="B2396" s="159">
        <v>594.63366392643309</v>
      </c>
      <c r="C2396" s="169">
        <f t="shared" si="114"/>
        <v>1420579.8231202487</v>
      </c>
      <c r="I2396" s="168">
        <v>2389</v>
      </c>
      <c r="J2396" s="159">
        <f>ROUND(B2396*('Model Data Inputs'!$E$184*'Model Data Inputs'!$E$185*'Model Data Inputs'!$E$186*'Model Data Inputs'!$E$187),2)</f>
        <v>594.63</v>
      </c>
      <c r="K2396" s="169">
        <f t="shared" si="115"/>
        <v>1420571.07</v>
      </c>
    </row>
    <row r="2397" spans="1:11" x14ac:dyDescent="0.2">
      <c r="A2397" s="168">
        <v>2390</v>
      </c>
      <c r="B2397" s="159">
        <v>594.63366392643309</v>
      </c>
      <c r="C2397" s="169">
        <f t="shared" si="114"/>
        <v>1421174.456784175</v>
      </c>
      <c r="I2397" s="168">
        <v>2390</v>
      </c>
      <c r="J2397" s="159">
        <f>ROUND(B2397*('Model Data Inputs'!$E$184*'Model Data Inputs'!$E$185*'Model Data Inputs'!$E$186*'Model Data Inputs'!$E$187),2)</f>
        <v>594.63</v>
      </c>
      <c r="K2397" s="169">
        <f t="shared" si="115"/>
        <v>1421165.7</v>
      </c>
    </row>
    <row r="2398" spans="1:11" x14ac:dyDescent="0.2">
      <c r="A2398" s="168">
        <v>2391</v>
      </c>
      <c r="B2398" s="159">
        <v>594.63366392643309</v>
      </c>
      <c r="C2398" s="169">
        <f t="shared" si="114"/>
        <v>1421769.0904481015</v>
      </c>
      <c r="I2398" s="168">
        <v>2391</v>
      </c>
      <c r="J2398" s="159">
        <f>ROUND(B2398*('Model Data Inputs'!$E$184*'Model Data Inputs'!$E$185*'Model Data Inputs'!$E$186*'Model Data Inputs'!$E$187),2)</f>
        <v>594.63</v>
      </c>
      <c r="K2398" s="169">
        <f t="shared" si="115"/>
        <v>1421760.33</v>
      </c>
    </row>
    <row r="2399" spans="1:11" x14ac:dyDescent="0.2">
      <c r="A2399" s="168">
        <v>2392</v>
      </c>
      <c r="B2399" s="159">
        <v>594.63366392643309</v>
      </c>
      <c r="C2399" s="169">
        <f t="shared" si="114"/>
        <v>1422363.724112028</v>
      </c>
      <c r="I2399" s="168">
        <v>2392</v>
      </c>
      <c r="J2399" s="159">
        <f>ROUND(B2399*('Model Data Inputs'!$E$184*'Model Data Inputs'!$E$185*'Model Data Inputs'!$E$186*'Model Data Inputs'!$E$187),2)</f>
        <v>594.63</v>
      </c>
      <c r="K2399" s="169">
        <f t="shared" si="115"/>
        <v>1422354.96</v>
      </c>
    </row>
    <row r="2400" spans="1:11" x14ac:dyDescent="0.2">
      <c r="A2400" s="168">
        <v>2393</v>
      </c>
      <c r="B2400" s="159">
        <v>594.63366392643309</v>
      </c>
      <c r="C2400" s="169">
        <f t="shared" si="114"/>
        <v>1422958.3577759543</v>
      </c>
      <c r="I2400" s="168">
        <v>2393</v>
      </c>
      <c r="J2400" s="159">
        <f>ROUND(B2400*('Model Data Inputs'!$E$184*'Model Data Inputs'!$E$185*'Model Data Inputs'!$E$186*'Model Data Inputs'!$E$187),2)</f>
        <v>594.63</v>
      </c>
      <c r="K2400" s="169">
        <f t="shared" si="115"/>
        <v>1422949.59</v>
      </c>
    </row>
    <row r="2401" spans="1:11" x14ac:dyDescent="0.2">
      <c r="A2401" s="168">
        <v>2394</v>
      </c>
      <c r="B2401" s="159">
        <v>594.63366392643309</v>
      </c>
      <c r="C2401" s="169">
        <f t="shared" si="114"/>
        <v>1423552.9914398808</v>
      </c>
      <c r="I2401" s="168">
        <v>2394</v>
      </c>
      <c r="J2401" s="159">
        <f>ROUND(B2401*('Model Data Inputs'!$E$184*'Model Data Inputs'!$E$185*'Model Data Inputs'!$E$186*'Model Data Inputs'!$E$187),2)</f>
        <v>594.63</v>
      </c>
      <c r="K2401" s="169">
        <f t="shared" si="115"/>
        <v>1423544.22</v>
      </c>
    </row>
    <row r="2402" spans="1:11" x14ac:dyDescent="0.2">
      <c r="A2402" s="168">
        <v>2395</v>
      </c>
      <c r="B2402" s="159">
        <v>594.63366392643309</v>
      </c>
      <c r="C2402" s="169">
        <f t="shared" si="114"/>
        <v>1424147.6251038073</v>
      </c>
      <c r="I2402" s="168">
        <v>2395</v>
      </c>
      <c r="J2402" s="159">
        <f>ROUND(B2402*('Model Data Inputs'!$E$184*'Model Data Inputs'!$E$185*'Model Data Inputs'!$E$186*'Model Data Inputs'!$E$187),2)</f>
        <v>594.63</v>
      </c>
      <c r="K2402" s="169">
        <f t="shared" si="115"/>
        <v>1424138.85</v>
      </c>
    </row>
    <row r="2403" spans="1:11" x14ac:dyDescent="0.2">
      <c r="A2403" s="168">
        <v>2396</v>
      </c>
      <c r="B2403" s="159">
        <v>594.63366392643309</v>
      </c>
      <c r="C2403" s="169">
        <f t="shared" si="114"/>
        <v>1424742.2587677336</v>
      </c>
      <c r="I2403" s="168">
        <v>2396</v>
      </c>
      <c r="J2403" s="159">
        <f>ROUND(B2403*('Model Data Inputs'!$E$184*'Model Data Inputs'!$E$185*'Model Data Inputs'!$E$186*'Model Data Inputs'!$E$187),2)</f>
        <v>594.63</v>
      </c>
      <c r="K2403" s="169">
        <f t="shared" si="115"/>
        <v>1424733.48</v>
      </c>
    </row>
    <row r="2404" spans="1:11" x14ac:dyDescent="0.2">
      <c r="A2404" s="168">
        <v>2397</v>
      </c>
      <c r="B2404" s="159">
        <v>594.63366392643309</v>
      </c>
      <c r="C2404" s="169">
        <f t="shared" si="114"/>
        <v>1425336.8924316601</v>
      </c>
      <c r="I2404" s="168">
        <v>2397</v>
      </c>
      <c r="J2404" s="159">
        <f>ROUND(B2404*('Model Data Inputs'!$E$184*'Model Data Inputs'!$E$185*'Model Data Inputs'!$E$186*'Model Data Inputs'!$E$187),2)</f>
        <v>594.63</v>
      </c>
      <c r="K2404" s="169">
        <f t="shared" si="115"/>
        <v>1425328.11</v>
      </c>
    </row>
    <row r="2405" spans="1:11" x14ac:dyDescent="0.2">
      <c r="A2405" s="168">
        <v>2398</v>
      </c>
      <c r="B2405" s="159">
        <v>594.63366392643309</v>
      </c>
      <c r="C2405" s="169">
        <f t="shared" si="114"/>
        <v>1425931.5260955866</v>
      </c>
      <c r="I2405" s="168">
        <v>2398</v>
      </c>
      <c r="J2405" s="159">
        <f>ROUND(B2405*('Model Data Inputs'!$E$184*'Model Data Inputs'!$E$185*'Model Data Inputs'!$E$186*'Model Data Inputs'!$E$187),2)</f>
        <v>594.63</v>
      </c>
      <c r="K2405" s="169">
        <f t="shared" si="115"/>
        <v>1425922.74</v>
      </c>
    </row>
    <row r="2406" spans="1:11" x14ac:dyDescent="0.2">
      <c r="A2406" s="168">
        <v>2399</v>
      </c>
      <c r="B2406" s="159">
        <v>594.63366392643309</v>
      </c>
      <c r="C2406" s="169">
        <f t="shared" si="114"/>
        <v>1426526.1597595129</v>
      </c>
      <c r="I2406" s="168">
        <v>2399</v>
      </c>
      <c r="J2406" s="159">
        <f>ROUND(B2406*('Model Data Inputs'!$E$184*'Model Data Inputs'!$E$185*'Model Data Inputs'!$E$186*'Model Data Inputs'!$E$187),2)</f>
        <v>594.63</v>
      </c>
      <c r="K2406" s="169">
        <f t="shared" si="115"/>
        <v>1426517.3699999999</v>
      </c>
    </row>
    <row r="2407" spans="1:11" x14ac:dyDescent="0.2">
      <c r="A2407" s="168">
        <v>2400</v>
      </c>
      <c r="B2407" s="159">
        <v>594.63366392643309</v>
      </c>
      <c r="C2407" s="169">
        <f t="shared" si="114"/>
        <v>1427120.7934234394</v>
      </c>
      <c r="I2407" s="168">
        <v>2400</v>
      </c>
      <c r="J2407" s="159">
        <f>ROUND(B2407*('Model Data Inputs'!$E$184*'Model Data Inputs'!$E$185*'Model Data Inputs'!$E$186*'Model Data Inputs'!$E$187),2)</f>
        <v>594.63</v>
      </c>
      <c r="K2407" s="169">
        <f t="shared" si="115"/>
        <v>1427112</v>
      </c>
    </row>
    <row r="2408" spans="1:11" x14ac:dyDescent="0.2">
      <c r="A2408" s="168">
        <v>2401</v>
      </c>
      <c r="B2408" s="159">
        <v>594.63366392643309</v>
      </c>
      <c r="C2408" s="169">
        <f t="shared" si="114"/>
        <v>1427715.4270873659</v>
      </c>
      <c r="I2408" s="168">
        <v>2401</v>
      </c>
      <c r="J2408" s="159">
        <f>ROUND(B2408*('Model Data Inputs'!$E$184*'Model Data Inputs'!$E$185*'Model Data Inputs'!$E$186*'Model Data Inputs'!$E$187),2)</f>
        <v>594.63</v>
      </c>
      <c r="K2408" s="169">
        <f t="shared" si="115"/>
        <v>1427706.63</v>
      </c>
    </row>
    <row r="2409" spans="1:11" x14ac:dyDescent="0.2">
      <c r="A2409" s="168">
        <v>2402</v>
      </c>
      <c r="B2409" s="159">
        <v>594.63366392643309</v>
      </c>
      <c r="C2409" s="169">
        <f t="shared" si="114"/>
        <v>1428310.0607512924</v>
      </c>
      <c r="I2409" s="168">
        <v>2402</v>
      </c>
      <c r="J2409" s="159">
        <f>ROUND(B2409*('Model Data Inputs'!$E$184*'Model Data Inputs'!$E$185*'Model Data Inputs'!$E$186*'Model Data Inputs'!$E$187),2)</f>
        <v>594.63</v>
      </c>
      <c r="K2409" s="169">
        <f t="shared" si="115"/>
        <v>1428301.26</v>
      </c>
    </row>
    <row r="2410" spans="1:11" x14ac:dyDescent="0.2">
      <c r="A2410" s="168">
        <v>2403</v>
      </c>
      <c r="B2410" s="159">
        <v>594.63366392643309</v>
      </c>
      <c r="C2410" s="169">
        <f t="shared" si="114"/>
        <v>1428904.6944152187</v>
      </c>
      <c r="I2410" s="168">
        <v>2403</v>
      </c>
      <c r="J2410" s="159">
        <f>ROUND(B2410*('Model Data Inputs'!$E$184*'Model Data Inputs'!$E$185*'Model Data Inputs'!$E$186*'Model Data Inputs'!$E$187),2)</f>
        <v>594.63</v>
      </c>
      <c r="K2410" s="169">
        <f t="shared" si="115"/>
        <v>1428895.89</v>
      </c>
    </row>
    <row r="2411" spans="1:11" x14ac:dyDescent="0.2">
      <c r="A2411" s="168">
        <v>2404</v>
      </c>
      <c r="B2411" s="159">
        <v>594.63366392643309</v>
      </c>
      <c r="C2411" s="169">
        <f t="shared" si="114"/>
        <v>1429499.3280791452</v>
      </c>
      <c r="I2411" s="168">
        <v>2404</v>
      </c>
      <c r="J2411" s="159">
        <f>ROUND(B2411*('Model Data Inputs'!$E$184*'Model Data Inputs'!$E$185*'Model Data Inputs'!$E$186*'Model Data Inputs'!$E$187),2)</f>
        <v>594.63</v>
      </c>
      <c r="K2411" s="169">
        <f t="shared" si="115"/>
        <v>1429490.52</v>
      </c>
    </row>
    <row r="2412" spans="1:11" x14ac:dyDescent="0.2">
      <c r="A2412" s="168">
        <v>2405</v>
      </c>
      <c r="B2412" s="159">
        <v>594.63366392643309</v>
      </c>
      <c r="C2412" s="169">
        <f t="shared" si="114"/>
        <v>1430093.9617430717</v>
      </c>
      <c r="I2412" s="168">
        <v>2405</v>
      </c>
      <c r="J2412" s="159">
        <f>ROUND(B2412*('Model Data Inputs'!$E$184*'Model Data Inputs'!$E$185*'Model Data Inputs'!$E$186*'Model Data Inputs'!$E$187),2)</f>
        <v>594.63</v>
      </c>
      <c r="K2412" s="169">
        <f t="shared" si="115"/>
        <v>1430085.15</v>
      </c>
    </row>
    <row r="2413" spans="1:11" x14ac:dyDescent="0.2">
      <c r="A2413" s="168">
        <v>2406</v>
      </c>
      <c r="B2413" s="159">
        <v>594.63366392643309</v>
      </c>
      <c r="C2413" s="169">
        <f t="shared" si="114"/>
        <v>1430688.5954069979</v>
      </c>
      <c r="I2413" s="168">
        <v>2406</v>
      </c>
      <c r="J2413" s="159">
        <f>ROUND(B2413*('Model Data Inputs'!$E$184*'Model Data Inputs'!$E$185*'Model Data Inputs'!$E$186*'Model Data Inputs'!$E$187),2)</f>
        <v>594.63</v>
      </c>
      <c r="K2413" s="169">
        <f t="shared" si="115"/>
        <v>1430679.78</v>
      </c>
    </row>
    <row r="2414" spans="1:11" x14ac:dyDescent="0.2">
      <c r="A2414" s="168">
        <v>2407</v>
      </c>
      <c r="B2414" s="159">
        <v>594.63366392643309</v>
      </c>
      <c r="C2414" s="169">
        <f t="shared" si="114"/>
        <v>1431283.2290709245</v>
      </c>
      <c r="I2414" s="168">
        <v>2407</v>
      </c>
      <c r="J2414" s="159">
        <f>ROUND(B2414*('Model Data Inputs'!$E$184*'Model Data Inputs'!$E$185*'Model Data Inputs'!$E$186*'Model Data Inputs'!$E$187),2)</f>
        <v>594.63</v>
      </c>
      <c r="K2414" s="169">
        <f t="shared" si="115"/>
        <v>1431274.41</v>
      </c>
    </row>
    <row r="2415" spans="1:11" x14ac:dyDescent="0.2">
      <c r="A2415" s="168">
        <v>2408</v>
      </c>
      <c r="B2415" s="159">
        <v>594.63366392643309</v>
      </c>
      <c r="C2415" s="169">
        <f t="shared" si="114"/>
        <v>1431877.862734851</v>
      </c>
      <c r="I2415" s="168">
        <v>2408</v>
      </c>
      <c r="J2415" s="159">
        <f>ROUND(B2415*('Model Data Inputs'!$E$184*'Model Data Inputs'!$E$185*'Model Data Inputs'!$E$186*'Model Data Inputs'!$E$187),2)</f>
        <v>594.63</v>
      </c>
      <c r="K2415" s="169">
        <f t="shared" si="115"/>
        <v>1431869.04</v>
      </c>
    </row>
    <row r="2416" spans="1:11" x14ac:dyDescent="0.2">
      <c r="A2416" s="168">
        <v>2409</v>
      </c>
      <c r="B2416" s="159">
        <v>594.63366392643309</v>
      </c>
      <c r="C2416" s="169">
        <f t="shared" si="114"/>
        <v>1432472.4963987772</v>
      </c>
      <c r="I2416" s="168">
        <v>2409</v>
      </c>
      <c r="J2416" s="159">
        <f>ROUND(B2416*('Model Data Inputs'!$E$184*'Model Data Inputs'!$E$185*'Model Data Inputs'!$E$186*'Model Data Inputs'!$E$187),2)</f>
        <v>594.63</v>
      </c>
      <c r="K2416" s="169">
        <f t="shared" si="115"/>
        <v>1432463.67</v>
      </c>
    </row>
    <row r="2417" spans="1:11" x14ac:dyDescent="0.2">
      <c r="A2417" s="168">
        <v>2410</v>
      </c>
      <c r="B2417" s="159">
        <v>594.63366392643309</v>
      </c>
      <c r="C2417" s="169">
        <f t="shared" si="114"/>
        <v>1433067.1300627037</v>
      </c>
      <c r="I2417" s="168">
        <v>2410</v>
      </c>
      <c r="J2417" s="159">
        <f>ROUND(B2417*('Model Data Inputs'!$E$184*'Model Data Inputs'!$E$185*'Model Data Inputs'!$E$186*'Model Data Inputs'!$E$187),2)</f>
        <v>594.63</v>
      </c>
      <c r="K2417" s="169">
        <f t="shared" si="115"/>
        <v>1433058.3</v>
      </c>
    </row>
    <row r="2418" spans="1:11" x14ac:dyDescent="0.2">
      <c r="A2418" s="168">
        <v>2411</v>
      </c>
      <c r="B2418" s="159">
        <v>594.63366392643309</v>
      </c>
      <c r="C2418" s="169">
        <f t="shared" si="114"/>
        <v>1433661.7637266302</v>
      </c>
      <c r="I2418" s="168">
        <v>2411</v>
      </c>
      <c r="J2418" s="159">
        <f>ROUND(B2418*('Model Data Inputs'!$E$184*'Model Data Inputs'!$E$185*'Model Data Inputs'!$E$186*'Model Data Inputs'!$E$187),2)</f>
        <v>594.63</v>
      </c>
      <c r="K2418" s="169">
        <f t="shared" si="115"/>
        <v>1433652.93</v>
      </c>
    </row>
    <row r="2419" spans="1:11" x14ac:dyDescent="0.2">
      <c r="A2419" s="168">
        <v>2412</v>
      </c>
      <c r="B2419" s="159">
        <v>594.63366392643309</v>
      </c>
      <c r="C2419" s="169">
        <f t="shared" si="114"/>
        <v>1434256.3973905565</v>
      </c>
      <c r="I2419" s="168">
        <v>2412</v>
      </c>
      <c r="J2419" s="159">
        <f>ROUND(B2419*('Model Data Inputs'!$E$184*'Model Data Inputs'!$E$185*'Model Data Inputs'!$E$186*'Model Data Inputs'!$E$187),2)</f>
        <v>594.63</v>
      </c>
      <c r="K2419" s="169">
        <f t="shared" si="115"/>
        <v>1434247.56</v>
      </c>
    </row>
    <row r="2420" spans="1:11" x14ac:dyDescent="0.2">
      <c r="A2420" s="168">
        <v>2413</v>
      </c>
      <c r="B2420" s="159">
        <v>594.63366392643309</v>
      </c>
      <c r="C2420" s="169">
        <f t="shared" si="114"/>
        <v>1434851.031054483</v>
      </c>
      <c r="I2420" s="168">
        <v>2413</v>
      </c>
      <c r="J2420" s="159">
        <f>ROUND(B2420*('Model Data Inputs'!$E$184*'Model Data Inputs'!$E$185*'Model Data Inputs'!$E$186*'Model Data Inputs'!$E$187),2)</f>
        <v>594.63</v>
      </c>
      <c r="K2420" s="169">
        <f t="shared" si="115"/>
        <v>1434842.19</v>
      </c>
    </row>
    <row r="2421" spans="1:11" x14ac:dyDescent="0.2">
      <c r="A2421" s="168">
        <v>2414</v>
      </c>
      <c r="B2421" s="159">
        <v>594.63366392643309</v>
      </c>
      <c r="C2421" s="169">
        <f t="shared" si="114"/>
        <v>1435445.6647184095</v>
      </c>
      <c r="I2421" s="168">
        <v>2414</v>
      </c>
      <c r="J2421" s="159">
        <f>ROUND(B2421*('Model Data Inputs'!$E$184*'Model Data Inputs'!$E$185*'Model Data Inputs'!$E$186*'Model Data Inputs'!$E$187),2)</f>
        <v>594.63</v>
      </c>
      <c r="K2421" s="169">
        <f t="shared" si="115"/>
        <v>1435436.82</v>
      </c>
    </row>
    <row r="2422" spans="1:11" x14ac:dyDescent="0.2">
      <c r="A2422" s="168">
        <v>2415</v>
      </c>
      <c r="B2422" s="159">
        <v>594.63366392643309</v>
      </c>
      <c r="C2422" s="169">
        <f t="shared" si="114"/>
        <v>1436040.2983823358</v>
      </c>
      <c r="I2422" s="168">
        <v>2415</v>
      </c>
      <c r="J2422" s="159">
        <f>ROUND(B2422*('Model Data Inputs'!$E$184*'Model Data Inputs'!$E$185*'Model Data Inputs'!$E$186*'Model Data Inputs'!$E$187),2)</f>
        <v>594.63</v>
      </c>
      <c r="K2422" s="169">
        <f t="shared" si="115"/>
        <v>1436031.45</v>
      </c>
    </row>
    <row r="2423" spans="1:11" x14ac:dyDescent="0.2">
      <c r="A2423" s="168">
        <v>2416</v>
      </c>
      <c r="B2423" s="159">
        <v>594.63366392643309</v>
      </c>
      <c r="C2423" s="169">
        <f t="shared" si="114"/>
        <v>1436634.9320462623</v>
      </c>
      <c r="I2423" s="168">
        <v>2416</v>
      </c>
      <c r="J2423" s="159">
        <f>ROUND(B2423*('Model Data Inputs'!$E$184*'Model Data Inputs'!$E$185*'Model Data Inputs'!$E$186*'Model Data Inputs'!$E$187),2)</f>
        <v>594.63</v>
      </c>
      <c r="K2423" s="169">
        <f t="shared" si="115"/>
        <v>1436626.08</v>
      </c>
    </row>
    <row r="2424" spans="1:11" x14ac:dyDescent="0.2">
      <c r="A2424" s="168">
        <v>2417</v>
      </c>
      <c r="B2424" s="159">
        <v>594.63366392643309</v>
      </c>
      <c r="C2424" s="169">
        <f t="shared" si="114"/>
        <v>1437229.5657101888</v>
      </c>
      <c r="I2424" s="168">
        <v>2417</v>
      </c>
      <c r="J2424" s="159">
        <f>ROUND(B2424*('Model Data Inputs'!$E$184*'Model Data Inputs'!$E$185*'Model Data Inputs'!$E$186*'Model Data Inputs'!$E$187),2)</f>
        <v>594.63</v>
      </c>
      <c r="K2424" s="169">
        <f t="shared" si="115"/>
        <v>1437220.71</v>
      </c>
    </row>
    <row r="2425" spans="1:11" x14ac:dyDescent="0.2">
      <c r="A2425" s="168">
        <v>2418</v>
      </c>
      <c r="B2425" s="159">
        <v>594.63366392643309</v>
      </c>
      <c r="C2425" s="169">
        <f t="shared" si="114"/>
        <v>1437824.1993741151</v>
      </c>
      <c r="I2425" s="168">
        <v>2418</v>
      </c>
      <c r="J2425" s="159">
        <f>ROUND(B2425*('Model Data Inputs'!$E$184*'Model Data Inputs'!$E$185*'Model Data Inputs'!$E$186*'Model Data Inputs'!$E$187),2)</f>
        <v>594.63</v>
      </c>
      <c r="K2425" s="169">
        <f t="shared" si="115"/>
        <v>1437815.34</v>
      </c>
    </row>
    <row r="2426" spans="1:11" x14ac:dyDescent="0.2">
      <c r="A2426" s="168">
        <v>2419</v>
      </c>
      <c r="B2426" s="159">
        <v>594.63366392643309</v>
      </c>
      <c r="C2426" s="169">
        <f t="shared" si="114"/>
        <v>1438418.8330380416</v>
      </c>
      <c r="I2426" s="168">
        <v>2419</v>
      </c>
      <c r="J2426" s="159">
        <f>ROUND(B2426*('Model Data Inputs'!$E$184*'Model Data Inputs'!$E$185*'Model Data Inputs'!$E$186*'Model Data Inputs'!$E$187),2)</f>
        <v>594.63</v>
      </c>
      <c r="K2426" s="169">
        <f t="shared" si="115"/>
        <v>1438409.97</v>
      </c>
    </row>
    <row r="2427" spans="1:11" x14ac:dyDescent="0.2">
      <c r="A2427" s="168">
        <v>2420</v>
      </c>
      <c r="B2427" s="159">
        <v>594.63366392643309</v>
      </c>
      <c r="C2427" s="169">
        <f t="shared" si="114"/>
        <v>1439013.4667019681</v>
      </c>
      <c r="I2427" s="168">
        <v>2420</v>
      </c>
      <c r="J2427" s="159">
        <f>ROUND(B2427*('Model Data Inputs'!$E$184*'Model Data Inputs'!$E$185*'Model Data Inputs'!$E$186*'Model Data Inputs'!$E$187),2)</f>
        <v>594.63</v>
      </c>
      <c r="K2427" s="169">
        <f t="shared" si="115"/>
        <v>1439004.6</v>
      </c>
    </row>
    <row r="2428" spans="1:11" x14ac:dyDescent="0.2">
      <c r="A2428" s="168">
        <v>2421</v>
      </c>
      <c r="B2428" s="159">
        <v>594.63366392643309</v>
      </c>
      <c r="C2428" s="169">
        <f t="shared" si="114"/>
        <v>1439608.1003658946</v>
      </c>
      <c r="I2428" s="168">
        <v>2421</v>
      </c>
      <c r="J2428" s="159">
        <f>ROUND(B2428*('Model Data Inputs'!$E$184*'Model Data Inputs'!$E$185*'Model Data Inputs'!$E$186*'Model Data Inputs'!$E$187),2)</f>
        <v>594.63</v>
      </c>
      <c r="K2428" s="169">
        <f t="shared" si="115"/>
        <v>1439599.23</v>
      </c>
    </row>
    <row r="2429" spans="1:11" x14ac:dyDescent="0.2">
      <c r="A2429" s="168">
        <v>2422</v>
      </c>
      <c r="B2429" s="159">
        <v>594.63366392643309</v>
      </c>
      <c r="C2429" s="169">
        <f t="shared" si="114"/>
        <v>1440202.7340298209</v>
      </c>
      <c r="I2429" s="168">
        <v>2422</v>
      </c>
      <c r="J2429" s="159">
        <f>ROUND(B2429*('Model Data Inputs'!$E$184*'Model Data Inputs'!$E$185*'Model Data Inputs'!$E$186*'Model Data Inputs'!$E$187),2)</f>
        <v>594.63</v>
      </c>
      <c r="K2429" s="169">
        <f t="shared" si="115"/>
        <v>1440193.86</v>
      </c>
    </row>
    <row r="2430" spans="1:11" x14ac:dyDescent="0.2">
      <c r="A2430" s="168">
        <v>2423</v>
      </c>
      <c r="B2430" s="159">
        <v>594.63366392643309</v>
      </c>
      <c r="C2430" s="169">
        <f t="shared" si="114"/>
        <v>1440797.3676937474</v>
      </c>
      <c r="I2430" s="168">
        <v>2423</v>
      </c>
      <c r="J2430" s="159">
        <f>ROUND(B2430*('Model Data Inputs'!$E$184*'Model Data Inputs'!$E$185*'Model Data Inputs'!$E$186*'Model Data Inputs'!$E$187),2)</f>
        <v>594.63</v>
      </c>
      <c r="K2430" s="169">
        <f t="shared" si="115"/>
        <v>1440788.49</v>
      </c>
    </row>
    <row r="2431" spans="1:11" x14ac:dyDescent="0.2">
      <c r="A2431" s="168">
        <v>2424</v>
      </c>
      <c r="B2431" s="159">
        <v>594.63366392643309</v>
      </c>
      <c r="C2431" s="169">
        <f t="shared" si="114"/>
        <v>1441392.0013576739</v>
      </c>
      <c r="I2431" s="168">
        <v>2424</v>
      </c>
      <c r="J2431" s="159">
        <f>ROUND(B2431*('Model Data Inputs'!$E$184*'Model Data Inputs'!$E$185*'Model Data Inputs'!$E$186*'Model Data Inputs'!$E$187),2)</f>
        <v>594.63</v>
      </c>
      <c r="K2431" s="169">
        <f t="shared" si="115"/>
        <v>1441383.1199999999</v>
      </c>
    </row>
    <row r="2432" spans="1:11" x14ac:dyDescent="0.2">
      <c r="A2432" s="168">
        <v>2425</v>
      </c>
      <c r="B2432" s="159">
        <v>594.63366392643309</v>
      </c>
      <c r="C2432" s="169">
        <f t="shared" si="114"/>
        <v>1441986.6350216002</v>
      </c>
      <c r="I2432" s="168">
        <v>2425</v>
      </c>
      <c r="J2432" s="159">
        <f>ROUND(B2432*('Model Data Inputs'!$E$184*'Model Data Inputs'!$E$185*'Model Data Inputs'!$E$186*'Model Data Inputs'!$E$187),2)</f>
        <v>594.63</v>
      </c>
      <c r="K2432" s="169">
        <f t="shared" si="115"/>
        <v>1441977.75</v>
      </c>
    </row>
    <row r="2433" spans="1:11" x14ac:dyDescent="0.2">
      <c r="A2433" s="168">
        <v>2426</v>
      </c>
      <c r="B2433" s="159">
        <v>594.63366392643309</v>
      </c>
      <c r="C2433" s="169">
        <f t="shared" si="114"/>
        <v>1442581.2686855267</v>
      </c>
      <c r="I2433" s="168">
        <v>2426</v>
      </c>
      <c r="J2433" s="159">
        <f>ROUND(B2433*('Model Data Inputs'!$E$184*'Model Data Inputs'!$E$185*'Model Data Inputs'!$E$186*'Model Data Inputs'!$E$187),2)</f>
        <v>594.63</v>
      </c>
      <c r="K2433" s="169">
        <f t="shared" si="115"/>
        <v>1442572.38</v>
      </c>
    </row>
    <row r="2434" spans="1:11" x14ac:dyDescent="0.2">
      <c r="A2434" s="168">
        <v>2427</v>
      </c>
      <c r="B2434" s="159">
        <v>594.63366392643309</v>
      </c>
      <c r="C2434" s="169">
        <f t="shared" si="114"/>
        <v>1443175.9023494532</v>
      </c>
      <c r="I2434" s="168">
        <v>2427</v>
      </c>
      <c r="J2434" s="159">
        <f>ROUND(B2434*('Model Data Inputs'!$E$184*'Model Data Inputs'!$E$185*'Model Data Inputs'!$E$186*'Model Data Inputs'!$E$187),2)</f>
        <v>594.63</v>
      </c>
      <c r="K2434" s="169">
        <f t="shared" si="115"/>
        <v>1443167.01</v>
      </c>
    </row>
    <row r="2435" spans="1:11" x14ac:dyDescent="0.2">
      <c r="A2435" s="168">
        <v>2428</v>
      </c>
      <c r="B2435" s="159">
        <v>594.63366392643309</v>
      </c>
      <c r="C2435" s="169">
        <f t="shared" si="114"/>
        <v>1443770.5360133795</v>
      </c>
      <c r="I2435" s="168">
        <v>2428</v>
      </c>
      <c r="J2435" s="159">
        <f>ROUND(B2435*('Model Data Inputs'!$E$184*'Model Data Inputs'!$E$185*'Model Data Inputs'!$E$186*'Model Data Inputs'!$E$187),2)</f>
        <v>594.63</v>
      </c>
      <c r="K2435" s="169">
        <f t="shared" si="115"/>
        <v>1443761.64</v>
      </c>
    </row>
    <row r="2436" spans="1:11" x14ac:dyDescent="0.2">
      <c r="A2436" s="168">
        <v>2429</v>
      </c>
      <c r="B2436" s="159">
        <v>594.63366392643309</v>
      </c>
      <c r="C2436" s="169">
        <f t="shared" si="114"/>
        <v>1444365.169677306</v>
      </c>
      <c r="I2436" s="168">
        <v>2429</v>
      </c>
      <c r="J2436" s="159">
        <f>ROUND(B2436*('Model Data Inputs'!$E$184*'Model Data Inputs'!$E$185*'Model Data Inputs'!$E$186*'Model Data Inputs'!$E$187),2)</f>
        <v>594.63</v>
      </c>
      <c r="K2436" s="169">
        <f t="shared" si="115"/>
        <v>1444356.27</v>
      </c>
    </row>
    <row r="2437" spans="1:11" x14ac:dyDescent="0.2">
      <c r="A2437" s="168">
        <v>2430</v>
      </c>
      <c r="B2437" s="159">
        <v>594.63366392643309</v>
      </c>
      <c r="C2437" s="169">
        <f t="shared" si="114"/>
        <v>1444959.8033412325</v>
      </c>
      <c r="I2437" s="168">
        <v>2430</v>
      </c>
      <c r="J2437" s="159">
        <f>ROUND(B2437*('Model Data Inputs'!$E$184*'Model Data Inputs'!$E$185*'Model Data Inputs'!$E$186*'Model Data Inputs'!$E$187),2)</f>
        <v>594.63</v>
      </c>
      <c r="K2437" s="169">
        <f t="shared" si="115"/>
        <v>1444950.9</v>
      </c>
    </row>
    <row r="2438" spans="1:11" x14ac:dyDescent="0.2">
      <c r="A2438" s="168">
        <v>2431</v>
      </c>
      <c r="B2438" s="159">
        <v>594.63366392643309</v>
      </c>
      <c r="C2438" s="169">
        <f t="shared" si="114"/>
        <v>1445554.4370051587</v>
      </c>
      <c r="I2438" s="168">
        <v>2431</v>
      </c>
      <c r="J2438" s="159">
        <f>ROUND(B2438*('Model Data Inputs'!$E$184*'Model Data Inputs'!$E$185*'Model Data Inputs'!$E$186*'Model Data Inputs'!$E$187),2)</f>
        <v>594.63</v>
      </c>
      <c r="K2438" s="169">
        <f t="shared" si="115"/>
        <v>1445545.53</v>
      </c>
    </row>
    <row r="2439" spans="1:11" x14ac:dyDescent="0.2">
      <c r="A2439" s="168">
        <v>2432</v>
      </c>
      <c r="B2439" s="159">
        <v>594.63366392643309</v>
      </c>
      <c r="C2439" s="169">
        <f t="shared" si="114"/>
        <v>1446149.0706690853</v>
      </c>
      <c r="I2439" s="168">
        <v>2432</v>
      </c>
      <c r="J2439" s="159">
        <f>ROUND(B2439*('Model Data Inputs'!$E$184*'Model Data Inputs'!$E$185*'Model Data Inputs'!$E$186*'Model Data Inputs'!$E$187),2)</f>
        <v>594.63</v>
      </c>
      <c r="K2439" s="169">
        <f t="shared" si="115"/>
        <v>1446140.16</v>
      </c>
    </row>
    <row r="2440" spans="1:11" x14ac:dyDescent="0.2">
      <c r="A2440" s="168">
        <v>2433</v>
      </c>
      <c r="B2440" s="159">
        <v>594.63366392643309</v>
      </c>
      <c r="C2440" s="169">
        <f t="shared" ref="C2440:C2503" si="116">A2440*B2440</f>
        <v>1446743.7043330118</v>
      </c>
      <c r="I2440" s="168">
        <v>2433</v>
      </c>
      <c r="J2440" s="159">
        <f>ROUND(B2440*('Model Data Inputs'!$E$184*'Model Data Inputs'!$E$185*'Model Data Inputs'!$E$186*'Model Data Inputs'!$E$187),2)</f>
        <v>594.63</v>
      </c>
      <c r="K2440" s="169">
        <f t="shared" ref="K2440:K2503" si="117">I2440*J2440</f>
        <v>1446734.79</v>
      </c>
    </row>
    <row r="2441" spans="1:11" x14ac:dyDescent="0.2">
      <c r="A2441" s="168">
        <v>2434</v>
      </c>
      <c r="B2441" s="159">
        <v>594.63366392643309</v>
      </c>
      <c r="C2441" s="169">
        <f t="shared" si="116"/>
        <v>1447338.337996938</v>
      </c>
      <c r="I2441" s="168">
        <v>2434</v>
      </c>
      <c r="J2441" s="159">
        <f>ROUND(B2441*('Model Data Inputs'!$E$184*'Model Data Inputs'!$E$185*'Model Data Inputs'!$E$186*'Model Data Inputs'!$E$187),2)</f>
        <v>594.63</v>
      </c>
      <c r="K2441" s="169">
        <f t="shared" si="117"/>
        <v>1447329.42</v>
      </c>
    </row>
    <row r="2442" spans="1:11" x14ac:dyDescent="0.2">
      <c r="A2442" s="168">
        <v>2435</v>
      </c>
      <c r="B2442" s="159">
        <v>594.63366392643309</v>
      </c>
      <c r="C2442" s="169">
        <f t="shared" si="116"/>
        <v>1447932.9716608645</v>
      </c>
      <c r="I2442" s="168">
        <v>2435</v>
      </c>
      <c r="J2442" s="159">
        <f>ROUND(B2442*('Model Data Inputs'!$E$184*'Model Data Inputs'!$E$185*'Model Data Inputs'!$E$186*'Model Data Inputs'!$E$187),2)</f>
        <v>594.63</v>
      </c>
      <c r="K2442" s="169">
        <f t="shared" si="117"/>
        <v>1447924.05</v>
      </c>
    </row>
    <row r="2443" spans="1:11" x14ac:dyDescent="0.2">
      <c r="A2443" s="168">
        <v>2436</v>
      </c>
      <c r="B2443" s="159">
        <v>594.63366392643309</v>
      </c>
      <c r="C2443" s="169">
        <f t="shared" si="116"/>
        <v>1448527.605324791</v>
      </c>
      <c r="I2443" s="168">
        <v>2436</v>
      </c>
      <c r="J2443" s="159">
        <f>ROUND(B2443*('Model Data Inputs'!$E$184*'Model Data Inputs'!$E$185*'Model Data Inputs'!$E$186*'Model Data Inputs'!$E$187),2)</f>
        <v>594.63</v>
      </c>
      <c r="K2443" s="169">
        <f t="shared" si="117"/>
        <v>1448518.68</v>
      </c>
    </row>
    <row r="2444" spans="1:11" x14ac:dyDescent="0.2">
      <c r="A2444" s="168">
        <v>2437</v>
      </c>
      <c r="B2444" s="159">
        <v>594.63366392643309</v>
      </c>
      <c r="C2444" s="169">
        <f t="shared" si="116"/>
        <v>1449122.2389887173</v>
      </c>
      <c r="I2444" s="168">
        <v>2437</v>
      </c>
      <c r="J2444" s="159">
        <f>ROUND(B2444*('Model Data Inputs'!$E$184*'Model Data Inputs'!$E$185*'Model Data Inputs'!$E$186*'Model Data Inputs'!$E$187),2)</f>
        <v>594.63</v>
      </c>
      <c r="K2444" s="169">
        <f t="shared" si="117"/>
        <v>1449113.31</v>
      </c>
    </row>
    <row r="2445" spans="1:11" x14ac:dyDescent="0.2">
      <c r="A2445" s="168">
        <v>2438</v>
      </c>
      <c r="B2445" s="159">
        <v>594.63366392643309</v>
      </c>
      <c r="C2445" s="169">
        <f t="shared" si="116"/>
        <v>1449716.8726526438</v>
      </c>
      <c r="I2445" s="168">
        <v>2438</v>
      </c>
      <c r="J2445" s="159">
        <f>ROUND(B2445*('Model Data Inputs'!$E$184*'Model Data Inputs'!$E$185*'Model Data Inputs'!$E$186*'Model Data Inputs'!$E$187),2)</f>
        <v>594.63</v>
      </c>
      <c r="K2445" s="169">
        <f t="shared" si="117"/>
        <v>1449707.94</v>
      </c>
    </row>
    <row r="2446" spans="1:11" x14ac:dyDescent="0.2">
      <c r="A2446" s="168">
        <v>2439</v>
      </c>
      <c r="B2446" s="159">
        <v>594.63366392643309</v>
      </c>
      <c r="C2446" s="169">
        <f t="shared" si="116"/>
        <v>1450311.5063165703</v>
      </c>
      <c r="I2446" s="168">
        <v>2439</v>
      </c>
      <c r="J2446" s="159">
        <f>ROUND(B2446*('Model Data Inputs'!$E$184*'Model Data Inputs'!$E$185*'Model Data Inputs'!$E$186*'Model Data Inputs'!$E$187),2)</f>
        <v>594.63</v>
      </c>
      <c r="K2446" s="169">
        <f t="shared" si="117"/>
        <v>1450302.57</v>
      </c>
    </row>
    <row r="2447" spans="1:11" x14ac:dyDescent="0.2">
      <c r="A2447" s="168">
        <v>2440</v>
      </c>
      <c r="B2447" s="159">
        <v>594.63366392643309</v>
      </c>
      <c r="C2447" s="169">
        <f t="shared" si="116"/>
        <v>1450906.1399804968</v>
      </c>
      <c r="I2447" s="168">
        <v>2440</v>
      </c>
      <c r="J2447" s="159">
        <f>ROUND(B2447*('Model Data Inputs'!$E$184*'Model Data Inputs'!$E$185*'Model Data Inputs'!$E$186*'Model Data Inputs'!$E$187),2)</f>
        <v>594.63</v>
      </c>
      <c r="K2447" s="169">
        <f t="shared" si="117"/>
        <v>1450897.2</v>
      </c>
    </row>
    <row r="2448" spans="1:11" x14ac:dyDescent="0.2">
      <c r="A2448" s="168">
        <v>2441</v>
      </c>
      <c r="B2448" s="159">
        <v>594.63366392643309</v>
      </c>
      <c r="C2448" s="169">
        <f t="shared" si="116"/>
        <v>1451500.7736444231</v>
      </c>
      <c r="I2448" s="168">
        <v>2441</v>
      </c>
      <c r="J2448" s="159">
        <f>ROUND(B2448*('Model Data Inputs'!$E$184*'Model Data Inputs'!$E$185*'Model Data Inputs'!$E$186*'Model Data Inputs'!$E$187),2)</f>
        <v>594.63</v>
      </c>
      <c r="K2448" s="169">
        <f t="shared" si="117"/>
        <v>1451491.83</v>
      </c>
    </row>
    <row r="2449" spans="1:11" x14ac:dyDescent="0.2">
      <c r="A2449" s="168">
        <v>2442</v>
      </c>
      <c r="B2449" s="159">
        <v>594.63366392643309</v>
      </c>
      <c r="C2449" s="169">
        <f t="shared" si="116"/>
        <v>1452095.4073083496</v>
      </c>
      <c r="I2449" s="168">
        <v>2442</v>
      </c>
      <c r="J2449" s="159">
        <f>ROUND(B2449*('Model Data Inputs'!$E$184*'Model Data Inputs'!$E$185*'Model Data Inputs'!$E$186*'Model Data Inputs'!$E$187),2)</f>
        <v>594.63</v>
      </c>
      <c r="K2449" s="169">
        <f t="shared" si="117"/>
        <v>1452086.46</v>
      </c>
    </row>
    <row r="2450" spans="1:11" x14ac:dyDescent="0.2">
      <c r="A2450" s="168">
        <v>2443</v>
      </c>
      <c r="B2450" s="159">
        <v>594.63366392643309</v>
      </c>
      <c r="C2450" s="169">
        <f t="shared" si="116"/>
        <v>1452690.0409722761</v>
      </c>
      <c r="I2450" s="168">
        <v>2443</v>
      </c>
      <c r="J2450" s="159">
        <f>ROUND(B2450*('Model Data Inputs'!$E$184*'Model Data Inputs'!$E$185*'Model Data Inputs'!$E$186*'Model Data Inputs'!$E$187),2)</f>
        <v>594.63</v>
      </c>
      <c r="K2450" s="169">
        <f t="shared" si="117"/>
        <v>1452681.09</v>
      </c>
    </row>
    <row r="2451" spans="1:11" x14ac:dyDescent="0.2">
      <c r="A2451" s="168">
        <v>2444</v>
      </c>
      <c r="B2451" s="159">
        <v>594.63366392643309</v>
      </c>
      <c r="C2451" s="169">
        <f t="shared" si="116"/>
        <v>1453284.6746362024</v>
      </c>
      <c r="I2451" s="168">
        <v>2444</v>
      </c>
      <c r="J2451" s="159">
        <f>ROUND(B2451*('Model Data Inputs'!$E$184*'Model Data Inputs'!$E$185*'Model Data Inputs'!$E$186*'Model Data Inputs'!$E$187),2)</f>
        <v>594.63</v>
      </c>
      <c r="K2451" s="169">
        <f t="shared" si="117"/>
        <v>1453275.72</v>
      </c>
    </row>
    <row r="2452" spans="1:11" x14ac:dyDescent="0.2">
      <c r="A2452" s="168">
        <v>2445</v>
      </c>
      <c r="B2452" s="159">
        <v>594.63366392643309</v>
      </c>
      <c r="C2452" s="169">
        <f t="shared" si="116"/>
        <v>1453879.3083001289</v>
      </c>
      <c r="I2452" s="168">
        <v>2445</v>
      </c>
      <c r="J2452" s="159">
        <f>ROUND(B2452*('Model Data Inputs'!$E$184*'Model Data Inputs'!$E$185*'Model Data Inputs'!$E$186*'Model Data Inputs'!$E$187),2)</f>
        <v>594.63</v>
      </c>
      <c r="K2452" s="169">
        <f t="shared" si="117"/>
        <v>1453870.35</v>
      </c>
    </row>
    <row r="2453" spans="1:11" x14ac:dyDescent="0.2">
      <c r="A2453" s="168">
        <v>2446</v>
      </c>
      <c r="B2453" s="159">
        <v>594.63366392643309</v>
      </c>
      <c r="C2453" s="169">
        <f t="shared" si="116"/>
        <v>1454473.9419640554</v>
      </c>
      <c r="I2453" s="168">
        <v>2446</v>
      </c>
      <c r="J2453" s="159">
        <f>ROUND(B2453*('Model Data Inputs'!$E$184*'Model Data Inputs'!$E$185*'Model Data Inputs'!$E$186*'Model Data Inputs'!$E$187),2)</f>
        <v>594.63</v>
      </c>
      <c r="K2453" s="169">
        <f t="shared" si="117"/>
        <v>1454464.98</v>
      </c>
    </row>
    <row r="2454" spans="1:11" x14ac:dyDescent="0.2">
      <c r="A2454" s="168">
        <v>2447</v>
      </c>
      <c r="B2454" s="159">
        <v>594.63366392643309</v>
      </c>
      <c r="C2454" s="169">
        <f t="shared" si="116"/>
        <v>1455068.5756279817</v>
      </c>
      <c r="I2454" s="168">
        <v>2447</v>
      </c>
      <c r="J2454" s="159">
        <f>ROUND(B2454*('Model Data Inputs'!$E$184*'Model Data Inputs'!$E$185*'Model Data Inputs'!$E$186*'Model Data Inputs'!$E$187),2)</f>
        <v>594.63</v>
      </c>
      <c r="K2454" s="169">
        <f t="shared" si="117"/>
        <v>1455059.61</v>
      </c>
    </row>
    <row r="2455" spans="1:11" x14ac:dyDescent="0.2">
      <c r="A2455" s="168">
        <v>2448</v>
      </c>
      <c r="B2455" s="159">
        <v>594.63366392643309</v>
      </c>
      <c r="C2455" s="169">
        <f t="shared" si="116"/>
        <v>1455663.2092919082</v>
      </c>
      <c r="I2455" s="168">
        <v>2448</v>
      </c>
      <c r="J2455" s="159">
        <f>ROUND(B2455*('Model Data Inputs'!$E$184*'Model Data Inputs'!$E$185*'Model Data Inputs'!$E$186*'Model Data Inputs'!$E$187),2)</f>
        <v>594.63</v>
      </c>
      <c r="K2455" s="169">
        <f t="shared" si="117"/>
        <v>1455654.24</v>
      </c>
    </row>
    <row r="2456" spans="1:11" x14ac:dyDescent="0.2">
      <c r="A2456" s="168">
        <v>2449</v>
      </c>
      <c r="B2456" s="159">
        <v>594.63366392643309</v>
      </c>
      <c r="C2456" s="169">
        <f t="shared" si="116"/>
        <v>1456257.8429558347</v>
      </c>
      <c r="I2456" s="168">
        <v>2449</v>
      </c>
      <c r="J2456" s="159">
        <f>ROUND(B2456*('Model Data Inputs'!$E$184*'Model Data Inputs'!$E$185*'Model Data Inputs'!$E$186*'Model Data Inputs'!$E$187),2)</f>
        <v>594.63</v>
      </c>
      <c r="K2456" s="169">
        <f t="shared" si="117"/>
        <v>1456248.8699999999</v>
      </c>
    </row>
    <row r="2457" spans="1:11" x14ac:dyDescent="0.2">
      <c r="A2457" s="168">
        <v>2450</v>
      </c>
      <c r="B2457" s="159">
        <v>594.63366392643309</v>
      </c>
      <c r="C2457" s="169">
        <f t="shared" si="116"/>
        <v>1456852.476619761</v>
      </c>
      <c r="I2457" s="168">
        <v>2450</v>
      </c>
      <c r="J2457" s="159">
        <f>ROUND(B2457*('Model Data Inputs'!$E$184*'Model Data Inputs'!$E$185*'Model Data Inputs'!$E$186*'Model Data Inputs'!$E$187),2)</f>
        <v>594.63</v>
      </c>
      <c r="K2457" s="169">
        <f t="shared" si="117"/>
        <v>1456843.5</v>
      </c>
    </row>
    <row r="2458" spans="1:11" x14ac:dyDescent="0.2">
      <c r="A2458" s="168">
        <v>2451</v>
      </c>
      <c r="B2458" s="159">
        <v>594.63366392643309</v>
      </c>
      <c r="C2458" s="169">
        <f t="shared" si="116"/>
        <v>1457447.1102836875</v>
      </c>
      <c r="I2458" s="168">
        <v>2451</v>
      </c>
      <c r="J2458" s="159">
        <f>ROUND(B2458*('Model Data Inputs'!$E$184*'Model Data Inputs'!$E$185*'Model Data Inputs'!$E$186*'Model Data Inputs'!$E$187),2)</f>
        <v>594.63</v>
      </c>
      <c r="K2458" s="169">
        <f t="shared" si="117"/>
        <v>1457438.13</v>
      </c>
    </row>
    <row r="2459" spans="1:11" x14ac:dyDescent="0.2">
      <c r="A2459" s="168">
        <v>2452</v>
      </c>
      <c r="B2459" s="159">
        <v>594.63366392643309</v>
      </c>
      <c r="C2459" s="169">
        <f t="shared" si="116"/>
        <v>1458041.743947614</v>
      </c>
      <c r="I2459" s="168">
        <v>2452</v>
      </c>
      <c r="J2459" s="159">
        <f>ROUND(B2459*('Model Data Inputs'!$E$184*'Model Data Inputs'!$E$185*'Model Data Inputs'!$E$186*'Model Data Inputs'!$E$187),2)</f>
        <v>594.63</v>
      </c>
      <c r="K2459" s="169">
        <f t="shared" si="117"/>
        <v>1458032.76</v>
      </c>
    </row>
    <row r="2460" spans="1:11" x14ac:dyDescent="0.2">
      <c r="A2460" s="168">
        <v>2453</v>
      </c>
      <c r="B2460" s="159">
        <v>594.63366392643309</v>
      </c>
      <c r="C2460" s="169">
        <f t="shared" si="116"/>
        <v>1458636.3776115403</v>
      </c>
      <c r="I2460" s="168">
        <v>2453</v>
      </c>
      <c r="J2460" s="159">
        <f>ROUND(B2460*('Model Data Inputs'!$E$184*'Model Data Inputs'!$E$185*'Model Data Inputs'!$E$186*'Model Data Inputs'!$E$187),2)</f>
        <v>594.63</v>
      </c>
      <c r="K2460" s="169">
        <f t="shared" si="117"/>
        <v>1458627.39</v>
      </c>
    </row>
    <row r="2461" spans="1:11" x14ac:dyDescent="0.2">
      <c r="A2461" s="168">
        <v>2454</v>
      </c>
      <c r="B2461" s="159">
        <v>594.63366392643309</v>
      </c>
      <c r="C2461" s="169">
        <f t="shared" si="116"/>
        <v>1459231.0112754668</v>
      </c>
      <c r="I2461" s="168">
        <v>2454</v>
      </c>
      <c r="J2461" s="159">
        <f>ROUND(B2461*('Model Data Inputs'!$E$184*'Model Data Inputs'!$E$185*'Model Data Inputs'!$E$186*'Model Data Inputs'!$E$187),2)</f>
        <v>594.63</v>
      </c>
      <c r="K2461" s="169">
        <f t="shared" si="117"/>
        <v>1459222.02</v>
      </c>
    </row>
    <row r="2462" spans="1:11" x14ac:dyDescent="0.2">
      <c r="A2462" s="168">
        <v>2455</v>
      </c>
      <c r="B2462" s="159">
        <v>594.63366392643309</v>
      </c>
      <c r="C2462" s="169">
        <f t="shared" si="116"/>
        <v>1459825.6449393933</v>
      </c>
      <c r="I2462" s="168">
        <v>2455</v>
      </c>
      <c r="J2462" s="159">
        <f>ROUND(B2462*('Model Data Inputs'!$E$184*'Model Data Inputs'!$E$185*'Model Data Inputs'!$E$186*'Model Data Inputs'!$E$187),2)</f>
        <v>594.63</v>
      </c>
      <c r="K2462" s="169">
        <f t="shared" si="117"/>
        <v>1459816.65</v>
      </c>
    </row>
    <row r="2463" spans="1:11" x14ac:dyDescent="0.2">
      <c r="A2463" s="168">
        <v>2456</v>
      </c>
      <c r="B2463" s="159">
        <v>594.63366392643309</v>
      </c>
      <c r="C2463" s="169">
        <f t="shared" si="116"/>
        <v>1460420.2786033198</v>
      </c>
      <c r="I2463" s="168">
        <v>2456</v>
      </c>
      <c r="J2463" s="159">
        <f>ROUND(B2463*('Model Data Inputs'!$E$184*'Model Data Inputs'!$E$185*'Model Data Inputs'!$E$186*'Model Data Inputs'!$E$187),2)</f>
        <v>594.63</v>
      </c>
      <c r="K2463" s="169">
        <f t="shared" si="117"/>
        <v>1460411.28</v>
      </c>
    </row>
    <row r="2464" spans="1:11" x14ac:dyDescent="0.2">
      <c r="A2464" s="168">
        <v>2457</v>
      </c>
      <c r="B2464" s="159">
        <v>594.63366392643309</v>
      </c>
      <c r="C2464" s="169">
        <f t="shared" si="116"/>
        <v>1461014.9122672461</v>
      </c>
      <c r="I2464" s="168">
        <v>2457</v>
      </c>
      <c r="J2464" s="159">
        <f>ROUND(B2464*('Model Data Inputs'!$E$184*'Model Data Inputs'!$E$185*'Model Data Inputs'!$E$186*'Model Data Inputs'!$E$187),2)</f>
        <v>594.63</v>
      </c>
      <c r="K2464" s="169">
        <f t="shared" si="117"/>
        <v>1461005.91</v>
      </c>
    </row>
    <row r="2465" spans="1:11" x14ac:dyDescent="0.2">
      <c r="A2465" s="168">
        <v>2458</v>
      </c>
      <c r="B2465" s="159">
        <v>594.63366392643309</v>
      </c>
      <c r="C2465" s="169">
        <f t="shared" si="116"/>
        <v>1461609.5459311726</v>
      </c>
      <c r="I2465" s="168">
        <v>2458</v>
      </c>
      <c r="J2465" s="159">
        <f>ROUND(B2465*('Model Data Inputs'!$E$184*'Model Data Inputs'!$E$185*'Model Data Inputs'!$E$186*'Model Data Inputs'!$E$187),2)</f>
        <v>594.63</v>
      </c>
      <c r="K2465" s="169">
        <f t="shared" si="117"/>
        <v>1461600.54</v>
      </c>
    </row>
    <row r="2466" spans="1:11" x14ac:dyDescent="0.2">
      <c r="A2466" s="168">
        <v>2459</v>
      </c>
      <c r="B2466" s="159">
        <v>594.63366392643309</v>
      </c>
      <c r="C2466" s="169">
        <f t="shared" si="116"/>
        <v>1462204.1795950991</v>
      </c>
      <c r="I2466" s="168">
        <v>2459</v>
      </c>
      <c r="J2466" s="159">
        <f>ROUND(B2466*('Model Data Inputs'!$E$184*'Model Data Inputs'!$E$185*'Model Data Inputs'!$E$186*'Model Data Inputs'!$E$187),2)</f>
        <v>594.63</v>
      </c>
      <c r="K2466" s="169">
        <f t="shared" si="117"/>
        <v>1462195.17</v>
      </c>
    </row>
    <row r="2467" spans="1:11" x14ac:dyDescent="0.2">
      <c r="A2467" s="168">
        <v>2460</v>
      </c>
      <c r="B2467" s="159">
        <v>594.63366392643309</v>
      </c>
      <c r="C2467" s="169">
        <f t="shared" si="116"/>
        <v>1462798.8132590253</v>
      </c>
      <c r="I2467" s="168">
        <v>2460</v>
      </c>
      <c r="J2467" s="159">
        <f>ROUND(B2467*('Model Data Inputs'!$E$184*'Model Data Inputs'!$E$185*'Model Data Inputs'!$E$186*'Model Data Inputs'!$E$187),2)</f>
        <v>594.63</v>
      </c>
      <c r="K2467" s="169">
        <f t="shared" si="117"/>
        <v>1462789.8</v>
      </c>
    </row>
    <row r="2468" spans="1:11" x14ac:dyDescent="0.2">
      <c r="A2468" s="168">
        <v>2461</v>
      </c>
      <c r="B2468" s="159">
        <v>594.63366392643309</v>
      </c>
      <c r="C2468" s="169">
        <f t="shared" si="116"/>
        <v>1463393.4469229518</v>
      </c>
      <c r="I2468" s="168">
        <v>2461</v>
      </c>
      <c r="J2468" s="159">
        <f>ROUND(B2468*('Model Data Inputs'!$E$184*'Model Data Inputs'!$E$185*'Model Data Inputs'!$E$186*'Model Data Inputs'!$E$187),2)</f>
        <v>594.63</v>
      </c>
      <c r="K2468" s="169">
        <f t="shared" si="117"/>
        <v>1463384.43</v>
      </c>
    </row>
    <row r="2469" spans="1:11" x14ac:dyDescent="0.2">
      <c r="A2469" s="168">
        <v>2462</v>
      </c>
      <c r="B2469" s="159">
        <v>594.63366392643309</v>
      </c>
      <c r="C2469" s="169">
        <f t="shared" si="116"/>
        <v>1463988.0805868784</v>
      </c>
      <c r="I2469" s="168">
        <v>2462</v>
      </c>
      <c r="J2469" s="159">
        <f>ROUND(B2469*('Model Data Inputs'!$E$184*'Model Data Inputs'!$E$185*'Model Data Inputs'!$E$186*'Model Data Inputs'!$E$187),2)</f>
        <v>594.63</v>
      </c>
      <c r="K2469" s="169">
        <f t="shared" si="117"/>
        <v>1463979.06</v>
      </c>
    </row>
    <row r="2470" spans="1:11" x14ac:dyDescent="0.2">
      <c r="A2470" s="168">
        <v>2463</v>
      </c>
      <c r="B2470" s="159">
        <v>594.63366392643309</v>
      </c>
      <c r="C2470" s="169">
        <f t="shared" si="116"/>
        <v>1464582.7142508046</v>
      </c>
      <c r="I2470" s="168">
        <v>2463</v>
      </c>
      <c r="J2470" s="159">
        <f>ROUND(B2470*('Model Data Inputs'!$E$184*'Model Data Inputs'!$E$185*'Model Data Inputs'!$E$186*'Model Data Inputs'!$E$187),2)</f>
        <v>594.63</v>
      </c>
      <c r="K2470" s="169">
        <f t="shared" si="117"/>
        <v>1464573.69</v>
      </c>
    </row>
    <row r="2471" spans="1:11" x14ac:dyDescent="0.2">
      <c r="A2471" s="168">
        <v>2464</v>
      </c>
      <c r="B2471" s="159">
        <v>594.63366392643309</v>
      </c>
      <c r="C2471" s="169">
        <f t="shared" si="116"/>
        <v>1465177.3479147311</v>
      </c>
      <c r="I2471" s="168">
        <v>2464</v>
      </c>
      <c r="J2471" s="159">
        <f>ROUND(B2471*('Model Data Inputs'!$E$184*'Model Data Inputs'!$E$185*'Model Data Inputs'!$E$186*'Model Data Inputs'!$E$187),2)</f>
        <v>594.63</v>
      </c>
      <c r="K2471" s="169">
        <f t="shared" si="117"/>
        <v>1465168.32</v>
      </c>
    </row>
    <row r="2472" spans="1:11" x14ac:dyDescent="0.2">
      <c r="A2472" s="168">
        <v>2465</v>
      </c>
      <c r="B2472" s="159">
        <v>594.63366392643309</v>
      </c>
      <c r="C2472" s="169">
        <f t="shared" si="116"/>
        <v>1465771.9815786576</v>
      </c>
      <c r="I2472" s="168">
        <v>2465</v>
      </c>
      <c r="J2472" s="159">
        <f>ROUND(B2472*('Model Data Inputs'!$E$184*'Model Data Inputs'!$E$185*'Model Data Inputs'!$E$186*'Model Data Inputs'!$E$187),2)</f>
        <v>594.63</v>
      </c>
      <c r="K2472" s="169">
        <f t="shared" si="117"/>
        <v>1465762.95</v>
      </c>
    </row>
    <row r="2473" spans="1:11" x14ac:dyDescent="0.2">
      <c r="A2473" s="168">
        <v>2466</v>
      </c>
      <c r="B2473" s="159">
        <v>594.63366392643309</v>
      </c>
      <c r="C2473" s="169">
        <f t="shared" si="116"/>
        <v>1466366.6152425839</v>
      </c>
      <c r="I2473" s="168">
        <v>2466</v>
      </c>
      <c r="J2473" s="159">
        <f>ROUND(B2473*('Model Data Inputs'!$E$184*'Model Data Inputs'!$E$185*'Model Data Inputs'!$E$186*'Model Data Inputs'!$E$187),2)</f>
        <v>594.63</v>
      </c>
      <c r="K2473" s="169">
        <f t="shared" si="117"/>
        <v>1466357.58</v>
      </c>
    </row>
    <row r="2474" spans="1:11" x14ac:dyDescent="0.2">
      <c r="A2474" s="168">
        <v>2467</v>
      </c>
      <c r="B2474" s="159">
        <v>594.63366392643309</v>
      </c>
      <c r="C2474" s="169">
        <f t="shared" si="116"/>
        <v>1466961.2489065104</v>
      </c>
      <c r="I2474" s="168">
        <v>2467</v>
      </c>
      <c r="J2474" s="159">
        <f>ROUND(B2474*('Model Data Inputs'!$E$184*'Model Data Inputs'!$E$185*'Model Data Inputs'!$E$186*'Model Data Inputs'!$E$187),2)</f>
        <v>594.63</v>
      </c>
      <c r="K2474" s="169">
        <f t="shared" si="117"/>
        <v>1466952.21</v>
      </c>
    </row>
    <row r="2475" spans="1:11" x14ac:dyDescent="0.2">
      <c r="A2475" s="168">
        <v>2468</v>
      </c>
      <c r="B2475" s="159">
        <v>594.63366392643309</v>
      </c>
      <c r="C2475" s="169">
        <f t="shared" si="116"/>
        <v>1467555.8825704369</v>
      </c>
      <c r="I2475" s="168">
        <v>2468</v>
      </c>
      <c r="J2475" s="159">
        <f>ROUND(B2475*('Model Data Inputs'!$E$184*'Model Data Inputs'!$E$185*'Model Data Inputs'!$E$186*'Model Data Inputs'!$E$187),2)</f>
        <v>594.63</v>
      </c>
      <c r="K2475" s="169">
        <f t="shared" si="117"/>
        <v>1467546.84</v>
      </c>
    </row>
    <row r="2476" spans="1:11" x14ac:dyDescent="0.2">
      <c r="A2476" s="168">
        <v>2469</v>
      </c>
      <c r="B2476" s="159">
        <v>594.63366392643309</v>
      </c>
      <c r="C2476" s="169">
        <f t="shared" si="116"/>
        <v>1468150.5162343632</v>
      </c>
      <c r="I2476" s="168">
        <v>2469</v>
      </c>
      <c r="J2476" s="159">
        <f>ROUND(B2476*('Model Data Inputs'!$E$184*'Model Data Inputs'!$E$185*'Model Data Inputs'!$E$186*'Model Data Inputs'!$E$187),2)</f>
        <v>594.63</v>
      </c>
      <c r="K2476" s="169">
        <f t="shared" si="117"/>
        <v>1468141.47</v>
      </c>
    </row>
    <row r="2477" spans="1:11" x14ac:dyDescent="0.2">
      <c r="A2477" s="168">
        <v>2470</v>
      </c>
      <c r="B2477" s="159">
        <v>594.63366392643309</v>
      </c>
      <c r="C2477" s="169">
        <f t="shared" si="116"/>
        <v>1468745.1498982897</v>
      </c>
      <c r="I2477" s="168">
        <v>2470</v>
      </c>
      <c r="J2477" s="159">
        <f>ROUND(B2477*('Model Data Inputs'!$E$184*'Model Data Inputs'!$E$185*'Model Data Inputs'!$E$186*'Model Data Inputs'!$E$187),2)</f>
        <v>594.63</v>
      </c>
      <c r="K2477" s="169">
        <f t="shared" si="117"/>
        <v>1468736.1</v>
      </c>
    </row>
    <row r="2478" spans="1:11" x14ac:dyDescent="0.2">
      <c r="A2478" s="168">
        <v>2471</v>
      </c>
      <c r="B2478" s="159">
        <v>594.63366392643309</v>
      </c>
      <c r="C2478" s="169">
        <f t="shared" si="116"/>
        <v>1469339.7835622162</v>
      </c>
      <c r="I2478" s="168">
        <v>2471</v>
      </c>
      <c r="J2478" s="159">
        <f>ROUND(B2478*('Model Data Inputs'!$E$184*'Model Data Inputs'!$E$185*'Model Data Inputs'!$E$186*'Model Data Inputs'!$E$187),2)</f>
        <v>594.63</v>
      </c>
      <c r="K2478" s="169">
        <f t="shared" si="117"/>
        <v>1469330.73</v>
      </c>
    </row>
    <row r="2479" spans="1:11" x14ac:dyDescent="0.2">
      <c r="A2479" s="168">
        <v>2472</v>
      </c>
      <c r="B2479" s="159">
        <v>594.63366392643309</v>
      </c>
      <c r="C2479" s="169">
        <f t="shared" si="116"/>
        <v>1469934.4172261425</v>
      </c>
      <c r="I2479" s="168">
        <v>2472</v>
      </c>
      <c r="J2479" s="159">
        <f>ROUND(B2479*('Model Data Inputs'!$E$184*'Model Data Inputs'!$E$185*'Model Data Inputs'!$E$186*'Model Data Inputs'!$E$187),2)</f>
        <v>594.63</v>
      </c>
      <c r="K2479" s="169">
        <f t="shared" si="117"/>
        <v>1469925.36</v>
      </c>
    </row>
    <row r="2480" spans="1:11" x14ac:dyDescent="0.2">
      <c r="A2480" s="168">
        <v>2473</v>
      </c>
      <c r="B2480" s="159">
        <v>594.63366392643309</v>
      </c>
      <c r="C2480" s="169">
        <f t="shared" si="116"/>
        <v>1470529.050890069</v>
      </c>
      <c r="I2480" s="168">
        <v>2473</v>
      </c>
      <c r="J2480" s="159">
        <f>ROUND(B2480*('Model Data Inputs'!$E$184*'Model Data Inputs'!$E$185*'Model Data Inputs'!$E$186*'Model Data Inputs'!$E$187),2)</f>
        <v>594.63</v>
      </c>
      <c r="K2480" s="169">
        <f t="shared" si="117"/>
        <v>1470519.99</v>
      </c>
    </row>
    <row r="2481" spans="1:11" x14ac:dyDescent="0.2">
      <c r="A2481" s="168">
        <v>2474</v>
      </c>
      <c r="B2481" s="159">
        <v>594.63366392643309</v>
      </c>
      <c r="C2481" s="169">
        <f t="shared" si="116"/>
        <v>1471123.6845539955</v>
      </c>
      <c r="I2481" s="168">
        <v>2474</v>
      </c>
      <c r="J2481" s="159">
        <f>ROUND(B2481*('Model Data Inputs'!$E$184*'Model Data Inputs'!$E$185*'Model Data Inputs'!$E$186*'Model Data Inputs'!$E$187),2)</f>
        <v>594.63</v>
      </c>
      <c r="K2481" s="169">
        <f t="shared" si="117"/>
        <v>1471114.6199999999</v>
      </c>
    </row>
    <row r="2482" spans="1:11" x14ac:dyDescent="0.2">
      <c r="A2482" s="168">
        <v>2475</v>
      </c>
      <c r="B2482" s="159">
        <v>594.63366392643309</v>
      </c>
      <c r="C2482" s="169">
        <f t="shared" si="116"/>
        <v>1471718.318217922</v>
      </c>
      <c r="I2482" s="168">
        <v>2475</v>
      </c>
      <c r="J2482" s="159">
        <f>ROUND(B2482*('Model Data Inputs'!$E$184*'Model Data Inputs'!$E$185*'Model Data Inputs'!$E$186*'Model Data Inputs'!$E$187),2)</f>
        <v>594.63</v>
      </c>
      <c r="K2482" s="169">
        <f t="shared" si="117"/>
        <v>1471709.25</v>
      </c>
    </row>
    <row r="2483" spans="1:11" x14ac:dyDescent="0.2">
      <c r="A2483" s="168">
        <v>2476</v>
      </c>
      <c r="B2483" s="159">
        <v>594.63366392643309</v>
      </c>
      <c r="C2483" s="169">
        <f t="shared" si="116"/>
        <v>1472312.9518818483</v>
      </c>
      <c r="I2483" s="168">
        <v>2476</v>
      </c>
      <c r="J2483" s="159">
        <f>ROUND(B2483*('Model Data Inputs'!$E$184*'Model Data Inputs'!$E$185*'Model Data Inputs'!$E$186*'Model Data Inputs'!$E$187),2)</f>
        <v>594.63</v>
      </c>
      <c r="K2483" s="169">
        <f t="shared" si="117"/>
        <v>1472303.88</v>
      </c>
    </row>
    <row r="2484" spans="1:11" x14ac:dyDescent="0.2">
      <c r="A2484" s="168">
        <v>2477</v>
      </c>
      <c r="B2484" s="159">
        <v>594.63366392643309</v>
      </c>
      <c r="C2484" s="169">
        <f t="shared" si="116"/>
        <v>1472907.5855457748</v>
      </c>
      <c r="I2484" s="168">
        <v>2477</v>
      </c>
      <c r="J2484" s="159">
        <f>ROUND(B2484*('Model Data Inputs'!$E$184*'Model Data Inputs'!$E$185*'Model Data Inputs'!$E$186*'Model Data Inputs'!$E$187),2)</f>
        <v>594.63</v>
      </c>
      <c r="K2484" s="169">
        <f t="shared" si="117"/>
        <v>1472898.51</v>
      </c>
    </row>
    <row r="2485" spans="1:11" x14ac:dyDescent="0.2">
      <c r="A2485" s="168">
        <v>2478</v>
      </c>
      <c r="B2485" s="159">
        <v>594.63366392643309</v>
      </c>
      <c r="C2485" s="169">
        <f t="shared" si="116"/>
        <v>1473502.2192097013</v>
      </c>
      <c r="I2485" s="168">
        <v>2478</v>
      </c>
      <c r="J2485" s="159">
        <f>ROUND(B2485*('Model Data Inputs'!$E$184*'Model Data Inputs'!$E$185*'Model Data Inputs'!$E$186*'Model Data Inputs'!$E$187),2)</f>
        <v>594.63</v>
      </c>
      <c r="K2485" s="169">
        <f t="shared" si="117"/>
        <v>1473493.14</v>
      </c>
    </row>
    <row r="2486" spans="1:11" x14ac:dyDescent="0.2">
      <c r="A2486" s="168">
        <v>2479</v>
      </c>
      <c r="B2486" s="159">
        <v>594.63366392643309</v>
      </c>
      <c r="C2486" s="169">
        <f t="shared" si="116"/>
        <v>1474096.8528736276</v>
      </c>
      <c r="I2486" s="168">
        <v>2479</v>
      </c>
      <c r="J2486" s="159">
        <f>ROUND(B2486*('Model Data Inputs'!$E$184*'Model Data Inputs'!$E$185*'Model Data Inputs'!$E$186*'Model Data Inputs'!$E$187),2)</f>
        <v>594.63</v>
      </c>
      <c r="K2486" s="169">
        <f t="shared" si="117"/>
        <v>1474087.77</v>
      </c>
    </row>
    <row r="2487" spans="1:11" x14ac:dyDescent="0.2">
      <c r="A2487" s="168">
        <v>2480</v>
      </c>
      <c r="B2487" s="159">
        <v>594.63366392643309</v>
      </c>
      <c r="C2487" s="169">
        <f t="shared" si="116"/>
        <v>1474691.4865375541</v>
      </c>
      <c r="I2487" s="168">
        <v>2480</v>
      </c>
      <c r="J2487" s="159">
        <f>ROUND(B2487*('Model Data Inputs'!$E$184*'Model Data Inputs'!$E$185*'Model Data Inputs'!$E$186*'Model Data Inputs'!$E$187),2)</f>
        <v>594.63</v>
      </c>
      <c r="K2487" s="169">
        <f t="shared" si="117"/>
        <v>1474682.4</v>
      </c>
    </row>
    <row r="2488" spans="1:11" x14ac:dyDescent="0.2">
      <c r="A2488" s="168">
        <v>2481</v>
      </c>
      <c r="B2488" s="159">
        <v>594.63366392643309</v>
      </c>
      <c r="C2488" s="169">
        <f t="shared" si="116"/>
        <v>1475286.1202014806</v>
      </c>
      <c r="I2488" s="168">
        <v>2481</v>
      </c>
      <c r="J2488" s="159">
        <f>ROUND(B2488*('Model Data Inputs'!$E$184*'Model Data Inputs'!$E$185*'Model Data Inputs'!$E$186*'Model Data Inputs'!$E$187),2)</f>
        <v>594.63</v>
      </c>
      <c r="K2488" s="169">
        <f t="shared" si="117"/>
        <v>1475277.03</v>
      </c>
    </row>
    <row r="2489" spans="1:11" x14ac:dyDescent="0.2">
      <c r="A2489" s="168">
        <v>2482</v>
      </c>
      <c r="B2489" s="159">
        <v>594.63366392643309</v>
      </c>
      <c r="C2489" s="169">
        <f t="shared" si="116"/>
        <v>1475880.7538654068</v>
      </c>
      <c r="I2489" s="168">
        <v>2482</v>
      </c>
      <c r="J2489" s="159">
        <f>ROUND(B2489*('Model Data Inputs'!$E$184*'Model Data Inputs'!$E$185*'Model Data Inputs'!$E$186*'Model Data Inputs'!$E$187),2)</f>
        <v>594.63</v>
      </c>
      <c r="K2489" s="169">
        <f t="shared" si="117"/>
        <v>1475871.66</v>
      </c>
    </row>
    <row r="2490" spans="1:11" x14ac:dyDescent="0.2">
      <c r="A2490" s="168">
        <v>2483</v>
      </c>
      <c r="B2490" s="159">
        <v>594.63366392643309</v>
      </c>
      <c r="C2490" s="169">
        <f t="shared" si="116"/>
        <v>1476475.3875293334</v>
      </c>
      <c r="I2490" s="168">
        <v>2483</v>
      </c>
      <c r="J2490" s="159">
        <f>ROUND(B2490*('Model Data Inputs'!$E$184*'Model Data Inputs'!$E$185*'Model Data Inputs'!$E$186*'Model Data Inputs'!$E$187),2)</f>
        <v>594.63</v>
      </c>
      <c r="K2490" s="169">
        <f t="shared" si="117"/>
        <v>1476466.29</v>
      </c>
    </row>
    <row r="2491" spans="1:11" x14ac:dyDescent="0.2">
      <c r="A2491" s="168">
        <v>2484</v>
      </c>
      <c r="B2491" s="159">
        <v>594.63366392643309</v>
      </c>
      <c r="C2491" s="169">
        <f t="shared" si="116"/>
        <v>1477070.0211932599</v>
      </c>
      <c r="I2491" s="168">
        <v>2484</v>
      </c>
      <c r="J2491" s="159">
        <f>ROUND(B2491*('Model Data Inputs'!$E$184*'Model Data Inputs'!$E$185*'Model Data Inputs'!$E$186*'Model Data Inputs'!$E$187),2)</f>
        <v>594.63</v>
      </c>
      <c r="K2491" s="169">
        <f t="shared" si="117"/>
        <v>1477060.92</v>
      </c>
    </row>
    <row r="2492" spans="1:11" x14ac:dyDescent="0.2">
      <c r="A2492" s="168">
        <v>2485</v>
      </c>
      <c r="B2492" s="159">
        <v>594.63366392643309</v>
      </c>
      <c r="C2492" s="169">
        <f t="shared" si="116"/>
        <v>1477664.6548571861</v>
      </c>
      <c r="I2492" s="168">
        <v>2485</v>
      </c>
      <c r="J2492" s="159">
        <f>ROUND(B2492*('Model Data Inputs'!$E$184*'Model Data Inputs'!$E$185*'Model Data Inputs'!$E$186*'Model Data Inputs'!$E$187),2)</f>
        <v>594.63</v>
      </c>
      <c r="K2492" s="169">
        <f t="shared" si="117"/>
        <v>1477655.55</v>
      </c>
    </row>
    <row r="2493" spans="1:11" x14ac:dyDescent="0.2">
      <c r="A2493" s="168">
        <v>2486</v>
      </c>
      <c r="B2493" s="159">
        <v>594.63366392643309</v>
      </c>
      <c r="C2493" s="169">
        <f t="shared" si="116"/>
        <v>1478259.2885211126</v>
      </c>
      <c r="I2493" s="168">
        <v>2486</v>
      </c>
      <c r="J2493" s="159">
        <f>ROUND(B2493*('Model Data Inputs'!$E$184*'Model Data Inputs'!$E$185*'Model Data Inputs'!$E$186*'Model Data Inputs'!$E$187),2)</f>
        <v>594.63</v>
      </c>
      <c r="K2493" s="169">
        <f t="shared" si="117"/>
        <v>1478250.18</v>
      </c>
    </row>
    <row r="2494" spans="1:11" x14ac:dyDescent="0.2">
      <c r="A2494" s="168">
        <v>2487</v>
      </c>
      <c r="B2494" s="159">
        <v>594.63366392643309</v>
      </c>
      <c r="C2494" s="169">
        <f t="shared" si="116"/>
        <v>1478853.9221850391</v>
      </c>
      <c r="I2494" s="168">
        <v>2487</v>
      </c>
      <c r="J2494" s="159">
        <f>ROUND(B2494*('Model Data Inputs'!$E$184*'Model Data Inputs'!$E$185*'Model Data Inputs'!$E$186*'Model Data Inputs'!$E$187),2)</f>
        <v>594.63</v>
      </c>
      <c r="K2494" s="169">
        <f t="shared" si="117"/>
        <v>1478844.81</v>
      </c>
    </row>
    <row r="2495" spans="1:11" x14ac:dyDescent="0.2">
      <c r="A2495" s="168">
        <v>2488</v>
      </c>
      <c r="B2495" s="159">
        <v>594.63366392643309</v>
      </c>
      <c r="C2495" s="169">
        <f t="shared" si="116"/>
        <v>1479448.5558489654</v>
      </c>
      <c r="I2495" s="168">
        <v>2488</v>
      </c>
      <c r="J2495" s="159">
        <f>ROUND(B2495*('Model Data Inputs'!$E$184*'Model Data Inputs'!$E$185*'Model Data Inputs'!$E$186*'Model Data Inputs'!$E$187),2)</f>
        <v>594.63</v>
      </c>
      <c r="K2495" s="169">
        <f t="shared" si="117"/>
        <v>1479439.44</v>
      </c>
    </row>
    <row r="2496" spans="1:11" x14ac:dyDescent="0.2">
      <c r="A2496" s="168">
        <v>2489</v>
      </c>
      <c r="B2496" s="159">
        <v>594.63366392643309</v>
      </c>
      <c r="C2496" s="169">
        <f t="shared" si="116"/>
        <v>1480043.1895128919</v>
      </c>
      <c r="I2496" s="168">
        <v>2489</v>
      </c>
      <c r="J2496" s="159">
        <f>ROUND(B2496*('Model Data Inputs'!$E$184*'Model Data Inputs'!$E$185*'Model Data Inputs'!$E$186*'Model Data Inputs'!$E$187),2)</f>
        <v>594.63</v>
      </c>
      <c r="K2496" s="169">
        <f t="shared" si="117"/>
        <v>1480034.07</v>
      </c>
    </row>
    <row r="2497" spans="1:11" x14ac:dyDescent="0.2">
      <c r="A2497" s="168">
        <v>2490</v>
      </c>
      <c r="B2497" s="159">
        <v>594.63366392643309</v>
      </c>
      <c r="C2497" s="169">
        <f t="shared" si="116"/>
        <v>1480637.8231768184</v>
      </c>
      <c r="I2497" s="168">
        <v>2490</v>
      </c>
      <c r="J2497" s="159">
        <f>ROUND(B2497*('Model Data Inputs'!$E$184*'Model Data Inputs'!$E$185*'Model Data Inputs'!$E$186*'Model Data Inputs'!$E$187),2)</f>
        <v>594.63</v>
      </c>
      <c r="K2497" s="169">
        <f t="shared" si="117"/>
        <v>1480628.7</v>
      </c>
    </row>
    <row r="2498" spans="1:11" x14ac:dyDescent="0.2">
      <c r="A2498" s="168">
        <v>2491</v>
      </c>
      <c r="B2498" s="159">
        <v>594.63366392643309</v>
      </c>
      <c r="C2498" s="169">
        <f t="shared" si="116"/>
        <v>1481232.4568407447</v>
      </c>
      <c r="I2498" s="168">
        <v>2491</v>
      </c>
      <c r="J2498" s="159">
        <f>ROUND(B2498*('Model Data Inputs'!$E$184*'Model Data Inputs'!$E$185*'Model Data Inputs'!$E$186*'Model Data Inputs'!$E$187),2)</f>
        <v>594.63</v>
      </c>
      <c r="K2498" s="169">
        <f t="shared" si="117"/>
        <v>1481223.33</v>
      </c>
    </row>
    <row r="2499" spans="1:11" x14ac:dyDescent="0.2">
      <c r="A2499" s="168">
        <v>2492</v>
      </c>
      <c r="B2499" s="159">
        <v>594.63366392643309</v>
      </c>
      <c r="C2499" s="169">
        <f t="shared" si="116"/>
        <v>1481827.0905046712</v>
      </c>
      <c r="I2499" s="168">
        <v>2492</v>
      </c>
      <c r="J2499" s="159">
        <f>ROUND(B2499*('Model Data Inputs'!$E$184*'Model Data Inputs'!$E$185*'Model Data Inputs'!$E$186*'Model Data Inputs'!$E$187),2)</f>
        <v>594.63</v>
      </c>
      <c r="K2499" s="169">
        <f t="shared" si="117"/>
        <v>1481817.96</v>
      </c>
    </row>
    <row r="2500" spans="1:11" x14ac:dyDescent="0.2">
      <c r="A2500" s="168">
        <v>2493</v>
      </c>
      <c r="B2500" s="159">
        <v>594.63366392643309</v>
      </c>
      <c r="C2500" s="169">
        <f t="shared" si="116"/>
        <v>1482421.7241685977</v>
      </c>
      <c r="I2500" s="168">
        <v>2493</v>
      </c>
      <c r="J2500" s="159">
        <f>ROUND(B2500*('Model Data Inputs'!$E$184*'Model Data Inputs'!$E$185*'Model Data Inputs'!$E$186*'Model Data Inputs'!$E$187),2)</f>
        <v>594.63</v>
      </c>
      <c r="K2500" s="169">
        <f t="shared" si="117"/>
        <v>1482412.59</v>
      </c>
    </row>
    <row r="2501" spans="1:11" x14ac:dyDescent="0.2">
      <c r="A2501" s="168">
        <v>2494</v>
      </c>
      <c r="B2501" s="159">
        <v>594.63366392643309</v>
      </c>
      <c r="C2501" s="169">
        <f t="shared" si="116"/>
        <v>1483016.3578325242</v>
      </c>
      <c r="I2501" s="168">
        <v>2494</v>
      </c>
      <c r="J2501" s="159">
        <f>ROUND(B2501*('Model Data Inputs'!$E$184*'Model Data Inputs'!$E$185*'Model Data Inputs'!$E$186*'Model Data Inputs'!$E$187),2)</f>
        <v>594.63</v>
      </c>
      <c r="K2501" s="169">
        <f t="shared" si="117"/>
        <v>1483007.22</v>
      </c>
    </row>
    <row r="2502" spans="1:11" x14ac:dyDescent="0.2">
      <c r="A2502" s="168">
        <v>2495</v>
      </c>
      <c r="B2502" s="159">
        <v>594.63366392643309</v>
      </c>
      <c r="C2502" s="169">
        <f t="shared" si="116"/>
        <v>1483610.9914964505</v>
      </c>
      <c r="I2502" s="168">
        <v>2495</v>
      </c>
      <c r="J2502" s="159">
        <f>ROUND(B2502*('Model Data Inputs'!$E$184*'Model Data Inputs'!$E$185*'Model Data Inputs'!$E$186*'Model Data Inputs'!$E$187),2)</f>
        <v>594.63</v>
      </c>
      <c r="K2502" s="169">
        <f t="shared" si="117"/>
        <v>1483601.85</v>
      </c>
    </row>
    <row r="2503" spans="1:11" x14ac:dyDescent="0.2">
      <c r="A2503" s="168">
        <v>2496</v>
      </c>
      <c r="B2503" s="159">
        <v>594.63366392643309</v>
      </c>
      <c r="C2503" s="169">
        <f t="shared" si="116"/>
        <v>1484205.625160377</v>
      </c>
      <c r="I2503" s="168">
        <v>2496</v>
      </c>
      <c r="J2503" s="159">
        <f>ROUND(B2503*('Model Data Inputs'!$E$184*'Model Data Inputs'!$E$185*'Model Data Inputs'!$E$186*'Model Data Inputs'!$E$187),2)</f>
        <v>594.63</v>
      </c>
      <c r="K2503" s="169">
        <f t="shared" si="117"/>
        <v>1484196.48</v>
      </c>
    </row>
    <row r="2504" spans="1:11" x14ac:dyDescent="0.2">
      <c r="A2504" s="168">
        <v>2497</v>
      </c>
      <c r="B2504" s="159">
        <v>594.63366392643309</v>
      </c>
      <c r="C2504" s="169">
        <f t="shared" ref="C2504:C2567" si="118">A2504*B2504</f>
        <v>1484800.2588243035</v>
      </c>
      <c r="I2504" s="168">
        <v>2497</v>
      </c>
      <c r="J2504" s="159">
        <f>ROUND(B2504*('Model Data Inputs'!$E$184*'Model Data Inputs'!$E$185*'Model Data Inputs'!$E$186*'Model Data Inputs'!$E$187),2)</f>
        <v>594.63</v>
      </c>
      <c r="K2504" s="169">
        <f t="shared" ref="K2504:K2567" si="119">I2504*J2504</f>
        <v>1484791.11</v>
      </c>
    </row>
    <row r="2505" spans="1:11" x14ac:dyDescent="0.2">
      <c r="A2505" s="168">
        <v>2498</v>
      </c>
      <c r="B2505" s="159">
        <v>594.63366392643309</v>
      </c>
      <c r="C2505" s="169">
        <f t="shared" si="118"/>
        <v>1485394.8924882298</v>
      </c>
      <c r="I2505" s="168">
        <v>2498</v>
      </c>
      <c r="J2505" s="159">
        <f>ROUND(B2505*('Model Data Inputs'!$E$184*'Model Data Inputs'!$E$185*'Model Data Inputs'!$E$186*'Model Data Inputs'!$E$187),2)</f>
        <v>594.63</v>
      </c>
      <c r="K2505" s="169">
        <f t="shared" si="119"/>
        <v>1485385.74</v>
      </c>
    </row>
    <row r="2506" spans="1:11" x14ac:dyDescent="0.2">
      <c r="A2506" s="168">
        <v>2499</v>
      </c>
      <c r="B2506" s="159">
        <v>594.63366392643309</v>
      </c>
      <c r="C2506" s="169">
        <f t="shared" si="118"/>
        <v>1485989.5261521563</v>
      </c>
      <c r="I2506" s="168">
        <v>2499</v>
      </c>
      <c r="J2506" s="159">
        <f>ROUND(B2506*('Model Data Inputs'!$E$184*'Model Data Inputs'!$E$185*'Model Data Inputs'!$E$186*'Model Data Inputs'!$E$187),2)</f>
        <v>594.63</v>
      </c>
      <c r="K2506" s="169">
        <f t="shared" si="119"/>
        <v>1485980.3699999999</v>
      </c>
    </row>
    <row r="2507" spans="1:11" x14ac:dyDescent="0.2">
      <c r="A2507" s="168">
        <v>2500</v>
      </c>
      <c r="B2507" s="159">
        <v>594.63366392643309</v>
      </c>
      <c r="C2507" s="169">
        <f t="shared" si="118"/>
        <v>1486584.1598160828</v>
      </c>
      <c r="I2507" s="168">
        <v>2500</v>
      </c>
      <c r="J2507" s="159">
        <f>ROUND(B2507*('Model Data Inputs'!$E$184*'Model Data Inputs'!$E$185*'Model Data Inputs'!$E$186*'Model Data Inputs'!$E$187),2)</f>
        <v>594.63</v>
      </c>
      <c r="K2507" s="169">
        <f t="shared" si="119"/>
        <v>1486575</v>
      </c>
    </row>
    <row r="2508" spans="1:11" x14ac:dyDescent="0.2">
      <c r="A2508" s="168">
        <v>2501</v>
      </c>
      <c r="B2508" s="159">
        <v>594.63366392643309</v>
      </c>
      <c r="C2508" s="169">
        <f t="shared" si="118"/>
        <v>1487178.7934800091</v>
      </c>
      <c r="I2508" s="168">
        <v>2501</v>
      </c>
      <c r="J2508" s="159">
        <f>ROUND(B2508*('Model Data Inputs'!$E$184*'Model Data Inputs'!$E$185*'Model Data Inputs'!$E$186*'Model Data Inputs'!$E$187),2)</f>
        <v>594.63</v>
      </c>
      <c r="K2508" s="169">
        <f t="shared" si="119"/>
        <v>1487169.63</v>
      </c>
    </row>
    <row r="2509" spans="1:11" x14ac:dyDescent="0.2">
      <c r="A2509" s="168">
        <v>2502</v>
      </c>
      <c r="B2509" s="159">
        <v>594.63366392643309</v>
      </c>
      <c r="C2509" s="169">
        <f t="shared" si="118"/>
        <v>1487773.4271439356</v>
      </c>
      <c r="I2509" s="168">
        <v>2502</v>
      </c>
      <c r="J2509" s="159">
        <f>ROUND(B2509*('Model Data Inputs'!$E$184*'Model Data Inputs'!$E$185*'Model Data Inputs'!$E$186*'Model Data Inputs'!$E$187),2)</f>
        <v>594.63</v>
      </c>
      <c r="K2509" s="169">
        <f t="shared" si="119"/>
        <v>1487764.26</v>
      </c>
    </row>
    <row r="2510" spans="1:11" x14ac:dyDescent="0.2">
      <c r="A2510" s="168">
        <v>2503</v>
      </c>
      <c r="B2510" s="159">
        <v>594.63366392643309</v>
      </c>
      <c r="C2510" s="169">
        <f t="shared" si="118"/>
        <v>1488368.0608078621</v>
      </c>
      <c r="I2510" s="168">
        <v>2503</v>
      </c>
      <c r="J2510" s="159">
        <f>ROUND(B2510*('Model Data Inputs'!$E$184*'Model Data Inputs'!$E$185*'Model Data Inputs'!$E$186*'Model Data Inputs'!$E$187),2)</f>
        <v>594.63</v>
      </c>
      <c r="K2510" s="169">
        <f t="shared" si="119"/>
        <v>1488358.89</v>
      </c>
    </row>
    <row r="2511" spans="1:11" x14ac:dyDescent="0.2">
      <c r="A2511" s="168">
        <v>2504</v>
      </c>
      <c r="B2511" s="159">
        <v>594.63366392643309</v>
      </c>
      <c r="C2511" s="169">
        <f t="shared" si="118"/>
        <v>1488962.6944717884</v>
      </c>
      <c r="I2511" s="168">
        <v>2504</v>
      </c>
      <c r="J2511" s="159">
        <f>ROUND(B2511*('Model Data Inputs'!$E$184*'Model Data Inputs'!$E$185*'Model Data Inputs'!$E$186*'Model Data Inputs'!$E$187),2)</f>
        <v>594.63</v>
      </c>
      <c r="K2511" s="169">
        <f t="shared" si="119"/>
        <v>1488953.52</v>
      </c>
    </row>
    <row r="2512" spans="1:11" x14ac:dyDescent="0.2">
      <c r="A2512" s="168">
        <v>2505</v>
      </c>
      <c r="B2512" s="159">
        <v>594.63366392643309</v>
      </c>
      <c r="C2512" s="169">
        <f t="shared" si="118"/>
        <v>1489557.3281357149</v>
      </c>
      <c r="I2512" s="168">
        <v>2505</v>
      </c>
      <c r="J2512" s="159">
        <f>ROUND(B2512*('Model Data Inputs'!$E$184*'Model Data Inputs'!$E$185*'Model Data Inputs'!$E$186*'Model Data Inputs'!$E$187),2)</f>
        <v>594.63</v>
      </c>
      <c r="K2512" s="169">
        <f t="shared" si="119"/>
        <v>1489548.15</v>
      </c>
    </row>
    <row r="2513" spans="1:11" x14ac:dyDescent="0.2">
      <c r="A2513" s="168">
        <v>2506</v>
      </c>
      <c r="B2513" s="159">
        <v>594.63366392643309</v>
      </c>
      <c r="C2513" s="169">
        <f t="shared" si="118"/>
        <v>1490151.9617996414</v>
      </c>
      <c r="I2513" s="168">
        <v>2506</v>
      </c>
      <c r="J2513" s="159">
        <f>ROUND(B2513*('Model Data Inputs'!$E$184*'Model Data Inputs'!$E$185*'Model Data Inputs'!$E$186*'Model Data Inputs'!$E$187),2)</f>
        <v>594.63</v>
      </c>
      <c r="K2513" s="169">
        <f t="shared" si="119"/>
        <v>1490142.78</v>
      </c>
    </row>
    <row r="2514" spans="1:11" x14ac:dyDescent="0.2">
      <c r="A2514" s="168">
        <v>2507</v>
      </c>
      <c r="B2514" s="159">
        <v>594.63366392643309</v>
      </c>
      <c r="C2514" s="169">
        <f t="shared" si="118"/>
        <v>1490746.5954635676</v>
      </c>
      <c r="I2514" s="168">
        <v>2507</v>
      </c>
      <c r="J2514" s="159">
        <f>ROUND(B2514*('Model Data Inputs'!$E$184*'Model Data Inputs'!$E$185*'Model Data Inputs'!$E$186*'Model Data Inputs'!$E$187),2)</f>
        <v>594.63</v>
      </c>
      <c r="K2514" s="169">
        <f t="shared" si="119"/>
        <v>1490737.41</v>
      </c>
    </row>
    <row r="2515" spans="1:11" x14ac:dyDescent="0.2">
      <c r="A2515" s="168">
        <v>2508</v>
      </c>
      <c r="B2515" s="159">
        <v>594.63366392643309</v>
      </c>
      <c r="C2515" s="169">
        <f t="shared" si="118"/>
        <v>1491341.2291274942</v>
      </c>
      <c r="I2515" s="168">
        <v>2508</v>
      </c>
      <c r="J2515" s="159">
        <f>ROUND(B2515*('Model Data Inputs'!$E$184*'Model Data Inputs'!$E$185*'Model Data Inputs'!$E$186*'Model Data Inputs'!$E$187),2)</f>
        <v>594.63</v>
      </c>
      <c r="K2515" s="169">
        <f t="shared" si="119"/>
        <v>1491332.04</v>
      </c>
    </row>
    <row r="2516" spans="1:11" x14ac:dyDescent="0.2">
      <c r="A2516" s="168">
        <v>2509</v>
      </c>
      <c r="B2516" s="159">
        <v>594.63366392643309</v>
      </c>
      <c r="C2516" s="169">
        <f t="shared" si="118"/>
        <v>1491935.8627914207</v>
      </c>
      <c r="I2516" s="168">
        <v>2509</v>
      </c>
      <c r="J2516" s="159">
        <f>ROUND(B2516*('Model Data Inputs'!$E$184*'Model Data Inputs'!$E$185*'Model Data Inputs'!$E$186*'Model Data Inputs'!$E$187),2)</f>
        <v>594.63</v>
      </c>
      <c r="K2516" s="169">
        <f t="shared" si="119"/>
        <v>1491926.67</v>
      </c>
    </row>
    <row r="2517" spans="1:11" x14ac:dyDescent="0.2">
      <c r="A2517" s="168">
        <v>2510</v>
      </c>
      <c r="B2517" s="159">
        <v>594.63366392643309</v>
      </c>
      <c r="C2517" s="169">
        <f t="shared" si="118"/>
        <v>1492530.4964553469</v>
      </c>
      <c r="I2517" s="168">
        <v>2510</v>
      </c>
      <c r="J2517" s="159">
        <f>ROUND(B2517*('Model Data Inputs'!$E$184*'Model Data Inputs'!$E$185*'Model Data Inputs'!$E$186*'Model Data Inputs'!$E$187),2)</f>
        <v>594.63</v>
      </c>
      <c r="K2517" s="169">
        <f t="shared" si="119"/>
        <v>1492521.3</v>
      </c>
    </row>
    <row r="2518" spans="1:11" x14ac:dyDescent="0.2">
      <c r="A2518" s="168">
        <v>2511</v>
      </c>
      <c r="B2518" s="159">
        <v>594.63366392643309</v>
      </c>
      <c r="C2518" s="169">
        <f t="shared" si="118"/>
        <v>1493125.1301192734</v>
      </c>
      <c r="I2518" s="168">
        <v>2511</v>
      </c>
      <c r="J2518" s="159">
        <f>ROUND(B2518*('Model Data Inputs'!$E$184*'Model Data Inputs'!$E$185*'Model Data Inputs'!$E$186*'Model Data Inputs'!$E$187),2)</f>
        <v>594.63</v>
      </c>
      <c r="K2518" s="169">
        <f t="shared" si="119"/>
        <v>1493115.93</v>
      </c>
    </row>
    <row r="2519" spans="1:11" x14ac:dyDescent="0.2">
      <c r="A2519" s="168">
        <v>2512</v>
      </c>
      <c r="B2519" s="159">
        <v>594.63366392643309</v>
      </c>
      <c r="C2519" s="169">
        <f t="shared" si="118"/>
        <v>1493719.7637831999</v>
      </c>
      <c r="I2519" s="168">
        <v>2512</v>
      </c>
      <c r="J2519" s="159">
        <f>ROUND(B2519*('Model Data Inputs'!$E$184*'Model Data Inputs'!$E$185*'Model Data Inputs'!$E$186*'Model Data Inputs'!$E$187),2)</f>
        <v>594.63</v>
      </c>
      <c r="K2519" s="169">
        <f t="shared" si="119"/>
        <v>1493710.56</v>
      </c>
    </row>
    <row r="2520" spans="1:11" x14ac:dyDescent="0.2">
      <c r="A2520" s="168">
        <v>2513</v>
      </c>
      <c r="B2520" s="159">
        <v>594.63366392643309</v>
      </c>
      <c r="C2520" s="169">
        <f t="shared" si="118"/>
        <v>1494314.3974471265</v>
      </c>
      <c r="I2520" s="168">
        <v>2513</v>
      </c>
      <c r="J2520" s="159">
        <f>ROUND(B2520*('Model Data Inputs'!$E$184*'Model Data Inputs'!$E$185*'Model Data Inputs'!$E$186*'Model Data Inputs'!$E$187),2)</f>
        <v>594.63</v>
      </c>
      <c r="K2520" s="169">
        <f t="shared" si="119"/>
        <v>1494305.19</v>
      </c>
    </row>
    <row r="2521" spans="1:11" x14ac:dyDescent="0.2">
      <c r="A2521" s="168">
        <v>2514</v>
      </c>
      <c r="B2521" s="159">
        <v>594.63366392643309</v>
      </c>
      <c r="C2521" s="169">
        <f t="shared" si="118"/>
        <v>1494909.0311110527</v>
      </c>
      <c r="I2521" s="168">
        <v>2514</v>
      </c>
      <c r="J2521" s="159">
        <f>ROUND(B2521*('Model Data Inputs'!$E$184*'Model Data Inputs'!$E$185*'Model Data Inputs'!$E$186*'Model Data Inputs'!$E$187),2)</f>
        <v>594.63</v>
      </c>
      <c r="K2521" s="169">
        <f t="shared" si="119"/>
        <v>1494899.82</v>
      </c>
    </row>
    <row r="2522" spans="1:11" x14ac:dyDescent="0.2">
      <c r="A2522" s="168">
        <v>2515</v>
      </c>
      <c r="B2522" s="159">
        <v>594.63366392643309</v>
      </c>
      <c r="C2522" s="169">
        <f t="shared" si="118"/>
        <v>1495503.6647749792</v>
      </c>
      <c r="I2522" s="168">
        <v>2515</v>
      </c>
      <c r="J2522" s="159">
        <f>ROUND(B2522*('Model Data Inputs'!$E$184*'Model Data Inputs'!$E$185*'Model Data Inputs'!$E$186*'Model Data Inputs'!$E$187),2)</f>
        <v>594.63</v>
      </c>
      <c r="K2522" s="169">
        <f t="shared" si="119"/>
        <v>1495494.45</v>
      </c>
    </row>
    <row r="2523" spans="1:11" x14ac:dyDescent="0.2">
      <c r="A2523" s="168">
        <v>2516</v>
      </c>
      <c r="B2523" s="159">
        <v>594.63366392643309</v>
      </c>
      <c r="C2523" s="169">
        <f t="shared" si="118"/>
        <v>1496098.2984389057</v>
      </c>
      <c r="I2523" s="168">
        <v>2516</v>
      </c>
      <c r="J2523" s="159">
        <f>ROUND(B2523*('Model Data Inputs'!$E$184*'Model Data Inputs'!$E$185*'Model Data Inputs'!$E$186*'Model Data Inputs'!$E$187),2)</f>
        <v>594.63</v>
      </c>
      <c r="K2523" s="169">
        <f t="shared" si="119"/>
        <v>1496089.08</v>
      </c>
    </row>
    <row r="2524" spans="1:11" x14ac:dyDescent="0.2">
      <c r="A2524" s="168">
        <v>2517</v>
      </c>
      <c r="B2524" s="159">
        <v>594.63366392643309</v>
      </c>
      <c r="C2524" s="169">
        <f t="shared" si="118"/>
        <v>1496692.932102832</v>
      </c>
      <c r="I2524" s="168">
        <v>2517</v>
      </c>
      <c r="J2524" s="159">
        <f>ROUND(B2524*('Model Data Inputs'!$E$184*'Model Data Inputs'!$E$185*'Model Data Inputs'!$E$186*'Model Data Inputs'!$E$187),2)</f>
        <v>594.63</v>
      </c>
      <c r="K2524" s="169">
        <f t="shared" si="119"/>
        <v>1496683.71</v>
      </c>
    </row>
    <row r="2525" spans="1:11" x14ac:dyDescent="0.2">
      <c r="A2525" s="168">
        <v>2518</v>
      </c>
      <c r="B2525" s="159">
        <v>594.63366392643309</v>
      </c>
      <c r="C2525" s="169">
        <f t="shared" si="118"/>
        <v>1497287.5657667585</v>
      </c>
      <c r="I2525" s="168">
        <v>2518</v>
      </c>
      <c r="J2525" s="159">
        <f>ROUND(B2525*('Model Data Inputs'!$E$184*'Model Data Inputs'!$E$185*'Model Data Inputs'!$E$186*'Model Data Inputs'!$E$187),2)</f>
        <v>594.63</v>
      </c>
      <c r="K2525" s="169">
        <f t="shared" si="119"/>
        <v>1497278.34</v>
      </c>
    </row>
    <row r="2526" spans="1:11" x14ac:dyDescent="0.2">
      <c r="A2526" s="168">
        <v>2519</v>
      </c>
      <c r="B2526" s="159">
        <v>594.63366392643309</v>
      </c>
      <c r="C2526" s="169">
        <f t="shared" si="118"/>
        <v>1497882.199430685</v>
      </c>
      <c r="I2526" s="168">
        <v>2519</v>
      </c>
      <c r="J2526" s="159">
        <f>ROUND(B2526*('Model Data Inputs'!$E$184*'Model Data Inputs'!$E$185*'Model Data Inputs'!$E$186*'Model Data Inputs'!$E$187),2)</f>
        <v>594.63</v>
      </c>
      <c r="K2526" s="169">
        <f t="shared" si="119"/>
        <v>1497872.97</v>
      </c>
    </row>
    <row r="2527" spans="1:11" x14ac:dyDescent="0.2">
      <c r="A2527" s="168">
        <v>2520</v>
      </c>
      <c r="B2527" s="159">
        <v>594.63366392643309</v>
      </c>
      <c r="C2527" s="169">
        <f t="shared" si="118"/>
        <v>1498476.8330946113</v>
      </c>
      <c r="I2527" s="168">
        <v>2520</v>
      </c>
      <c r="J2527" s="159">
        <f>ROUND(B2527*('Model Data Inputs'!$E$184*'Model Data Inputs'!$E$185*'Model Data Inputs'!$E$186*'Model Data Inputs'!$E$187),2)</f>
        <v>594.63</v>
      </c>
      <c r="K2527" s="169">
        <f t="shared" si="119"/>
        <v>1498467.6</v>
      </c>
    </row>
    <row r="2528" spans="1:11" x14ac:dyDescent="0.2">
      <c r="A2528" s="168">
        <v>2521</v>
      </c>
      <c r="B2528" s="159">
        <v>594.63366392643309</v>
      </c>
      <c r="C2528" s="169">
        <f t="shared" si="118"/>
        <v>1499071.4667585378</v>
      </c>
      <c r="I2528" s="168">
        <v>2521</v>
      </c>
      <c r="J2528" s="159">
        <f>ROUND(B2528*('Model Data Inputs'!$E$184*'Model Data Inputs'!$E$185*'Model Data Inputs'!$E$186*'Model Data Inputs'!$E$187),2)</f>
        <v>594.63</v>
      </c>
      <c r="K2528" s="169">
        <f t="shared" si="119"/>
        <v>1499062.23</v>
      </c>
    </row>
    <row r="2529" spans="1:11" x14ac:dyDescent="0.2">
      <c r="A2529" s="168">
        <v>2522</v>
      </c>
      <c r="B2529" s="159">
        <v>594.63366392643309</v>
      </c>
      <c r="C2529" s="169">
        <f t="shared" si="118"/>
        <v>1499666.1004224643</v>
      </c>
      <c r="I2529" s="168">
        <v>2522</v>
      </c>
      <c r="J2529" s="159">
        <f>ROUND(B2529*('Model Data Inputs'!$E$184*'Model Data Inputs'!$E$185*'Model Data Inputs'!$E$186*'Model Data Inputs'!$E$187),2)</f>
        <v>594.63</v>
      </c>
      <c r="K2529" s="169">
        <f t="shared" si="119"/>
        <v>1499656.86</v>
      </c>
    </row>
    <row r="2530" spans="1:11" x14ac:dyDescent="0.2">
      <c r="A2530" s="168">
        <v>2523</v>
      </c>
      <c r="B2530" s="159">
        <v>594.63366392643309</v>
      </c>
      <c r="C2530" s="169">
        <f t="shared" si="118"/>
        <v>1500260.7340863906</v>
      </c>
      <c r="I2530" s="168">
        <v>2523</v>
      </c>
      <c r="J2530" s="159">
        <f>ROUND(B2530*('Model Data Inputs'!$E$184*'Model Data Inputs'!$E$185*'Model Data Inputs'!$E$186*'Model Data Inputs'!$E$187),2)</f>
        <v>594.63</v>
      </c>
      <c r="K2530" s="169">
        <f t="shared" si="119"/>
        <v>1500251.49</v>
      </c>
    </row>
    <row r="2531" spans="1:11" x14ac:dyDescent="0.2">
      <c r="A2531" s="168">
        <v>2524</v>
      </c>
      <c r="B2531" s="159">
        <v>594.63366392643309</v>
      </c>
      <c r="C2531" s="169">
        <f t="shared" si="118"/>
        <v>1500855.3677503171</v>
      </c>
      <c r="I2531" s="168">
        <v>2524</v>
      </c>
      <c r="J2531" s="159">
        <f>ROUND(B2531*('Model Data Inputs'!$E$184*'Model Data Inputs'!$E$185*'Model Data Inputs'!$E$186*'Model Data Inputs'!$E$187),2)</f>
        <v>594.63</v>
      </c>
      <c r="K2531" s="169">
        <f t="shared" si="119"/>
        <v>1500846.1199999999</v>
      </c>
    </row>
    <row r="2532" spans="1:11" x14ac:dyDescent="0.2">
      <c r="A2532" s="168">
        <v>2525</v>
      </c>
      <c r="B2532" s="159">
        <v>594.63366392643309</v>
      </c>
      <c r="C2532" s="169">
        <f t="shared" si="118"/>
        <v>1501450.0014142436</v>
      </c>
      <c r="I2532" s="168">
        <v>2525</v>
      </c>
      <c r="J2532" s="159">
        <f>ROUND(B2532*('Model Data Inputs'!$E$184*'Model Data Inputs'!$E$185*'Model Data Inputs'!$E$186*'Model Data Inputs'!$E$187),2)</f>
        <v>594.63</v>
      </c>
      <c r="K2532" s="169">
        <f t="shared" si="119"/>
        <v>1501440.75</v>
      </c>
    </row>
    <row r="2533" spans="1:11" x14ac:dyDescent="0.2">
      <c r="A2533" s="168">
        <v>2526</v>
      </c>
      <c r="B2533" s="159">
        <v>594.63366392643309</v>
      </c>
      <c r="C2533" s="169">
        <f t="shared" si="118"/>
        <v>1502044.6350781699</v>
      </c>
      <c r="I2533" s="168">
        <v>2526</v>
      </c>
      <c r="J2533" s="159">
        <f>ROUND(B2533*('Model Data Inputs'!$E$184*'Model Data Inputs'!$E$185*'Model Data Inputs'!$E$186*'Model Data Inputs'!$E$187),2)</f>
        <v>594.63</v>
      </c>
      <c r="K2533" s="169">
        <f t="shared" si="119"/>
        <v>1502035.38</v>
      </c>
    </row>
    <row r="2534" spans="1:11" x14ac:dyDescent="0.2">
      <c r="A2534" s="168">
        <v>2527</v>
      </c>
      <c r="B2534" s="159">
        <v>594.63366392643309</v>
      </c>
      <c r="C2534" s="169">
        <f t="shared" si="118"/>
        <v>1502639.2687420964</v>
      </c>
      <c r="I2534" s="168">
        <v>2527</v>
      </c>
      <c r="J2534" s="159">
        <f>ROUND(B2534*('Model Data Inputs'!$E$184*'Model Data Inputs'!$E$185*'Model Data Inputs'!$E$186*'Model Data Inputs'!$E$187),2)</f>
        <v>594.63</v>
      </c>
      <c r="K2534" s="169">
        <f t="shared" si="119"/>
        <v>1502630.01</v>
      </c>
    </row>
    <row r="2535" spans="1:11" x14ac:dyDescent="0.2">
      <c r="A2535" s="168">
        <v>2528</v>
      </c>
      <c r="B2535" s="159">
        <v>594.63366392643309</v>
      </c>
      <c r="C2535" s="169">
        <f t="shared" si="118"/>
        <v>1503233.9024060229</v>
      </c>
      <c r="I2535" s="168">
        <v>2528</v>
      </c>
      <c r="J2535" s="159">
        <f>ROUND(B2535*('Model Data Inputs'!$E$184*'Model Data Inputs'!$E$185*'Model Data Inputs'!$E$186*'Model Data Inputs'!$E$187),2)</f>
        <v>594.63</v>
      </c>
      <c r="K2535" s="169">
        <f t="shared" si="119"/>
        <v>1503224.64</v>
      </c>
    </row>
    <row r="2536" spans="1:11" x14ac:dyDescent="0.2">
      <c r="A2536" s="168">
        <v>2529</v>
      </c>
      <c r="B2536" s="159">
        <v>594.63366392643309</v>
      </c>
      <c r="C2536" s="169">
        <f t="shared" si="118"/>
        <v>1503828.5360699494</v>
      </c>
      <c r="I2536" s="168">
        <v>2529</v>
      </c>
      <c r="J2536" s="159">
        <f>ROUND(B2536*('Model Data Inputs'!$E$184*'Model Data Inputs'!$E$185*'Model Data Inputs'!$E$186*'Model Data Inputs'!$E$187),2)</f>
        <v>594.63</v>
      </c>
      <c r="K2536" s="169">
        <f t="shared" si="119"/>
        <v>1503819.27</v>
      </c>
    </row>
    <row r="2537" spans="1:11" x14ac:dyDescent="0.2">
      <c r="A2537" s="168">
        <v>2530</v>
      </c>
      <c r="B2537" s="159">
        <v>594.63366392643309</v>
      </c>
      <c r="C2537" s="169">
        <f t="shared" si="118"/>
        <v>1504423.1697338757</v>
      </c>
      <c r="I2537" s="168">
        <v>2530</v>
      </c>
      <c r="J2537" s="159">
        <f>ROUND(B2537*('Model Data Inputs'!$E$184*'Model Data Inputs'!$E$185*'Model Data Inputs'!$E$186*'Model Data Inputs'!$E$187),2)</f>
        <v>594.63</v>
      </c>
      <c r="K2537" s="169">
        <f t="shared" si="119"/>
        <v>1504413.9</v>
      </c>
    </row>
    <row r="2538" spans="1:11" x14ac:dyDescent="0.2">
      <c r="A2538" s="168">
        <v>2531</v>
      </c>
      <c r="B2538" s="159">
        <v>594.63366392643309</v>
      </c>
      <c r="C2538" s="169">
        <f t="shared" si="118"/>
        <v>1505017.8033978022</v>
      </c>
      <c r="I2538" s="168">
        <v>2531</v>
      </c>
      <c r="J2538" s="159">
        <f>ROUND(B2538*('Model Data Inputs'!$E$184*'Model Data Inputs'!$E$185*'Model Data Inputs'!$E$186*'Model Data Inputs'!$E$187),2)</f>
        <v>594.63</v>
      </c>
      <c r="K2538" s="169">
        <f t="shared" si="119"/>
        <v>1505008.53</v>
      </c>
    </row>
    <row r="2539" spans="1:11" x14ac:dyDescent="0.2">
      <c r="A2539" s="168">
        <v>2532</v>
      </c>
      <c r="B2539" s="159">
        <v>594.63366392643309</v>
      </c>
      <c r="C2539" s="169">
        <f t="shared" si="118"/>
        <v>1505612.4370617287</v>
      </c>
      <c r="I2539" s="168">
        <v>2532</v>
      </c>
      <c r="J2539" s="159">
        <f>ROUND(B2539*('Model Data Inputs'!$E$184*'Model Data Inputs'!$E$185*'Model Data Inputs'!$E$186*'Model Data Inputs'!$E$187),2)</f>
        <v>594.63</v>
      </c>
      <c r="K2539" s="169">
        <f t="shared" si="119"/>
        <v>1505603.16</v>
      </c>
    </row>
    <row r="2540" spans="1:11" x14ac:dyDescent="0.2">
      <c r="A2540" s="168">
        <v>2533</v>
      </c>
      <c r="B2540" s="159">
        <v>594.63366392643309</v>
      </c>
      <c r="C2540" s="169">
        <f t="shared" si="118"/>
        <v>1506207.070725655</v>
      </c>
      <c r="I2540" s="168">
        <v>2533</v>
      </c>
      <c r="J2540" s="159">
        <f>ROUND(B2540*('Model Data Inputs'!$E$184*'Model Data Inputs'!$E$185*'Model Data Inputs'!$E$186*'Model Data Inputs'!$E$187),2)</f>
        <v>594.63</v>
      </c>
      <c r="K2540" s="169">
        <f t="shared" si="119"/>
        <v>1506197.79</v>
      </c>
    </row>
    <row r="2541" spans="1:11" x14ac:dyDescent="0.2">
      <c r="A2541" s="168">
        <v>2534</v>
      </c>
      <c r="B2541" s="159">
        <v>594.63366392643309</v>
      </c>
      <c r="C2541" s="169">
        <f t="shared" si="118"/>
        <v>1506801.7043895815</v>
      </c>
      <c r="I2541" s="168">
        <v>2534</v>
      </c>
      <c r="J2541" s="159">
        <f>ROUND(B2541*('Model Data Inputs'!$E$184*'Model Data Inputs'!$E$185*'Model Data Inputs'!$E$186*'Model Data Inputs'!$E$187),2)</f>
        <v>594.63</v>
      </c>
      <c r="K2541" s="169">
        <f t="shared" si="119"/>
        <v>1506792.42</v>
      </c>
    </row>
    <row r="2542" spans="1:11" x14ac:dyDescent="0.2">
      <c r="A2542" s="168">
        <v>2535</v>
      </c>
      <c r="B2542" s="159">
        <v>594.63366392643309</v>
      </c>
      <c r="C2542" s="169">
        <f t="shared" si="118"/>
        <v>1507396.338053508</v>
      </c>
      <c r="I2542" s="168">
        <v>2535</v>
      </c>
      <c r="J2542" s="159">
        <f>ROUND(B2542*('Model Data Inputs'!$E$184*'Model Data Inputs'!$E$185*'Model Data Inputs'!$E$186*'Model Data Inputs'!$E$187),2)</f>
        <v>594.63</v>
      </c>
      <c r="K2542" s="169">
        <f t="shared" si="119"/>
        <v>1507387.05</v>
      </c>
    </row>
    <row r="2543" spans="1:11" x14ac:dyDescent="0.2">
      <c r="A2543" s="168">
        <v>2536</v>
      </c>
      <c r="B2543" s="159">
        <v>594.63366392643309</v>
      </c>
      <c r="C2543" s="169">
        <f t="shared" si="118"/>
        <v>1507990.9717174342</v>
      </c>
      <c r="I2543" s="168">
        <v>2536</v>
      </c>
      <c r="J2543" s="159">
        <f>ROUND(B2543*('Model Data Inputs'!$E$184*'Model Data Inputs'!$E$185*'Model Data Inputs'!$E$186*'Model Data Inputs'!$E$187),2)</f>
        <v>594.63</v>
      </c>
      <c r="K2543" s="169">
        <f t="shared" si="119"/>
        <v>1507981.68</v>
      </c>
    </row>
    <row r="2544" spans="1:11" x14ac:dyDescent="0.2">
      <c r="A2544" s="168">
        <v>2537</v>
      </c>
      <c r="B2544" s="159">
        <v>594.63366392643309</v>
      </c>
      <c r="C2544" s="169">
        <f t="shared" si="118"/>
        <v>1508585.6053813607</v>
      </c>
      <c r="I2544" s="168">
        <v>2537</v>
      </c>
      <c r="J2544" s="159">
        <f>ROUND(B2544*('Model Data Inputs'!$E$184*'Model Data Inputs'!$E$185*'Model Data Inputs'!$E$186*'Model Data Inputs'!$E$187),2)</f>
        <v>594.63</v>
      </c>
      <c r="K2544" s="169">
        <f t="shared" si="119"/>
        <v>1508576.31</v>
      </c>
    </row>
    <row r="2545" spans="1:11" x14ac:dyDescent="0.2">
      <c r="A2545" s="168">
        <v>2538</v>
      </c>
      <c r="B2545" s="159">
        <v>594.63366392643309</v>
      </c>
      <c r="C2545" s="169">
        <f t="shared" si="118"/>
        <v>1509180.2390452872</v>
      </c>
      <c r="I2545" s="168">
        <v>2538</v>
      </c>
      <c r="J2545" s="159">
        <f>ROUND(B2545*('Model Data Inputs'!$E$184*'Model Data Inputs'!$E$185*'Model Data Inputs'!$E$186*'Model Data Inputs'!$E$187),2)</f>
        <v>594.63</v>
      </c>
      <c r="K2545" s="169">
        <f t="shared" si="119"/>
        <v>1509170.94</v>
      </c>
    </row>
    <row r="2546" spans="1:11" x14ac:dyDescent="0.2">
      <c r="A2546" s="168">
        <v>2539</v>
      </c>
      <c r="B2546" s="159">
        <v>594.63366392643309</v>
      </c>
      <c r="C2546" s="169">
        <f t="shared" si="118"/>
        <v>1509774.8727092135</v>
      </c>
      <c r="I2546" s="168">
        <v>2539</v>
      </c>
      <c r="J2546" s="159">
        <f>ROUND(B2546*('Model Data Inputs'!$E$184*'Model Data Inputs'!$E$185*'Model Data Inputs'!$E$186*'Model Data Inputs'!$E$187),2)</f>
        <v>594.63</v>
      </c>
      <c r="K2546" s="169">
        <f t="shared" si="119"/>
        <v>1509765.57</v>
      </c>
    </row>
    <row r="2547" spans="1:11" x14ac:dyDescent="0.2">
      <c r="A2547" s="168">
        <v>2540</v>
      </c>
      <c r="B2547" s="159">
        <v>594.63366392643309</v>
      </c>
      <c r="C2547" s="169">
        <f t="shared" si="118"/>
        <v>1510369.50637314</v>
      </c>
      <c r="I2547" s="168">
        <v>2540</v>
      </c>
      <c r="J2547" s="159">
        <f>ROUND(B2547*('Model Data Inputs'!$E$184*'Model Data Inputs'!$E$185*'Model Data Inputs'!$E$186*'Model Data Inputs'!$E$187),2)</f>
        <v>594.63</v>
      </c>
      <c r="K2547" s="169">
        <f t="shared" si="119"/>
        <v>1510360.2</v>
      </c>
    </row>
    <row r="2548" spans="1:11" x14ac:dyDescent="0.2">
      <c r="A2548" s="168">
        <v>2541</v>
      </c>
      <c r="B2548" s="159">
        <v>594.63366392643309</v>
      </c>
      <c r="C2548" s="169">
        <f t="shared" si="118"/>
        <v>1510964.1400370665</v>
      </c>
      <c r="I2548" s="168">
        <v>2541</v>
      </c>
      <c r="J2548" s="159">
        <f>ROUND(B2548*('Model Data Inputs'!$E$184*'Model Data Inputs'!$E$185*'Model Data Inputs'!$E$186*'Model Data Inputs'!$E$187),2)</f>
        <v>594.63</v>
      </c>
      <c r="K2548" s="169">
        <f t="shared" si="119"/>
        <v>1510954.83</v>
      </c>
    </row>
    <row r="2549" spans="1:11" x14ac:dyDescent="0.2">
      <c r="A2549" s="168">
        <v>2542</v>
      </c>
      <c r="B2549" s="159">
        <v>594.63366392643309</v>
      </c>
      <c r="C2549" s="169">
        <f t="shared" si="118"/>
        <v>1511558.7737009928</v>
      </c>
      <c r="I2549" s="168">
        <v>2542</v>
      </c>
      <c r="J2549" s="159">
        <f>ROUND(B2549*('Model Data Inputs'!$E$184*'Model Data Inputs'!$E$185*'Model Data Inputs'!$E$186*'Model Data Inputs'!$E$187),2)</f>
        <v>594.63</v>
      </c>
      <c r="K2549" s="169">
        <f t="shared" si="119"/>
        <v>1511549.46</v>
      </c>
    </row>
    <row r="2550" spans="1:11" x14ac:dyDescent="0.2">
      <c r="A2550" s="168">
        <v>2543</v>
      </c>
      <c r="B2550" s="159">
        <v>594.63366392643309</v>
      </c>
      <c r="C2550" s="169">
        <f t="shared" si="118"/>
        <v>1512153.4073649193</v>
      </c>
      <c r="I2550" s="168">
        <v>2543</v>
      </c>
      <c r="J2550" s="159">
        <f>ROUND(B2550*('Model Data Inputs'!$E$184*'Model Data Inputs'!$E$185*'Model Data Inputs'!$E$186*'Model Data Inputs'!$E$187),2)</f>
        <v>594.63</v>
      </c>
      <c r="K2550" s="169">
        <f t="shared" si="119"/>
        <v>1512144.09</v>
      </c>
    </row>
    <row r="2551" spans="1:11" x14ac:dyDescent="0.2">
      <c r="A2551" s="168">
        <v>2544</v>
      </c>
      <c r="B2551" s="159">
        <v>594.63366392643309</v>
      </c>
      <c r="C2551" s="169">
        <f t="shared" si="118"/>
        <v>1512748.0410288458</v>
      </c>
      <c r="I2551" s="168">
        <v>2544</v>
      </c>
      <c r="J2551" s="159">
        <f>ROUND(B2551*('Model Data Inputs'!$E$184*'Model Data Inputs'!$E$185*'Model Data Inputs'!$E$186*'Model Data Inputs'!$E$187),2)</f>
        <v>594.63</v>
      </c>
      <c r="K2551" s="169">
        <f t="shared" si="119"/>
        <v>1512738.72</v>
      </c>
    </row>
    <row r="2552" spans="1:11" x14ac:dyDescent="0.2">
      <c r="A2552" s="168">
        <v>2545</v>
      </c>
      <c r="B2552" s="159">
        <v>594.63366392643309</v>
      </c>
      <c r="C2552" s="169">
        <f t="shared" si="118"/>
        <v>1513342.6746927721</v>
      </c>
      <c r="I2552" s="168">
        <v>2545</v>
      </c>
      <c r="J2552" s="159">
        <f>ROUND(B2552*('Model Data Inputs'!$E$184*'Model Data Inputs'!$E$185*'Model Data Inputs'!$E$186*'Model Data Inputs'!$E$187),2)</f>
        <v>594.63</v>
      </c>
      <c r="K2552" s="169">
        <f t="shared" si="119"/>
        <v>1513333.35</v>
      </c>
    </row>
    <row r="2553" spans="1:11" x14ac:dyDescent="0.2">
      <c r="A2553" s="168">
        <v>2546</v>
      </c>
      <c r="B2553" s="159">
        <v>594.63366392643309</v>
      </c>
      <c r="C2553" s="169">
        <f t="shared" si="118"/>
        <v>1513937.3083566986</v>
      </c>
      <c r="I2553" s="168">
        <v>2546</v>
      </c>
      <c r="J2553" s="159">
        <f>ROUND(B2553*('Model Data Inputs'!$E$184*'Model Data Inputs'!$E$185*'Model Data Inputs'!$E$186*'Model Data Inputs'!$E$187),2)</f>
        <v>594.63</v>
      </c>
      <c r="K2553" s="169">
        <f t="shared" si="119"/>
        <v>1513927.98</v>
      </c>
    </row>
    <row r="2554" spans="1:11" x14ac:dyDescent="0.2">
      <c r="A2554" s="168">
        <v>2547</v>
      </c>
      <c r="B2554" s="159">
        <v>594.63366392643309</v>
      </c>
      <c r="C2554" s="169">
        <f t="shared" si="118"/>
        <v>1514531.9420206251</v>
      </c>
      <c r="I2554" s="168">
        <v>2547</v>
      </c>
      <c r="J2554" s="159">
        <f>ROUND(B2554*('Model Data Inputs'!$E$184*'Model Data Inputs'!$E$185*'Model Data Inputs'!$E$186*'Model Data Inputs'!$E$187),2)</f>
        <v>594.63</v>
      </c>
      <c r="K2554" s="169">
        <f t="shared" si="119"/>
        <v>1514522.61</v>
      </c>
    </row>
    <row r="2555" spans="1:11" x14ac:dyDescent="0.2">
      <c r="A2555" s="168">
        <v>2548</v>
      </c>
      <c r="B2555" s="159">
        <v>594.63366392643309</v>
      </c>
      <c r="C2555" s="169">
        <f t="shared" si="118"/>
        <v>1515126.5756845516</v>
      </c>
      <c r="I2555" s="168">
        <v>2548</v>
      </c>
      <c r="J2555" s="159">
        <f>ROUND(B2555*('Model Data Inputs'!$E$184*'Model Data Inputs'!$E$185*'Model Data Inputs'!$E$186*'Model Data Inputs'!$E$187),2)</f>
        <v>594.63</v>
      </c>
      <c r="K2555" s="169">
        <f t="shared" si="119"/>
        <v>1515117.24</v>
      </c>
    </row>
    <row r="2556" spans="1:11" x14ac:dyDescent="0.2">
      <c r="A2556" s="168">
        <v>2549</v>
      </c>
      <c r="B2556" s="159">
        <v>594.63366392643309</v>
      </c>
      <c r="C2556" s="169">
        <f t="shared" si="118"/>
        <v>1515721.2093484779</v>
      </c>
      <c r="I2556" s="168">
        <v>2549</v>
      </c>
      <c r="J2556" s="159">
        <f>ROUND(B2556*('Model Data Inputs'!$E$184*'Model Data Inputs'!$E$185*'Model Data Inputs'!$E$186*'Model Data Inputs'!$E$187),2)</f>
        <v>594.63</v>
      </c>
      <c r="K2556" s="169">
        <f t="shared" si="119"/>
        <v>1515711.8699999999</v>
      </c>
    </row>
    <row r="2557" spans="1:11" x14ac:dyDescent="0.2">
      <c r="A2557" s="168">
        <v>2550</v>
      </c>
      <c r="B2557" s="159">
        <v>594.63366392643309</v>
      </c>
      <c r="C2557" s="169">
        <f t="shared" si="118"/>
        <v>1516315.8430124044</v>
      </c>
      <c r="I2557" s="168">
        <v>2550</v>
      </c>
      <c r="J2557" s="159">
        <f>ROUND(B2557*('Model Data Inputs'!$E$184*'Model Data Inputs'!$E$185*'Model Data Inputs'!$E$186*'Model Data Inputs'!$E$187),2)</f>
        <v>594.63</v>
      </c>
      <c r="K2557" s="169">
        <f t="shared" si="119"/>
        <v>1516306.5</v>
      </c>
    </row>
    <row r="2558" spans="1:11" x14ac:dyDescent="0.2">
      <c r="A2558" s="168">
        <v>2551</v>
      </c>
      <c r="B2558" s="159">
        <v>594.63366392643309</v>
      </c>
      <c r="C2558" s="169">
        <f t="shared" si="118"/>
        <v>1516910.4766763309</v>
      </c>
      <c r="I2558" s="168">
        <v>2551</v>
      </c>
      <c r="J2558" s="159">
        <f>ROUND(B2558*('Model Data Inputs'!$E$184*'Model Data Inputs'!$E$185*'Model Data Inputs'!$E$186*'Model Data Inputs'!$E$187),2)</f>
        <v>594.63</v>
      </c>
      <c r="K2558" s="169">
        <f t="shared" si="119"/>
        <v>1516901.13</v>
      </c>
    </row>
    <row r="2559" spans="1:11" x14ac:dyDescent="0.2">
      <c r="A2559" s="168">
        <v>2552</v>
      </c>
      <c r="B2559" s="159">
        <v>594.63366392643309</v>
      </c>
      <c r="C2559" s="169">
        <f t="shared" si="118"/>
        <v>1517505.1103402572</v>
      </c>
      <c r="I2559" s="168">
        <v>2552</v>
      </c>
      <c r="J2559" s="159">
        <f>ROUND(B2559*('Model Data Inputs'!$E$184*'Model Data Inputs'!$E$185*'Model Data Inputs'!$E$186*'Model Data Inputs'!$E$187),2)</f>
        <v>594.63</v>
      </c>
      <c r="K2559" s="169">
        <f t="shared" si="119"/>
        <v>1517495.76</v>
      </c>
    </row>
    <row r="2560" spans="1:11" x14ac:dyDescent="0.2">
      <c r="A2560" s="168">
        <v>2553</v>
      </c>
      <c r="B2560" s="159">
        <v>594.63366392643309</v>
      </c>
      <c r="C2560" s="169">
        <f t="shared" si="118"/>
        <v>1518099.7440041837</v>
      </c>
      <c r="I2560" s="168">
        <v>2553</v>
      </c>
      <c r="J2560" s="159">
        <f>ROUND(B2560*('Model Data Inputs'!$E$184*'Model Data Inputs'!$E$185*'Model Data Inputs'!$E$186*'Model Data Inputs'!$E$187),2)</f>
        <v>594.63</v>
      </c>
      <c r="K2560" s="169">
        <f t="shared" si="119"/>
        <v>1518090.39</v>
      </c>
    </row>
    <row r="2561" spans="1:11" x14ac:dyDescent="0.2">
      <c r="A2561" s="168">
        <v>2554</v>
      </c>
      <c r="B2561" s="159">
        <v>594.63366392643309</v>
      </c>
      <c r="C2561" s="169">
        <f t="shared" si="118"/>
        <v>1518694.3776681102</v>
      </c>
      <c r="I2561" s="168">
        <v>2554</v>
      </c>
      <c r="J2561" s="159">
        <f>ROUND(B2561*('Model Data Inputs'!$E$184*'Model Data Inputs'!$E$185*'Model Data Inputs'!$E$186*'Model Data Inputs'!$E$187),2)</f>
        <v>594.63</v>
      </c>
      <c r="K2561" s="169">
        <f t="shared" si="119"/>
        <v>1518685.02</v>
      </c>
    </row>
    <row r="2562" spans="1:11" x14ac:dyDescent="0.2">
      <c r="A2562" s="168">
        <v>2555</v>
      </c>
      <c r="B2562" s="159">
        <v>594.63366392643309</v>
      </c>
      <c r="C2562" s="169">
        <f t="shared" si="118"/>
        <v>1519289.0113320365</v>
      </c>
      <c r="I2562" s="168">
        <v>2555</v>
      </c>
      <c r="J2562" s="159">
        <f>ROUND(B2562*('Model Data Inputs'!$E$184*'Model Data Inputs'!$E$185*'Model Data Inputs'!$E$186*'Model Data Inputs'!$E$187),2)</f>
        <v>594.63</v>
      </c>
      <c r="K2562" s="169">
        <f t="shared" si="119"/>
        <v>1519279.65</v>
      </c>
    </row>
    <row r="2563" spans="1:11" x14ac:dyDescent="0.2">
      <c r="A2563" s="168">
        <v>2556</v>
      </c>
      <c r="B2563" s="159">
        <v>594.63366392643309</v>
      </c>
      <c r="C2563" s="169">
        <f t="shared" si="118"/>
        <v>1519883.644995963</v>
      </c>
      <c r="I2563" s="168">
        <v>2556</v>
      </c>
      <c r="J2563" s="159">
        <f>ROUND(B2563*('Model Data Inputs'!$E$184*'Model Data Inputs'!$E$185*'Model Data Inputs'!$E$186*'Model Data Inputs'!$E$187),2)</f>
        <v>594.63</v>
      </c>
      <c r="K2563" s="169">
        <f t="shared" si="119"/>
        <v>1519874.28</v>
      </c>
    </row>
    <row r="2564" spans="1:11" x14ac:dyDescent="0.2">
      <c r="A2564" s="168">
        <v>2557</v>
      </c>
      <c r="B2564" s="159">
        <v>594.63366392643309</v>
      </c>
      <c r="C2564" s="169">
        <f t="shared" si="118"/>
        <v>1520478.2786598895</v>
      </c>
      <c r="I2564" s="168">
        <v>2557</v>
      </c>
      <c r="J2564" s="159">
        <f>ROUND(B2564*('Model Data Inputs'!$E$184*'Model Data Inputs'!$E$185*'Model Data Inputs'!$E$186*'Model Data Inputs'!$E$187),2)</f>
        <v>594.63</v>
      </c>
      <c r="K2564" s="169">
        <f t="shared" si="119"/>
        <v>1520468.91</v>
      </c>
    </row>
    <row r="2565" spans="1:11" x14ac:dyDescent="0.2">
      <c r="A2565" s="168">
        <v>2558</v>
      </c>
      <c r="B2565" s="159">
        <v>594.63366392643309</v>
      </c>
      <c r="C2565" s="169">
        <f t="shared" si="118"/>
        <v>1521072.9123238157</v>
      </c>
      <c r="I2565" s="168">
        <v>2558</v>
      </c>
      <c r="J2565" s="159">
        <f>ROUND(B2565*('Model Data Inputs'!$E$184*'Model Data Inputs'!$E$185*'Model Data Inputs'!$E$186*'Model Data Inputs'!$E$187),2)</f>
        <v>594.63</v>
      </c>
      <c r="K2565" s="169">
        <f t="shared" si="119"/>
        <v>1521063.54</v>
      </c>
    </row>
    <row r="2566" spans="1:11" x14ac:dyDescent="0.2">
      <c r="A2566" s="168">
        <v>2559</v>
      </c>
      <c r="B2566" s="159">
        <v>594.63366392643309</v>
      </c>
      <c r="C2566" s="169">
        <f t="shared" si="118"/>
        <v>1521667.5459877423</v>
      </c>
      <c r="I2566" s="168">
        <v>2559</v>
      </c>
      <c r="J2566" s="159">
        <f>ROUND(B2566*('Model Data Inputs'!$E$184*'Model Data Inputs'!$E$185*'Model Data Inputs'!$E$186*'Model Data Inputs'!$E$187),2)</f>
        <v>594.63</v>
      </c>
      <c r="K2566" s="169">
        <f t="shared" si="119"/>
        <v>1521658.17</v>
      </c>
    </row>
    <row r="2567" spans="1:11" x14ac:dyDescent="0.2">
      <c r="A2567" s="168">
        <v>2560</v>
      </c>
      <c r="B2567" s="159">
        <v>594.63366392643309</v>
      </c>
      <c r="C2567" s="169">
        <f t="shared" si="118"/>
        <v>1522262.1796516688</v>
      </c>
      <c r="I2567" s="168">
        <v>2560</v>
      </c>
      <c r="J2567" s="159">
        <f>ROUND(B2567*('Model Data Inputs'!$E$184*'Model Data Inputs'!$E$185*'Model Data Inputs'!$E$186*'Model Data Inputs'!$E$187),2)</f>
        <v>594.63</v>
      </c>
      <c r="K2567" s="169">
        <f t="shared" si="119"/>
        <v>1522252.8</v>
      </c>
    </row>
    <row r="2568" spans="1:11" x14ac:dyDescent="0.2">
      <c r="A2568" s="168">
        <v>2561</v>
      </c>
      <c r="B2568" s="159">
        <v>594.63366392643309</v>
      </c>
      <c r="C2568" s="169">
        <f t="shared" ref="C2568:C2631" si="120">A2568*B2568</f>
        <v>1522856.813315595</v>
      </c>
      <c r="I2568" s="168">
        <v>2561</v>
      </c>
      <c r="J2568" s="159">
        <f>ROUND(B2568*('Model Data Inputs'!$E$184*'Model Data Inputs'!$E$185*'Model Data Inputs'!$E$186*'Model Data Inputs'!$E$187),2)</f>
        <v>594.63</v>
      </c>
      <c r="K2568" s="169">
        <f t="shared" ref="K2568:K2631" si="121">I2568*J2568</f>
        <v>1522847.43</v>
      </c>
    </row>
    <row r="2569" spans="1:11" x14ac:dyDescent="0.2">
      <c r="A2569" s="168">
        <v>2562</v>
      </c>
      <c r="B2569" s="159">
        <v>594.63366392643309</v>
      </c>
      <c r="C2569" s="169">
        <f t="shared" si="120"/>
        <v>1523451.4469795215</v>
      </c>
      <c r="I2569" s="168">
        <v>2562</v>
      </c>
      <c r="J2569" s="159">
        <f>ROUND(B2569*('Model Data Inputs'!$E$184*'Model Data Inputs'!$E$185*'Model Data Inputs'!$E$186*'Model Data Inputs'!$E$187),2)</f>
        <v>594.63</v>
      </c>
      <c r="K2569" s="169">
        <f t="shared" si="121"/>
        <v>1523442.06</v>
      </c>
    </row>
    <row r="2570" spans="1:11" x14ac:dyDescent="0.2">
      <c r="A2570" s="168">
        <v>2563</v>
      </c>
      <c r="B2570" s="159">
        <v>594.63366392643309</v>
      </c>
      <c r="C2570" s="169">
        <f t="shared" si="120"/>
        <v>1524046.080643448</v>
      </c>
      <c r="I2570" s="168">
        <v>2563</v>
      </c>
      <c r="J2570" s="159">
        <f>ROUND(B2570*('Model Data Inputs'!$E$184*'Model Data Inputs'!$E$185*'Model Data Inputs'!$E$186*'Model Data Inputs'!$E$187),2)</f>
        <v>594.63</v>
      </c>
      <c r="K2570" s="169">
        <f t="shared" si="121"/>
        <v>1524036.69</v>
      </c>
    </row>
    <row r="2571" spans="1:11" x14ac:dyDescent="0.2">
      <c r="A2571" s="168">
        <v>2564</v>
      </c>
      <c r="B2571" s="159">
        <v>594.63366392643309</v>
      </c>
      <c r="C2571" s="169">
        <f t="shared" si="120"/>
        <v>1524640.7143073743</v>
      </c>
      <c r="I2571" s="168">
        <v>2564</v>
      </c>
      <c r="J2571" s="159">
        <f>ROUND(B2571*('Model Data Inputs'!$E$184*'Model Data Inputs'!$E$185*'Model Data Inputs'!$E$186*'Model Data Inputs'!$E$187),2)</f>
        <v>594.63</v>
      </c>
      <c r="K2571" s="169">
        <f t="shared" si="121"/>
        <v>1524631.32</v>
      </c>
    </row>
    <row r="2572" spans="1:11" x14ac:dyDescent="0.2">
      <c r="A2572" s="168">
        <v>2565</v>
      </c>
      <c r="B2572" s="159">
        <v>594.63366392643309</v>
      </c>
      <c r="C2572" s="169">
        <f t="shared" si="120"/>
        <v>1525235.3479713008</v>
      </c>
      <c r="I2572" s="168">
        <v>2565</v>
      </c>
      <c r="J2572" s="159">
        <f>ROUND(B2572*('Model Data Inputs'!$E$184*'Model Data Inputs'!$E$185*'Model Data Inputs'!$E$186*'Model Data Inputs'!$E$187),2)</f>
        <v>594.63</v>
      </c>
      <c r="K2572" s="169">
        <f t="shared" si="121"/>
        <v>1525225.95</v>
      </c>
    </row>
    <row r="2573" spans="1:11" x14ac:dyDescent="0.2">
      <c r="A2573" s="168">
        <v>2566</v>
      </c>
      <c r="B2573" s="159">
        <v>594.63366392643309</v>
      </c>
      <c r="C2573" s="169">
        <f t="shared" si="120"/>
        <v>1525829.9816352273</v>
      </c>
      <c r="I2573" s="168">
        <v>2566</v>
      </c>
      <c r="J2573" s="159">
        <f>ROUND(B2573*('Model Data Inputs'!$E$184*'Model Data Inputs'!$E$185*'Model Data Inputs'!$E$186*'Model Data Inputs'!$E$187),2)</f>
        <v>594.63</v>
      </c>
      <c r="K2573" s="169">
        <f t="shared" si="121"/>
        <v>1525820.58</v>
      </c>
    </row>
    <row r="2574" spans="1:11" x14ac:dyDescent="0.2">
      <c r="A2574" s="168">
        <v>2567</v>
      </c>
      <c r="B2574" s="159">
        <v>594.63366392643309</v>
      </c>
      <c r="C2574" s="169">
        <f t="shared" si="120"/>
        <v>1526424.6152991538</v>
      </c>
      <c r="I2574" s="168">
        <v>2567</v>
      </c>
      <c r="J2574" s="159">
        <f>ROUND(B2574*('Model Data Inputs'!$E$184*'Model Data Inputs'!$E$185*'Model Data Inputs'!$E$186*'Model Data Inputs'!$E$187),2)</f>
        <v>594.63</v>
      </c>
      <c r="K2574" s="169">
        <f t="shared" si="121"/>
        <v>1526415.21</v>
      </c>
    </row>
    <row r="2575" spans="1:11" x14ac:dyDescent="0.2">
      <c r="A2575" s="168">
        <v>2568</v>
      </c>
      <c r="B2575" s="159">
        <v>594.63366392643309</v>
      </c>
      <c r="C2575" s="169">
        <f t="shared" si="120"/>
        <v>1527019.2489630801</v>
      </c>
      <c r="I2575" s="168">
        <v>2568</v>
      </c>
      <c r="J2575" s="159">
        <f>ROUND(B2575*('Model Data Inputs'!$E$184*'Model Data Inputs'!$E$185*'Model Data Inputs'!$E$186*'Model Data Inputs'!$E$187),2)</f>
        <v>594.63</v>
      </c>
      <c r="K2575" s="169">
        <f t="shared" si="121"/>
        <v>1527009.84</v>
      </c>
    </row>
    <row r="2576" spans="1:11" x14ac:dyDescent="0.2">
      <c r="A2576" s="168">
        <v>2569</v>
      </c>
      <c r="B2576" s="159">
        <v>594.63366392643309</v>
      </c>
      <c r="C2576" s="169">
        <f t="shared" si="120"/>
        <v>1527613.8826270066</v>
      </c>
      <c r="I2576" s="168">
        <v>2569</v>
      </c>
      <c r="J2576" s="159">
        <f>ROUND(B2576*('Model Data Inputs'!$E$184*'Model Data Inputs'!$E$185*'Model Data Inputs'!$E$186*'Model Data Inputs'!$E$187),2)</f>
        <v>594.63</v>
      </c>
      <c r="K2576" s="169">
        <f t="shared" si="121"/>
        <v>1527604.47</v>
      </c>
    </row>
    <row r="2577" spans="1:11" x14ac:dyDescent="0.2">
      <c r="A2577" s="168">
        <v>2570</v>
      </c>
      <c r="B2577" s="159">
        <v>594.63366392643309</v>
      </c>
      <c r="C2577" s="169">
        <f t="shared" si="120"/>
        <v>1528208.5162909331</v>
      </c>
      <c r="I2577" s="168">
        <v>2570</v>
      </c>
      <c r="J2577" s="159">
        <f>ROUND(B2577*('Model Data Inputs'!$E$184*'Model Data Inputs'!$E$185*'Model Data Inputs'!$E$186*'Model Data Inputs'!$E$187),2)</f>
        <v>594.63</v>
      </c>
      <c r="K2577" s="169">
        <f t="shared" si="121"/>
        <v>1528199.1</v>
      </c>
    </row>
    <row r="2578" spans="1:11" x14ac:dyDescent="0.2">
      <c r="A2578" s="168">
        <v>2571</v>
      </c>
      <c r="B2578" s="159">
        <v>594.63366392643309</v>
      </c>
      <c r="C2578" s="169">
        <f t="shared" si="120"/>
        <v>1528803.1499548594</v>
      </c>
      <c r="I2578" s="168">
        <v>2571</v>
      </c>
      <c r="J2578" s="159">
        <f>ROUND(B2578*('Model Data Inputs'!$E$184*'Model Data Inputs'!$E$185*'Model Data Inputs'!$E$186*'Model Data Inputs'!$E$187),2)</f>
        <v>594.63</v>
      </c>
      <c r="K2578" s="169">
        <f t="shared" si="121"/>
        <v>1528793.73</v>
      </c>
    </row>
    <row r="2579" spans="1:11" x14ac:dyDescent="0.2">
      <c r="A2579" s="168">
        <v>2572</v>
      </c>
      <c r="B2579" s="159">
        <v>594.63366392643309</v>
      </c>
      <c r="C2579" s="169">
        <f t="shared" si="120"/>
        <v>1529397.7836187859</v>
      </c>
      <c r="I2579" s="168">
        <v>2572</v>
      </c>
      <c r="J2579" s="159">
        <f>ROUND(B2579*('Model Data Inputs'!$E$184*'Model Data Inputs'!$E$185*'Model Data Inputs'!$E$186*'Model Data Inputs'!$E$187),2)</f>
        <v>594.63</v>
      </c>
      <c r="K2579" s="169">
        <f t="shared" si="121"/>
        <v>1529388.36</v>
      </c>
    </row>
    <row r="2580" spans="1:11" x14ac:dyDescent="0.2">
      <c r="A2580" s="168">
        <v>2573</v>
      </c>
      <c r="B2580" s="159">
        <v>594.63366392643309</v>
      </c>
      <c r="C2580" s="169">
        <f t="shared" si="120"/>
        <v>1529992.4172827124</v>
      </c>
      <c r="I2580" s="168">
        <v>2573</v>
      </c>
      <c r="J2580" s="159">
        <f>ROUND(B2580*('Model Data Inputs'!$E$184*'Model Data Inputs'!$E$185*'Model Data Inputs'!$E$186*'Model Data Inputs'!$E$187),2)</f>
        <v>594.63</v>
      </c>
      <c r="K2580" s="169">
        <f t="shared" si="121"/>
        <v>1529982.99</v>
      </c>
    </row>
    <row r="2581" spans="1:11" x14ac:dyDescent="0.2">
      <c r="A2581" s="168">
        <v>2574</v>
      </c>
      <c r="B2581" s="159">
        <v>594.63366392643309</v>
      </c>
      <c r="C2581" s="169">
        <f t="shared" si="120"/>
        <v>1530587.0509466387</v>
      </c>
      <c r="I2581" s="168">
        <v>2574</v>
      </c>
      <c r="J2581" s="159">
        <f>ROUND(B2581*('Model Data Inputs'!$E$184*'Model Data Inputs'!$E$185*'Model Data Inputs'!$E$186*'Model Data Inputs'!$E$187),2)</f>
        <v>594.63</v>
      </c>
      <c r="K2581" s="169">
        <f t="shared" si="121"/>
        <v>1530577.6199999999</v>
      </c>
    </row>
    <row r="2582" spans="1:11" x14ac:dyDescent="0.2">
      <c r="A2582" s="168">
        <v>2575</v>
      </c>
      <c r="B2582" s="159">
        <v>594.63366392643309</v>
      </c>
      <c r="C2582" s="169">
        <f t="shared" si="120"/>
        <v>1531181.6846105652</v>
      </c>
      <c r="I2582" s="168">
        <v>2575</v>
      </c>
      <c r="J2582" s="159">
        <f>ROUND(B2582*('Model Data Inputs'!$E$184*'Model Data Inputs'!$E$185*'Model Data Inputs'!$E$186*'Model Data Inputs'!$E$187),2)</f>
        <v>594.63</v>
      </c>
      <c r="K2582" s="169">
        <f t="shared" si="121"/>
        <v>1531172.25</v>
      </c>
    </row>
    <row r="2583" spans="1:11" x14ac:dyDescent="0.2">
      <c r="A2583" s="168">
        <v>2576</v>
      </c>
      <c r="B2583" s="159">
        <v>594.63366392643309</v>
      </c>
      <c r="C2583" s="169">
        <f t="shared" si="120"/>
        <v>1531776.3182744917</v>
      </c>
      <c r="I2583" s="168">
        <v>2576</v>
      </c>
      <c r="J2583" s="159">
        <f>ROUND(B2583*('Model Data Inputs'!$E$184*'Model Data Inputs'!$E$185*'Model Data Inputs'!$E$186*'Model Data Inputs'!$E$187),2)</f>
        <v>594.63</v>
      </c>
      <c r="K2583" s="169">
        <f t="shared" si="121"/>
        <v>1531766.88</v>
      </c>
    </row>
    <row r="2584" spans="1:11" x14ac:dyDescent="0.2">
      <c r="A2584" s="168">
        <v>2577</v>
      </c>
      <c r="B2584" s="159">
        <v>594.63366392643309</v>
      </c>
      <c r="C2584" s="169">
        <f t="shared" si="120"/>
        <v>1532370.951938418</v>
      </c>
      <c r="I2584" s="168">
        <v>2577</v>
      </c>
      <c r="J2584" s="159">
        <f>ROUND(B2584*('Model Data Inputs'!$E$184*'Model Data Inputs'!$E$185*'Model Data Inputs'!$E$186*'Model Data Inputs'!$E$187),2)</f>
        <v>594.63</v>
      </c>
      <c r="K2584" s="169">
        <f t="shared" si="121"/>
        <v>1532361.51</v>
      </c>
    </row>
    <row r="2585" spans="1:11" x14ac:dyDescent="0.2">
      <c r="A2585" s="168">
        <v>2578</v>
      </c>
      <c r="B2585" s="159">
        <v>594.63366392643309</v>
      </c>
      <c r="C2585" s="169">
        <f t="shared" si="120"/>
        <v>1532965.5856023445</v>
      </c>
      <c r="I2585" s="168">
        <v>2578</v>
      </c>
      <c r="J2585" s="159">
        <f>ROUND(B2585*('Model Data Inputs'!$E$184*'Model Data Inputs'!$E$185*'Model Data Inputs'!$E$186*'Model Data Inputs'!$E$187),2)</f>
        <v>594.63</v>
      </c>
      <c r="K2585" s="169">
        <f t="shared" si="121"/>
        <v>1532956.14</v>
      </c>
    </row>
    <row r="2586" spans="1:11" x14ac:dyDescent="0.2">
      <c r="A2586" s="168">
        <v>2579</v>
      </c>
      <c r="B2586" s="159">
        <v>594.63366392643309</v>
      </c>
      <c r="C2586" s="169">
        <f t="shared" si="120"/>
        <v>1533560.219266271</v>
      </c>
      <c r="I2586" s="168">
        <v>2579</v>
      </c>
      <c r="J2586" s="159">
        <f>ROUND(B2586*('Model Data Inputs'!$E$184*'Model Data Inputs'!$E$185*'Model Data Inputs'!$E$186*'Model Data Inputs'!$E$187),2)</f>
        <v>594.63</v>
      </c>
      <c r="K2586" s="169">
        <f t="shared" si="121"/>
        <v>1533550.77</v>
      </c>
    </row>
    <row r="2587" spans="1:11" x14ac:dyDescent="0.2">
      <c r="A2587" s="168">
        <v>2580</v>
      </c>
      <c r="B2587" s="159">
        <v>594.63366392643309</v>
      </c>
      <c r="C2587" s="169">
        <f t="shared" si="120"/>
        <v>1534154.8529301973</v>
      </c>
      <c r="I2587" s="168">
        <v>2580</v>
      </c>
      <c r="J2587" s="159">
        <f>ROUND(B2587*('Model Data Inputs'!$E$184*'Model Data Inputs'!$E$185*'Model Data Inputs'!$E$186*'Model Data Inputs'!$E$187),2)</f>
        <v>594.63</v>
      </c>
      <c r="K2587" s="169">
        <f t="shared" si="121"/>
        <v>1534145.4</v>
      </c>
    </row>
    <row r="2588" spans="1:11" x14ac:dyDescent="0.2">
      <c r="A2588" s="168">
        <v>2581</v>
      </c>
      <c r="B2588" s="159">
        <v>594.63366392643309</v>
      </c>
      <c r="C2588" s="169">
        <f t="shared" si="120"/>
        <v>1534749.4865941238</v>
      </c>
      <c r="I2588" s="168">
        <v>2581</v>
      </c>
      <c r="J2588" s="159">
        <f>ROUND(B2588*('Model Data Inputs'!$E$184*'Model Data Inputs'!$E$185*'Model Data Inputs'!$E$186*'Model Data Inputs'!$E$187),2)</f>
        <v>594.63</v>
      </c>
      <c r="K2588" s="169">
        <f t="shared" si="121"/>
        <v>1534740.03</v>
      </c>
    </row>
    <row r="2589" spans="1:11" x14ac:dyDescent="0.2">
      <c r="A2589" s="168">
        <v>2582</v>
      </c>
      <c r="B2589" s="159">
        <v>594.63366392643309</v>
      </c>
      <c r="C2589" s="169">
        <f t="shared" si="120"/>
        <v>1535344.1202580503</v>
      </c>
      <c r="I2589" s="168">
        <v>2582</v>
      </c>
      <c r="J2589" s="159">
        <f>ROUND(B2589*('Model Data Inputs'!$E$184*'Model Data Inputs'!$E$185*'Model Data Inputs'!$E$186*'Model Data Inputs'!$E$187),2)</f>
        <v>594.63</v>
      </c>
      <c r="K2589" s="169">
        <f t="shared" si="121"/>
        <v>1535334.66</v>
      </c>
    </row>
    <row r="2590" spans="1:11" x14ac:dyDescent="0.2">
      <c r="A2590" s="168">
        <v>2583</v>
      </c>
      <c r="B2590" s="159">
        <v>594.63366392643309</v>
      </c>
      <c r="C2590" s="169">
        <f t="shared" si="120"/>
        <v>1535938.7539219768</v>
      </c>
      <c r="I2590" s="168">
        <v>2583</v>
      </c>
      <c r="J2590" s="159">
        <f>ROUND(B2590*('Model Data Inputs'!$E$184*'Model Data Inputs'!$E$185*'Model Data Inputs'!$E$186*'Model Data Inputs'!$E$187),2)</f>
        <v>594.63</v>
      </c>
      <c r="K2590" s="169">
        <f t="shared" si="121"/>
        <v>1535929.29</v>
      </c>
    </row>
    <row r="2591" spans="1:11" x14ac:dyDescent="0.2">
      <c r="A2591" s="168">
        <v>2584</v>
      </c>
      <c r="B2591" s="159">
        <v>594.63366392643309</v>
      </c>
      <c r="C2591" s="169">
        <f t="shared" si="120"/>
        <v>1536533.3875859031</v>
      </c>
      <c r="I2591" s="168">
        <v>2584</v>
      </c>
      <c r="J2591" s="159">
        <f>ROUND(B2591*('Model Data Inputs'!$E$184*'Model Data Inputs'!$E$185*'Model Data Inputs'!$E$186*'Model Data Inputs'!$E$187),2)</f>
        <v>594.63</v>
      </c>
      <c r="K2591" s="169">
        <f t="shared" si="121"/>
        <v>1536523.92</v>
      </c>
    </row>
    <row r="2592" spans="1:11" x14ac:dyDescent="0.2">
      <c r="A2592" s="168">
        <v>2585</v>
      </c>
      <c r="B2592" s="159">
        <v>594.63366392643309</v>
      </c>
      <c r="C2592" s="169">
        <f t="shared" si="120"/>
        <v>1537128.0212498296</v>
      </c>
      <c r="I2592" s="168">
        <v>2585</v>
      </c>
      <c r="J2592" s="159">
        <f>ROUND(B2592*('Model Data Inputs'!$E$184*'Model Data Inputs'!$E$185*'Model Data Inputs'!$E$186*'Model Data Inputs'!$E$187),2)</f>
        <v>594.63</v>
      </c>
      <c r="K2592" s="169">
        <f t="shared" si="121"/>
        <v>1537118.55</v>
      </c>
    </row>
    <row r="2593" spans="1:11" x14ac:dyDescent="0.2">
      <c r="A2593" s="168">
        <v>2586</v>
      </c>
      <c r="B2593" s="159">
        <v>594.63366392643309</v>
      </c>
      <c r="C2593" s="169">
        <f t="shared" si="120"/>
        <v>1537722.6549137561</v>
      </c>
      <c r="I2593" s="168">
        <v>2586</v>
      </c>
      <c r="J2593" s="159">
        <f>ROUND(B2593*('Model Data Inputs'!$E$184*'Model Data Inputs'!$E$185*'Model Data Inputs'!$E$186*'Model Data Inputs'!$E$187),2)</f>
        <v>594.63</v>
      </c>
      <c r="K2593" s="169">
        <f t="shared" si="121"/>
        <v>1537713.18</v>
      </c>
    </row>
    <row r="2594" spans="1:11" x14ac:dyDescent="0.2">
      <c r="A2594" s="168">
        <v>2587</v>
      </c>
      <c r="B2594" s="159">
        <v>594.63366392643309</v>
      </c>
      <c r="C2594" s="169">
        <f t="shared" si="120"/>
        <v>1538317.2885776823</v>
      </c>
      <c r="I2594" s="168">
        <v>2587</v>
      </c>
      <c r="J2594" s="159">
        <f>ROUND(B2594*('Model Data Inputs'!$E$184*'Model Data Inputs'!$E$185*'Model Data Inputs'!$E$186*'Model Data Inputs'!$E$187),2)</f>
        <v>594.63</v>
      </c>
      <c r="K2594" s="169">
        <f t="shared" si="121"/>
        <v>1538307.81</v>
      </c>
    </row>
    <row r="2595" spans="1:11" x14ac:dyDescent="0.2">
      <c r="A2595" s="168">
        <v>2588</v>
      </c>
      <c r="B2595" s="159">
        <v>594.63366392643309</v>
      </c>
      <c r="C2595" s="169">
        <f t="shared" si="120"/>
        <v>1538911.9222416088</v>
      </c>
      <c r="I2595" s="168">
        <v>2588</v>
      </c>
      <c r="J2595" s="159">
        <f>ROUND(B2595*('Model Data Inputs'!$E$184*'Model Data Inputs'!$E$185*'Model Data Inputs'!$E$186*'Model Data Inputs'!$E$187),2)</f>
        <v>594.63</v>
      </c>
      <c r="K2595" s="169">
        <f t="shared" si="121"/>
        <v>1538902.44</v>
      </c>
    </row>
    <row r="2596" spans="1:11" x14ac:dyDescent="0.2">
      <c r="A2596" s="168">
        <v>2589</v>
      </c>
      <c r="B2596" s="159">
        <v>594.63366392643309</v>
      </c>
      <c r="C2596" s="169">
        <f t="shared" si="120"/>
        <v>1539506.5559055354</v>
      </c>
      <c r="I2596" s="168">
        <v>2589</v>
      </c>
      <c r="J2596" s="159">
        <f>ROUND(B2596*('Model Data Inputs'!$E$184*'Model Data Inputs'!$E$185*'Model Data Inputs'!$E$186*'Model Data Inputs'!$E$187),2)</f>
        <v>594.63</v>
      </c>
      <c r="K2596" s="169">
        <f t="shared" si="121"/>
        <v>1539497.07</v>
      </c>
    </row>
    <row r="2597" spans="1:11" x14ac:dyDescent="0.2">
      <c r="A2597" s="168">
        <v>2590</v>
      </c>
      <c r="B2597" s="159">
        <v>594.63366392643309</v>
      </c>
      <c r="C2597" s="169">
        <f t="shared" si="120"/>
        <v>1540101.1895694616</v>
      </c>
      <c r="I2597" s="168">
        <v>2590</v>
      </c>
      <c r="J2597" s="159">
        <f>ROUND(B2597*('Model Data Inputs'!$E$184*'Model Data Inputs'!$E$185*'Model Data Inputs'!$E$186*'Model Data Inputs'!$E$187),2)</f>
        <v>594.63</v>
      </c>
      <c r="K2597" s="169">
        <f t="shared" si="121"/>
        <v>1540091.7</v>
      </c>
    </row>
    <row r="2598" spans="1:11" x14ac:dyDescent="0.2">
      <c r="A2598" s="168">
        <v>2591</v>
      </c>
      <c r="B2598" s="159">
        <v>594.63366392643309</v>
      </c>
      <c r="C2598" s="169">
        <f t="shared" si="120"/>
        <v>1540695.8232333881</v>
      </c>
      <c r="I2598" s="168">
        <v>2591</v>
      </c>
      <c r="J2598" s="159">
        <f>ROUND(B2598*('Model Data Inputs'!$E$184*'Model Data Inputs'!$E$185*'Model Data Inputs'!$E$186*'Model Data Inputs'!$E$187),2)</f>
        <v>594.63</v>
      </c>
      <c r="K2598" s="169">
        <f t="shared" si="121"/>
        <v>1540686.33</v>
      </c>
    </row>
    <row r="2599" spans="1:11" x14ac:dyDescent="0.2">
      <c r="A2599" s="168">
        <v>2592</v>
      </c>
      <c r="B2599" s="159">
        <v>594.63366392643309</v>
      </c>
      <c r="C2599" s="169">
        <f t="shared" si="120"/>
        <v>1541290.4568973146</v>
      </c>
      <c r="I2599" s="168">
        <v>2592</v>
      </c>
      <c r="J2599" s="159">
        <f>ROUND(B2599*('Model Data Inputs'!$E$184*'Model Data Inputs'!$E$185*'Model Data Inputs'!$E$186*'Model Data Inputs'!$E$187),2)</f>
        <v>594.63</v>
      </c>
      <c r="K2599" s="169">
        <f t="shared" si="121"/>
        <v>1541280.96</v>
      </c>
    </row>
    <row r="2600" spans="1:11" x14ac:dyDescent="0.2">
      <c r="A2600" s="168">
        <v>2593</v>
      </c>
      <c r="B2600" s="159">
        <v>594.63366392643309</v>
      </c>
      <c r="C2600" s="169">
        <f t="shared" si="120"/>
        <v>1541885.0905612409</v>
      </c>
      <c r="I2600" s="168">
        <v>2593</v>
      </c>
      <c r="J2600" s="159">
        <f>ROUND(B2600*('Model Data Inputs'!$E$184*'Model Data Inputs'!$E$185*'Model Data Inputs'!$E$186*'Model Data Inputs'!$E$187),2)</f>
        <v>594.63</v>
      </c>
      <c r="K2600" s="169">
        <f t="shared" si="121"/>
        <v>1541875.59</v>
      </c>
    </row>
    <row r="2601" spans="1:11" x14ac:dyDescent="0.2">
      <c r="A2601" s="168">
        <v>2594</v>
      </c>
      <c r="B2601" s="159">
        <v>594.63366392643309</v>
      </c>
      <c r="C2601" s="169">
        <f t="shared" si="120"/>
        <v>1542479.7242251674</v>
      </c>
      <c r="I2601" s="168">
        <v>2594</v>
      </c>
      <c r="J2601" s="159">
        <f>ROUND(B2601*('Model Data Inputs'!$E$184*'Model Data Inputs'!$E$185*'Model Data Inputs'!$E$186*'Model Data Inputs'!$E$187),2)</f>
        <v>594.63</v>
      </c>
      <c r="K2601" s="169">
        <f t="shared" si="121"/>
        <v>1542470.22</v>
      </c>
    </row>
    <row r="2602" spans="1:11" x14ac:dyDescent="0.2">
      <c r="A2602" s="168">
        <v>2595</v>
      </c>
      <c r="B2602" s="159">
        <v>594.63366392643309</v>
      </c>
      <c r="C2602" s="169">
        <f t="shared" si="120"/>
        <v>1543074.3578890939</v>
      </c>
      <c r="I2602" s="168">
        <v>2595</v>
      </c>
      <c r="J2602" s="159">
        <f>ROUND(B2602*('Model Data Inputs'!$E$184*'Model Data Inputs'!$E$185*'Model Data Inputs'!$E$186*'Model Data Inputs'!$E$187),2)</f>
        <v>594.63</v>
      </c>
      <c r="K2602" s="169">
        <f t="shared" si="121"/>
        <v>1543064.85</v>
      </c>
    </row>
    <row r="2603" spans="1:11" x14ac:dyDescent="0.2">
      <c r="A2603" s="168">
        <v>2596</v>
      </c>
      <c r="B2603" s="159">
        <v>594.63366392643309</v>
      </c>
      <c r="C2603" s="169">
        <f t="shared" si="120"/>
        <v>1543668.9915530202</v>
      </c>
      <c r="I2603" s="168">
        <v>2596</v>
      </c>
      <c r="J2603" s="159">
        <f>ROUND(B2603*('Model Data Inputs'!$E$184*'Model Data Inputs'!$E$185*'Model Data Inputs'!$E$186*'Model Data Inputs'!$E$187),2)</f>
        <v>594.63</v>
      </c>
      <c r="K2603" s="169">
        <f t="shared" si="121"/>
        <v>1543659.48</v>
      </c>
    </row>
    <row r="2604" spans="1:11" x14ac:dyDescent="0.2">
      <c r="A2604" s="168">
        <v>2597</v>
      </c>
      <c r="B2604" s="159">
        <v>594.63366392643309</v>
      </c>
      <c r="C2604" s="169">
        <f t="shared" si="120"/>
        <v>1544263.6252169467</v>
      </c>
      <c r="I2604" s="168">
        <v>2597</v>
      </c>
      <c r="J2604" s="159">
        <f>ROUND(B2604*('Model Data Inputs'!$E$184*'Model Data Inputs'!$E$185*'Model Data Inputs'!$E$186*'Model Data Inputs'!$E$187),2)</f>
        <v>594.63</v>
      </c>
      <c r="K2604" s="169">
        <f t="shared" si="121"/>
        <v>1544254.11</v>
      </c>
    </row>
    <row r="2605" spans="1:11" x14ac:dyDescent="0.2">
      <c r="A2605" s="168">
        <v>2598</v>
      </c>
      <c r="B2605" s="159">
        <v>594.63366392643309</v>
      </c>
      <c r="C2605" s="169">
        <f t="shared" si="120"/>
        <v>1544858.2588808732</v>
      </c>
      <c r="I2605" s="168">
        <v>2598</v>
      </c>
      <c r="J2605" s="159">
        <f>ROUND(B2605*('Model Data Inputs'!$E$184*'Model Data Inputs'!$E$185*'Model Data Inputs'!$E$186*'Model Data Inputs'!$E$187),2)</f>
        <v>594.63</v>
      </c>
      <c r="K2605" s="169">
        <f t="shared" si="121"/>
        <v>1544848.74</v>
      </c>
    </row>
    <row r="2606" spans="1:11" x14ac:dyDescent="0.2">
      <c r="A2606" s="168">
        <v>2599</v>
      </c>
      <c r="B2606" s="159">
        <v>594.63366392643309</v>
      </c>
      <c r="C2606" s="169">
        <f t="shared" si="120"/>
        <v>1545452.8925447995</v>
      </c>
      <c r="I2606" s="168">
        <v>2599</v>
      </c>
      <c r="J2606" s="159">
        <f>ROUND(B2606*('Model Data Inputs'!$E$184*'Model Data Inputs'!$E$185*'Model Data Inputs'!$E$186*'Model Data Inputs'!$E$187),2)</f>
        <v>594.63</v>
      </c>
      <c r="K2606" s="169">
        <f t="shared" si="121"/>
        <v>1545443.3699999999</v>
      </c>
    </row>
    <row r="2607" spans="1:11" x14ac:dyDescent="0.2">
      <c r="A2607" s="168">
        <v>2600</v>
      </c>
      <c r="B2607" s="159">
        <v>594.63366392643309</v>
      </c>
      <c r="C2607" s="169">
        <f t="shared" si="120"/>
        <v>1546047.526208726</v>
      </c>
      <c r="I2607" s="168">
        <v>2600</v>
      </c>
      <c r="J2607" s="159">
        <f>ROUND(B2607*('Model Data Inputs'!$E$184*'Model Data Inputs'!$E$185*'Model Data Inputs'!$E$186*'Model Data Inputs'!$E$187),2)</f>
        <v>594.63</v>
      </c>
      <c r="K2607" s="169">
        <f t="shared" si="121"/>
        <v>1546038</v>
      </c>
    </row>
    <row r="2608" spans="1:11" x14ac:dyDescent="0.2">
      <c r="A2608" s="168">
        <v>2601</v>
      </c>
      <c r="B2608" s="159">
        <v>594.63366392643309</v>
      </c>
      <c r="C2608" s="169">
        <f t="shared" si="120"/>
        <v>1546642.1598726525</v>
      </c>
      <c r="I2608" s="168">
        <v>2601</v>
      </c>
      <c r="J2608" s="159">
        <f>ROUND(B2608*('Model Data Inputs'!$E$184*'Model Data Inputs'!$E$185*'Model Data Inputs'!$E$186*'Model Data Inputs'!$E$187),2)</f>
        <v>594.63</v>
      </c>
      <c r="K2608" s="169">
        <f t="shared" si="121"/>
        <v>1546632.63</v>
      </c>
    </row>
    <row r="2609" spans="1:11" x14ac:dyDescent="0.2">
      <c r="A2609" s="168">
        <v>2602</v>
      </c>
      <c r="B2609" s="159">
        <v>594.63366392643309</v>
      </c>
      <c r="C2609" s="169">
        <f t="shared" si="120"/>
        <v>1547236.793536579</v>
      </c>
      <c r="I2609" s="168">
        <v>2602</v>
      </c>
      <c r="J2609" s="159">
        <f>ROUND(B2609*('Model Data Inputs'!$E$184*'Model Data Inputs'!$E$185*'Model Data Inputs'!$E$186*'Model Data Inputs'!$E$187),2)</f>
        <v>594.63</v>
      </c>
      <c r="K2609" s="169">
        <f t="shared" si="121"/>
        <v>1547227.26</v>
      </c>
    </row>
    <row r="2610" spans="1:11" x14ac:dyDescent="0.2">
      <c r="A2610" s="168">
        <v>2603</v>
      </c>
      <c r="B2610" s="159">
        <v>594.63366392643309</v>
      </c>
      <c r="C2610" s="169">
        <f t="shared" si="120"/>
        <v>1547831.4272005053</v>
      </c>
      <c r="I2610" s="168">
        <v>2603</v>
      </c>
      <c r="J2610" s="159">
        <f>ROUND(B2610*('Model Data Inputs'!$E$184*'Model Data Inputs'!$E$185*'Model Data Inputs'!$E$186*'Model Data Inputs'!$E$187),2)</f>
        <v>594.63</v>
      </c>
      <c r="K2610" s="169">
        <f t="shared" si="121"/>
        <v>1547821.89</v>
      </c>
    </row>
    <row r="2611" spans="1:11" x14ac:dyDescent="0.2">
      <c r="A2611" s="168">
        <v>2604</v>
      </c>
      <c r="B2611" s="159">
        <v>594.63366392643309</v>
      </c>
      <c r="C2611" s="169">
        <f t="shared" si="120"/>
        <v>1548426.0608644318</v>
      </c>
      <c r="I2611" s="168">
        <v>2604</v>
      </c>
      <c r="J2611" s="159">
        <f>ROUND(B2611*('Model Data Inputs'!$E$184*'Model Data Inputs'!$E$185*'Model Data Inputs'!$E$186*'Model Data Inputs'!$E$187),2)</f>
        <v>594.63</v>
      </c>
      <c r="K2611" s="169">
        <f t="shared" si="121"/>
        <v>1548416.52</v>
      </c>
    </row>
    <row r="2612" spans="1:11" x14ac:dyDescent="0.2">
      <c r="A2612" s="168">
        <v>2605</v>
      </c>
      <c r="B2612" s="159">
        <v>594.63366392643309</v>
      </c>
      <c r="C2612" s="169">
        <f t="shared" si="120"/>
        <v>1549020.6945283583</v>
      </c>
      <c r="I2612" s="168">
        <v>2605</v>
      </c>
      <c r="J2612" s="159">
        <f>ROUND(B2612*('Model Data Inputs'!$E$184*'Model Data Inputs'!$E$185*'Model Data Inputs'!$E$186*'Model Data Inputs'!$E$187),2)</f>
        <v>594.63</v>
      </c>
      <c r="K2612" s="169">
        <f t="shared" si="121"/>
        <v>1549011.15</v>
      </c>
    </row>
    <row r="2613" spans="1:11" x14ac:dyDescent="0.2">
      <c r="A2613" s="168">
        <v>2606</v>
      </c>
      <c r="B2613" s="159">
        <v>594.63366392643309</v>
      </c>
      <c r="C2613" s="169">
        <f t="shared" si="120"/>
        <v>1549615.3281922846</v>
      </c>
      <c r="I2613" s="168">
        <v>2606</v>
      </c>
      <c r="J2613" s="159">
        <f>ROUND(B2613*('Model Data Inputs'!$E$184*'Model Data Inputs'!$E$185*'Model Data Inputs'!$E$186*'Model Data Inputs'!$E$187),2)</f>
        <v>594.63</v>
      </c>
      <c r="K2613" s="169">
        <f t="shared" si="121"/>
        <v>1549605.78</v>
      </c>
    </row>
    <row r="2614" spans="1:11" x14ac:dyDescent="0.2">
      <c r="A2614" s="168">
        <v>2607</v>
      </c>
      <c r="B2614" s="159">
        <v>594.63366392643309</v>
      </c>
      <c r="C2614" s="169">
        <f t="shared" si="120"/>
        <v>1550209.9618562111</v>
      </c>
      <c r="I2614" s="168">
        <v>2607</v>
      </c>
      <c r="J2614" s="159">
        <f>ROUND(B2614*('Model Data Inputs'!$E$184*'Model Data Inputs'!$E$185*'Model Data Inputs'!$E$186*'Model Data Inputs'!$E$187),2)</f>
        <v>594.63</v>
      </c>
      <c r="K2614" s="169">
        <f t="shared" si="121"/>
        <v>1550200.41</v>
      </c>
    </row>
    <row r="2615" spans="1:11" x14ac:dyDescent="0.2">
      <c r="A2615" s="168">
        <v>2608</v>
      </c>
      <c r="B2615" s="159">
        <v>594.63366392643309</v>
      </c>
      <c r="C2615" s="169">
        <f t="shared" si="120"/>
        <v>1550804.5955201376</v>
      </c>
      <c r="I2615" s="168">
        <v>2608</v>
      </c>
      <c r="J2615" s="159">
        <f>ROUND(B2615*('Model Data Inputs'!$E$184*'Model Data Inputs'!$E$185*'Model Data Inputs'!$E$186*'Model Data Inputs'!$E$187),2)</f>
        <v>594.63</v>
      </c>
      <c r="K2615" s="169">
        <f t="shared" si="121"/>
        <v>1550795.04</v>
      </c>
    </row>
    <row r="2616" spans="1:11" x14ac:dyDescent="0.2">
      <c r="A2616" s="168">
        <v>2609</v>
      </c>
      <c r="B2616" s="159">
        <v>594.63366392643309</v>
      </c>
      <c r="C2616" s="169">
        <f t="shared" si="120"/>
        <v>1551399.2291840638</v>
      </c>
      <c r="I2616" s="168">
        <v>2609</v>
      </c>
      <c r="J2616" s="159">
        <f>ROUND(B2616*('Model Data Inputs'!$E$184*'Model Data Inputs'!$E$185*'Model Data Inputs'!$E$186*'Model Data Inputs'!$E$187),2)</f>
        <v>594.63</v>
      </c>
      <c r="K2616" s="169">
        <f t="shared" si="121"/>
        <v>1551389.67</v>
      </c>
    </row>
    <row r="2617" spans="1:11" x14ac:dyDescent="0.2">
      <c r="A2617" s="168">
        <v>2610</v>
      </c>
      <c r="B2617" s="159">
        <v>594.63366392643309</v>
      </c>
      <c r="C2617" s="169">
        <f t="shared" si="120"/>
        <v>1551993.8628479904</v>
      </c>
      <c r="I2617" s="168">
        <v>2610</v>
      </c>
      <c r="J2617" s="159">
        <f>ROUND(B2617*('Model Data Inputs'!$E$184*'Model Data Inputs'!$E$185*'Model Data Inputs'!$E$186*'Model Data Inputs'!$E$187),2)</f>
        <v>594.63</v>
      </c>
      <c r="K2617" s="169">
        <f t="shared" si="121"/>
        <v>1551984.3</v>
      </c>
    </row>
    <row r="2618" spans="1:11" x14ac:dyDescent="0.2">
      <c r="A2618" s="168">
        <v>2611</v>
      </c>
      <c r="B2618" s="159">
        <v>594.63366392643309</v>
      </c>
      <c r="C2618" s="169">
        <f t="shared" si="120"/>
        <v>1552588.4965119169</v>
      </c>
      <c r="I2618" s="168">
        <v>2611</v>
      </c>
      <c r="J2618" s="159">
        <f>ROUND(B2618*('Model Data Inputs'!$E$184*'Model Data Inputs'!$E$185*'Model Data Inputs'!$E$186*'Model Data Inputs'!$E$187),2)</f>
        <v>594.63</v>
      </c>
      <c r="K2618" s="169">
        <f t="shared" si="121"/>
        <v>1552578.93</v>
      </c>
    </row>
    <row r="2619" spans="1:11" x14ac:dyDescent="0.2">
      <c r="A2619" s="168">
        <v>2612</v>
      </c>
      <c r="B2619" s="159">
        <v>594.63366392643309</v>
      </c>
      <c r="C2619" s="169">
        <f t="shared" si="120"/>
        <v>1553183.1301758431</v>
      </c>
      <c r="I2619" s="168">
        <v>2612</v>
      </c>
      <c r="J2619" s="159">
        <f>ROUND(B2619*('Model Data Inputs'!$E$184*'Model Data Inputs'!$E$185*'Model Data Inputs'!$E$186*'Model Data Inputs'!$E$187),2)</f>
        <v>594.63</v>
      </c>
      <c r="K2619" s="169">
        <f t="shared" si="121"/>
        <v>1553173.56</v>
      </c>
    </row>
    <row r="2620" spans="1:11" x14ac:dyDescent="0.2">
      <c r="A2620" s="168">
        <v>2613</v>
      </c>
      <c r="B2620" s="159">
        <v>594.63366392643309</v>
      </c>
      <c r="C2620" s="169">
        <f t="shared" si="120"/>
        <v>1553777.7638397696</v>
      </c>
      <c r="I2620" s="168">
        <v>2613</v>
      </c>
      <c r="J2620" s="159">
        <f>ROUND(B2620*('Model Data Inputs'!$E$184*'Model Data Inputs'!$E$185*'Model Data Inputs'!$E$186*'Model Data Inputs'!$E$187),2)</f>
        <v>594.63</v>
      </c>
      <c r="K2620" s="169">
        <f t="shared" si="121"/>
        <v>1553768.19</v>
      </c>
    </row>
    <row r="2621" spans="1:11" x14ac:dyDescent="0.2">
      <c r="A2621" s="168">
        <v>2614</v>
      </c>
      <c r="B2621" s="159">
        <v>594.63366392643309</v>
      </c>
      <c r="C2621" s="169">
        <f t="shared" si="120"/>
        <v>1554372.3975036961</v>
      </c>
      <c r="I2621" s="168">
        <v>2614</v>
      </c>
      <c r="J2621" s="159">
        <f>ROUND(B2621*('Model Data Inputs'!$E$184*'Model Data Inputs'!$E$185*'Model Data Inputs'!$E$186*'Model Data Inputs'!$E$187),2)</f>
        <v>594.63</v>
      </c>
      <c r="K2621" s="169">
        <f t="shared" si="121"/>
        <v>1554362.82</v>
      </c>
    </row>
    <row r="2622" spans="1:11" x14ac:dyDescent="0.2">
      <c r="A2622" s="168">
        <v>2615</v>
      </c>
      <c r="B2622" s="159">
        <v>594.63366392643309</v>
      </c>
      <c r="C2622" s="169">
        <f t="shared" si="120"/>
        <v>1554967.0311676224</v>
      </c>
      <c r="I2622" s="168">
        <v>2615</v>
      </c>
      <c r="J2622" s="159">
        <f>ROUND(B2622*('Model Data Inputs'!$E$184*'Model Data Inputs'!$E$185*'Model Data Inputs'!$E$186*'Model Data Inputs'!$E$187),2)</f>
        <v>594.63</v>
      </c>
      <c r="K2622" s="169">
        <f t="shared" si="121"/>
        <v>1554957.45</v>
      </c>
    </row>
    <row r="2623" spans="1:11" x14ac:dyDescent="0.2">
      <c r="A2623" s="168">
        <v>2616</v>
      </c>
      <c r="B2623" s="159">
        <v>594.63366392643309</v>
      </c>
      <c r="C2623" s="169">
        <f t="shared" si="120"/>
        <v>1555561.6648315489</v>
      </c>
      <c r="I2623" s="168">
        <v>2616</v>
      </c>
      <c r="J2623" s="159">
        <f>ROUND(B2623*('Model Data Inputs'!$E$184*'Model Data Inputs'!$E$185*'Model Data Inputs'!$E$186*'Model Data Inputs'!$E$187),2)</f>
        <v>594.63</v>
      </c>
      <c r="K2623" s="169">
        <f t="shared" si="121"/>
        <v>1555552.08</v>
      </c>
    </row>
    <row r="2624" spans="1:11" x14ac:dyDescent="0.2">
      <c r="A2624" s="168">
        <v>2617</v>
      </c>
      <c r="B2624" s="159">
        <v>594.63366392643309</v>
      </c>
      <c r="C2624" s="169">
        <f t="shared" si="120"/>
        <v>1556156.2984954754</v>
      </c>
      <c r="I2624" s="168">
        <v>2617</v>
      </c>
      <c r="J2624" s="159">
        <f>ROUND(B2624*('Model Data Inputs'!$E$184*'Model Data Inputs'!$E$185*'Model Data Inputs'!$E$186*'Model Data Inputs'!$E$187),2)</f>
        <v>594.63</v>
      </c>
      <c r="K2624" s="169">
        <f t="shared" si="121"/>
        <v>1556146.71</v>
      </c>
    </row>
    <row r="2625" spans="1:11" x14ac:dyDescent="0.2">
      <c r="A2625" s="168">
        <v>2618</v>
      </c>
      <c r="B2625" s="159">
        <v>594.63366392643309</v>
      </c>
      <c r="C2625" s="169">
        <f t="shared" si="120"/>
        <v>1556750.9321594017</v>
      </c>
      <c r="I2625" s="168">
        <v>2618</v>
      </c>
      <c r="J2625" s="159">
        <f>ROUND(B2625*('Model Data Inputs'!$E$184*'Model Data Inputs'!$E$185*'Model Data Inputs'!$E$186*'Model Data Inputs'!$E$187),2)</f>
        <v>594.63</v>
      </c>
      <c r="K2625" s="169">
        <f t="shared" si="121"/>
        <v>1556741.34</v>
      </c>
    </row>
    <row r="2626" spans="1:11" x14ac:dyDescent="0.2">
      <c r="A2626" s="168">
        <v>2619</v>
      </c>
      <c r="B2626" s="159">
        <v>594.63366392643309</v>
      </c>
      <c r="C2626" s="169">
        <f t="shared" si="120"/>
        <v>1557345.5658233282</v>
      </c>
      <c r="I2626" s="168">
        <v>2619</v>
      </c>
      <c r="J2626" s="159">
        <f>ROUND(B2626*('Model Data Inputs'!$E$184*'Model Data Inputs'!$E$185*'Model Data Inputs'!$E$186*'Model Data Inputs'!$E$187),2)</f>
        <v>594.63</v>
      </c>
      <c r="K2626" s="169">
        <f t="shared" si="121"/>
        <v>1557335.97</v>
      </c>
    </row>
    <row r="2627" spans="1:11" x14ac:dyDescent="0.2">
      <c r="A2627" s="168">
        <v>2620</v>
      </c>
      <c r="B2627" s="159">
        <v>594.63366392643309</v>
      </c>
      <c r="C2627" s="169">
        <f t="shared" si="120"/>
        <v>1557940.1994872547</v>
      </c>
      <c r="I2627" s="168">
        <v>2620</v>
      </c>
      <c r="J2627" s="159">
        <f>ROUND(B2627*('Model Data Inputs'!$E$184*'Model Data Inputs'!$E$185*'Model Data Inputs'!$E$186*'Model Data Inputs'!$E$187),2)</f>
        <v>594.63</v>
      </c>
      <c r="K2627" s="169">
        <f t="shared" si="121"/>
        <v>1557930.6</v>
      </c>
    </row>
    <row r="2628" spans="1:11" x14ac:dyDescent="0.2">
      <c r="A2628" s="168">
        <v>2621</v>
      </c>
      <c r="B2628" s="159">
        <v>594.63366392643309</v>
      </c>
      <c r="C2628" s="169">
        <f t="shared" si="120"/>
        <v>1558534.8331511812</v>
      </c>
      <c r="I2628" s="168">
        <v>2621</v>
      </c>
      <c r="J2628" s="159">
        <f>ROUND(B2628*('Model Data Inputs'!$E$184*'Model Data Inputs'!$E$185*'Model Data Inputs'!$E$186*'Model Data Inputs'!$E$187),2)</f>
        <v>594.63</v>
      </c>
      <c r="K2628" s="169">
        <f t="shared" si="121"/>
        <v>1558525.23</v>
      </c>
    </row>
    <row r="2629" spans="1:11" x14ac:dyDescent="0.2">
      <c r="A2629" s="168">
        <v>2622</v>
      </c>
      <c r="B2629" s="159">
        <v>594.63366392643309</v>
      </c>
      <c r="C2629" s="169">
        <f t="shared" si="120"/>
        <v>1559129.4668151075</v>
      </c>
      <c r="I2629" s="168">
        <v>2622</v>
      </c>
      <c r="J2629" s="159">
        <f>ROUND(B2629*('Model Data Inputs'!$E$184*'Model Data Inputs'!$E$185*'Model Data Inputs'!$E$186*'Model Data Inputs'!$E$187),2)</f>
        <v>594.63</v>
      </c>
      <c r="K2629" s="169">
        <f t="shared" si="121"/>
        <v>1559119.86</v>
      </c>
    </row>
    <row r="2630" spans="1:11" x14ac:dyDescent="0.2">
      <c r="A2630" s="168">
        <v>2623</v>
      </c>
      <c r="B2630" s="159">
        <v>594.63366392643309</v>
      </c>
      <c r="C2630" s="169">
        <f t="shared" si="120"/>
        <v>1559724.100479034</v>
      </c>
      <c r="I2630" s="168">
        <v>2623</v>
      </c>
      <c r="J2630" s="159">
        <f>ROUND(B2630*('Model Data Inputs'!$E$184*'Model Data Inputs'!$E$185*'Model Data Inputs'!$E$186*'Model Data Inputs'!$E$187),2)</f>
        <v>594.63</v>
      </c>
      <c r="K2630" s="169">
        <f t="shared" si="121"/>
        <v>1559714.49</v>
      </c>
    </row>
    <row r="2631" spans="1:11" x14ac:dyDescent="0.2">
      <c r="A2631" s="168">
        <v>2624</v>
      </c>
      <c r="B2631" s="159">
        <v>594.63366392643309</v>
      </c>
      <c r="C2631" s="169">
        <f t="shared" si="120"/>
        <v>1560318.7341429605</v>
      </c>
      <c r="I2631" s="168">
        <v>2624</v>
      </c>
      <c r="J2631" s="159">
        <f>ROUND(B2631*('Model Data Inputs'!$E$184*'Model Data Inputs'!$E$185*'Model Data Inputs'!$E$186*'Model Data Inputs'!$E$187),2)</f>
        <v>594.63</v>
      </c>
      <c r="K2631" s="169">
        <f t="shared" si="121"/>
        <v>1560309.1199999999</v>
      </c>
    </row>
    <row r="2632" spans="1:11" x14ac:dyDescent="0.2">
      <c r="A2632" s="168">
        <v>2625</v>
      </c>
      <c r="B2632" s="159">
        <v>594.63366392643309</v>
      </c>
      <c r="C2632" s="169">
        <f t="shared" ref="C2632:C2695" si="122">A2632*B2632</f>
        <v>1560913.3678068868</v>
      </c>
      <c r="I2632" s="168">
        <v>2625</v>
      </c>
      <c r="J2632" s="159">
        <f>ROUND(B2632*('Model Data Inputs'!$E$184*'Model Data Inputs'!$E$185*'Model Data Inputs'!$E$186*'Model Data Inputs'!$E$187),2)</f>
        <v>594.63</v>
      </c>
      <c r="K2632" s="169">
        <f t="shared" ref="K2632:K2695" si="123">I2632*J2632</f>
        <v>1560903.75</v>
      </c>
    </row>
    <row r="2633" spans="1:11" x14ac:dyDescent="0.2">
      <c r="A2633" s="168">
        <v>2626</v>
      </c>
      <c r="B2633" s="159">
        <v>594.63366392643309</v>
      </c>
      <c r="C2633" s="169">
        <f t="shared" si="122"/>
        <v>1561508.0014708133</v>
      </c>
      <c r="I2633" s="168">
        <v>2626</v>
      </c>
      <c r="J2633" s="159">
        <f>ROUND(B2633*('Model Data Inputs'!$E$184*'Model Data Inputs'!$E$185*'Model Data Inputs'!$E$186*'Model Data Inputs'!$E$187),2)</f>
        <v>594.63</v>
      </c>
      <c r="K2633" s="169">
        <f t="shared" si="123"/>
        <v>1561498.38</v>
      </c>
    </row>
    <row r="2634" spans="1:11" x14ac:dyDescent="0.2">
      <c r="A2634" s="168">
        <v>2627</v>
      </c>
      <c r="B2634" s="159">
        <v>594.63366392643309</v>
      </c>
      <c r="C2634" s="169">
        <f t="shared" si="122"/>
        <v>1562102.6351347398</v>
      </c>
      <c r="I2634" s="168">
        <v>2627</v>
      </c>
      <c r="J2634" s="159">
        <f>ROUND(B2634*('Model Data Inputs'!$E$184*'Model Data Inputs'!$E$185*'Model Data Inputs'!$E$186*'Model Data Inputs'!$E$187),2)</f>
        <v>594.63</v>
      </c>
      <c r="K2634" s="169">
        <f t="shared" si="123"/>
        <v>1562093.01</v>
      </c>
    </row>
    <row r="2635" spans="1:11" x14ac:dyDescent="0.2">
      <c r="A2635" s="168">
        <v>2628</v>
      </c>
      <c r="B2635" s="159">
        <v>594.63366392643309</v>
      </c>
      <c r="C2635" s="169">
        <f t="shared" si="122"/>
        <v>1562697.2687986661</v>
      </c>
      <c r="I2635" s="168">
        <v>2628</v>
      </c>
      <c r="J2635" s="159">
        <f>ROUND(B2635*('Model Data Inputs'!$E$184*'Model Data Inputs'!$E$185*'Model Data Inputs'!$E$186*'Model Data Inputs'!$E$187),2)</f>
        <v>594.63</v>
      </c>
      <c r="K2635" s="169">
        <f t="shared" si="123"/>
        <v>1562687.64</v>
      </c>
    </row>
    <row r="2636" spans="1:11" x14ac:dyDescent="0.2">
      <c r="A2636" s="168">
        <v>2629</v>
      </c>
      <c r="B2636" s="159">
        <v>594.63366392643309</v>
      </c>
      <c r="C2636" s="169">
        <f t="shared" si="122"/>
        <v>1563291.9024625926</v>
      </c>
      <c r="I2636" s="168">
        <v>2629</v>
      </c>
      <c r="J2636" s="159">
        <f>ROUND(B2636*('Model Data Inputs'!$E$184*'Model Data Inputs'!$E$185*'Model Data Inputs'!$E$186*'Model Data Inputs'!$E$187),2)</f>
        <v>594.63</v>
      </c>
      <c r="K2636" s="169">
        <f t="shared" si="123"/>
        <v>1563282.27</v>
      </c>
    </row>
    <row r="2637" spans="1:11" x14ac:dyDescent="0.2">
      <c r="A2637" s="168">
        <v>2630</v>
      </c>
      <c r="B2637" s="159">
        <v>594.63366392643309</v>
      </c>
      <c r="C2637" s="169">
        <f t="shared" si="122"/>
        <v>1563886.5361265191</v>
      </c>
      <c r="I2637" s="168">
        <v>2630</v>
      </c>
      <c r="J2637" s="159">
        <f>ROUND(B2637*('Model Data Inputs'!$E$184*'Model Data Inputs'!$E$185*'Model Data Inputs'!$E$186*'Model Data Inputs'!$E$187),2)</f>
        <v>594.63</v>
      </c>
      <c r="K2637" s="169">
        <f t="shared" si="123"/>
        <v>1563876.9</v>
      </c>
    </row>
    <row r="2638" spans="1:11" x14ac:dyDescent="0.2">
      <c r="A2638" s="168">
        <v>2631</v>
      </c>
      <c r="B2638" s="159">
        <v>594.63366392643309</v>
      </c>
      <c r="C2638" s="169">
        <f t="shared" si="122"/>
        <v>1564481.1697904454</v>
      </c>
      <c r="I2638" s="168">
        <v>2631</v>
      </c>
      <c r="J2638" s="159">
        <f>ROUND(B2638*('Model Data Inputs'!$E$184*'Model Data Inputs'!$E$185*'Model Data Inputs'!$E$186*'Model Data Inputs'!$E$187),2)</f>
        <v>594.63</v>
      </c>
      <c r="K2638" s="169">
        <f t="shared" si="123"/>
        <v>1564471.53</v>
      </c>
    </row>
    <row r="2639" spans="1:11" x14ac:dyDescent="0.2">
      <c r="A2639" s="168">
        <v>2632</v>
      </c>
      <c r="B2639" s="159">
        <v>594.63366392643309</v>
      </c>
      <c r="C2639" s="169">
        <f t="shared" si="122"/>
        <v>1565075.8034543719</v>
      </c>
      <c r="I2639" s="168">
        <v>2632</v>
      </c>
      <c r="J2639" s="159">
        <f>ROUND(B2639*('Model Data Inputs'!$E$184*'Model Data Inputs'!$E$185*'Model Data Inputs'!$E$186*'Model Data Inputs'!$E$187),2)</f>
        <v>594.63</v>
      </c>
      <c r="K2639" s="169">
        <f t="shared" si="123"/>
        <v>1565066.16</v>
      </c>
    </row>
    <row r="2640" spans="1:11" x14ac:dyDescent="0.2">
      <c r="A2640" s="168">
        <v>2633</v>
      </c>
      <c r="B2640" s="159">
        <v>594.63366392643309</v>
      </c>
      <c r="C2640" s="169">
        <f t="shared" si="122"/>
        <v>1565670.4371182984</v>
      </c>
      <c r="I2640" s="168">
        <v>2633</v>
      </c>
      <c r="J2640" s="159">
        <f>ROUND(B2640*('Model Data Inputs'!$E$184*'Model Data Inputs'!$E$185*'Model Data Inputs'!$E$186*'Model Data Inputs'!$E$187),2)</f>
        <v>594.63</v>
      </c>
      <c r="K2640" s="169">
        <f t="shared" si="123"/>
        <v>1565660.79</v>
      </c>
    </row>
    <row r="2641" spans="1:11" x14ac:dyDescent="0.2">
      <c r="A2641" s="168">
        <v>2634</v>
      </c>
      <c r="B2641" s="159">
        <v>594.63366392643309</v>
      </c>
      <c r="C2641" s="169">
        <f t="shared" si="122"/>
        <v>1566265.0707822246</v>
      </c>
      <c r="I2641" s="168">
        <v>2634</v>
      </c>
      <c r="J2641" s="159">
        <f>ROUND(B2641*('Model Data Inputs'!$E$184*'Model Data Inputs'!$E$185*'Model Data Inputs'!$E$186*'Model Data Inputs'!$E$187),2)</f>
        <v>594.63</v>
      </c>
      <c r="K2641" s="169">
        <f t="shared" si="123"/>
        <v>1566255.42</v>
      </c>
    </row>
    <row r="2642" spans="1:11" x14ac:dyDescent="0.2">
      <c r="A2642" s="168">
        <v>2635</v>
      </c>
      <c r="B2642" s="159">
        <v>594.63366392643309</v>
      </c>
      <c r="C2642" s="169">
        <f t="shared" si="122"/>
        <v>1566859.7044461512</v>
      </c>
      <c r="I2642" s="168">
        <v>2635</v>
      </c>
      <c r="J2642" s="159">
        <f>ROUND(B2642*('Model Data Inputs'!$E$184*'Model Data Inputs'!$E$185*'Model Data Inputs'!$E$186*'Model Data Inputs'!$E$187),2)</f>
        <v>594.63</v>
      </c>
      <c r="K2642" s="169">
        <f t="shared" si="123"/>
        <v>1566850.05</v>
      </c>
    </row>
    <row r="2643" spans="1:11" x14ac:dyDescent="0.2">
      <c r="A2643" s="168">
        <v>2636</v>
      </c>
      <c r="B2643" s="159">
        <v>594.63366392643309</v>
      </c>
      <c r="C2643" s="169">
        <f t="shared" si="122"/>
        <v>1567454.3381100777</v>
      </c>
      <c r="I2643" s="168">
        <v>2636</v>
      </c>
      <c r="J2643" s="159">
        <f>ROUND(B2643*('Model Data Inputs'!$E$184*'Model Data Inputs'!$E$185*'Model Data Inputs'!$E$186*'Model Data Inputs'!$E$187),2)</f>
        <v>594.63</v>
      </c>
      <c r="K2643" s="169">
        <f t="shared" si="123"/>
        <v>1567444.68</v>
      </c>
    </row>
    <row r="2644" spans="1:11" x14ac:dyDescent="0.2">
      <c r="A2644" s="168">
        <v>2637</v>
      </c>
      <c r="B2644" s="159">
        <v>594.63366392643309</v>
      </c>
      <c r="C2644" s="169">
        <f t="shared" si="122"/>
        <v>1568048.9717740039</v>
      </c>
      <c r="I2644" s="168">
        <v>2637</v>
      </c>
      <c r="J2644" s="159">
        <f>ROUND(B2644*('Model Data Inputs'!$E$184*'Model Data Inputs'!$E$185*'Model Data Inputs'!$E$186*'Model Data Inputs'!$E$187),2)</f>
        <v>594.63</v>
      </c>
      <c r="K2644" s="169">
        <f t="shared" si="123"/>
        <v>1568039.31</v>
      </c>
    </row>
    <row r="2645" spans="1:11" x14ac:dyDescent="0.2">
      <c r="A2645" s="168">
        <v>2638</v>
      </c>
      <c r="B2645" s="159">
        <v>594.63366392643309</v>
      </c>
      <c r="C2645" s="169">
        <f t="shared" si="122"/>
        <v>1568643.6054379304</v>
      </c>
      <c r="I2645" s="168">
        <v>2638</v>
      </c>
      <c r="J2645" s="159">
        <f>ROUND(B2645*('Model Data Inputs'!$E$184*'Model Data Inputs'!$E$185*'Model Data Inputs'!$E$186*'Model Data Inputs'!$E$187),2)</f>
        <v>594.63</v>
      </c>
      <c r="K2645" s="169">
        <f t="shared" si="123"/>
        <v>1568633.94</v>
      </c>
    </row>
    <row r="2646" spans="1:11" x14ac:dyDescent="0.2">
      <c r="A2646" s="168">
        <v>2639</v>
      </c>
      <c r="B2646" s="159">
        <v>594.63366392643309</v>
      </c>
      <c r="C2646" s="169">
        <f t="shared" si="122"/>
        <v>1569238.2391018569</v>
      </c>
      <c r="I2646" s="168">
        <v>2639</v>
      </c>
      <c r="J2646" s="159">
        <f>ROUND(B2646*('Model Data Inputs'!$E$184*'Model Data Inputs'!$E$185*'Model Data Inputs'!$E$186*'Model Data Inputs'!$E$187),2)</f>
        <v>594.63</v>
      </c>
      <c r="K2646" s="169">
        <f t="shared" si="123"/>
        <v>1569228.57</v>
      </c>
    </row>
    <row r="2647" spans="1:11" x14ac:dyDescent="0.2">
      <c r="A2647" s="168">
        <v>2640</v>
      </c>
      <c r="B2647" s="159">
        <v>594.63366392643309</v>
      </c>
      <c r="C2647" s="169">
        <f t="shared" si="122"/>
        <v>1569832.8727657835</v>
      </c>
      <c r="I2647" s="168">
        <v>2640</v>
      </c>
      <c r="J2647" s="159">
        <f>ROUND(B2647*('Model Data Inputs'!$E$184*'Model Data Inputs'!$E$185*'Model Data Inputs'!$E$186*'Model Data Inputs'!$E$187),2)</f>
        <v>594.63</v>
      </c>
      <c r="K2647" s="169">
        <f t="shared" si="123"/>
        <v>1569823.2</v>
      </c>
    </row>
    <row r="2648" spans="1:11" x14ac:dyDescent="0.2">
      <c r="A2648" s="168">
        <v>2641</v>
      </c>
      <c r="B2648" s="159">
        <v>594.63366392643309</v>
      </c>
      <c r="C2648" s="169">
        <f t="shared" si="122"/>
        <v>1570427.5064297097</v>
      </c>
      <c r="I2648" s="168">
        <v>2641</v>
      </c>
      <c r="J2648" s="159">
        <f>ROUND(B2648*('Model Data Inputs'!$E$184*'Model Data Inputs'!$E$185*'Model Data Inputs'!$E$186*'Model Data Inputs'!$E$187),2)</f>
        <v>594.63</v>
      </c>
      <c r="K2648" s="169">
        <f t="shared" si="123"/>
        <v>1570417.83</v>
      </c>
    </row>
    <row r="2649" spans="1:11" x14ac:dyDescent="0.2">
      <c r="A2649" s="168">
        <v>2642</v>
      </c>
      <c r="B2649" s="159">
        <v>594.63366392643309</v>
      </c>
      <c r="C2649" s="169">
        <f t="shared" si="122"/>
        <v>1571022.1400936362</v>
      </c>
      <c r="I2649" s="168">
        <v>2642</v>
      </c>
      <c r="J2649" s="159">
        <f>ROUND(B2649*('Model Data Inputs'!$E$184*'Model Data Inputs'!$E$185*'Model Data Inputs'!$E$186*'Model Data Inputs'!$E$187),2)</f>
        <v>594.63</v>
      </c>
      <c r="K2649" s="169">
        <f t="shared" si="123"/>
        <v>1571012.46</v>
      </c>
    </row>
    <row r="2650" spans="1:11" x14ac:dyDescent="0.2">
      <c r="A2650" s="168">
        <v>2643</v>
      </c>
      <c r="B2650" s="159">
        <v>594.63366392643309</v>
      </c>
      <c r="C2650" s="169">
        <f t="shared" si="122"/>
        <v>1571616.7737575627</v>
      </c>
      <c r="I2650" s="168">
        <v>2643</v>
      </c>
      <c r="J2650" s="159">
        <f>ROUND(B2650*('Model Data Inputs'!$E$184*'Model Data Inputs'!$E$185*'Model Data Inputs'!$E$186*'Model Data Inputs'!$E$187),2)</f>
        <v>594.63</v>
      </c>
      <c r="K2650" s="169">
        <f t="shared" si="123"/>
        <v>1571607.09</v>
      </c>
    </row>
    <row r="2651" spans="1:11" x14ac:dyDescent="0.2">
      <c r="A2651" s="168">
        <v>2644</v>
      </c>
      <c r="B2651" s="159">
        <v>594.63366392643309</v>
      </c>
      <c r="C2651" s="169">
        <f t="shared" si="122"/>
        <v>1572211.407421489</v>
      </c>
      <c r="I2651" s="168">
        <v>2644</v>
      </c>
      <c r="J2651" s="159">
        <f>ROUND(B2651*('Model Data Inputs'!$E$184*'Model Data Inputs'!$E$185*'Model Data Inputs'!$E$186*'Model Data Inputs'!$E$187),2)</f>
        <v>594.63</v>
      </c>
      <c r="K2651" s="169">
        <f t="shared" si="123"/>
        <v>1572201.72</v>
      </c>
    </row>
    <row r="2652" spans="1:11" x14ac:dyDescent="0.2">
      <c r="A2652" s="168">
        <v>2645</v>
      </c>
      <c r="B2652" s="159">
        <v>594.63366392643309</v>
      </c>
      <c r="C2652" s="169">
        <f t="shared" si="122"/>
        <v>1572806.0410854155</v>
      </c>
      <c r="I2652" s="168">
        <v>2645</v>
      </c>
      <c r="J2652" s="159">
        <f>ROUND(B2652*('Model Data Inputs'!$E$184*'Model Data Inputs'!$E$185*'Model Data Inputs'!$E$186*'Model Data Inputs'!$E$187),2)</f>
        <v>594.63</v>
      </c>
      <c r="K2652" s="169">
        <f t="shared" si="123"/>
        <v>1572796.35</v>
      </c>
    </row>
    <row r="2653" spans="1:11" x14ac:dyDescent="0.2">
      <c r="A2653" s="168">
        <v>2646</v>
      </c>
      <c r="B2653" s="159">
        <v>594.63366392643309</v>
      </c>
      <c r="C2653" s="169">
        <f t="shared" si="122"/>
        <v>1573400.674749342</v>
      </c>
      <c r="I2653" s="168">
        <v>2646</v>
      </c>
      <c r="J2653" s="159">
        <f>ROUND(B2653*('Model Data Inputs'!$E$184*'Model Data Inputs'!$E$185*'Model Data Inputs'!$E$186*'Model Data Inputs'!$E$187),2)</f>
        <v>594.63</v>
      </c>
      <c r="K2653" s="169">
        <f t="shared" si="123"/>
        <v>1573390.98</v>
      </c>
    </row>
    <row r="2654" spans="1:11" x14ac:dyDescent="0.2">
      <c r="A2654" s="168">
        <v>2647</v>
      </c>
      <c r="B2654" s="159">
        <v>594.63366392643309</v>
      </c>
      <c r="C2654" s="169">
        <f t="shared" si="122"/>
        <v>1573995.3084132683</v>
      </c>
      <c r="I2654" s="168">
        <v>2647</v>
      </c>
      <c r="J2654" s="159">
        <f>ROUND(B2654*('Model Data Inputs'!$E$184*'Model Data Inputs'!$E$185*'Model Data Inputs'!$E$186*'Model Data Inputs'!$E$187),2)</f>
        <v>594.63</v>
      </c>
      <c r="K2654" s="169">
        <f t="shared" si="123"/>
        <v>1573985.61</v>
      </c>
    </row>
    <row r="2655" spans="1:11" x14ac:dyDescent="0.2">
      <c r="A2655" s="168">
        <v>2648</v>
      </c>
      <c r="B2655" s="159">
        <v>594.63366392643309</v>
      </c>
      <c r="C2655" s="169">
        <f t="shared" si="122"/>
        <v>1574589.9420771948</v>
      </c>
      <c r="I2655" s="168">
        <v>2648</v>
      </c>
      <c r="J2655" s="159">
        <f>ROUND(B2655*('Model Data Inputs'!$E$184*'Model Data Inputs'!$E$185*'Model Data Inputs'!$E$186*'Model Data Inputs'!$E$187),2)</f>
        <v>594.63</v>
      </c>
      <c r="K2655" s="169">
        <f t="shared" si="123"/>
        <v>1574580.24</v>
      </c>
    </row>
    <row r="2656" spans="1:11" x14ac:dyDescent="0.2">
      <c r="A2656" s="168">
        <v>2649</v>
      </c>
      <c r="B2656" s="159">
        <v>594.63366392643309</v>
      </c>
      <c r="C2656" s="169">
        <f t="shared" si="122"/>
        <v>1575184.5757411213</v>
      </c>
      <c r="I2656" s="168">
        <v>2649</v>
      </c>
      <c r="J2656" s="159">
        <f>ROUND(B2656*('Model Data Inputs'!$E$184*'Model Data Inputs'!$E$185*'Model Data Inputs'!$E$186*'Model Data Inputs'!$E$187),2)</f>
        <v>594.63</v>
      </c>
      <c r="K2656" s="169">
        <f t="shared" si="123"/>
        <v>1575174.8699999999</v>
      </c>
    </row>
    <row r="2657" spans="1:11" x14ac:dyDescent="0.2">
      <c r="A2657" s="168">
        <v>2650</v>
      </c>
      <c r="B2657" s="159">
        <v>594.63366392643309</v>
      </c>
      <c r="C2657" s="169">
        <f t="shared" si="122"/>
        <v>1575779.2094050476</v>
      </c>
      <c r="I2657" s="168">
        <v>2650</v>
      </c>
      <c r="J2657" s="159">
        <f>ROUND(B2657*('Model Data Inputs'!$E$184*'Model Data Inputs'!$E$185*'Model Data Inputs'!$E$186*'Model Data Inputs'!$E$187),2)</f>
        <v>594.63</v>
      </c>
      <c r="K2657" s="169">
        <f t="shared" si="123"/>
        <v>1575769.5</v>
      </c>
    </row>
    <row r="2658" spans="1:11" x14ac:dyDescent="0.2">
      <c r="A2658" s="168">
        <v>2651</v>
      </c>
      <c r="B2658" s="159">
        <v>594.63366392643309</v>
      </c>
      <c r="C2658" s="169">
        <f t="shared" si="122"/>
        <v>1576373.8430689741</v>
      </c>
      <c r="I2658" s="168">
        <v>2651</v>
      </c>
      <c r="J2658" s="159">
        <f>ROUND(B2658*('Model Data Inputs'!$E$184*'Model Data Inputs'!$E$185*'Model Data Inputs'!$E$186*'Model Data Inputs'!$E$187),2)</f>
        <v>594.63</v>
      </c>
      <c r="K2658" s="169">
        <f t="shared" si="123"/>
        <v>1576364.13</v>
      </c>
    </row>
    <row r="2659" spans="1:11" x14ac:dyDescent="0.2">
      <c r="A2659" s="168">
        <v>2652</v>
      </c>
      <c r="B2659" s="159">
        <v>594.63366392643309</v>
      </c>
      <c r="C2659" s="169">
        <f t="shared" si="122"/>
        <v>1576968.4767329006</v>
      </c>
      <c r="I2659" s="168">
        <v>2652</v>
      </c>
      <c r="J2659" s="159">
        <f>ROUND(B2659*('Model Data Inputs'!$E$184*'Model Data Inputs'!$E$185*'Model Data Inputs'!$E$186*'Model Data Inputs'!$E$187),2)</f>
        <v>594.63</v>
      </c>
      <c r="K2659" s="169">
        <f t="shared" si="123"/>
        <v>1576958.76</v>
      </c>
    </row>
    <row r="2660" spans="1:11" x14ac:dyDescent="0.2">
      <c r="A2660" s="168">
        <v>2653</v>
      </c>
      <c r="B2660" s="159">
        <v>594.63366392643309</v>
      </c>
      <c r="C2660" s="169">
        <f t="shared" si="122"/>
        <v>1577563.1103968269</v>
      </c>
      <c r="I2660" s="168">
        <v>2653</v>
      </c>
      <c r="J2660" s="159">
        <f>ROUND(B2660*('Model Data Inputs'!$E$184*'Model Data Inputs'!$E$185*'Model Data Inputs'!$E$186*'Model Data Inputs'!$E$187),2)</f>
        <v>594.63</v>
      </c>
      <c r="K2660" s="169">
        <f t="shared" si="123"/>
        <v>1577553.39</v>
      </c>
    </row>
    <row r="2661" spans="1:11" x14ac:dyDescent="0.2">
      <c r="A2661" s="168">
        <v>2654</v>
      </c>
      <c r="B2661" s="159">
        <v>594.63366392643309</v>
      </c>
      <c r="C2661" s="169">
        <f t="shared" si="122"/>
        <v>1578157.7440607534</v>
      </c>
      <c r="I2661" s="168">
        <v>2654</v>
      </c>
      <c r="J2661" s="159">
        <f>ROUND(B2661*('Model Data Inputs'!$E$184*'Model Data Inputs'!$E$185*'Model Data Inputs'!$E$186*'Model Data Inputs'!$E$187),2)</f>
        <v>594.63</v>
      </c>
      <c r="K2661" s="169">
        <f t="shared" si="123"/>
        <v>1578148.02</v>
      </c>
    </row>
    <row r="2662" spans="1:11" x14ac:dyDescent="0.2">
      <c r="A2662" s="168">
        <v>2655</v>
      </c>
      <c r="B2662" s="159">
        <v>594.63366392643309</v>
      </c>
      <c r="C2662" s="169">
        <f t="shared" si="122"/>
        <v>1578752.3777246799</v>
      </c>
      <c r="I2662" s="168">
        <v>2655</v>
      </c>
      <c r="J2662" s="159">
        <f>ROUND(B2662*('Model Data Inputs'!$E$184*'Model Data Inputs'!$E$185*'Model Data Inputs'!$E$186*'Model Data Inputs'!$E$187),2)</f>
        <v>594.63</v>
      </c>
      <c r="K2662" s="169">
        <f t="shared" si="123"/>
        <v>1578742.65</v>
      </c>
    </row>
    <row r="2663" spans="1:11" x14ac:dyDescent="0.2">
      <c r="A2663" s="168">
        <v>2656</v>
      </c>
      <c r="B2663" s="159">
        <v>594.63366392643309</v>
      </c>
      <c r="C2663" s="169">
        <f t="shared" si="122"/>
        <v>1579347.0113886064</v>
      </c>
      <c r="I2663" s="168">
        <v>2656</v>
      </c>
      <c r="J2663" s="159">
        <f>ROUND(B2663*('Model Data Inputs'!$E$184*'Model Data Inputs'!$E$185*'Model Data Inputs'!$E$186*'Model Data Inputs'!$E$187),2)</f>
        <v>594.63</v>
      </c>
      <c r="K2663" s="169">
        <f t="shared" si="123"/>
        <v>1579337.28</v>
      </c>
    </row>
    <row r="2664" spans="1:11" x14ac:dyDescent="0.2">
      <c r="A2664" s="168">
        <v>2657</v>
      </c>
      <c r="B2664" s="159">
        <v>594.63366392643309</v>
      </c>
      <c r="C2664" s="169">
        <f t="shared" si="122"/>
        <v>1579941.6450525327</v>
      </c>
      <c r="I2664" s="168">
        <v>2657</v>
      </c>
      <c r="J2664" s="159">
        <f>ROUND(B2664*('Model Data Inputs'!$E$184*'Model Data Inputs'!$E$185*'Model Data Inputs'!$E$186*'Model Data Inputs'!$E$187),2)</f>
        <v>594.63</v>
      </c>
      <c r="K2664" s="169">
        <f t="shared" si="123"/>
        <v>1579931.91</v>
      </c>
    </row>
    <row r="2665" spans="1:11" x14ac:dyDescent="0.2">
      <c r="A2665" s="168">
        <v>2658</v>
      </c>
      <c r="B2665" s="159">
        <v>594.63366392643309</v>
      </c>
      <c r="C2665" s="169">
        <f t="shared" si="122"/>
        <v>1580536.2787164592</v>
      </c>
      <c r="I2665" s="168">
        <v>2658</v>
      </c>
      <c r="J2665" s="159">
        <f>ROUND(B2665*('Model Data Inputs'!$E$184*'Model Data Inputs'!$E$185*'Model Data Inputs'!$E$186*'Model Data Inputs'!$E$187),2)</f>
        <v>594.63</v>
      </c>
      <c r="K2665" s="169">
        <f t="shared" si="123"/>
        <v>1580526.54</v>
      </c>
    </row>
    <row r="2666" spans="1:11" x14ac:dyDescent="0.2">
      <c r="A2666" s="168">
        <v>2659</v>
      </c>
      <c r="B2666" s="159">
        <v>594.63366392643309</v>
      </c>
      <c r="C2666" s="169">
        <f t="shared" si="122"/>
        <v>1581130.9123803857</v>
      </c>
      <c r="I2666" s="168">
        <v>2659</v>
      </c>
      <c r="J2666" s="159">
        <f>ROUND(B2666*('Model Data Inputs'!$E$184*'Model Data Inputs'!$E$185*'Model Data Inputs'!$E$186*'Model Data Inputs'!$E$187),2)</f>
        <v>594.63</v>
      </c>
      <c r="K2666" s="169">
        <f t="shared" si="123"/>
        <v>1581121.17</v>
      </c>
    </row>
    <row r="2667" spans="1:11" x14ac:dyDescent="0.2">
      <c r="A2667" s="168">
        <v>2660</v>
      </c>
      <c r="B2667" s="159">
        <v>594.63366392643309</v>
      </c>
      <c r="C2667" s="169">
        <f t="shared" si="122"/>
        <v>1581725.546044312</v>
      </c>
      <c r="I2667" s="168">
        <v>2660</v>
      </c>
      <c r="J2667" s="159">
        <f>ROUND(B2667*('Model Data Inputs'!$E$184*'Model Data Inputs'!$E$185*'Model Data Inputs'!$E$186*'Model Data Inputs'!$E$187),2)</f>
        <v>594.63</v>
      </c>
      <c r="K2667" s="169">
        <f t="shared" si="123"/>
        <v>1581715.8</v>
      </c>
    </row>
    <row r="2668" spans="1:11" x14ac:dyDescent="0.2">
      <c r="A2668" s="168">
        <v>2661</v>
      </c>
      <c r="B2668" s="159">
        <v>594.63366392643309</v>
      </c>
      <c r="C2668" s="169">
        <f t="shared" si="122"/>
        <v>1582320.1797082385</v>
      </c>
      <c r="I2668" s="168">
        <v>2661</v>
      </c>
      <c r="J2668" s="159">
        <f>ROUND(B2668*('Model Data Inputs'!$E$184*'Model Data Inputs'!$E$185*'Model Data Inputs'!$E$186*'Model Data Inputs'!$E$187),2)</f>
        <v>594.63</v>
      </c>
      <c r="K2668" s="169">
        <f t="shared" si="123"/>
        <v>1582310.43</v>
      </c>
    </row>
    <row r="2669" spans="1:11" x14ac:dyDescent="0.2">
      <c r="A2669" s="168">
        <v>2662</v>
      </c>
      <c r="B2669" s="159">
        <v>594.63366392643309</v>
      </c>
      <c r="C2669" s="169">
        <f t="shared" si="122"/>
        <v>1582914.813372165</v>
      </c>
      <c r="I2669" s="168">
        <v>2662</v>
      </c>
      <c r="J2669" s="159">
        <f>ROUND(B2669*('Model Data Inputs'!$E$184*'Model Data Inputs'!$E$185*'Model Data Inputs'!$E$186*'Model Data Inputs'!$E$187),2)</f>
        <v>594.63</v>
      </c>
      <c r="K2669" s="169">
        <f t="shared" si="123"/>
        <v>1582905.06</v>
      </c>
    </row>
    <row r="2670" spans="1:11" x14ac:dyDescent="0.2">
      <c r="A2670" s="168">
        <v>2663</v>
      </c>
      <c r="B2670" s="159">
        <v>594.63366392643309</v>
      </c>
      <c r="C2670" s="169">
        <f t="shared" si="122"/>
        <v>1583509.4470360912</v>
      </c>
      <c r="I2670" s="168">
        <v>2663</v>
      </c>
      <c r="J2670" s="159">
        <f>ROUND(B2670*('Model Data Inputs'!$E$184*'Model Data Inputs'!$E$185*'Model Data Inputs'!$E$186*'Model Data Inputs'!$E$187),2)</f>
        <v>594.63</v>
      </c>
      <c r="K2670" s="169">
        <f t="shared" si="123"/>
        <v>1583499.69</v>
      </c>
    </row>
    <row r="2671" spans="1:11" x14ac:dyDescent="0.2">
      <c r="A2671" s="168">
        <v>2664</v>
      </c>
      <c r="B2671" s="159">
        <v>594.63366392643309</v>
      </c>
      <c r="C2671" s="169">
        <f t="shared" si="122"/>
        <v>1584104.0807000177</v>
      </c>
      <c r="I2671" s="168">
        <v>2664</v>
      </c>
      <c r="J2671" s="159">
        <f>ROUND(B2671*('Model Data Inputs'!$E$184*'Model Data Inputs'!$E$185*'Model Data Inputs'!$E$186*'Model Data Inputs'!$E$187),2)</f>
        <v>594.63</v>
      </c>
      <c r="K2671" s="169">
        <f t="shared" si="123"/>
        <v>1584094.32</v>
      </c>
    </row>
    <row r="2672" spans="1:11" x14ac:dyDescent="0.2">
      <c r="A2672" s="168">
        <v>2665</v>
      </c>
      <c r="B2672" s="159">
        <v>594.63366392643309</v>
      </c>
      <c r="C2672" s="169">
        <f t="shared" si="122"/>
        <v>1584698.7143639443</v>
      </c>
      <c r="I2672" s="168">
        <v>2665</v>
      </c>
      <c r="J2672" s="159">
        <f>ROUND(B2672*('Model Data Inputs'!$E$184*'Model Data Inputs'!$E$185*'Model Data Inputs'!$E$186*'Model Data Inputs'!$E$187),2)</f>
        <v>594.63</v>
      </c>
      <c r="K2672" s="169">
        <f t="shared" si="123"/>
        <v>1584688.95</v>
      </c>
    </row>
    <row r="2673" spans="1:11" x14ac:dyDescent="0.2">
      <c r="A2673" s="168">
        <v>2666</v>
      </c>
      <c r="B2673" s="159">
        <v>594.63366392643309</v>
      </c>
      <c r="C2673" s="169">
        <f t="shared" si="122"/>
        <v>1585293.3480278705</v>
      </c>
      <c r="I2673" s="168">
        <v>2666</v>
      </c>
      <c r="J2673" s="159">
        <f>ROUND(B2673*('Model Data Inputs'!$E$184*'Model Data Inputs'!$E$185*'Model Data Inputs'!$E$186*'Model Data Inputs'!$E$187),2)</f>
        <v>594.63</v>
      </c>
      <c r="K2673" s="169">
        <f t="shared" si="123"/>
        <v>1585283.58</v>
      </c>
    </row>
    <row r="2674" spans="1:11" x14ac:dyDescent="0.2">
      <c r="A2674" s="168">
        <v>2667</v>
      </c>
      <c r="B2674" s="159">
        <v>594.63366392643309</v>
      </c>
      <c r="C2674" s="169">
        <f t="shared" si="122"/>
        <v>1585887.981691797</v>
      </c>
      <c r="I2674" s="168">
        <v>2667</v>
      </c>
      <c r="J2674" s="159">
        <f>ROUND(B2674*('Model Data Inputs'!$E$184*'Model Data Inputs'!$E$185*'Model Data Inputs'!$E$186*'Model Data Inputs'!$E$187),2)</f>
        <v>594.63</v>
      </c>
      <c r="K2674" s="169">
        <f t="shared" si="123"/>
        <v>1585878.21</v>
      </c>
    </row>
    <row r="2675" spans="1:11" x14ac:dyDescent="0.2">
      <c r="A2675" s="168">
        <v>2668</v>
      </c>
      <c r="B2675" s="159">
        <v>594.63366392643309</v>
      </c>
      <c r="C2675" s="169">
        <f t="shared" si="122"/>
        <v>1586482.6153557235</v>
      </c>
      <c r="I2675" s="168">
        <v>2668</v>
      </c>
      <c r="J2675" s="159">
        <f>ROUND(B2675*('Model Data Inputs'!$E$184*'Model Data Inputs'!$E$185*'Model Data Inputs'!$E$186*'Model Data Inputs'!$E$187),2)</f>
        <v>594.63</v>
      </c>
      <c r="K2675" s="169">
        <f t="shared" si="123"/>
        <v>1586472.84</v>
      </c>
    </row>
    <row r="2676" spans="1:11" x14ac:dyDescent="0.2">
      <c r="A2676" s="168">
        <v>2669</v>
      </c>
      <c r="B2676" s="159">
        <v>594.63366392643309</v>
      </c>
      <c r="C2676" s="169">
        <f t="shared" si="122"/>
        <v>1587077.2490196498</v>
      </c>
      <c r="I2676" s="168">
        <v>2669</v>
      </c>
      <c r="J2676" s="159">
        <f>ROUND(B2676*('Model Data Inputs'!$E$184*'Model Data Inputs'!$E$185*'Model Data Inputs'!$E$186*'Model Data Inputs'!$E$187),2)</f>
        <v>594.63</v>
      </c>
      <c r="K2676" s="169">
        <f t="shared" si="123"/>
        <v>1587067.47</v>
      </c>
    </row>
    <row r="2677" spans="1:11" x14ac:dyDescent="0.2">
      <c r="A2677" s="168">
        <v>2670</v>
      </c>
      <c r="B2677" s="159">
        <v>594.63366392643309</v>
      </c>
      <c r="C2677" s="169">
        <f t="shared" si="122"/>
        <v>1587671.8826835763</v>
      </c>
      <c r="I2677" s="168">
        <v>2670</v>
      </c>
      <c r="J2677" s="159">
        <f>ROUND(B2677*('Model Data Inputs'!$E$184*'Model Data Inputs'!$E$185*'Model Data Inputs'!$E$186*'Model Data Inputs'!$E$187),2)</f>
        <v>594.63</v>
      </c>
      <c r="K2677" s="169">
        <f t="shared" si="123"/>
        <v>1587662.1</v>
      </c>
    </row>
    <row r="2678" spans="1:11" x14ac:dyDescent="0.2">
      <c r="A2678" s="168">
        <v>2671</v>
      </c>
      <c r="B2678" s="159">
        <v>594.63366392643309</v>
      </c>
      <c r="C2678" s="169">
        <f t="shared" si="122"/>
        <v>1588266.5163475028</v>
      </c>
      <c r="I2678" s="168">
        <v>2671</v>
      </c>
      <c r="J2678" s="159">
        <f>ROUND(B2678*('Model Data Inputs'!$E$184*'Model Data Inputs'!$E$185*'Model Data Inputs'!$E$186*'Model Data Inputs'!$E$187),2)</f>
        <v>594.63</v>
      </c>
      <c r="K2678" s="169">
        <f t="shared" si="123"/>
        <v>1588256.73</v>
      </c>
    </row>
    <row r="2679" spans="1:11" x14ac:dyDescent="0.2">
      <c r="A2679" s="168">
        <v>2672</v>
      </c>
      <c r="B2679" s="159">
        <v>594.63366392643309</v>
      </c>
      <c r="C2679" s="169">
        <f t="shared" si="122"/>
        <v>1588861.1500114291</v>
      </c>
      <c r="I2679" s="168">
        <v>2672</v>
      </c>
      <c r="J2679" s="159">
        <f>ROUND(B2679*('Model Data Inputs'!$E$184*'Model Data Inputs'!$E$185*'Model Data Inputs'!$E$186*'Model Data Inputs'!$E$187),2)</f>
        <v>594.63</v>
      </c>
      <c r="K2679" s="169">
        <f t="shared" si="123"/>
        <v>1588851.36</v>
      </c>
    </row>
    <row r="2680" spans="1:11" x14ac:dyDescent="0.2">
      <c r="A2680" s="168">
        <v>2673</v>
      </c>
      <c r="B2680" s="159">
        <v>594.63366392643309</v>
      </c>
      <c r="C2680" s="169">
        <f t="shared" si="122"/>
        <v>1589455.7836753556</v>
      </c>
      <c r="I2680" s="168">
        <v>2673</v>
      </c>
      <c r="J2680" s="159">
        <f>ROUND(B2680*('Model Data Inputs'!$E$184*'Model Data Inputs'!$E$185*'Model Data Inputs'!$E$186*'Model Data Inputs'!$E$187),2)</f>
        <v>594.63</v>
      </c>
      <c r="K2680" s="169">
        <f t="shared" si="123"/>
        <v>1589445.99</v>
      </c>
    </row>
    <row r="2681" spans="1:11" x14ac:dyDescent="0.2">
      <c r="A2681" s="168">
        <v>2674</v>
      </c>
      <c r="B2681" s="159">
        <v>594.63366392643309</v>
      </c>
      <c r="C2681" s="169">
        <f t="shared" si="122"/>
        <v>1590050.4173392821</v>
      </c>
      <c r="I2681" s="168">
        <v>2674</v>
      </c>
      <c r="J2681" s="159">
        <f>ROUND(B2681*('Model Data Inputs'!$E$184*'Model Data Inputs'!$E$185*'Model Data Inputs'!$E$186*'Model Data Inputs'!$E$187),2)</f>
        <v>594.63</v>
      </c>
      <c r="K2681" s="169">
        <f t="shared" si="123"/>
        <v>1590040.6199999999</v>
      </c>
    </row>
    <row r="2682" spans="1:11" x14ac:dyDescent="0.2">
      <c r="A2682" s="168">
        <v>2675</v>
      </c>
      <c r="B2682" s="159">
        <v>594.63366392643309</v>
      </c>
      <c r="C2682" s="169">
        <f t="shared" si="122"/>
        <v>1590645.0510032086</v>
      </c>
      <c r="I2682" s="168">
        <v>2675</v>
      </c>
      <c r="J2682" s="159">
        <f>ROUND(B2682*('Model Data Inputs'!$E$184*'Model Data Inputs'!$E$185*'Model Data Inputs'!$E$186*'Model Data Inputs'!$E$187),2)</f>
        <v>594.63</v>
      </c>
      <c r="K2682" s="169">
        <f t="shared" si="123"/>
        <v>1590635.25</v>
      </c>
    </row>
    <row r="2683" spans="1:11" x14ac:dyDescent="0.2">
      <c r="A2683" s="168">
        <v>2676</v>
      </c>
      <c r="B2683" s="159">
        <v>594.63366392643309</v>
      </c>
      <c r="C2683" s="169">
        <f t="shared" si="122"/>
        <v>1591239.6846671349</v>
      </c>
      <c r="I2683" s="168">
        <v>2676</v>
      </c>
      <c r="J2683" s="159">
        <f>ROUND(B2683*('Model Data Inputs'!$E$184*'Model Data Inputs'!$E$185*'Model Data Inputs'!$E$186*'Model Data Inputs'!$E$187),2)</f>
        <v>594.63</v>
      </c>
      <c r="K2683" s="169">
        <f t="shared" si="123"/>
        <v>1591229.88</v>
      </c>
    </row>
    <row r="2684" spans="1:11" x14ac:dyDescent="0.2">
      <c r="A2684" s="168">
        <v>2677</v>
      </c>
      <c r="B2684" s="159">
        <v>594.63366392643309</v>
      </c>
      <c r="C2684" s="169">
        <f t="shared" si="122"/>
        <v>1591834.3183310614</v>
      </c>
      <c r="I2684" s="168">
        <v>2677</v>
      </c>
      <c r="J2684" s="159">
        <f>ROUND(B2684*('Model Data Inputs'!$E$184*'Model Data Inputs'!$E$185*'Model Data Inputs'!$E$186*'Model Data Inputs'!$E$187),2)</f>
        <v>594.63</v>
      </c>
      <c r="K2684" s="169">
        <f t="shared" si="123"/>
        <v>1591824.51</v>
      </c>
    </row>
    <row r="2685" spans="1:11" x14ac:dyDescent="0.2">
      <c r="A2685" s="168">
        <v>2678</v>
      </c>
      <c r="B2685" s="159">
        <v>594.63366392643309</v>
      </c>
      <c r="C2685" s="169">
        <f t="shared" si="122"/>
        <v>1592428.9519949879</v>
      </c>
      <c r="I2685" s="168">
        <v>2678</v>
      </c>
      <c r="J2685" s="159">
        <f>ROUND(B2685*('Model Data Inputs'!$E$184*'Model Data Inputs'!$E$185*'Model Data Inputs'!$E$186*'Model Data Inputs'!$E$187),2)</f>
        <v>594.63</v>
      </c>
      <c r="K2685" s="169">
        <f t="shared" si="123"/>
        <v>1592419.14</v>
      </c>
    </row>
    <row r="2686" spans="1:11" x14ac:dyDescent="0.2">
      <c r="A2686" s="168">
        <v>2679</v>
      </c>
      <c r="B2686" s="159">
        <v>594.63366392643309</v>
      </c>
      <c r="C2686" s="169">
        <f t="shared" si="122"/>
        <v>1593023.5856589142</v>
      </c>
      <c r="I2686" s="168">
        <v>2679</v>
      </c>
      <c r="J2686" s="159">
        <f>ROUND(B2686*('Model Data Inputs'!$E$184*'Model Data Inputs'!$E$185*'Model Data Inputs'!$E$186*'Model Data Inputs'!$E$187),2)</f>
        <v>594.63</v>
      </c>
      <c r="K2686" s="169">
        <f t="shared" si="123"/>
        <v>1593013.77</v>
      </c>
    </row>
    <row r="2687" spans="1:11" x14ac:dyDescent="0.2">
      <c r="A2687" s="168">
        <v>2680</v>
      </c>
      <c r="B2687" s="159">
        <v>594.63366392643309</v>
      </c>
      <c r="C2687" s="169">
        <f t="shared" si="122"/>
        <v>1593618.2193228407</v>
      </c>
      <c r="I2687" s="168">
        <v>2680</v>
      </c>
      <c r="J2687" s="159">
        <f>ROUND(B2687*('Model Data Inputs'!$E$184*'Model Data Inputs'!$E$185*'Model Data Inputs'!$E$186*'Model Data Inputs'!$E$187),2)</f>
        <v>594.63</v>
      </c>
      <c r="K2687" s="169">
        <f t="shared" si="123"/>
        <v>1593608.4</v>
      </c>
    </row>
    <row r="2688" spans="1:11" x14ac:dyDescent="0.2">
      <c r="A2688" s="168">
        <v>2681</v>
      </c>
      <c r="B2688" s="159">
        <v>594.63366392643309</v>
      </c>
      <c r="C2688" s="169">
        <f t="shared" si="122"/>
        <v>1594212.8529867672</v>
      </c>
      <c r="I2688" s="168">
        <v>2681</v>
      </c>
      <c r="J2688" s="159">
        <f>ROUND(B2688*('Model Data Inputs'!$E$184*'Model Data Inputs'!$E$185*'Model Data Inputs'!$E$186*'Model Data Inputs'!$E$187),2)</f>
        <v>594.63</v>
      </c>
      <c r="K2688" s="169">
        <f t="shared" si="123"/>
        <v>1594203.03</v>
      </c>
    </row>
    <row r="2689" spans="1:11" x14ac:dyDescent="0.2">
      <c r="A2689" s="168">
        <v>2682</v>
      </c>
      <c r="B2689" s="159">
        <v>594.63366392643309</v>
      </c>
      <c r="C2689" s="169">
        <f t="shared" si="122"/>
        <v>1594807.4866506935</v>
      </c>
      <c r="I2689" s="168">
        <v>2682</v>
      </c>
      <c r="J2689" s="159">
        <f>ROUND(B2689*('Model Data Inputs'!$E$184*'Model Data Inputs'!$E$185*'Model Data Inputs'!$E$186*'Model Data Inputs'!$E$187),2)</f>
        <v>594.63</v>
      </c>
      <c r="K2689" s="169">
        <f t="shared" si="123"/>
        <v>1594797.66</v>
      </c>
    </row>
    <row r="2690" spans="1:11" x14ac:dyDescent="0.2">
      <c r="A2690" s="168">
        <v>2683</v>
      </c>
      <c r="B2690" s="159">
        <v>594.63366392643309</v>
      </c>
      <c r="C2690" s="169">
        <f t="shared" si="122"/>
        <v>1595402.12031462</v>
      </c>
      <c r="I2690" s="168">
        <v>2683</v>
      </c>
      <c r="J2690" s="159">
        <f>ROUND(B2690*('Model Data Inputs'!$E$184*'Model Data Inputs'!$E$185*'Model Data Inputs'!$E$186*'Model Data Inputs'!$E$187),2)</f>
        <v>594.63</v>
      </c>
      <c r="K2690" s="169">
        <f t="shared" si="123"/>
        <v>1595392.29</v>
      </c>
    </row>
    <row r="2691" spans="1:11" x14ac:dyDescent="0.2">
      <c r="A2691" s="168">
        <v>2684</v>
      </c>
      <c r="B2691" s="159">
        <v>594.63366392643309</v>
      </c>
      <c r="C2691" s="169">
        <f t="shared" si="122"/>
        <v>1595996.7539785465</v>
      </c>
      <c r="I2691" s="168">
        <v>2684</v>
      </c>
      <c r="J2691" s="159">
        <f>ROUND(B2691*('Model Data Inputs'!$E$184*'Model Data Inputs'!$E$185*'Model Data Inputs'!$E$186*'Model Data Inputs'!$E$187),2)</f>
        <v>594.63</v>
      </c>
      <c r="K2691" s="169">
        <f t="shared" si="123"/>
        <v>1595986.92</v>
      </c>
    </row>
    <row r="2692" spans="1:11" x14ac:dyDescent="0.2">
      <c r="A2692" s="168">
        <v>2685</v>
      </c>
      <c r="B2692" s="159">
        <v>594.63366392643309</v>
      </c>
      <c r="C2692" s="169">
        <f t="shared" si="122"/>
        <v>1596591.3876424727</v>
      </c>
      <c r="I2692" s="168">
        <v>2685</v>
      </c>
      <c r="J2692" s="159">
        <f>ROUND(B2692*('Model Data Inputs'!$E$184*'Model Data Inputs'!$E$185*'Model Data Inputs'!$E$186*'Model Data Inputs'!$E$187),2)</f>
        <v>594.63</v>
      </c>
      <c r="K2692" s="169">
        <f t="shared" si="123"/>
        <v>1596581.55</v>
      </c>
    </row>
    <row r="2693" spans="1:11" x14ac:dyDescent="0.2">
      <c r="A2693" s="168">
        <v>2686</v>
      </c>
      <c r="B2693" s="159">
        <v>594.63366392643309</v>
      </c>
      <c r="C2693" s="169">
        <f t="shared" si="122"/>
        <v>1597186.0213063993</v>
      </c>
      <c r="I2693" s="168">
        <v>2686</v>
      </c>
      <c r="J2693" s="159">
        <f>ROUND(B2693*('Model Data Inputs'!$E$184*'Model Data Inputs'!$E$185*'Model Data Inputs'!$E$186*'Model Data Inputs'!$E$187),2)</f>
        <v>594.63</v>
      </c>
      <c r="K2693" s="169">
        <f t="shared" si="123"/>
        <v>1597176.18</v>
      </c>
    </row>
    <row r="2694" spans="1:11" x14ac:dyDescent="0.2">
      <c r="A2694" s="168">
        <v>2687</v>
      </c>
      <c r="B2694" s="159">
        <v>594.63366392643309</v>
      </c>
      <c r="C2694" s="169">
        <f t="shared" si="122"/>
        <v>1597780.6549703258</v>
      </c>
      <c r="I2694" s="168">
        <v>2687</v>
      </c>
      <c r="J2694" s="159">
        <f>ROUND(B2694*('Model Data Inputs'!$E$184*'Model Data Inputs'!$E$185*'Model Data Inputs'!$E$186*'Model Data Inputs'!$E$187),2)</f>
        <v>594.63</v>
      </c>
      <c r="K2694" s="169">
        <f t="shared" si="123"/>
        <v>1597770.81</v>
      </c>
    </row>
    <row r="2695" spans="1:11" x14ac:dyDescent="0.2">
      <c r="A2695" s="168">
        <v>2688</v>
      </c>
      <c r="B2695" s="159">
        <v>594.63366392643309</v>
      </c>
      <c r="C2695" s="169">
        <f t="shared" si="122"/>
        <v>1598375.288634252</v>
      </c>
      <c r="I2695" s="168">
        <v>2688</v>
      </c>
      <c r="J2695" s="159">
        <f>ROUND(B2695*('Model Data Inputs'!$E$184*'Model Data Inputs'!$E$185*'Model Data Inputs'!$E$186*'Model Data Inputs'!$E$187),2)</f>
        <v>594.63</v>
      </c>
      <c r="K2695" s="169">
        <f t="shared" si="123"/>
        <v>1598365.44</v>
      </c>
    </row>
    <row r="2696" spans="1:11" x14ac:dyDescent="0.2">
      <c r="A2696" s="168">
        <v>2689</v>
      </c>
      <c r="B2696" s="159">
        <v>594.63366392643309</v>
      </c>
      <c r="C2696" s="169">
        <f t="shared" ref="C2696:C2759" si="124">A2696*B2696</f>
        <v>1598969.9222981785</v>
      </c>
      <c r="I2696" s="168">
        <v>2689</v>
      </c>
      <c r="J2696" s="159">
        <f>ROUND(B2696*('Model Data Inputs'!$E$184*'Model Data Inputs'!$E$185*'Model Data Inputs'!$E$186*'Model Data Inputs'!$E$187),2)</f>
        <v>594.63</v>
      </c>
      <c r="K2696" s="169">
        <f t="shared" ref="K2696:K2759" si="125">I2696*J2696</f>
        <v>1598960.07</v>
      </c>
    </row>
    <row r="2697" spans="1:11" x14ac:dyDescent="0.2">
      <c r="A2697" s="168">
        <v>2690</v>
      </c>
      <c r="B2697" s="159">
        <v>594.63366392643309</v>
      </c>
      <c r="C2697" s="169">
        <f t="shared" si="124"/>
        <v>1599564.555962105</v>
      </c>
      <c r="I2697" s="168">
        <v>2690</v>
      </c>
      <c r="J2697" s="159">
        <f>ROUND(B2697*('Model Data Inputs'!$E$184*'Model Data Inputs'!$E$185*'Model Data Inputs'!$E$186*'Model Data Inputs'!$E$187),2)</f>
        <v>594.63</v>
      </c>
      <c r="K2697" s="169">
        <f t="shared" si="125"/>
        <v>1599554.7</v>
      </c>
    </row>
    <row r="2698" spans="1:11" x14ac:dyDescent="0.2">
      <c r="A2698" s="168">
        <v>2691</v>
      </c>
      <c r="B2698" s="159">
        <v>594.63366392643309</v>
      </c>
      <c r="C2698" s="169">
        <f t="shared" si="124"/>
        <v>1600159.1896260313</v>
      </c>
      <c r="I2698" s="168">
        <v>2691</v>
      </c>
      <c r="J2698" s="159">
        <f>ROUND(B2698*('Model Data Inputs'!$E$184*'Model Data Inputs'!$E$185*'Model Data Inputs'!$E$186*'Model Data Inputs'!$E$187),2)</f>
        <v>594.63</v>
      </c>
      <c r="K2698" s="169">
        <f t="shared" si="125"/>
        <v>1600149.33</v>
      </c>
    </row>
    <row r="2699" spans="1:11" x14ac:dyDescent="0.2">
      <c r="A2699" s="168">
        <v>2692</v>
      </c>
      <c r="B2699" s="159">
        <v>594.63366392643309</v>
      </c>
      <c r="C2699" s="169">
        <f t="shared" si="124"/>
        <v>1600753.8232899578</v>
      </c>
      <c r="I2699" s="168">
        <v>2692</v>
      </c>
      <c r="J2699" s="159">
        <f>ROUND(B2699*('Model Data Inputs'!$E$184*'Model Data Inputs'!$E$185*'Model Data Inputs'!$E$186*'Model Data Inputs'!$E$187),2)</f>
        <v>594.63</v>
      </c>
      <c r="K2699" s="169">
        <f t="shared" si="125"/>
        <v>1600743.96</v>
      </c>
    </row>
    <row r="2700" spans="1:11" x14ac:dyDescent="0.2">
      <c r="A2700" s="168">
        <v>2693</v>
      </c>
      <c r="B2700" s="159">
        <v>594.63366392643309</v>
      </c>
      <c r="C2700" s="169">
        <f t="shared" si="124"/>
        <v>1601348.4569538843</v>
      </c>
      <c r="I2700" s="168">
        <v>2693</v>
      </c>
      <c r="J2700" s="159">
        <f>ROUND(B2700*('Model Data Inputs'!$E$184*'Model Data Inputs'!$E$185*'Model Data Inputs'!$E$186*'Model Data Inputs'!$E$187),2)</f>
        <v>594.63</v>
      </c>
      <c r="K2700" s="169">
        <f t="shared" si="125"/>
        <v>1601338.59</v>
      </c>
    </row>
    <row r="2701" spans="1:11" x14ac:dyDescent="0.2">
      <c r="A2701" s="168">
        <v>2694</v>
      </c>
      <c r="B2701" s="159">
        <v>594.63366392643309</v>
      </c>
      <c r="C2701" s="169">
        <f t="shared" si="124"/>
        <v>1601943.0906178108</v>
      </c>
      <c r="I2701" s="168">
        <v>2694</v>
      </c>
      <c r="J2701" s="159">
        <f>ROUND(B2701*('Model Data Inputs'!$E$184*'Model Data Inputs'!$E$185*'Model Data Inputs'!$E$186*'Model Data Inputs'!$E$187),2)</f>
        <v>594.63</v>
      </c>
      <c r="K2701" s="169">
        <f t="shared" si="125"/>
        <v>1601933.22</v>
      </c>
    </row>
    <row r="2702" spans="1:11" x14ac:dyDescent="0.2">
      <c r="A2702" s="168">
        <v>2695</v>
      </c>
      <c r="B2702" s="159">
        <v>594.63366392643309</v>
      </c>
      <c r="C2702" s="169">
        <f t="shared" si="124"/>
        <v>1602537.7242817371</v>
      </c>
      <c r="I2702" s="168">
        <v>2695</v>
      </c>
      <c r="J2702" s="159">
        <f>ROUND(B2702*('Model Data Inputs'!$E$184*'Model Data Inputs'!$E$185*'Model Data Inputs'!$E$186*'Model Data Inputs'!$E$187),2)</f>
        <v>594.63</v>
      </c>
      <c r="K2702" s="169">
        <f t="shared" si="125"/>
        <v>1602527.85</v>
      </c>
    </row>
    <row r="2703" spans="1:11" x14ac:dyDescent="0.2">
      <c r="A2703" s="168">
        <v>2696</v>
      </c>
      <c r="B2703" s="159">
        <v>594.63366392643309</v>
      </c>
      <c r="C2703" s="169">
        <f t="shared" si="124"/>
        <v>1603132.3579456636</v>
      </c>
      <c r="I2703" s="168">
        <v>2696</v>
      </c>
      <c r="J2703" s="159">
        <f>ROUND(B2703*('Model Data Inputs'!$E$184*'Model Data Inputs'!$E$185*'Model Data Inputs'!$E$186*'Model Data Inputs'!$E$187),2)</f>
        <v>594.63</v>
      </c>
      <c r="K2703" s="169">
        <f t="shared" si="125"/>
        <v>1603122.48</v>
      </c>
    </row>
    <row r="2704" spans="1:11" x14ac:dyDescent="0.2">
      <c r="A2704" s="168">
        <v>2697</v>
      </c>
      <c r="B2704" s="159">
        <v>594.63366392643309</v>
      </c>
      <c r="C2704" s="169">
        <f t="shared" si="124"/>
        <v>1603726.9916095901</v>
      </c>
      <c r="I2704" s="168">
        <v>2697</v>
      </c>
      <c r="J2704" s="159">
        <f>ROUND(B2704*('Model Data Inputs'!$E$184*'Model Data Inputs'!$E$185*'Model Data Inputs'!$E$186*'Model Data Inputs'!$E$187),2)</f>
        <v>594.63</v>
      </c>
      <c r="K2704" s="169">
        <f t="shared" si="125"/>
        <v>1603717.11</v>
      </c>
    </row>
    <row r="2705" spans="1:11" x14ac:dyDescent="0.2">
      <c r="A2705" s="168">
        <v>2698</v>
      </c>
      <c r="B2705" s="159">
        <v>594.63366392643309</v>
      </c>
      <c r="C2705" s="169">
        <f t="shared" si="124"/>
        <v>1604321.6252735164</v>
      </c>
      <c r="I2705" s="168">
        <v>2698</v>
      </c>
      <c r="J2705" s="159">
        <f>ROUND(B2705*('Model Data Inputs'!$E$184*'Model Data Inputs'!$E$185*'Model Data Inputs'!$E$186*'Model Data Inputs'!$E$187),2)</f>
        <v>594.63</v>
      </c>
      <c r="K2705" s="169">
        <f t="shared" si="125"/>
        <v>1604311.74</v>
      </c>
    </row>
    <row r="2706" spans="1:11" x14ac:dyDescent="0.2">
      <c r="A2706" s="168">
        <v>2699</v>
      </c>
      <c r="B2706" s="159">
        <v>594.63366392643309</v>
      </c>
      <c r="C2706" s="169">
        <f t="shared" si="124"/>
        <v>1604916.2589374429</v>
      </c>
      <c r="I2706" s="168">
        <v>2699</v>
      </c>
      <c r="J2706" s="159">
        <f>ROUND(B2706*('Model Data Inputs'!$E$184*'Model Data Inputs'!$E$185*'Model Data Inputs'!$E$186*'Model Data Inputs'!$E$187),2)</f>
        <v>594.63</v>
      </c>
      <c r="K2706" s="169">
        <f t="shared" si="125"/>
        <v>1604906.3699999999</v>
      </c>
    </row>
    <row r="2707" spans="1:11" x14ac:dyDescent="0.2">
      <c r="A2707" s="168">
        <v>2700</v>
      </c>
      <c r="B2707" s="159">
        <v>594.63366392643309</v>
      </c>
      <c r="C2707" s="169">
        <f t="shared" si="124"/>
        <v>1605510.8926013694</v>
      </c>
      <c r="I2707" s="168">
        <v>2700</v>
      </c>
      <c r="J2707" s="159">
        <f>ROUND(B2707*('Model Data Inputs'!$E$184*'Model Data Inputs'!$E$185*'Model Data Inputs'!$E$186*'Model Data Inputs'!$E$187),2)</f>
        <v>594.63</v>
      </c>
      <c r="K2707" s="169">
        <f t="shared" si="125"/>
        <v>1605501</v>
      </c>
    </row>
    <row r="2708" spans="1:11" x14ac:dyDescent="0.2">
      <c r="A2708" s="168">
        <v>2701</v>
      </c>
      <c r="B2708" s="159">
        <v>594.63366392643309</v>
      </c>
      <c r="C2708" s="169">
        <f t="shared" si="124"/>
        <v>1606105.5262652957</v>
      </c>
      <c r="I2708" s="168">
        <v>2701</v>
      </c>
      <c r="J2708" s="159">
        <f>ROUND(B2708*('Model Data Inputs'!$E$184*'Model Data Inputs'!$E$185*'Model Data Inputs'!$E$186*'Model Data Inputs'!$E$187),2)</f>
        <v>594.63</v>
      </c>
      <c r="K2708" s="169">
        <f t="shared" si="125"/>
        <v>1606095.63</v>
      </c>
    </row>
    <row r="2709" spans="1:11" x14ac:dyDescent="0.2">
      <c r="A2709" s="168">
        <v>2702</v>
      </c>
      <c r="B2709" s="159">
        <v>594.63366392643309</v>
      </c>
      <c r="C2709" s="169">
        <f t="shared" si="124"/>
        <v>1606700.1599292222</v>
      </c>
      <c r="I2709" s="168">
        <v>2702</v>
      </c>
      <c r="J2709" s="159">
        <f>ROUND(B2709*('Model Data Inputs'!$E$184*'Model Data Inputs'!$E$185*'Model Data Inputs'!$E$186*'Model Data Inputs'!$E$187),2)</f>
        <v>594.63</v>
      </c>
      <c r="K2709" s="169">
        <f t="shared" si="125"/>
        <v>1606690.26</v>
      </c>
    </row>
    <row r="2710" spans="1:11" x14ac:dyDescent="0.2">
      <c r="A2710" s="168">
        <v>2703</v>
      </c>
      <c r="B2710" s="159">
        <v>594.63366392643309</v>
      </c>
      <c r="C2710" s="169">
        <f t="shared" si="124"/>
        <v>1607294.7935931487</v>
      </c>
      <c r="I2710" s="168">
        <v>2703</v>
      </c>
      <c r="J2710" s="159">
        <f>ROUND(B2710*('Model Data Inputs'!$E$184*'Model Data Inputs'!$E$185*'Model Data Inputs'!$E$186*'Model Data Inputs'!$E$187),2)</f>
        <v>594.63</v>
      </c>
      <c r="K2710" s="169">
        <f t="shared" si="125"/>
        <v>1607284.89</v>
      </c>
    </row>
    <row r="2711" spans="1:11" x14ac:dyDescent="0.2">
      <c r="A2711" s="168">
        <v>2704</v>
      </c>
      <c r="B2711" s="159">
        <v>594.63366392643309</v>
      </c>
      <c r="C2711" s="169">
        <f t="shared" si="124"/>
        <v>1607889.427257075</v>
      </c>
      <c r="I2711" s="168">
        <v>2704</v>
      </c>
      <c r="J2711" s="159">
        <f>ROUND(B2711*('Model Data Inputs'!$E$184*'Model Data Inputs'!$E$185*'Model Data Inputs'!$E$186*'Model Data Inputs'!$E$187),2)</f>
        <v>594.63</v>
      </c>
      <c r="K2711" s="169">
        <f t="shared" si="125"/>
        <v>1607879.52</v>
      </c>
    </row>
    <row r="2712" spans="1:11" x14ac:dyDescent="0.2">
      <c r="A2712" s="168">
        <v>2705</v>
      </c>
      <c r="B2712" s="159">
        <v>594.63366392643309</v>
      </c>
      <c r="C2712" s="169">
        <f t="shared" si="124"/>
        <v>1608484.0609210015</v>
      </c>
      <c r="I2712" s="168">
        <v>2705</v>
      </c>
      <c r="J2712" s="159">
        <f>ROUND(B2712*('Model Data Inputs'!$E$184*'Model Data Inputs'!$E$185*'Model Data Inputs'!$E$186*'Model Data Inputs'!$E$187),2)</f>
        <v>594.63</v>
      </c>
      <c r="K2712" s="169">
        <f t="shared" si="125"/>
        <v>1608474.15</v>
      </c>
    </row>
    <row r="2713" spans="1:11" x14ac:dyDescent="0.2">
      <c r="A2713" s="168">
        <v>2706</v>
      </c>
      <c r="B2713" s="159">
        <v>594.63366392643309</v>
      </c>
      <c r="C2713" s="169">
        <f t="shared" si="124"/>
        <v>1609078.694584928</v>
      </c>
      <c r="I2713" s="168">
        <v>2706</v>
      </c>
      <c r="J2713" s="159">
        <f>ROUND(B2713*('Model Data Inputs'!$E$184*'Model Data Inputs'!$E$185*'Model Data Inputs'!$E$186*'Model Data Inputs'!$E$187),2)</f>
        <v>594.63</v>
      </c>
      <c r="K2713" s="169">
        <f t="shared" si="125"/>
        <v>1609068.78</v>
      </c>
    </row>
    <row r="2714" spans="1:11" x14ac:dyDescent="0.2">
      <c r="A2714" s="168">
        <v>2707</v>
      </c>
      <c r="B2714" s="159">
        <v>594.63366392643309</v>
      </c>
      <c r="C2714" s="169">
        <f t="shared" si="124"/>
        <v>1609673.3282488543</v>
      </c>
      <c r="I2714" s="168">
        <v>2707</v>
      </c>
      <c r="J2714" s="159">
        <f>ROUND(B2714*('Model Data Inputs'!$E$184*'Model Data Inputs'!$E$185*'Model Data Inputs'!$E$186*'Model Data Inputs'!$E$187),2)</f>
        <v>594.63</v>
      </c>
      <c r="K2714" s="169">
        <f t="shared" si="125"/>
        <v>1609663.41</v>
      </c>
    </row>
    <row r="2715" spans="1:11" x14ac:dyDescent="0.2">
      <c r="A2715" s="168">
        <v>2708</v>
      </c>
      <c r="B2715" s="159">
        <v>594.63366392643309</v>
      </c>
      <c r="C2715" s="169">
        <f t="shared" si="124"/>
        <v>1610267.9619127808</v>
      </c>
      <c r="I2715" s="168">
        <v>2708</v>
      </c>
      <c r="J2715" s="159">
        <f>ROUND(B2715*('Model Data Inputs'!$E$184*'Model Data Inputs'!$E$185*'Model Data Inputs'!$E$186*'Model Data Inputs'!$E$187),2)</f>
        <v>594.63</v>
      </c>
      <c r="K2715" s="169">
        <f t="shared" si="125"/>
        <v>1610258.04</v>
      </c>
    </row>
    <row r="2716" spans="1:11" x14ac:dyDescent="0.2">
      <c r="A2716" s="168">
        <v>2709</v>
      </c>
      <c r="B2716" s="159">
        <v>594.63366392643309</v>
      </c>
      <c r="C2716" s="169">
        <f t="shared" si="124"/>
        <v>1610862.5955767073</v>
      </c>
      <c r="I2716" s="168">
        <v>2709</v>
      </c>
      <c r="J2716" s="159">
        <f>ROUND(B2716*('Model Data Inputs'!$E$184*'Model Data Inputs'!$E$185*'Model Data Inputs'!$E$186*'Model Data Inputs'!$E$187),2)</f>
        <v>594.63</v>
      </c>
      <c r="K2716" s="169">
        <f t="shared" si="125"/>
        <v>1610852.67</v>
      </c>
    </row>
    <row r="2717" spans="1:11" x14ac:dyDescent="0.2">
      <c r="A2717" s="168">
        <v>2710</v>
      </c>
      <c r="B2717" s="159">
        <v>594.63366392643309</v>
      </c>
      <c r="C2717" s="169">
        <f t="shared" si="124"/>
        <v>1611457.2292406338</v>
      </c>
      <c r="I2717" s="168">
        <v>2710</v>
      </c>
      <c r="J2717" s="159">
        <f>ROUND(B2717*('Model Data Inputs'!$E$184*'Model Data Inputs'!$E$185*'Model Data Inputs'!$E$186*'Model Data Inputs'!$E$187),2)</f>
        <v>594.63</v>
      </c>
      <c r="K2717" s="169">
        <f t="shared" si="125"/>
        <v>1611447.3</v>
      </c>
    </row>
    <row r="2718" spans="1:11" x14ac:dyDescent="0.2">
      <c r="A2718" s="168">
        <v>2711</v>
      </c>
      <c r="B2718" s="159">
        <v>594.63366392643309</v>
      </c>
      <c r="C2718" s="169">
        <f t="shared" si="124"/>
        <v>1612051.8629045601</v>
      </c>
      <c r="I2718" s="168">
        <v>2711</v>
      </c>
      <c r="J2718" s="159">
        <f>ROUND(B2718*('Model Data Inputs'!$E$184*'Model Data Inputs'!$E$185*'Model Data Inputs'!$E$186*'Model Data Inputs'!$E$187),2)</f>
        <v>594.63</v>
      </c>
      <c r="K2718" s="169">
        <f t="shared" si="125"/>
        <v>1612041.93</v>
      </c>
    </row>
    <row r="2719" spans="1:11" x14ac:dyDescent="0.2">
      <c r="A2719" s="168">
        <v>2712</v>
      </c>
      <c r="B2719" s="159">
        <v>594.63366392643309</v>
      </c>
      <c r="C2719" s="169">
        <f t="shared" si="124"/>
        <v>1612646.4965684866</v>
      </c>
      <c r="I2719" s="168">
        <v>2712</v>
      </c>
      <c r="J2719" s="159">
        <f>ROUND(B2719*('Model Data Inputs'!$E$184*'Model Data Inputs'!$E$185*'Model Data Inputs'!$E$186*'Model Data Inputs'!$E$187),2)</f>
        <v>594.63</v>
      </c>
      <c r="K2719" s="169">
        <f t="shared" si="125"/>
        <v>1612636.56</v>
      </c>
    </row>
    <row r="2720" spans="1:11" x14ac:dyDescent="0.2">
      <c r="A2720" s="168">
        <v>2713</v>
      </c>
      <c r="B2720" s="159">
        <v>594.63366392643309</v>
      </c>
      <c r="C2720" s="169">
        <f t="shared" si="124"/>
        <v>1613241.1302324131</v>
      </c>
      <c r="I2720" s="168">
        <v>2713</v>
      </c>
      <c r="J2720" s="159">
        <f>ROUND(B2720*('Model Data Inputs'!$E$184*'Model Data Inputs'!$E$185*'Model Data Inputs'!$E$186*'Model Data Inputs'!$E$187),2)</f>
        <v>594.63</v>
      </c>
      <c r="K2720" s="169">
        <f t="shared" si="125"/>
        <v>1613231.19</v>
      </c>
    </row>
    <row r="2721" spans="1:11" x14ac:dyDescent="0.2">
      <c r="A2721" s="168">
        <v>2714</v>
      </c>
      <c r="B2721" s="159">
        <v>594.63366392643309</v>
      </c>
      <c r="C2721" s="169">
        <f t="shared" si="124"/>
        <v>1613835.7638963393</v>
      </c>
      <c r="I2721" s="168">
        <v>2714</v>
      </c>
      <c r="J2721" s="159">
        <f>ROUND(B2721*('Model Data Inputs'!$E$184*'Model Data Inputs'!$E$185*'Model Data Inputs'!$E$186*'Model Data Inputs'!$E$187),2)</f>
        <v>594.63</v>
      </c>
      <c r="K2721" s="169">
        <f t="shared" si="125"/>
        <v>1613825.82</v>
      </c>
    </row>
    <row r="2722" spans="1:11" x14ac:dyDescent="0.2">
      <c r="A2722" s="168">
        <v>2715</v>
      </c>
      <c r="B2722" s="159">
        <v>594.63366392643309</v>
      </c>
      <c r="C2722" s="169">
        <f t="shared" si="124"/>
        <v>1614430.3975602658</v>
      </c>
      <c r="I2722" s="168">
        <v>2715</v>
      </c>
      <c r="J2722" s="159">
        <f>ROUND(B2722*('Model Data Inputs'!$E$184*'Model Data Inputs'!$E$185*'Model Data Inputs'!$E$186*'Model Data Inputs'!$E$187),2)</f>
        <v>594.63</v>
      </c>
      <c r="K2722" s="169">
        <f t="shared" si="125"/>
        <v>1614420.45</v>
      </c>
    </row>
    <row r="2723" spans="1:11" x14ac:dyDescent="0.2">
      <c r="A2723" s="168">
        <v>2716</v>
      </c>
      <c r="B2723" s="159">
        <v>594.63366392643309</v>
      </c>
      <c r="C2723" s="169">
        <f t="shared" si="124"/>
        <v>1615025.0312241924</v>
      </c>
      <c r="I2723" s="168">
        <v>2716</v>
      </c>
      <c r="J2723" s="159">
        <f>ROUND(B2723*('Model Data Inputs'!$E$184*'Model Data Inputs'!$E$185*'Model Data Inputs'!$E$186*'Model Data Inputs'!$E$187),2)</f>
        <v>594.63</v>
      </c>
      <c r="K2723" s="169">
        <f t="shared" si="125"/>
        <v>1615015.08</v>
      </c>
    </row>
    <row r="2724" spans="1:11" x14ac:dyDescent="0.2">
      <c r="A2724" s="168">
        <v>2717</v>
      </c>
      <c r="B2724" s="159">
        <v>594.63366392643309</v>
      </c>
      <c r="C2724" s="169">
        <f t="shared" si="124"/>
        <v>1615619.6648881186</v>
      </c>
      <c r="I2724" s="168">
        <v>2717</v>
      </c>
      <c r="J2724" s="159">
        <f>ROUND(B2724*('Model Data Inputs'!$E$184*'Model Data Inputs'!$E$185*'Model Data Inputs'!$E$186*'Model Data Inputs'!$E$187),2)</f>
        <v>594.63</v>
      </c>
      <c r="K2724" s="169">
        <f t="shared" si="125"/>
        <v>1615609.71</v>
      </c>
    </row>
    <row r="2725" spans="1:11" x14ac:dyDescent="0.2">
      <c r="A2725" s="168">
        <v>2718</v>
      </c>
      <c r="B2725" s="159">
        <v>594.63366392643309</v>
      </c>
      <c r="C2725" s="169">
        <f t="shared" si="124"/>
        <v>1616214.2985520451</v>
      </c>
      <c r="I2725" s="168">
        <v>2718</v>
      </c>
      <c r="J2725" s="159">
        <f>ROUND(B2725*('Model Data Inputs'!$E$184*'Model Data Inputs'!$E$185*'Model Data Inputs'!$E$186*'Model Data Inputs'!$E$187),2)</f>
        <v>594.63</v>
      </c>
      <c r="K2725" s="169">
        <f t="shared" si="125"/>
        <v>1616204.34</v>
      </c>
    </row>
    <row r="2726" spans="1:11" x14ac:dyDescent="0.2">
      <c r="A2726" s="168">
        <v>2719</v>
      </c>
      <c r="B2726" s="159">
        <v>594.63366392643309</v>
      </c>
      <c r="C2726" s="169">
        <f t="shared" si="124"/>
        <v>1616808.9322159716</v>
      </c>
      <c r="I2726" s="168">
        <v>2719</v>
      </c>
      <c r="J2726" s="159">
        <f>ROUND(B2726*('Model Data Inputs'!$E$184*'Model Data Inputs'!$E$185*'Model Data Inputs'!$E$186*'Model Data Inputs'!$E$187),2)</f>
        <v>594.63</v>
      </c>
      <c r="K2726" s="169">
        <f t="shared" si="125"/>
        <v>1616798.97</v>
      </c>
    </row>
    <row r="2727" spans="1:11" x14ac:dyDescent="0.2">
      <c r="A2727" s="168">
        <v>2720</v>
      </c>
      <c r="B2727" s="159">
        <v>594.63366392643309</v>
      </c>
      <c r="C2727" s="169">
        <f t="shared" si="124"/>
        <v>1617403.5658798979</v>
      </c>
      <c r="I2727" s="168">
        <v>2720</v>
      </c>
      <c r="J2727" s="159">
        <f>ROUND(B2727*('Model Data Inputs'!$E$184*'Model Data Inputs'!$E$185*'Model Data Inputs'!$E$186*'Model Data Inputs'!$E$187),2)</f>
        <v>594.63</v>
      </c>
      <c r="K2727" s="169">
        <f t="shared" si="125"/>
        <v>1617393.6</v>
      </c>
    </row>
    <row r="2728" spans="1:11" x14ac:dyDescent="0.2">
      <c r="A2728" s="168">
        <v>2721</v>
      </c>
      <c r="B2728" s="159">
        <v>594.63366392643309</v>
      </c>
      <c r="C2728" s="169">
        <f t="shared" si="124"/>
        <v>1617998.1995438244</v>
      </c>
      <c r="I2728" s="168">
        <v>2721</v>
      </c>
      <c r="J2728" s="159">
        <f>ROUND(B2728*('Model Data Inputs'!$E$184*'Model Data Inputs'!$E$185*'Model Data Inputs'!$E$186*'Model Data Inputs'!$E$187),2)</f>
        <v>594.63</v>
      </c>
      <c r="K2728" s="169">
        <f t="shared" si="125"/>
        <v>1617988.23</v>
      </c>
    </row>
    <row r="2729" spans="1:11" x14ac:dyDescent="0.2">
      <c r="A2729" s="168">
        <v>2722</v>
      </c>
      <c r="B2729" s="159">
        <v>594.63366392643309</v>
      </c>
      <c r="C2729" s="169">
        <f t="shared" si="124"/>
        <v>1618592.8332077509</v>
      </c>
      <c r="I2729" s="168">
        <v>2722</v>
      </c>
      <c r="J2729" s="159">
        <f>ROUND(B2729*('Model Data Inputs'!$E$184*'Model Data Inputs'!$E$185*'Model Data Inputs'!$E$186*'Model Data Inputs'!$E$187),2)</f>
        <v>594.63</v>
      </c>
      <c r="K2729" s="169">
        <f t="shared" si="125"/>
        <v>1618582.86</v>
      </c>
    </row>
    <row r="2730" spans="1:11" x14ac:dyDescent="0.2">
      <c r="A2730" s="168">
        <v>2723</v>
      </c>
      <c r="B2730" s="159">
        <v>594.63366392643309</v>
      </c>
      <c r="C2730" s="169">
        <f t="shared" si="124"/>
        <v>1619187.4668716772</v>
      </c>
      <c r="I2730" s="168">
        <v>2723</v>
      </c>
      <c r="J2730" s="159">
        <f>ROUND(B2730*('Model Data Inputs'!$E$184*'Model Data Inputs'!$E$185*'Model Data Inputs'!$E$186*'Model Data Inputs'!$E$187),2)</f>
        <v>594.63</v>
      </c>
      <c r="K2730" s="169">
        <f t="shared" si="125"/>
        <v>1619177.49</v>
      </c>
    </row>
    <row r="2731" spans="1:11" x14ac:dyDescent="0.2">
      <c r="A2731" s="168">
        <v>2724</v>
      </c>
      <c r="B2731" s="159">
        <v>594.63366392643309</v>
      </c>
      <c r="C2731" s="169">
        <f t="shared" si="124"/>
        <v>1619782.1005356037</v>
      </c>
      <c r="I2731" s="168">
        <v>2724</v>
      </c>
      <c r="J2731" s="159">
        <f>ROUND(B2731*('Model Data Inputs'!$E$184*'Model Data Inputs'!$E$185*'Model Data Inputs'!$E$186*'Model Data Inputs'!$E$187),2)</f>
        <v>594.63</v>
      </c>
      <c r="K2731" s="169">
        <f t="shared" si="125"/>
        <v>1619772.1199999999</v>
      </c>
    </row>
    <row r="2732" spans="1:11" x14ac:dyDescent="0.2">
      <c r="A2732" s="168">
        <v>2725</v>
      </c>
      <c r="B2732" s="159">
        <v>594.63366392643309</v>
      </c>
      <c r="C2732" s="169">
        <f t="shared" si="124"/>
        <v>1620376.7341995302</v>
      </c>
      <c r="I2732" s="168">
        <v>2725</v>
      </c>
      <c r="J2732" s="159">
        <f>ROUND(B2732*('Model Data Inputs'!$E$184*'Model Data Inputs'!$E$185*'Model Data Inputs'!$E$186*'Model Data Inputs'!$E$187),2)</f>
        <v>594.63</v>
      </c>
      <c r="K2732" s="169">
        <f t="shared" si="125"/>
        <v>1620366.75</v>
      </c>
    </row>
    <row r="2733" spans="1:11" x14ac:dyDescent="0.2">
      <c r="A2733" s="168">
        <v>2726</v>
      </c>
      <c r="B2733" s="159">
        <v>594.63366392643309</v>
      </c>
      <c r="C2733" s="169">
        <f t="shared" si="124"/>
        <v>1620971.3678634565</v>
      </c>
      <c r="I2733" s="168">
        <v>2726</v>
      </c>
      <c r="J2733" s="159">
        <f>ROUND(B2733*('Model Data Inputs'!$E$184*'Model Data Inputs'!$E$185*'Model Data Inputs'!$E$186*'Model Data Inputs'!$E$187),2)</f>
        <v>594.63</v>
      </c>
      <c r="K2733" s="169">
        <f t="shared" si="125"/>
        <v>1620961.38</v>
      </c>
    </row>
    <row r="2734" spans="1:11" x14ac:dyDescent="0.2">
      <c r="A2734" s="168">
        <v>2727</v>
      </c>
      <c r="B2734" s="159">
        <v>594.63366392643309</v>
      </c>
      <c r="C2734" s="169">
        <f t="shared" si="124"/>
        <v>1621566.001527383</v>
      </c>
      <c r="I2734" s="168">
        <v>2727</v>
      </c>
      <c r="J2734" s="159">
        <f>ROUND(B2734*('Model Data Inputs'!$E$184*'Model Data Inputs'!$E$185*'Model Data Inputs'!$E$186*'Model Data Inputs'!$E$187),2)</f>
        <v>594.63</v>
      </c>
      <c r="K2734" s="169">
        <f t="shared" si="125"/>
        <v>1621556.01</v>
      </c>
    </row>
    <row r="2735" spans="1:11" x14ac:dyDescent="0.2">
      <c r="A2735" s="168">
        <v>2728</v>
      </c>
      <c r="B2735" s="159">
        <v>594.63366392643309</v>
      </c>
      <c r="C2735" s="169">
        <f t="shared" si="124"/>
        <v>1622160.6351913095</v>
      </c>
      <c r="I2735" s="168">
        <v>2728</v>
      </c>
      <c r="J2735" s="159">
        <f>ROUND(B2735*('Model Data Inputs'!$E$184*'Model Data Inputs'!$E$185*'Model Data Inputs'!$E$186*'Model Data Inputs'!$E$187),2)</f>
        <v>594.63</v>
      </c>
      <c r="K2735" s="169">
        <f t="shared" si="125"/>
        <v>1622150.64</v>
      </c>
    </row>
    <row r="2736" spans="1:11" x14ac:dyDescent="0.2">
      <c r="A2736" s="168">
        <v>2729</v>
      </c>
      <c r="B2736" s="159">
        <v>594.63366392643309</v>
      </c>
      <c r="C2736" s="169">
        <f t="shared" si="124"/>
        <v>1622755.268855236</v>
      </c>
      <c r="I2736" s="168">
        <v>2729</v>
      </c>
      <c r="J2736" s="159">
        <f>ROUND(B2736*('Model Data Inputs'!$E$184*'Model Data Inputs'!$E$185*'Model Data Inputs'!$E$186*'Model Data Inputs'!$E$187),2)</f>
        <v>594.63</v>
      </c>
      <c r="K2736" s="169">
        <f t="shared" si="125"/>
        <v>1622745.27</v>
      </c>
    </row>
    <row r="2737" spans="1:11" x14ac:dyDescent="0.2">
      <c r="A2737" s="168">
        <v>2730</v>
      </c>
      <c r="B2737" s="159">
        <v>594.63366392643309</v>
      </c>
      <c r="C2737" s="169">
        <f t="shared" si="124"/>
        <v>1623349.9025191623</v>
      </c>
      <c r="I2737" s="168">
        <v>2730</v>
      </c>
      <c r="J2737" s="159">
        <f>ROUND(B2737*('Model Data Inputs'!$E$184*'Model Data Inputs'!$E$185*'Model Data Inputs'!$E$186*'Model Data Inputs'!$E$187),2)</f>
        <v>594.63</v>
      </c>
      <c r="K2737" s="169">
        <f t="shared" si="125"/>
        <v>1623339.9</v>
      </c>
    </row>
    <row r="2738" spans="1:11" x14ac:dyDescent="0.2">
      <c r="A2738" s="168">
        <v>2731</v>
      </c>
      <c r="B2738" s="159">
        <v>594.63366392643309</v>
      </c>
      <c r="C2738" s="169">
        <f t="shared" si="124"/>
        <v>1623944.5361830888</v>
      </c>
      <c r="I2738" s="168">
        <v>2731</v>
      </c>
      <c r="J2738" s="159">
        <f>ROUND(B2738*('Model Data Inputs'!$E$184*'Model Data Inputs'!$E$185*'Model Data Inputs'!$E$186*'Model Data Inputs'!$E$187),2)</f>
        <v>594.63</v>
      </c>
      <c r="K2738" s="169">
        <f t="shared" si="125"/>
        <v>1623934.53</v>
      </c>
    </row>
    <row r="2739" spans="1:11" x14ac:dyDescent="0.2">
      <c r="A2739" s="168">
        <v>2732</v>
      </c>
      <c r="B2739" s="159">
        <v>594.63366392643309</v>
      </c>
      <c r="C2739" s="169">
        <f t="shared" si="124"/>
        <v>1624539.1698470153</v>
      </c>
      <c r="I2739" s="168">
        <v>2732</v>
      </c>
      <c r="J2739" s="159">
        <f>ROUND(B2739*('Model Data Inputs'!$E$184*'Model Data Inputs'!$E$185*'Model Data Inputs'!$E$186*'Model Data Inputs'!$E$187),2)</f>
        <v>594.63</v>
      </c>
      <c r="K2739" s="169">
        <f t="shared" si="125"/>
        <v>1624529.16</v>
      </c>
    </row>
    <row r="2740" spans="1:11" x14ac:dyDescent="0.2">
      <c r="A2740" s="168">
        <v>2733</v>
      </c>
      <c r="B2740" s="159">
        <v>594.63366392643309</v>
      </c>
      <c r="C2740" s="169">
        <f t="shared" si="124"/>
        <v>1625133.8035109416</v>
      </c>
      <c r="I2740" s="168">
        <v>2733</v>
      </c>
      <c r="J2740" s="159">
        <f>ROUND(B2740*('Model Data Inputs'!$E$184*'Model Data Inputs'!$E$185*'Model Data Inputs'!$E$186*'Model Data Inputs'!$E$187),2)</f>
        <v>594.63</v>
      </c>
      <c r="K2740" s="169">
        <f t="shared" si="125"/>
        <v>1625123.79</v>
      </c>
    </row>
    <row r="2741" spans="1:11" x14ac:dyDescent="0.2">
      <c r="A2741" s="168">
        <v>2734</v>
      </c>
      <c r="B2741" s="159">
        <v>594.63366392643309</v>
      </c>
      <c r="C2741" s="169">
        <f t="shared" si="124"/>
        <v>1625728.4371748681</v>
      </c>
      <c r="I2741" s="168">
        <v>2734</v>
      </c>
      <c r="J2741" s="159">
        <f>ROUND(B2741*('Model Data Inputs'!$E$184*'Model Data Inputs'!$E$185*'Model Data Inputs'!$E$186*'Model Data Inputs'!$E$187),2)</f>
        <v>594.63</v>
      </c>
      <c r="K2741" s="169">
        <f t="shared" si="125"/>
        <v>1625718.42</v>
      </c>
    </row>
    <row r="2742" spans="1:11" x14ac:dyDescent="0.2">
      <c r="A2742" s="168">
        <v>2735</v>
      </c>
      <c r="B2742" s="159">
        <v>594.63366392643309</v>
      </c>
      <c r="C2742" s="169">
        <f t="shared" si="124"/>
        <v>1626323.0708387946</v>
      </c>
      <c r="I2742" s="168">
        <v>2735</v>
      </c>
      <c r="J2742" s="159">
        <f>ROUND(B2742*('Model Data Inputs'!$E$184*'Model Data Inputs'!$E$185*'Model Data Inputs'!$E$186*'Model Data Inputs'!$E$187),2)</f>
        <v>594.63</v>
      </c>
      <c r="K2742" s="169">
        <f t="shared" si="125"/>
        <v>1626313.05</v>
      </c>
    </row>
    <row r="2743" spans="1:11" x14ac:dyDescent="0.2">
      <c r="A2743" s="168">
        <v>2736</v>
      </c>
      <c r="B2743" s="159">
        <v>594.63366392643309</v>
      </c>
      <c r="C2743" s="169">
        <f t="shared" si="124"/>
        <v>1626917.7045027209</v>
      </c>
      <c r="I2743" s="168">
        <v>2736</v>
      </c>
      <c r="J2743" s="159">
        <f>ROUND(B2743*('Model Data Inputs'!$E$184*'Model Data Inputs'!$E$185*'Model Data Inputs'!$E$186*'Model Data Inputs'!$E$187),2)</f>
        <v>594.63</v>
      </c>
      <c r="K2743" s="169">
        <f t="shared" si="125"/>
        <v>1626907.68</v>
      </c>
    </row>
    <row r="2744" spans="1:11" x14ac:dyDescent="0.2">
      <c r="A2744" s="168">
        <v>2737</v>
      </c>
      <c r="B2744" s="159">
        <v>594.63366392643309</v>
      </c>
      <c r="C2744" s="169">
        <f t="shared" si="124"/>
        <v>1627512.3381666474</v>
      </c>
      <c r="I2744" s="168">
        <v>2737</v>
      </c>
      <c r="J2744" s="159">
        <f>ROUND(B2744*('Model Data Inputs'!$E$184*'Model Data Inputs'!$E$185*'Model Data Inputs'!$E$186*'Model Data Inputs'!$E$187),2)</f>
        <v>594.63</v>
      </c>
      <c r="K2744" s="169">
        <f t="shared" si="125"/>
        <v>1627502.31</v>
      </c>
    </row>
    <row r="2745" spans="1:11" x14ac:dyDescent="0.2">
      <c r="A2745" s="168">
        <v>2738</v>
      </c>
      <c r="B2745" s="159">
        <v>594.63366392643309</v>
      </c>
      <c r="C2745" s="169">
        <f t="shared" si="124"/>
        <v>1628106.9718305739</v>
      </c>
      <c r="I2745" s="168">
        <v>2738</v>
      </c>
      <c r="J2745" s="159">
        <f>ROUND(B2745*('Model Data Inputs'!$E$184*'Model Data Inputs'!$E$185*'Model Data Inputs'!$E$186*'Model Data Inputs'!$E$187),2)</f>
        <v>594.63</v>
      </c>
      <c r="K2745" s="169">
        <f t="shared" si="125"/>
        <v>1628096.94</v>
      </c>
    </row>
    <row r="2746" spans="1:11" x14ac:dyDescent="0.2">
      <c r="A2746" s="168">
        <v>2739</v>
      </c>
      <c r="B2746" s="159">
        <v>594.63366392643309</v>
      </c>
      <c r="C2746" s="169">
        <f t="shared" si="124"/>
        <v>1628701.6054945001</v>
      </c>
      <c r="I2746" s="168">
        <v>2739</v>
      </c>
      <c r="J2746" s="159">
        <f>ROUND(B2746*('Model Data Inputs'!$E$184*'Model Data Inputs'!$E$185*'Model Data Inputs'!$E$186*'Model Data Inputs'!$E$187),2)</f>
        <v>594.63</v>
      </c>
      <c r="K2746" s="169">
        <f t="shared" si="125"/>
        <v>1628691.57</v>
      </c>
    </row>
    <row r="2747" spans="1:11" x14ac:dyDescent="0.2">
      <c r="A2747" s="168">
        <v>2740</v>
      </c>
      <c r="B2747" s="159">
        <v>594.63366392643309</v>
      </c>
      <c r="C2747" s="169">
        <f t="shared" si="124"/>
        <v>1629296.2391584266</v>
      </c>
      <c r="I2747" s="168">
        <v>2740</v>
      </c>
      <c r="J2747" s="159">
        <f>ROUND(B2747*('Model Data Inputs'!$E$184*'Model Data Inputs'!$E$185*'Model Data Inputs'!$E$186*'Model Data Inputs'!$E$187),2)</f>
        <v>594.63</v>
      </c>
      <c r="K2747" s="169">
        <f t="shared" si="125"/>
        <v>1629286.2</v>
      </c>
    </row>
    <row r="2748" spans="1:11" x14ac:dyDescent="0.2">
      <c r="A2748" s="168">
        <v>2741</v>
      </c>
      <c r="B2748" s="159">
        <v>594.63366392643309</v>
      </c>
      <c r="C2748" s="169">
        <f t="shared" si="124"/>
        <v>1629890.8728223532</v>
      </c>
      <c r="I2748" s="168">
        <v>2741</v>
      </c>
      <c r="J2748" s="159">
        <f>ROUND(B2748*('Model Data Inputs'!$E$184*'Model Data Inputs'!$E$185*'Model Data Inputs'!$E$186*'Model Data Inputs'!$E$187),2)</f>
        <v>594.63</v>
      </c>
      <c r="K2748" s="169">
        <f t="shared" si="125"/>
        <v>1629880.83</v>
      </c>
    </row>
    <row r="2749" spans="1:11" x14ac:dyDescent="0.2">
      <c r="A2749" s="168">
        <v>2742</v>
      </c>
      <c r="B2749" s="159">
        <v>594.63366392643309</v>
      </c>
      <c r="C2749" s="169">
        <f t="shared" si="124"/>
        <v>1630485.5064862794</v>
      </c>
      <c r="I2749" s="168">
        <v>2742</v>
      </c>
      <c r="J2749" s="159">
        <f>ROUND(B2749*('Model Data Inputs'!$E$184*'Model Data Inputs'!$E$185*'Model Data Inputs'!$E$186*'Model Data Inputs'!$E$187),2)</f>
        <v>594.63</v>
      </c>
      <c r="K2749" s="169">
        <f t="shared" si="125"/>
        <v>1630475.46</v>
      </c>
    </row>
    <row r="2750" spans="1:11" x14ac:dyDescent="0.2">
      <c r="A2750" s="168">
        <v>2743</v>
      </c>
      <c r="B2750" s="159">
        <v>594.63366392643309</v>
      </c>
      <c r="C2750" s="169">
        <f t="shared" si="124"/>
        <v>1631080.1401502059</v>
      </c>
      <c r="I2750" s="168">
        <v>2743</v>
      </c>
      <c r="J2750" s="159">
        <f>ROUND(B2750*('Model Data Inputs'!$E$184*'Model Data Inputs'!$E$185*'Model Data Inputs'!$E$186*'Model Data Inputs'!$E$187),2)</f>
        <v>594.63</v>
      </c>
      <c r="K2750" s="169">
        <f t="shared" si="125"/>
        <v>1631070.09</v>
      </c>
    </row>
    <row r="2751" spans="1:11" x14ac:dyDescent="0.2">
      <c r="A2751" s="168">
        <v>2744</v>
      </c>
      <c r="B2751" s="159">
        <v>594.63366392643309</v>
      </c>
      <c r="C2751" s="169">
        <f t="shared" si="124"/>
        <v>1631674.7738141324</v>
      </c>
      <c r="I2751" s="168">
        <v>2744</v>
      </c>
      <c r="J2751" s="159">
        <f>ROUND(B2751*('Model Data Inputs'!$E$184*'Model Data Inputs'!$E$185*'Model Data Inputs'!$E$186*'Model Data Inputs'!$E$187),2)</f>
        <v>594.63</v>
      </c>
      <c r="K2751" s="169">
        <f t="shared" si="125"/>
        <v>1631664.72</v>
      </c>
    </row>
    <row r="2752" spans="1:11" x14ac:dyDescent="0.2">
      <c r="A2752" s="168">
        <v>2745</v>
      </c>
      <c r="B2752" s="159">
        <v>594.63366392643309</v>
      </c>
      <c r="C2752" s="169">
        <f t="shared" si="124"/>
        <v>1632269.4074780587</v>
      </c>
      <c r="I2752" s="168">
        <v>2745</v>
      </c>
      <c r="J2752" s="159">
        <f>ROUND(B2752*('Model Data Inputs'!$E$184*'Model Data Inputs'!$E$185*'Model Data Inputs'!$E$186*'Model Data Inputs'!$E$187),2)</f>
        <v>594.63</v>
      </c>
      <c r="K2752" s="169">
        <f t="shared" si="125"/>
        <v>1632259.35</v>
      </c>
    </row>
    <row r="2753" spans="1:11" x14ac:dyDescent="0.2">
      <c r="A2753" s="168">
        <v>2746</v>
      </c>
      <c r="B2753" s="159">
        <v>594.63366392643309</v>
      </c>
      <c r="C2753" s="169">
        <f t="shared" si="124"/>
        <v>1632864.0411419852</v>
      </c>
      <c r="I2753" s="168">
        <v>2746</v>
      </c>
      <c r="J2753" s="159">
        <f>ROUND(B2753*('Model Data Inputs'!$E$184*'Model Data Inputs'!$E$185*'Model Data Inputs'!$E$186*'Model Data Inputs'!$E$187),2)</f>
        <v>594.63</v>
      </c>
      <c r="K2753" s="169">
        <f t="shared" si="125"/>
        <v>1632853.98</v>
      </c>
    </row>
    <row r="2754" spans="1:11" x14ac:dyDescent="0.2">
      <c r="A2754" s="168">
        <v>2747</v>
      </c>
      <c r="B2754" s="159">
        <v>594.63366392643309</v>
      </c>
      <c r="C2754" s="169">
        <f t="shared" si="124"/>
        <v>1633458.6748059117</v>
      </c>
      <c r="I2754" s="168">
        <v>2747</v>
      </c>
      <c r="J2754" s="159">
        <f>ROUND(B2754*('Model Data Inputs'!$E$184*'Model Data Inputs'!$E$185*'Model Data Inputs'!$E$186*'Model Data Inputs'!$E$187),2)</f>
        <v>594.63</v>
      </c>
      <c r="K2754" s="169">
        <f t="shared" si="125"/>
        <v>1633448.61</v>
      </c>
    </row>
    <row r="2755" spans="1:11" x14ac:dyDescent="0.2">
      <c r="A2755" s="168">
        <v>2748</v>
      </c>
      <c r="B2755" s="159">
        <v>594.63366392643309</v>
      </c>
      <c r="C2755" s="169">
        <f t="shared" si="124"/>
        <v>1634053.3084698382</v>
      </c>
      <c r="I2755" s="168">
        <v>2748</v>
      </c>
      <c r="J2755" s="159">
        <f>ROUND(B2755*('Model Data Inputs'!$E$184*'Model Data Inputs'!$E$185*'Model Data Inputs'!$E$186*'Model Data Inputs'!$E$187),2)</f>
        <v>594.63</v>
      </c>
      <c r="K2755" s="169">
        <f t="shared" si="125"/>
        <v>1634043.24</v>
      </c>
    </row>
    <row r="2756" spans="1:11" x14ac:dyDescent="0.2">
      <c r="A2756" s="168">
        <v>2749</v>
      </c>
      <c r="B2756" s="159">
        <v>594.63366392643309</v>
      </c>
      <c r="C2756" s="169">
        <f t="shared" si="124"/>
        <v>1634647.9421337645</v>
      </c>
      <c r="I2756" s="168">
        <v>2749</v>
      </c>
      <c r="J2756" s="159">
        <f>ROUND(B2756*('Model Data Inputs'!$E$184*'Model Data Inputs'!$E$185*'Model Data Inputs'!$E$186*'Model Data Inputs'!$E$187),2)</f>
        <v>594.63</v>
      </c>
      <c r="K2756" s="169">
        <f t="shared" si="125"/>
        <v>1634637.8699999999</v>
      </c>
    </row>
    <row r="2757" spans="1:11" x14ac:dyDescent="0.2">
      <c r="A2757" s="168">
        <v>2750</v>
      </c>
      <c r="B2757" s="159">
        <v>594.63366392643309</v>
      </c>
      <c r="C2757" s="169">
        <f t="shared" si="124"/>
        <v>1635242.575797691</v>
      </c>
      <c r="I2757" s="168">
        <v>2750</v>
      </c>
      <c r="J2757" s="159">
        <f>ROUND(B2757*('Model Data Inputs'!$E$184*'Model Data Inputs'!$E$185*'Model Data Inputs'!$E$186*'Model Data Inputs'!$E$187),2)</f>
        <v>594.63</v>
      </c>
      <c r="K2757" s="169">
        <f t="shared" si="125"/>
        <v>1635232.5</v>
      </c>
    </row>
    <row r="2758" spans="1:11" x14ac:dyDescent="0.2">
      <c r="A2758" s="168">
        <v>2751</v>
      </c>
      <c r="B2758" s="159">
        <v>594.63366392643309</v>
      </c>
      <c r="C2758" s="169">
        <f t="shared" si="124"/>
        <v>1635837.2094616175</v>
      </c>
      <c r="I2758" s="168">
        <v>2751</v>
      </c>
      <c r="J2758" s="159">
        <f>ROUND(B2758*('Model Data Inputs'!$E$184*'Model Data Inputs'!$E$185*'Model Data Inputs'!$E$186*'Model Data Inputs'!$E$187),2)</f>
        <v>594.63</v>
      </c>
      <c r="K2758" s="169">
        <f t="shared" si="125"/>
        <v>1635827.13</v>
      </c>
    </row>
    <row r="2759" spans="1:11" x14ac:dyDescent="0.2">
      <c r="A2759" s="168">
        <v>2752</v>
      </c>
      <c r="B2759" s="159">
        <v>594.63366392643309</v>
      </c>
      <c r="C2759" s="169">
        <f t="shared" si="124"/>
        <v>1636431.8431255438</v>
      </c>
      <c r="I2759" s="168">
        <v>2752</v>
      </c>
      <c r="J2759" s="159">
        <f>ROUND(B2759*('Model Data Inputs'!$E$184*'Model Data Inputs'!$E$185*'Model Data Inputs'!$E$186*'Model Data Inputs'!$E$187),2)</f>
        <v>594.63</v>
      </c>
      <c r="K2759" s="169">
        <f t="shared" si="125"/>
        <v>1636421.76</v>
      </c>
    </row>
    <row r="2760" spans="1:11" x14ac:dyDescent="0.2">
      <c r="A2760" s="168">
        <v>2753</v>
      </c>
      <c r="B2760" s="159">
        <v>594.63366392643309</v>
      </c>
      <c r="C2760" s="169">
        <f t="shared" ref="C2760:C2823" si="126">A2760*B2760</f>
        <v>1637026.4767894703</v>
      </c>
      <c r="I2760" s="168">
        <v>2753</v>
      </c>
      <c r="J2760" s="159">
        <f>ROUND(B2760*('Model Data Inputs'!$E$184*'Model Data Inputs'!$E$185*'Model Data Inputs'!$E$186*'Model Data Inputs'!$E$187),2)</f>
        <v>594.63</v>
      </c>
      <c r="K2760" s="169">
        <f t="shared" ref="K2760:K2823" si="127">I2760*J2760</f>
        <v>1637016.39</v>
      </c>
    </row>
    <row r="2761" spans="1:11" x14ac:dyDescent="0.2">
      <c r="A2761" s="168">
        <v>2754</v>
      </c>
      <c r="B2761" s="159">
        <v>594.63366392643309</v>
      </c>
      <c r="C2761" s="169">
        <f t="shared" si="126"/>
        <v>1637621.1104533968</v>
      </c>
      <c r="I2761" s="168">
        <v>2754</v>
      </c>
      <c r="J2761" s="159">
        <f>ROUND(B2761*('Model Data Inputs'!$E$184*'Model Data Inputs'!$E$185*'Model Data Inputs'!$E$186*'Model Data Inputs'!$E$187),2)</f>
        <v>594.63</v>
      </c>
      <c r="K2761" s="169">
        <f t="shared" si="127"/>
        <v>1637611.02</v>
      </c>
    </row>
    <row r="2762" spans="1:11" x14ac:dyDescent="0.2">
      <c r="A2762" s="168">
        <v>2755</v>
      </c>
      <c r="B2762" s="159">
        <v>594.63366392643309</v>
      </c>
      <c r="C2762" s="169">
        <f t="shared" si="126"/>
        <v>1638215.7441173231</v>
      </c>
      <c r="I2762" s="168">
        <v>2755</v>
      </c>
      <c r="J2762" s="159">
        <f>ROUND(B2762*('Model Data Inputs'!$E$184*'Model Data Inputs'!$E$185*'Model Data Inputs'!$E$186*'Model Data Inputs'!$E$187),2)</f>
        <v>594.63</v>
      </c>
      <c r="K2762" s="169">
        <f t="shared" si="127"/>
        <v>1638205.65</v>
      </c>
    </row>
    <row r="2763" spans="1:11" x14ac:dyDescent="0.2">
      <c r="A2763" s="168">
        <v>2756</v>
      </c>
      <c r="B2763" s="159">
        <v>594.63366392643309</v>
      </c>
      <c r="C2763" s="169">
        <f t="shared" si="126"/>
        <v>1638810.3777812496</v>
      </c>
      <c r="I2763" s="168">
        <v>2756</v>
      </c>
      <c r="J2763" s="159">
        <f>ROUND(B2763*('Model Data Inputs'!$E$184*'Model Data Inputs'!$E$185*'Model Data Inputs'!$E$186*'Model Data Inputs'!$E$187),2)</f>
        <v>594.63</v>
      </c>
      <c r="K2763" s="169">
        <f t="shared" si="127"/>
        <v>1638800.28</v>
      </c>
    </row>
    <row r="2764" spans="1:11" x14ac:dyDescent="0.2">
      <c r="A2764" s="168">
        <v>2757</v>
      </c>
      <c r="B2764" s="159">
        <v>594.63366392643309</v>
      </c>
      <c r="C2764" s="169">
        <f t="shared" si="126"/>
        <v>1639405.0114451761</v>
      </c>
      <c r="I2764" s="168">
        <v>2757</v>
      </c>
      <c r="J2764" s="159">
        <f>ROUND(B2764*('Model Data Inputs'!$E$184*'Model Data Inputs'!$E$185*'Model Data Inputs'!$E$186*'Model Data Inputs'!$E$187),2)</f>
        <v>594.63</v>
      </c>
      <c r="K2764" s="169">
        <f t="shared" si="127"/>
        <v>1639394.91</v>
      </c>
    </row>
    <row r="2765" spans="1:11" x14ac:dyDescent="0.2">
      <c r="A2765" s="168">
        <v>2758</v>
      </c>
      <c r="B2765" s="159">
        <v>594.63366392643309</v>
      </c>
      <c r="C2765" s="169">
        <f t="shared" si="126"/>
        <v>1639999.6451091024</v>
      </c>
      <c r="I2765" s="168">
        <v>2758</v>
      </c>
      <c r="J2765" s="159">
        <f>ROUND(B2765*('Model Data Inputs'!$E$184*'Model Data Inputs'!$E$185*'Model Data Inputs'!$E$186*'Model Data Inputs'!$E$187),2)</f>
        <v>594.63</v>
      </c>
      <c r="K2765" s="169">
        <f t="shared" si="127"/>
        <v>1639989.54</v>
      </c>
    </row>
    <row r="2766" spans="1:11" x14ac:dyDescent="0.2">
      <c r="A2766" s="168">
        <v>2759</v>
      </c>
      <c r="B2766" s="159">
        <v>594.63366392643309</v>
      </c>
      <c r="C2766" s="169">
        <f t="shared" si="126"/>
        <v>1640594.2787730289</v>
      </c>
      <c r="I2766" s="168">
        <v>2759</v>
      </c>
      <c r="J2766" s="159">
        <f>ROUND(B2766*('Model Data Inputs'!$E$184*'Model Data Inputs'!$E$185*'Model Data Inputs'!$E$186*'Model Data Inputs'!$E$187),2)</f>
        <v>594.63</v>
      </c>
      <c r="K2766" s="169">
        <f t="shared" si="127"/>
        <v>1640584.17</v>
      </c>
    </row>
    <row r="2767" spans="1:11" x14ac:dyDescent="0.2">
      <c r="A2767" s="168">
        <v>2760</v>
      </c>
      <c r="B2767" s="159">
        <v>594.63366392643309</v>
      </c>
      <c r="C2767" s="169">
        <f t="shared" si="126"/>
        <v>1641188.9124369554</v>
      </c>
      <c r="I2767" s="168">
        <v>2760</v>
      </c>
      <c r="J2767" s="159">
        <f>ROUND(B2767*('Model Data Inputs'!$E$184*'Model Data Inputs'!$E$185*'Model Data Inputs'!$E$186*'Model Data Inputs'!$E$187),2)</f>
        <v>594.63</v>
      </c>
      <c r="K2767" s="169">
        <f t="shared" si="127"/>
        <v>1641178.8</v>
      </c>
    </row>
    <row r="2768" spans="1:11" x14ac:dyDescent="0.2">
      <c r="A2768" s="168">
        <v>2761</v>
      </c>
      <c r="B2768" s="159">
        <v>594.63366392643309</v>
      </c>
      <c r="C2768" s="169">
        <f t="shared" si="126"/>
        <v>1641783.5461008816</v>
      </c>
      <c r="I2768" s="168">
        <v>2761</v>
      </c>
      <c r="J2768" s="159">
        <f>ROUND(B2768*('Model Data Inputs'!$E$184*'Model Data Inputs'!$E$185*'Model Data Inputs'!$E$186*'Model Data Inputs'!$E$187),2)</f>
        <v>594.63</v>
      </c>
      <c r="K2768" s="169">
        <f t="shared" si="127"/>
        <v>1641773.43</v>
      </c>
    </row>
    <row r="2769" spans="1:11" x14ac:dyDescent="0.2">
      <c r="A2769" s="168">
        <v>2762</v>
      </c>
      <c r="B2769" s="159">
        <v>594.63366392643309</v>
      </c>
      <c r="C2769" s="169">
        <f t="shared" si="126"/>
        <v>1642378.1797648082</v>
      </c>
      <c r="I2769" s="168">
        <v>2762</v>
      </c>
      <c r="J2769" s="159">
        <f>ROUND(B2769*('Model Data Inputs'!$E$184*'Model Data Inputs'!$E$185*'Model Data Inputs'!$E$186*'Model Data Inputs'!$E$187),2)</f>
        <v>594.63</v>
      </c>
      <c r="K2769" s="169">
        <f t="shared" si="127"/>
        <v>1642368.06</v>
      </c>
    </row>
    <row r="2770" spans="1:11" x14ac:dyDescent="0.2">
      <c r="A2770" s="168">
        <v>2763</v>
      </c>
      <c r="B2770" s="159">
        <v>594.63366392643309</v>
      </c>
      <c r="C2770" s="169">
        <f t="shared" si="126"/>
        <v>1642972.8134287347</v>
      </c>
      <c r="I2770" s="168">
        <v>2763</v>
      </c>
      <c r="J2770" s="159">
        <f>ROUND(B2770*('Model Data Inputs'!$E$184*'Model Data Inputs'!$E$185*'Model Data Inputs'!$E$186*'Model Data Inputs'!$E$187),2)</f>
        <v>594.63</v>
      </c>
      <c r="K2770" s="169">
        <f t="shared" si="127"/>
        <v>1642962.69</v>
      </c>
    </row>
    <row r="2771" spans="1:11" x14ac:dyDescent="0.2">
      <c r="A2771" s="168">
        <v>2764</v>
      </c>
      <c r="B2771" s="159">
        <v>594.63366392643309</v>
      </c>
      <c r="C2771" s="169">
        <f t="shared" si="126"/>
        <v>1643567.4470926612</v>
      </c>
      <c r="I2771" s="168">
        <v>2764</v>
      </c>
      <c r="J2771" s="159">
        <f>ROUND(B2771*('Model Data Inputs'!$E$184*'Model Data Inputs'!$E$185*'Model Data Inputs'!$E$186*'Model Data Inputs'!$E$187),2)</f>
        <v>594.63</v>
      </c>
      <c r="K2771" s="169">
        <f t="shared" si="127"/>
        <v>1643557.32</v>
      </c>
    </row>
    <row r="2772" spans="1:11" x14ac:dyDescent="0.2">
      <c r="A2772" s="168">
        <v>2765</v>
      </c>
      <c r="B2772" s="159">
        <v>594.63366392643309</v>
      </c>
      <c r="C2772" s="169">
        <f t="shared" si="126"/>
        <v>1644162.0807565874</v>
      </c>
      <c r="I2772" s="168">
        <v>2765</v>
      </c>
      <c r="J2772" s="159">
        <f>ROUND(B2772*('Model Data Inputs'!$E$184*'Model Data Inputs'!$E$185*'Model Data Inputs'!$E$186*'Model Data Inputs'!$E$187),2)</f>
        <v>594.63</v>
      </c>
      <c r="K2772" s="169">
        <f t="shared" si="127"/>
        <v>1644151.95</v>
      </c>
    </row>
    <row r="2773" spans="1:11" x14ac:dyDescent="0.2">
      <c r="A2773" s="168">
        <v>2766</v>
      </c>
      <c r="B2773" s="159">
        <v>594.63366392643309</v>
      </c>
      <c r="C2773" s="169">
        <f t="shared" si="126"/>
        <v>1644756.7144205139</v>
      </c>
      <c r="I2773" s="168">
        <v>2766</v>
      </c>
      <c r="J2773" s="159">
        <f>ROUND(B2773*('Model Data Inputs'!$E$184*'Model Data Inputs'!$E$185*'Model Data Inputs'!$E$186*'Model Data Inputs'!$E$187),2)</f>
        <v>594.63</v>
      </c>
      <c r="K2773" s="169">
        <f t="shared" si="127"/>
        <v>1644746.58</v>
      </c>
    </row>
    <row r="2774" spans="1:11" x14ac:dyDescent="0.2">
      <c r="A2774" s="168">
        <v>2767</v>
      </c>
      <c r="B2774" s="159">
        <v>594.63366392643309</v>
      </c>
      <c r="C2774" s="169">
        <f t="shared" si="126"/>
        <v>1645351.3480844405</v>
      </c>
      <c r="I2774" s="168">
        <v>2767</v>
      </c>
      <c r="J2774" s="159">
        <f>ROUND(B2774*('Model Data Inputs'!$E$184*'Model Data Inputs'!$E$185*'Model Data Inputs'!$E$186*'Model Data Inputs'!$E$187),2)</f>
        <v>594.63</v>
      </c>
      <c r="K2774" s="169">
        <f t="shared" si="127"/>
        <v>1645341.21</v>
      </c>
    </row>
    <row r="2775" spans="1:11" x14ac:dyDescent="0.2">
      <c r="A2775" s="168">
        <v>2768</v>
      </c>
      <c r="B2775" s="159">
        <v>594.63366392643309</v>
      </c>
      <c r="C2775" s="169">
        <f t="shared" si="126"/>
        <v>1645945.9817483667</v>
      </c>
      <c r="I2775" s="168">
        <v>2768</v>
      </c>
      <c r="J2775" s="159">
        <f>ROUND(B2775*('Model Data Inputs'!$E$184*'Model Data Inputs'!$E$185*'Model Data Inputs'!$E$186*'Model Data Inputs'!$E$187),2)</f>
        <v>594.63</v>
      </c>
      <c r="K2775" s="169">
        <f t="shared" si="127"/>
        <v>1645935.84</v>
      </c>
    </row>
    <row r="2776" spans="1:11" x14ac:dyDescent="0.2">
      <c r="A2776" s="168">
        <v>2769</v>
      </c>
      <c r="B2776" s="159">
        <v>594.63366392643309</v>
      </c>
      <c r="C2776" s="169">
        <f t="shared" si="126"/>
        <v>1646540.6154122932</v>
      </c>
      <c r="I2776" s="168">
        <v>2769</v>
      </c>
      <c r="J2776" s="159">
        <f>ROUND(B2776*('Model Data Inputs'!$E$184*'Model Data Inputs'!$E$185*'Model Data Inputs'!$E$186*'Model Data Inputs'!$E$187),2)</f>
        <v>594.63</v>
      </c>
      <c r="K2776" s="169">
        <f t="shared" si="127"/>
        <v>1646530.47</v>
      </c>
    </row>
    <row r="2777" spans="1:11" x14ac:dyDescent="0.2">
      <c r="A2777" s="168">
        <v>2770</v>
      </c>
      <c r="B2777" s="159">
        <v>594.63366392643309</v>
      </c>
      <c r="C2777" s="169">
        <f t="shared" si="126"/>
        <v>1647135.2490762197</v>
      </c>
      <c r="I2777" s="168">
        <v>2770</v>
      </c>
      <c r="J2777" s="159">
        <f>ROUND(B2777*('Model Data Inputs'!$E$184*'Model Data Inputs'!$E$185*'Model Data Inputs'!$E$186*'Model Data Inputs'!$E$187),2)</f>
        <v>594.63</v>
      </c>
      <c r="K2777" s="169">
        <f t="shared" si="127"/>
        <v>1647125.1</v>
      </c>
    </row>
    <row r="2778" spans="1:11" x14ac:dyDescent="0.2">
      <c r="A2778" s="168">
        <v>2771</v>
      </c>
      <c r="B2778" s="159">
        <v>594.63366392643309</v>
      </c>
      <c r="C2778" s="169">
        <f t="shared" si="126"/>
        <v>1647729.882740146</v>
      </c>
      <c r="I2778" s="168">
        <v>2771</v>
      </c>
      <c r="J2778" s="159">
        <f>ROUND(B2778*('Model Data Inputs'!$E$184*'Model Data Inputs'!$E$185*'Model Data Inputs'!$E$186*'Model Data Inputs'!$E$187),2)</f>
        <v>594.63</v>
      </c>
      <c r="K2778" s="169">
        <f t="shared" si="127"/>
        <v>1647719.73</v>
      </c>
    </row>
    <row r="2779" spans="1:11" x14ac:dyDescent="0.2">
      <c r="A2779" s="168">
        <v>2772</v>
      </c>
      <c r="B2779" s="159">
        <v>594.63366392643309</v>
      </c>
      <c r="C2779" s="169">
        <f t="shared" si="126"/>
        <v>1648324.5164040725</v>
      </c>
      <c r="I2779" s="168">
        <v>2772</v>
      </c>
      <c r="J2779" s="159">
        <f>ROUND(B2779*('Model Data Inputs'!$E$184*'Model Data Inputs'!$E$185*'Model Data Inputs'!$E$186*'Model Data Inputs'!$E$187),2)</f>
        <v>594.63</v>
      </c>
      <c r="K2779" s="169">
        <f t="shared" si="127"/>
        <v>1648314.36</v>
      </c>
    </row>
    <row r="2780" spans="1:11" x14ac:dyDescent="0.2">
      <c r="A2780" s="168">
        <v>2773</v>
      </c>
      <c r="B2780" s="159">
        <v>594.63366392643309</v>
      </c>
      <c r="C2780" s="169">
        <f t="shared" si="126"/>
        <v>1648919.150067999</v>
      </c>
      <c r="I2780" s="168">
        <v>2773</v>
      </c>
      <c r="J2780" s="159">
        <f>ROUND(B2780*('Model Data Inputs'!$E$184*'Model Data Inputs'!$E$185*'Model Data Inputs'!$E$186*'Model Data Inputs'!$E$187),2)</f>
        <v>594.63</v>
      </c>
      <c r="K2780" s="169">
        <f t="shared" si="127"/>
        <v>1648908.99</v>
      </c>
    </row>
    <row r="2781" spans="1:11" x14ac:dyDescent="0.2">
      <c r="A2781" s="168">
        <v>2774</v>
      </c>
      <c r="B2781" s="159">
        <v>594.63366392643309</v>
      </c>
      <c r="C2781" s="169">
        <f t="shared" si="126"/>
        <v>1649513.7837319253</v>
      </c>
      <c r="I2781" s="168">
        <v>2774</v>
      </c>
      <c r="J2781" s="159">
        <f>ROUND(B2781*('Model Data Inputs'!$E$184*'Model Data Inputs'!$E$185*'Model Data Inputs'!$E$186*'Model Data Inputs'!$E$187),2)</f>
        <v>594.63</v>
      </c>
      <c r="K2781" s="169">
        <f t="shared" si="127"/>
        <v>1649503.6199999999</v>
      </c>
    </row>
    <row r="2782" spans="1:11" x14ac:dyDescent="0.2">
      <c r="A2782" s="168">
        <v>2775</v>
      </c>
      <c r="B2782" s="159">
        <v>594.63366392643309</v>
      </c>
      <c r="C2782" s="169">
        <f t="shared" si="126"/>
        <v>1650108.4173958518</v>
      </c>
      <c r="I2782" s="168">
        <v>2775</v>
      </c>
      <c r="J2782" s="159">
        <f>ROUND(B2782*('Model Data Inputs'!$E$184*'Model Data Inputs'!$E$185*'Model Data Inputs'!$E$186*'Model Data Inputs'!$E$187),2)</f>
        <v>594.63</v>
      </c>
      <c r="K2782" s="169">
        <f t="shared" si="127"/>
        <v>1650098.25</v>
      </c>
    </row>
    <row r="2783" spans="1:11" x14ac:dyDescent="0.2">
      <c r="A2783" s="168">
        <v>2776</v>
      </c>
      <c r="B2783" s="159">
        <v>594.63366392643309</v>
      </c>
      <c r="C2783" s="169">
        <f t="shared" si="126"/>
        <v>1650703.0510597783</v>
      </c>
      <c r="I2783" s="168">
        <v>2776</v>
      </c>
      <c r="J2783" s="159">
        <f>ROUND(B2783*('Model Data Inputs'!$E$184*'Model Data Inputs'!$E$185*'Model Data Inputs'!$E$186*'Model Data Inputs'!$E$187),2)</f>
        <v>594.63</v>
      </c>
      <c r="K2783" s="169">
        <f t="shared" si="127"/>
        <v>1650692.88</v>
      </c>
    </row>
    <row r="2784" spans="1:11" x14ac:dyDescent="0.2">
      <c r="A2784" s="168">
        <v>2777</v>
      </c>
      <c r="B2784" s="159">
        <v>594.63366392643309</v>
      </c>
      <c r="C2784" s="169">
        <f t="shared" si="126"/>
        <v>1651297.6847237046</v>
      </c>
      <c r="I2784" s="168">
        <v>2777</v>
      </c>
      <c r="J2784" s="159">
        <f>ROUND(B2784*('Model Data Inputs'!$E$184*'Model Data Inputs'!$E$185*'Model Data Inputs'!$E$186*'Model Data Inputs'!$E$187),2)</f>
        <v>594.63</v>
      </c>
      <c r="K2784" s="169">
        <f t="shared" si="127"/>
        <v>1651287.51</v>
      </c>
    </row>
    <row r="2785" spans="1:11" x14ac:dyDescent="0.2">
      <c r="A2785" s="168">
        <v>2778</v>
      </c>
      <c r="B2785" s="159">
        <v>594.63366392643309</v>
      </c>
      <c r="C2785" s="169">
        <f t="shared" si="126"/>
        <v>1651892.3183876311</v>
      </c>
      <c r="I2785" s="168">
        <v>2778</v>
      </c>
      <c r="J2785" s="159">
        <f>ROUND(B2785*('Model Data Inputs'!$E$184*'Model Data Inputs'!$E$185*'Model Data Inputs'!$E$186*'Model Data Inputs'!$E$187),2)</f>
        <v>594.63</v>
      </c>
      <c r="K2785" s="169">
        <f t="shared" si="127"/>
        <v>1651882.14</v>
      </c>
    </row>
    <row r="2786" spans="1:11" x14ac:dyDescent="0.2">
      <c r="A2786" s="168">
        <v>2779</v>
      </c>
      <c r="B2786" s="159">
        <v>594.63366392643309</v>
      </c>
      <c r="C2786" s="169">
        <f t="shared" si="126"/>
        <v>1652486.9520515576</v>
      </c>
      <c r="I2786" s="168">
        <v>2779</v>
      </c>
      <c r="J2786" s="159">
        <f>ROUND(B2786*('Model Data Inputs'!$E$184*'Model Data Inputs'!$E$185*'Model Data Inputs'!$E$186*'Model Data Inputs'!$E$187),2)</f>
        <v>594.63</v>
      </c>
      <c r="K2786" s="169">
        <f t="shared" si="127"/>
        <v>1652476.77</v>
      </c>
    </row>
    <row r="2787" spans="1:11" x14ac:dyDescent="0.2">
      <c r="A2787" s="168">
        <v>2780</v>
      </c>
      <c r="B2787" s="159">
        <v>594.63366392643309</v>
      </c>
      <c r="C2787" s="169">
        <f t="shared" si="126"/>
        <v>1653081.5857154839</v>
      </c>
      <c r="I2787" s="168">
        <v>2780</v>
      </c>
      <c r="J2787" s="159">
        <f>ROUND(B2787*('Model Data Inputs'!$E$184*'Model Data Inputs'!$E$185*'Model Data Inputs'!$E$186*'Model Data Inputs'!$E$187),2)</f>
        <v>594.63</v>
      </c>
      <c r="K2787" s="169">
        <f t="shared" si="127"/>
        <v>1653071.4</v>
      </c>
    </row>
    <row r="2788" spans="1:11" x14ac:dyDescent="0.2">
      <c r="A2788" s="168">
        <v>2781</v>
      </c>
      <c r="B2788" s="159">
        <v>594.63366392643309</v>
      </c>
      <c r="C2788" s="169">
        <f t="shared" si="126"/>
        <v>1653676.2193794104</v>
      </c>
      <c r="I2788" s="168">
        <v>2781</v>
      </c>
      <c r="J2788" s="159">
        <f>ROUND(B2788*('Model Data Inputs'!$E$184*'Model Data Inputs'!$E$185*'Model Data Inputs'!$E$186*'Model Data Inputs'!$E$187),2)</f>
        <v>594.63</v>
      </c>
      <c r="K2788" s="169">
        <f t="shared" si="127"/>
        <v>1653666.03</v>
      </c>
    </row>
    <row r="2789" spans="1:11" x14ac:dyDescent="0.2">
      <c r="A2789" s="168">
        <v>2782</v>
      </c>
      <c r="B2789" s="159">
        <v>594.63366392643309</v>
      </c>
      <c r="C2789" s="169">
        <f t="shared" si="126"/>
        <v>1654270.8530433369</v>
      </c>
      <c r="I2789" s="168">
        <v>2782</v>
      </c>
      <c r="J2789" s="159">
        <f>ROUND(B2789*('Model Data Inputs'!$E$184*'Model Data Inputs'!$E$185*'Model Data Inputs'!$E$186*'Model Data Inputs'!$E$187),2)</f>
        <v>594.63</v>
      </c>
      <c r="K2789" s="169">
        <f t="shared" si="127"/>
        <v>1654260.66</v>
      </c>
    </row>
    <row r="2790" spans="1:11" x14ac:dyDescent="0.2">
      <c r="A2790" s="168">
        <v>2783</v>
      </c>
      <c r="B2790" s="159">
        <v>594.63366392643309</v>
      </c>
      <c r="C2790" s="169">
        <f t="shared" si="126"/>
        <v>1654865.4867072634</v>
      </c>
      <c r="I2790" s="168">
        <v>2783</v>
      </c>
      <c r="J2790" s="159">
        <f>ROUND(B2790*('Model Data Inputs'!$E$184*'Model Data Inputs'!$E$185*'Model Data Inputs'!$E$186*'Model Data Inputs'!$E$187),2)</f>
        <v>594.63</v>
      </c>
      <c r="K2790" s="169">
        <f t="shared" si="127"/>
        <v>1654855.29</v>
      </c>
    </row>
    <row r="2791" spans="1:11" x14ac:dyDescent="0.2">
      <c r="A2791" s="168">
        <v>2784</v>
      </c>
      <c r="B2791" s="159">
        <v>594.63366392643309</v>
      </c>
      <c r="C2791" s="169">
        <f t="shared" si="126"/>
        <v>1655460.1203711897</v>
      </c>
      <c r="I2791" s="168">
        <v>2784</v>
      </c>
      <c r="J2791" s="159">
        <f>ROUND(B2791*('Model Data Inputs'!$E$184*'Model Data Inputs'!$E$185*'Model Data Inputs'!$E$186*'Model Data Inputs'!$E$187),2)</f>
        <v>594.63</v>
      </c>
      <c r="K2791" s="169">
        <f t="shared" si="127"/>
        <v>1655449.92</v>
      </c>
    </row>
    <row r="2792" spans="1:11" x14ac:dyDescent="0.2">
      <c r="A2792" s="168">
        <v>2785</v>
      </c>
      <c r="B2792" s="159">
        <v>594.63366392643309</v>
      </c>
      <c r="C2792" s="169">
        <f t="shared" si="126"/>
        <v>1656054.7540351162</v>
      </c>
      <c r="I2792" s="168">
        <v>2785</v>
      </c>
      <c r="J2792" s="159">
        <f>ROUND(B2792*('Model Data Inputs'!$E$184*'Model Data Inputs'!$E$185*'Model Data Inputs'!$E$186*'Model Data Inputs'!$E$187),2)</f>
        <v>594.63</v>
      </c>
      <c r="K2792" s="169">
        <f t="shared" si="127"/>
        <v>1656044.55</v>
      </c>
    </row>
    <row r="2793" spans="1:11" x14ac:dyDescent="0.2">
      <c r="A2793" s="168">
        <v>2786</v>
      </c>
      <c r="B2793" s="159">
        <v>594.63366392643309</v>
      </c>
      <c r="C2793" s="169">
        <f t="shared" si="126"/>
        <v>1656649.3876990427</v>
      </c>
      <c r="I2793" s="168">
        <v>2786</v>
      </c>
      <c r="J2793" s="159">
        <f>ROUND(B2793*('Model Data Inputs'!$E$184*'Model Data Inputs'!$E$185*'Model Data Inputs'!$E$186*'Model Data Inputs'!$E$187),2)</f>
        <v>594.63</v>
      </c>
      <c r="K2793" s="169">
        <f t="shared" si="127"/>
        <v>1656639.18</v>
      </c>
    </row>
    <row r="2794" spans="1:11" x14ac:dyDescent="0.2">
      <c r="A2794" s="168">
        <v>2787</v>
      </c>
      <c r="B2794" s="159">
        <v>594.63366392643309</v>
      </c>
      <c r="C2794" s="169">
        <f t="shared" si="126"/>
        <v>1657244.021362969</v>
      </c>
      <c r="I2794" s="168">
        <v>2787</v>
      </c>
      <c r="J2794" s="159">
        <f>ROUND(B2794*('Model Data Inputs'!$E$184*'Model Data Inputs'!$E$185*'Model Data Inputs'!$E$186*'Model Data Inputs'!$E$187),2)</f>
        <v>594.63</v>
      </c>
      <c r="K2794" s="169">
        <f t="shared" si="127"/>
        <v>1657233.81</v>
      </c>
    </row>
    <row r="2795" spans="1:11" x14ac:dyDescent="0.2">
      <c r="A2795" s="168">
        <v>2788</v>
      </c>
      <c r="B2795" s="159">
        <v>594.63366392643309</v>
      </c>
      <c r="C2795" s="169">
        <f t="shared" si="126"/>
        <v>1657838.6550268955</v>
      </c>
      <c r="I2795" s="168">
        <v>2788</v>
      </c>
      <c r="J2795" s="159">
        <f>ROUND(B2795*('Model Data Inputs'!$E$184*'Model Data Inputs'!$E$185*'Model Data Inputs'!$E$186*'Model Data Inputs'!$E$187),2)</f>
        <v>594.63</v>
      </c>
      <c r="K2795" s="169">
        <f t="shared" si="127"/>
        <v>1657828.44</v>
      </c>
    </row>
    <row r="2796" spans="1:11" x14ac:dyDescent="0.2">
      <c r="A2796" s="168">
        <v>2789</v>
      </c>
      <c r="B2796" s="159">
        <v>594.63366392643309</v>
      </c>
      <c r="C2796" s="169">
        <f t="shared" si="126"/>
        <v>1658433.288690822</v>
      </c>
      <c r="I2796" s="168">
        <v>2789</v>
      </c>
      <c r="J2796" s="159">
        <f>ROUND(B2796*('Model Data Inputs'!$E$184*'Model Data Inputs'!$E$185*'Model Data Inputs'!$E$186*'Model Data Inputs'!$E$187),2)</f>
        <v>594.63</v>
      </c>
      <c r="K2796" s="169">
        <f t="shared" si="127"/>
        <v>1658423.07</v>
      </c>
    </row>
    <row r="2797" spans="1:11" x14ac:dyDescent="0.2">
      <c r="A2797" s="168">
        <v>2790</v>
      </c>
      <c r="B2797" s="159">
        <v>594.63366392643309</v>
      </c>
      <c r="C2797" s="169">
        <f t="shared" si="126"/>
        <v>1659027.9223547482</v>
      </c>
      <c r="I2797" s="168">
        <v>2790</v>
      </c>
      <c r="J2797" s="159">
        <f>ROUND(B2797*('Model Data Inputs'!$E$184*'Model Data Inputs'!$E$185*'Model Data Inputs'!$E$186*'Model Data Inputs'!$E$187),2)</f>
        <v>594.63</v>
      </c>
      <c r="K2797" s="169">
        <f t="shared" si="127"/>
        <v>1659017.7</v>
      </c>
    </row>
    <row r="2798" spans="1:11" x14ac:dyDescent="0.2">
      <c r="A2798" s="168">
        <v>2791</v>
      </c>
      <c r="B2798" s="159">
        <v>594.63366392643309</v>
      </c>
      <c r="C2798" s="169">
        <f t="shared" si="126"/>
        <v>1659622.5560186747</v>
      </c>
      <c r="I2798" s="168">
        <v>2791</v>
      </c>
      <c r="J2798" s="159">
        <f>ROUND(B2798*('Model Data Inputs'!$E$184*'Model Data Inputs'!$E$185*'Model Data Inputs'!$E$186*'Model Data Inputs'!$E$187),2)</f>
        <v>594.63</v>
      </c>
      <c r="K2798" s="169">
        <f t="shared" si="127"/>
        <v>1659612.33</v>
      </c>
    </row>
    <row r="2799" spans="1:11" x14ac:dyDescent="0.2">
      <c r="A2799" s="168">
        <v>2792</v>
      </c>
      <c r="B2799" s="159">
        <v>594.63366392643309</v>
      </c>
      <c r="C2799" s="169">
        <f t="shared" si="126"/>
        <v>1660217.1896826013</v>
      </c>
      <c r="I2799" s="168">
        <v>2792</v>
      </c>
      <c r="J2799" s="159">
        <f>ROUND(B2799*('Model Data Inputs'!$E$184*'Model Data Inputs'!$E$185*'Model Data Inputs'!$E$186*'Model Data Inputs'!$E$187),2)</f>
        <v>594.63</v>
      </c>
      <c r="K2799" s="169">
        <f t="shared" si="127"/>
        <v>1660206.96</v>
      </c>
    </row>
    <row r="2800" spans="1:11" x14ac:dyDescent="0.2">
      <c r="A2800" s="168">
        <v>2793</v>
      </c>
      <c r="B2800" s="159">
        <v>594.63366392643309</v>
      </c>
      <c r="C2800" s="169">
        <f t="shared" si="126"/>
        <v>1660811.8233465275</v>
      </c>
      <c r="I2800" s="168">
        <v>2793</v>
      </c>
      <c r="J2800" s="159">
        <f>ROUND(B2800*('Model Data Inputs'!$E$184*'Model Data Inputs'!$E$185*'Model Data Inputs'!$E$186*'Model Data Inputs'!$E$187),2)</f>
        <v>594.63</v>
      </c>
      <c r="K2800" s="169">
        <f t="shared" si="127"/>
        <v>1660801.59</v>
      </c>
    </row>
    <row r="2801" spans="1:11" x14ac:dyDescent="0.2">
      <c r="A2801" s="168">
        <v>2794</v>
      </c>
      <c r="B2801" s="159">
        <v>594.63366392643309</v>
      </c>
      <c r="C2801" s="169">
        <f t="shared" si="126"/>
        <v>1661406.457010454</v>
      </c>
      <c r="I2801" s="168">
        <v>2794</v>
      </c>
      <c r="J2801" s="159">
        <f>ROUND(B2801*('Model Data Inputs'!$E$184*'Model Data Inputs'!$E$185*'Model Data Inputs'!$E$186*'Model Data Inputs'!$E$187),2)</f>
        <v>594.63</v>
      </c>
      <c r="K2801" s="169">
        <f t="shared" si="127"/>
        <v>1661396.22</v>
      </c>
    </row>
    <row r="2802" spans="1:11" x14ac:dyDescent="0.2">
      <c r="A2802" s="168">
        <v>2795</v>
      </c>
      <c r="B2802" s="159">
        <v>594.63366392643309</v>
      </c>
      <c r="C2802" s="169">
        <f t="shared" si="126"/>
        <v>1662001.0906743805</v>
      </c>
      <c r="I2802" s="168">
        <v>2795</v>
      </c>
      <c r="J2802" s="159">
        <f>ROUND(B2802*('Model Data Inputs'!$E$184*'Model Data Inputs'!$E$185*'Model Data Inputs'!$E$186*'Model Data Inputs'!$E$187),2)</f>
        <v>594.63</v>
      </c>
      <c r="K2802" s="169">
        <f t="shared" si="127"/>
        <v>1661990.85</v>
      </c>
    </row>
    <row r="2803" spans="1:11" x14ac:dyDescent="0.2">
      <c r="A2803" s="168">
        <v>2796</v>
      </c>
      <c r="B2803" s="159">
        <v>594.63366392643309</v>
      </c>
      <c r="C2803" s="169">
        <f t="shared" si="126"/>
        <v>1662595.7243383068</v>
      </c>
      <c r="I2803" s="168">
        <v>2796</v>
      </c>
      <c r="J2803" s="159">
        <f>ROUND(B2803*('Model Data Inputs'!$E$184*'Model Data Inputs'!$E$185*'Model Data Inputs'!$E$186*'Model Data Inputs'!$E$187),2)</f>
        <v>594.63</v>
      </c>
      <c r="K2803" s="169">
        <f t="shared" si="127"/>
        <v>1662585.48</v>
      </c>
    </row>
    <row r="2804" spans="1:11" x14ac:dyDescent="0.2">
      <c r="A2804" s="168">
        <v>2797</v>
      </c>
      <c r="B2804" s="159">
        <v>594.63366392643309</v>
      </c>
      <c r="C2804" s="169">
        <f t="shared" si="126"/>
        <v>1663190.3580022333</v>
      </c>
      <c r="I2804" s="168">
        <v>2797</v>
      </c>
      <c r="J2804" s="159">
        <f>ROUND(B2804*('Model Data Inputs'!$E$184*'Model Data Inputs'!$E$185*'Model Data Inputs'!$E$186*'Model Data Inputs'!$E$187),2)</f>
        <v>594.63</v>
      </c>
      <c r="K2804" s="169">
        <f t="shared" si="127"/>
        <v>1663180.11</v>
      </c>
    </row>
    <row r="2805" spans="1:11" x14ac:dyDescent="0.2">
      <c r="A2805" s="168">
        <v>2798</v>
      </c>
      <c r="B2805" s="159">
        <v>594.63366392643309</v>
      </c>
      <c r="C2805" s="169">
        <f t="shared" si="126"/>
        <v>1663784.9916661598</v>
      </c>
      <c r="I2805" s="168">
        <v>2798</v>
      </c>
      <c r="J2805" s="159">
        <f>ROUND(B2805*('Model Data Inputs'!$E$184*'Model Data Inputs'!$E$185*'Model Data Inputs'!$E$186*'Model Data Inputs'!$E$187),2)</f>
        <v>594.63</v>
      </c>
      <c r="K2805" s="169">
        <f t="shared" si="127"/>
        <v>1663774.74</v>
      </c>
    </row>
    <row r="2806" spans="1:11" x14ac:dyDescent="0.2">
      <c r="A2806" s="168">
        <v>2799</v>
      </c>
      <c r="B2806" s="159">
        <v>594.63366392643309</v>
      </c>
      <c r="C2806" s="169">
        <f t="shared" si="126"/>
        <v>1664379.6253300861</v>
      </c>
      <c r="I2806" s="168">
        <v>2799</v>
      </c>
      <c r="J2806" s="159">
        <f>ROUND(B2806*('Model Data Inputs'!$E$184*'Model Data Inputs'!$E$185*'Model Data Inputs'!$E$186*'Model Data Inputs'!$E$187),2)</f>
        <v>594.63</v>
      </c>
      <c r="K2806" s="169">
        <f t="shared" si="127"/>
        <v>1664369.3699999999</v>
      </c>
    </row>
    <row r="2807" spans="1:11" x14ac:dyDescent="0.2">
      <c r="A2807" s="168">
        <v>2800</v>
      </c>
      <c r="B2807" s="159">
        <v>594.63366392643309</v>
      </c>
      <c r="C2807" s="169">
        <f t="shared" si="126"/>
        <v>1664974.2589940126</v>
      </c>
      <c r="I2807" s="168">
        <v>2800</v>
      </c>
      <c r="J2807" s="159">
        <f>ROUND(B2807*('Model Data Inputs'!$E$184*'Model Data Inputs'!$E$185*'Model Data Inputs'!$E$186*'Model Data Inputs'!$E$187),2)</f>
        <v>594.63</v>
      </c>
      <c r="K2807" s="169">
        <f t="shared" si="127"/>
        <v>1664964</v>
      </c>
    </row>
    <row r="2808" spans="1:11" x14ac:dyDescent="0.2">
      <c r="A2808" s="168">
        <v>2801</v>
      </c>
      <c r="B2808" s="159">
        <v>594.63366392643309</v>
      </c>
      <c r="C2808" s="169">
        <f t="shared" si="126"/>
        <v>1665568.8926579391</v>
      </c>
      <c r="I2808" s="168">
        <v>2801</v>
      </c>
      <c r="J2808" s="159">
        <f>ROUND(B2808*('Model Data Inputs'!$E$184*'Model Data Inputs'!$E$185*'Model Data Inputs'!$E$186*'Model Data Inputs'!$E$187),2)</f>
        <v>594.63</v>
      </c>
      <c r="K2808" s="169">
        <f t="shared" si="127"/>
        <v>1665558.63</v>
      </c>
    </row>
    <row r="2809" spans="1:11" x14ac:dyDescent="0.2">
      <c r="A2809" s="168">
        <v>2802</v>
      </c>
      <c r="B2809" s="159">
        <v>594.63366392643309</v>
      </c>
      <c r="C2809" s="169">
        <f t="shared" si="126"/>
        <v>1666163.5263218656</v>
      </c>
      <c r="I2809" s="168">
        <v>2802</v>
      </c>
      <c r="J2809" s="159">
        <f>ROUND(B2809*('Model Data Inputs'!$E$184*'Model Data Inputs'!$E$185*'Model Data Inputs'!$E$186*'Model Data Inputs'!$E$187),2)</f>
        <v>594.63</v>
      </c>
      <c r="K2809" s="169">
        <f t="shared" si="127"/>
        <v>1666153.26</v>
      </c>
    </row>
    <row r="2810" spans="1:11" x14ac:dyDescent="0.2">
      <c r="A2810" s="168">
        <v>2803</v>
      </c>
      <c r="B2810" s="159">
        <v>594.63366392643309</v>
      </c>
      <c r="C2810" s="169">
        <f t="shared" si="126"/>
        <v>1666758.1599857919</v>
      </c>
      <c r="I2810" s="168">
        <v>2803</v>
      </c>
      <c r="J2810" s="159">
        <f>ROUND(B2810*('Model Data Inputs'!$E$184*'Model Data Inputs'!$E$185*'Model Data Inputs'!$E$186*'Model Data Inputs'!$E$187),2)</f>
        <v>594.63</v>
      </c>
      <c r="K2810" s="169">
        <f t="shared" si="127"/>
        <v>1666747.89</v>
      </c>
    </row>
    <row r="2811" spans="1:11" x14ac:dyDescent="0.2">
      <c r="A2811" s="168">
        <v>2804</v>
      </c>
      <c r="B2811" s="159">
        <v>594.63366392643309</v>
      </c>
      <c r="C2811" s="169">
        <f t="shared" si="126"/>
        <v>1667352.7936497184</v>
      </c>
      <c r="I2811" s="168">
        <v>2804</v>
      </c>
      <c r="J2811" s="159">
        <f>ROUND(B2811*('Model Data Inputs'!$E$184*'Model Data Inputs'!$E$185*'Model Data Inputs'!$E$186*'Model Data Inputs'!$E$187),2)</f>
        <v>594.63</v>
      </c>
      <c r="K2811" s="169">
        <f t="shared" si="127"/>
        <v>1667342.52</v>
      </c>
    </row>
    <row r="2812" spans="1:11" x14ac:dyDescent="0.2">
      <c r="A2812" s="168">
        <v>2805</v>
      </c>
      <c r="B2812" s="159">
        <v>594.63366392643309</v>
      </c>
      <c r="C2812" s="169">
        <f t="shared" si="126"/>
        <v>1667947.4273136449</v>
      </c>
      <c r="I2812" s="168">
        <v>2805</v>
      </c>
      <c r="J2812" s="159">
        <f>ROUND(B2812*('Model Data Inputs'!$E$184*'Model Data Inputs'!$E$185*'Model Data Inputs'!$E$186*'Model Data Inputs'!$E$187),2)</f>
        <v>594.63</v>
      </c>
      <c r="K2812" s="169">
        <f t="shared" si="127"/>
        <v>1667937.15</v>
      </c>
    </row>
    <row r="2813" spans="1:11" x14ac:dyDescent="0.2">
      <c r="A2813" s="168">
        <v>2806</v>
      </c>
      <c r="B2813" s="159">
        <v>594.63366392643309</v>
      </c>
      <c r="C2813" s="169">
        <f t="shared" si="126"/>
        <v>1668542.0609775712</v>
      </c>
      <c r="I2813" s="168">
        <v>2806</v>
      </c>
      <c r="J2813" s="159">
        <f>ROUND(B2813*('Model Data Inputs'!$E$184*'Model Data Inputs'!$E$185*'Model Data Inputs'!$E$186*'Model Data Inputs'!$E$187),2)</f>
        <v>594.63</v>
      </c>
      <c r="K2813" s="169">
        <f t="shared" si="127"/>
        <v>1668531.78</v>
      </c>
    </row>
    <row r="2814" spans="1:11" x14ac:dyDescent="0.2">
      <c r="A2814" s="168">
        <v>2807</v>
      </c>
      <c r="B2814" s="159">
        <v>594.63366392643309</v>
      </c>
      <c r="C2814" s="169">
        <f t="shared" si="126"/>
        <v>1669136.6946414977</v>
      </c>
      <c r="I2814" s="168">
        <v>2807</v>
      </c>
      <c r="J2814" s="159">
        <f>ROUND(B2814*('Model Data Inputs'!$E$184*'Model Data Inputs'!$E$185*'Model Data Inputs'!$E$186*'Model Data Inputs'!$E$187),2)</f>
        <v>594.63</v>
      </c>
      <c r="K2814" s="169">
        <f t="shared" si="127"/>
        <v>1669126.41</v>
      </c>
    </row>
    <row r="2815" spans="1:11" x14ac:dyDescent="0.2">
      <c r="A2815" s="168">
        <v>2808</v>
      </c>
      <c r="B2815" s="159">
        <v>594.63366392643309</v>
      </c>
      <c r="C2815" s="169">
        <f t="shared" si="126"/>
        <v>1669731.3283054242</v>
      </c>
      <c r="I2815" s="168">
        <v>2808</v>
      </c>
      <c r="J2815" s="159">
        <f>ROUND(B2815*('Model Data Inputs'!$E$184*'Model Data Inputs'!$E$185*'Model Data Inputs'!$E$186*'Model Data Inputs'!$E$187),2)</f>
        <v>594.63</v>
      </c>
      <c r="K2815" s="169">
        <f t="shared" si="127"/>
        <v>1669721.04</v>
      </c>
    </row>
    <row r="2816" spans="1:11" x14ac:dyDescent="0.2">
      <c r="A2816" s="168">
        <v>2809</v>
      </c>
      <c r="B2816" s="159">
        <v>594.63366392643309</v>
      </c>
      <c r="C2816" s="169">
        <f t="shared" si="126"/>
        <v>1670325.9619693505</v>
      </c>
      <c r="I2816" s="168">
        <v>2809</v>
      </c>
      <c r="J2816" s="159">
        <f>ROUND(B2816*('Model Data Inputs'!$E$184*'Model Data Inputs'!$E$185*'Model Data Inputs'!$E$186*'Model Data Inputs'!$E$187),2)</f>
        <v>594.63</v>
      </c>
      <c r="K2816" s="169">
        <f t="shared" si="127"/>
        <v>1670315.67</v>
      </c>
    </row>
    <row r="2817" spans="1:11" x14ac:dyDescent="0.2">
      <c r="A2817" s="168">
        <v>2810</v>
      </c>
      <c r="B2817" s="159">
        <v>594.63366392643309</v>
      </c>
      <c r="C2817" s="169">
        <f t="shared" si="126"/>
        <v>1670920.595633277</v>
      </c>
      <c r="I2817" s="168">
        <v>2810</v>
      </c>
      <c r="J2817" s="159">
        <f>ROUND(B2817*('Model Data Inputs'!$E$184*'Model Data Inputs'!$E$185*'Model Data Inputs'!$E$186*'Model Data Inputs'!$E$187),2)</f>
        <v>594.63</v>
      </c>
      <c r="K2817" s="169">
        <f t="shared" si="127"/>
        <v>1670910.3</v>
      </c>
    </row>
    <row r="2818" spans="1:11" x14ac:dyDescent="0.2">
      <c r="A2818" s="168">
        <v>2811</v>
      </c>
      <c r="B2818" s="159">
        <v>594.63366392643309</v>
      </c>
      <c r="C2818" s="169">
        <f t="shared" si="126"/>
        <v>1671515.2292972035</v>
      </c>
      <c r="I2818" s="168">
        <v>2811</v>
      </c>
      <c r="J2818" s="159">
        <f>ROUND(B2818*('Model Data Inputs'!$E$184*'Model Data Inputs'!$E$185*'Model Data Inputs'!$E$186*'Model Data Inputs'!$E$187),2)</f>
        <v>594.63</v>
      </c>
      <c r="K2818" s="169">
        <f t="shared" si="127"/>
        <v>1671504.93</v>
      </c>
    </row>
    <row r="2819" spans="1:11" x14ac:dyDescent="0.2">
      <c r="A2819" s="168">
        <v>2812</v>
      </c>
      <c r="B2819" s="159">
        <v>594.63366392643309</v>
      </c>
      <c r="C2819" s="169">
        <f t="shared" si="126"/>
        <v>1672109.8629611298</v>
      </c>
      <c r="I2819" s="168">
        <v>2812</v>
      </c>
      <c r="J2819" s="159">
        <f>ROUND(B2819*('Model Data Inputs'!$E$184*'Model Data Inputs'!$E$185*'Model Data Inputs'!$E$186*'Model Data Inputs'!$E$187),2)</f>
        <v>594.63</v>
      </c>
      <c r="K2819" s="169">
        <f t="shared" si="127"/>
        <v>1672099.56</v>
      </c>
    </row>
    <row r="2820" spans="1:11" x14ac:dyDescent="0.2">
      <c r="A2820" s="168">
        <v>2813</v>
      </c>
      <c r="B2820" s="159">
        <v>594.63366392643309</v>
      </c>
      <c r="C2820" s="169">
        <f t="shared" si="126"/>
        <v>1672704.4966250563</v>
      </c>
      <c r="I2820" s="168">
        <v>2813</v>
      </c>
      <c r="J2820" s="159">
        <f>ROUND(B2820*('Model Data Inputs'!$E$184*'Model Data Inputs'!$E$185*'Model Data Inputs'!$E$186*'Model Data Inputs'!$E$187),2)</f>
        <v>594.63</v>
      </c>
      <c r="K2820" s="169">
        <f t="shared" si="127"/>
        <v>1672694.19</v>
      </c>
    </row>
    <row r="2821" spans="1:11" x14ac:dyDescent="0.2">
      <c r="A2821" s="168">
        <v>2814</v>
      </c>
      <c r="B2821" s="159">
        <v>594.63366392643309</v>
      </c>
      <c r="C2821" s="169">
        <f t="shared" si="126"/>
        <v>1673299.1302889828</v>
      </c>
      <c r="I2821" s="168">
        <v>2814</v>
      </c>
      <c r="J2821" s="159">
        <f>ROUND(B2821*('Model Data Inputs'!$E$184*'Model Data Inputs'!$E$185*'Model Data Inputs'!$E$186*'Model Data Inputs'!$E$187),2)</f>
        <v>594.63</v>
      </c>
      <c r="K2821" s="169">
        <f t="shared" si="127"/>
        <v>1673288.82</v>
      </c>
    </row>
    <row r="2822" spans="1:11" x14ac:dyDescent="0.2">
      <c r="A2822" s="168">
        <v>2815</v>
      </c>
      <c r="B2822" s="159">
        <v>594.63366392643309</v>
      </c>
      <c r="C2822" s="169">
        <f t="shared" si="126"/>
        <v>1673893.763952909</v>
      </c>
      <c r="I2822" s="168">
        <v>2815</v>
      </c>
      <c r="J2822" s="159">
        <f>ROUND(B2822*('Model Data Inputs'!$E$184*'Model Data Inputs'!$E$185*'Model Data Inputs'!$E$186*'Model Data Inputs'!$E$187),2)</f>
        <v>594.63</v>
      </c>
      <c r="K2822" s="169">
        <f t="shared" si="127"/>
        <v>1673883.45</v>
      </c>
    </row>
    <row r="2823" spans="1:11" x14ac:dyDescent="0.2">
      <c r="A2823" s="168">
        <v>2816</v>
      </c>
      <c r="B2823" s="159">
        <v>594.63366392643309</v>
      </c>
      <c r="C2823" s="169">
        <f t="shared" si="126"/>
        <v>1674488.3976168355</v>
      </c>
      <c r="I2823" s="168">
        <v>2816</v>
      </c>
      <c r="J2823" s="159">
        <f>ROUND(B2823*('Model Data Inputs'!$E$184*'Model Data Inputs'!$E$185*'Model Data Inputs'!$E$186*'Model Data Inputs'!$E$187),2)</f>
        <v>594.63</v>
      </c>
      <c r="K2823" s="169">
        <f t="shared" si="127"/>
        <v>1674478.08</v>
      </c>
    </row>
    <row r="2824" spans="1:11" x14ac:dyDescent="0.2">
      <c r="A2824" s="168">
        <v>2817</v>
      </c>
      <c r="B2824" s="159">
        <v>594.63366392643309</v>
      </c>
      <c r="C2824" s="169">
        <f t="shared" ref="C2824:C2887" si="128">A2824*B2824</f>
        <v>1675083.0312807621</v>
      </c>
      <c r="I2824" s="168">
        <v>2817</v>
      </c>
      <c r="J2824" s="159">
        <f>ROUND(B2824*('Model Data Inputs'!$E$184*'Model Data Inputs'!$E$185*'Model Data Inputs'!$E$186*'Model Data Inputs'!$E$187),2)</f>
        <v>594.63</v>
      </c>
      <c r="K2824" s="169">
        <f t="shared" ref="K2824:K2887" si="129">I2824*J2824</f>
        <v>1675072.71</v>
      </c>
    </row>
    <row r="2825" spans="1:11" x14ac:dyDescent="0.2">
      <c r="A2825" s="168">
        <v>2818</v>
      </c>
      <c r="B2825" s="159">
        <v>594.63366392643309</v>
      </c>
      <c r="C2825" s="169">
        <f t="shared" si="128"/>
        <v>1675677.6649446883</v>
      </c>
      <c r="I2825" s="168">
        <v>2818</v>
      </c>
      <c r="J2825" s="159">
        <f>ROUND(B2825*('Model Data Inputs'!$E$184*'Model Data Inputs'!$E$185*'Model Data Inputs'!$E$186*'Model Data Inputs'!$E$187),2)</f>
        <v>594.63</v>
      </c>
      <c r="K2825" s="169">
        <f t="shared" si="129"/>
        <v>1675667.34</v>
      </c>
    </row>
    <row r="2826" spans="1:11" x14ac:dyDescent="0.2">
      <c r="A2826" s="168">
        <v>2819</v>
      </c>
      <c r="B2826" s="159">
        <v>594.63366392643309</v>
      </c>
      <c r="C2826" s="169">
        <f t="shared" si="128"/>
        <v>1676272.2986086148</v>
      </c>
      <c r="I2826" s="168">
        <v>2819</v>
      </c>
      <c r="J2826" s="159">
        <f>ROUND(B2826*('Model Data Inputs'!$E$184*'Model Data Inputs'!$E$185*'Model Data Inputs'!$E$186*'Model Data Inputs'!$E$187),2)</f>
        <v>594.63</v>
      </c>
      <c r="K2826" s="169">
        <f t="shared" si="129"/>
        <v>1676261.97</v>
      </c>
    </row>
    <row r="2827" spans="1:11" x14ac:dyDescent="0.2">
      <c r="A2827" s="168">
        <v>2820</v>
      </c>
      <c r="B2827" s="159">
        <v>594.63366392643309</v>
      </c>
      <c r="C2827" s="169">
        <f t="shared" si="128"/>
        <v>1676866.9322725413</v>
      </c>
      <c r="I2827" s="168">
        <v>2820</v>
      </c>
      <c r="J2827" s="159">
        <f>ROUND(B2827*('Model Data Inputs'!$E$184*'Model Data Inputs'!$E$185*'Model Data Inputs'!$E$186*'Model Data Inputs'!$E$187),2)</f>
        <v>594.63</v>
      </c>
      <c r="K2827" s="169">
        <f t="shared" si="129"/>
        <v>1676856.6</v>
      </c>
    </row>
    <row r="2828" spans="1:11" x14ac:dyDescent="0.2">
      <c r="A2828" s="168">
        <v>2821</v>
      </c>
      <c r="B2828" s="159">
        <v>594.63366392643309</v>
      </c>
      <c r="C2828" s="169">
        <f t="shared" si="128"/>
        <v>1677461.5659364678</v>
      </c>
      <c r="I2828" s="168">
        <v>2821</v>
      </c>
      <c r="J2828" s="159">
        <f>ROUND(B2828*('Model Data Inputs'!$E$184*'Model Data Inputs'!$E$185*'Model Data Inputs'!$E$186*'Model Data Inputs'!$E$187),2)</f>
        <v>594.63</v>
      </c>
      <c r="K2828" s="169">
        <f t="shared" si="129"/>
        <v>1677451.23</v>
      </c>
    </row>
    <row r="2829" spans="1:11" x14ac:dyDescent="0.2">
      <c r="A2829" s="168">
        <v>2822</v>
      </c>
      <c r="B2829" s="159">
        <v>594.63366392643309</v>
      </c>
      <c r="C2829" s="169">
        <f t="shared" si="128"/>
        <v>1678056.1996003941</v>
      </c>
      <c r="I2829" s="168">
        <v>2822</v>
      </c>
      <c r="J2829" s="159">
        <f>ROUND(B2829*('Model Data Inputs'!$E$184*'Model Data Inputs'!$E$185*'Model Data Inputs'!$E$186*'Model Data Inputs'!$E$187),2)</f>
        <v>594.63</v>
      </c>
      <c r="K2829" s="169">
        <f t="shared" si="129"/>
        <v>1678045.86</v>
      </c>
    </row>
    <row r="2830" spans="1:11" x14ac:dyDescent="0.2">
      <c r="A2830" s="168">
        <v>2823</v>
      </c>
      <c r="B2830" s="159">
        <v>594.63366392643309</v>
      </c>
      <c r="C2830" s="169">
        <f t="shared" si="128"/>
        <v>1678650.8332643206</v>
      </c>
      <c r="I2830" s="168">
        <v>2823</v>
      </c>
      <c r="J2830" s="159">
        <f>ROUND(B2830*('Model Data Inputs'!$E$184*'Model Data Inputs'!$E$185*'Model Data Inputs'!$E$186*'Model Data Inputs'!$E$187),2)</f>
        <v>594.63</v>
      </c>
      <c r="K2830" s="169">
        <f t="shared" si="129"/>
        <v>1678640.49</v>
      </c>
    </row>
    <row r="2831" spans="1:11" x14ac:dyDescent="0.2">
      <c r="A2831" s="168">
        <v>2824</v>
      </c>
      <c r="B2831" s="159">
        <v>594.63366392643309</v>
      </c>
      <c r="C2831" s="169">
        <f t="shared" si="128"/>
        <v>1679245.4669282471</v>
      </c>
      <c r="I2831" s="168">
        <v>2824</v>
      </c>
      <c r="J2831" s="159">
        <f>ROUND(B2831*('Model Data Inputs'!$E$184*'Model Data Inputs'!$E$185*'Model Data Inputs'!$E$186*'Model Data Inputs'!$E$187),2)</f>
        <v>594.63</v>
      </c>
      <c r="K2831" s="169">
        <f t="shared" si="129"/>
        <v>1679235.1199999999</v>
      </c>
    </row>
    <row r="2832" spans="1:11" x14ac:dyDescent="0.2">
      <c r="A2832" s="168">
        <v>2825</v>
      </c>
      <c r="B2832" s="159">
        <v>594.63366392643309</v>
      </c>
      <c r="C2832" s="169">
        <f t="shared" si="128"/>
        <v>1679840.1005921734</v>
      </c>
      <c r="I2832" s="168">
        <v>2825</v>
      </c>
      <c r="J2832" s="159">
        <f>ROUND(B2832*('Model Data Inputs'!$E$184*'Model Data Inputs'!$E$185*'Model Data Inputs'!$E$186*'Model Data Inputs'!$E$187),2)</f>
        <v>594.63</v>
      </c>
      <c r="K2832" s="169">
        <f t="shared" si="129"/>
        <v>1679829.75</v>
      </c>
    </row>
    <row r="2833" spans="1:11" x14ac:dyDescent="0.2">
      <c r="A2833" s="168">
        <v>2826</v>
      </c>
      <c r="B2833" s="159">
        <v>594.63366392643309</v>
      </c>
      <c r="C2833" s="169">
        <f t="shared" si="128"/>
        <v>1680434.7342560999</v>
      </c>
      <c r="I2833" s="168">
        <v>2826</v>
      </c>
      <c r="J2833" s="159">
        <f>ROUND(B2833*('Model Data Inputs'!$E$184*'Model Data Inputs'!$E$185*'Model Data Inputs'!$E$186*'Model Data Inputs'!$E$187),2)</f>
        <v>594.63</v>
      </c>
      <c r="K2833" s="169">
        <f t="shared" si="129"/>
        <v>1680424.38</v>
      </c>
    </row>
    <row r="2834" spans="1:11" x14ac:dyDescent="0.2">
      <c r="A2834" s="168">
        <v>2827</v>
      </c>
      <c r="B2834" s="159">
        <v>594.63366392643309</v>
      </c>
      <c r="C2834" s="169">
        <f t="shared" si="128"/>
        <v>1681029.3679200264</v>
      </c>
      <c r="I2834" s="168">
        <v>2827</v>
      </c>
      <c r="J2834" s="159">
        <f>ROUND(B2834*('Model Data Inputs'!$E$184*'Model Data Inputs'!$E$185*'Model Data Inputs'!$E$186*'Model Data Inputs'!$E$187),2)</f>
        <v>594.63</v>
      </c>
      <c r="K2834" s="169">
        <f t="shared" si="129"/>
        <v>1681019.01</v>
      </c>
    </row>
    <row r="2835" spans="1:11" x14ac:dyDescent="0.2">
      <c r="A2835" s="168">
        <v>2828</v>
      </c>
      <c r="B2835" s="159">
        <v>594.63366392643309</v>
      </c>
      <c r="C2835" s="169">
        <f t="shared" si="128"/>
        <v>1681624.0015839527</v>
      </c>
      <c r="I2835" s="168">
        <v>2828</v>
      </c>
      <c r="J2835" s="159">
        <f>ROUND(B2835*('Model Data Inputs'!$E$184*'Model Data Inputs'!$E$185*'Model Data Inputs'!$E$186*'Model Data Inputs'!$E$187),2)</f>
        <v>594.63</v>
      </c>
      <c r="K2835" s="169">
        <f t="shared" si="129"/>
        <v>1681613.64</v>
      </c>
    </row>
    <row r="2836" spans="1:11" x14ac:dyDescent="0.2">
      <c r="A2836" s="168">
        <v>2829</v>
      </c>
      <c r="B2836" s="159">
        <v>594.63366392643309</v>
      </c>
      <c r="C2836" s="169">
        <f t="shared" si="128"/>
        <v>1682218.6352478792</v>
      </c>
      <c r="I2836" s="168">
        <v>2829</v>
      </c>
      <c r="J2836" s="159">
        <f>ROUND(B2836*('Model Data Inputs'!$E$184*'Model Data Inputs'!$E$185*'Model Data Inputs'!$E$186*'Model Data Inputs'!$E$187),2)</f>
        <v>594.63</v>
      </c>
      <c r="K2836" s="169">
        <f t="shared" si="129"/>
        <v>1682208.27</v>
      </c>
    </row>
    <row r="2837" spans="1:11" x14ac:dyDescent="0.2">
      <c r="A2837" s="168">
        <v>2830</v>
      </c>
      <c r="B2837" s="159">
        <v>594.63366392643309</v>
      </c>
      <c r="C2837" s="169">
        <f t="shared" si="128"/>
        <v>1682813.2689118057</v>
      </c>
      <c r="I2837" s="168">
        <v>2830</v>
      </c>
      <c r="J2837" s="159">
        <f>ROUND(B2837*('Model Data Inputs'!$E$184*'Model Data Inputs'!$E$185*'Model Data Inputs'!$E$186*'Model Data Inputs'!$E$187),2)</f>
        <v>594.63</v>
      </c>
      <c r="K2837" s="169">
        <f t="shared" si="129"/>
        <v>1682802.9</v>
      </c>
    </row>
    <row r="2838" spans="1:11" x14ac:dyDescent="0.2">
      <c r="A2838" s="168">
        <v>2831</v>
      </c>
      <c r="B2838" s="159">
        <v>594.63366392643309</v>
      </c>
      <c r="C2838" s="169">
        <f t="shared" si="128"/>
        <v>1683407.902575732</v>
      </c>
      <c r="I2838" s="168">
        <v>2831</v>
      </c>
      <c r="J2838" s="159">
        <f>ROUND(B2838*('Model Data Inputs'!$E$184*'Model Data Inputs'!$E$185*'Model Data Inputs'!$E$186*'Model Data Inputs'!$E$187),2)</f>
        <v>594.63</v>
      </c>
      <c r="K2838" s="169">
        <f t="shared" si="129"/>
        <v>1683397.53</v>
      </c>
    </row>
    <row r="2839" spans="1:11" x14ac:dyDescent="0.2">
      <c r="A2839" s="168">
        <v>2832</v>
      </c>
      <c r="B2839" s="159">
        <v>594.63366392643309</v>
      </c>
      <c r="C2839" s="169">
        <f t="shared" si="128"/>
        <v>1684002.5362396585</v>
      </c>
      <c r="I2839" s="168">
        <v>2832</v>
      </c>
      <c r="J2839" s="159">
        <f>ROUND(B2839*('Model Data Inputs'!$E$184*'Model Data Inputs'!$E$185*'Model Data Inputs'!$E$186*'Model Data Inputs'!$E$187),2)</f>
        <v>594.63</v>
      </c>
      <c r="K2839" s="169">
        <f t="shared" si="129"/>
        <v>1683992.16</v>
      </c>
    </row>
    <row r="2840" spans="1:11" x14ac:dyDescent="0.2">
      <c r="A2840" s="168">
        <v>2833</v>
      </c>
      <c r="B2840" s="159">
        <v>594.63366392643309</v>
      </c>
      <c r="C2840" s="169">
        <f t="shared" si="128"/>
        <v>1684597.169903585</v>
      </c>
      <c r="I2840" s="168">
        <v>2833</v>
      </c>
      <c r="J2840" s="159">
        <f>ROUND(B2840*('Model Data Inputs'!$E$184*'Model Data Inputs'!$E$185*'Model Data Inputs'!$E$186*'Model Data Inputs'!$E$187),2)</f>
        <v>594.63</v>
      </c>
      <c r="K2840" s="169">
        <f t="shared" si="129"/>
        <v>1684586.79</v>
      </c>
    </row>
    <row r="2841" spans="1:11" x14ac:dyDescent="0.2">
      <c r="A2841" s="168">
        <v>2834</v>
      </c>
      <c r="B2841" s="159">
        <v>594.63366392643309</v>
      </c>
      <c r="C2841" s="169">
        <f t="shared" si="128"/>
        <v>1685191.8035675113</v>
      </c>
      <c r="I2841" s="168">
        <v>2834</v>
      </c>
      <c r="J2841" s="159">
        <f>ROUND(B2841*('Model Data Inputs'!$E$184*'Model Data Inputs'!$E$185*'Model Data Inputs'!$E$186*'Model Data Inputs'!$E$187),2)</f>
        <v>594.63</v>
      </c>
      <c r="K2841" s="169">
        <f t="shared" si="129"/>
        <v>1685181.42</v>
      </c>
    </row>
    <row r="2842" spans="1:11" x14ac:dyDescent="0.2">
      <c r="A2842" s="168">
        <v>2835</v>
      </c>
      <c r="B2842" s="159">
        <v>594.63366392643309</v>
      </c>
      <c r="C2842" s="169">
        <f t="shared" si="128"/>
        <v>1685786.4372314378</v>
      </c>
      <c r="I2842" s="168">
        <v>2835</v>
      </c>
      <c r="J2842" s="159">
        <f>ROUND(B2842*('Model Data Inputs'!$E$184*'Model Data Inputs'!$E$185*'Model Data Inputs'!$E$186*'Model Data Inputs'!$E$187),2)</f>
        <v>594.63</v>
      </c>
      <c r="K2842" s="169">
        <f t="shared" si="129"/>
        <v>1685776.05</v>
      </c>
    </row>
    <row r="2843" spans="1:11" x14ac:dyDescent="0.2">
      <c r="A2843" s="168">
        <v>2836</v>
      </c>
      <c r="B2843" s="159">
        <v>594.63366392643309</v>
      </c>
      <c r="C2843" s="169">
        <f t="shared" si="128"/>
        <v>1686381.0708953643</v>
      </c>
      <c r="I2843" s="168">
        <v>2836</v>
      </c>
      <c r="J2843" s="159">
        <f>ROUND(B2843*('Model Data Inputs'!$E$184*'Model Data Inputs'!$E$185*'Model Data Inputs'!$E$186*'Model Data Inputs'!$E$187),2)</f>
        <v>594.63</v>
      </c>
      <c r="K2843" s="169">
        <f t="shared" si="129"/>
        <v>1686370.68</v>
      </c>
    </row>
    <row r="2844" spans="1:11" x14ac:dyDescent="0.2">
      <c r="A2844" s="168">
        <v>2837</v>
      </c>
      <c r="B2844" s="159">
        <v>594.63366392643309</v>
      </c>
      <c r="C2844" s="169">
        <f t="shared" si="128"/>
        <v>1686975.7045592908</v>
      </c>
      <c r="I2844" s="168">
        <v>2837</v>
      </c>
      <c r="J2844" s="159">
        <f>ROUND(B2844*('Model Data Inputs'!$E$184*'Model Data Inputs'!$E$185*'Model Data Inputs'!$E$186*'Model Data Inputs'!$E$187),2)</f>
        <v>594.63</v>
      </c>
      <c r="K2844" s="169">
        <f t="shared" si="129"/>
        <v>1686965.31</v>
      </c>
    </row>
    <row r="2845" spans="1:11" x14ac:dyDescent="0.2">
      <c r="A2845" s="168">
        <v>2838</v>
      </c>
      <c r="B2845" s="159">
        <v>594.63366392643309</v>
      </c>
      <c r="C2845" s="169">
        <f t="shared" si="128"/>
        <v>1687570.3382232171</v>
      </c>
      <c r="I2845" s="168">
        <v>2838</v>
      </c>
      <c r="J2845" s="159">
        <f>ROUND(B2845*('Model Data Inputs'!$E$184*'Model Data Inputs'!$E$185*'Model Data Inputs'!$E$186*'Model Data Inputs'!$E$187),2)</f>
        <v>594.63</v>
      </c>
      <c r="K2845" s="169">
        <f t="shared" si="129"/>
        <v>1687559.94</v>
      </c>
    </row>
    <row r="2846" spans="1:11" x14ac:dyDescent="0.2">
      <c r="A2846" s="168">
        <v>2839</v>
      </c>
      <c r="B2846" s="159">
        <v>594.63366392643309</v>
      </c>
      <c r="C2846" s="169">
        <f t="shared" si="128"/>
        <v>1688164.9718871436</v>
      </c>
      <c r="I2846" s="168">
        <v>2839</v>
      </c>
      <c r="J2846" s="159">
        <f>ROUND(B2846*('Model Data Inputs'!$E$184*'Model Data Inputs'!$E$185*'Model Data Inputs'!$E$186*'Model Data Inputs'!$E$187),2)</f>
        <v>594.63</v>
      </c>
      <c r="K2846" s="169">
        <f t="shared" si="129"/>
        <v>1688154.57</v>
      </c>
    </row>
    <row r="2847" spans="1:11" x14ac:dyDescent="0.2">
      <c r="A2847" s="168">
        <v>2840</v>
      </c>
      <c r="B2847" s="159">
        <v>594.63366392643309</v>
      </c>
      <c r="C2847" s="169">
        <f t="shared" si="128"/>
        <v>1688759.6055510701</v>
      </c>
      <c r="I2847" s="168">
        <v>2840</v>
      </c>
      <c r="J2847" s="159">
        <f>ROUND(B2847*('Model Data Inputs'!$E$184*'Model Data Inputs'!$E$185*'Model Data Inputs'!$E$186*'Model Data Inputs'!$E$187),2)</f>
        <v>594.63</v>
      </c>
      <c r="K2847" s="169">
        <f t="shared" si="129"/>
        <v>1688749.2</v>
      </c>
    </row>
    <row r="2848" spans="1:11" x14ac:dyDescent="0.2">
      <c r="A2848" s="168">
        <v>2841</v>
      </c>
      <c r="B2848" s="159">
        <v>594.63366392643309</v>
      </c>
      <c r="C2848" s="169">
        <f t="shared" si="128"/>
        <v>1689354.2392149963</v>
      </c>
      <c r="I2848" s="168">
        <v>2841</v>
      </c>
      <c r="J2848" s="159">
        <f>ROUND(B2848*('Model Data Inputs'!$E$184*'Model Data Inputs'!$E$185*'Model Data Inputs'!$E$186*'Model Data Inputs'!$E$187),2)</f>
        <v>594.63</v>
      </c>
      <c r="K2848" s="169">
        <f t="shared" si="129"/>
        <v>1689343.83</v>
      </c>
    </row>
    <row r="2849" spans="1:11" x14ac:dyDescent="0.2">
      <c r="A2849" s="168">
        <v>2842</v>
      </c>
      <c r="B2849" s="159">
        <v>594.63366392643309</v>
      </c>
      <c r="C2849" s="169">
        <f t="shared" si="128"/>
        <v>1689948.8728789228</v>
      </c>
      <c r="I2849" s="168">
        <v>2842</v>
      </c>
      <c r="J2849" s="159">
        <f>ROUND(B2849*('Model Data Inputs'!$E$184*'Model Data Inputs'!$E$185*'Model Data Inputs'!$E$186*'Model Data Inputs'!$E$187),2)</f>
        <v>594.63</v>
      </c>
      <c r="K2849" s="169">
        <f t="shared" si="129"/>
        <v>1689938.46</v>
      </c>
    </row>
    <row r="2850" spans="1:11" x14ac:dyDescent="0.2">
      <c r="A2850" s="168">
        <v>2843</v>
      </c>
      <c r="B2850" s="159">
        <v>594.63366392643309</v>
      </c>
      <c r="C2850" s="169">
        <f t="shared" si="128"/>
        <v>1690543.5065428494</v>
      </c>
      <c r="I2850" s="168">
        <v>2843</v>
      </c>
      <c r="J2850" s="159">
        <f>ROUND(B2850*('Model Data Inputs'!$E$184*'Model Data Inputs'!$E$185*'Model Data Inputs'!$E$186*'Model Data Inputs'!$E$187),2)</f>
        <v>594.63</v>
      </c>
      <c r="K2850" s="169">
        <f t="shared" si="129"/>
        <v>1690533.09</v>
      </c>
    </row>
    <row r="2851" spans="1:11" x14ac:dyDescent="0.2">
      <c r="A2851" s="168">
        <v>2844</v>
      </c>
      <c r="B2851" s="159">
        <v>594.63366392643309</v>
      </c>
      <c r="C2851" s="169">
        <f t="shared" si="128"/>
        <v>1691138.1402067756</v>
      </c>
      <c r="I2851" s="168">
        <v>2844</v>
      </c>
      <c r="J2851" s="159">
        <f>ROUND(B2851*('Model Data Inputs'!$E$184*'Model Data Inputs'!$E$185*'Model Data Inputs'!$E$186*'Model Data Inputs'!$E$187),2)</f>
        <v>594.63</v>
      </c>
      <c r="K2851" s="169">
        <f t="shared" si="129"/>
        <v>1691127.72</v>
      </c>
    </row>
    <row r="2852" spans="1:11" x14ac:dyDescent="0.2">
      <c r="A2852" s="168">
        <v>2845</v>
      </c>
      <c r="B2852" s="159">
        <v>594.63366392643309</v>
      </c>
      <c r="C2852" s="169">
        <f t="shared" si="128"/>
        <v>1691732.7738707021</v>
      </c>
      <c r="I2852" s="168">
        <v>2845</v>
      </c>
      <c r="J2852" s="159">
        <f>ROUND(B2852*('Model Data Inputs'!$E$184*'Model Data Inputs'!$E$185*'Model Data Inputs'!$E$186*'Model Data Inputs'!$E$187),2)</f>
        <v>594.63</v>
      </c>
      <c r="K2852" s="169">
        <f t="shared" si="129"/>
        <v>1691722.35</v>
      </c>
    </row>
    <row r="2853" spans="1:11" x14ac:dyDescent="0.2">
      <c r="A2853" s="168">
        <v>2846</v>
      </c>
      <c r="B2853" s="159">
        <v>594.63366392643309</v>
      </c>
      <c r="C2853" s="169">
        <f t="shared" si="128"/>
        <v>1692327.4075346286</v>
      </c>
      <c r="I2853" s="168">
        <v>2846</v>
      </c>
      <c r="J2853" s="159">
        <f>ROUND(B2853*('Model Data Inputs'!$E$184*'Model Data Inputs'!$E$185*'Model Data Inputs'!$E$186*'Model Data Inputs'!$E$187),2)</f>
        <v>594.63</v>
      </c>
      <c r="K2853" s="169">
        <f t="shared" si="129"/>
        <v>1692316.98</v>
      </c>
    </row>
    <row r="2854" spans="1:11" x14ac:dyDescent="0.2">
      <c r="A2854" s="168">
        <v>2847</v>
      </c>
      <c r="B2854" s="159">
        <v>594.63366392643309</v>
      </c>
      <c r="C2854" s="169">
        <f t="shared" si="128"/>
        <v>1692922.0411985549</v>
      </c>
      <c r="I2854" s="168">
        <v>2847</v>
      </c>
      <c r="J2854" s="159">
        <f>ROUND(B2854*('Model Data Inputs'!$E$184*'Model Data Inputs'!$E$185*'Model Data Inputs'!$E$186*'Model Data Inputs'!$E$187),2)</f>
        <v>594.63</v>
      </c>
      <c r="K2854" s="169">
        <f t="shared" si="129"/>
        <v>1692911.61</v>
      </c>
    </row>
    <row r="2855" spans="1:11" x14ac:dyDescent="0.2">
      <c r="A2855" s="168">
        <v>2848</v>
      </c>
      <c r="B2855" s="159">
        <v>594.63366392643309</v>
      </c>
      <c r="C2855" s="169">
        <f t="shared" si="128"/>
        <v>1693516.6748624814</v>
      </c>
      <c r="I2855" s="168">
        <v>2848</v>
      </c>
      <c r="J2855" s="159">
        <f>ROUND(B2855*('Model Data Inputs'!$E$184*'Model Data Inputs'!$E$185*'Model Data Inputs'!$E$186*'Model Data Inputs'!$E$187),2)</f>
        <v>594.63</v>
      </c>
      <c r="K2855" s="169">
        <f t="shared" si="129"/>
        <v>1693506.24</v>
      </c>
    </row>
    <row r="2856" spans="1:11" x14ac:dyDescent="0.2">
      <c r="A2856" s="168">
        <v>2849</v>
      </c>
      <c r="B2856" s="159">
        <v>594.63366392643309</v>
      </c>
      <c r="C2856" s="169">
        <f t="shared" si="128"/>
        <v>1694111.3085264079</v>
      </c>
      <c r="I2856" s="168">
        <v>2849</v>
      </c>
      <c r="J2856" s="159">
        <f>ROUND(B2856*('Model Data Inputs'!$E$184*'Model Data Inputs'!$E$185*'Model Data Inputs'!$E$186*'Model Data Inputs'!$E$187),2)</f>
        <v>594.63</v>
      </c>
      <c r="K2856" s="169">
        <f t="shared" si="129"/>
        <v>1694100.8699999999</v>
      </c>
    </row>
    <row r="2857" spans="1:11" x14ac:dyDescent="0.2">
      <c r="A2857" s="168">
        <v>2850</v>
      </c>
      <c r="B2857" s="159">
        <v>594.63366392643309</v>
      </c>
      <c r="C2857" s="169">
        <f t="shared" si="128"/>
        <v>1694705.9421903342</v>
      </c>
      <c r="I2857" s="168">
        <v>2850</v>
      </c>
      <c r="J2857" s="159">
        <f>ROUND(B2857*('Model Data Inputs'!$E$184*'Model Data Inputs'!$E$185*'Model Data Inputs'!$E$186*'Model Data Inputs'!$E$187),2)</f>
        <v>594.63</v>
      </c>
      <c r="K2857" s="169">
        <f t="shared" si="129"/>
        <v>1694695.5</v>
      </c>
    </row>
    <row r="2858" spans="1:11" x14ac:dyDescent="0.2">
      <c r="A2858" s="168">
        <v>2851</v>
      </c>
      <c r="B2858" s="159">
        <v>594.63366392643309</v>
      </c>
      <c r="C2858" s="169">
        <f t="shared" si="128"/>
        <v>1695300.5758542607</v>
      </c>
      <c r="I2858" s="168">
        <v>2851</v>
      </c>
      <c r="J2858" s="159">
        <f>ROUND(B2858*('Model Data Inputs'!$E$184*'Model Data Inputs'!$E$185*'Model Data Inputs'!$E$186*'Model Data Inputs'!$E$187),2)</f>
        <v>594.63</v>
      </c>
      <c r="K2858" s="169">
        <f t="shared" si="129"/>
        <v>1695290.13</v>
      </c>
    </row>
    <row r="2859" spans="1:11" x14ac:dyDescent="0.2">
      <c r="A2859" s="168">
        <v>2852</v>
      </c>
      <c r="B2859" s="159">
        <v>594.63366392643309</v>
      </c>
      <c r="C2859" s="169">
        <f t="shared" si="128"/>
        <v>1695895.2095181872</v>
      </c>
      <c r="I2859" s="168">
        <v>2852</v>
      </c>
      <c r="J2859" s="159">
        <f>ROUND(B2859*('Model Data Inputs'!$E$184*'Model Data Inputs'!$E$185*'Model Data Inputs'!$E$186*'Model Data Inputs'!$E$187),2)</f>
        <v>594.63</v>
      </c>
      <c r="K2859" s="169">
        <f t="shared" si="129"/>
        <v>1695884.76</v>
      </c>
    </row>
    <row r="2860" spans="1:11" x14ac:dyDescent="0.2">
      <c r="A2860" s="168">
        <v>2853</v>
      </c>
      <c r="B2860" s="159">
        <v>594.63366392643309</v>
      </c>
      <c r="C2860" s="169">
        <f t="shared" si="128"/>
        <v>1696489.8431821135</v>
      </c>
      <c r="I2860" s="168">
        <v>2853</v>
      </c>
      <c r="J2860" s="159">
        <f>ROUND(B2860*('Model Data Inputs'!$E$184*'Model Data Inputs'!$E$185*'Model Data Inputs'!$E$186*'Model Data Inputs'!$E$187),2)</f>
        <v>594.63</v>
      </c>
      <c r="K2860" s="169">
        <f t="shared" si="129"/>
        <v>1696479.39</v>
      </c>
    </row>
    <row r="2861" spans="1:11" x14ac:dyDescent="0.2">
      <c r="A2861" s="168">
        <v>2854</v>
      </c>
      <c r="B2861" s="159">
        <v>594.63366392643309</v>
      </c>
      <c r="C2861" s="169">
        <f t="shared" si="128"/>
        <v>1697084.47684604</v>
      </c>
      <c r="I2861" s="168">
        <v>2854</v>
      </c>
      <c r="J2861" s="159">
        <f>ROUND(B2861*('Model Data Inputs'!$E$184*'Model Data Inputs'!$E$185*'Model Data Inputs'!$E$186*'Model Data Inputs'!$E$187),2)</f>
        <v>594.63</v>
      </c>
      <c r="K2861" s="169">
        <f t="shared" si="129"/>
        <v>1697074.02</v>
      </c>
    </row>
    <row r="2862" spans="1:11" x14ac:dyDescent="0.2">
      <c r="A2862" s="168">
        <v>2855</v>
      </c>
      <c r="B2862" s="159">
        <v>594.63366392643309</v>
      </c>
      <c r="C2862" s="169">
        <f t="shared" si="128"/>
        <v>1697679.1105099665</v>
      </c>
      <c r="I2862" s="168">
        <v>2855</v>
      </c>
      <c r="J2862" s="159">
        <f>ROUND(B2862*('Model Data Inputs'!$E$184*'Model Data Inputs'!$E$185*'Model Data Inputs'!$E$186*'Model Data Inputs'!$E$187),2)</f>
        <v>594.63</v>
      </c>
      <c r="K2862" s="169">
        <f t="shared" si="129"/>
        <v>1697668.65</v>
      </c>
    </row>
    <row r="2863" spans="1:11" x14ac:dyDescent="0.2">
      <c r="A2863" s="168">
        <v>2856</v>
      </c>
      <c r="B2863" s="159">
        <v>594.63366392643309</v>
      </c>
      <c r="C2863" s="169">
        <f t="shared" si="128"/>
        <v>1698273.744173893</v>
      </c>
      <c r="I2863" s="168">
        <v>2856</v>
      </c>
      <c r="J2863" s="159">
        <f>ROUND(B2863*('Model Data Inputs'!$E$184*'Model Data Inputs'!$E$185*'Model Data Inputs'!$E$186*'Model Data Inputs'!$E$187),2)</f>
        <v>594.63</v>
      </c>
      <c r="K2863" s="169">
        <f t="shared" si="129"/>
        <v>1698263.28</v>
      </c>
    </row>
    <row r="2864" spans="1:11" x14ac:dyDescent="0.2">
      <c r="A2864" s="168">
        <v>2857</v>
      </c>
      <c r="B2864" s="159">
        <v>594.63366392643309</v>
      </c>
      <c r="C2864" s="169">
        <f t="shared" si="128"/>
        <v>1698868.3778378193</v>
      </c>
      <c r="I2864" s="168">
        <v>2857</v>
      </c>
      <c r="J2864" s="159">
        <f>ROUND(B2864*('Model Data Inputs'!$E$184*'Model Data Inputs'!$E$185*'Model Data Inputs'!$E$186*'Model Data Inputs'!$E$187),2)</f>
        <v>594.63</v>
      </c>
      <c r="K2864" s="169">
        <f t="shared" si="129"/>
        <v>1698857.91</v>
      </c>
    </row>
    <row r="2865" spans="1:11" x14ac:dyDescent="0.2">
      <c r="A2865" s="168">
        <v>2858</v>
      </c>
      <c r="B2865" s="159">
        <v>594.63366392643309</v>
      </c>
      <c r="C2865" s="169">
        <f t="shared" si="128"/>
        <v>1699463.0115017458</v>
      </c>
      <c r="I2865" s="168">
        <v>2858</v>
      </c>
      <c r="J2865" s="159">
        <f>ROUND(B2865*('Model Data Inputs'!$E$184*'Model Data Inputs'!$E$185*'Model Data Inputs'!$E$186*'Model Data Inputs'!$E$187),2)</f>
        <v>594.63</v>
      </c>
      <c r="K2865" s="169">
        <f t="shared" si="129"/>
        <v>1699452.54</v>
      </c>
    </row>
    <row r="2866" spans="1:11" x14ac:dyDescent="0.2">
      <c r="A2866" s="168">
        <v>2859</v>
      </c>
      <c r="B2866" s="159">
        <v>594.63366392643309</v>
      </c>
      <c r="C2866" s="169">
        <f t="shared" si="128"/>
        <v>1700057.6451656723</v>
      </c>
      <c r="I2866" s="168">
        <v>2859</v>
      </c>
      <c r="J2866" s="159">
        <f>ROUND(B2866*('Model Data Inputs'!$E$184*'Model Data Inputs'!$E$185*'Model Data Inputs'!$E$186*'Model Data Inputs'!$E$187),2)</f>
        <v>594.63</v>
      </c>
      <c r="K2866" s="169">
        <f t="shared" si="129"/>
        <v>1700047.17</v>
      </c>
    </row>
    <row r="2867" spans="1:11" x14ac:dyDescent="0.2">
      <c r="A2867" s="168">
        <v>2860</v>
      </c>
      <c r="B2867" s="159">
        <v>594.63366392643309</v>
      </c>
      <c r="C2867" s="169">
        <f t="shared" si="128"/>
        <v>1700652.2788295986</v>
      </c>
      <c r="I2867" s="168">
        <v>2860</v>
      </c>
      <c r="J2867" s="159">
        <f>ROUND(B2867*('Model Data Inputs'!$E$184*'Model Data Inputs'!$E$185*'Model Data Inputs'!$E$186*'Model Data Inputs'!$E$187),2)</f>
        <v>594.63</v>
      </c>
      <c r="K2867" s="169">
        <f t="shared" si="129"/>
        <v>1700641.8</v>
      </c>
    </row>
    <row r="2868" spans="1:11" x14ac:dyDescent="0.2">
      <c r="A2868" s="168">
        <v>2861</v>
      </c>
      <c r="B2868" s="159">
        <v>594.63366392643309</v>
      </c>
      <c r="C2868" s="169">
        <f t="shared" si="128"/>
        <v>1701246.9124935251</v>
      </c>
      <c r="I2868" s="168">
        <v>2861</v>
      </c>
      <c r="J2868" s="159">
        <f>ROUND(B2868*('Model Data Inputs'!$E$184*'Model Data Inputs'!$E$185*'Model Data Inputs'!$E$186*'Model Data Inputs'!$E$187),2)</f>
        <v>594.63</v>
      </c>
      <c r="K2868" s="169">
        <f t="shared" si="129"/>
        <v>1701236.43</v>
      </c>
    </row>
    <row r="2869" spans="1:11" x14ac:dyDescent="0.2">
      <c r="A2869" s="168">
        <v>2862</v>
      </c>
      <c r="B2869" s="159">
        <v>594.63366392643309</v>
      </c>
      <c r="C2869" s="169">
        <f t="shared" si="128"/>
        <v>1701841.5461574516</v>
      </c>
      <c r="I2869" s="168">
        <v>2862</v>
      </c>
      <c r="J2869" s="159">
        <f>ROUND(B2869*('Model Data Inputs'!$E$184*'Model Data Inputs'!$E$185*'Model Data Inputs'!$E$186*'Model Data Inputs'!$E$187),2)</f>
        <v>594.63</v>
      </c>
      <c r="K2869" s="169">
        <f t="shared" si="129"/>
        <v>1701831.06</v>
      </c>
    </row>
    <row r="2870" spans="1:11" x14ac:dyDescent="0.2">
      <c r="A2870" s="168">
        <v>2863</v>
      </c>
      <c r="B2870" s="159">
        <v>594.63366392643309</v>
      </c>
      <c r="C2870" s="169">
        <f t="shared" si="128"/>
        <v>1702436.1798213779</v>
      </c>
      <c r="I2870" s="168">
        <v>2863</v>
      </c>
      <c r="J2870" s="159">
        <f>ROUND(B2870*('Model Data Inputs'!$E$184*'Model Data Inputs'!$E$185*'Model Data Inputs'!$E$186*'Model Data Inputs'!$E$187),2)</f>
        <v>594.63</v>
      </c>
      <c r="K2870" s="169">
        <f t="shared" si="129"/>
        <v>1702425.69</v>
      </c>
    </row>
    <row r="2871" spans="1:11" x14ac:dyDescent="0.2">
      <c r="A2871" s="168">
        <v>2864</v>
      </c>
      <c r="B2871" s="159">
        <v>594.63366392643309</v>
      </c>
      <c r="C2871" s="169">
        <f t="shared" si="128"/>
        <v>1703030.8134853044</v>
      </c>
      <c r="I2871" s="168">
        <v>2864</v>
      </c>
      <c r="J2871" s="159">
        <f>ROUND(B2871*('Model Data Inputs'!$E$184*'Model Data Inputs'!$E$185*'Model Data Inputs'!$E$186*'Model Data Inputs'!$E$187),2)</f>
        <v>594.63</v>
      </c>
      <c r="K2871" s="169">
        <f t="shared" si="129"/>
        <v>1703020.32</v>
      </c>
    </row>
    <row r="2872" spans="1:11" x14ac:dyDescent="0.2">
      <c r="A2872" s="168">
        <v>2865</v>
      </c>
      <c r="B2872" s="159">
        <v>594.63366392643309</v>
      </c>
      <c r="C2872" s="169">
        <f t="shared" si="128"/>
        <v>1703625.4471492309</v>
      </c>
      <c r="I2872" s="168">
        <v>2865</v>
      </c>
      <c r="J2872" s="159">
        <f>ROUND(B2872*('Model Data Inputs'!$E$184*'Model Data Inputs'!$E$185*'Model Data Inputs'!$E$186*'Model Data Inputs'!$E$187),2)</f>
        <v>594.63</v>
      </c>
      <c r="K2872" s="169">
        <f t="shared" si="129"/>
        <v>1703614.95</v>
      </c>
    </row>
    <row r="2873" spans="1:11" x14ac:dyDescent="0.2">
      <c r="A2873" s="168">
        <v>2866</v>
      </c>
      <c r="B2873" s="159">
        <v>594.63366392643309</v>
      </c>
      <c r="C2873" s="169">
        <f t="shared" si="128"/>
        <v>1704220.0808131571</v>
      </c>
      <c r="I2873" s="168">
        <v>2866</v>
      </c>
      <c r="J2873" s="159">
        <f>ROUND(B2873*('Model Data Inputs'!$E$184*'Model Data Inputs'!$E$185*'Model Data Inputs'!$E$186*'Model Data Inputs'!$E$187),2)</f>
        <v>594.63</v>
      </c>
      <c r="K2873" s="169">
        <f t="shared" si="129"/>
        <v>1704209.58</v>
      </c>
    </row>
    <row r="2874" spans="1:11" x14ac:dyDescent="0.2">
      <c r="A2874" s="168">
        <v>2867</v>
      </c>
      <c r="B2874" s="159">
        <v>594.63366392643309</v>
      </c>
      <c r="C2874" s="169">
        <f t="shared" si="128"/>
        <v>1704814.7144770836</v>
      </c>
      <c r="I2874" s="168">
        <v>2867</v>
      </c>
      <c r="J2874" s="159">
        <f>ROUND(B2874*('Model Data Inputs'!$E$184*'Model Data Inputs'!$E$185*'Model Data Inputs'!$E$186*'Model Data Inputs'!$E$187),2)</f>
        <v>594.63</v>
      </c>
      <c r="K2874" s="169">
        <f t="shared" si="129"/>
        <v>1704804.21</v>
      </c>
    </row>
    <row r="2875" spans="1:11" x14ac:dyDescent="0.2">
      <c r="A2875" s="168">
        <v>2868</v>
      </c>
      <c r="B2875" s="159">
        <v>594.63366392643309</v>
      </c>
      <c r="C2875" s="169">
        <f t="shared" si="128"/>
        <v>1705409.3481410102</v>
      </c>
      <c r="I2875" s="168">
        <v>2868</v>
      </c>
      <c r="J2875" s="159">
        <f>ROUND(B2875*('Model Data Inputs'!$E$184*'Model Data Inputs'!$E$185*'Model Data Inputs'!$E$186*'Model Data Inputs'!$E$187),2)</f>
        <v>594.63</v>
      </c>
      <c r="K2875" s="169">
        <f t="shared" si="129"/>
        <v>1705398.84</v>
      </c>
    </row>
    <row r="2876" spans="1:11" x14ac:dyDescent="0.2">
      <c r="A2876" s="168">
        <v>2869</v>
      </c>
      <c r="B2876" s="159">
        <v>594.63366392643309</v>
      </c>
      <c r="C2876" s="169">
        <f t="shared" si="128"/>
        <v>1706003.9818049364</v>
      </c>
      <c r="I2876" s="168">
        <v>2869</v>
      </c>
      <c r="J2876" s="159">
        <f>ROUND(B2876*('Model Data Inputs'!$E$184*'Model Data Inputs'!$E$185*'Model Data Inputs'!$E$186*'Model Data Inputs'!$E$187),2)</f>
        <v>594.63</v>
      </c>
      <c r="K2876" s="169">
        <f t="shared" si="129"/>
        <v>1705993.47</v>
      </c>
    </row>
    <row r="2877" spans="1:11" x14ac:dyDescent="0.2">
      <c r="A2877" s="168">
        <v>2870</v>
      </c>
      <c r="B2877" s="159">
        <v>594.63366392643309</v>
      </c>
      <c r="C2877" s="169">
        <f t="shared" si="128"/>
        <v>1706598.6154688629</v>
      </c>
      <c r="I2877" s="168">
        <v>2870</v>
      </c>
      <c r="J2877" s="159">
        <f>ROUND(B2877*('Model Data Inputs'!$E$184*'Model Data Inputs'!$E$185*'Model Data Inputs'!$E$186*'Model Data Inputs'!$E$187),2)</f>
        <v>594.63</v>
      </c>
      <c r="K2877" s="169">
        <f t="shared" si="129"/>
        <v>1706588.1</v>
      </c>
    </row>
    <row r="2878" spans="1:11" x14ac:dyDescent="0.2">
      <c r="A2878" s="168">
        <v>2871</v>
      </c>
      <c r="B2878" s="159">
        <v>594.63366392643309</v>
      </c>
      <c r="C2878" s="169">
        <f t="shared" si="128"/>
        <v>1707193.2491327894</v>
      </c>
      <c r="I2878" s="168">
        <v>2871</v>
      </c>
      <c r="J2878" s="159">
        <f>ROUND(B2878*('Model Data Inputs'!$E$184*'Model Data Inputs'!$E$185*'Model Data Inputs'!$E$186*'Model Data Inputs'!$E$187),2)</f>
        <v>594.63</v>
      </c>
      <c r="K2878" s="169">
        <f t="shared" si="129"/>
        <v>1707182.73</v>
      </c>
    </row>
    <row r="2879" spans="1:11" x14ac:dyDescent="0.2">
      <c r="A2879" s="168">
        <v>2872</v>
      </c>
      <c r="B2879" s="159">
        <v>594.63366392643309</v>
      </c>
      <c r="C2879" s="169">
        <f t="shared" si="128"/>
        <v>1707787.8827967157</v>
      </c>
      <c r="I2879" s="168">
        <v>2872</v>
      </c>
      <c r="J2879" s="159">
        <f>ROUND(B2879*('Model Data Inputs'!$E$184*'Model Data Inputs'!$E$185*'Model Data Inputs'!$E$186*'Model Data Inputs'!$E$187),2)</f>
        <v>594.63</v>
      </c>
      <c r="K2879" s="169">
        <f t="shared" si="129"/>
        <v>1707777.36</v>
      </c>
    </row>
    <row r="2880" spans="1:11" x14ac:dyDescent="0.2">
      <c r="A2880" s="168">
        <v>2873</v>
      </c>
      <c r="B2880" s="159">
        <v>594.63366392643309</v>
      </c>
      <c r="C2880" s="169">
        <f t="shared" si="128"/>
        <v>1708382.5164606422</v>
      </c>
      <c r="I2880" s="168">
        <v>2873</v>
      </c>
      <c r="J2880" s="159">
        <f>ROUND(B2880*('Model Data Inputs'!$E$184*'Model Data Inputs'!$E$185*'Model Data Inputs'!$E$186*'Model Data Inputs'!$E$187),2)</f>
        <v>594.63</v>
      </c>
      <c r="K2880" s="169">
        <f t="shared" si="129"/>
        <v>1708371.99</v>
      </c>
    </row>
    <row r="2881" spans="1:11" x14ac:dyDescent="0.2">
      <c r="A2881" s="168">
        <v>2874</v>
      </c>
      <c r="B2881" s="159">
        <v>594.63366392643309</v>
      </c>
      <c r="C2881" s="169">
        <f t="shared" si="128"/>
        <v>1708977.1501245687</v>
      </c>
      <c r="I2881" s="168">
        <v>2874</v>
      </c>
      <c r="J2881" s="159">
        <f>ROUND(B2881*('Model Data Inputs'!$E$184*'Model Data Inputs'!$E$185*'Model Data Inputs'!$E$186*'Model Data Inputs'!$E$187),2)</f>
        <v>594.63</v>
      </c>
      <c r="K2881" s="169">
        <f t="shared" si="129"/>
        <v>1708966.6199999999</v>
      </c>
    </row>
    <row r="2882" spans="1:11" x14ac:dyDescent="0.2">
      <c r="A2882" s="168">
        <v>2875</v>
      </c>
      <c r="B2882" s="159">
        <v>594.63366392643309</v>
      </c>
      <c r="C2882" s="169">
        <f t="shared" si="128"/>
        <v>1709571.7837884952</v>
      </c>
      <c r="I2882" s="168">
        <v>2875</v>
      </c>
      <c r="J2882" s="159">
        <f>ROUND(B2882*('Model Data Inputs'!$E$184*'Model Data Inputs'!$E$185*'Model Data Inputs'!$E$186*'Model Data Inputs'!$E$187),2)</f>
        <v>594.63</v>
      </c>
      <c r="K2882" s="169">
        <f t="shared" si="129"/>
        <v>1709561.25</v>
      </c>
    </row>
    <row r="2883" spans="1:11" x14ac:dyDescent="0.2">
      <c r="A2883" s="168">
        <v>2876</v>
      </c>
      <c r="B2883" s="159">
        <v>594.63366392643309</v>
      </c>
      <c r="C2883" s="169">
        <f t="shared" si="128"/>
        <v>1710166.4174524215</v>
      </c>
      <c r="I2883" s="168">
        <v>2876</v>
      </c>
      <c r="J2883" s="159">
        <f>ROUND(B2883*('Model Data Inputs'!$E$184*'Model Data Inputs'!$E$185*'Model Data Inputs'!$E$186*'Model Data Inputs'!$E$187),2)</f>
        <v>594.63</v>
      </c>
      <c r="K2883" s="169">
        <f t="shared" si="129"/>
        <v>1710155.88</v>
      </c>
    </row>
    <row r="2884" spans="1:11" x14ac:dyDescent="0.2">
      <c r="A2884" s="168">
        <v>2877</v>
      </c>
      <c r="B2884" s="159">
        <v>594.63366392643309</v>
      </c>
      <c r="C2884" s="169">
        <f t="shared" si="128"/>
        <v>1710761.051116348</v>
      </c>
      <c r="I2884" s="168">
        <v>2877</v>
      </c>
      <c r="J2884" s="159">
        <f>ROUND(B2884*('Model Data Inputs'!$E$184*'Model Data Inputs'!$E$185*'Model Data Inputs'!$E$186*'Model Data Inputs'!$E$187),2)</f>
        <v>594.63</v>
      </c>
      <c r="K2884" s="169">
        <f t="shared" si="129"/>
        <v>1710750.51</v>
      </c>
    </row>
    <row r="2885" spans="1:11" x14ac:dyDescent="0.2">
      <c r="A2885" s="168">
        <v>2878</v>
      </c>
      <c r="B2885" s="159">
        <v>594.63366392643309</v>
      </c>
      <c r="C2885" s="169">
        <f t="shared" si="128"/>
        <v>1711355.6847802745</v>
      </c>
      <c r="I2885" s="168">
        <v>2878</v>
      </c>
      <c r="J2885" s="159">
        <f>ROUND(B2885*('Model Data Inputs'!$E$184*'Model Data Inputs'!$E$185*'Model Data Inputs'!$E$186*'Model Data Inputs'!$E$187),2)</f>
        <v>594.63</v>
      </c>
      <c r="K2885" s="169">
        <f t="shared" si="129"/>
        <v>1711345.14</v>
      </c>
    </row>
    <row r="2886" spans="1:11" x14ac:dyDescent="0.2">
      <c r="A2886" s="168">
        <v>2879</v>
      </c>
      <c r="B2886" s="159">
        <v>594.63366392643309</v>
      </c>
      <c r="C2886" s="169">
        <f t="shared" si="128"/>
        <v>1711950.3184442008</v>
      </c>
      <c r="I2886" s="168">
        <v>2879</v>
      </c>
      <c r="J2886" s="159">
        <f>ROUND(B2886*('Model Data Inputs'!$E$184*'Model Data Inputs'!$E$185*'Model Data Inputs'!$E$186*'Model Data Inputs'!$E$187),2)</f>
        <v>594.63</v>
      </c>
      <c r="K2886" s="169">
        <f t="shared" si="129"/>
        <v>1711939.77</v>
      </c>
    </row>
    <row r="2887" spans="1:11" x14ac:dyDescent="0.2">
      <c r="A2887" s="168">
        <v>2880</v>
      </c>
      <c r="B2887" s="159">
        <v>594.63366392643309</v>
      </c>
      <c r="C2887" s="169">
        <f t="shared" si="128"/>
        <v>1712544.9521081273</v>
      </c>
      <c r="I2887" s="168">
        <v>2880</v>
      </c>
      <c r="J2887" s="159">
        <f>ROUND(B2887*('Model Data Inputs'!$E$184*'Model Data Inputs'!$E$185*'Model Data Inputs'!$E$186*'Model Data Inputs'!$E$187),2)</f>
        <v>594.63</v>
      </c>
      <c r="K2887" s="169">
        <f t="shared" si="129"/>
        <v>1712534.4</v>
      </c>
    </row>
    <row r="2888" spans="1:11" x14ac:dyDescent="0.2">
      <c r="A2888" s="168">
        <v>2881</v>
      </c>
      <c r="B2888" s="159">
        <v>594.63366392643309</v>
      </c>
      <c r="C2888" s="169">
        <f t="shared" ref="C2888:C2951" si="130">A2888*B2888</f>
        <v>1713139.5857720538</v>
      </c>
      <c r="I2888" s="168">
        <v>2881</v>
      </c>
      <c r="J2888" s="159">
        <f>ROUND(B2888*('Model Data Inputs'!$E$184*'Model Data Inputs'!$E$185*'Model Data Inputs'!$E$186*'Model Data Inputs'!$E$187),2)</f>
        <v>594.63</v>
      </c>
      <c r="K2888" s="169">
        <f t="shared" ref="K2888:K2951" si="131">I2888*J2888</f>
        <v>1713129.03</v>
      </c>
    </row>
    <row r="2889" spans="1:11" x14ac:dyDescent="0.2">
      <c r="A2889" s="168">
        <v>2882</v>
      </c>
      <c r="B2889" s="159">
        <v>594.63366392643309</v>
      </c>
      <c r="C2889" s="169">
        <f t="shared" si="130"/>
        <v>1713734.2194359801</v>
      </c>
      <c r="I2889" s="168">
        <v>2882</v>
      </c>
      <c r="J2889" s="159">
        <f>ROUND(B2889*('Model Data Inputs'!$E$184*'Model Data Inputs'!$E$185*'Model Data Inputs'!$E$186*'Model Data Inputs'!$E$187),2)</f>
        <v>594.63</v>
      </c>
      <c r="K2889" s="169">
        <f t="shared" si="131"/>
        <v>1713723.66</v>
      </c>
    </row>
    <row r="2890" spans="1:11" x14ac:dyDescent="0.2">
      <c r="A2890" s="168">
        <v>2883</v>
      </c>
      <c r="B2890" s="159">
        <v>594.63366392643309</v>
      </c>
      <c r="C2890" s="169">
        <f t="shared" si="130"/>
        <v>1714328.8530999066</v>
      </c>
      <c r="I2890" s="168">
        <v>2883</v>
      </c>
      <c r="J2890" s="159">
        <f>ROUND(B2890*('Model Data Inputs'!$E$184*'Model Data Inputs'!$E$185*'Model Data Inputs'!$E$186*'Model Data Inputs'!$E$187),2)</f>
        <v>594.63</v>
      </c>
      <c r="K2890" s="169">
        <f t="shared" si="131"/>
        <v>1714318.29</v>
      </c>
    </row>
    <row r="2891" spans="1:11" x14ac:dyDescent="0.2">
      <c r="A2891" s="168">
        <v>2884</v>
      </c>
      <c r="B2891" s="159">
        <v>594.63366392643309</v>
      </c>
      <c r="C2891" s="169">
        <f t="shared" si="130"/>
        <v>1714923.4867638331</v>
      </c>
      <c r="I2891" s="168">
        <v>2884</v>
      </c>
      <c r="J2891" s="159">
        <f>ROUND(B2891*('Model Data Inputs'!$E$184*'Model Data Inputs'!$E$185*'Model Data Inputs'!$E$186*'Model Data Inputs'!$E$187),2)</f>
        <v>594.63</v>
      </c>
      <c r="K2891" s="169">
        <f t="shared" si="131"/>
        <v>1714912.92</v>
      </c>
    </row>
    <row r="2892" spans="1:11" x14ac:dyDescent="0.2">
      <c r="A2892" s="168">
        <v>2885</v>
      </c>
      <c r="B2892" s="159">
        <v>594.63366392643309</v>
      </c>
      <c r="C2892" s="169">
        <f t="shared" si="130"/>
        <v>1715518.1204277594</v>
      </c>
      <c r="I2892" s="168">
        <v>2885</v>
      </c>
      <c r="J2892" s="159">
        <f>ROUND(B2892*('Model Data Inputs'!$E$184*'Model Data Inputs'!$E$185*'Model Data Inputs'!$E$186*'Model Data Inputs'!$E$187),2)</f>
        <v>594.63</v>
      </c>
      <c r="K2892" s="169">
        <f t="shared" si="131"/>
        <v>1715507.55</v>
      </c>
    </row>
    <row r="2893" spans="1:11" x14ac:dyDescent="0.2">
      <c r="A2893" s="168">
        <v>2886</v>
      </c>
      <c r="B2893" s="159">
        <v>594.63366392643309</v>
      </c>
      <c r="C2893" s="169">
        <f t="shared" si="130"/>
        <v>1716112.7540916859</v>
      </c>
      <c r="I2893" s="168">
        <v>2886</v>
      </c>
      <c r="J2893" s="159">
        <f>ROUND(B2893*('Model Data Inputs'!$E$184*'Model Data Inputs'!$E$185*'Model Data Inputs'!$E$186*'Model Data Inputs'!$E$187),2)</f>
        <v>594.63</v>
      </c>
      <c r="K2893" s="169">
        <f t="shared" si="131"/>
        <v>1716102.18</v>
      </c>
    </row>
    <row r="2894" spans="1:11" x14ac:dyDescent="0.2">
      <c r="A2894" s="168">
        <v>2887</v>
      </c>
      <c r="B2894" s="159">
        <v>594.63366392643309</v>
      </c>
      <c r="C2894" s="169">
        <f t="shared" si="130"/>
        <v>1716707.3877556124</v>
      </c>
      <c r="I2894" s="168">
        <v>2887</v>
      </c>
      <c r="J2894" s="159">
        <f>ROUND(B2894*('Model Data Inputs'!$E$184*'Model Data Inputs'!$E$185*'Model Data Inputs'!$E$186*'Model Data Inputs'!$E$187),2)</f>
        <v>594.63</v>
      </c>
      <c r="K2894" s="169">
        <f t="shared" si="131"/>
        <v>1716696.81</v>
      </c>
    </row>
    <row r="2895" spans="1:11" x14ac:dyDescent="0.2">
      <c r="A2895" s="168">
        <v>2888</v>
      </c>
      <c r="B2895" s="159">
        <v>594.63366392643309</v>
      </c>
      <c r="C2895" s="169">
        <f t="shared" si="130"/>
        <v>1717302.0214195387</v>
      </c>
      <c r="I2895" s="168">
        <v>2888</v>
      </c>
      <c r="J2895" s="159">
        <f>ROUND(B2895*('Model Data Inputs'!$E$184*'Model Data Inputs'!$E$185*'Model Data Inputs'!$E$186*'Model Data Inputs'!$E$187),2)</f>
        <v>594.63</v>
      </c>
      <c r="K2895" s="169">
        <f t="shared" si="131"/>
        <v>1717291.44</v>
      </c>
    </row>
    <row r="2896" spans="1:11" x14ac:dyDescent="0.2">
      <c r="A2896" s="168">
        <v>2889</v>
      </c>
      <c r="B2896" s="159">
        <v>594.63366392643309</v>
      </c>
      <c r="C2896" s="169">
        <f t="shared" si="130"/>
        <v>1717896.6550834652</v>
      </c>
      <c r="I2896" s="168">
        <v>2889</v>
      </c>
      <c r="J2896" s="159">
        <f>ROUND(B2896*('Model Data Inputs'!$E$184*'Model Data Inputs'!$E$185*'Model Data Inputs'!$E$186*'Model Data Inputs'!$E$187),2)</f>
        <v>594.63</v>
      </c>
      <c r="K2896" s="169">
        <f t="shared" si="131"/>
        <v>1717886.07</v>
      </c>
    </row>
    <row r="2897" spans="1:11" x14ac:dyDescent="0.2">
      <c r="A2897" s="168">
        <v>2890</v>
      </c>
      <c r="B2897" s="159">
        <v>594.63366392643309</v>
      </c>
      <c r="C2897" s="169">
        <f t="shared" si="130"/>
        <v>1718491.2887473917</v>
      </c>
      <c r="I2897" s="168">
        <v>2890</v>
      </c>
      <c r="J2897" s="159">
        <f>ROUND(B2897*('Model Data Inputs'!$E$184*'Model Data Inputs'!$E$185*'Model Data Inputs'!$E$186*'Model Data Inputs'!$E$187),2)</f>
        <v>594.63</v>
      </c>
      <c r="K2897" s="169">
        <f t="shared" si="131"/>
        <v>1718480.7</v>
      </c>
    </row>
    <row r="2898" spans="1:11" x14ac:dyDescent="0.2">
      <c r="A2898" s="168">
        <v>2891</v>
      </c>
      <c r="B2898" s="159">
        <v>594.63366392643309</v>
      </c>
      <c r="C2898" s="169">
        <f t="shared" si="130"/>
        <v>1719085.9224113182</v>
      </c>
      <c r="I2898" s="168">
        <v>2891</v>
      </c>
      <c r="J2898" s="159">
        <f>ROUND(B2898*('Model Data Inputs'!$E$184*'Model Data Inputs'!$E$185*'Model Data Inputs'!$E$186*'Model Data Inputs'!$E$187),2)</f>
        <v>594.63</v>
      </c>
      <c r="K2898" s="169">
        <f t="shared" si="131"/>
        <v>1719075.33</v>
      </c>
    </row>
    <row r="2899" spans="1:11" x14ac:dyDescent="0.2">
      <c r="A2899" s="168">
        <v>2892</v>
      </c>
      <c r="B2899" s="159">
        <v>594.63366392643309</v>
      </c>
      <c r="C2899" s="169">
        <f t="shared" si="130"/>
        <v>1719680.5560752444</v>
      </c>
      <c r="I2899" s="168">
        <v>2892</v>
      </c>
      <c r="J2899" s="159">
        <f>ROUND(B2899*('Model Data Inputs'!$E$184*'Model Data Inputs'!$E$185*'Model Data Inputs'!$E$186*'Model Data Inputs'!$E$187),2)</f>
        <v>594.63</v>
      </c>
      <c r="K2899" s="169">
        <f t="shared" si="131"/>
        <v>1719669.96</v>
      </c>
    </row>
    <row r="2900" spans="1:11" x14ac:dyDescent="0.2">
      <c r="A2900" s="168">
        <v>2893</v>
      </c>
      <c r="B2900" s="159">
        <v>594.63366392643309</v>
      </c>
      <c r="C2900" s="169">
        <f t="shared" si="130"/>
        <v>1720275.1897391709</v>
      </c>
      <c r="I2900" s="168">
        <v>2893</v>
      </c>
      <c r="J2900" s="159">
        <f>ROUND(B2900*('Model Data Inputs'!$E$184*'Model Data Inputs'!$E$185*'Model Data Inputs'!$E$186*'Model Data Inputs'!$E$187),2)</f>
        <v>594.63</v>
      </c>
      <c r="K2900" s="169">
        <f t="shared" si="131"/>
        <v>1720264.59</v>
      </c>
    </row>
    <row r="2901" spans="1:11" x14ac:dyDescent="0.2">
      <c r="A2901" s="168">
        <v>2894</v>
      </c>
      <c r="B2901" s="159">
        <v>594.63366392643309</v>
      </c>
      <c r="C2901" s="169">
        <f t="shared" si="130"/>
        <v>1720869.8234030975</v>
      </c>
      <c r="I2901" s="168">
        <v>2894</v>
      </c>
      <c r="J2901" s="159">
        <f>ROUND(B2901*('Model Data Inputs'!$E$184*'Model Data Inputs'!$E$185*'Model Data Inputs'!$E$186*'Model Data Inputs'!$E$187),2)</f>
        <v>594.63</v>
      </c>
      <c r="K2901" s="169">
        <f t="shared" si="131"/>
        <v>1720859.22</v>
      </c>
    </row>
    <row r="2902" spans="1:11" x14ac:dyDescent="0.2">
      <c r="A2902" s="168">
        <v>2895</v>
      </c>
      <c r="B2902" s="159">
        <v>594.63366392643309</v>
      </c>
      <c r="C2902" s="169">
        <f t="shared" si="130"/>
        <v>1721464.4570670237</v>
      </c>
      <c r="I2902" s="168">
        <v>2895</v>
      </c>
      <c r="J2902" s="159">
        <f>ROUND(B2902*('Model Data Inputs'!$E$184*'Model Data Inputs'!$E$185*'Model Data Inputs'!$E$186*'Model Data Inputs'!$E$187),2)</f>
        <v>594.63</v>
      </c>
      <c r="K2902" s="169">
        <f t="shared" si="131"/>
        <v>1721453.85</v>
      </c>
    </row>
    <row r="2903" spans="1:11" x14ac:dyDescent="0.2">
      <c r="A2903" s="168">
        <v>2896</v>
      </c>
      <c r="B2903" s="159">
        <v>594.63366392643309</v>
      </c>
      <c r="C2903" s="169">
        <f t="shared" si="130"/>
        <v>1722059.0907309502</v>
      </c>
      <c r="I2903" s="168">
        <v>2896</v>
      </c>
      <c r="J2903" s="159">
        <f>ROUND(B2903*('Model Data Inputs'!$E$184*'Model Data Inputs'!$E$185*'Model Data Inputs'!$E$186*'Model Data Inputs'!$E$187),2)</f>
        <v>594.63</v>
      </c>
      <c r="K2903" s="169">
        <f t="shared" si="131"/>
        <v>1722048.48</v>
      </c>
    </row>
    <row r="2904" spans="1:11" x14ac:dyDescent="0.2">
      <c r="A2904" s="168">
        <v>2897</v>
      </c>
      <c r="B2904" s="159">
        <v>594.63366392643309</v>
      </c>
      <c r="C2904" s="169">
        <f t="shared" si="130"/>
        <v>1722653.7243948767</v>
      </c>
      <c r="I2904" s="168">
        <v>2897</v>
      </c>
      <c r="J2904" s="159">
        <f>ROUND(B2904*('Model Data Inputs'!$E$184*'Model Data Inputs'!$E$185*'Model Data Inputs'!$E$186*'Model Data Inputs'!$E$187),2)</f>
        <v>594.63</v>
      </c>
      <c r="K2904" s="169">
        <f t="shared" si="131"/>
        <v>1722643.11</v>
      </c>
    </row>
    <row r="2905" spans="1:11" x14ac:dyDescent="0.2">
      <c r="A2905" s="168">
        <v>2898</v>
      </c>
      <c r="B2905" s="159">
        <v>594.63366392643309</v>
      </c>
      <c r="C2905" s="169">
        <f t="shared" si="130"/>
        <v>1723248.358058803</v>
      </c>
      <c r="I2905" s="168">
        <v>2898</v>
      </c>
      <c r="J2905" s="159">
        <f>ROUND(B2905*('Model Data Inputs'!$E$184*'Model Data Inputs'!$E$185*'Model Data Inputs'!$E$186*'Model Data Inputs'!$E$187),2)</f>
        <v>594.63</v>
      </c>
      <c r="K2905" s="169">
        <f t="shared" si="131"/>
        <v>1723237.74</v>
      </c>
    </row>
    <row r="2906" spans="1:11" x14ac:dyDescent="0.2">
      <c r="A2906" s="168">
        <v>2899</v>
      </c>
      <c r="B2906" s="159">
        <v>594.63366392643309</v>
      </c>
      <c r="C2906" s="169">
        <f t="shared" si="130"/>
        <v>1723842.9917227295</v>
      </c>
      <c r="I2906" s="168">
        <v>2899</v>
      </c>
      <c r="J2906" s="159">
        <f>ROUND(B2906*('Model Data Inputs'!$E$184*'Model Data Inputs'!$E$185*'Model Data Inputs'!$E$186*'Model Data Inputs'!$E$187),2)</f>
        <v>594.63</v>
      </c>
      <c r="K2906" s="169">
        <f t="shared" si="131"/>
        <v>1723832.3699999999</v>
      </c>
    </row>
    <row r="2907" spans="1:11" x14ac:dyDescent="0.2">
      <c r="A2907" s="168">
        <v>2900</v>
      </c>
      <c r="B2907" s="159">
        <v>594.63366392643309</v>
      </c>
      <c r="C2907" s="169">
        <f t="shared" si="130"/>
        <v>1724437.625386656</v>
      </c>
      <c r="I2907" s="168">
        <v>2900</v>
      </c>
      <c r="J2907" s="159">
        <f>ROUND(B2907*('Model Data Inputs'!$E$184*'Model Data Inputs'!$E$185*'Model Data Inputs'!$E$186*'Model Data Inputs'!$E$187),2)</f>
        <v>594.63</v>
      </c>
      <c r="K2907" s="169">
        <f t="shared" si="131"/>
        <v>1724427</v>
      </c>
    </row>
    <row r="2908" spans="1:11" x14ac:dyDescent="0.2">
      <c r="A2908" s="168">
        <v>2901</v>
      </c>
      <c r="B2908" s="159">
        <v>594.63366392643309</v>
      </c>
      <c r="C2908" s="169">
        <f t="shared" si="130"/>
        <v>1725032.2590505823</v>
      </c>
      <c r="I2908" s="168">
        <v>2901</v>
      </c>
      <c r="J2908" s="159">
        <f>ROUND(B2908*('Model Data Inputs'!$E$184*'Model Data Inputs'!$E$185*'Model Data Inputs'!$E$186*'Model Data Inputs'!$E$187),2)</f>
        <v>594.63</v>
      </c>
      <c r="K2908" s="169">
        <f t="shared" si="131"/>
        <v>1725021.63</v>
      </c>
    </row>
    <row r="2909" spans="1:11" x14ac:dyDescent="0.2">
      <c r="A2909" s="168">
        <v>2902</v>
      </c>
      <c r="B2909" s="159">
        <v>594.63366392643309</v>
      </c>
      <c r="C2909" s="169">
        <f t="shared" si="130"/>
        <v>1725626.8927145088</v>
      </c>
      <c r="I2909" s="168">
        <v>2902</v>
      </c>
      <c r="J2909" s="159">
        <f>ROUND(B2909*('Model Data Inputs'!$E$184*'Model Data Inputs'!$E$185*'Model Data Inputs'!$E$186*'Model Data Inputs'!$E$187),2)</f>
        <v>594.63</v>
      </c>
      <c r="K2909" s="169">
        <f t="shared" si="131"/>
        <v>1725616.26</v>
      </c>
    </row>
    <row r="2910" spans="1:11" x14ac:dyDescent="0.2">
      <c r="A2910" s="168">
        <v>2903</v>
      </c>
      <c r="B2910" s="159">
        <v>594.63366392643309</v>
      </c>
      <c r="C2910" s="169">
        <f t="shared" si="130"/>
        <v>1726221.5263784353</v>
      </c>
      <c r="I2910" s="168">
        <v>2903</v>
      </c>
      <c r="J2910" s="159">
        <f>ROUND(B2910*('Model Data Inputs'!$E$184*'Model Data Inputs'!$E$185*'Model Data Inputs'!$E$186*'Model Data Inputs'!$E$187),2)</f>
        <v>594.63</v>
      </c>
      <c r="K2910" s="169">
        <f t="shared" si="131"/>
        <v>1726210.89</v>
      </c>
    </row>
    <row r="2911" spans="1:11" x14ac:dyDescent="0.2">
      <c r="A2911" s="168">
        <v>2904</v>
      </c>
      <c r="B2911" s="159">
        <v>594.63366392643309</v>
      </c>
      <c r="C2911" s="169">
        <f t="shared" si="130"/>
        <v>1726816.1600423616</v>
      </c>
      <c r="I2911" s="168">
        <v>2904</v>
      </c>
      <c r="J2911" s="159">
        <f>ROUND(B2911*('Model Data Inputs'!$E$184*'Model Data Inputs'!$E$185*'Model Data Inputs'!$E$186*'Model Data Inputs'!$E$187),2)</f>
        <v>594.63</v>
      </c>
      <c r="K2911" s="169">
        <f t="shared" si="131"/>
        <v>1726805.52</v>
      </c>
    </row>
    <row r="2912" spans="1:11" x14ac:dyDescent="0.2">
      <c r="A2912" s="168">
        <v>2905</v>
      </c>
      <c r="B2912" s="159">
        <v>594.63366392643309</v>
      </c>
      <c r="C2912" s="169">
        <f t="shared" si="130"/>
        <v>1727410.7937062881</v>
      </c>
      <c r="I2912" s="168">
        <v>2905</v>
      </c>
      <c r="J2912" s="159">
        <f>ROUND(B2912*('Model Data Inputs'!$E$184*'Model Data Inputs'!$E$185*'Model Data Inputs'!$E$186*'Model Data Inputs'!$E$187),2)</f>
        <v>594.63</v>
      </c>
      <c r="K2912" s="169">
        <f t="shared" si="131"/>
        <v>1727400.15</v>
      </c>
    </row>
    <row r="2913" spans="1:11" x14ac:dyDescent="0.2">
      <c r="A2913" s="168">
        <v>2906</v>
      </c>
      <c r="B2913" s="159">
        <v>594.63366392643309</v>
      </c>
      <c r="C2913" s="169">
        <f t="shared" si="130"/>
        <v>1728005.4273702146</v>
      </c>
      <c r="I2913" s="168">
        <v>2906</v>
      </c>
      <c r="J2913" s="159">
        <f>ROUND(B2913*('Model Data Inputs'!$E$184*'Model Data Inputs'!$E$185*'Model Data Inputs'!$E$186*'Model Data Inputs'!$E$187),2)</f>
        <v>594.63</v>
      </c>
      <c r="K2913" s="169">
        <f t="shared" si="131"/>
        <v>1727994.78</v>
      </c>
    </row>
    <row r="2914" spans="1:11" x14ac:dyDescent="0.2">
      <c r="A2914" s="168">
        <v>2907</v>
      </c>
      <c r="B2914" s="159">
        <v>594.63366392643309</v>
      </c>
      <c r="C2914" s="169">
        <f t="shared" si="130"/>
        <v>1728600.0610341409</v>
      </c>
      <c r="I2914" s="168">
        <v>2907</v>
      </c>
      <c r="J2914" s="159">
        <f>ROUND(B2914*('Model Data Inputs'!$E$184*'Model Data Inputs'!$E$185*'Model Data Inputs'!$E$186*'Model Data Inputs'!$E$187),2)</f>
        <v>594.63</v>
      </c>
      <c r="K2914" s="169">
        <f t="shared" si="131"/>
        <v>1728589.41</v>
      </c>
    </row>
    <row r="2915" spans="1:11" x14ac:dyDescent="0.2">
      <c r="A2915" s="168">
        <v>2908</v>
      </c>
      <c r="B2915" s="159">
        <v>594.63366392643309</v>
      </c>
      <c r="C2915" s="169">
        <f t="shared" si="130"/>
        <v>1729194.6946980674</v>
      </c>
      <c r="I2915" s="168">
        <v>2908</v>
      </c>
      <c r="J2915" s="159">
        <f>ROUND(B2915*('Model Data Inputs'!$E$184*'Model Data Inputs'!$E$185*'Model Data Inputs'!$E$186*'Model Data Inputs'!$E$187),2)</f>
        <v>594.63</v>
      </c>
      <c r="K2915" s="169">
        <f t="shared" si="131"/>
        <v>1729184.04</v>
      </c>
    </row>
    <row r="2916" spans="1:11" x14ac:dyDescent="0.2">
      <c r="A2916" s="168">
        <v>2909</v>
      </c>
      <c r="B2916" s="159">
        <v>594.63366392643309</v>
      </c>
      <c r="C2916" s="169">
        <f t="shared" si="130"/>
        <v>1729789.3283619939</v>
      </c>
      <c r="I2916" s="168">
        <v>2909</v>
      </c>
      <c r="J2916" s="159">
        <f>ROUND(B2916*('Model Data Inputs'!$E$184*'Model Data Inputs'!$E$185*'Model Data Inputs'!$E$186*'Model Data Inputs'!$E$187),2)</f>
        <v>594.63</v>
      </c>
      <c r="K2916" s="169">
        <f t="shared" si="131"/>
        <v>1729778.67</v>
      </c>
    </row>
    <row r="2917" spans="1:11" x14ac:dyDescent="0.2">
      <c r="A2917" s="168">
        <v>2910</v>
      </c>
      <c r="B2917" s="159">
        <v>594.63366392643309</v>
      </c>
      <c r="C2917" s="169">
        <f t="shared" si="130"/>
        <v>1730383.9620259204</v>
      </c>
      <c r="I2917" s="168">
        <v>2910</v>
      </c>
      <c r="J2917" s="159">
        <f>ROUND(B2917*('Model Data Inputs'!$E$184*'Model Data Inputs'!$E$185*'Model Data Inputs'!$E$186*'Model Data Inputs'!$E$187),2)</f>
        <v>594.63</v>
      </c>
      <c r="K2917" s="169">
        <f t="shared" si="131"/>
        <v>1730373.3</v>
      </c>
    </row>
    <row r="2918" spans="1:11" x14ac:dyDescent="0.2">
      <c r="A2918" s="168">
        <v>2911</v>
      </c>
      <c r="B2918" s="159">
        <v>594.63366392643309</v>
      </c>
      <c r="C2918" s="169">
        <f t="shared" si="130"/>
        <v>1730978.5956898467</v>
      </c>
      <c r="I2918" s="168">
        <v>2911</v>
      </c>
      <c r="J2918" s="159">
        <f>ROUND(B2918*('Model Data Inputs'!$E$184*'Model Data Inputs'!$E$185*'Model Data Inputs'!$E$186*'Model Data Inputs'!$E$187),2)</f>
        <v>594.63</v>
      </c>
      <c r="K2918" s="169">
        <f t="shared" si="131"/>
        <v>1730967.93</v>
      </c>
    </row>
    <row r="2919" spans="1:11" x14ac:dyDescent="0.2">
      <c r="A2919" s="168">
        <v>2912</v>
      </c>
      <c r="B2919" s="159">
        <v>594.63366392643309</v>
      </c>
      <c r="C2919" s="169">
        <f t="shared" si="130"/>
        <v>1731573.2293537732</v>
      </c>
      <c r="I2919" s="168">
        <v>2912</v>
      </c>
      <c r="J2919" s="159">
        <f>ROUND(B2919*('Model Data Inputs'!$E$184*'Model Data Inputs'!$E$185*'Model Data Inputs'!$E$186*'Model Data Inputs'!$E$187),2)</f>
        <v>594.63</v>
      </c>
      <c r="K2919" s="169">
        <f t="shared" si="131"/>
        <v>1731562.56</v>
      </c>
    </row>
    <row r="2920" spans="1:11" x14ac:dyDescent="0.2">
      <c r="A2920" s="168">
        <v>2913</v>
      </c>
      <c r="B2920" s="159">
        <v>594.63366392643309</v>
      </c>
      <c r="C2920" s="169">
        <f t="shared" si="130"/>
        <v>1732167.8630176997</v>
      </c>
      <c r="I2920" s="168">
        <v>2913</v>
      </c>
      <c r="J2920" s="159">
        <f>ROUND(B2920*('Model Data Inputs'!$E$184*'Model Data Inputs'!$E$185*'Model Data Inputs'!$E$186*'Model Data Inputs'!$E$187),2)</f>
        <v>594.63</v>
      </c>
      <c r="K2920" s="169">
        <f t="shared" si="131"/>
        <v>1732157.19</v>
      </c>
    </row>
    <row r="2921" spans="1:11" x14ac:dyDescent="0.2">
      <c r="A2921" s="168">
        <v>2914</v>
      </c>
      <c r="B2921" s="159">
        <v>594.63366392643309</v>
      </c>
      <c r="C2921" s="169">
        <f t="shared" si="130"/>
        <v>1732762.496681626</v>
      </c>
      <c r="I2921" s="168">
        <v>2914</v>
      </c>
      <c r="J2921" s="159">
        <f>ROUND(B2921*('Model Data Inputs'!$E$184*'Model Data Inputs'!$E$185*'Model Data Inputs'!$E$186*'Model Data Inputs'!$E$187),2)</f>
        <v>594.63</v>
      </c>
      <c r="K2921" s="169">
        <f t="shared" si="131"/>
        <v>1732751.82</v>
      </c>
    </row>
    <row r="2922" spans="1:11" x14ac:dyDescent="0.2">
      <c r="A2922" s="168">
        <v>2915</v>
      </c>
      <c r="B2922" s="159">
        <v>594.63366392643309</v>
      </c>
      <c r="C2922" s="169">
        <f t="shared" si="130"/>
        <v>1733357.1303455525</v>
      </c>
      <c r="I2922" s="168">
        <v>2915</v>
      </c>
      <c r="J2922" s="159">
        <f>ROUND(B2922*('Model Data Inputs'!$E$184*'Model Data Inputs'!$E$185*'Model Data Inputs'!$E$186*'Model Data Inputs'!$E$187),2)</f>
        <v>594.63</v>
      </c>
      <c r="K2922" s="169">
        <f t="shared" si="131"/>
        <v>1733346.45</v>
      </c>
    </row>
    <row r="2923" spans="1:11" x14ac:dyDescent="0.2">
      <c r="A2923" s="168">
        <v>2916</v>
      </c>
      <c r="B2923" s="159">
        <v>594.63366392643309</v>
      </c>
      <c r="C2923" s="169">
        <f t="shared" si="130"/>
        <v>1733951.764009479</v>
      </c>
      <c r="I2923" s="168">
        <v>2916</v>
      </c>
      <c r="J2923" s="159">
        <f>ROUND(B2923*('Model Data Inputs'!$E$184*'Model Data Inputs'!$E$185*'Model Data Inputs'!$E$186*'Model Data Inputs'!$E$187),2)</f>
        <v>594.63</v>
      </c>
      <c r="K2923" s="169">
        <f t="shared" si="131"/>
        <v>1733941.08</v>
      </c>
    </row>
    <row r="2924" spans="1:11" x14ac:dyDescent="0.2">
      <c r="A2924" s="168">
        <v>2917</v>
      </c>
      <c r="B2924" s="159">
        <v>594.63366392643309</v>
      </c>
      <c r="C2924" s="169">
        <f t="shared" si="130"/>
        <v>1734546.3976734052</v>
      </c>
      <c r="I2924" s="168">
        <v>2917</v>
      </c>
      <c r="J2924" s="159">
        <f>ROUND(B2924*('Model Data Inputs'!$E$184*'Model Data Inputs'!$E$185*'Model Data Inputs'!$E$186*'Model Data Inputs'!$E$187),2)</f>
        <v>594.63</v>
      </c>
      <c r="K2924" s="169">
        <f t="shared" si="131"/>
        <v>1734535.71</v>
      </c>
    </row>
    <row r="2925" spans="1:11" x14ac:dyDescent="0.2">
      <c r="A2925" s="168">
        <v>2918</v>
      </c>
      <c r="B2925" s="159">
        <v>594.63366392643309</v>
      </c>
      <c r="C2925" s="169">
        <f t="shared" si="130"/>
        <v>1735141.0313373317</v>
      </c>
      <c r="I2925" s="168">
        <v>2918</v>
      </c>
      <c r="J2925" s="159">
        <f>ROUND(B2925*('Model Data Inputs'!$E$184*'Model Data Inputs'!$E$185*'Model Data Inputs'!$E$186*'Model Data Inputs'!$E$187),2)</f>
        <v>594.63</v>
      </c>
      <c r="K2925" s="169">
        <f t="shared" si="131"/>
        <v>1735130.34</v>
      </c>
    </row>
    <row r="2926" spans="1:11" x14ac:dyDescent="0.2">
      <c r="A2926" s="168">
        <v>2919</v>
      </c>
      <c r="B2926" s="159">
        <v>594.63366392643309</v>
      </c>
      <c r="C2926" s="169">
        <f t="shared" si="130"/>
        <v>1735735.6650012583</v>
      </c>
      <c r="I2926" s="168">
        <v>2919</v>
      </c>
      <c r="J2926" s="159">
        <f>ROUND(B2926*('Model Data Inputs'!$E$184*'Model Data Inputs'!$E$185*'Model Data Inputs'!$E$186*'Model Data Inputs'!$E$187),2)</f>
        <v>594.63</v>
      </c>
      <c r="K2926" s="169">
        <f t="shared" si="131"/>
        <v>1735724.97</v>
      </c>
    </row>
    <row r="2927" spans="1:11" x14ac:dyDescent="0.2">
      <c r="A2927" s="168">
        <v>2920</v>
      </c>
      <c r="B2927" s="159">
        <v>594.63366392643309</v>
      </c>
      <c r="C2927" s="169">
        <f t="shared" si="130"/>
        <v>1736330.2986651845</v>
      </c>
      <c r="I2927" s="168">
        <v>2920</v>
      </c>
      <c r="J2927" s="159">
        <f>ROUND(B2927*('Model Data Inputs'!$E$184*'Model Data Inputs'!$E$185*'Model Data Inputs'!$E$186*'Model Data Inputs'!$E$187),2)</f>
        <v>594.63</v>
      </c>
      <c r="K2927" s="169">
        <f t="shared" si="131"/>
        <v>1736319.6</v>
      </c>
    </row>
    <row r="2928" spans="1:11" x14ac:dyDescent="0.2">
      <c r="A2928" s="168">
        <v>2921</v>
      </c>
      <c r="B2928" s="159">
        <v>594.63366392643309</v>
      </c>
      <c r="C2928" s="169">
        <f t="shared" si="130"/>
        <v>1736924.932329111</v>
      </c>
      <c r="I2928" s="168">
        <v>2921</v>
      </c>
      <c r="J2928" s="159">
        <f>ROUND(B2928*('Model Data Inputs'!$E$184*'Model Data Inputs'!$E$185*'Model Data Inputs'!$E$186*'Model Data Inputs'!$E$187),2)</f>
        <v>594.63</v>
      </c>
      <c r="K2928" s="169">
        <f t="shared" si="131"/>
        <v>1736914.23</v>
      </c>
    </row>
    <row r="2929" spans="1:11" x14ac:dyDescent="0.2">
      <c r="A2929" s="168">
        <v>2922</v>
      </c>
      <c r="B2929" s="159">
        <v>594.63366392643309</v>
      </c>
      <c r="C2929" s="169">
        <f t="shared" si="130"/>
        <v>1737519.5659930375</v>
      </c>
      <c r="I2929" s="168">
        <v>2922</v>
      </c>
      <c r="J2929" s="159">
        <f>ROUND(B2929*('Model Data Inputs'!$E$184*'Model Data Inputs'!$E$185*'Model Data Inputs'!$E$186*'Model Data Inputs'!$E$187),2)</f>
        <v>594.63</v>
      </c>
      <c r="K2929" s="169">
        <f t="shared" si="131"/>
        <v>1737508.86</v>
      </c>
    </row>
    <row r="2930" spans="1:11" x14ac:dyDescent="0.2">
      <c r="A2930" s="168">
        <v>2923</v>
      </c>
      <c r="B2930" s="159">
        <v>594.63366392643309</v>
      </c>
      <c r="C2930" s="169">
        <f t="shared" si="130"/>
        <v>1738114.1996569638</v>
      </c>
      <c r="I2930" s="168">
        <v>2923</v>
      </c>
      <c r="J2930" s="159">
        <f>ROUND(B2930*('Model Data Inputs'!$E$184*'Model Data Inputs'!$E$185*'Model Data Inputs'!$E$186*'Model Data Inputs'!$E$187),2)</f>
        <v>594.63</v>
      </c>
      <c r="K2930" s="169">
        <f t="shared" si="131"/>
        <v>1738103.49</v>
      </c>
    </row>
    <row r="2931" spans="1:11" x14ac:dyDescent="0.2">
      <c r="A2931" s="168">
        <v>2924</v>
      </c>
      <c r="B2931" s="159">
        <v>594.63366392643309</v>
      </c>
      <c r="C2931" s="169">
        <f t="shared" si="130"/>
        <v>1738708.8333208903</v>
      </c>
      <c r="I2931" s="168">
        <v>2924</v>
      </c>
      <c r="J2931" s="159">
        <f>ROUND(B2931*('Model Data Inputs'!$E$184*'Model Data Inputs'!$E$185*'Model Data Inputs'!$E$186*'Model Data Inputs'!$E$187),2)</f>
        <v>594.63</v>
      </c>
      <c r="K2931" s="169">
        <f t="shared" si="131"/>
        <v>1738698.1199999999</v>
      </c>
    </row>
    <row r="2932" spans="1:11" x14ac:dyDescent="0.2">
      <c r="A2932" s="168">
        <v>2925</v>
      </c>
      <c r="B2932" s="159">
        <v>594.63366392643309</v>
      </c>
      <c r="C2932" s="169">
        <f t="shared" si="130"/>
        <v>1739303.4669848168</v>
      </c>
      <c r="I2932" s="168">
        <v>2925</v>
      </c>
      <c r="J2932" s="159">
        <f>ROUND(B2932*('Model Data Inputs'!$E$184*'Model Data Inputs'!$E$185*'Model Data Inputs'!$E$186*'Model Data Inputs'!$E$187),2)</f>
        <v>594.63</v>
      </c>
      <c r="K2932" s="169">
        <f t="shared" si="131"/>
        <v>1739292.75</v>
      </c>
    </row>
    <row r="2933" spans="1:11" x14ac:dyDescent="0.2">
      <c r="A2933" s="168">
        <v>2926</v>
      </c>
      <c r="B2933" s="159">
        <v>594.63366392643309</v>
      </c>
      <c r="C2933" s="169">
        <f t="shared" si="130"/>
        <v>1739898.1006487431</v>
      </c>
      <c r="I2933" s="168">
        <v>2926</v>
      </c>
      <c r="J2933" s="159">
        <f>ROUND(B2933*('Model Data Inputs'!$E$184*'Model Data Inputs'!$E$185*'Model Data Inputs'!$E$186*'Model Data Inputs'!$E$187),2)</f>
        <v>594.63</v>
      </c>
      <c r="K2933" s="169">
        <f t="shared" si="131"/>
        <v>1739887.38</v>
      </c>
    </row>
    <row r="2934" spans="1:11" x14ac:dyDescent="0.2">
      <c r="A2934" s="168">
        <v>2927</v>
      </c>
      <c r="B2934" s="159">
        <v>594.63366392643309</v>
      </c>
      <c r="C2934" s="169">
        <f t="shared" si="130"/>
        <v>1740492.7343126696</v>
      </c>
      <c r="I2934" s="168">
        <v>2927</v>
      </c>
      <c r="J2934" s="159">
        <f>ROUND(B2934*('Model Data Inputs'!$E$184*'Model Data Inputs'!$E$185*'Model Data Inputs'!$E$186*'Model Data Inputs'!$E$187),2)</f>
        <v>594.63</v>
      </c>
      <c r="K2934" s="169">
        <f t="shared" si="131"/>
        <v>1740482.01</v>
      </c>
    </row>
    <row r="2935" spans="1:11" x14ac:dyDescent="0.2">
      <c r="A2935" s="168">
        <v>2928</v>
      </c>
      <c r="B2935" s="159">
        <v>594.63366392643309</v>
      </c>
      <c r="C2935" s="169">
        <f t="shared" si="130"/>
        <v>1741087.3679765961</v>
      </c>
      <c r="I2935" s="168">
        <v>2928</v>
      </c>
      <c r="J2935" s="159">
        <f>ROUND(B2935*('Model Data Inputs'!$E$184*'Model Data Inputs'!$E$185*'Model Data Inputs'!$E$186*'Model Data Inputs'!$E$187),2)</f>
        <v>594.63</v>
      </c>
      <c r="K2935" s="169">
        <f t="shared" si="131"/>
        <v>1741076.64</v>
      </c>
    </row>
    <row r="2936" spans="1:11" x14ac:dyDescent="0.2">
      <c r="A2936" s="168">
        <v>2929</v>
      </c>
      <c r="B2936" s="159">
        <v>594.63366392643309</v>
      </c>
      <c r="C2936" s="169">
        <f t="shared" si="130"/>
        <v>1741682.0016405226</v>
      </c>
      <c r="I2936" s="168">
        <v>2929</v>
      </c>
      <c r="J2936" s="159">
        <f>ROUND(B2936*('Model Data Inputs'!$E$184*'Model Data Inputs'!$E$185*'Model Data Inputs'!$E$186*'Model Data Inputs'!$E$187),2)</f>
        <v>594.63</v>
      </c>
      <c r="K2936" s="169">
        <f t="shared" si="131"/>
        <v>1741671.27</v>
      </c>
    </row>
    <row r="2937" spans="1:11" x14ac:dyDescent="0.2">
      <c r="A2937" s="168">
        <v>2930</v>
      </c>
      <c r="B2937" s="159">
        <v>594.63366392643309</v>
      </c>
      <c r="C2937" s="169">
        <f t="shared" si="130"/>
        <v>1742276.6353044489</v>
      </c>
      <c r="I2937" s="168">
        <v>2930</v>
      </c>
      <c r="J2937" s="159">
        <f>ROUND(B2937*('Model Data Inputs'!$E$184*'Model Data Inputs'!$E$185*'Model Data Inputs'!$E$186*'Model Data Inputs'!$E$187),2)</f>
        <v>594.63</v>
      </c>
      <c r="K2937" s="169">
        <f t="shared" si="131"/>
        <v>1742265.9</v>
      </c>
    </row>
    <row r="2938" spans="1:11" x14ac:dyDescent="0.2">
      <c r="A2938" s="168">
        <v>2931</v>
      </c>
      <c r="B2938" s="159">
        <v>594.63366392643309</v>
      </c>
      <c r="C2938" s="169">
        <f t="shared" si="130"/>
        <v>1742871.2689683754</v>
      </c>
      <c r="I2938" s="168">
        <v>2931</v>
      </c>
      <c r="J2938" s="159">
        <f>ROUND(B2938*('Model Data Inputs'!$E$184*'Model Data Inputs'!$E$185*'Model Data Inputs'!$E$186*'Model Data Inputs'!$E$187),2)</f>
        <v>594.63</v>
      </c>
      <c r="K2938" s="169">
        <f t="shared" si="131"/>
        <v>1742860.53</v>
      </c>
    </row>
    <row r="2939" spans="1:11" x14ac:dyDescent="0.2">
      <c r="A2939" s="168">
        <v>2932</v>
      </c>
      <c r="B2939" s="159">
        <v>594.63366392643309</v>
      </c>
      <c r="C2939" s="169">
        <f t="shared" si="130"/>
        <v>1743465.9026323019</v>
      </c>
      <c r="I2939" s="168">
        <v>2932</v>
      </c>
      <c r="J2939" s="159">
        <f>ROUND(B2939*('Model Data Inputs'!$E$184*'Model Data Inputs'!$E$185*'Model Data Inputs'!$E$186*'Model Data Inputs'!$E$187),2)</f>
        <v>594.63</v>
      </c>
      <c r="K2939" s="169">
        <f t="shared" si="131"/>
        <v>1743455.16</v>
      </c>
    </row>
    <row r="2940" spans="1:11" x14ac:dyDescent="0.2">
      <c r="A2940" s="168">
        <v>2933</v>
      </c>
      <c r="B2940" s="159">
        <v>594.63366392643309</v>
      </c>
      <c r="C2940" s="169">
        <f t="shared" si="130"/>
        <v>1744060.5362962282</v>
      </c>
      <c r="I2940" s="168">
        <v>2933</v>
      </c>
      <c r="J2940" s="159">
        <f>ROUND(B2940*('Model Data Inputs'!$E$184*'Model Data Inputs'!$E$185*'Model Data Inputs'!$E$186*'Model Data Inputs'!$E$187),2)</f>
        <v>594.63</v>
      </c>
      <c r="K2940" s="169">
        <f t="shared" si="131"/>
        <v>1744049.79</v>
      </c>
    </row>
    <row r="2941" spans="1:11" x14ac:dyDescent="0.2">
      <c r="A2941" s="168">
        <v>2934</v>
      </c>
      <c r="B2941" s="159">
        <v>594.63366392643309</v>
      </c>
      <c r="C2941" s="169">
        <f t="shared" si="130"/>
        <v>1744655.1699601547</v>
      </c>
      <c r="I2941" s="168">
        <v>2934</v>
      </c>
      <c r="J2941" s="159">
        <f>ROUND(B2941*('Model Data Inputs'!$E$184*'Model Data Inputs'!$E$185*'Model Data Inputs'!$E$186*'Model Data Inputs'!$E$187),2)</f>
        <v>594.63</v>
      </c>
      <c r="K2941" s="169">
        <f t="shared" si="131"/>
        <v>1744644.42</v>
      </c>
    </row>
    <row r="2942" spans="1:11" x14ac:dyDescent="0.2">
      <c r="A2942" s="168">
        <v>2935</v>
      </c>
      <c r="B2942" s="159">
        <v>594.63366392643309</v>
      </c>
      <c r="C2942" s="169">
        <f t="shared" si="130"/>
        <v>1745249.8036240812</v>
      </c>
      <c r="I2942" s="168">
        <v>2935</v>
      </c>
      <c r="J2942" s="159">
        <f>ROUND(B2942*('Model Data Inputs'!$E$184*'Model Data Inputs'!$E$185*'Model Data Inputs'!$E$186*'Model Data Inputs'!$E$187),2)</f>
        <v>594.63</v>
      </c>
      <c r="K2942" s="169">
        <f t="shared" si="131"/>
        <v>1745239.05</v>
      </c>
    </row>
    <row r="2943" spans="1:11" x14ac:dyDescent="0.2">
      <c r="A2943" s="168">
        <v>2936</v>
      </c>
      <c r="B2943" s="159">
        <v>594.63366392643309</v>
      </c>
      <c r="C2943" s="169">
        <f t="shared" si="130"/>
        <v>1745844.4372880075</v>
      </c>
      <c r="I2943" s="168">
        <v>2936</v>
      </c>
      <c r="J2943" s="159">
        <f>ROUND(B2943*('Model Data Inputs'!$E$184*'Model Data Inputs'!$E$185*'Model Data Inputs'!$E$186*'Model Data Inputs'!$E$187),2)</f>
        <v>594.63</v>
      </c>
      <c r="K2943" s="169">
        <f t="shared" si="131"/>
        <v>1745833.68</v>
      </c>
    </row>
    <row r="2944" spans="1:11" x14ac:dyDescent="0.2">
      <c r="A2944" s="168">
        <v>2937</v>
      </c>
      <c r="B2944" s="159">
        <v>594.63366392643309</v>
      </c>
      <c r="C2944" s="169">
        <f t="shared" si="130"/>
        <v>1746439.070951934</v>
      </c>
      <c r="I2944" s="168">
        <v>2937</v>
      </c>
      <c r="J2944" s="159">
        <f>ROUND(B2944*('Model Data Inputs'!$E$184*'Model Data Inputs'!$E$185*'Model Data Inputs'!$E$186*'Model Data Inputs'!$E$187),2)</f>
        <v>594.63</v>
      </c>
      <c r="K2944" s="169">
        <f t="shared" si="131"/>
        <v>1746428.31</v>
      </c>
    </row>
    <row r="2945" spans="1:11" x14ac:dyDescent="0.2">
      <c r="A2945" s="168">
        <v>2938</v>
      </c>
      <c r="B2945" s="159">
        <v>594.63366392643309</v>
      </c>
      <c r="C2945" s="169">
        <f t="shared" si="130"/>
        <v>1747033.7046158605</v>
      </c>
      <c r="I2945" s="168">
        <v>2938</v>
      </c>
      <c r="J2945" s="159">
        <f>ROUND(B2945*('Model Data Inputs'!$E$184*'Model Data Inputs'!$E$185*'Model Data Inputs'!$E$186*'Model Data Inputs'!$E$187),2)</f>
        <v>594.63</v>
      </c>
      <c r="K2945" s="169">
        <f t="shared" si="131"/>
        <v>1747022.94</v>
      </c>
    </row>
    <row r="2946" spans="1:11" x14ac:dyDescent="0.2">
      <c r="A2946" s="168">
        <v>2939</v>
      </c>
      <c r="B2946" s="159">
        <v>594.63366392643309</v>
      </c>
      <c r="C2946" s="169">
        <f t="shared" si="130"/>
        <v>1747628.3382797868</v>
      </c>
      <c r="I2946" s="168">
        <v>2939</v>
      </c>
      <c r="J2946" s="159">
        <f>ROUND(B2946*('Model Data Inputs'!$E$184*'Model Data Inputs'!$E$185*'Model Data Inputs'!$E$186*'Model Data Inputs'!$E$187),2)</f>
        <v>594.63</v>
      </c>
      <c r="K2946" s="169">
        <f t="shared" si="131"/>
        <v>1747617.57</v>
      </c>
    </row>
    <row r="2947" spans="1:11" x14ac:dyDescent="0.2">
      <c r="A2947" s="168">
        <v>2940</v>
      </c>
      <c r="B2947" s="159">
        <v>594.63366392643309</v>
      </c>
      <c r="C2947" s="169">
        <f t="shared" si="130"/>
        <v>1748222.9719437133</v>
      </c>
      <c r="I2947" s="168">
        <v>2940</v>
      </c>
      <c r="J2947" s="159">
        <f>ROUND(B2947*('Model Data Inputs'!$E$184*'Model Data Inputs'!$E$185*'Model Data Inputs'!$E$186*'Model Data Inputs'!$E$187),2)</f>
        <v>594.63</v>
      </c>
      <c r="K2947" s="169">
        <f t="shared" si="131"/>
        <v>1748212.2</v>
      </c>
    </row>
    <row r="2948" spans="1:11" x14ac:dyDescent="0.2">
      <c r="A2948" s="168">
        <v>2941</v>
      </c>
      <c r="B2948" s="159">
        <v>594.63366392643309</v>
      </c>
      <c r="C2948" s="169">
        <f t="shared" si="130"/>
        <v>1748817.6056076398</v>
      </c>
      <c r="I2948" s="168">
        <v>2941</v>
      </c>
      <c r="J2948" s="159">
        <f>ROUND(B2948*('Model Data Inputs'!$E$184*'Model Data Inputs'!$E$185*'Model Data Inputs'!$E$186*'Model Data Inputs'!$E$187),2)</f>
        <v>594.63</v>
      </c>
      <c r="K2948" s="169">
        <f t="shared" si="131"/>
        <v>1748806.83</v>
      </c>
    </row>
    <row r="2949" spans="1:11" x14ac:dyDescent="0.2">
      <c r="A2949" s="168">
        <v>2942</v>
      </c>
      <c r="B2949" s="159">
        <v>594.63366392643309</v>
      </c>
      <c r="C2949" s="169">
        <f t="shared" si="130"/>
        <v>1749412.239271566</v>
      </c>
      <c r="I2949" s="168">
        <v>2942</v>
      </c>
      <c r="J2949" s="159">
        <f>ROUND(B2949*('Model Data Inputs'!$E$184*'Model Data Inputs'!$E$185*'Model Data Inputs'!$E$186*'Model Data Inputs'!$E$187),2)</f>
        <v>594.63</v>
      </c>
      <c r="K2949" s="169">
        <f t="shared" si="131"/>
        <v>1749401.46</v>
      </c>
    </row>
    <row r="2950" spans="1:11" x14ac:dyDescent="0.2">
      <c r="A2950" s="168">
        <v>2943</v>
      </c>
      <c r="B2950" s="159">
        <v>594.63366392643309</v>
      </c>
      <c r="C2950" s="169">
        <f t="shared" si="130"/>
        <v>1750006.8729354925</v>
      </c>
      <c r="I2950" s="168">
        <v>2943</v>
      </c>
      <c r="J2950" s="159">
        <f>ROUND(B2950*('Model Data Inputs'!$E$184*'Model Data Inputs'!$E$185*'Model Data Inputs'!$E$186*'Model Data Inputs'!$E$187),2)</f>
        <v>594.63</v>
      </c>
      <c r="K2950" s="169">
        <f t="shared" si="131"/>
        <v>1749996.09</v>
      </c>
    </row>
    <row r="2951" spans="1:11" x14ac:dyDescent="0.2">
      <c r="A2951" s="168">
        <v>2944</v>
      </c>
      <c r="B2951" s="159">
        <v>594.63366392643309</v>
      </c>
      <c r="C2951" s="169">
        <f t="shared" si="130"/>
        <v>1750601.5065994191</v>
      </c>
      <c r="I2951" s="168">
        <v>2944</v>
      </c>
      <c r="J2951" s="159">
        <f>ROUND(B2951*('Model Data Inputs'!$E$184*'Model Data Inputs'!$E$185*'Model Data Inputs'!$E$186*'Model Data Inputs'!$E$187),2)</f>
        <v>594.63</v>
      </c>
      <c r="K2951" s="169">
        <f t="shared" si="131"/>
        <v>1750590.72</v>
      </c>
    </row>
    <row r="2952" spans="1:11" x14ac:dyDescent="0.2">
      <c r="A2952" s="168">
        <v>2945</v>
      </c>
      <c r="B2952" s="159">
        <v>594.63366392643309</v>
      </c>
      <c r="C2952" s="169">
        <f t="shared" ref="C2952:C3007" si="132">A2952*B2952</f>
        <v>1751196.1402633453</v>
      </c>
      <c r="I2952" s="168">
        <v>2945</v>
      </c>
      <c r="J2952" s="159">
        <f>ROUND(B2952*('Model Data Inputs'!$E$184*'Model Data Inputs'!$E$185*'Model Data Inputs'!$E$186*'Model Data Inputs'!$E$187),2)</f>
        <v>594.63</v>
      </c>
      <c r="K2952" s="169">
        <f t="shared" ref="K2952:K3007" si="133">I2952*J2952</f>
        <v>1751185.35</v>
      </c>
    </row>
    <row r="2953" spans="1:11" x14ac:dyDescent="0.2">
      <c r="A2953" s="168">
        <v>2946</v>
      </c>
      <c r="B2953" s="159">
        <v>594.63366392643309</v>
      </c>
      <c r="C2953" s="169">
        <f t="shared" si="132"/>
        <v>1751790.7739272718</v>
      </c>
      <c r="I2953" s="168">
        <v>2946</v>
      </c>
      <c r="J2953" s="159">
        <f>ROUND(B2953*('Model Data Inputs'!$E$184*'Model Data Inputs'!$E$185*'Model Data Inputs'!$E$186*'Model Data Inputs'!$E$187),2)</f>
        <v>594.63</v>
      </c>
      <c r="K2953" s="169">
        <f t="shared" si="133"/>
        <v>1751779.98</v>
      </c>
    </row>
    <row r="2954" spans="1:11" x14ac:dyDescent="0.2">
      <c r="A2954" s="168">
        <v>2947</v>
      </c>
      <c r="B2954" s="159">
        <v>594.63366392643309</v>
      </c>
      <c r="C2954" s="169">
        <f t="shared" si="132"/>
        <v>1752385.4075911983</v>
      </c>
      <c r="I2954" s="168">
        <v>2947</v>
      </c>
      <c r="J2954" s="159">
        <f>ROUND(B2954*('Model Data Inputs'!$E$184*'Model Data Inputs'!$E$185*'Model Data Inputs'!$E$186*'Model Data Inputs'!$E$187),2)</f>
        <v>594.63</v>
      </c>
      <c r="K2954" s="169">
        <f t="shared" si="133"/>
        <v>1752374.61</v>
      </c>
    </row>
    <row r="2955" spans="1:11" x14ac:dyDescent="0.2">
      <c r="A2955" s="168">
        <v>2948</v>
      </c>
      <c r="B2955" s="159">
        <v>594.63366392643309</v>
      </c>
      <c r="C2955" s="169">
        <f t="shared" si="132"/>
        <v>1752980.0412551248</v>
      </c>
      <c r="I2955" s="168">
        <v>2948</v>
      </c>
      <c r="J2955" s="159">
        <f>ROUND(B2955*('Model Data Inputs'!$E$184*'Model Data Inputs'!$E$185*'Model Data Inputs'!$E$186*'Model Data Inputs'!$E$187),2)</f>
        <v>594.63</v>
      </c>
      <c r="K2955" s="169">
        <f t="shared" si="133"/>
        <v>1752969.24</v>
      </c>
    </row>
    <row r="2956" spans="1:11" x14ac:dyDescent="0.2">
      <c r="A2956" s="168">
        <v>2949</v>
      </c>
      <c r="B2956" s="159">
        <v>594.63366392643309</v>
      </c>
      <c r="C2956" s="169">
        <f t="shared" si="132"/>
        <v>1753574.6749190511</v>
      </c>
      <c r="I2956" s="168">
        <v>2949</v>
      </c>
      <c r="J2956" s="159">
        <f>ROUND(B2956*('Model Data Inputs'!$E$184*'Model Data Inputs'!$E$185*'Model Data Inputs'!$E$186*'Model Data Inputs'!$E$187),2)</f>
        <v>594.63</v>
      </c>
      <c r="K2956" s="169">
        <f t="shared" si="133"/>
        <v>1753563.8699999999</v>
      </c>
    </row>
    <row r="2957" spans="1:11" x14ac:dyDescent="0.2">
      <c r="A2957" s="168">
        <v>2950</v>
      </c>
      <c r="B2957" s="159">
        <v>594.63366392643309</v>
      </c>
      <c r="C2957" s="169">
        <f t="shared" si="132"/>
        <v>1754169.3085829776</v>
      </c>
      <c r="I2957" s="168">
        <v>2950</v>
      </c>
      <c r="J2957" s="159">
        <f>ROUND(B2957*('Model Data Inputs'!$E$184*'Model Data Inputs'!$E$185*'Model Data Inputs'!$E$186*'Model Data Inputs'!$E$187),2)</f>
        <v>594.63</v>
      </c>
      <c r="K2957" s="169">
        <f t="shared" si="133"/>
        <v>1754158.5</v>
      </c>
    </row>
    <row r="2958" spans="1:11" x14ac:dyDescent="0.2">
      <c r="A2958" s="168">
        <v>2951</v>
      </c>
      <c r="B2958" s="159">
        <v>594.63366392643309</v>
      </c>
      <c r="C2958" s="169">
        <f t="shared" si="132"/>
        <v>1754763.9422469041</v>
      </c>
      <c r="I2958" s="168">
        <v>2951</v>
      </c>
      <c r="J2958" s="159">
        <f>ROUND(B2958*('Model Data Inputs'!$E$184*'Model Data Inputs'!$E$185*'Model Data Inputs'!$E$186*'Model Data Inputs'!$E$187),2)</f>
        <v>594.63</v>
      </c>
      <c r="K2958" s="169">
        <f t="shared" si="133"/>
        <v>1754753.13</v>
      </c>
    </row>
    <row r="2959" spans="1:11" x14ac:dyDescent="0.2">
      <c r="A2959" s="168">
        <v>2952</v>
      </c>
      <c r="B2959" s="159">
        <v>594.63366392643309</v>
      </c>
      <c r="C2959" s="169">
        <f t="shared" si="132"/>
        <v>1755358.5759108304</v>
      </c>
      <c r="I2959" s="168">
        <v>2952</v>
      </c>
      <c r="J2959" s="159">
        <f>ROUND(B2959*('Model Data Inputs'!$E$184*'Model Data Inputs'!$E$185*'Model Data Inputs'!$E$186*'Model Data Inputs'!$E$187),2)</f>
        <v>594.63</v>
      </c>
      <c r="K2959" s="169">
        <f t="shared" si="133"/>
        <v>1755347.76</v>
      </c>
    </row>
    <row r="2960" spans="1:11" x14ac:dyDescent="0.2">
      <c r="A2960" s="168">
        <v>2953</v>
      </c>
      <c r="B2960" s="159">
        <v>594.63366392643309</v>
      </c>
      <c r="C2960" s="169">
        <f t="shared" si="132"/>
        <v>1755953.2095747569</v>
      </c>
      <c r="I2960" s="168">
        <v>2953</v>
      </c>
      <c r="J2960" s="159">
        <f>ROUND(B2960*('Model Data Inputs'!$E$184*'Model Data Inputs'!$E$185*'Model Data Inputs'!$E$186*'Model Data Inputs'!$E$187),2)</f>
        <v>594.63</v>
      </c>
      <c r="K2960" s="169">
        <f t="shared" si="133"/>
        <v>1755942.39</v>
      </c>
    </row>
    <row r="2961" spans="1:11" x14ac:dyDescent="0.2">
      <c r="A2961" s="168">
        <v>2954</v>
      </c>
      <c r="B2961" s="159">
        <v>594.63366392643309</v>
      </c>
      <c r="C2961" s="169">
        <f t="shared" si="132"/>
        <v>1756547.8432386834</v>
      </c>
      <c r="I2961" s="168">
        <v>2954</v>
      </c>
      <c r="J2961" s="159">
        <f>ROUND(B2961*('Model Data Inputs'!$E$184*'Model Data Inputs'!$E$185*'Model Data Inputs'!$E$186*'Model Data Inputs'!$E$187),2)</f>
        <v>594.63</v>
      </c>
      <c r="K2961" s="169">
        <f t="shared" si="133"/>
        <v>1756537.02</v>
      </c>
    </row>
    <row r="2962" spans="1:11" x14ac:dyDescent="0.2">
      <c r="A2962" s="168">
        <v>2955</v>
      </c>
      <c r="B2962" s="159">
        <v>594.63366392643309</v>
      </c>
      <c r="C2962" s="169">
        <f t="shared" si="132"/>
        <v>1757142.4769026097</v>
      </c>
      <c r="I2962" s="168">
        <v>2955</v>
      </c>
      <c r="J2962" s="159">
        <f>ROUND(B2962*('Model Data Inputs'!$E$184*'Model Data Inputs'!$E$185*'Model Data Inputs'!$E$186*'Model Data Inputs'!$E$187),2)</f>
        <v>594.63</v>
      </c>
      <c r="K2962" s="169">
        <f t="shared" si="133"/>
        <v>1757131.65</v>
      </c>
    </row>
    <row r="2963" spans="1:11" x14ac:dyDescent="0.2">
      <c r="A2963" s="168">
        <v>2956</v>
      </c>
      <c r="B2963" s="159">
        <v>594.63366392643309</v>
      </c>
      <c r="C2963" s="169">
        <f t="shared" si="132"/>
        <v>1757737.1105665362</v>
      </c>
      <c r="I2963" s="168">
        <v>2956</v>
      </c>
      <c r="J2963" s="159">
        <f>ROUND(B2963*('Model Data Inputs'!$E$184*'Model Data Inputs'!$E$185*'Model Data Inputs'!$E$186*'Model Data Inputs'!$E$187),2)</f>
        <v>594.63</v>
      </c>
      <c r="K2963" s="169">
        <f t="shared" si="133"/>
        <v>1757726.28</v>
      </c>
    </row>
    <row r="2964" spans="1:11" x14ac:dyDescent="0.2">
      <c r="A2964" s="168">
        <v>2957</v>
      </c>
      <c r="B2964" s="159">
        <v>594.63366392643309</v>
      </c>
      <c r="C2964" s="169">
        <f t="shared" si="132"/>
        <v>1758331.7442304627</v>
      </c>
      <c r="I2964" s="168">
        <v>2957</v>
      </c>
      <c r="J2964" s="159">
        <f>ROUND(B2964*('Model Data Inputs'!$E$184*'Model Data Inputs'!$E$185*'Model Data Inputs'!$E$186*'Model Data Inputs'!$E$187),2)</f>
        <v>594.63</v>
      </c>
      <c r="K2964" s="169">
        <f t="shared" si="133"/>
        <v>1758320.91</v>
      </c>
    </row>
    <row r="2965" spans="1:11" x14ac:dyDescent="0.2">
      <c r="A2965" s="168">
        <v>2958</v>
      </c>
      <c r="B2965" s="159">
        <v>594.63366392643309</v>
      </c>
      <c r="C2965" s="169">
        <f t="shared" si="132"/>
        <v>1758926.377894389</v>
      </c>
      <c r="I2965" s="168">
        <v>2958</v>
      </c>
      <c r="J2965" s="159">
        <f>ROUND(B2965*('Model Data Inputs'!$E$184*'Model Data Inputs'!$E$185*'Model Data Inputs'!$E$186*'Model Data Inputs'!$E$187),2)</f>
        <v>594.63</v>
      </c>
      <c r="K2965" s="169">
        <f t="shared" si="133"/>
        <v>1758915.54</v>
      </c>
    </row>
    <row r="2966" spans="1:11" x14ac:dyDescent="0.2">
      <c r="A2966" s="168">
        <v>2959</v>
      </c>
      <c r="B2966" s="159">
        <v>594.63366392643309</v>
      </c>
      <c r="C2966" s="169">
        <f t="shared" si="132"/>
        <v>1759521.0115583155</v>
      </c>
      <c r="I2966" s="168">
        <v>2959</v>
      </c>
      <c r="J2966" s="159">
        <f>ROUND(B2966*('Model Data Inputs'!$E$184*'Model Data Inputs'!$E$185*'Model Data Inputs'!$E$186*'Model Data Inputs'!$E$187),2)</f>
        <v>594.63</v>
      </c>
      <c r="K2966" s="169">
        <f t="shared" si="133"/>
        <v>1759510.17</v>
      </c>
    </row>
    <row r="2967" spans="1:11" x14ac:dyDescent="0.2">
      <c r="A2967" s="168">
        <v>2960</v>
      </c>
      <c r="B2967" s="159">
        <v>594.63366392643309</v>
      </c>
      <c r="C2967" s="169">
        <f t="shared" si="132"/>
        <v>1760115.645222242</v>
      </c>
      <c r="I2967" s="168">
        <v>2960</v>
      </c>
      <c r="J2967" s="159">
        <f>ROUND(B2967*('Model Data Inputs'!$E$184*'Model Data Inputs'!$E$185*'Model Data Inputs'!$E$186*'Model Data Inputs'!$E$187),2)</f>
        <v>594.63</v>
      </c>
      <c r="K2967" s="169">
        <f t="shared" si="133"/>
        <v>1760104.8</v>
      </c>
    </row>
    <row r="2968" spans="1:11" x14ac:dyDescent="0.2">
      <c r="A2968" s="168">
        <v>2961</v>
      </c>
      <c r="B2968" s="159">
        <v>594.63366392643309</v>
      </c>
      <c r="C2968" s="169">
        <f t="shared" si="132"/>
        <v>1760710.2788861683</v>
      </c>
      <c r="I2968" s="168">
        <v>2961</v>
      </c>
      <c r="J2968" s="159">
        <f>ROUND(B2968*('Model Data Inputs'!$E$184*'Model Data Inputs'!$E$185*'Model Data Inputs'!$E$186*'Model Data Inputs'!$E$187),2)</f>
        <v>594.63</v>
      </c>
      <c r="K2968" s="169">
        <f t="shared" si="133"/>
        <v>1760699.43</v>
      </c>
    </row>
    <row r="2969" spans="1:11" x14ac:dyDescent="0.2">
      <c r="A2969" s="168">
        <v>2962</v>
      </c>
      <c r="B2969" s="159">
        <v>594.63366392643309</v>
      </c>
      <c r="C2969" s="169">
        <f t="shared" si="132"/>
        <v>1761304.9125500948</v>
      </c>
      <c r="I2969" s="168">
        <v>2962</v>
      </c>
      <c r="J2969" s="159">
        <f>ROUND(B2969*('Model Data Inputs'!$E$184*'Model Data Inputs'!$E$185*'Model Data Inputs'!$E$186*'Model Data Inputs'!$E$187),2)</f>
        <v>594.63</v>
      </c>
      <c r="K2969" s="169">
        <f t="shared" si="133"/>
        <v>1761294.06</v>
      </c>
    </row>
    <row r="2970" spans="1:11" x14ac:dyDescent="0.2">
      <c r="A2970" s="168">
        <v>2963</v>
      </c>
      <c r="B2970" s="159">
        <v>594.63366392643309</v>
      </c>
      <c r="C2970" s="169">
        <f t="shared" si="132"/>
        <v>1761899.5462140213</v>
      </c>
      <c r="I2970" s="168">
        <v>2963</v>
      </c>
      <c r="J2970" s="159">
        <f>ROUND(B2970*('Model Data Inputs'!$E$184*'Model Data Inputs'!$E$185*'Model Data Inputs'!$E$186*'Model Data Inputs'!$E$187),2)</f>
        <v>594.63</v>
      </c>
      <c r="K2970" s="169">
        <f t="shared" si="133"/>
        <v>1761888.69</v>
      </c>
    </row>
    <row r="2971" spans="1:11" x14ac:dyDescent="0.2">
      <c r="A2971" s="168">
        <v>2964</v>
      </c>
      <c r="B2971" s="159">
        <v>594.63366392643309</v>
      </c>
      <c r="C2971" s="169">
        <f t="shared" si="132"/>
        <v>1762494.1798779478</v>
      </c>
      <c r="I2971" s="168">
        <v>2964</v>
      </c>
      <c r="J2971" s="159">
        <f>ROUND(B2971*('Model Data Inputs'!$E$184*'Model Data Inputs'!$E$185*'Model Data Inputs'!$E$186*'Model Data Inputs'!$E$187),2)</f>
        <v>594.63</v>
      </c>
      <c r="K2971" s="169">
        <f t="shared" si="133"/>
        <v>1762483.32</v>
      </c>
    </row>
    <row r="2972" spans="1:11" x14ac:dyDescent="0.2">
      <c r="A2972" s="168">
        <v>2965</v>
      </c>
      <c r="B2972" s="159">
        <v>594.63366392643309</v>
      </c>
      <c r="C2972" s="169">
        <f t="shared" si="132"/>
        <v>1763088.8135418741</v>
      </c>
      <c r="I2972" s="168">
        <v>2965</v>
      </c>
      <c r="J2972" s="159">
        <f>ROUND(B2972*('Model Data Inputs'!$E$184*'Model Data Inputs'!$E$185*'Model Data Inputs'!$E$186*'Model Data Inputs'!$E$187),2)</f>
        <v>594.63</v>
      </c>
      <c r="K2972" s="169">
        <f t="shared" si="133"/>
        <v>1763077.95</v>
      </c>
    </row>
    <row r="2973" spans="1:11" x14ac:dyDescent="0.2">
      <c r="A2973" s="168">
        <v>2966</v>
      </c>
      <c r="B2973" s="159">
        <v>594.63366392643309</v>
      </c>
      <c r="C2973" s="169">
        <f t="shared" si="132"/>
        <v>1763683.4472058006</v>
      </c>
      <c r="I2973" s="168">
        <v>2966</v>
      </c>
      <c r="J2973" s="159">
        <f>ROUND(B2973*('Model Data Inputs'!$E$184*'Model Data Inputs'!$E$185*'Model Data Inputs'!$E$186*'Model Data Inputs'!$E$187),2)</f>
        <v>594.63</v>
      </c>
      <c r="K2973" s="169">
        <f t="shared" si="133"/>
        <v>1763672.58</v>
      </c>
    </row>
    <row r="2974" spans="1:11" x14ac:dyDescent="0.2">
      <c r="A2974" s="168">
        <v>2967</v>
      </c>
      <c r="B2974" s="159">
        <v>594.63366392643309</v>
      </c>
      <c r="C2974" s="169">
        <f t="shared" si="132"/>
        <v>1764278.0808697271</v>
      </c>
      <c r="I2974" s="168">
        <v>2967</v>
      </c>
      <c r="J2974" s="159">
        <f>ROUND(B2974*('Model Data Inputs'!$E$184*'Model Data Inputs'!$E$185*'Model Data Inputs'!$E$186*'Model Data Inputs'!$E$187),2)</f>
        <v>594.63</v>
      </c>
      <c r="K2974" s="169">
        <f t="shared" si="133"/>
        <v>1764267.21</v>
      </c>
    </row>
    <row r="2975" spans="1:11" x14ac:dyDescent="0.2">
      <c r="A2975" s="168">
        <v>2968</v>
      </c>
      <c r="B2975" s="159">
        <v>594.63366392643309</v>
      </c>
      <c r="C2975" s="169">
        <f t="shared" si="132"/>
        <v>1764872.7145336533</v>
      </c>
      <c r="I2975" s="168">
        <v>2968</v>
      </c>
      <c r="J2975" s="159">
        <f>ROUND(B2975*('Model Data Inputs'!$E$184*'Model Data Inputs'!$E$185*'Model Data Inputs'!$E$186*'Model Data Inputs'!$E$187),2)</f>
        <v>594.63</v>
      </c>
      <c r="K2975" s="169">
        <f t="shared" si="133"/>
        <v>1764861.84</v>
      </c>
    </row>
    <row r="2976" spans="1:11" x14ac:dyDescent="0.2">
      <c r="A2976" s="168">
        <v>2969</v>
      </c>
      <c r="B2976" s="159">
        <v>594.63366392643309</v>
      </c>
      <c r="C2976" s="169">
        <f t="shared" si="132"/>
        <v>1765467.3481975798</v>
      </c>
      <c r="I2976" s="168">
        <v>2969</v>
      </c>
      <c r="J2976" s="159">
        <f>ROUND(B2976*('Model Data Inputs'!$E$184*'Model Data Inputs'!$E$185*'Model Data Inputs'!$E$186*'Model Data Inputs'!$E$187),2)</f>
        <v>594.63</v>
      </c>
      <c r="K2976" s="169">
        <f t="shared" si="133"/>
        <v>1765456.47</v>
      </c>
    </row>
    <row r="2977" spans="1:11" x14ac:dyDescent="0.2">
      <c r="A2977" s="168">
        <v>2970</v>
      </c>
      <c r="B2977" s="159">
        <v>594.63366392643309</v>
      </c>
      <c r="C2977" s="169">
        <f t="shared" si="132"/>
        <v>1766061.9818615064</v>
      </c>
      <c r="I2977" s="168">
        <v>2970</v>
      </c>
      <c r="J2977" s="159">
        <f>ROUND(B2977*('Model Data Inputs'!$E$184*'Model Data Inputs'!$E$185*'Model Data Inputs'!$E$186*'Model Data Inputs'!$E$187),2)</f>
        <v>594.63</v>
      </c>
      <c r="K2977" s="169">
        <f t="shared" si="133"/>
        <v>1766051.1</v>
      </c>
    </row>
    <row r="2978" spans="1:11" x14ac:dyDescent="0.2">
      <c r="A2978" s="168">
        <v>2971</v>
      </c>
      <c r="B2978" s="159">
        <v>594.63366392643309</v>
      </c>
      <c r="C2978" s="169">
        <f t="shared" si="132"/>
        <v>1766656.6155254326</v>
      </c>
      <c r="I2978" s="168">
        <v>2971</v>
      </c>
      <c r="J2978" s="159">
        <f>ROUND(B2978*('Model Data Inputs'!$E$184*'Model Data Inputs'!$E$185*'Model Data Inputs'!$E$186*'Model Data Inputs'!$E$187),2)</f>
        <v>594.63</v>
      </c>
      <c r="K2978" s="169">
        <f t="shared" si="133"/>
        <v>1766645.73</v>
      </c>
    </row>
    <row r="2979" spans="1:11" x14ac:dyDescent="0.2">
      <c r="A2979" s="168">
        <v>2972</v>
      </c>
      <c r="B2979" s="159">
        <v>594.63366392643309</v>
      </c>
      <c r="C2979" s="169">
        <f t="shared" si="132"/>
        <v>1767251.2491893591</v>
      </c>
      <c r="I2979" s="168">
        <v>2972</v>
      </c>
      <c r="J2979" s="159">
        <f>ROUND(B2979*('Model Data Inputs'!$E$184*'Model Data Inputs'!$E$185*'Model Data Inputs'!$E$186*'Model Data Inputs'!$E$187),2)</f>
        <v>594.63</v>
      </c>
      <c r="K2979" s="169">
        <f t="shared" si="133"/>
        <v>1767240.36</v>
      </c>
    </row>
    <row r="2980" spans="1:11" x14ac:dyDescent="0.2">
      <c r="A2980" s="168">
        <v>2973</v>
      </c>
      <c r="B2980" s="159">
        <v>594.63366392643309</v>
      </c>
      <c r="C2980" s="169">
        <f t="shared" si="132"/>
        <v>1767845.8828532856</v>
      </c>
      <c r="I2980" s="168">
        <v>2973</v>
      </c>
      <c r="J2980" s="159">
        <f>ROUND(B2980*('Model Data Inputs'!$E$184*'Model Data Inputs'!$E$185*'Model Data Inputs'!$E$186*'Model Data Inputs'!$E$187),2)</f>
        <v>594.63</v>
      </c>
      <c r="K2980" s="169">
        <f t="shared" si="133"/>
        <v>1767834.99</v>
      </c>
    </row>
    <row r="2981" spans="1:11" x14ac:dyDescent="0.2">
      <c r="A2981" s="168">
        <v>2974</v>
      </c>
      <c r="B2981" s="159">
        <v>594.63366392643309</v>
      </c>
      <c r="C2981" s="169">
        <f t="shared" si="132"/>
        <v>1768440.5165172119</v>
      </c>
      <c r="I2981" s="168">
        <v>2974</v>
      </c>
      <c r="J2981" s="159">
        <f>ROUND(B2981*('Model Data Inputs'!$E$184*'Model Data Inputs'!$E$185*'Model Data Inputs'!$E$186*'Model Data Inputs'!$E$187),2)</f>
        <v>594.63</v>
      </c>
      <c r="K2981" s="169">
        <f t="shared" si="133"/>
        <v>1768429.6199999999</v>
      </c>
    </row>
    <row r="2982" spans="1:11" x14ac:dyDescent="0.2">
      <c r="A2982" s="168">
        <v>2975</v>
      </c>
      <c r="B2982" s="159">
        <v>594.63366392643309</v>
      </c>
      <c r="C2982" s="169">
        <f t="shared" si="132"/>
        <v>1769035.1501811384</v>
      </c>
      <c r="I2982" s="168">
        <v>2975</v>
      </c>
      <c r="J2982" s="159">
        <f>ROUND(B2982*('Model Data Inputs'!$E$184*'Model Data Inputs'!$E$185*'Model Data Inputs'!$E$186*'Model Data Inputs'!$E$187),2)</f>
        <v>594.63</v>
      </c>
      <c r="K2982" s="169">
        <f t="shared" si="133"/>
        <v>1769024.25</v>
      </c>
    </row>
    <row r="2983" spans="1:11" x14ac:dyDescent="0.2">
      <c r="A2983" s="168">
        <v>2976</v>
      </c>
      <c r="B2983" s="159">
        <v>594.63366392643309</v>
      </c>
      <c r="C2983" s="169">
        <f t="shared" si="132"/>
        <v>1769629.7838450649</v>
      </c>
      <c r="I2983" s="168">
        <v>2976</v>
      </c>
      <c r="J2983" s="159">
        <f>ROUND(B2983*('Model Data Inputs'!$E$184*'Model Data Inputs'!$E$185*'Model Data Inputs'!$E$186*'Model Data Inputs'!$E$187),2)</f>
        <v>594.63</v>
      </c>
      <c r="K2983" s="169">
        <f t="shared" si="133"/>
        <v>1769618.88</v>
      </c>
    </row>
    <row r="2984" spans="1:11" x14ac:dyDescent="0.2">
      <c r="A2984" s="168">
        <v>2977</v>
      </c>
      <c r="B2984" s="159">
        <v>594.63366392643309</v>
      </c>
      <c r="C2984" s="169">
        <f t="shared" si="132"/>
        <v>1770224.4175089912</v>
      </c>
      <c r="I2984" s="168">
        <v>2977</v>
      </c>
      <c r="J2984" s="159">
        <f>ROUND(B2984*('Model Data Inputs'!$E$184*'Model Data Inputs'!$E$185*'Model Data Inputs'!$E$186*'Model Data Inputs'!$E$187),2)</f>
        <v>594.63</v>
      </c>
      <c r="K2984" s="169">
        <f t="shared" si="133"/>
        <v>1770213.51</v>
      </c>
    </row>
    <row r="2985" spans="1:11" x14ac:dyDescent="0.2">
      <c r="A2985" s="168">
        <v>2978</v>
      </c>
      <c r="B2985" s="159">
        <v>594.63366392643309</v>
      </c>
      <c r="C2985" s="169">
        <f t="shared" si="132"/>
        <v>1770819.0511729177</v>
      </c>
      <c r="I2985" s="168">
        <v>2978</v>
      </c>
      <c r="J2985" s="159">
        <f>ROUND(B2985*('Model Data Inputs'!$E$184*'Model Data Inputs'!$E$185*'Model Data Inputs'!$E$186*'Model Data Inputs'!$E$187),2)</f>
        <v>594.63</v>
      </c>
      <c r="K2985" s="169">
        <f t="shared" si="133"/>
        <v>1770808.14</v>
      </c>
    </row>
    <row r="2986" spans="1:11" x14ac:dyDescent="0.2">
      <c r="A2986" s="168">
        <v>2979</v>
      </c>
      <c r="B2986" s="159">
        <v>594.63366392643309</v>
      </c>
      <c r="C2986" s="169">
        <f t="shared" si="132"/>
        <v>1771413.6848368442</v>
      </c>
      <c r="I2986" s="168">
        <v>2979</v>
      </c>
      <c r="J2986" s="159">
        <f>ROUND(B2986*('Model Data Inputs'!$E$184*'Model Data Inputs'!$E$185*'Model Data Inputs'!$E$186*'Model Data Inputs'!$E$187),2)</f>
        <v>594.63</v>
      </c>
      <c r="K2986" s="169">
        <f t="shared" si="133"/>
        <v>1771402.77</v>
      </c>
    </row>
    <row r="2987" spans="1:11" x14ac:dyDescent="0.2">
      <c r="A2987" s="168">
        <v>2980</v>
      </c>
      <c r="B2987" s="159">
        <v>594.63366392643309</v>
      </c>
      <c r="C2987" s="169">
        <f t="shared" si="132"/>
        <v>1772008.3185007705</v>
      </c>
      <c r="I2987" s="168">
        <v>2980</v>
      </c>
      <c r="J2987" s="159">
        <f>ROUND(B2987*('Model Data Inputs'!$E$184*'Model Data Inputs'!$E$185*'Model Data Inputs'!$E$186*'Model Data Inputs'!$E$187),2)</f>
        <v>594.63</v>
      </c>
      <c r="K2987" s="169">
        <f t="shared" si="133"/>
        <v>1771997.4</v>
      </c>
    </row>
    <row r="2988" spans="1:11" x14ac:dyDescent="0.2">
      <c r="A2988" s="168">
        <v>2981</v>
      </c>
      <c r="B2988" s="159">
        <v>594.63366392643309</v>
      </c>
      <c r="C2988" s="169">
        <f t="shared" si="132"/>
        <v>1772602.952164697</v>
      </c>
      <c r="I2988" s="168">
        <v>2981</v>
      </c>
      <c r="J2988" s="159">
        <f>ROUND(B2988*('Model Data Inputs'!$E$184*'Model Data Inputs'!$E$185*'Model Data Inputs'!$E$186*'Model Data Inputs'!$E$187),2)</f>
        <v>594.63</v>
      </c>
      <c r="K2988" s="169">
        <f t="shared" si="133"/>
        <v>1772592.03</v>
      </c>
    </row>
    <row r="2989" spans="1:11" x14ac:dyDescent="0.2">
      <c r="A2989" s="168">
        <v>2982</v>
      </c>
      <c r="B2989" s="159">
        <v>594.63366392643309</v>
      </c>
      <c r="C2989" s="169">
        <f t="shared" si="132"/>
        <v>1773197.5858286235</v>
      </c>
      <c r="I2989" s="168">
        <v>2982</v>
      </c>
      <c r="J2989" s="159">
        <f>ROUND(B2989*('Model Data Inputs'!$E$184*'Model Data Inputs'!$E$185*'Model Data Inputs'!$E$186*'Model Data Inputs'!$E$187),2)</f>
        <v>594.63</v>
      </c>
      <c r="K2989" s="169">
        <f t="shared" si="133"/>
        <v>1773186.66</v>
      </c>
    </row>
    <row r="2990" spans="1:11" x14ac:dyDescent="0.2">
      <c r="A2990" s="168">
        <v>2983</v>
      </c>
      <c r="B2990" s="159">
        <v>594.63366392643309</v>
      </c>
      <c r="C2990" s="169">
        <f t="shared" si="132"/>
        <v>1773792.21949255</v>
      </c>
      <c r="I2990" s="168">
        <v>2983</v>
      </c>
      <c r="J2990" s="159">
        <f>ROUND(B2990*('Model Data Inputs'!$E$184*'Model Data Inputs'!$E$185*'Model Data Inputs'!$E$186*'Model Data Inputs'!$E$187),2)</f>
        <v>594.63</v>
      </c>
      <c r="K2990" s="169">
        <f t="shared" si="133"/>
        <v>1773781.29</v>
      </c>
    </row>
    <row r="2991" spans="1:11" x14ac:dyDescent="0.2">
      <c r="A2991" s="168">
        <v>2984</v>
      </c>
      <c r="B2991" s="159">
        <v>594.63366392643309</v>
      </c>
      <c r="C2991" s="169">
        <f t="shared" si="132"/>
        <v>1774386.8531564763</v>
      </c>
      <c r="I2991" s="168">
        <v>2984</v>
      </c>
      <c r="J2991" s="159">
        <f>ROUND(B2991*('Model Data Inputs'!$E$184*'Model Data Inputs'!$E$185*'Model Data Inputs'!$E$186*'Model Data Inputs'!$E$187),2)</f>
        <v>594.63</v>
      </c>
      <c r="K2991" s="169">
        <f t="shared" si="133"/>
        <v>1774375.92</v>
      </c>
    </row>
    <row r="2992" spans="1:11" x14ac:dyDescent="0.2">
      <c r="A2992" s="168">
        <v>2985</v>
      </c>
      <c r="B2992" s="159">
        <v>594.63366392643309</v>
      </c>
      <c r="C2992" s="169">
        <f t="shared" si="132"/>
        <v>1774981.4868204028</v>
      </c>
      <c r="I2992" s="168">
        <v>2985</v>
      </c>
      <c r="J2992" s="159">
        <f>ROUND(B2992*('Model Data Inputs'!$E$184*'Model Data Inputs'!$E$185*'Model Data Inputs'!$E$186*'Model Data Inputs'!$E$187),2)</f>
        <v>594.63</v>
      </c>
      <c r="K2992" s="169">
        <f t="shared" si="133"/>
        <v>1774970.55</v>
      </c>
    </row>
    <row r="2993" spans="1:11" x14ac:dyDescent="0.2">
      <c r="A2993" s="168">
        <v>2986</v>
      </c>
      <c r="B2993" s="159">
        <v>594.63366392643309</v>
      </c>
      <c r="C2993" s="169">
        <f t="shared" si="132"/>
        <v>1775576.1204843293</v>
      </c>
      <c r="I2993" s="168">
        <v>2986</v>
      </c>
      <c r="J2993" s="159">
        <f>ROUND(B2993*('Model Data Inputs'!$E$184*'Model Data Inputs'!$E$185*'Model Data Inputs'!$E$186*'Model Data Inputs'!$E$187),2)</f>
        <v>594.63</v>
      </c>
      <c r="K2993" s="169">
        <f t="shared" si="133"/>
        <v>1775565.18</v>
      </c>
    </row>
    <row r="2994" spans="1:11" x14ac:dyDescent="0.2">
      <c r="A2994" s="168">
        <v>2987</v>
      </c>
      <c r="B2994" s="159">
        <v>594.63366392643309</v>
      </c>
      <c r="C2994" s="169">
        <f t="shared" si="132"/>
        <v>1776170.7541482556</v>
      </c>
      <c r="I2994" s="168">
        <v>2987</v>
      </c>
      <c r="J2994" s="159">
        <f>ROUND(B2994*('Model Data Inputs'!$E$184*'Model Data Inputs'!$E$185*'Model Data Inputs'!$E$186*'Model Data Inputs'!$E$187),2)</f>
        <v>594.63</v>
      </c>
      <c r="K2994" s="169">
        <f t="shared" si="133"/>
        <v>1776159.81</v>
      </c>
    </row>
    <row r="2995" spans="1:11" x14ac:dyDescent="0.2">
      <c r="A2995" s="168">
        <v>2988</v>
      </c>
      <c r="B2995" s="159">
        <v>594.63366392643309</v>
      </c>
      <c r="C2995" s="169">
        <f t="shared" si="132"/>
        <v>1776765.3878121821</v>
      </c>
      <c r="I2995" s="168">
        <v>2988</v>
      </c>
      <c r="J2995" s="159">
        <f>ROUND(B2995*('Model Data Inputs'!$E$184*'Model Data Inputs'!$E$185*'Model Data Inputs'!$E$186*'Model Data Inputs'!$E$187),2)</f>
        <v>594.63</v>
      </c>
      <c r="K2995" s="169">
        <f t="shared" si="133"/>
        <v>1776754.44</v>
      </c>
    </row>
    <row r="2996" spans="1:11" x14ac:dyDescent="0.2">
      <c r="A2996" s="168">
        <v>2989</v>
      </c>
      <c r="B2996" s="159">
        <v>594.63366392643309</v>
      </c>
      <c r="C2996" s="169">
        <f t="shared" si="132"/>
        <v>1777360.0214761086</v>
      </c>
      <c r="I2996" s="168">
        <v>2989</v>
      </c>
      <c r="J2996" s="159">
        <f>ROUND(B2996*('Model Data Inputs'!$E$184*'Model Data Inputs'!$E$185*'Model Data Inputs'!$E$186*'Model Data Inputs'!$E$187),2)</f>
        <v>594.63</v>
      </c>
      <c r="K2996" s="169">
        <f t="shared" si="133"/>
        <v>1777349.07</v>
      </c>
    </row>
    <row r="2997" spans="1:11" x14ac:dyDescent="0.2">
      <c r="A2997" s="168">
        <v>2990</v>
      </c>
      <c r="B2997" s="159">
        <v>594.63366392643309</v>
      </c>
      <c r="C2997" s="169">
        <f t="shared" si="132"/>
        <v>1777954.6551400349</v>
      </c>
      <c r="I2997" s="168">
        <v>2990</v>
      </c>
      <c r="J2997" s="159">
        <f>ROUND(B2997*('Model Data Inputs'!$E$184*'Model Data Inputs'!$E$185*'Model Data Inputs'!$E$186*'Model Data Inputs'!$E$187),2)</f>
        <v>594.63</v>
      </c>
      <c r="K2997" s="169">
        <f t="shared" si="133"/>
        <v>1777943.7</v>
      </c>
    </row>
    <row r="2998" spans="1:11" x14ac:dyDescent="0.2">
      <c r="A2998" s="168">
        <v>2991</v>
      </c>
      <c r="B2998" s="159">
        <v>594.63366392643309</v>
      </c>
      <c r="C2998" s="169">
        <f t="shared" si="132"/>
        <v>1778549.2888039614</v>
      </c>
      <c r="I2998" s="168">
        <v>2991</v>
      </c>
      <c r="J2998" s="159">
        <f>ROUND(B2998*('Model Data Inputs'!$E$184*'Model Data Inputs'!$E$185*'Model Data Inputs'!$E$186*'Model Data Inputs'!$E$187),2)</f>
        <v>594.63</v>
      </c>
      <c r="K2998" s="169">
        <f t="shared" si="133"/>
        <v>1778538.33</v>
      </c>
    </row>
    <row r="2999" spans="1:11" x14ac:dyDescent="0.2">
      <c r="A2999" s="168">
        <v>2992</v>
      </c>
      <c r="B2999" s="159">
        <v>594.63366392643309</v>
      </c>
      <c r="C2999" s="169">
        <f t="shared" si="132"/>
        <v>1779143.9224678879</v>
      </c>
      <c r="I2999" s="168">
        <v>2992</v>
      </c>
      <c r="J2999" s="159">
        <f>ROUND(B2999*('Model Data Inputs'!$E$184*'Model Data Inputs'!$E$185*'Model Data Inputs'!$E$186*'Model Data Inputs'!$E$187),2)</f>
        <v>594.63</v>
      </c>
      <c r="K2999" s="169">
        <f t="shared" si="133"/>
        <v>1779132.96</v>
      </c>
    </row>
    <row r="3000" spans="1:11" x14ac:dyDescent="0.2">
      <c r="A3000" s="168">
        <v>2993</v>
      </c>
      <c r="B3000" s="159">
        <v>594.63366392643309</v>
      </c>
      <c r="C3000" s="169">
        <f t="shared" si="132"/>
        <v>1779738.5561318141</v>
      </c>
      <c r="I3000" s="168">
        <v>2993</v>
      </c>
      <c r="J3000" s="159">
        <f>ROUND(B3000*('Model Data Inputs'!$E$184*'Model Data Inputs'!$E$185*'Model Data Inputs'!$E$186*'Model Data Inputs'!$E$187),2)</f>
        <v>594.63</v>
      </c>
      <c r="K3000" s="169">
        <f t="shared" si="133"/>
        <v>1779727.59</v>
      </c>
    </row>
    <row r="3001" spans="1:11" x14ac:dyDescent="0.2">
      <c r="A3001" s="168">
        <v>2994</v>
      </c>
      <c r="B3001" s="159">
        <v>594.63366392643309</v>
      </c>
      <c r="C3001" s="169">
        <f t="shared" si="132"/>
        <v>1780333.1897957406</v>
      </c>
      <c r="I3001" s="168">
        <v>2994</v>
      </c>
      <c r="J3001" s="159">
        <f>ROUND(B3001*('Model Data Inputs'!$E$184*'Model Data Inputs'!$E$185*'Model Data Inputs'!$E$186*'Model Data Inputs'!$E$187),2)</f>
        <v>594.63</v>
      </c>
      <c r="K3001" s="169">
        <f t="shared" si="133"/>
        <v>1780322.22</v>
      </c>
    </row>
    <row r="3002" spans="1:11" x14ac:dyDescent="0.2">
      <c r="A3002" s="168">
        <v>2995</v>
      </c>
      <c r="B3002" s="159">
        <v>594.63366392643309</v>
      </c>
      <c r="C3002" s="169">
        <f t="shared" si="132"/>
        <v>1780927.8234596672</v>
      </c>
      <c r="I3002" s="168">
        <v>2995</v>
      </c>
      <c r="J3002" s="159">
        <f>ROUND(B3002*('Model Data Inputs'!$E$184*'Model Data Inputs'!$E$185*'Model Data Inputs'!$E$186*'Model Data Inputs'!$E$187),2)</f>
        <v>594.63</v>
      </c>
      <c r="K3002" s="169">
        <f t="shared" si="133"/>
        <v>1780916.85</v>
      </c>
    </row>
    <row r="3003" spans="1:11" x14ac:dyDescent="0.2">
      <c r="A3003" s="168">
        <v>2996</v>
      </c>
      <c r="B3003" s="159">
        <v>594.63366392643309</v>
      </c>
      <c r="C3003" s="169">
        <f t="shared" si="132"/>
        <v>1781522.4571235934</v>
      </c>
      <c r="I3003" s="168">
        <v>2996</v>
      </c>
      <c r="J3003" s="159">
        <f>ROUND(B3003*('Model Data Inputs'!$E$184*'Model Data Inputs'!$E$185*'Model Data Inputs'!$E$186*'Model Data Inputs'!$E$187),2)</f>
        <v>594.63</v>
      </c>
      <c r="K3003" s="169">
        <f t="shared" si="133"/>
        <v>1781511.48</v>
      </c>
    </row>
    <row r="3004" spans="1:11" x14ac:dyDescent="0.2">
      <c r="A3004" s="168">
        <v>2997</v>
      </c>
      <c r="B3004" s="159">
        <v>594.63366392643309</v>
      </c>
      <c r="C3004" s="169">
        <f t="shared" si="132"/>
        <v>1782117.0907875199</v>
      </c>
      <c r="I3004" s="168">
        <v>2997</v>
      </c>
      <c r="J3004" s="159">
        <f>ROUND(B3004*('Model Data Inputs'!$E$184*'Model Data Inputs'!$E$185*'Model Data Inputs'!$E$186*'Model Data Inputs'!$E$187),2)</f>
        <v>594.63</v>
      </c>
      <c r="K3004" s="169">
        <f t="shared" si="133"/>
        <v>1782106.11</v>
      </c>
    </row>
    <row r="3005" spans="1:11" x14ac:dyDescent="0.2">
      <c r="A3005" s="168">
        <v>2998</v>
      </c>
      <c r="B3005" s="159">
        <v>594.63366392643309</v>
      </c>
      <c r="C3005" s="169">
        <f t="shared" si="132"/>
        <v>1782711.7244514464</v>
      </c>
      <c r="I3005" s="168">
        <v>2998</v>
      </c>
      <c r="J3005" s="159">
        <f>ROUND(B3005*('Model Data Inputs'!$E$184*'Model Data Inputs'!$E$185*'Model Data Inputs'!$E$186*'Model Data Inputs'!$E$187),2)</f>
        <v>594.63</v>
      </c>
      <c r="K3005" s="169">
        <f t="shared" si="133"/>
        <v>1782700.74</v>
      </c>
    </row>
    <row r="3006" spans="1:11" x14ac:dyDescent="0.2">
      <c r="A3006" s="168">
        <v>2999</v>
      </c>
      <c r="B3006" s="159">
        <v>594.63366392643309</v>
      </c>
      <c r="C3006" s="169">
        <f t="shared" si="132"/>
        <v>1783306.3581153727</v>
      </c>
      <c r="I3006" s="168">
        <v>2999</v>
      </c>
      <c r="J3006" s="159">
        <f>ROUND(B3006*('Model Data Inputs'!$E$184*'Model Data Inputs'!$E$185*'Model Data Inputs'!$E$186*'Model Data Inputs'!$E$187),2)</f>
        <v>594.63</v>
      </c>
      <c r="K3006" s="169">
        <f t="shared" si="133"/>
        <v>1783295.3699999999</v>
      </c>
    </row>
    <row r="3007" spans="1:11" ht="13.5" thickBot="1" x14ac:dyDescent="0.25">
      <c r="A3007" s="176">
        <v>3000</v>
      </c>
      <c r="B3007" s="177">
        <v>594.63366392643309</v>
      </c>
      <c r="C3007" s="178">
        <f t="shared" si="132"/>
        <v>1783900.9917792992</v>
      </c>
      <c r="I3007" s="176">
        <v>3000</v>
      </c>
      <c r="J3007" s="177">
        <f>ROUND(B3007*('Model Data Inputs'!$E$184*'Model Data Inputs'!$E$185*'Model Data Inputs'!$E$186*'Model Data Inputs'!$E$187),2)</f>
        <v>594.63</v>
      </c>
      <c r="K3007" s="178">
        <f t="shared" si="133"/>
        <v>1783890</v>
      </c>
    </row>
  </sheetData>
  <sheetProtection algorithmName="SHA-512" hashValue="exMXlLmcR88NIp4lCTl1Xu8F0kZ78PXQkhfL3heIwLOxMr709ANogQ7Bbmtw0aFnoXYyK3C/1jfMQrelQ8pxqg==" saltValue="h4lhBzn+qmliCXci+67g6Q==" spinCount="100000" sheet="1" objects="1" scenarios="1"/>
  <mergeCells count="6">
    <mergeCell ref="A3:G3"/>
    <mergeCell ref="I3:O3"/>
    <mergeCell ref="A5:C5"/>
    <mergeCell ref="E5:G5"/>
    <mergeCell ref="I5:K5"/>
    <mergeCell ref="M5:O5"/>
  </mergeCells>
  <pageMargins left="0.5" right="0.5" top="0.5" bottom="0.5" header="0.25" footer="0.25"/>
  <pageSetup scale="10" fitToHeight="23" orientation="portrait" r:id="rId1"/>
  <headerFooter>
    <oddHeader>&amp;L&amp;"Calibri,Bold"&amp;12Student Activity Funding Tables for Middle and High Schools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30</vt:i4>
      </vt:variant>
    </vt:vector>
  </HeadingPairs>
  <TitlesOfParts>
    <vt:vector size="51" baseType="lpstr">
      <vt:lpstr>Foundation Program Calculations</vt:lpstr>
      <vt:lpstr>Model Data Inputs</vt:lpstr>
      <vt:lpstr>Elementary Size Adjustment</vt:lpstr>
      <vt:lpstr>Secondary Size Adjustment</vt:lpstr>
      <vt:lpstr>Supplies, Materials Adjustment</vt:lpstr>
      <vt:lpstr>Central Office and O&amp;M Comp.</vt:lpstr>
      <vt:lpstr>Central Office Resources</vt:lpstr>
      <vt:lpstr>School Level Inst. Resources</vt:lpstr>
      <vt:lpstr>Student Activities MS&amp;HS Tables</vt:lpstr>
      <vt:lpstr>Utilities</vt:lpstr>
      <vt:lpstr>Total O &amp; M Resources</vt:lpstr>
      <vt:lpstr>School Level O &amp; M Resources</vt:lpstr>
      <vt:lpstr>SFD Allowable GSF Calculation</vt:lpstr>
      <vt:lpstr>Site Level Groundskeepers</vt:lpstr>
      <vt:lpstr>District Level ADM</vt:lpstr>
      <vt:lpstr>School Level ADM</vt:lpstr>
      <vt:lpstr>Student At-Risk and ELL Proxy</vt:lpstr>
      <vt:lpstr>Health Insurance Composite</vt:lpstr>
      <vt:lpstr>Regional Cost Adjustment</vt:lpstr>
      <vt:lpstr>Tranportation &amp; Other Reim.</vt:lpstr>
      <vt:lpstr>Charter School Adjustment</vt:lpstr>
      <vt:lpstr>'Central Office Resources'!Print_Area</vt:lpstr>
      <vt:lpstr>'Charter School Adjustment'!Print_Area</vt:lpstr>
      <vt:lpstr>'Foundation Program Calculations'!Print_Area</vt:lpstr>
      <vt:lpstr>'Health Insurance Composite'!Print_Area</vt:lpstr>
      <vt:lpstr>'Regional Cost Adjustment'!Print_Area</vt:lpstr>
      <vt:lpstr>'School Level ADM'!Print_Area</vt:lpstr>
      <vt:lpstr>'School Level Inst. Resources'!Print_Area</vt:lpstr>
      <vt:lpstr>'School Level O &amp; M Resources'!Print_Area</vt:lpstr>
      <vt:lpstr>'SFD Allowable GSF Calculation'!Print_Area</vt:lpstr>
      <vt:lpstr>'Site Level Groundskeepers'!Print_Area</vt:lpstr>
      <vt:lpstr>'Student Activities MS&amp;HS Tables'!Print_Area</vt:lpstr>
      <vt:lpstr>'Student At-Risk and ELL Proxy'!Print_Area</vt:lpstr>
      <vt:lpstr>'Total O &amp; M Resources'!Print_Area</vt:lpstr>
      <vt:lpstr>'Tranportation &amp; Other Reim.'!Print_Area</vt:lpstr>
      <vt:lpstr>Utilities!Print_Area</vt:lpstr>
      <vt:lpstr>'Charter School Adjustment'!Print_Titles</vt:lpstr>
      <vt:lpstr>'Elementary Size Adjustment'!Print_Titles</vt:lpstr>
      <vt:lpstr>'Foundation Program Calculations'!Print_Titles</vt:lpstr>
      <vt:lpstr>'Model Data Inputs'!Print_Titles</vt:lpstr>
      <vt:lpstr>'School Level ADM'!Print_Titles</vt:lpstr>
      <vt:lpstr>'School Level Inst. Resources'!Print_Titles</vt:lpstr>
      <vt:lpstr>'School Level O &amp; M Resources'!Print_Titles</vt:lpstr>
      <vt:lpstr>'Secondary Size Adjustment'!Print_Titles</vt:lpstr>
      <vt:lpstr>'SFD Allowable GSF Calculation'!Print_Titles</vt:lpstr>
      <vt:lpstr>'Site Level Groundskeepers'!Print_Titles</vt:lpstr>
      <vt:lpstr>'Student Activities MS&amp;HS Tables'!Print_Titles</vt:lpstr>
      <vt:lpstr>'Student At-Risk and ELL Proxy'!Print_Titles</vt:lpstr>
      <vt:lpstr>'Supplies, Materials Adjustment'!Print_Titles</vt:lpstr>
      <vt:lpstr>'Tranportation &amp; Other Reim.'!Print_Titles</vt:lpstr>
      <vt:lpstr>Utilities!Print_Titles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Matthew Willmarth</dc:creator>
  <cp:lastModifiedBy>Randi Todd</cp:lastModifiedBy>
  <dcterms:created xsi:type="dcterms:W3CDTF">2018-01-14T18:09:51Z</dcterms:created>
  <dcterms:modified xsi:type="dcterms:W3CDTF">2018-01-22T22:29:14Z</dcterms:modified>
</cp:coreProperties>
</file>